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35.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comments8.xml" ContentType="application/vnd.openxmlformats-officedocument.spreadsheetml.comments+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externalLinks/externalLink7.xml" ContentType="application/vnd.openxmlformats-officedocument.spreadsheetml.externalLink+xml"/>
  <Override PartName="/xl/comments6.xml" ContentType="application/vnd.openxmlformats-officedocument.spreadsheetml.comments+xml"/>
  <Default Extension="rels" ContentType="application/vnd.openxmlformats-package.relationships+xml"/>
  <Default Extension="xml" ContentType="application/xml"/>
  <Override PartName="/xl/worksheets/sheet5.xml" ContentType="application/vnd.openxmlformats-officedocument.spreadsheetml.worksheet+xml"/>
  <Override PartName="/xl/externalLinks/externalLink5.xml" ContentType="application/vnd.openxmlformats-officedocument.spreadsheetml.externalLink+xml"/>
  <Override PartName="/xl/comments4.xml" ContentType="application/vnd.openxmlformats-officedocument.spreadsheetml.comment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comments2.xml" ContentType="application/vnd.openxmlformats-officedocument.spreadsheetml.comments+xml"/>
  <Override PartName="/xl/comments3.xml" ContentType="application/vnd.openxmlformats-officedocument.spreadsheetml.comments+xml"/>
  <Override PartName="/xl/worksheets/sheet1.xml" ContentType="application/vnd.openxmlformats-officedocument.spreadsheetml.worksheet+xml"/>
  <Override PartName="/xl/externalLinks/externalLink1.xml" ContentType="application/vnd.openxmlformats-officedocument.spreadsheetml.externalLink+xml"/>
  <Default Extension="vml" ContentType="application/vnd.openxmlformats-officedocument.vmlDrawing"/>
  <Override PartName="/xl/comments1.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xl/worksheets/sheet19.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sharedStrings.xml" ContentType="application/vnd.openxmlformats-officedocument.spreadsheetml.sharedStrings+xml"/>
  <Override PartName="/xl/comments12.xml" ContentType="application/vnd.openxmlformats-officedocument.spreadsheetml.comments+xml"/>
  <Override PartName="/xl/comments13.xml" ContentType="application/vnd.openxmlformats-officedocument.spreadsheetml.comment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36.xml" ContentType="application/vnd.openxmlformats-officedocument.spreadsheetml.worksheet+xml"/>
  <Override PartName="/xl/comments10.xml" ContentType="application/vnd.openxmlformats-officedocument.spreadsheetml.comments+xml"/>
  <Override PartName="/xl/comments11.xml" ContentType="application/vnd.openxmlformats-officedocument.spreadsheetml.comments+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Default Extension="bin" ContentType="application/vnd.openxmlformats-officedocument.spreadsheetml.printerSettings"/>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externalLinks/externalLink8.xml" ContentType="application/vnd.openxmlformats-officedocument.spreadsheetml.externalLink+xml"/>
  <Override PartName="/xl/comments9.xml" ContentType="application/vnd.openxmlformats-officedocument.spreadsheetml.comments+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externalLinks/externalLink6.xml" ContentType="application/vnd.openxmlformats-officedocument.spreadsheetml.externalLink+xml"/>
  <Override PartName="/xl/comments7.xml" ContentType="application/vnd.openxmlformats-officedocument.spreadsheetml.comments+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externalLinks/externalLink4.xml" ContentType="application/vnd.openxmlformats-officedocument.spreadsheetml.externalLink+xml"/>
  <Override PartName="/xl/comments5.xml" ContentType="application/vnd.openxmlformats-officedocument.spreadsheetml.comment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120" yWindow="45" windowWidth="15480" windowHeight="8655" tabRatio="887" firstSheet="7" activeTab="9"/>
  </bookViews>
  <sheets>
    <sheet name="WTTC Export (Hotel)" sheetId="1" state="hidden" r:id="rId1"/>
    <sheet name="Home" sheetId="2" r:id="rId2"/>
    <sheet name="Checklist" sheetId="3" state="hidden" r:id="rId3"/>
    <sheet name="TI working sheet" sheetId="4" r:id="rId4"/>
    <sheet name="Tourism Medium DB-US$" sheetId="5" r:id="rId5"/>
    <sheet name="Hotel- WS" sheetId="6" r:id="rId6"/>
    <sheet name="Poland Hotel database" sheetId="7" r:id="rId7"/>
    <sheet name="Hotel working sheet" sheetId="8" r:id="rId8"/>
    <sheet name="TDF working sheet" sheetId="11" r:id="rId9"/>
    <sheet name="Tourism Medium DB-LCU" sheetId="9" r:id="rId10"/>
    <sheet name="TDF-Forecasting" sheetId="10" r:id="rId11"/>
    <sheet name="Sum Checks" sheetId="12" r:id="rId12"/>
    <sheet name="Airline_WS" sheetId="13" r:id="rId13"/>
    <sheet name="Hotel-Forecasting" sheetId="14" r:id="rId14"/>
    <sheet name="Forecasting_Car Rental" sheetId="15" r:id="rId15"/>
    <sheet name="Car Rental checks" sheetId="16" state="hidden" r:id="rId16"/>
    <sheet name="Car rental Working sheet" sheetId="17" r:id="rId17"/>
    <sheet name="Airline Checks" sheetId="18" state="hidden" r:id="rId18"/>
    <sheet name="Hotel Checks" sheetId="19" state="hidden" r:id="rId19"/>
    <sheet name="TI_Forecasting" sheetId="20" r:id="rId20"/>
    <sheet name="TI_Checks" sheetId="21" r:id="rId21"/>
    <sheet name="Norway TI" sheetId="22" r:id="rId22"/>
    <sheet name="Working Sheet_EI" sheetId="23" r:id="rId23"/>
    <sheet name="Hotel - Checks" sheetId="24" r:id="rId24"/>
    <sheet name="Airline_Forecasting" sheetId="25" r:id="rId25"/>
    <sheet name="Checks_EI" sheetId="26" r:id="rId26"/>
    <sheet name="Forecasting_EI" sheetId="27" r:id="rId27"/>
    <sheet name="Growth rate" sheetId="28" r:id="rId28"/>
    <sheet name="Benchmarking ratios_EI" sheetId="29" r:id="rId29"/>
    <sheet name="WTTC Export" sheetId="30" r:id="rId30"/>
    <sheet name="Calculation sheet " sheetId="31" r:id="rId31"/>
    <sheet name="Outbound" sheetId="32" r:id="rId32"/>
    <sheet name="Sheet3" sheetId="33" r:id="rId33"/>
    <sheet name="Sheet1" sheetId="34" r:id="rId34"/>
    <sheet name="Sheet2" sheetId="35" state="hidden" r:id="rId35"/>
    <sheet name="Sheet4" sheetId="36" state="hidden" r:id="rId36"/>
  </sheets>
  <externalReferences>
    <externalReference r:id="rId37"/>
    <externalReference r:id="rId38"/>
    <externalReference r:id="rId39"/>
    <externalReference r:id="rId40"/>
    <externalReference r:id="rId41"/>
    <externalReference r:id="rId42"/>
    <externalReference r:id="rId43"/>
    <externalReference r:id="rId44"/>
  </externalReferences>
  <definedNames>
    <definedName name="_xlnm._FilterDatabase" localSheetId="24" hidden="1">Airline_Forecasting!$H$1:$H$76</definedName>
    <definedName name="_xlnm._FilterDatabase" localSheetId="25" hidden="1">Checks_EI!$A$1:$T$1</definedName>
    <definedName name="_xlnm._FilterDatabase" localSheetId="14" hidden="1">'Forecasting_Car Rental'!$A$1:$A$109</definedName>
    <definedName name="_xlnm._FilterDatabase" localSheetId="26" hidden="1">Forecasting_EI!$Z$1:$Z$567</definedName>
    <definedName name="_xlnm._FilterDatabase" localSheetId="27" hidden="1">'Growth rate'!#REF!</definedName>
    <definedName name="_xlnm._FilterDatabase" localSheetId="13" hidden="1">'Hotel-Forecasting'!$G$1:$G$181</definedName>
    <definedName name="_xlnm._FilterDatabase" localSheetId="21" hidden="1">'Norway TI'!$R$1:$S$299</definedName>
    <definedName name="_xlnm._FilterDatabase" localSheetId="10" hidden="1">'TDF-Forecasting'!$A$1:$A$277</definedName>
    <definedName name="_xlnm._FilterDatabase" localSheetId="19" hidden="1">TI_Forecasting!$H$1:$H$63</definedName>
    <definedName name="_xlnm._FilterDatabase" localSheetId="4" hidden="1">'Tourism Medium DB-US$'!$B$1:$C$183</definedName>
    <definedName name="a" localSheetId="24">#REF!</definedName>
    <definedName name="a" localSheetId="2">#REF!</definedName>
    <definedName name="a" localSheetId="25">#REF!</definedName>
    <definedName name="a" localSheetId="21">#REF!</definedName>
    <definedName name="a" localSheetId="19">#REF!</definedName>
    <definedName name="A2718951R" localSheetId="2">#REF!,#REF!</definedName>
    <definedName name="A2718951R" localSheetId="25">#REF!,#REF!</definedName>
    <definedName name="A2718951R" localSheetId="21">#REF!,#REF!</definedName>
    <definedName name="A2718951R" localSheetId="19">#REF!,#REF!</definedName>
    <definedName name="A2718951R_Data" localSheetId="2">#REF!</definedName>
    <definedName name="A2718951R_Data" localSheetId="25">#REF!</definedName>
    <definedName name="A2718951R_Data" localSheetId="21">#REF!</definedName>
    <definedName name="A2718951R_Data" localSheetId="19">#REF!</definedName>
    <definedName name="A2718951R_Latest" localSheetId="2">#REF!</definedName>
    <definedName name="A2718951R_Latest" localSheetId="25">#REF!</definedName>
    <definedName name="A2718951R_Latest" localSheetId="21">#REF!</definedName>
    <definedName name="A2718951R_Latest" localSheetId="19">#REF!</definedName>
    <definedName name="A2719026X" localSheetId="2">#REF!,#REF!</definedName>
    <definedName name="A2719026X" localSheetId="25">#REF!,#REF!</definedName>
    <definedName name="A2719026X" localSheetId="21">#REF!,#REF!</definedName>
    <definedName name="A2719026X" localSheetId="19">#REF!,#REF!</definedName>
    <definedName name="A2719026X_Data" localSheetId="2">#REF!</definedName>
    <definedName name="A2719026X_Data" localSheetId="25">#REF!</definedName>
    <definedName name="A2719026X_Data" localSheetId="21">#REF!</definedName>
    <definedName name="A2719026X_Data" localSheetId="19">#REF!</definedName>
    <definedName name="A2719026X_Latest" localSheetId="2">#REF!</definedName>
    <definedName name="A2719026X_Latest" localSheetId="25">#REF!</definedName>
    <definedName name="A2719026X_Latest" localSheetId="21">#REF!</definedName>
    <definedName name="A2719026X_Latest" localSheetId="19">#REF!</definedName>
    <definedName name="A2719101L" localSheetId="2">#REF!,#REF!</definedName>
    <definedName name="A2719101L" localSheetId="25">#REF!,#REF!</definedName>
    <definedName name="A2719101L" localSheetId="21">#REF!,#REF!</definedName>
    <definedName name="A2719101L" localSheetId="19">#REF!,#REF!</definedName>
    <definedName name="A2719101L_Data" localSheetId="2">#REF!</definedName>
    <definedName name="A2719101L_Data" localSheetId="25">#REF!</definedName>
    <definedName name="A2719101L_Data" localSheetId="21">#REF!</definedName>
    <definedName name="A2719101L_Data" localSheetId="19">#REF!</definedName>
    <definedName name="A2719101L_Latest" localSheetId="2">#REF!</definedName>
    <definedName name="A2719101L_Latest" localSheetId="25">#REF!</definedName>
    <definedName name="A2719101L_Latest" localSheetId="21">#REF!</definedName>
    <definedName name="A2719101L_Latest" localSheetId="19">#REF!</definedName>
    <definedName name="A2719176F" localSheetId="2">#REF!,#REF!</definedName>
    <definedName name="A2719176F" localSheetId="25">#REF!,#REF!</definedName>
    <definedName name="A2719176F" localSheetId="21">#REF!,#REF!</definedName>
    <definedName name="A2719176F" localSheetId="19">#REF!,#REF!</definedName>
    <definedName name="A2719176F_Data" localSheetId="2">#REF!</definedName>
    <definedName name="A2719176F_Data" localSheetId="25">#REF!</definedName>
    <definedName name="A2719176F_Data" localSheetId="21">#REF!</definedName>
    <definedName name="A2719176F_Data" localSheetId="19">#REF!</definedName>
    <definedName name="A2719176F_Latest" localSheetId="2">#REF!</definedName>
    <definedName name="A2719176F_Latest" localSheetId="25">#REF!</definedName>
    <definedName name="A2719176F_Latest" localSheetId="21">#REF!</definedName>
    <definedName name="A2719176F_Latest" localSheetId="19">#REF!</definedName>
    <definedName name="A2719251V" localSheetId="2">#REF!,#REF!</definedName>
    <definedName name="A2719251V" localSheetId="25">#REF!,#REF!</definedName>
    <definedName name="A2719251V" localSheetId="21">#REF!,#REF!</definedName>
    <definedName name="A2719251V" localSheetId="19">#REF!,#REF!</definedName>
    <definedName name="A2719251V_Data" localSheetId="2">#REF!</definedName>
    <definedName name="A2719251V_Data" localSheetId="25">#REF!</definedName>
    <definedName name="A2719251V_Data" localSheetId="21">#REF!</definedName>
    <definedName name="A2719251V_Data" localSheetId="19">#REF!</definedName>
    <definedName name="A2719251V_Latest" localSheetId="2">#REF!</definedName>
    <definedName name="A2719251V_Latest" localSheetId="25">#REF!</definedName>
    <definedName name="A2719251V_Latest" localSheetId="21">#REF!</definedName>
    <definedName name="A2719251V_Latest" localSheetId="19">#REF!</definedName>
    <definedName name="A2723001F" localSheetId="2">#REF!,#REF!</definedName>
    <definedName name="A2723001F" localSheetId="25">#REF!,#REF!</definedName>
    <definedName name="A2723001F" localSheetId="21">#REF!,#REF!</definedName>
    <definedName name="A2723001F" localSheetId="19">#REF!,#REF!</definedName>
    <definedName name="A2723001F_Data" localSheetId="2">#REF!</definedName>
    <definedName name="A2723001F_Data" localSheetId="25">#REF!</definedName>
    <definedName name="A2723001F_Data" localSheetId="21">#REF!</definedName>
    <definedName name="A2723001F_Data" localSheetId="19">#REF!</definedName>
    <definedName name="A2723001F_Latest" localSheetId="2">#REF!</definedName>
    <definedName name="A2723001F_Latest" localSheetId="25">#REF!</definedName>
    <definedName name="A2723001F_Latest" localSheetId="21">#REF!</definedName>
    <definedName name="A2723001F_Latest" localSheetId="19">#REF!</definedName>
    <definedName name="A2723076X" localSheetId="2">#REF!,#REF!</definedName>
    <definedName name="A2723076X" localSheetId="25">#REF!,#REF!</definedName>
    <definedName name="A2723076X" localSheetId="21">#REF!,#REF!</definedName>
    <definedName name="A2723076X" localSheetId="19">#REF!,#REF!</definedName>
    <definedName name="A2723076X_Data" localSheetId="2">#REF!</definedName>
    <definedName name="A2723076X_Data" localSheetId="25">#REF!</definedName>
    <definedName name="A2723076X_Data" localSheetId="21">#REF!</definedName>
    <definedName name="A2723076X_Data" localSheetId="19">#REF!</definedName>
    <definedName name="A2723076X_Latest" localSheetId="2">#REF!</definedName>
    <definedName name="A2723076X_Latest" localSheetId="25">#REF!</definedName>
    <definedName name="A2723076X_Latest" localSheetId="21">#REF!</definedName>
    <definedName name="A2723076X_Latest" localSheetId="19">#REF!</definedName>
    <definedName name="A2723151L" localSheetId="2">#REF!,#REF!</definedName>
    <definedName name="A2723151L" localSheetId="25">#REF!,#REF!</definedName>
    <definedName name="A2723151L" localSheetId="21">#REF!,#REF!</definedName>
    <definedName name="A2723151L" localSheetId="19">#REF!,#REF!</definedName>
    <definedName name="A2723151L_Data" localSheetId="2">#REF!</definedName>
    <definedName name="A2723151L_Data" localSheetId="25">#REF!</definedName>
    <definedName name="A2723151L_Data" localSheetId="21">#REF!</definedName>
    <definedName name="A2723151L_Data" localSheetId="19">#REF!</definedName>
    <definedName name="A2723151L_Latest" localSheetId="2">#REF!</definedName>
    <definedName name="A2723151L_Latest" localSheetId="25">#REF!</definedName>
    <definedName name="A2723151L_Latest" localSheetId="21">#REF!</definedName>
    <definedName name="A2723151L_Latest" localSheetId="19">#REF!</definedName>
    <definedName name="A2723226V" localSheetId="2">#REF!,#REF!</definedName>
    <definedName name="A2723226V" localSheetId="25">#REF!,#REF!</definedName>
    <definedName name="A2723226V" localSheetId="21">#REF!,#REF!</definedName>
    <definedName name="A2723226V" localSheetId="19">#REF!,#REF!</definedName>
    <definedName name="A2723226V_Data" localSheetId="2">#REF!</definedName>
    <definedName name="A2723226V_Data" localSheetId="25">#REF!</definedName>
    <definedName name="A2723226V_Data" localSheetId="21">#REF!</definedName>
    <definedName name="A2723226V_Data" localSheetId="19">#REF!</definedName>
    <definedName name="A2723226V_Latest" localSheetId="2">#REF!</definedName>
    <definedName name="A2723226V_Latest" localSheetId="25">#REF!</definedName>
    <definedName name="A2723226V_Latest" localSheetId="21">#REF!</definedName>
    <definedName name="A2723226V_Latest" localSheetId="19">#REF!</definedName>
    <definedName name="A2723301J" localSheetId="2">#REF!,#REF!</definedName>
    <definedName name="A2723301J" localSheetId="25">#REF!,#REF!</definedName>
    <definedName name="A2723301J" localSheetId="21">#REF!,#REF!</definedName>
    <definedName name="A2723301J" localSheetId="19">#REF!,#REF!</definedName>
    <definedName name="A2723301J_Data" localSheetId="2">#REF!</definedName>
    <definedName name="A2723301J_Data" localSheetId="25">#REF!</definedName>
    <definedName name="A2723301J_Data" localSheetId="21">#REF!</definedName>
    <definedName name="A2723301J_Data" localSheetId="19">#REF!</definedName>
    <definedName name="A2723301J_Latest" localSheetId="2">#REF!</definedName>
    <definedName name="A2723301J_Latest" localSheetId="25">#REF!</definedName>
    <definedName name="A2723301J_Latest" localSheetId="21">#REF!</definedName>
    <definedName name="A2723301J_Latest" localSheetId="19">#REF!</definedName>
    <definedName name="A2728176X" localSheetId="2">#REF!,#REF!</definedName>
    <definedName name="A2728176X" localSheetId="25">#REF!,#REF!</definedName>
    <definedName name="A2728176X" localSheetId="21">#REF!,#REF!</definedName>
    <definedName name="A2728176X" localSheetId="19">#REF!,#REF!</definedName>
    <definedName name="A2728176X_Data" localSheetId="2">#REF!</definedName>
    <definedName name="A2728176X_Data" localSheetId="25">#REF!</definedName>
    <definedName name="A2728176X_Data" localSheetId="21">#REF!</definedName>
    <definedName name="A2728176X_Data" localSheetId="19">#REF!</definedName>
    <definedName name="A2728176X_Latest" localSheetId="2">#REF!</definedName>
    <definedName name="A2728176X_Latest" localSheetId="25">#REF!</definedName>
    <definedName name="A2728176X_Latest" localSheetId="21">#REF!</definedName>
    <definedName name="A2728176X_Latest" localSheetId="19">#REF!</definedName>
    <definedName name="A2734026F" localSheetId="2">#REF!,#REF!</definedName>
    <definedName name="A2734026F" localSheetId="25">#REF!,#REF!</definedName>
    <definedName name="A2734026F" localSheetId="21">#REF!,#REF!</definedName>
    <definedName name="A2734026F" localSheetId="19">#REF!,#REF!</definedName>
    <definedName name="A2734026F_Data" localSheetId="2">#REF!</definedName>
    <definedName name="A2734026F_Data" localSheetId="25">#REF!</definedName>
    <definedName name="A2734026F_Data" localSheetId="21">#REF!</definedName>
    <definedName name="A2734026F_Data" localSheetId="19">#REF!</definedName>
    <definedName name="A2734026F_Latest" localSheetId="2">#REF!</definedName>
    <definedName name="A2734026F_Latest" localSheetId="25">#REF!</definedName>
    <definedName name="A2734026F_Latest" localSheetId="21">#REF!</definedName>
    <definedName name="A2734026F_Latest" localSheetId="19">#REF!</definedName>
    <definedName name="A2734101V" localSheetId="2">#REF!,#REF!</definedName>
    <definedName name="A2734101V" localSheetId="25">#REF!,#REF!</definedName>
    <definedName name="A2734101V" localSheetId="21">#REF!,#REF!</definedName>
    <definedName name="A2734101V" localSheetId="19">#REF!,#REF!</definedName>
    <definedName name="A2734101V_Data" localSheetId="2">#REF!</definedName>
    <definedName name="A2734101V_Data" localSheetId="25">#REF!</definedName>
    <definedName name="A2734101V_Data" localSheetId="21">#REF!</definedName>
    <definedName name="A2734101V_Data" localSheetId="19">#REF!</definedName>
    <definedName name="A2734101V_Latest" localSheetId="2">#REF!</definedName>
    <definedName name="A2734101V_Latest" localSheetId="25">#REF!</definedName>
    <definedName name="A2734101V_Latest" localSheetId="21">#REF!</definedName>
    <definedName name="A2734101V_Latest" localSheetId="19">#REF!</definedName>
    <definedName name="A2734176L" localSheetId="2">#REF!,#REF!</definedName>
    <definedName name="A2734176L" localSheetId="25">#REF!,#REF!</definedName>
    <definedName name="A2734176L" localSheetId="21">#REF!,#REF!</definedName>
    <definedName name="A2734176L" localSheetId="19">#REF!,#REF!</definedName>
    <definedName name="A2734176L_Data" localSheetId="2">#REF!</definedName>
    <definedName name="A2734176L_Data" localSheetId="25">#REF!</definedName>
    <definedName name="A2734176L_Data" localSheetId="21">#REF!</definedName>
    <definedName name="A2734176L_Data" localSheetId="19">#REF!</definedName>
    <definedName name="A2734176L_Latest" localSheetId="2">#REF!</definedName>
    <definedName name="A2734176L_Latest" localSheetId="25">#REF!</definedName>
    <definedName name="A2734176L_Latest" localSheetId="21">#REF!</definedName>
    <definedName name="A2734176L_Latest" localSheetId="19">#REF!</definedName>
    <definedName name="A2743251V" localSheetId="2">#REF!,#REF!</definedName>
    <definedName name="A2743251V" localSheetId="25">#REF!,#REF!</definedName>
    <definedName name="A2743251V" localSheetId="21">#REF!,#REF!</definedName>
    <definedName name="A2743251V" localSheetId="19">#REF!,#REF!</definedName>
    <definedName name="A2743251V_Data" localSheetId="2">#REF!</definedName>
    <definedName name="A2743251V_Data" localSheetId="25">#REF!</definedName>
    <definedName name="A2743251V_Data" localSheetId="21">#REF!</definedName>
    <definedName name="A2743251V_Data" localSheetId="19">#REF!</definedName>
    <definedName name="A2743251V_Latest" localSheetId="2">#REF!</definedName>
    <definedName name="A2743251V_Latest" localSheetId="25">#REF!</definedName>
    <definedName name="A2743251V_Latest" localSheetId="21">#REF!</definedName>
    <definedName name="A2743251V_Latest" localSheetId="19">#REF!</definedName>
    <definedName name="A2743326A" localSheetId="2">#REF!,#REF!</definedName>
    <definedName name="A2743326A" localSheetId="25">#REF!,#REF!</definedName>
    <definedName name="A2743326A" localSheetId="21">#REF!,#REF!</definedName>
    <definedName name="A2743326A" localSheetId="19">#REF!,#REF!</definedName>
    <definedName name="A2743326A_Data" localSheetId="2">#REF!</definedName>
    <definedName name="A2743326A_Data" localSheetId="25">#REF!</definedName>
    <definedName name="A2743326A_Data" localSheetId="21">#REF!</definedName>
    <definedName name="A2743326A_Data" localSheetId="19">#REF!</definedName>
    <definedName name="A2743326A_Latest" localSheetId="2">#REF!</definedName>
    <definedName name="A2743326A_Latest" localSheetId="25">#REF!</definedName>
    <definedName name="A2743326A_Latest" localSheetId="21">#REF!</definedName>
    <definedName name="A2743326A_Latest" localSheetId="19">#REF!</definedName>
    <definedName name="A2748201L" localSheetId="2">#REF!,#REF!</definedName>
    <definedName name="A2748201L" localSheetId="25">#REF!,#REF!</definedName>
    <definedName name="A2748201L" localSheetId="21">#REF!,#REF!</definedName>
    <definedName name="A2748201L" localSheetId="19">#REF!,#REF!</definedName>
    <definedName name="A2748201L_Data" localSheetId="2">#REF!</definedName>
    <definedName name="A2748201L_Data" localSheetId="25">#REF!</definedName>
    <definedName name="A2748201L_Data" localSheetId="21">#REF!</definedName>
    <definedName name="A2748201L_Data" localSheetId="19">#REF!</definedName>
    <definedName name="A2748201L_Latest" localSheetId="2">#REF!</definedName>
    <definedName name="A2748201L_Latest" localSheetId="25">#REF!</definedName>
    <definedName name="A2748201L_Latest" localSheetId="21">#REF!</definedName>
    <definedName name="A2748201L_Latest" localSheetId="19">#REF!</definedName>
    <definedName name="A2748276F" localSheetId="2">#REF!,#REF!</definedName>
    <definedName name="A2748276F" localSheetId="25">#REF!,#REF!</definedName>
    <definedName name="A2748276F" localSheetId="21">#REF!,#REF!</definedName>
    <definedName name="A2748276F" localSheetId="19">#REF!,#REF!</definedName>
    <definedName name="A2748276F_Data" localSheetId="2">#REF!</definedName>
    <definedName name="A2748276F_Data" localSheetId="25">#REF!</definedName>
    <definedName name="A2748276F_Data" localSheetId="21">#REF!</definedName>
    <definedName name="A2748276F_Data" localSheetId="19">#REF!</definedName>
    <definedName name="A2748276F_Latest" localSheetId="2">#REF!</definedName>
    <definedName name="A2748276F_Latest" localSheetId="25">#REF!</definedName>
    <definedName name="A2748276F_Latest" localSheetId="21">#REF!</definedName>
    <definedName name="A2748276F_Latest" localSheetId="19">#REF!</definedName>
    <definedName name="A2751726L" localSheetId="2">#REF!,#REF!</definedName>
    <definedName name="A2751726L" localSheetId="25">#REF!,#REF!</definedName>
    <definedName name="A2751726L" localSheetId="21">#REF!,#REF!</definedName>
    <definedName name="A2751726L" localSheetId="19">#REF!,#REF!</definedName>
    <definedName name="A2751726L_Data" localSheetId="2">#REF!</definedName>
    <definedName name="A2751726L_Data" localSheetId="25">#REF!</definedName>
    <definedName name="A2751726L_Data" localSheetId="21">#REF!</definedName>
    <definedName name="A2751726L_Data" localSheetId="19">#REF!</definedName>
    <definedName name="A2751726L_Latest" localSheetId="2">#REF!</definedName>
    <definedName name="A2751726L_Latest" localSheetId="25">#REF!</definedName>
    <definedName name="A2751726L_Latest" localSheetId="21">#REF!</definedName>
    <definedName name="A2751726L_Latest" localSheetId="19">#REF!</definedName>
    <definedName name="A3525441W" localSheetId="2">#REF!,#REF!</definedName>
    <definedName name="A3525441W" localSheetId="25">#REF!,#REF!</definedName>
    <definedName name="A3525441W" localSheetId="21">#REF!,#REF!</definedName>
    <definedName name="A3525441W" localSheetId="19">#REF!,#REF!</definedName>
    <definedName name="A3525441W_Data" localSheetId="2">#REF!</definedName>
    <definedName name="A3525441W_Data" localSheetId="25">#REF!</definedName>
    <definedName name="A3525441W_Data" localSheetId="21">#REF!</definedName>
    <definedName name="A3525441W_Data" localSheetId="19">#REF!</definedName>
    <definedName name="A3525441W_Latest" localSheetId="2">#REF!</definedName>
    <definedName name="A3525441W_Latest" localSheetId="25">#REF!</definedName>
    <definedName name="A3525441W_Latest" localSheetId="21">#REF!</definedName>
    <definedName name="A3525441W_Latest" localSheetId="19">#REF!</definedName>
    <definedName name="A3525450X" localSheetId="2">#REF!,#REF!</definedName>
    <definedName name="A3525450X" localSheetId="25">#REF!,#REF!</definedName>
    <definedName name="A3525450X" localSheetId="21">#REF!,#REF!</definedName>
    <definedName name="A3525450X" localSheetId="19">#REF!,#REF!</definedName>
    <definedName name="A3525450X_Data" localSheetId="2">#REF!</definedName>
    <definedName name="A3525450X_Data" localSheetId="25">#REF!</definedName>
    <definedName name="A3525450X_Data" localSheetId="21">#REF!</definedName>
    <definedName name="A3525450X_Data" localSheetId="19">#REF!</definedName>
    <definedName name="A3525450X_Latest" localSheetId="2">#REF!</definedName>
    <definedName name="A3525450X_Latest" localSheetId="25">#REF!</definedName>
    <definedName name="A3525450X_Latest" localSheetId="21">#REF!</definedName>
    <definedName name="A3525450X_Latest" localSheetId="19">#REF!</definedName>
    <definedName name="A3525459V" localSheetId="2">#REF!,#REF!</definedName>
    <definedName name="A3525459V" localSheetId="25">#REF!,#REF!</definedName>
    <definedName name="A3525459V" localSheetId="21">#REF!,#REF!</definedName>
    <definedName name="A3525459V" localSheetId="19">#REF!,#REF!</definedName>
    <definedName name="A3525459V_Data" localSheetId="2">#REF!</definedName>
    <definedName name="A3525459V_Data" localSheetId="25">#REF!</definedName>
    <definedName name="A3525459V_Data" localSheetId="21">#REF!</definedName>
    <definedName name="A3525459V_Data" localSheetId="19">#REF!</definedName>
    <definedName name="A3525459V_Latest" localSheetId="2">#REF!</definedName>
    <definedName name="A3525459V_Latest" localSheetId="25">#REF!</definedName>
    <definedName name="A3525459V_Latest" localSheetId="21">#REF!</definedName>
    <definedName name="A3525459V_Latest" localSheetId="19">#REF!</definedName>
    <definedName name="A3525468W" localSheetId="2">#REF!,#REF!</definedName>
    <definedName name="A3525468W" localSheetId="25">#REF!,#REF!</definedName>
    <definedName name="A3525468W" localSheetId="21">#REF!,#REF!</definedName>
    <definedName name="A3525468W" localSheetId="19">#REF!,#REF!</definedName>
    <definedName name="A3525468W_Data" localSheetId="2">#REF!</definedName>
    <definedName name="A3525468W_Data" localSheetId="25">#REF!</definedName>
    <definedName name="A3525468W_Data" localSheetId="21">#REF!</definedName>
    <definedName name="A3525468W_Data" localSheetId="19">#REF!</definedName>
    <definedName name="A3525468W_Latest" localSheetId="2">#REF!</definedName>
    <definedName name="A3525468W_Latest" localSheetId="25">#REF!</definedName>
    <definedName name="A3525468W_Latest" localSheetId="21">#REF!</definedName>
    <definedName name="A3525468W_Latest" localSheetId="19">#REF!</definedName>
    <definedName name="A3525477X" localSheetId="2">#REF!,#REF!</definedName>
    <definedName name="A3525477X" localSheetId="25">#REF!,#REF!</definedName>
    <definedName name="A3525477X" localSheetId="21">#REF!,#REF!</definedName>
    <definedName name="A3525477X" localSheetId="19">#REF!,#REF!</definedName>
    <definedName name="A3525477X_Data" localSheetId="2">#REF!</definedName>
    <definedName name="A3525477X_Data" localSheetId="25">#REF!</definedName>
    <definedName name="A3525477X_Data" localSheetId="21">#REF!</definedName>
    <definedName name="A3525477X_Data" localSheetId="19">#REF!</definedName>
    <definedName name="A3525477X_Latest" localSheetId="2">#REF!</definedName>
    <definedName name="A3525477X_Latest" localSheetId="25">#REF!</definedName>
    <definedName name="A3525477X_Latest" localSheetId="21">#REF!</definedName>
    <definedName name="A3525477X_Latest" localSheetId="19">#REF!</definedName>
    <definedName name="A3525486A" localSheetId="2">#REF!,#REF!</definedName>
    <definedName name="A3525486A" localSheetId="25">#REF!,#REF!</definedName>
    <definedName name="A3525486A" localSheetId="21">#REF!,#REF!</definedName>
    <definedName name="A3525486A" localSheetId="19">#REF!,#REF!</definedName>
    <definedName name="A3525486A_Data" localSheetId="2">#REF!</definedName>
    <definedName name="A3525486A_Data" localSheetId="25">#REF!</definedName>
    <definedName name="A3525486A_Data" localSheetId="21">#REF!</definedName>
    <definedName name="A3525486A_Data" localSheetId="19">#REF!</definedName>
    <definedName name="A3525486A_Latest" localSheetId="2">#REF!</definedName>
    <definedName name="A3525486A_Latest" localSheetId="25">#REF!</definedName>
    <definedName name="A3525486A_Latest" localSheetId="21">#REF!</definedName>
    <definedName name="A3525486A_Latest" localSheetId="19">#REF!</definedName>
    <definedName name="A3525495C" localSheetId="2">#REF!,#REF!</definedName>
    <definedName name="A3525495C" localSheetId="25">#REF!,#REF!</definedName>
    <definedName name="A3525495C" localSheetId="21">#REF!,#REF!</definedName>
    <definedName name="A3525495C" localSheetId="19">#REF!,#REF!</definedName>
    <definedName name="A3525495C_Data" localSheetId="2">#REF!</definedName>
    <definedName name="A3525495C_Data" localSheetId="25">#REF!</definedName>
    <definedName name="A3525495C_Data" localSheetId="21">#REF!</definedName>
    <definedName name="A3525495C_Data" localSheetId="19">#REF!</definedName>
    <definedName name="A3525495C_Latest" localSheetId="2">#REF!</definedName>
    <definedName name="A3525495C_Latest" localSheetId="25">#REF!</definedName>
    <definedName name="A3525495C_Latest" localSheetId="21">#REF!</definedName>
    <definedName name="A3525495C_Latest" localSheetId="19">#REF!</definedName>
    <definedName name="A3525504V" localSheetId="2">#REF!,#REF!</definedName>
    <definedName name="A3525504V" localSheetId="25">#REF!,#REF!</definedName>
    <definedName name="A3525504V" localSheetId="21">#REF!,#REF!</definedName>
    <definedName name="A3525504V" localSheetId="19">#REF!,#REF!</definedName>
    <definedName name="A3525504V_Data" localSheetId="2">#REF!</definedName>
    <definedName name="A3525504V_Data" localSheetId="25">#REF!</definedName>
    <definedName name="A3525504V_Data" localSheetId="21">#REF!</definedName>
    <definedName name="A3525504V_Data" localSheetId="19">#REF!</definedName>
    <definedName name="A3525504V_Latest" localSheetId="2">#REF!</definedName>
    <definedName name="A3525504V_Latest" localSheetId="25">#REF!</definedName>
    <definedName name="A3525504V_Latest" localSheetId="21">#REF!</definedName>
    <definedName name="A3525504V_Latest" localSheetId="19">#REF!</definedName>
    <definedName name="A3525513W" localSheetId="2">#REF!,#REF!</definedName>
    <definedName name="A3525513W" localSheetId="25">#REF!,#REF!</definedName>
    <definedName name="A3525513W" localSheetId="21">#REF!,#REF!</definedName>
    <definedName name="A3525513W" localSheetId="19">#REF!,#REF!</definedName>
    <definedName name="A3525513W_Data" localSheetId="2">#REF!</definedName>
    <definedName name="A3525513W_Data" localSheetId="25">#REF!</definedName>
    <definedName name="A3525513W_Data" localSheetId="21">#REF!</definedName>
    <definedName name="A3525513W_Data" localSheetId="19">#REF!</definedName>
    <definedName name="A3525513W_Latest" localSheetId="2">#REF!</definedName>
    <definedName name="A3525513W_Latest" localSheetId="25">#REF!</definedName>
    <definedName name="A3525513W_Latest" localSheetId="21">#REF!</definedName>
    <definedName name="A3525513W_Latest" localSheetId="19">#REF!</definedName>
    <definedName name="A3525522X" localSheetId="2">#REF!,#REF!</definedName>
    <definedName name="A3525522X" localSheetId="25">#REF!,#REF!</definedName>
    <definedName name="A3525522X" localSheetId="21">#REF!,#REF!</definedName>
    <definedName name="A3525522X" localSheetId="19">#REF!,#REF!</definedName>
    <definedName name="A3525522X_Data" localSheetId="2">#REF!</definedName>
    <definedName name="A3525522X_Data" localSheetId="25">#REF!</definedName>
    <definedName name="A3525522X_Data" localSheetId="21">#REF!</definedName>
    <definedName name="A3525522X_Data" localSheetId="19">#REF!</definedName>
    <definedName name="A3525522X_Latest" localSheetId="2">#REF!</definedName>
    <definedName name="A3525522X_Latest" localSheetId="25">#REF!</definedName>
    <definedName name="A3525522X_Latest" localSheetId="21">#REF!</definedName>
    <definedName name="A3525522X_Latest" localSheetId="19">#REF!</definedName>
    <definedName name="A3525531A" localSheetId="2">#REF!,#REF!</definedName>
    <definedName name="A3525531A" localSheetId="25">#REF!,#REF!</definedName>
    <definedName name="A3525531A" localSheetId="21">#REF!,#REF!</definedName>
    <definedName name="A3525531A" localSheetId="19">#REF!,#REF!</definedName>
    <definedName name="A3525531A_Data" localSheetId="2">#REF!</definedName>
    <definedName name="A3525531A_Data" localSheetId="25">#REF!</definedName>
    <definedName name="A3525531A_Data" localSheetId="21">#REF!</definedName>
    <definedName name="A3525531A_Data" localSheetId="19">#REF!</definedName>
    <definedName name="A3525531A_Latest" localSheetId="2">#REF!</definedName>
    <definedName name="A3525531A_Latest" localSheetId="25">#REF!</definedName>
    <definedName name="A3525531A_Latest" localSheetId="21">#REF!</definedName>
    <definedName name="A3525531A_Latest" localSheetId="19">#REF!</definedName>
    <definedName name="A3525549X" localSheetId="2">#REF!,#REF!</definedName>
    <definedName name="A3525549X" localSheetId="25">#REF!,#REF!</definedName>
    <definedName name="A3525549X" localSheetId="21">#REF!,#REF!</definedName>
    <definedName name="A3525549X" localSheetId="19">#REF!,#REF!</definedName>
    <definedName name="A3525549X_Data" localSheetId="2">#REF!</definedName>
    <definedName name="A3525549X_Data" localSheetId="25">#REF!</definedName>
    <definedName name="A3525549X_Data" localSheetId="21">#REF!</definedName>
    <definedName name="A3525549X_Data" localSheetId="19">#REF!</definedName>
    <definedName name="A3525549X_Latest" localSheetId="2">#REF!</definedName>
    <definedName name="A3525549X_Latest" localSheetId="25">#REF!</definedName>
    <definedName name="A3525549X_Latest" localSheetId="21">#REF!</definedName>
    <definedName name="A3525549X_Latest" localSheetId="19">#REF!</definedName>
    <definedName name="A3525558A" localSheetId="2">#REF!,#REF!</definedName>
    <definedName name="A3525558A" localSheetId="25">#REF!,#REF!</definedName>
    <definedName name="A3525558A" localSheetId="21">#REF!,#REF!</definedName>
    <definedName name="A3525558A" localSheetId="19">#REF!,#REF!</definedName>
    <definedName name="A3525558A_Data" localSheetId="2">#REF!</definedName>
    <definedName name="A3525558A_Data" localSheetId="25">#REF!</definedName>
    <definedName name="A3525558A_Data" localSheetId="21">#REF!</definedName>
    <definedName name="A3525558A_Data" localSheetId="19">#REF!</definedName>
    <definedName name="A3525558A_Latest" localSheetId="2">#REF!</definedName>
    <definedName name="A3525558A_Latest" localSheetId="25">#REF!</definedName>
    <definedName name="A3525558A_Latest" localSheetId="21">#REF!</definedName>
    <definedName name="A3525558A_Latest" localSheetId="19">#REF!</definedName>
    <definedName name="A3525567C" localSheetId="2">#REF!,#REF!</definedName>
    <definedName name="A3525567C" localSheetId="25">#REF!,#REF!</definedName>
    <definedName name="A3525567C" localSheetId="21">#REF!,#REF!</definedName>
    <definedName name="A3525567C" localSheetId="19">#REF!,#REF!</definedName>
    <definedName name="A3525567C_Data" localSheetId="2">#REF!</definedName>
    <definedName name="A3525567C_Data" localSheetId="25">#REF!</definedName>
    <definedName name="A3525567C_Data" localSheetId="21">#REF!</definedName>
    <definedName name="A3525567C_Data" localSheetId="19">#REF!</definedName>
    <definedName name="A3525567C_Latest" localSheetId="2">#REF!</definedName>
    <definedName name="A3525567C_Latest" localSheetId="25">#REF!</definedName>
    <definedName name="A3525567C_Latest" localSheetId="21">#REF!</definedName>
    <definedName name="A3525567C_Latest" localSheetId="19">#REF!</definedName>
    <definedName name="A3525576F" localSheetId="2">#REF!,#REF!</definedName>
    <definedName name="A3525576F" localSheetId="25">#REF!,#REF!</definedName>
    <definedName name="A3525576F" localSheetId="21">#REF!,#REF!</definedName>
    <definedName name="A3525576F" localSheetId="19">#REF!,#REF!</definedName>
    <definedName name="A3525576F_Data" localSheetId="2">#REF!</definedName>
    <definedName name="A3525576F_Data" localSheetId="25">#REF!</definedName>
    <definedName name="A3525576F_Data" localSheetId="21">#REF!</definedName>
    <definedName name="A3525576F_Data" localSheetId="19">#REF!</definedName>
    <definedName name="A3525576F_Latest" localSheetId="2">#REF!</definedName>
    <definedName name="A3525576F_Latest" localSheetId="25">#REF!</definedName>
    <definedName name="A3525576F_Latest" localSheetId="21">#REF!</definedName>
    <definedName name="A3525576F_Latest" localSheetId="19">#REF!</definedName>
    <definedName name="A3525585J" localSheetId="2">#REF!,#REF!</definedName>
    <definedName name="A3525585J" localSheetId="25">#REF!,#REF!</definedName>
    <definedName name="A3525585J" localSheetId="21">#REF!,#REF!</definedName>
    <definedName name="A3525585J" localSheetId="19">#REF!,#REF!</definedName>
    <definedName name="A3525585J_Data" localSheetId="2">#REF!</definedName>
    <definedName name="A3525585J_Data" localSheetId="25">#REF!</definedName>
    <definedName name="A3525585J_Data" localSheetId="21">#REF!</definedName>
    <definedName name="A3525585J_Data" localSheetId="19">#REF!</definedName>
    <definedName name="A3525585J_Latest" localSheetId="2">#REF!</definedName>
    <definedName name="A3525585J_Latest" localSheetId="25">#REF!</definedName>
    <definedName name="A3525585J_Latest" localSheetId="21">#REF!</definedName>
    <definedName name="A3525585J_Latest" localSheetId="19">#REF!</definedName>
    <definedName name="A3525594K" localSheetId="2">#REF!,#REF!</definedName>
    <definedName name="A3525594K" localSheetId="25">#REF!,#REF!</definedName>
    <definedName name="A3525594K" localSheetId="21">#REF!,#REF!</definedName>
    <definedName name="A3525594K" localSheetId="19">#REF!,#REF!</definedName>
    <definedName name="A3525594K_Data" localSheetId="2">#REF!</definedName>
    <definedName name="A3525594K_Data" localSheetId="25">#REF!</definedName>
    <definedName name="A3525594K_Data" localSheetId="21">#REF!</definedName>
    <definedName name="A3525594K_Data" localSheetId="19">#REF!</definedName>
    <definedName name="A3525594K_Latest" localSheetId="2">#REF!</definedName>
    <definedName name="A3525594K_Latest" localSheetId="25">#REF!</definedName>
    <definedName name="A3525594K_Latest" localSheetId="21">#REF!</definedName>
    <definedName name="A3525594K_Latest" localSheetId="19">#REF!</definedName>
    <definedName name="A3525603A" localSheetId="2">#REF!,#REF!</definedName>
    <definedName name="A3525603A" localSheetId="25">#REF!,#REF!</definedName>
    <definedName name="A3525603A" localSheetId="21">#REF!,#REF!</definedName>
    <definedName name="A3525603A" localSheetId="19">#REF!,#REF!</definedName>
    <definedName name="A3525603A_Data" localSheetId="2">#REF!</definedName>
    <definedName name="A3525603A_Data" localSheetId="25">#REF!</definedName>
    <definedName name="A3525603A_Data" localSheetId="21">#REF!</definedName>
    <definedName name="A3525603A_Data" localSheetId="19">#REF!</definedName>
    <definedName name="A3525603A_Latest" localSheetId="2">#REF!</definedName>
    <definedName name="A3525603A_Latest" localSheetId="25">#REF!</definedName>
    <definedName name="A3525603A_Latest" localSheetId="21">#REF!</definedName>
    <definedName name="A3525603A_Latest" localSheetId="19">#REF!</definedName>
    <definedName name="A3525612C" localSheetId="2">#REF!,#REF!</definedName>
    <definedName name="A3525612C" localSheetId="25">#REF!,#REF!</definedName>
    <definedName name="A3525612C" localSheetId="21">#REF!,#REF!</definedName>
    <definedName name="A3525612C" localSheetId="19">#REF!,#REF!</definedName>
    <definedName name="A3525612C_Data" localSheetId="2">#REF!</definedName>
    <definedName name="A3525612C_Data" localSheetId="25">#REF!</definedName>
    <definedName name="A3525612C_Data" localSheetId="21">#REF!</definedName>
    <definedName name="A3525612C_Data" localSheetId="19">#REF!</definedName>
    <definedName name="A3525612C_Latest" localSheetId="2">#REF!</definedName>
    <definedName name="A3525612C_Latest" localSheetId="25">#REF!</definedName>
    <definedName name="A3525612C_Latest" localSheetId="21">#REF!</definedName>
    <definedName name="A3525612C_Latest" localSheetId="19">#REF!</definedName>
    <definedName name="All" localSheetId="24">#REF!</definedName>
    <definedName name="All" localSheetId="2">#REF!</definedName>
    <definedName name="All" localSheetId="25">#REF!</definedName>
    <definedName name="All" localSheetId="21">#REF!</definedName>
    <definedName name="All" localSheetId="19">#REF!</definedName>
    <definedName name="d" localSheetId="24">#REF!</definedName>
    <definedName name="d" localSheetId="2">#REF!</definedName>
    <definedName name="d" localSheetId="25">#REF!</definedName>
    <definedName name="d" localSheetId="21">#REF!</definedName>
    <definedName name="d" localSheetId="19">#REF!</definedName>
    <definedName name="Date_Range" localSheetId="2">#REF!,#REF!</definedName>
    <definedName name="Date_Range" localSheetId="25">#REF!,#REF!</definedName>
    <definedName name="Date_Range" localSheetId="21">#REF!,#REF!</definedName>
    <definedName name="Date_Range" localSheetId="19">#REF!,#REF!</definedName>
    <definedName name="Date_Range_Data" localSheetId="2">#REF!</definedName>
    <definedName name="Date_Range_Data" localSheetId="25">#REF!</definedName>
    <definedName name="Date_Range_Data" localSheetId="21">#REF!</definedName>
    <definedName name="Date_Range_Data" localSheetId="19">#REF!</definedName>
    <definedName name="e" localSheetId="2">#REF!,#REF!</definedName>
    <definedName name="Equipment" localSheetId="24">#REF!</definedName>
    <definedName name="Equipment" localSheetId="28">#REF!</definedName>
    <definedName name="Equipment" localSheetId="2">#REF!</definedName>
    <definedName name="Equipment" localSheetId="25">#REF!</definedName>
    <definedName name="Equipment" localSheetId="27">#REF!</definedName>
    <definedName name="Equipment" localSheetId="21">#REF!</definedName>
    <definedName name="Equipment" localSheetId="19">#REF!</definedName>
    <definedName name="Equipment" localSheetId="4">#REF!</definedName>
    <definedName name="f" localSheetId="2">#REF!,#REF!</definedName>
    <definedName name="f" localSheetId="21">#REF!,#REF!</definedName>
    <definedName name="f" localSheetId="19">#REF!,#REF!</definedName>
    <definedName name="g" localSheetId="2">#REF!,#REF!</definedName>
    <definedName name="g" localSheetId="21">#REF!,#REF!</definedName>
    <definedName name="g" localSheetId="19">#REF!,#REF!</definedName>
    <definedName name="h" localSheetId="2">#REF!,#REF!</definedName>
    <definedName name="l" localSheetId="24">#REF!</definedName>
    <definedName name="l" localSheetId="28">#REF!</definedName>
    <definedName name="l" localSheetId="2">#REF!</definedName>
    <definedName name="l" localSheetId="25">#REF!</definedName>
    <definedName name="l" localSheetId="21">#REF!</definedName>
    <definedName name="l" localSheetId="19">#REF!</definedName>
    <definedName name="l" localSheetId="4">#REF!</definedName>
    <definedName name="Month" localSheetId="24">#REF!</definedName>
    <definedName name="Month" localSheetId="2">#REF!</definedName>
    <definedName name="Month" localSheetId="25">#REF!</definedName>
    <definedName name="Month" localSheetId="21">#REF!</definedName>
    <definedName name="Month" localSheetId="19">#REF!</definedName>
    <definedName name="Msg" localSheetId="24">#REF!</definedName>
    <definedName name="Msg" localSheetId="2">#REF!</definedName>
    <definedName name="Msg" localSheetId="25">#REF!</definedName>
    <definedName name="Msg" localSheetId="21">#REF!</definedName>
    <definedName name="Msg" localSheetId="19">#REF!</definedName>
    <definedName name="Page" localSheetId="24">#REF!</definedName>
    <definedName name="Page" localSheetId="2">#REF!</definedName>
    <definedName name="Page" localSheetId="25">#REF!</definedName>
    <definedName name="Page" localSheetId="21">#REF!</definedName>
    <definedName name="Page" localSheetId="19">#REF!</definedName>
    <definedName name="Path" localSheetId="24">#REF!</definedName>
    <definedName name="Path" localSheetId="2">#REF!</definedName>
    <definedName name="Path" localSheetId="25">#REF!</definedName>
    <definedName name="Path" localSheetId="21">#REF!</definedName>
    <definedName name="Path" localSheetId="19">#REF!</definedName>
    <definedName name="s" localSheetId="24">#REF!</definedName>
    <definedName name="s" localSheetId="2">#REF!</definedName>
    <definedName name="s" localSheetId="25">#REF!</definedName>
    <definedName name="s" localSheetId="21">#REF!</definedName>
    <definedName name="s" localSheetId="19">#REF!</definedName>
    <definedName name="SMonth" localSheetId="24">#REF!</definedName>
    <definedName name="SMonth" localSheetId="2">#REF!</definedName>
    <definedName name="SMonth" localSheetId="25">#REF!</definedName>
    <definedName name="SMonth" localSheetId="21">#REF!</definedName>
    <definedName name="SMonth" localSheetId="19">#REF!</definedName>
    <definedName name="SS" localSheetId="24">#REF!</definedName>
    <definedName name="SS" localSheetId="2">#REF!</definedName>
    <definedName name="SS" localSheetId="25">#REF!</definedName>
    <definedName name="SS" localSheetId="21">#REF!</definedName>
    <definedName name="SS" localSheetId="19">#REF!</definedName>
    <definedName name="sssss">#REF!</definedName>
    <definedName name="SYear" localSheetId="24">#REF!</definedName>
    <definedName name="SYear" localSheetId="2">#REF!</definedName>
    <definedName name="SYear" localSheetId="25">#REF!</definedName>
    <definedName name="SYear" localSheetId="21">#REF!</definedName>
    <definedName name="SYear" localSheetId="19">#REF!</definedName>
    <definedName name="v" localSheetId="24">#REF!</definedName>
    <definedName name="v" localSheetId="2">#REF!</definedName>
    <definedName name="v" localSheetId="25">#REF!</definedName>
    <definedName name="v" localSheetId="21">#REF!</definedName>
    <definedName name="v" localSheetId="19">#REF!</definedName>
    <definedName name="Year" localSheetId="24">#REF!</definedName>
    <definedName name="Year" localSheetId="2">#REF!</definedName>
    <definedName name="Year" localSheetId="25">#REF!</definedName>
    <definedName name="Year" localSheetId="21">#REF!</definedName>
    <definedName name="Year" localSheetId="19">#REF!</definedName>
    <definedName name="Z_02904AFF_11DC_4E60_87DC_E78EAE657DD5_.wvu.FilterData" localSheetId="24" hidden="1">Airline_Forecasting!$H$1:$H$76</definedName>
    <definedName name="Z_0339BADA_323A_4B8D_810B_B44C6B72558C_.wvu.FilterData" localSheetId="10" hidden="1">'TDF-Forecasting'!$A$1:$A$277</definedName>
    <definedName name="Z_0611DA50_DD58_4505_AD66_5EB3D9FD592B_.wvu.FilterData" localSheetId="26" hidden="1">Forecasting_EI!$Z$1:$Z$567</definedName>
    <definedName name="Z_0611DA50_DD58_4505_AD66_5EB3D9FD592B_.wvu.FilterData" localSheetId="4" hidden="1">'Tourism Medium DB-US$'!$B$1:$C$183</definedName>
    <definedName name="Z_0CB9CEBF_BB87_46DA_8EE6_46060106C8C2_.wvu.FilterData" localSheetId="24" hidden="1">Airline_Forecasting!$H$1:$H$76</definedName>
    <definedName name="Z_0CB9CEBF_BB87_46DA_8EE6_46060106C8C2_.wvu.FilterData" localSheetId="4" hidden="1">'Tourism Medium DB-US$'!$B$1:$C$183</definedName>
    <definedName name="Z_1ACDCC85_59E3_4410_927D_E7E5C71B61F5_.wvu.Cols" localSheetId="28" hidden="1">'Benchmarking ratios_EI'!$S:$S</definedName>
    <definedName name="Z_1ACDCC85_59E3_4410_927D_E7E5C71B61F5_.wvu.Cols" localSheetId="25" hidden="1">Checks_EI!$H:$H</definedName>
    <definedName name="Z_1ACDCC85_59E3_4410_927D_E7E5C71B61F5_.wvu.Cols" localSheetId="26" hidden="1">Forecasting_EI!$T:$X</definedName>
    <definedName name="Z_1ACDCC85_59E3_4410_927D_E7E5C71B61F5_.wvu.FilterData" localSheetId="24" hidden="1">Airline_Forecasting!$H$1:$H$76</definedName>
    <definedName name="Z_1ACDCC85_59E3_4410_927D_E7E5C71B61F5_.wvu.FilterData" localSheetId="25" hidden="1">Checks_EI!$A$1:$T$1</definedName>
    <definedName name="Z_1ACDCC85_59E3_4410_927D_E7E5C71B61F5_.wvu.FilterData" localSheetId="14" hidden="1">'Forecasting_Car Rental'!$A$1:$A$109</definedName>
    <definedName name="Z_1ACDCC85_59E3_4410_927D_E7E5C71B61F5_.wvu.FilterData" localSheetId="26" hidden="1">Forecasting_EI!$Z$1:$Z$567</definedName>
    <definedName name="Z_1ACDCC85_59E3_4410_927D_E7E5C71B61F5_.wvu.FilterData" localSheetId="13" hidden="1">'Hotel-Forecasting'!$G$1:$G$181</definedName>
    <definedName name="Z_1ACDCC85_59E3_4410_927D_E7E5C71B61F5_.wvu.FilterData" localSheetId="21" hidden="1">'Norway TI'!$R$1:$S$299</definedName>
    <definedName name="Z_1ACDCC85_59E3_4410_927D_E7E5C71B61F5_.wvu.FilterData" localSheetId="10" hidden="1">'TDF-Forecasting'!$A$1:$A$277</definedName>
    <definedName name="Z_1ACDCC85_59E3_4410_927D_E7E5C71B61F5_.wvu.FilterData" localSheetId="19" hidden="1">TI_Forecasting!$H$1:$H$63</definedName>
    <definedName name="Z_1ACDCC85_59E3_4410_927D_E7E5C71B61F5_.wvu.FilterData" localSheetId="4" hidden="1">'Tourism Medium DB-US$'!$B$1:$C$183</definedName>
    <definedName name="Z_1ACDCC85_59E3_4410_927D_E7E5C71B61F5_.wvu.Rows" localSheetId="25" hidden="1">Checks_EI!$23:$40</definedName>
    <definedName name="Z_1ACDCC85_59E3_4410_927D_E7E5C71B61F5_.wvu.Rows" localSheetId="26" hidden="1">Forecasting_EI!$64:$297</definedName>
    <definedName name="Z_1ACDCC85_59E3_4410_927D_E7E5C71B61F5_.wvu.Rows" localSheetId="10" hidden="1">'TDF-Forecasting'!$262:$276</definedName>
    <definedName name="Z_27E0EDBB_D97C_40C6_97C8_912B9198CEE9_.wvu.FilterData" localSheetId="13" hidden="1">'Hotel-Forecasting'!$G$1:$G$181</definedName>
    <definedName name="Z_28AA611C_F120_4D09_9666_0AAAA1997A5D_.wvu.Cols" localSheetId="26" hidden="1">Forecasting_EI!$T:$X</definedName>
    <definedName name="Z_28AA611C_F120_4D09_9666_0AAAA1997A5D_.wvu.Cols" localSheetId="27" hidden="1">'Growth rate'!#REF!</definedName>
    <definedName name="Z_28AA611C_F120_4D09_9666_0AAAA1997A5D_.wvu.FilterData" localSheetId="26" hidden="1">Forecasting_EI!$Z$1:$Z$567</definedName>
    <definedName name="Z_28AA611C_F120_4D09_9666_0AAAA1997A5D_.wvu.FilterData" localSheetId="27" hidden="1">'Growth rate'!$E$2:$E$396</definedName>
    <definedName name="Z_28AA611C_F120_4D09_9666_0AAAA1997A5D_.wvu.FilterData" localSheetId="10" hidden="1">'TDF-Forecasting'!$A$1:$A$277</definedName>
    <definedName name="Z_28AA611C_F120_4D09_9666_0AAAA1997A5D_.wvu.FilterData" localSheetId="4" hidden="1">'Tourism Medium DB-US$'!$B$1:$C$183</definedName>
    <definedName name="Z_28AA611C_F120_4D09_9666_0AAAA1997A5D_.wvu.Rows" localSheetId="10" hidden="1">'TDF-Forecasting'!$262:$276</definedName>
    <definedName name="Z_388FF67F_3B8F_430D_A6D4_DF845702A68A_.wvu.FilterData" localSheetId="4" hidden="1">'Tourism Medium DB-US$'!$B$1:$C$183</definedName>
    <definedName name="Z_3B8DA2E9_3F4B_4D09_AA7D_1214D3523EF5_.wvu.FilterData" localSheetId="10" hidden="1">'TDF-Forecasting'!$A$1:$A$277</definedName>
    <definedName name="Z_428432AB_B8A1_4D5D_9C18_2E36285515C4_.wvu.FilterData" localSheetId="26" hidden="1">Forecasting_EI!$Z$1:$Z$567</definedName>
    <definedName name="Z_4940668D_CA3D_4600_94D8_6F987A21E29E_.wvu.FilterData" localSheetId="10" hidden="1">'TDF-Forecasting'!$A$1:$A$277</definedName>
    <definedName name="Z_513032B5_C585_49C2_98E7_9FDE6F7A4BA7_.wvu.Cols" localSheetId="28" hidden="1">'Benchmarking ratios_EI'!$S:$S</definedName>
    <definedName name="Z_513032B5_C585_49C2_98E7_9FDE6F7A4BA7_.wvu.Cols" localSheetId="25" hidden="1">Checks_EI!$H:$H</definedName>
    <definedName name="Z_513032B5_C585_49C2_98E7_9FDE6F7A4BA7_.wvu.Cols" localSheetId="26" hidden="1">Forecasting_EI!$T:$X</definedName>
    <definedName name="Z_513032B5_C585_49C2_98E7_9FDE6F7A4BA7_.wvu.Cols" localSheetId="21" hidden="1">'Norway TI'!$T:$T,'Norway TI'!#REF!</definedName>
    <definedName name="Z_513032B5_C585_49C2_98E7_9FDE6F7A4BA7_.wvu.FilterData" localSheetId="24" hidden="1">Airline_Forecasting!$H$1:$H$76</definedName>
    <definedName name="Z_513032B5_C585_49C2_98E7_9FDE6F7A4BA7_.wvu.FilterData" localSheetId="25" hidden="1">Checks_EI!$A$1:$T$1</definedName>
    <definedName name="Z_513032B5_C585_49C2_98E7_9FDE6F7A4BA7_.wvu.FilterData" localSheetId="14" hidden="1">'Forecasting_Car Rental'!$A$1:$A$109</definedName>
    <definedName name="Z_513032B5_C585_49C2_98E7_9FDE6F7A4BA7_.wvu.FilterData" localSheetId="26" hidden="1">Forecasting_EI!$Z$1:$Z$567</definedName>
    <definedName name="Z_513032B5_C585_49C2_98E7_9FDE6F7A4BA7_.wvu.FilterData" localSheetId="13" hidden="1">'Hotel-Forecasting'!$G$1:$G$181</definedName>
    <definedName name="Z_513032B5_C585_49C2_98E7_9FDE6F7A4BA7_.wvu.FilterData" localSheetId="21" hidden="1">'Norway TI'!$R$1:$S$299</definedName>
    <definedName name="Z_513032B5_C585_49C2_98E7_9FDE6F7A4BA7_.wvu.FilterData" localSheetId="10" hidden="1">'TDF-Forecasting'!$A$1:$A$277</definedName>
    <definedName name="Z_513032B5_C585_49C2_98E7_9FDE6F7A4BA7_.wvu.FilterData" localSheetId="19" hidden="1">TI_Forecasting!$H$1:$H$63</definedName>
    <definedName name="Z_513032B5_C585_49C2_98E7_9FDE6F7A4BA7_.wvu.FilterData" localSheetId="4" hidden="1">'Tourism Medium DB-US$'!$B$1:$C$183</definedName>
    <definedName name="Z_513032B5_C585_49C2_98E7_9FDE6F7A4BA7_.wvu.Rows" localSheetId="25" hidden="1">Checks_EI!$23:$40</definedName>
    <definedName name="Z_513032B5_C585_49C2_98E7_9FDE6F7A4BA7_.wvu.Rows" localSheetId="26" hidden="1">Forecasting_EI!$64:$297</definedName>
    <definedName name="Z_513032B5_C585_49C2_98E7_9FDE6F7A4BA7_.wvu.Rows" localSheetId="10" hidden="1">'TDF-Forecasting'!$262:$276</definedName>
    <definedName name="Z_535E3429_5CE7_4987_A98B_8AE033B7509B_.wvu.FilterData" localSheetId="10" hidden="1">'TDF-Forecasting'!$A$1:$A$277</definedName>
    <definedName name="Z_57532196_203A_48C4_98D4_903241A0B8C3_.wvu.Cols" localSheetId="27" hidden="1">'Growth rate'!#REF!</definedName>
    <definedName name="Z_57532196_203A_48C4_98D4_903241A0B8C3_.wvu.FilterData" localSheetId="27" hidden="1">'Growth rate'!#REF!</definedName>
    <definedName name="Z_57532196_203A_48C4_98D4_903241A0B8C3_.wvu.FilterData" localSheetId="13" hidden="1">'Hotel-Forecasting'!#REF!</definedName>
    <definedName name="Z_57532196_203A_48C4_98D4_903241A0B8C3_.wvu.Rows" localSheetId="27" hidden="1">'Growth rate'!$108:$137,'Growth rate'!$160:$162</definedName>
    <definedName name="Z_57532196_203A_48C4_98D4_903241A0B8C3_.wvu.Rows" localSheetId="13" hidden="1">'Hotel-Forecasting'!#REF!,'Hotel-Forecasting'!#REF!,'Hotel-Forecasting'!#REF!</definedName>
    <definedName name="Z_5A679AC9_9698_4BDA_AF82_E1A49F963BB8_.wvu.FilterData" localSheetId="10" hidden="1">'TDF-Forecasting'!$A$1:$A$277</definedName>
    <definedName name="Z_5C9CD3A9_4AF2_49E6_B855_AE7576F7EBA6_.wvu.FilterData" localSheetId="26" hidden="1">Forecasting_EI!$Z$1:$Z$567</definedName>
    <definedName name="Z_5EBCC9C3_5460_4EF4_B7E4_AC6AACD5B459_.wvu.FilterData" localSheetId="25" hidden="1">Checks_EI!$A$1:$T$1</definedName>
    <definedName name="Z_5EBCC9C3_5460_4EF4_B7E4_AC6AACD5B459_.wvu.FilterData" localSheetId="4" hidden="1">'Tourism Medium DB-US$'!$B$1:$C$183</definedName>
    <definedName name="Z_62C8FC00_08EE_4625_BE59_32B9878BA519_.wvu.Cols" localSheetId="27" hidden="1">'Growth rate'!#REF!</definedName>
    <definedName name="Z_62C8FC00_08EE_4625_BE59_32B9878BA519_.wvu.FilterData" localSheetId="27" hidden="1">'Growth rate'!#REF!</definedName>
    <definedName name="Z_62C8FC00_08EE_4625_BE59_32B9878BA519_.wvu.FilterData" localSheetId="13" hidden="1">'Hotel-Forecasting'!#REF!</definedName>
    <definedName name="Z_62C8FC00_08EE_4625_BE59_32B9878BA519_.wvu.Rows" localSheetId="27" hidden="1">'Growth rate'!$108:$137,'Growth rate'!$160:$162</definedName>
    <definedName name="Z_62C8FC00_08EE_4625_BE59_32B9878BA519_.wvu.Rows" localSheetId="13" hidden="1">'Hotel-Forecasting'!#REF!,'Hotel-Forecasting'!#REF!,'Hotel-Forecasting'!#REF!</definedName>
    <definedName name="Z_63078F6D_D19C_47E9_B618_80B24EAAED3A_.wvu.Cols" localSheetId="26" hidden="1">Forecasting_EI!$T:$X</definedName>
    <definedName name="Z_63078F6D_D19C_47E9_B618_80B24EAAED3A_.wvu.FilterData" localSheetId="25" hidden="1">Checks_EI!$A$1:$T$1</definedName>
    <definedName name="Z_63078F6D_D19C_47E9_B618_80B24EAAED3A_.wvu.FilterData" localSheetId="14" hidden="1">'Forecasting_Car Rental'!$A$1:$A$109</definedName>
    <definedName name="Z_63078F6D_D19C_47E9_B618_80B24EAAED3A_.wvu.FilterData" localSheetId="26" hidden="1">Forecasting_EI!$Z$1:$Z$567</definedName>
    <definedName name="Z_63078F6D_D19C_47E9_B618_80B24EAAED3A_.wvu.FilterData" localSheetId="10" hidden="1">'TDF-Forecasting'!$A$1:$A$277</definedName>
    <definedName name="Z_63078F6D_D19C_47E9_B618_80B24EAAED3A_.wvu.FilterData" localSheetId="4" hidden="1">'Tourism Medium DB-US$'!$B$1:$C$183</definedName>
    <definedName name="Z_63078F6D_D19C_47E9_B618_80B24EAAED3A_.wvu.Rows" localSheetId="25" hidden="1">Checks_EI!$23:$40</definedName>
    <definedName name="Z_63078F6D_D19C_47E9_B618_80B24EAAED3A_.wvu.Rows" localSheetId="10" hidden="1">'TDF-Forecasting'!$262:$276</definedName>
    <definedName name="Z_708C208A_EFD7_4AAE_AF37_06ED41CC0F8B_.wvu.FilterData" localSheetId="26" hidden="1">Forecasting_EI!$Z$1:$Z$567</definedName>
    <definedName name="Z_7618BDCE_7062_4AE1_AD9D_4278B52A37A5_.wvu.FilterData" localSheetId="10" hidden="1">'TDF-Forecasting'!$A$1:$A$277</definedName>
    <definedName name="Z_7F8AFBC1_43BA_4F2D_9815_33310905E2CD_.wvu.FilterData" localSheetId="13" hidden="1">'Hotel-Forecasting'!$G$1:$G$181</definedName>
    <definedName name="Z_7F8AFBC1_43BA_4F2D_9815_33310905E2CD_.wvu.FilterData" localSheetId="10" hidden="1">'TDF-Forecasting'!$A$1:$A$277</definedName>
    <definedName name="Z_80961490_028A_45C7_8039_BA0E5CA5070C_.wvu.FilterData" localSheetId="10" hidden="1">'TDF-Forecasting'!$A$1:$A$277</definedName>
    <definedName name="Z_8DD84287_269F_4953_9CC2_B5E6FB7BFB1F_.wvu.FilterData" localSheetId="26" hidden="1">Forecasting_EI!$Z$1:$Z$567</definedName>
    <definedName name="Z_91278A84_5EF3_47FE_BDE0_28D2E026999E_.wvu.FilterData" localSheetId="27" hidden="1">'Growth rate'!$E$2:$E$396</definedName>
    <definedName name="Z_91278A84_5EF3_47FE_BDE0_28D2E026999E_.wvu.FilterData" localSheetId="10" hidden="1">'TDF-Forecasting'!$A$1:$A$277</definedName>
    <definedName name="Z_9144D9B3_2327_4B3A_89B1_6A595780C3C5_.wvu.Cols" localSheetId="26" hidden="1">Forecasting_EI!$T:$X</definedName>
    <definedName name="Z_9144D9B3_2327_4B3A_89B1_6A595780C3C5_.wvu.Cols" localSheetId="21" hidden="1">'Norway TI'!$T:$T,'Norway TI'!#REF!</definedName>
    <definedName name="Z_9144D9B3_2327_4B3A_89B1_6A595780C3C5_.wvu.FilterData" localSheetId="24" hidden="1">Airline_Forecasting!$H$1:$H$76</definedName>
    <definedName name="Z_9144D9B3_2327_4B3A_89B1_6A595780C3C5_.wvu.FilterData" localSheetId="25" hidden="1">Checks_EI!$A$1:$T$1</definedName>
    <definedName name="Z_9144D9B3_2327_4B3A_89B1_6A595780C3C5_.wvu.FilterData" localSheetId="14" hidden="1">'Forecasting_Car Rental'!$A$1:$A$109</definedName>
    <definedName name="Z_9144D9B3_2327_4B3A_89B1_6A595780C3C5_.wvu.FilterData" localSheetId="26" hidden="1">Forecasting_EI!$Z$1:$Z$567</definedName>
    <definedName name="Z_9144D9B3_2327_4B3A_89B1_6A595780C3C5_.wvu.FilterData" localSheetId="13" hidden="1">'Hotel-Forecasting'!$G$1:$G$181</definedName>
    <definedName name="Z_9144D9B3_2327_4B3A_89B1_6A595780C3C5_.wvu.FilterData" localSheetId="21" hidden="1">'Norway TI'!$R$1:$S$299</definedName>
    <definedName name="Z_9144D9B3_2327_4B3A_89B1_6A595780C3C5_.wvu.FilterData" localSheetId="10" hidden="1">'TDF-Forecasting'!$A$1:$A$277</definedName>
    <definedName name="Z_9144D9B3_2327_4B3A_89B1_6A595780C3C5_.wvu.FilterData" localSheetId="19" hidden="1">TI_Forecasting!$H$1:$H$63</definedName>
    <definedName name="Z_9144D9B3_2327_4B3A_89B1_6A595780C3C5_.wvu.FilterData" localSheetId="4" hidden="1">'Tourism Medium DB-US$'!$B$1:$C$183</definedName>
    <definedName name="Z_9144D9B3_2327_4B3A_89B1_6A595780C3C5_.wvu.Rows" localSheetId="25" hidden="1">Checks_EI!$23:$40</definedName>
    <definedName name="Z_9144D9B3_2327_4B3A_89B1_6A595780C3C5_.wvu.Rows" localSheetId="10" hidden="1">'TDF-Forecasting'!$262:$276</definedName>
    <definedName name="Z_9144D9B3_2327_4B3A_89B1_6A595780C3C5_.wvu.Rows" localSheetId="9" hidden="1">'Tourism Medium DB-LCU'!$47:$182</definedName>
    <definedName name="Z_92F60ACF_D6F3_4086_9F2B_BC0D304DAC43_.wvu.Cols" localSheetId="26" hidden="1">Forecasting_EI!$T:$X</definedName>
    <definedName name="Z_92F60ACF_D6F3_4086_9F2B_BC0D304DAC43_.wvu.FilterData" localSheetId="25" hidden="1">Checks_EI!$A$1:$T$1</definedName>
    <definedName name="Z_92F60ACF_D6F3_4086_9F2B_BC0D304DAC43_.wvu.FilterData" localSheetId="14" hidden="1">'Forecasting_Car Rental'!$A$1:$A$109</definedName>
    <definedName name="Z_92F60ACF_D6F3_4086_9F2B_BC0D304DAC43_.wvu.FilterData" localSheetId="26" hidden="1">Forecasting_EI!$Z$1:$Z$567</definedName>
    <definedName name="Z_92F60ACF_D6F3_4086_9F2B_BC0D304DAC43_.wvu.FilterData" localSheetId="10" hidden="1">'TDF-Forecasting'!$A$1:$A$277</definedName>
    <definedName name="Z_92F60ACF_D6F3_4086_9F2B_BC0D304DAC43_.wvu.FilterData" localSheetId="4" hidden="1">'Tourism Medium DB-US$'!$B$1:$C$183</definedName>
    <definedName name="Z_92F60ACF_D6F3_4086_9F2B_BC0D304DAC43_.wvu.Rows" localSheetId="25" hidden="1">Checks_EI!$23:$40</definedName>
    <definedName name="Z_92F60ACF_D6F3_4086_9F2B_BC0D304DAC43_.wvu.Rows" localSheetId="10" hidden="1">'TDF-Forecasting'!$262:$276</definedName>
    <definedName name="Z_9378AD87_017C_432D_8838_0DCB13F1BF74_.wvu.FilterData" localSheetId="25" hidden="1">Checks_EI!$A$1:$T$1</definedName>
    <definedName name="Z_9378AD87_017C_432D_8838_0DCB13F1BF74_.wvu.FilterData" localSheetId="26" hidden="1">Forecasting_EI!$Z$1:$Z$567</definedName>
    <definedName name="Z_9F533638_A3C0_4E6C_A4DE_3A133E049FD6_.wvu.FilterData" localSheetId="26" hidden="1">Forecasting_EI!$Z$1:$Z$567</definedName>
    <definedName name="Z_AB59BF2D_1C77_4CEC_B491_3127D924805A_.wvu.FilterData" localSheetId="10" hidden="1">'TDF-Forecasting'!$A$1:$A$277</definedName>
    <definedName name="Z_AF983ECA_536A_40E6_8A04_FF0A375E9ACC_.wvu.Cols" localSheetId="28" hidden="1">'Benchmarking ratios_EI'!$S:$S</definedName>
    <definedName name="Z_AF983ECA_536A_40E6_8A04_FF0A375E9ACC_.wvu.Cols" localSheetId="26" hidden="1">Forecasting_EI!$T:$X</definedName>
    <definedName name="Z_AF983ECA_536A_40E6_8A04_FF0A375E9ACC_.wvu.Cols" localSheetId="21" hidden="1">'Norway TI'!$T:$T,'Norway TI'!#REF!</definedName>
    <definedName name="Z_AF983ECA_536A_40E6_8A04_FF0A375E9ACC_.wvu.FilterData" localSheetId="24" hidden="1">Airline_Forecasting!$H$1:$H$76</definedName>
    <definedName name="Z_AF983ECA_536A_40E6_8A04_FF0A375E9ACC_.wvu.FilterData" localSheetId="25" hidden="1">Checks_EI!$A$1:$T$1</definedName>
    <definedName name="Z_AF983ECA_536A_40E6_8A04_FF0A375E9ACC_.wvu.FilterData" localSheetId="14" hidden="1">'Forecasting_Car Rental'!$A$1:$A$109</definedName>
    <definedName name="Z_AF983ECA_536A_40E6_8A04_FF0A375E9ACC_.wvu.FilterData" localSheetId="26" hidden="1">Forecasting_EI!$Z$1:$Z$567</definedName>
    <definedName name="Z_AF983ECA_536A_40E6_8A04_FF0A375E9ACC_.wvu.FilterData" localSheetId="13" hidden="1">'Hotel-Forecasting'!$G$1:$G$181</definedName>
    <definedName name="Z_AF983ECA_536A_40E6_8A04_FF0A375E9ACC_.wvu.FilterData" localSheetId="21" hidden="1">'Norway TI'!$R$1:$S$299</definedName>
    <definedName name="Z_AF983ECA_536A_40E6_8A04_FF0A375E9ACC_.wvu.FilterData" localSheetId="10" hidden="1">'TDF-Forecasting'!$A$1:$A$277</definedName>
    <definedName name="Z_AF983ECA_536A_40E6_8A04_FF0A375E9ACC_.wvu.FilterData" localSheetId="19" hidden="1">TI_Forecasting!$H$1:$H$63</definedName>
    <definedName name="Z_AF983ECA_536A_40E6_8A04_FF0A375E9ACC_.wvu.FilterData" localSheetId="4" hidden="1">'Tourism Medium DB-US$'!$B$1:$C$183</definedName>
    <definedName name="Z_AF983ECA_536A_40E6_8A04_FF0A375E9ACC_.wvu.Rows" localSheetId="25" hidden="1">Checks_EI!$23:$40</definedName>
    <definedName name="Z_AF983ECA_536A_40E6_8A04_FF0A375E9ACC_.wvu.Rows" localSheetId="10" hidden="1">'TDF-Forecasting'!$262:$276</definedName>
    <definedName name="Z_B26C9229_19A5_42A8_9010_9BE0DA06A38E_.wvu.FilterData" localSheetId="26" hidden="1">Forecasting_EI!$Z$1:$Z$567</definedName>
    <definedName name="Z_BD5E9955_DC4B_4EA0_9160_9EF1C693DE04_.wvu.Cols" localSheetId="28" hidden="1">'Benchmarking ratios_EI'!$S:$S</definedName>
    <definedName name="Z_BD5E9955_DC4B_4EA0_9160_9EF1C693DE04_.wvu.Cols" localSheetId="25" hidden="1">Checks_EI!$H:$H</definedName>
    <definedName name="Z_BD5E9955_DC4B_4EA0_9160_9EF1C693DE04_.wvu.Cols" localSheetId="26" hidden="1">Forecasting_EI!$T:$X</definedName>
    <definedName name="Z_BD5E9955_DC4B_4EA0_9160_9EF1C693DE04_.wvu.Cols" localSheetId="9" hidden="1">'Tourism Medium DB-LCU'!$G:$G,'Tourism Medium DB-LCU'!$T:$T,'Tourism Medium DB-LCU'!$AD:$AF</definedName>
    <definedName name="Z_BD5E9955_DC4B_4EA0_9160_9EF1C693DE04_.wvu.FilterData" localSheetId="24" hidden="1">Airline_Forecasting!$H$1:$H$76</definedName>
    <definedName name="Z_BD5E9955_DC4B_4EA0_9160_9EF1C693DE04_.wvu.FilterData" localSheetId="25" hidden="1">Checks_EI!$A$1:$T$1</definedName>
    <definedName name="Z_BD5E9955_DC4B_4EA0_9160_9EF1C693DE04_.wvu.FilterData" localSheetId="14" hidden="1">'Forecasting_Car Rental'!$A$1:$A$109</definedName>
    <definedName name="Z_BD5E9955_DC4B_4EA0_9160_9EF1C693DE04_.wvu.FilterData" localSheetId="26" hidden="1">Forecasting_EI!$Z$1:$Z$567</definedName>
    <definedName name="Z_BD5E9955_DC4B_4EA0_9160_9EF1C693DE04_.wvu.FilterData" localSheetId="13" hidden="1">'Hotel-Forecasting'!$G$1:$G$181</definedName>
    <definedName name="Z_BD5E9955_DC4B_4EA0_9160_9EF1C693DE04_.wvu.FilterData" localSheetId="21" hidden="1">'Norway TI'!$R$1:$S$299</definedName>
    <definedName name="Z_BD5E9955_DC4B_4EA0_9160_9EF1C693DE04_.wvu.FilterData" localSheetId="10" hidden="1">'TDF-Forecasting'!$A$1:$A$277</definedName>
    <definedName name="Z_BD5E9955_DC4B_4EA0_9160_9EF1C693DE04_.wvu.FilterData" localSheetId="19" hidden="1">TI_Forecasting!$H$1:$H$63</definedName>
    <definedName name="Z_BD5E9955_DC4B_4EA0_9160_9EF1C693DE04_.wvu.FilterData" localSheetId="4" hidden="1">'Tourism Medium DB-US$'!$B$1:$C$183</definedName>
    <definedName name="Z_BD5E9955_DC4B_4EA0_9160_9EF1C693DE04_.wvu.Rows" localSheetId="25" hidden="1">Checks_EI!$23:$40</definedName>
    <definedName name="Z_BD5E9955_DC4B_4EA0_9160_9EF1C693DE04_.wvu.Rows" localSheetId="26" hidden="1">Forecasting_EI!$64:$297</definedName>
    <definedName name="Z_BD5E9955_DC4B_4EA0_9160_9EF1C693DE04_.wvu.Rows" localSheetId="10" hidden="1">'TDF-Forecasting'!$80:$87,'TDF-Forecasting'!$90:$97,'TDF-Forecasting'!$100:$107,'TDF-Forecasting'!$110:$117,'TDF-Forecasting'!$120:$127,'TDF-Forecasting'!$131:$136,'TDF-Forecasting'!$235:$248,'TDF-Forecasting'!$262:$276</definedName>
    <definedName name="Z_BF818760_6BB1_421F_9565_7D5810D03B46_.wvu.Cols" localSheetId="27" hidden="1">'Growth rate'!#REF!</definedName>
    <definedName name="Z_BF818760_6BB1_421F_9565_7D5810D03B46_.wvu.FilterData" localSheetId="27" hidden="1">'Growth rate'!#REF!</definedName>
    <definedName name="Z_BF818760_6BB1_421F_9565_7D5810D03B46_.wvu.FilterData" localSheetId="13" hidden="1">'Hotel-Forecasting'!#REF!</definedName>
    <definedName name="Z_BF818760_6BB1_421F_9565_7D5810D03B46_.wvu.Rows" localSheetId="27" hidden="1">'Growth rate'!$108:$137,'Growth rate'!$160:$162</definedName>
    <definedName name="Z_BF818760_6BB1_421F_9565_7D5810D03B46_.wvu.Rows" localSheetId="13" hidden="1">'Hotel-Forecasting'!#REF!,'Hotel-Forecasting'!#REF!,'Hotel-Forecasting'!#REF!</definedName>
    <definedName name="Z_C65B46C6_846A_4FF4_8F50_0BA36F7F8852_.wvu.FilterData" localSheetId="14" hidden="1">'Forecasting_Car Rental'!$A$1:$A$109</definedName>
    <definedName name="Z_F329B889_2886_421E_B568_E0C1572FED75_.wvu.FilterData" localSheetId="10" hidden="1">'TDF-Forecasting'!$A$1:$A$277</definedName>
    <definedName name="Z_F5762B8E_9D0C_4673_9FEE_CEEFB82C9E6B_.wvu.FilterData" localSheetId="10" hidden="1">'TDF-Forecasting'!$A$1:$A$277</definedName>
  </definedNames>
  <calcPr calcId="125725"/>
  <customWorkbookViews>
    <customWorkbookView name="biswass - Personal View" guid="{BD5E9955-DC4B-4EA0-9160-9EF1C693DE04}" mergeInterval="0" personalView="1" maximized="1" xWindow="1" yWindow="1" windowWidth="1362" windowHeight="527" tabRatio="887" activeSheetId="9"/>
    <customWorkbookView name="bsatish - Personal View" guid="{1ACDCC85-59E3-4410-927D-E7E5C71B61F5}" mergeInterval="0" personalView="1" maximized="1" xWindow="1" yWindow="1" windowWidth="1366" windowHeight="501" tabRatio="887" activeSheetId="8"/>
    <customWorkbookView name="Arunasree - Personal View" guid="{28AA611C-F120-4D09-9666-0AAAA1997A5D}" mergeInterval="0" personalView="1" maximized="1" xWindow="1" yWindow="1" windowWidth="1152" windowHeight="601" tabRatio="887" activeSheetId="9"/>
    <customWorkbookView name="asrivastava - Personal View" guid="{63078F6D-D19C-47E9-B618-80B24EAAED3A}" mergeInterval="0" personalView="1" maximized="1" xWindow="1" yWindow="1" windowWidth="1024" windowHeight="501" tabRatio="860" activeSheetId="11"/>
    <customWorkbookView name="bejjanki - Personal View" guid="{92F60ACF-D6F3-4086-9F2B-BC0D304DAC43}" mergeInterval="0" personalView="1" maximized="1" xWindow="1" yWindow="1" windowWidth="1280" windowHeight="501" tabRatio="899" activeSheetId="9"/>
    <customWorkbookView name="sudheert - Personal View" guid="{9144D9B3-2327-4B3A-89B1-6A595780C3C5}" mergeInterval="0" personalView="1" maximized="1" xWindow="1" yWindow="1" windowWidth="1024" windowHeight="475" tabRatio="609" activeSheetId="9"/>
    <customWorkbookView name="mshajie - Personal View" guid="{513032B5-C585-49C2-98E7-9FDE6F7A4BA7}" mergeInterval="0" personalView="1" maximized="1" xWindow="1" yWindow="1" windowWidth="1366" windowHeight="505" tabRatio="887" activeSheetId="4"/>
    <customWorkbookView name="aghosh - Personal View" guid="{AF983ECA-536A-40E6-8A04-FF0A375E9ACC}" mergeInterval="0" personalView="1" maximized="1" xWindow="1" yWindow="1" windowWidth="1024" windowHeight="505" tabRatio="887" activeSheetId="9"/>
  </customWorkbookViews>
</workbook>
</file>

<file path=xl/calcChain.xml><?xml version="1.0" encoding="utf-8"?>
<calcChain xmlns="http://schemas.openxmlformats.org/spreadsheetml/2006/main">
  <c r="L41" i="9"/>
  <c r="F218" i="11"/>
  <c r="L19" i="9"/>
  <c r="L18"/>
  <c r="K18"/>
  <c r="J18"/>
  <c r="I18"/>
  <c r="H18"/>
  <c r="F224" i="11"/>
  <c r="K19" i="9"/>
  <c r="J19"/>
  <c r="I19"/>
  <c r="E224" i="11"/>
  <c r="D224"/>
  <c r="C224"/>
  <c r="B224"/>
  <c r="H19" i="9" s="1"/>
  <c r="K41"/>
  <c r="J41"/>
  <c r="I41"/>
  <c r="H41"/>
  <c r="E222" i="11"/>
  <c r="D222"/>
  <c r="C222"/>
  <c r="B222"/>
  <c r="E218"/>
  <c r="D218"/>
  <c r="C218"/>
  <c r="B218"/>
  <c r="E216"/>
  <c r="D216"/>
  <c r="C216"/>
  <c r="B216"/>
  <c r="L39" i="9"/>
  <c r="K39"/>
  <c r="L36"/>
  <c r="K36"/>
  <c r="J36"/>
  <c r="I36"/>
  <c r="H36"/>
  <c r="L34"/>
  <c r="K34"/>
  <c r="T86" i="11"/>
  <c r="T82"/>
  <c r="S73"/>
  <c r="T73"/>
  <c r="AD77"/>
  <c r="AC77"/>
  <c r="AB77"/>
  <c r="AA77"/>
  <c r="Z77"/>
  <c r="AD76"/>
  <c r="AC76"/>
  <c r="AB76"/>
  <c r="AA76"/>
  <c r="Z76"/>
  <c r="S71"/>
  <c r="T71"/>
  <c r="L38" i="9"/>
  <c r="K38"/>
  <c r="J38"/>
  <c r="I38"/>
  <c r="H38"/>
  <c r="T75" i="11"/>
  <c r="S75"/>
  <c r="T74"/>
  <c r="S74"/>
  <c r="R74"/>
  <c r="Q74"/>
  <c r="P74"/>
  <c r="R73"/>
  <c r="Q73"/>
  <c r="P73"/>
  <c r="L13" i="9"/>
  <c r="L33" s="1"/>
  <c r="K13"/>
  <c r="S70" i="11" s="1"/>
  <c r="S79" s="1"/>
  <c r="J13" i="9"/>
  <c r="J33" s="1"/>
  <c r="I13"/>
  <c r="Q70" i="11" s="1"/>
  <c r="H13" i="9"/>
  <c r="H33" s="1"/>
  <c r="L12"/>
  <c r="K12"/>
  <c r="J12"/>
  <c r="I12"/>
  <c r="H12"/>
  <c r="P70" i="11" l="1"/>
  <c r="Q81" s="1"/>
  <c r="R70"/>
  <c r="R81" s="1"/>
  <c r="I33" i="9"/>
  <c r="K33"/>
  <c r="T70" i="11"/>
  <c r="T81" s="1"/>
  <c r="S76"/>
  <c r="K37" i="9" s="1"/>
  <c r="S72" i="11"/>
  <c r="K35" i="9" s="1"/>
  <c r="T79" i="11"/>
  <c r="S81"/>
  <c r="R71"/>
  <c r="R75"/>
  <c r="R79"/>
  <c r="R76" s="1"/>
  <c r="Q71"/>
  <c r="I34" i="9" s="1"/>
  <c r="G54" i="11"/>
  <c r="F54"/>
  <c r="E54"/>
  <c r="D54"/>
  <c r="C54"/>
  <c r="G53"/>
  <c r="F53"/>
  <c r="E53"/>
  <c r="D53"/>
  <c r="C53"/>
  <c r="L160" i="9"/>
  <c r="K160"/>
  <c r="J160"/>
  <c r="I160"/>
  <c r="H160"/>
  <c r="F368" i="8"/>
  <c r="E368"/>
  <c r="D368"/>
  <c r="C368"/>
  <c r="B368"/>
  <c r="L158" i="9"/>
  <c r="K158"/>
  <c r="J158"/>
  <c r="I158"/>
  <c r="H158"/>
  <c r="J331" i="8"/>
  <c r="I331"/>
  <c r="O331" s="1"/>
  <c r="H331"/>
  <c r="N331" s="1"/>
  <c r="M331"/>
  <c r="A331"/>
  <c r="A330"/>
  <c r="A329"/>
  <c r="I319"/>
  <c r="H319"/>
  <c r="J312"/>
  <c r="I312"/>
  <c r="H312"/>
  <c r="G312"/>
  <c r="F312"/>
  <c r="J308"/>
  <c r="J310" s="1"/>
  <c r="I308"/>
  <c r="I310" s="1"/>
  <c r="H308"/>
  <c r="H310" s="1"/>
  <c r="G308"/>
  <c r="G310" s="1"/>
  <c r="F308"/>
  <c r="F310" s="1"/>
  <c r="J307"/>
  <c r="I307"/>
  <c r="H307"/>
  <c r="G307"/>
  <c r="F307"/>
  <c r="S82" i="11" l="1"/>
  <c r="J34" i="9"/>
  <c r="T76" i="11"/>
  <c r="T72"/>
  <c r="L35" i="9" s="1"/>
  <c r="P71" i="11"/>
  <c r="H34" i="9" s="1"/>
  <c r="S87" i="11"/>
  <c r="J37" i="9"/>
  <c r="S86" i="11"/>
  <c r="J39" i="9"/>
  <c r="Q75" i="11"/>
  <c r="R72"/>
  <c r="J35" i="9" s="1"/>
  <c r="R82" i="11"/>
  <c r="P331" i="8"/>
  <c r="G314"/>
  <c r="I314"/>
  <c r="I321"/>
  <c r="I322" s="1"/>
  <c r="F314"/>
  <c r="H314"/>
  <c r="J314"/>
  <c r="H321"/>
  <c r="H322" s="1"/>
  <c r="I39" i="9" l="1"/>
  <c r="P75" i="11"/>
  <c r="L37" i="9"/>
  <c r="T87" i="11"/>
  <c r="Q79"/>
  <c r="R86"/>
  <c r="Q72"/>
  <c r="I35" i="9" s="1"/>
  <c r="Q76" i="11"/>
  <c r="I37" i="9" s="1"/>
  <c r="Q82" i="11"/>
  <c r="L151" i="9"/>
  <c r="G258" i="8" s="1"/>
  <c r="L154" i="9" s="1"/>
  <c r="K151"/>
  <c r="G253" i="8" s="1"/>
  <c r="K154" i="9" s="1"/>
  <c r="J151"/>
  <c r="G248" i="8" s="1"/>
  <c r="J154" i="9" s="1"/>
  <c r="I151"/>
  <c r="G243" i="8" s="1"/>
  <c r="I154" i="9" s="1"/>
  <c r="H151"/>
  <c r="I216" i="8"/>
  <c r="I215"/>
  <c r="I214"/>
  <c r="I213"/>
  <c r="I212"/>
  <c r="I211"/>
  <c r="I210"/>
  <c r="I209"/>
  <c r="I208"/>
  <c r="I207"/>
  <c r="I206"/>
  <c r="I205"/>
  <c r="I204"/>
  <c r="I203"/>
  <c r="I202"/>
  <c r="I201"/>
  <c r="I200"/>
  <c r="I199"/>
  <c r="I198"/>
  <c r="I197"/>
  <c r="I196"/>
  <c r="I195"/>
  <c r="I194"/>
  <c r="I193"/>
  <c r="I192"/>
  <c r="I191"/>
  <c r="I190"/>
  <c r="I189"/>
  <c r="I188"/>
  <c r="I187"/>
  <c r="I186"/>
  <c r="I185"/>
  <c r="I184"/>
  <c r="I183"/>
  <c r="I182"/>
  <c r="I181"/>
  <c r="I180"/>
  <c r="I179"/>
  <c r="I178"/>
  <c r="I177"/>
  <c r="I176"/>
  <c r="I175"/>
  <c r="I174"/>
  <c r="I173"/>
  <c r="I172"/>
  <c r="I171"/>
  <c r="I170"/>
  <c r="I169"/>
  <c r="I168"/>
  <c r="I167"/>
  <c r="I166"/>
  <c r="I165"/>
  <c r="I164"/>
  <c r="I163"/>
  <c r="I162"/>
  <c r="I161"/>
  <c r="I160"/>
  <c r="I159"/>
  <c r="I158"/>
  <c r="I157"/>
  <c r="I156"/>
  <c r="I155"/>
  <c r="I154"/>
  <c r="I153"/>
  <c r="I152"/>
  <c r="I151"/>
  <c r="I150"/>
  <c r="I149"/>
  <c r="I148"/>
  <c r="I147"/>
  <c r="I146"/>
  <c r="I145"/>
  <c r="I144"/>
  <c r="I143"/>
  <c r="I142"/>
  <c r="I141"/>
  <c r="I140"/>
  <c r="I139"/>
  <c r="I138"/>
  <c r="I137"/>
  <c r="I136"/>
  <c r="I135"/>
  <c r="I134"/>
  <c r="I133"/>
  <c r="I132"/>
  <c r="I131"/>
  <c r="I130"/>
  <c r="I129"/>
  <c r="I128"/>
  <c r="I127"/>
  <c r="I126"/>
  <c r="I125"/>
  <c r="I124"/>
  <c r="I123"/>
  <c r="I122"/>
  <c r="I121"/>
  <c r="I120"/>
  <c r="I119"/>
  <c r="I118"/>
  <c r="I117"/>
  <c r="I116"/>
  <c r="I115"/>
  <c r="I114"/>
  <c r="I113"/>
  <c r="I112"/>
  <c r="I111"/>
  <c r="I110"/>
  <c r="I109"/>
  <c r="I108"/>
  <c r="I107"/>
  <c r="I106"/>
  <c r="I105"/>
  <c r="I104"/>
  <c r="I103"/>
  <c r="I102"/>
  <c r="I101"/>
  <c r="I100"/>
  <c r="I99"/>
  <c r="I98"/>
  <c r="I97"/>
  <c r="I96"/>
  <c r="I95"/>
  <c r="I94"/>
  <c r="I93"/>
  <c r="I92"/>
  <c r="I91"/>
  <c r="I90"/>
  <c r="I89"/>
  <c r="I88"/>
  <c r="I87"/>
  <c r="I86"/>
  <c r="I85"/>
  <c r="I84"/>
  <c r="I83"/>
  <c r="I82"/>
  <c r="I81"/>
  <c r="I80"/>
  <c r="I79"/>
  <c r="I78"/>
  <c r="I77"/>
  <c r="I76"/>
  <c r="I75"/>
  <c r="I74"/>
  <c r="L150" i="9"/>
  <c r="I270" i="8" s="1"/>
  <c r="K150" i="9"/>
  <c r="H270" i="8" s="1"/>
  <c r="J150" i="9"/>
  <c r="G270" i="8" s="1"/>
  <c r="I150" i="9"/>
  <c r="F270" i="8" s="1"/>
  <c r="H150" i="9"/>
  <c r="E270" i="8" s="1"/>
  <c r="O18"/>
  <c r="N18"/>
  <c r="M18"/>
  <c r="L18"/>
  <c r="K18"/>
  <c r="L149" i="9"/>
  <c r="K149"/>
  <c r="J149"/>
  <c r="I149"/>
  <c r="H149"/>
  <c r="O12" i="8"/>
  <c r="N12"/>
  <c r="M12"/>
  <c r="L12"/>
  <c r="K12"/>
  <c r="H39" i="9" l="1"/>
  <c r="P79" i="11"/>
  <c r="Q86"/>
  <c r="R87"/>
  <c r="I157" i="9"/>
  <c r="G324" i="8" s="1"/>
  <c r="F271"/>
  <c r="I271"/>
  <c r="L157" i="9"/>
  <c r="J324" i="8" s="1"/>
  <c r="J329" s="1"/>
  <c r="H271"/>
  <c r="I272" s="1"/>
  <c r="K157" i="9"/>
  <c r="I324" i="8" s="1"/>
  <c r="I329" s="1"/>
  <c r="G271"/>
  <c r="H272" s="1"/>
  <c r="J157" i="9"/>
  <c r="H324" i="8" s="1"/>
  <c r="H329" s="1"/>
  <c r="E271"/>
  <c r="H154" i="9" s="1"/>
  <c r="H157" s="1"/>
  <c r="F324" i="8" s="1"/>
  <c r="F329" s="1"/>
  <c r="F330" s="1"/>
  <c r="M11" i="34"/>
  <c r="M74" i="32"/>
  <c r="L74"/>
  <c r="P76" i="11" l="1"/>
  <c r="P72"/>
  <c r="H35" i="9" s="1"/>
  <c r="G329" i="8"/>
  <c r="H330"/>
  <c r="N329"/>
  <c r="O329"/>
  <c r="I330"/>
  <c r="O330" s="1"/>
  <c r="P329"/>
  <c r="J330"/>
  <c r="P330" s="1"/>
  <c r="L324"/>
  <c r="H325"/>
  <c r="H326" s="1"/>
  <c r="M324"/>
  <c r="N324"/>
  <c r="I325"/>
  <c r="O324"/>
  <c r="G272"/>
  <c r="F272"/>
  <c r="M80" i="32"/>
  <c r="D1" i="10"/>
  <c r="C1"/>
  <c r="B1"/>
  <c r="A1"/>
  <c r="A201"/>
  <c r="H37" i="9" l="1"/>
  <c r="Q87" i="11"/>
  <c r="M329" i="8"/>
  <c r="G330"/>
  <c r="M330" s="1"/>
  <c r="N325"/>
  <c r="I326"/>
  <c r="N326" s="1"/>
  <c r="Q76" i="10"/>
  <c r="P76"/>
  <c r="O76"/>
  <c r="N76"/>
  <c r="M76"/>
  <c r="C54" i="34"/>
  <c r="B54" s="1"/>
  <c r="L11"/>
  <c r="K11"/>
  <c r="J11"/>
  <c r="I11"/>
  <c r="H11"/>
  <c r="G326" i="8" l="1"/>
  <c r="F326" s="1"/>
  <c r="N330"/>
  <c r="J326"/>
  <c r="R11" i="34"/>
  <c r="P11"/>
  <c r="I27"/>
  <c r="N11"/>
  <c r="O11"/>
  <c r="Q11"/>
  <c r="F325" i="8" l="1"/>
  <c r="G325"/>
  <c r="M326"/>
  <c r="O326"/>
  <c r="J325"/>
  <c r="O325" s="1"/>
  <c r="R36" i="34"/>
  <c r="Q36"/>
  <c r="P36"/>
  <c r="O36"/>
  <c r="R35"/>
  <c r="Q35"/>
  <c r="P35"/>
  <c r="O35"/>
  <c r="R34"/>
  <c r="Q34"/>
  <c r="P34"/>
  <c r="O34"/>
  <c r="R33"/>
  <c r="Q33"/>
  <c r="P33"/>
  <c r="O33"/>
  <c r="L32"/>
  <c r="K32"/>
  <c r="J32"/>
  <c r="I32"/>
  <c r="H32"/>
  <c r="L325" i="8" l="1"/>
  <c r="M325"/>
  <c r="L326"/>
  <c r="O32" i="34"/>
  <c r="Q32"/>
  <c r="P32"/>
  <c r="R32"/>
  <c r="P52" i="21" l="1"/>
  <c r="P49"/>
  <c r="P45"/>
  <c r="P46" s="1"/>
  <c r="P37"/>
  <c r="P38" s="1"/>
  <c r="P30"/>
  <c r="P29"/>
  <c r="P22"/>
  <c r="P21"/>
  <c r="P20"/>
  <c r="P19"/>
  <c r="P18"/>
  <c r="P17"/>
  <c r="P16"/>
  <c r="P15"/>
  <c r="P14"/>
  <c r="O49"/>
  <c r="N49"/>
  <c r="M49"/>
  <c r="L49"/>
  <c r="K49"/>
  <c r="J49"/>
  <c r="I49"/>
  <c r="H49"/>
  <c r="G49"/>
  <c r="K48" l="1"/>
  <c r="J48"/>
  <c r="I48"/>
  <c r="H48"/>
  <c r="G48"/>
  <c r="R15" i="20"/>
  <c r="R16" s="1"/>
  <c r="Q15"/>
  <c r="P15"/>
  <c r="P16" s="1"/>
  <c r="O15"/>
  <c r="N15"/>
  <c r="N16" s="1"/>
  <c r="M15"/>
  <c r="L15"/>
  <c r="L16" s="1"/>
  <c r="K15"/>
  <c r="J15"/>
  <c r="J16" s="1"/>
  <c r="I15"/>
  <c r="H15"/>
  <c r="N13"/>
  <c r="M13"/>
  <c r="L13"/>
  <c r="K13"/>
  <c r="K14" s="1"/>
  <c r="J13"/>
  <c r="N9"/>
  <c r="N10" s="1"/>
  <c r="M9"/>
  <c r="L9"/>
  <c r="L10" s="1"/>
  <c r="K9"/>
  <c r="J9"/>
  <c r="K75" i="4"/>
  <c r="J75"/>
  <c r="I75"/>
  <c r="H75"/>
  <c r="G75"/>
  <c r="F75"/>
  <c r="K74"/>
  <c r="J74"/>
  <c r="I74"/>
  <c r="H74"/>
  <c r="G74"/>
  <c r="F74"/>
  <c r="K10" i="20" l="1"/>
  <c r="M10"/>
  <c r="I16"/>
  <c r="K16"/>
  <c r="M16"/>
  <c r="O16"/>
  <c r="Q16"/>
  <c r="L14"/>
  <c r="N14"/>
  <c r="M14"/>
  <c r="B8" i="23" l="1"/>
  <c r="AF18" i="22" l="1"/>
  <c r="AE18"/>
  <c r="AD18"/>
  <c r="AC18"/>
  <c r="AB18"/>
  <c r="AA18"/>
  <c r="Z18"/>
  <c r="Y18"/>
  <c r="X18"/>
  <c r="AF17"/>
  <c r="AE17"/>
  <c r="AD17"/>
  <c r="AC17"/>
  <c r="AB17"/>
  <c r="AA17"/>
  <c r="Z17"/>
  <c r="Y17"/>
  <c r="X17"/>
  <c r="AF16"/>
  <c r="AE16"/>
  <c r="AD16"/>
  <c r="AC16"/>
  <c r="AB16"/>
  <c r="AA16"/>
  <c r="Z16"/>
  <c r="Y16"/>
  <c r="X16"/>
  <c r="W18"/>
  <c r="W16"/>
  <c r="W17"/>
  <c r="L47" i="4"/>
  <c r="K47"/>
  <c r="J47"/>
  <c r="I47"/>
  <c r="H47"/>
  <c r="M48"/>
  <c r="O13" i="20" s="1"/>
  <c r="O14" s="1"/>
  <c r="G48" i="4"/>
  <c r="I13" i="20" s="1"/>
  <c r="J14" l="1"/>
  <c r="F48" i="4"/>
  <c r="N48"/>
  <c r="G47"/>
  <c r="M47"/>
  <c r="H13" i="20" l="1"/>
  <c r="I14" s="1"/>
  <c r="F47" i="4"/>
  <c r="K44" s="1"/>
  <c r="L44" s="1"/>
  <c r="M48" i="21" s="1"/>
  <c r="O48" i="4"/>
  <c r="P13" i="20"/>
  <c r="P14" s="1"/>
  <c r="N47" i="4"/>
  <c r="AF14" i="22"/>
  <c r="AE14"/>
  <c r="AD14"/>
  <c r="AC14"/>
  <c r="AB14"/>
  <c r="AA14"/>
  <c r="Z14"/>
  <c r="Y14"/>
  <c r="X14"/>
  <c r="W14"/>
  <c r="V14"/>
  <c r="L48" i="21" l="1"/>
  <c r="M44" i="4"/>
  <c r="Q13" i="20"/>
  <c r="Q14" s="1"/>
  <c r="O47" i="4"/>
  <c r="P48"/>
  <c r="I28"/>
  <c r="H28"/>
  <c r="G28"/>
  <c r="I26"/>
  <c r="H26"/>
  <c r="G26"/>
  <c r="I24"/>
  <c r="H24"/>
  <c r="G24"/>
  <c r="I22"/>
  <c r="H22"/>
  <c r="G22"/>
  <c r="I20"/>
  <c r="H20"/>
  <c r="G20"/>
  <c r="H164" i="9" s="1"/>
  <c r="H23" i="4" l="1"/>
  <c r="I25"/>
  <c r="H174" i="9"/>
  <c r="H165"/>
  <c r="H169"/>
  <c r="H166"/>
  <c r="H167" s="1"/>
  <c r="H170"/>
  <c r="H21" i="4"/>
  <c r="I164" i="9"/>
  <c r="I174" s="1"/>
  <c r="R13" i="20"/>
  <c r="R14" s="1"/>
  <c r="P47" i="4"/>
  <c r="H25"/>
  <c r="H29"/>
  <c r="I21"/>
  <c r="J164" i="9"/>
  <c r="J174" s="1"/>
  <c r="N44" i="4"/>
  <c r="O48" i="21" s="1"/>
  <c r="N48"/>
  <c r="H27" i="4"/>
  <c r="I29"/>
  <c r="H168" i="9"/>
  <c r="I23" i="4"/>
  <c r="I27"/>
  <c r="K16"/>
  <c r="J16"/>
  <c r="I16"/>
  <c r="H16"/>
  <c r="K14"/>
  <c r="J14"/>
  <c r="I14"/>
  <c r="H14"/>
  <c r="K12"/>
  <c r="J12"/>
  <c r="I12"/>
  <c r="H12"/>
  <c r="K10"/>
  <c r="J10"/>
  <c r="I10"/>
  <c r="H10"/>
  <c r="K8"/>
  <c r="J8"/>
  <c r="I8"/>
  <c r="H8"/>
  <c r="G8"/>
  <c r="F8"/>
  <c r="H173" i="9" l="1"/>
  <c r="I57" i="4"/>
  <c r="J177" i="9"/>
  <c r="J180" s="1"/>
  <c r="H57" i="4"/>
  <c r="I177" i="9"/>
  <c r="I180" s="1"/>
  <c r="G57" i="4"/>
  <c r="H177" i="9"/>
  <c r="H180" s="1"/>
  <c r="O44" i="4"/>
  <c r="F31" i="13"/>
  <c r="E31"/>
  <c r="I7" i="25"/>
  <c r="Q7"/>
  <c r="P7"/>
  <c r="O7"/>
  <c r="N7"/>
  <c r="M7"/>
  <c r="L7"/>
  <c r="K7"/>
  <c r="J7"/>
  <c r="H7"/>
  <c r="M9"/>
  <c r="L9"/>
  <c r="K9"/>
  <c r="J9"/>
  <c r="I9"/>
  <c r="Q112"/>
  <c r="P112"/>
  <c r="O112"/>
  <c r="N112"/>
  <c r="M112"/>
  <c r="L112"/>
  <c r="K112"/>
  <c r="J112"/>
  <c r="I112"/>
  <c r="Q110"/>
  <c r="P110"/>
  <c r="O110"/>
  <c r="N110"/>
  <c r="M110"/>
  <c r="L110"/>
  <c r="K110"/>
  <c r="J110"/>
  <c r="I110"/>
  <c r="Q96"/>
  <c r="P96"/>
  <c r="O96"/>
  <c r="N96"/>
  <c r="M96"/>
  <c r="L96"/>
  <c r="K96"/>
  <c r="J96"/>
  <c r="I96"/>
  <c r="Q94"/>
  <c r="P94"/>
  <c r="O94"/>
  <c r="N94"/>
  <c r="M94"/>
  <c r="L94"/>
  <c r="K94"/>
  <c r="J94"/>
  <c r="I94"/>
  <c r="Q92"/>
  <c r="P92"/>
  <c r="O92"/>
  <c r="N92"/>
  <c r="M92"/>
  <c r="L92"/>
  <c r="K92"/>
  <c r="J92"/>
  <c r="I92"/>
  <c r="M90"/>
  <c r="L90"/>
  <c r="K90"/>
  <c r="J90"/>
  <c r="I90"/>
  <c r="Q88"/>
  <c r="P88"/>
  <c r="O88"/>
  <c r="N88"/>
  <c r="M88"/>
  <c r="L88"/>
  <c r="K88"/>
  <c r="J88"/>
  <c r="I88"/>
  <c r="M86"/>
  <c r="L86"/>
  <c r="K86"/>
  <c r="J86"/>
  <c r="Q84"/>
  <c r="P84"/>
  <c r="O84"/>
  <c r="N84"/>
  <c r="M84"/>
  <c r="L84"/>
  <c r="K84"/>
  <c r="J84"/>
  <c r="I84"/>
  <c r="Q82"/>
  <c r="P82"/>
  <c r="O82"/>
  <c r="N82"/>
  <c r="M82"/>
  <c r="L82"/>
  <c r="K82"/>
  <c r="J82"/>
  <c r="I82"/>
  <c r="L80"/>
  <c r="K80"/>
  <c r="J80"/>
  <c r="Q80"/>
  <c r="P80"/>
  <c r="O80"/>
  <c r="N80"/>
  <c r="M80"/>
  <c r="L116"/>
  <c r="L118"/>
  <c r="L120"/>
  <c r="M120" s="1"/>
  <c r="N89"/>
  <c r="F16" i="23"/>
  <c r="E16"/>
  <c r="D16"/>
  <c r="C16"/>
  <c r="B16"/>
  <c r="H18"/>
  <c r="G18"/>
  <c r="F18"/>
  <c r="E18"/>
  <c r="D18"/>
  <c r="P44" i="4" l="1"/>
  <c r="P48" i="21"/>
  <c r="G59" i="4"/>
  <c r="H175" i="9" s="1"/>
  <c r="H59" i="4"/>
  <c r="H58"/>
  <c r="I58"/>
  <c r="I59"/>
  <c r="N120" i="25"/>
  <c r="N90"/>
  <c r="O89"/>
  <c r="M118"/>
  <c r="M116"/>
  <c r="G16" i="23"/>
  <c r="L74" i="9" s="1"/>
  <c r="C18" i="23"/>
  <c r="D19" s="1"/>
  <c r="B18"/>
  <c r="H19"/>
  <c r="G19"/>
  <c r="F19"/>
  <c r="E19"/>
  <c r="G22"/>
  <c r="L56" i="9" s="1"/>
  <c r="H85" i="25"/>
  <c r="L131" i="9"/>
  <c r="I129"/>
  <c r="H129"/>
  <c r="E12" i="13"/>
  <c r="F12"/>
  <c r="L127" i="9" s="1"/>
  <c r="E43" i="13"/>
  <c r="E37" s="1"/>
  <c r="D43"/>
  <c r="D37" s="1"/>
  <c r="C43"/>
  <c r="C37" s="1"/>
  <c r="I132" i="9" s="1"/>
  <c r="B43" i="13"/>
  <c r="B37" s="1"/>
  <c r="H132" i="9" s="1"/>
  <c r="F41" i="13"/>
  <c r="F42"/>
  <c r="G21" i="23"/>
  <c r="F21"/>
  <c r="E21"/>
  <c r="D21"/>
  <c r="C21"/>
  <c r="G13"/>
  <c r="F13"/>
  <c r="E13"/>
  <c r="D13"/>
  <c r="C13"/>
  <c r="F43" i="13" l="1"/>
  <c r="G61" i="4"/>
  <c r="D12" i="13"/>
  <c r="J175" i="9"/>
  <c r="I60" i="4"/>
  <c r="I175" i="9"/>
  <c r="H60" i="4"/>
  <c r="I61"/>
  <c r="H61"/>
  <c r="O90" i="25"/>
  <c r="O120"/>
  <c r="H9"/>
  <c r="I10" s="1"/>
  <c r="I86"/>
  <c r="N116"/>
  <c r="N118"/>
  <c r="P89"/>
  <c r="O118"/>
  <c r="G23" i="23"/>
  <c r="G42"/>
  <c r="C19"/>
  <c r="J132" i="9"/>
  <c r="D38" i="13"/>
  <c r="F37"/>
  <c r="F129" i="28"/>
  <c r="E38" i="13"/>
  <c r="K132" i="9"/>
  <c r="J127"/>
  <c r="C12" i="13"/>
  <c r="J12"/>
  <c r="I12"/>
  <c r="K127" i="9"/>
  <c r="H124" i="28" s="1"/>
  <c r="F126"/>
  <c r="K12" i="13"/>
  <c r="O533" i="27"/>
  <c r="O531"/>
  <c r="P531" s="1"/>
  <c r="O540"/>
  <c r="O539"/>
  <c r="O538"/>
  <c r="O537"/>
  <c r="O536"/>
  <c r="P536" s="1"/>
  <c r="O535"/>
  <c r="O534"/>
  <c r="O532"/>
  <c r="I540"/>
  <c r="H540" s="1"/>
  <c r="I539"/>
  <c r="H539" s="1"/>
  <c r="I538"/>
  <c r="H538" s="1"/>
  <c r="I537"/>
  <c r="H537" s="1"/>
  <c r="I536"/>
  <c r="H536" s="1"/>
  <c r="I535"/>
  <c r="H535" s="1"/>
  <c r="I534"/>
  <c r="H534" s="1"/>
  <c r="I533"/>
  <c r="H533" s="1"/>
  <c r="I532"/>
  <c r="H532" s="1"/>
  <c r="I531"/>
  <c r="H531" s="1"/>
  <c r="H482"/>
  <c r="I493"/>
  <c r="I495"/>
  <c r="R495"/>
  <c r="Q495"/>
  <c r="P495"/>
  <c r="O495"/>
  <c r="N495"/>
  <c r="M495"/>
  <c r="L495"/>
  <c r="K495"/>
  <c r="J495"/>
  <c r="I509"/>
  <c r="I513"/>
  <c r="I511"/>
  <c r="I507"/>
  <c r="I485"/>
  <c r="R479"/>
  <c r="Q479"/>
  <c r="P479"/>
  <c r="O479"/>
  <c r="N479"/>
  <c r="M479"/>
  <c r="L479"/>
  <c r="K479"/>
  <c r="J479"/>
  <c r="I479"/>
  <c r="R477"/>
  <c r="Q477"/>
  <c r="P477"/>
  <c r="O477"/>
  <c r="N477"/>
  <c r="M477"/>
  <c r="L477"/>
  <c r="K477"/>
  <c r="J477"/>
  <c r="I477"/>
  <c r="N475"/>
  <c r="M475"/>
  <c r="L475"/>
  <c r="K475"/>
  <c r="R473"/>
  <c r="Q473"/>
  <c r="P473"/>
  <c r="O473"/>
  <c r="N473"/>
  <c r="M473"/>
  <c r="L473"/>
  <c r="K473"/>
  <c r="J473"/>
  <c r="I473"/>
  <c r="I481"/>
  <c r="L498"/>
  <c r="K498"/>
  <c r="J498"/>
  <c r="I498"/>
  <c r="H498"/>
  <c r="L496"/>
  <c r="K496"/>
  <c r="J496"/>
  <c r="I496"/>
  <c r="H496"/>
  <c r="H80"/>
  <c r="H81"/>
  <c r="H82"/>
  <c r="H83"/>
  <c r="H84"/>
  <c r="H85"/>
  <c r="H86"/>
  <c r="H103"/>
  <c r="H104"/>
  <c r="H105"/>
  <c r="H106"/>
  <c r="H107"/>
  <c r="H108"/>
  <c r="H109"/>
  <c r="H110"/>
  <c r="H111"/>
  <c r="H113"/>
  <c r="H115"/>
  <c r="H117"/>
  <c r="H119"/>
  <c r="H121"/>
  <c r="H123"/>
  <c r="H125"/>
  <c r="H145"/>
  <c r="H146"/>
  <c r="H147"/>
  <c r="H148"/>
  <c r="H149"/>
  <c r="H150"/>
  <c r="H151"/>
  <c r="H152"/>
  <c r="H153"/>
  <c r="H155"/>
  <c r="H157"/>
  <c r="H159"/>
  <c r="H161"/>
  <c r="H163"/>
  <c r="H165"/>
  <c r="H167"/>
  <c r="H169"/>
  <c r="H185" s="1"/>
  <c r="H186"/>
  <c r="H187"/>
  <c r="H188"/>
  <c r="H189"/>
  <c r="H190"/>
  <c r="H191"/>
  <c r="H192"/>
  <c r="H195"/>
  <c r="H197"/>
  <c r="H199"/>
  <c r="H201"/>
  <c r="H203"/>
  <c r="H205"/>
  <c r="H207"/>
  <c r="H211"/>
  <c r="H213"/>
  <c r="H286" s="1"/>
  <c r="H215"/>
  <c r="H217"/>
  <c r="H290" s="1"/>
  <c r="H219"/>
  <c r="H221"/>
  <c r="H294" s="1"/>
  <c r="H223"/>
  <c r="H227"/>
  <c r="H235"/>
  <c r="H237"/>
  <c r="H239"/>
  <c r="H243"/>
  <c r="H247"/>
  <c r="H267"/>
  <c r="H268"/>
  <c r="H269"/>
  <c r="H270"/>
  <c r="H271"/>
  <c r="H272"/>
  <c r="H273"/>
  <c r="H275"/>
  <c r="H277"/>
  <c r="H279"/>
  <c r="H284"/>
  <c r="H288"/>
  <c r="H292"/>
  <c r="H296"/>
  <c r="H381"/>
  <c r="H389"/>
  <c r="H391"/>
  <c r="H425"/>
  <c r="H387" s="1"/>
  <c r="H427"/>
  <c r="H429"/>
  <c r="H457"/>
  <c r="H461"/>
  <c r="H385"/>
  <c r="H486"/>
  <c r="H419" s="1"/>
  <c r="D31" i="13"/>
  <c r="J131" i="9" s="1"/>
  <c r="C31" i="13"/>
  <c r="I131" i="9" s="1"/>
  <c r="B31" i="13"/>
  <c r="H131" i="9" s="1"/>
  <c r="D22" i="13"/>
  <c r="D19" s="1"/>
  <c r="J129" i="9" s="1"/>
  <c r="E22" i="13"/>
  <c r="F22"/>
  <c r="C22"/>
  <c r="H62" i="4" l="1"/>
  <c r="I62"/>
  <c r="I499" i="27"/>
  <c r="K484"/>
  <c r="K485" s="1"/>
  <c r="I497"/>
  <c r="H245"/>
  <c r="H241"/>
  <c r="H229"/>
  <c r="H209"/>
  <c r="H231"/>
  <c r="H282"/>
  <c r="H251" s="1"/>
  <c r="H193"/>
  <c r="H232"/>
  <c r="H230"/>
  <c r="H228"/>
  <c r="H226"/>
  <c r="P533"/>
  <c r="Q533" s="1"/>
  <c r="R533" s="1"/>
  <c r="Q536"/>
  <c r="P90" i="25"/>
  <c r="P120"/>
  <c r="Q89"/>
  <c r="P118"/>
  <c r="Q118" s="1"/>
  <c r="Q119" s="1"/>
  <c r="O116"/>
  <c r="G126" i="28"/>
  <c r="I130" i="9"/>
  <c r="F128" i="28"/>
  <c r="E32" i="13"/>
  <c r="K131" i="9"/>
  <c r="F32" i="13"/>
  <c r="L132" i="9"/>
  <c r="F38" i="13"/>
  <c r="G129" i="28"/>
  <c r="C17" i="12"/>
  <c r="I124" i="28"/>
  <c r="G128"/>
  <c r="J130" i="9"/>
  <c r="I127"/>
  <c r="B12" i="13"/>
  <c r="H127" i="9" s="1"/>
  <c r="H129" i="28"/>
  <c r="Q531" i="27"/>
  <c r="P532"/>
  <c r="Q532" s="1"/>
  <c r="P534"/>
  <c r="Q534" s="1"/>
  <c r="P535"/>
  <c r="Q535" s="1"/>
  <c r="P537"/>
  <c r="Q537" s="1"/>
  <c r="P538"/>
  <c r="Q538" s="1"/>
  <c r="P539"/>
  <c r="Q539" s="1"/>
  <c r="P540"/>
  <c r="Q540" s="1"/>
  <c r="H130" i="9"/>
  <c r="B18" i="12" s="1"/>
  <c r="E19" i="13"/>
  <c r="K129" i="9" s="1"/>
  <c r="D20" i="13"/>
  <c r="D32"/>
  <c r="H16" i="9"/>
  <c r="I504" i="27" s="1"/>
  <c r="F5" i="13"/>
  <c r="L125" i="9" s="1"/>
  <c r="G51" i="34"/>
  <c r="G50"/>
  <c r="G49"/>
  <c r="G48"/>
  <c r="G47"/>
  <c r="L37"/>
  <c r="K37"/>
  <c r="J37"/>
  <c r="I37"/>
  <c r="H37"/>
  <c r="L31"/>
  <c r="K31"/>
  <c r="J31"/>
  <c r="I31"/>
  <c r="H31"/>
  <c r="G88" i="33"/>
  <c r="F88"/>
  <c r="E88"/>
  <c r="D88"/>
  <c r="C88"/>
  <c r="G87"/>
  <c r="F87"/>
  <c r="E87"/>
  <c r="D87"/>
  <c r="C87"/>
  <c r="G85"/>
  <c r="F85"/>
  <c r="E85"/>
  <c r="D85"/>
  <c r="C85"/>
  <c r="G84"/>
  <c r="F84"/>
  <c r="L69" s="1"/>
  <c r="E84"/>
  <c r="D84"/>
  <c r="C84"/>
  <c r="I69" s="1"/>
  <c r="G83"/>
  <c r="G89" s="1"/>
  <c r="F83"/>
  <c r="E83"/>
  <c r="E89" s="1"/>
  <c r="G79"/>
  <c r="F79"/>
  <c r="E79"/>
  <c r="D79"/>
  <c r="C79"/>
  <c r="J69"/>
  <c r="J66"/>
  <c r="J65"/>
  <c r="J64"/>
  <c r="L61"/>
  <c r="K61"/>
  <c r="L58"/>
  <c r="K58"/>
  <c r="J58"/>
  <c r="I58"/>
  <c r="L57"/>
  <c r="K57"/>
  <c r="J57"/>
  <c r="I57"/>
  <c r="L54"/>
  <c r="L50"/>
  <c r="K50"/>
  <c r="L49"/>
  <c r="K49"/>
  <c r="J49"/>
  <c r="I49"/>
  <c r="L48"/>
  <c r="K48"/>
  <c r="J48"/>
  <c r="I48"/>
  <c r="L47"/>
  <c r="K47"/>
  <c r="J47"/>
  <c r="I47"/>
  <c r="L46"/>
  <c r="K46"/>
  <c r="J46"/>
  <c r="I46"/>
  <c r="L45"/>
  <c r="K45"/>
  <c r="J45"/>
  <c r="I45"/>
  <c r="M41"/>
  <c r="L41"/>
  <c r="K41"/>
  <c r="J41"/>
  <c r="I41"/>
  <c r="M39"/>
  <c r="L39"/>
  <c r="K39"/>
  <c r="J39"/>
  <c r="I39"/>
  <c r="M38"/>
  <c r="L38"/>
  <c r="K38"/>
  <c r="J38"/>
  <c r="I38"/>
  <c r="M37"/>
  <c r="L37"/>
  <c r="K37"/>
  <c r="M36"/>
  <c r="L36"/>
  <c r="K36"/>
  <c r="J36" s="1"/>
  <c r="I36" s="1"/>
  <c r="M35"/>
  <c r="L35"/>
  <c r="K35"/>
  <c r="J35"/>
  <c r="I35"/>
  <c r="M34"/>
  <c r="L34"/>
  <c r="K34"/>
  <c r="J34"/>
  <c r="I34"/>
  <c r="M33"/>
  <c r="L33"/>
  <c r="K33"/>
  <c r="J33"/>
  <c r="I33"/>
  <c r="M32"/>
  <c r="L32"/>
  <c r="K32"/>
  <c r="J32"/>
  <c r="I32"/>
  <c r="M31"/>
  <c r="L31"/>
  <c r="K31"/>
  <c r="M30"/>
  <c r="L30"/>
  <c r="K30"/>
  <c r="J30"/>
  <c r="I30"/>
  <c r="M29"/>
  <c r="L29"/>
  <c r="K29"/>
  <c r="J29"/>
  <c r="I29"/>
  <c r="M28"/>
  <c r="L28"/>
  <c r="K28"/>
  <c r="J28"/>
  <c r="I28"/>
  <c r="M27"/>
  <c r="L27"/>
  <c r="K27"/>
  <c r="J27"/>
  <c r="I27"/>
  <c r="M26"/>
  <c r="L26"/>
  <c r="K26"/>
  <c r="M25"/>
  <c r="L25"/>
  <c r="K25"/>
  <c r="J25"/>
  <c r="I25"/>
  <c r="M24"/>
  <c r="L24"/>
  <c r="K24"/>
  <c r="J24"/>
  <c r="I24"/>
  <c r="M23"/>
  <c r="L23"/>
  <c r="K23"/>
  <c r="J23"/>
  <c r="I23"/>
  <c r="M22"/>
  <c r="L22"/>
  <c r="K22"/>
  <c r="J22"/>
  <c r="I22"/>
  <c r="M21"/>
  <c r="L21"/>
  <c r="K21"/>
  <c r="J21"/>
  <c r="I21"/>
  <c r="M20"/>
  <c r="L20"/>
  <c r="K20"/>
  <c r="J20"/>
  <c r="I20"/>
  <c r="M19"/>
  <c r="L19"/>
  <c r="K19"/>
  <c r="J19"/>
  <c r="I19"/>
  <c r="M18"/>
  <c r="L18"/>
  <c r="K18"/>
  <c r="J18"/>
  <c r="I18"/>
  <c r="M17"/>
  <c r="L17"/>
  <c r="K17"/>
  <c r="J17"/>
  <c r="I17"/>
  <c r="M16"/>
  <c r="L16"/>
  <c r="K16"/>
  <c r="J16" s="1"/>
  <c r="I16" s="1"/>
  <c r="M15"/>
  <c r="L15"/>
  <c r="K15"/>
  <c r="J15"/>
  <c r="I15"/>
  <c r="B78" i="32"/>
  <c r="N77"/>
  <c r="M77"/>
  <c r="L77"/>
  <c r="K77"/>
  <c r="J77"/>
  <c r="N76"/>
  <c r="M76"/>
  <c r="L76"/>
  <c r="K76"/>
  <c r="J76"/>
  <c r="N71"/>
  <c r="M71"/>
  <c r="L71"/>
  <c r="K71"/>
  <c r="J71"/>
  <c r="N70"/>
  <c r="M70"/>
  <c r="L70"/>
  <c r="K70"/>
  <c r="J70"/>
  <c r="O67"/>
  <c r="N67"/>
  <c r="M67"/>
  <c r="M75" s="1"/>
  <c r="L67"/>
  <c r="L75" s="1"/>
  <c r="K67"/>
  <c r="J67"/>
  <c r="M48"/>
  <c r="N73" s="1"/>
  <c r="L48"/>
  <c r="M73" s="1"/>
  <c r="K48"/>
  <c r="L73" s="1"/>
  <c r="J48"/>
  <c r="K73" s="1"/>
  <c r="I48"/>
  <c r="J73" s="1"/>
  <c r="F30" i="31"/>
  <c r="M29" s="1"/>
  <c r="J44" i="5" s="1"/>
  <c r="E30" i="31"/>
  <c r="D30"/>
  <c r="K29" s="1"/>
  <c r="H44" i="5" s="1"/>
  <c r="C30" i="31"/>
  <c r="B30"/>
  <c r="I29" s="1"/>
  <c r="G43" i="9" s="1"/>
  <c r="L29" i="31"/>
  <c r="J29"/>
  <c r="M28"/>
  <c r="L28"/>
  <c r="J28"/>
  <c r="F7"/>
  <c r="M6" s="1"/>
  <c r="E7"/>
  <c r="L6" s="1"/>
  <c r="D7"/>
  <c r="K6" s="1"/>
  <c r="H22" i="5" s="1"/>
  <c r="C7" i="31"/>
  <c r="J6" s="1"/>
  <c r="B7"/>
  <c r="I6" s="1"/>
  <c r="G21" i="9" s="1"/>
  <c r="M5" i="31"/>
  <c r="L5"/>
  <c r="K5"/>
  <c r="J5"/>
  <c r="I5"/>
  <c r="L73" i="30"/>
  <c r="K73"/>
  <c r="J73"/>
  <c r="I73"/>
  <c r="H73"/>
  <c r="G73"/>
  <c r="F73"/>
  <c r="E73"/>
  <c r="D73"/>
  <c r="O72"/>
  <c r="N72"/>
  <c r="L71"/>
  <c r="K71"/>
  <c r="J71"/>
  <c r="I71"/>
  <c r="H71"/>
  <c r="G71"/>
  <c r="F71"/>
  <c r="E71"/>
  <c r="D71"/>
  <c r="O70"/>
  <c r="N70"/>
  <c r="L69"/>
  <c r="K69"/>
  <c r="J69"/>
  <c r="I69"/>
  <c r="H69"/>
  <c r="G69"/>
  <c r="F69"/>
  <c r="E69"/>
  <c r="D69"/>
  <c r="O68"/>
  <c r="N68"/>
  <c r="L67"/>
  <c r="K67"/>
  <c r="J67"/>
  <c r="I67"/>
  <c r="H67"/>
  <c r="G67"/>
  <c r="F67"/>
  <c r="E67"/>
  <c r="D67"/>
  <c r="O66"/>
  <c r="N66"/>
  <c r="L65"/>
  <c r="K65"/>
  <c r="J65"/>
  <c r="I65"/>
  <c r="H65"/>
  <c r="G65"/>
  <c r="F65"/>
  <c r="E65"/>
  <c r="D65"/>
  <c r="O64"/>
  <c r="N64"/>
  <c r="L63"/>
  <c r="K63"/>
  <c r="J63"/>
  <c r="I63"/>
  <c r="H63"/>
  <c r="G63"/>
  <c r="F63"/>
  <c r="E63"/>
  <c r="D63"/>
  <c r="P62"/>
  <c r="O62"/>
  <c r="N62"/>
  <c r="L61"/>
  <c r="K61"/>
  <c r="J61"/>
  <c r="I61"/>
  <c r="H61"/>
  <c r="G61"/>
  <c r="F61"/>
  <c r="E61"/>
  <c r="D61"/>
  <c r="O60"/>
  <c r="N60"/>
  <c r="L53"/>
  <c r="L57" s="1"/>
  <c r="K53"/>
  <c r="K55" s="1"/>
  <c r="J53"/>
  <c r="J57" s="1"/>
  <c r="I53"/>
  <c r="I55" s="1"/>
  <c r="H53"/>
  <c r="H57" s="1"/>
  <c r="G53"/>
  <c r="G55" s="1"/>
  <c r="F53"/>
  <c r="F57" s="1"/>
  <c r="E53"/>
  <c r="E55" s="1"/>
  <c r="D53"/>
  <c r="D57" s="1"/>
  <c r="C53"/>
  <c r="C55" s="1"/>
  <c r="L52"/>
  <c r="K52"/>
  <c r="J52"/>
  <c r="I52"/>
  <c r="L45"/>
  <c r="L47" s="1"/>
  <c r="K45"/>
  <c r="K49" s="1"/>
  <c r="J45"/>
  <c r="J47" s="1"/>
  <c r="I45"/>
  <c r="I49" s="1"/>
  <c r="H45"/>
  <c r="H47" s="1"/>
  <c r="G45"/>
  <c r="G49" s="1"/>
  <c r="F45"/>
  <c r="F47" s="1"/>
  <c r="E45"/>
  <c r="E49" s="1"/>
  <c r="D45"/>
  <c r="D47" s="1"/>
  <c r="C45"/>
  <c r="C49" s="1"/>
  <c r="K41"/>
  <c r="J41"/>
  <c r="I41"/>
  <c r="H41"/>
  <c r="G41"/>
  <c r="F41"/>
  <c r="E41"/>
  <c r="D41"/>
  <c r="C41"/>
  <c r="B41"/>
  <c r="A38"/>
  <c r="F36"/>
  <c r="G51" s="1"/>
  <c r="E36"/>
  <c r="F51" s="1"/>
  <c r="D36"/>
  <c r="E51" s="1"/>
  <c r="C36"/>
  <c r="D51" s="1"/>
  <c r="B36"/>
  <c r="C51" s="1"/>
  <c r="K33"/>
  <c r="J33"/>
  <c r="I33"/>
  <c r="H33"/>
  <c r="G33"/>
  <c r="F33"/>
  <c r="E33"/>
  <c r="D33"/>
  <c r="C33"/>
  <c r="B33"/>
  <c r="K32"/>
  <c r="J32"/>
  <c r="I32"/>
  <c r="H32"/>
  <c r="G32"/>
  <c r="F32"/>
  <c r="E32"/>
  <c r="D32"/>
  <c r="C32"/>
  <c r="B32"/>
  <c r="F42" i="23"/>
  <c r="F54" s="1"/>
  <c r="G54" s="1"/>
  <c r="E42"/>
  <c r="D42"/>
  <c r="D54" s="1"/>
  <c r="C42"/>
  <c r="B42"/>
  <c r="B54" s="1"/>
  <c r="A42"/>
  <c r="A25"/>
  <c r="F23"/>
  <c r="E23"/>
  <c r="D23"/>
  <c r="C23"/>
  <c r="F15"/>
  <c r="E15"/>
  <c r="D15"/>
  <c r="C15"/>
  <c r="F8"/>
  <c r="E8"/>
  <c r="D8"/>
  <c r="C8"/>
  <c r="G7"/>
  <c r="F7"/>
  <c r="E7"/>
  <c r="D7"/>
  <c r="C7"/>
  <c r="G5"/>
  <c r="F5"/>
  <c r="E5"/>
  <c r="D5"/>
  <c r="C5"/>
  <c r="F3"/>
  <c r="E3"/>
  <c r="D3"/>
  <c r="C3"/>
  <c r="F249" i="29"/>
  <c r="A196"/>
  <c r="A195"/>
  <c r="A194"/>
  <c r="A193"/>
  <c r="A192"/>
  <c r="A191"/>
  <c r="A190"/>
  <c r="A189"/>
  <c r="A188"/>
  <c r="A187"/>
  <c r="A186"/>
  <c r="A185"/>
  <c r="A184"/>
  <c r="A183"/>
  <c r="A182"/>
  <c r="A181"/>
  <c r="A180"/>
  <c r="A179"/>
  <c r="A178"/>
  <c r="A177"/>
  <c r="A176"/>
  <c r="A175"/>
  <c r="A174"/>
  <c r="A173"/>
  <c r="A172"/>
  <c r="A171"/>
  <c r="A170"/>
  <c r="A169"/>
  <c r="A168"/>
  <c r="A167"/>
  <c r="A166"/>
  <c r="A165"/>
  <c r="A164"/>
  <c r="A163"/>
  <c r="A162"/>
  <c r="A161"/>
  <c r="A160"/>
  <c r="A159"/>
  <c r="A158"/>
  <c r="A157"/>
  <c r="A156"/>
  <c r="A155"/>
  <c r="A154"/>
  <c r="A153"/>
  <c r="A152"/>
  <c r="A151"/>
  <c r="A150"/>
  <c r="A149"/>
  <c r="A148"/>
  <c r="A147"/>
  <c r="A146"/>
  <c r="A145"/>
  <c r="A144"/>
  <c r="A143"/>
  <c r="A142"/>
  <c r="A141"/>
  <c r="A140"/>
  <c r="A139"/>
  <c r="A138"/>
  <c r="A137"/>
  <c r="A136"/>
  <c r="A135"/>
  <c r="A134"/>
  <c r="A133"/>
  <c r="A132"/>
  <c r="A131"/>
  <c r="A130"/>
  <c r="A129"/>
  <c r="A128"/>
  <c r="A127"/>
  <c r="A126"/>
  <c r="A125"/>
  <c r="A124"/>
  <c r="A123"/>
  <c r="A122"/>
  <c r="A121"/>
  <c r="A120"/>
  <c r="A119"/>
  <c r="A118"/>
  <c r="A117"/>
  <c r="A116"/>
  <c r="A115"/>
  <c r="A114"/>
  <c r="A113"/>
  <c r="A112"/>
  <c r="A111"/>
  <c r="R110"/>
  <c r="K282" s="1"/>
  <c r="Q110"/>
  <c r="J282" s="1"/>
  <c r="P110"/>
  <c r="I282" s="1"/>
  <c r="O110"/>
  <c r="H282" s="1"/>
  <c r="N110"/>
  <c r="G282" s="1"/>
  <c r="M110"/>
  <c r="F282" s="1"/>
  <c r="A110"/>
  <c r="R109"/>
  <c r="K281" s="1"/>
  <c r="Q109"/>
  <c r="J281" s="1"/>
  <c r="P109"/>
  <c r="I281" s="1"/>
  <c r="O109"/>
  <c r="H281" s="1"/>
  <c r="N109"/>
  <c r="G281" s="1"/>
  <c r="M109"/>
  <c r="F281" s="1"/>
  <c r="A109"/>
  <c r="A108"/>
  <c r="R107"/>
  <c r="K279" s="1"/>
  <c r="Q107"/>
  <c r="J279" s="1"/>
  <c r="P107"/>
  <c r="I279" s="1"/>
  <c r="O107"/>
  <c r="H279" s="1"/>
  <c r="N107"/>
  <c r="G279" s="1"/>
  <c r="M107"/>
  <c r="F279" s="1"/>
  <c r="A107"/>
  <c r="R106"/>
  <c r="K278" s="1"/>
  <c r="Q106"/>
  <c r="J278" s="1"/>
  <c r="P106"/>
  <c r="I278" s="1"/>
  <c r="O106"/>
  <c r="H278" s="1"/>
  <c r="N106"/>
  <c r="G278" s="1"/>
  <c r="M106"/>
  <c r="F278" s="1"/>
  <c r="A106"/>
  <c r="R105"/>
  <c r="K277" s="1"/>
  <c r="Q105"/>
  <c r="J277" s="1"/>
  <c r="P105"/>
  <c r="I277" s="1"/>
  <c r="O105"/>
  <c r="H277" s="1"/>
  <c r="N105"/>
  <c r="G277" s="1"/>
  <c r="M105"/>
  <c r="F277" s="1"/>
  <c r="A105"/>
  <c r="R104"/>
  <c r="K276" s="1"/>
  <c r="Q104"/>
  <c r="J276" s="1"/>
  <c r="P104"/>
  <c r="I276" s="1"/>
  <c r="O104"/>
  <c r="H276" s="1"/>
  <c r="N104"/>
  <c r="G276" s="1"/>
  <c r="M104"/>
  <c r="F276" s="1"/>
  <c r="A104"/>
  <c r="A103"/>
  <c r="A102"/>
  <c r="R101"/>
  <c r="K273" s="1"/>
  <c r="Q101"/>
  <c r="J273" s="1"/>
  <c r="P101"/>
  <c r="I273" s="1"/>
  <c r="O101"/>
  <c r="H273" s="1"/>
  <c r="N101"/>
  <c r="G273" s="1"/>
  <c r="M101"/>
  <c r="F273" s="1"/>
  <c r="A101"/>
  <c r="R100"/>
  <c r="K272" s="1"/>
  <c r="Q100"/>
  <c r="J272" s="1"/>
  <c r="P100"/>
  <c r="I272" s="1"/>
  <c r="O100"/>
  <c r="H272" s="1"/>
  <c r="N100"/>
  <c r="G272" s="1"/>
  <c r="M100"/>
  <c r="F272" s="1"/>
  <c r="A100"/>
  <c r="R99"/>
  <c r="K271" s="1"/>
  <c r="Q99"/>
  <c r="J271" s="1"/>
  <c r="P99"/>
  <c r="I271" s="1"/>
  <c r="O99"/>
  <c r="H271" s="1"/>
  <c r="N99"/>
  <c r="G271" s="1"/>
  <c r="M99"/>
  <c r="F271" s="1"/>
  <c r="A99"/>
  <c r="R98"/>
  <c r="K270" s="1"/>
  <c r="Q98"/>
  <c r="J270" s="1"/>
  <c r="P98"/>
  <c r="I270" s="1"/>
  <c r="O98"/>
  <c r="H270" s="1"/>
  <c r="N98"/>
  <c r="G270" s="1"/>
  <c r="M98"/>
  <c r="F270" s="1"/>
  <c r="A98"/>
  <c r="R97"/>
  <c r="K269" s="1"/>
  <c r="Q97"/>
  <c r="J269" s="1"/>
  <c r="P97"/>
  <c r="I269" s="1"/>
  <c r="O97"/>
  <c r="H269" s="1"/>
  <c r="N97"/>
  <c r="G269" s="1"/>
  <c r="M97"/>
  <c r="F269" s="1"/>
  <c r="A97"/>
  <c r="R96"/>
  <c r="K268" s="1"/>
  <c r="Q96"/>
  <c r="J268" s="1"/>
  <c r="P96"/>
  <c r="I268" s="1"/>
  <c r="O96"/>
  <c r="H268" s="1"/>
  <c r="N96"/>
  <c r="G268" s="1"/>
  <c r="M96"/>
  <c r="F268" s="1"/>
  <c r="A96"/>
  <c r="R95"/>
  <c r="K267" s="1"/>
  <c r="Q95"/>
  <c r="J267" s="1"/>
  <c r="P95"/>
  <c r="I267" s="1"/>
  <c r="O95"/>
  <c r="H267" s="1"/>
  <c r="N95"/>
  <c r="G267" s="1"/>
  <c r="M95"/>
  <c r="F267" s="1"/>
  <c r="A95"/>
  <c r="R94"/>
  <c r="K266" s="1"/>
  <c r="Q94"/>
  <c r="J266" s="1"/>
  <c r="P94"/>
  <c r="I266" s="1"/>
  <c r="O94"/>
  <c r="H266" s="1"/>
  <c r="N94"/>
  <c r="G266" s="1"/>
  <c r="M94"/>
  <c r="F266" s="1"/>
  <c r="A94"/>
  <c r="R93"/>
  <c r="K265" s="1"/>
  <c r="Q93"/>
  <c r="J265" s="1"/>
  <c r="P93"/>
  <c r="I265" s="1"/>
  <c r="O93"/>
  <c r="H265" s="1"/>
  <c r="N93"/>
  <c r="G265" s="1"/>
  <c r="M93"/>
  <c r="F265" s="1"/>
  <c r="A93"/>
  <c r="R92"/>
  <c r="K264" s="1"/>
  <c r="Q92"/>
  <c r="J264" s="1"/>
  <c r="P92"/>
  <c r="I264" s="1"/>
  <c r="O92"/>
  <c r="H264" s="1"/>
  <c r="N92"/>
  <c r="G264" s="1"/>
  <c r="M92"/>
  <c r="F264" s="1"/>
  <c r="A92"/>
  <c r="R91"/>
  <c r="K263" s="1"/>
  <c r="Q91"/>
  <c r="J263" s="1"/>
  <c r="P91"/>
  <c r="I263" s="1"/>
  <c r="O91"/>
  <c r="H263" s="1"/>
  <c r="N91"/>
  <c r="G263" s="1"/>
  <c r="M91"/>
  <c r="F263" s="1"/>
  <c r="A91"/>
  <c r="R90"/>
  <c r="K262" s="1"/>
  <c r="Q90"/>
  <c r="J262" s="1"/>
  <c r="P90"/>
  <c r="I262" s="1"/>
  <c r="O90"/>
  <c r="H262" s="1"/>
  <c r="N90"/>
  <c r="G262" s="1"/>
  <c r="M90"/>
  <c r="F262" s="1"/>
  <c r="A90"/>
  <c r="R89"/>
  <c r="K261" s="1"/>
  <c r="Q89"/>
  <c r="J261" s="1"/>
  <c r="P89"/>
  <c r="I261" s="1"/>
  <c r="O89"/>
  <c r="H261" s="1"/>
  <c r="N89"/>
  <c r="G261" s="1"/>
  <c r="M89"/>
  <c r="F261" s="1"/>
  <c r="A89"/>
  <c r="R88"/>
  <c r="K260" s="1"/>
  <c r="Q88"/>
  <c r="J260" s="1"/>
  <c r="P88"/>
  <c r="I260" s="1"/>
  <c r="O88"/>
  <c r="H260" s="1"/>
  <c r="N88"/>
  <c r="G260" s="1"/>
  <c r="M88"/>
  <c r="F260" s="1"/>
  <c r="A88"/>
  <c r="R87"/>
  <c r="K259" s="1"/>
  <c r="Q87"/>
  <c r="J259" s="1"/>
  <c r="P87"/>
  <c r="I259" s="1"/>
  <c r="O87"/>
  <c r="H259" s="1"/>
  <c r="N87"/>
  <c r="G259" s="1"/>
  <c r="M87"/>
  <c r="F259" s="1"/>
  <c r="A87"/>
  <c r="A86"/>
  <c r="A85"/>
  <c r="R84"/>
  <c r="K256" s="1"/>
  <c r="Q84"/>
  <c r="J256" s="1"/>
  <c r="P84"/>
  <c r="I256" s="1"/>
  <c r="O84"/>
  <c r="H256" s="1"/>
  <c r="N84"/>
  <c r="G256" s="1"/>
  <c r="M84"/>
  <c r="F256" s="1"/>
  <c r="A84"/>
  <c r="R83"/>
  <c r="K255" s="1"/>
  <c r="Q83"/>
  <c r="J255" s="1"/>
  <c r="P83"/>
  <c r="I255" s="1"/>
  <c r="O83"/>
  <c r="H255" s="1"/>
  <c r="N83"/>
  <c r="G255" s="1"/>
  <c r="M83"/>
  <c r="F255" s="1"/>
  <c r="A83"/>
  <c r="R82"/>
  <c r="K254" s="1"/>
  <c r="Q82"/>
  <c r="J254" s="1"/>
  <c r="P82"/>
  <c r="I254" s="1"/>
  <c r="O82"/>
  <c r="H254" s="1"/>
  <c r="N82"/>
  <c r="G254" s="1"/>
  <c r="M82"/>
  <c r="F254" s="1"/>
  <c r="A82"/>
  <c r="R81"/>
  <c r="K253" s="1"/>
  <c r="Q81"/>
  <c r="J253" s="1"/>
  <c r="P81"/>
  <c r="I253" s="1"/>
  <c r="O81"/>
  <c r="H253" s="1"/>
  <c r="N81"/>
  <c r="G253" s="1"/>
  <c r="M81"/>
  <c r="F253" s="1"/>
  <c r="A81"/>
  <c r="R80"/>
  <c r="K252" s="1"/>
  <c r="Q80"/>
  <c r="J252" s="1"/>
  <c r="P80"/>
  <c r="I252" s="1"/>
  <c r="O80"/>
  <c r="H252" s="1"/>
  <c r="N80"/>
  <c r="G252" s="1"/>
  <c r="M80"/>
  <c r="F252" s="1"/>
  <c r="A80"/>
  <c r="R79"/>
  <c r="K251" s="1"/>
  <c r="Q79"/>
  <c r="J251" s="1"/>
  <c r="P79"/>
  <c r="I251" s="1"/>
  <c r="O79"/>
  <c r="H251" s="1"/>
  <c r="N79"/>
  <c r="G251" s="1"/>
  <c r="M79"/>
  <c r="F251" s="1"/>
  <c r="A79"/>
  <c r="R78"/>
  <c r="K250" s="1"/>
  <c r="Q78"/>
  <c r="J250" s="1"/>
  <c r="P78"/>
  <c r="I250" s="1"/>
  <c r="O78"/>
  <c r="H250" s="1"/>
  <c r="N78"/>
  <c r="G250" s="1"/>
  <c r="M78"/>
  <c r="F250" s="1"/>
  <c r="A78"/>
  <c r="R77"/>
  <c r="K249" s="1"/>
  <c r="Q77"/>
  <c r="J249" s="1"/>
  <c r="P77"/>
  <c r="I249" s="1"/>
  <c r="O77"/>
  <c r="H249" s="1"/>
  <c r="N77"/>
  <c r="G249" s="1"/>
  <c r="M77"/>
  <c r="A77"/>
  <c r="R76"/>
  <c r="K248" s="1"/>
  <c r="Q76"/>
  <c r="J248" s="1"/>
  <c r="P76"/>
  <c r="I248" s="1"/>
  <c r="O76"/>
  <c r="H248" s="1"/>
  <c r="N76"/>
  <c r="G248" s="1"/>
  <c r="M76"/>
  <c r="F248" s="1"/>
  <c r="A76"/>
  <c r="R75"/>
  <c r="K247" s="1"/>
  <c r="Q75"/>
  <c r="J247" s="1"/>
  <c r="P75"/>
  <c r="I247" s="1"/>
  <c r="O75"/>
  <c r="H247" s="1"/>
  <c r="N75"/>
  <c r="G247" s="1"/>
  <c r="M75"/>
  <c r="F247" s="1"/>
  <c r="A75"/>
  <c r="R74"/>
  <c r="K246" s="1"/>
  <c r="Q74"/>
  <c r="J246" s="1"/>
  <c r="P74"/>
  <c r="I246" s="1"/>
  <c r="O74"/>
  <c r="H246" s="1"/>
  <c r="N74"/>
  <c r="G246" s="1"/>
  <c r="M74"/>
  <c r="F246" s="1"/>
  <c r="A74"/>
  <c r="R73"/>
  <c r="K245" s="1"/>
  <c r="Q73"/>
  <c r="J245" s="1"/>
  <c r="P73"/>
  <c r="I245" s="1"/>
  <c r="O73"/>
  <c r="H245" s="1"/>
  <c r="N73"/>
  <c r="G245" s="1"/>
  <c r="M73"/>
  <c r="F245" s="1"/>
  <c r="A73"/>
  <c r="R72"/>
  <c r="K244" s="1"/>
  <c r="Q72"/>
  <c r="J244" s="1"/>
  <c r="P72"/>
  <c r="I244" s="1"/>
  <c r="O72"/>
  <c r="H244" s="1"/>
  <c r="N72"/>
  <c r="G244" s="1"/>
  <c r="M72"/>
  <c r="F244" s="1"/>
  <c r="A72"/>
  <c r="R71"/>
  <c r="K243" s="1"/>
  <c r="Q71"/>
  <c r="J243" s="1"/>
  <c r="P71"/>
  <c r="I243" s="1"/>
  <c r="O71"/>
  <c r="H243" s="1"/>
  <c r="N71"/>
  <c r="G243" s="1"/>
  <c r="M71"/>
  <c r="F243" s="1"/>
  <c r="A71"/>
  <c r="R70"/>
  <c r="K242" s="1"/>
  <c r="Q70"/>
  <c r="J242" s="1"/>
  <c r="P70"/>
  <c r="I242" s="1"/>
  <c r="O70"/>
  <c r="H242" s="1"/>
  <c r="N70"/>
  <c r="G242" s="1"/>
  <c r="M70"/>
  <c r="F242" s="1"/>
  <c r="A70"/>
  <c r="A69"/>
  <c r="A68"/>
  <c r="A67"/>
  <c r="A66"/>
  <c r="Q65"/>
  <c r="J237" s="1"/>
  <c r="P65"/>
  <c r="I237" s="1"/>
  <c r="O65"/>
  <c r="H237" s="1"/>
  <c r="N65"/>
  <c r="G237" s="1"/>
  <c r="M65"/>
  <c r="F237" s="1"/>
  <c r="K65"/>
  <c r="R65" s="1"/>
  <c r="K237" s="1"/>
  <c r="A65"/>
  <c r="Q64"/>
  <c r="J236" s="1"/>
  <c r="P64"/>
  <c r="I236" s="1"/>
  <c r="O64"/>
  <c r="H236" s="1"/>
  <c r="N64"/>
  <c r="G236" s="1"/>
  <c r="M64"/>
  <c r="F236" s="1"/>
  <c r="K64"/>
  <c r="R64" s="1"/>
  <c r="K236" s="1"/>
  <c r="A64"/>
  <c r="Q63"/>
  <c r="J235" s="1"/>
  <c r="P63"/>
  <c r="I235" s="1"/>
  <c r="O63"/>
  <c r="H235" s="1"/>
  <c r="N63"/>
  <c r="G235" s="1"/>
  <c r="M63"/>
  <c r="F235" s="1"/>
  <c r="K63"/>
  <c r="R63" s="1"/>
  <c r="K235" s="1"/>
  <c r="A63"/>
  <c r="Q62"/>
  <c r="J234" s="1"/>
  <c r="P62"/>
  <c r="I234" s="1"/>
  <c r="O62"/>
  <c r="H234" s="1"/>
  <c r="N62"/>
  <c r="G234" s="1"/>
  <c r="M62"/>
  <c r="F234" s="1"/>
  <c r="K62"/>
  <c r="R62" s="1"/>
  <c r="K234" s="1"/>
  <c r="A62"/>
  <c r="Q61"/>
  <c r="J233" s="1"/>
  <c r="P61"/>
  <c r="I233" s="1"/>
  <c r="O61"/>
  <c r="H233" s="1"/>
  <c r="N61"/>
  <c r="G233" s="1"/>
  <c r="M61"/>
  <c r="F233" s="1"/>
  <c r="K61"/>
  <c r="R61" s="1"/>
  <c r="K233" s="1"/>
  <c r="A61"/>
  <c r="R60"/>
  <c r="K232" s="1"/>
  <c r="Q60"/>
  <c r="J232" s="1"/>
  <c r="P60"/>
  <c r="I232" s="1"/>
  <c r="O60"/>
  <c r="H232" s="1"/>
  <c r="N60"/>
  <c r="G232" s="1"/>
  <c r="M60"/>
  <c r="F232" s="1"/>
  <c r="A60"/>
  <c r="Q59"/>
  <c r="J231" s="1"/>
  <c r="P59"/>
  <c r="I231" s="1"/>
  <c r="O59"/>
  <c r="H231" s="1"/>
  <c r="N59"/>
  <c r="G231" s="1"/>
  <c r="M59"/>
  <c r="F231" s="1"/>
  <c r="K59"/>
  <c r="R59" s="1"/>
  <c r="K231" s="1"/>
  <c r="A59"/>
  <c r="A58"/>
  <c r="K57"/>
  <c r="J57"/>
  <c r="I57"/>
  <c r="H57"/>
  <c r="G57"/>
  <c r="F57"/>
  <c r="A57"/>
  <c r="K56"/>
  <c r="J56"/>
  <c r="I56"/>
  <c r="H56"/>
  <c r="G56"/>
  <c r="F56"/>
  <c r="A56"/>
  <c r="K55"/>
  <c r="J55"/>
  <c r="I55"/>
  <c r="H55"/>
  <c r="G55"/>
  <c r="F55"/>
  <c r="A55"/>
  <c r="K54"/>
  <c r="J54"/>
  <c r="I54"/>
  <c r="H54"/>
  <c r="G54"/>
  <c r="F54"/>
  <c r="A54"/>
  <c r="K53"/>
  <c r="J53"/>
  <c r="I53"/>
  <c r="H53"/>
  <c r="G53"/>
  <c r="F53"/>
  <c r="A53"/>
  <c r="K52"/>
  <c r="J52"/>
  <c r="I52"/>
  <c r="H52"/>
  <c r="G52"/>
  <c r="F52"/>
  <c r="A52"/>
  <c r="K51"/>
  <c r="J51"/>
  <c r="I51"/>
  <c r="H51"/>
  <c r="G51"/>
  <c r="F51"/>
  <c r="A51"/>
  <c r="K50"/>
  <c r="J50"/>
  <c r="I50"/>
  <c r="H50"/>
  <c r="G50"/>
  <c r="F50"/>
  <c r="A50"/>
  <c r="R49"/>
  <c r="K221" s="1"/>
  <c r="Q49"/>
  <c r="J221" s="1"/>
  <c r="P49"/>
  <c r="I221" s="1"/>
  <c r="O49"/>
  <c r="H221" s="1"/>
  <c r="N49"/>
  <c r="G221" s="1"/>
  <c r="M49"/>
  <c r="F221" s="1"/>
  <c r="A49"/>
  <c r="R48"/>
  <c r="K220" s="1"/>
  <c r="Q48"/>
  <c r="J220" s="1"/>
  <c r="P48"/>
  <c r="I220" s="1"/>
  <c r="O48"/>
  <c r="H220" s="1"/>
  <c r="N48"/>
  <c r="G220" s="1"/>
  <c r="M48"/>
  <c r="F220" s="1"/>
  <c r="A48"/>
  <c r="R47"/>
  <c r="K219" s="1"/>
  <c r="Q47"/>
  <c r="J219" s="1"/>
  <c r="P47"/>
  <c r="I219" s="1"/>
  <c r="O47"/>
  <c r="H219" s="1"/>
  <c r="N47"/>
  <c r="G219" s="1"/>
  <c r="M47"/>
  <c r="F219" s="1"/>
  <c r="A47"/>
  <c r="R46"/>
  <c r="K218" s="1"/>
  <c r="Q46"/>
  <c r="J218" s="1"/>
  <c r="P46"/>
  <c r="I218" s="1"/>
  <c r="O46"/>
  <c r="H218" s="1"/>
  <c r="N46"/>
  <c r="G218" s="1"/>
  <c r="M46"/>
  <c r="F218" s="1"/>
  <c r="A46"/>
  <c r="R45"/>
  <c r="K217" s="1"/>
  <c r="Q45"/>
  <c r="J217" s="1"/>
  <c r="P45"/>
  <c r="I217" s="1"/>
  <c r="O45"/>
  <c r="H217" s="1"/>
  <c r="N45"/>
  <c r="G217" s="1"/>
  <c r="M45"/>
  <c r="F217" s="1"/>
  <c r="A45"/>
  <c r="R44"/>
  <c r="K216" s="1"/>
  <c r="Q44"/>
  <c r="J216" s="1"/>
  <c r="P44"/>
  <c r="I216" s="1"/>
  <c r="O44"/>
  <c r="H216" s="1"/>
  <c r="N44"/>
  <c r="G216" s="1"/>
  <c r="M44"/>
  <c r="F216" s="1"/>
  <c r="A44"/>
  <c r="R43"/>
  <c r="K215" s="1"/>
  <c r="Q43"/>
  <c r="J215" s="1"/>
  <c r="P43"/>
  <c r="I215" s="1"/>
  <c r="O43"/>
  <c r="H215" s="1"/>
  <c r="N43"/>
  <c r="G215" s="1"/>
  <c r="M43"/>
  <c r="F215" s="1"/>
  <c r="A43"/>
  <c r="A42"/>
  <c r="R41"/>
  <c r="K213" s="1"/>
  <c r="Q41"/>
  <c r="J213" s="1"/>
  <c r="P41"/>
  <c r="I213" s="1"/>
  <c r="O41"/>
  <c r="H213" s="1"/>
  <c r="N41"/>
  <c r="G213" s="1"/>
  <c r="M41"/>
  <c r="F213" s="1"/>
  <c r="A41"/>
  <c r="R40"/>
  <c r="K212" s="1"/>
  <c r="Q40"/>
  <c r="J212" s="1"/>
  <c r="P40"/>
  <c r="I212" s="1"/>
  <c r="O40"/>
  <c r="H212" s="1"/>
  <c r="N40"/>
  <c r="G212" s="1"/>
  <c r="M40"/>
  <c r="F212" s="1"/>
  <c r="A40"/>
  <c r="R39"/>
  <c r="K211" s="1"/>
  <c r="Q39"/>
  <c r="J211" s="1"/>
  <c r="P39"/>
  <c r="I211" s="1"/>
  <c r="O39"/>
  <c r="H211" s="1"/>
  <c r="N39"/>
  <c r="G211" s="1"/>
  <c r="M39"/>
  <c r="F211" s="1"/>
  <c r="A39"/>
  <c r="R38"/>
  <c r="K210" s="1"/>
  <c r="Q38"/>
  <c r="J210" s="1"/>
  <c r="P38"/>
  <c r="I210" s="1"/>
  <c r="O38"/>
  <c r="H210" s="1"/>
  <c r="N38"/>
  <c r="G210" s="1"/>
  <c r="M38"/>
  <c r="F210" s="1"/>
  <c r="A38"/>
  <c r="R37"/>
  <c r="K209" s="1"/>
  <c r="Q37"/>
  <c r="J209" s="1"/>
  <c r="P37"/>
  <c r="I209" s="1"/>
  <c r="O37"/>
  <c r="H209" s="1"/>
  <c r="N37"/>
  <c r="G209" s="1"/>
  <c r="M37"/>
  <c r="F209" s="1"/>
  <c r="A37"/>
  <c r="R36"/>
  <c r="K208" s="1"/>
  <c r="Q36"/>
  <c r="J208" s="1"/>
  <c r="P36"/>
  <c r="I208" s="1"/>
  <c r="O36"/>
  <c r="H208" s="1"/>
  <c r="N36"/>
  <c r="G208" s="1"/>
  <c r="M36"/>
  <c r="F208" s="1"/>
  <c r="A36"/>
  <c r="R35"/>
  <c r="K207" s="1"/>
  <c r="Q35"/>
  <c r="J207" s="1"/>
  <c r="P35"/>
  <c r="I207" s="1"/>
  <c r="O35"/>
  <c r="H207" s="1"/>
  <c r="N35"/>
  <c r="G207" s="1"/>
  <c r="M35"/>
  <c r="F207" s="1"/>
  <c r="A35"/>
  <c r="A34"/>
  <c r="R33"/>
  <c r="K205" s="1"/>
  <c r="Q33"/>
  <c r="J205" s="1"/>
  <c r="P33"/>
  <c r="I205" s="1"/>
  <c r="O33"/>
  <c r="H205" s="1"/>
  <c r="N33"/>
  <c r="G205" s="1"/>
  <c r="M33"/>
  <c r="F205" s="1"/>
  <c r="A33"/>
  <c r="R32"/>
  <c r="K204" s="1"/>
  <c r="Q32"/>
  <c r="J204" s="1"/>
  <c r="P32"/>
  <c r="I204" s="1"/>
  <c r="O32"/>
  <c r="H204" s="1"/>
  <c r="N32"/>
  <c r="G204" s="1"/>
  <c r="M32"/>
  <c r="F204" s="1"/>
  <c r="A32"/>
  <c r="R31"/>
  <c r="K203" s="1"/>
  <c r="Q31"/>
  <c r="J203" s="1"/>
  <c r="P31"/>
  <c r="I203" s="1"/>
  <c r="O31"/>
  <c r="H203" s="1"/>
  <c r="N31"/>
  <c r="G203" s="1"/>
  <c r="M31"/>
  <c r="F203" s="1"/>
  <c r="A31"/>
  <c r="R30"/>
  <c r="K202" s="1"/>
  <c r="Q30"/>
  <c r="J202" s="1"/>
  <c r="P30"/>
  <c r="I202" s="1"/>
  <c r="O30"/>
  <c r="H202" s="1"/>
  <c r="N30"/>
  <c r="G202" s="1"/>
  <c r="M30"/>
  <c r="F202" s="1"/>
  <c r="A30"/>
  <c r="R29"/>
  <c r="K201" s="1"/>
  <c r="Q29"/>
  <c r="J201" s="1"/>
  <c r="P29"/>
  <c r="I201" s="1"/>
  <c r="O29"/>
  <c r="H201" s="1"/>
  <c r="N29"/>
  <c r="G201" s="1"/>
  <c r="M29"/>
  <c r="F201" s="1"/>
  <c r="A29"/>
  <c r="R28"/>
  <c r="K200" s="1"/>
  <c r="Q28"/>
  <c r="J200" s="1"/>
  <c r="P28"/>
  <c r="I200" s="1"/>
  <c r="O28"/>
  <c r="H200" s="1"/>
  <c r="N28"/>
  <c r="G200" s="1"/>
  <c r="M28"/>
  <c r="F200" s="1"/>
  <c r="A28"/>
  <c r="R27"/>
  <c r="K199" s="1"/>
  <c r="Q27"/>
  <c r="J199" s="1"/>
  <c r="P27"/>
  <c r="I199" s="1"/>
  <c r="O27"/>
  <c r="H199" s="1"/>
  <c r="N27"/>
  <c r="G199" s="1"/>
  <c r="M27"/>
  <c r="F199" s="1"/>
  <c r="A27"/>
  <c r="R26"/>
  <c r="K198" s="1"/>
  <c r="Q26"/>
  <c r="Q67" s="1"/>
  <c r="J239" s="1"/>
  <c r="P26"/>
  <c r="I198" s="1"/>
  <c r="O26"/>
  <c r="O67" s="1"/>
  <c r="H239" s="1"/>
  <c r="N26"/>
  <c r="G198" s="1"/>
  <c r="M26"/>
  <c r="M67" s="1"/>
  <c r="F239" s="1"/>
  <c r="A26"/>
  <c r="A25"/>
  <c r="A21"/>
  <c r="A20"/>
  <c r="A19"/>
  <c r="A18"/>
  <c r="A17"/>
  <c r="A16"/>
  <c r="A15"/>
  <c r="E14"/>
  <c r="A14"/>
  <c r="E13"/>
  <c r="A13"/>
  <c r="E12"/>
  <c r="A12"/>
  <c r="E11"/>
  <c r="A11"/>
  <c r="E10"/>
  <c r="A10"/>
  <c r="E9"/>
  <c r="A9"/>
  <c r="E8"/>
  <c r="A8"/>
  <c r="A7"/>
  <c r="A6"/>
  <c r="J5"/>
  <c r="I5"/>
  <c r="H5"/>
  <c r="G5"/>
  <c r="F5"/>
  <c r="E5"/>
  <c r="A5"/>
  <c r="J4"/>
  <c r="I4"/>
  <c r="H4"/>
  <c r="G4"/>
  <c r="F4"/>
  <c r="E4"/>
  <c r="A4"/>
  <c r="E3"/>
  <c r="A3"/>
  <c r="A2"/>
  <c r="A171" i="26"/>
  <c r="A170"/>
  <c r="A169"/>
  <c r="A168"/>
  <c r="A167"/>
  <c r="A166"/>
  <c r="B164"/>
  <c r="A164"/>
  <c r="E163"/>
  <c r="D163"/>
  <c r="B163"/>
  <c r="A163"/>
  <c r="E162"/>
  <c r="D162"/>
  <c r="B162"/>
  <c r="A162"/>
  <c r="E161"/>
  <c r="D161"/>
  <c r="B161"/>
  <c r="A161"/>
  <c r="E160"/>
  <c r="D160"/>
  <c r="B160"/>
  <c r="A160"/>
  <c r="E159"/>
  <c r="D159"/>
  <c r="B159"/>
  <c r="A159"/>
  <c r="E158"/>
  <c r="D158"/>
  <c r="B158"/>
  <c r="A158"/>
  <c r="B156"/>
  <c r="A156"/>
  <c r="B154"/>
  <c r="A154"/>
  <c r="A152"/>
  <c r="A151"/>
  <c r="G149"/>
  <c r="D149"/>
  <c r="C149"/>
  <c r="B149"/>
  <c r="A149"/>
  <c r="G148"/>
  <c r="D148"/>
  <c r="C148"/>
  <c r="B148"/>
  <c r="A148"/>
  <c r="A146"/>
  <c r="A145"/>
  <c r="G143"/>
  <c r="D143"/>
  <c r="C143"/>
  <c r="B143"/>
  <c r="A143"/>
  <c r="G142"/>
  <c r="D142"/>
  <c r="C142"/>
  <c r="B142"/>
  <c r="A142"/>
  <c r="A136"/>
  <c r="A140" s="1"/>
  <c r="B134"/>
  <c r="A134"/>
  <c r="A138" s="1"/>
  <c r="A132"/>
  <c r="A131"/>
  <c r="A130"/>
  <c r="A129"/>
  <c r="A128"/>
  <c r="A127"/>
  <c r="A126"/>
  <c r="A125"/>
  <c r="G123"/>
  <c r="D123"/>
  <c r="C123"/>
  <c r="B123"/>
  <c r="A123"/>
  <c r="G122"/>
  <c r="D122"/>
  <c r="C122"/>
  <c r="B122"/>
  <c r="A122"/>
  <c r="G121"/>
  <c r="D121"/>
  <c r="C121"/>
  <c r="B121"/>
  <c r="A121"/>
  <c r="G120"/>
  <c r="D120"/>
  <c r="C120"/>
  <c r="B120"/>
  <c r="A120"/>
  <c r="G119"/>
  <c r="D119"/>
  <c r="C119"/>
  <c r="B119"/>
  <c r="A119"/>
  <c r="G118"/>
  <c r="D118"/>
  <c r="C118"/>
  <c r="B118"/>
  <c r="A118"/>
  <c r="G117"/>
  <c r="D117"/>
  <c r="C117"/>
  <c r="B117"/>
  <c r="A117"/>
  <c r="G116"/>
  <c r="C116"/>
  <c r="B116"/>
  <c r="A116"/>
  <c r="A114"/>
  <c r="A113"/>
  <c r="A112"/>
  <c r="A111"/>
  <c r="A110"/>
  <c r="A109"/>
  <c r="A108"/>
  <c r="A107"/>
  <c r="D105"/>
  <c r="C105"/>
  <c r="B105"/>
  <c r="A105"/>
  <c r="D104"/>
  <c r="C104"/>
  <c r="B104"/>
  <c r="A104"/>
  <c r="D103"/>
  <c r="C103"/>
  <c r="B103"/>
  <c r="A103"/>
  <c r="D102"/>
  <c r="C102"/>
  <c r="B102"/>
  <c r="A102"/>
  <c r="D101"/>
  <c r="C101"/>
  <c r="B101"/>
  <c r="A101"/>
  <c r="D100"/>
  <c r="C100"/>
  <c r="B100"/>
  <c r="A100"/>
  <c r="D99"/>
  <c r="C99"/>
  <c r="B99"/>
  <c r="A99"/>
  <c r="C98"/>
  <c r="B98"/>
  <c r="A98"/>
  <c r="A96"/>
  <c r="A95"/>
  <c r="A94"/>
  <c r="A93"/>
  <c r="A92"/>
  <c r="A91"/>
  <c r="A90"/>
  <c r="A89"/>
  <c r="G87"/>
  <c r="D87"/>
  <c r="C87"/>
  <c r="B87"/>
  <c r="A87"/>
  <c r="G86"/>
  <c r="D86"/>
  <c r="C86"/>
  <c r="B86"/>
  <c r="A86"/>
  <c r="G85"/>
  <c r="D85"/>
  <c r="C85"/>
  <c r="B85"/>
  <c r="A85"/>
  <c r="G84"/>
  <c r="D84"/>
  <c r="C84"/>
  <c r="B84"/>
  <c r="A84"/>
  <c r="G83"/>
  <c r="D83"/>
  <c r="C83"/>
  <c r="B83"/>
  <c r="A83"/>
  <c r="G82"/>
  <c r="D82"/>
  <c r="C82"/>
  <c r="B82"/>
  <c r="A82"/>
  <c r="G81"/>
  <c r="D81"/>
  <c r="C81"/>
  <c r="B81"/>
  <c r="A81"/>
  <c r="G80"/>
  <c r="C80"/>
  <c r="B80"/>
  <c r="A80"/>
  <c r="A78"/>
  <c r="A77"/>
  <c r="A76"/>
  <c r="A75"/>
  <c r="A74"/>
  <c r="A73"/>
  <c r="A72"/>
  <c r="A71"/>
  <c r="D69"/>
  <c r="C69"/>
  <c r="B69"/>
  <c r="A69"/>
  <c r="D68"/>
  <c r="C68"/>
  <c r="B68"/>
  <c r="A68"/>
  <c r="D67"/>
  <c r="C67"/>
  <c r="B67"/>
  <c r="A67"/>
  <c r="D66"/>
  <c r="C66"/>
  <c r="B66"/>
  <c r="A66"/>
  <c r="D65"/>
  <c r="C65"/>
  <c r="B65"/>
  <c r="A65"/>
  <c r="D64"/>
  <c r="C64"/>
  <c r="B64"/>
  <c r="A64"/>
  <c r="D63"/>
  <c r="C63"/>
  <c r="B63"/>
  <c r="A63"/>
  <c r="C62"/>
  <c r="B62"/>
  <c r="A62"/>
  <c r="Q60"/>
  <c r="A60"/>
  <c r="Q59"/>
  <c r="A59"/>
  <c r="Q58"/>
  <c r="A58"/>
  <c r="Q57"/>
  <c r="A57"/>
  <c r="Q56"/>
  <c r="A56"/>
  <c r="Q55"/>
  <c r="A55"/>
  <c r="Q54"/>
  <c r="A54"/>
  <c r="Q53"/>
  <c r="A53"/>
  <c r="G51"/>
  <c r="D51"/>
  <c r="C51"/>
  <c r="B51"/>
  <c r="A51"/>
  <c r="G50"/>
  <c r="D50"/>
  <c r="C50"/>
  <c r="B50"/>
  <c r="A50"/>
  <c r="G49"/>
  <c r="D49"/>
  <c r="C49"/>
  <c r="B49"/>
  <c r="A49"/>
  <c r="G48"/>
  <c r="D48"/>
  <c r="C48"/>
  <c r="B48"/>
  <c r="A48"/>
  <c r="G47"/>
  <c r="D47"/>
  <c r="C47"/>
  <c r="B47"/>
  <c r="A47"/>
  <c r="G46"/>
  <c r="D46"/>
  <c r="C46"/>
  <c r="B46"/>
  <c r="A46"/>
  <c r="G45"/>
  <c r="D45"/>
  <c r="C45"/>
  <c r="B45"/>
  <c r="A45"/>
  <c r="G44"/>
  <c r="C44"/>
  <c r="B44"/>
  <c r="A44"/>
  <c r="A40"/>
  <c r="A39"/>
  <c r="A38"/>
  <c r="A37"/>
  <c r="A36"/>
  <c r="A35"/>
  <c r="A34"/>
  <c r="A33"/>
  <c r="Q30"/>
  <c r="P30"/>
  <c r="O30"/>
  <c r="N30"/>
  <c r="M30"/>
  <c r="L30"/>
  <c r="K30"/>
  <c r="J30"/>
  <c r="I30"/>
  <c r="H30"/>
  <c r="D30"/>
  <c r="C30"/>
  <c r="B30"/>
  <c r="A30"/>
  <c r="Q29"/>
  <c r="P29"/>
  <c r="O29"/>
  <c r="N29"/>
  <c r="M29"/>
  <c r="L29"/>
  <c r="K29"/>
  <c r="J29"/>
  <c r="I29"/>
  <c r="H29"/>
  <c r="D29"/>
  <c r="C29"/>
  <c r="B29"/>
  <c r="A29"/>
  <c r="Q28"/>
  <c r="P28"/>
  <c r="O28"/>
  <c r="N28"/>
  <c r="M28"/>
  <c r="L28"/>
  <c r="K28"/>
  <c r="J28"/>
  <c r="I28"/>
  <c r="H28"/>
  <c r="D28"/>
  <c r="C28"/>
  <c r="B28"/>
  <c r="A28"/>
  <c r="Q27"/>
  <c r="P27"/>
  <c r="O27"/>
  <c r="N27"/>
  <c r="M27"/>
  <c r="L27"/>
  <c r="K27"/>
  <c r="J27"/>
  <c r="I27"/>
  <c r="H27"/>
  <c r="D27"/>
  <c r="C27"/>
  <c r="B27"/>
  <c r="A27"/>
  <c r="Q26"/>
  <c r="P26"/>
  <c r="O26"/>
  <c r="N26"/>
  <c r="M26"/>
  <c r="L26"/>
  <c r="K26"/>
  <c r="J26"/>
  <c r="I26"/>
  <c r="H26"/>
  <c r="D26"/>
  <c r="C26"/>
  <c r="B26"/>
  <c r="A26"/>
  <c r="Q25"/>
  <c r="P25"/>
  <c r="O25"/>
  <c r="N25"/>
  <c r="M25"/>
  <c r="L25"/>
  <c r="K25"/>
  <c r="J25"/>
  <c r="I25"/>
  <c r="H25"/>
  <c r="D25"/>
  <c r="C25"/>
  <c r="B25"/>
  <c r="A25"/>
  <c r="Q24"/>
  <c r="P24"/>
  <c r="O24"/>
  <c r="N24"/>
  <c r="M24"/>
  <c r="L24"/>
  <c r="K24"/>
  <c r="J24"/>
  <c r="I24"/>
  <c r="H24"/>
  <c r="D24"/>
  <c r="C24"/>
  <c r="B24"/>
  <c r="A24"/>
  <c r="C23"/>
  <c r="B23"/>
  <c r="A23"/>
  <c r="A21"/>
  <c r="A20"/>
  <c r="A19"/>
  <c r="A18"/>
  <c r="A17"/>
  <c r="A16"/>
  <c r="A15"/>
  <c r="A14"/>
  <c r="A13"/>
  <c r="D11"/>
  <c r="C11"/>
  <c r="B11"/>
  <c r="A11"/>
  <c r="D10"/>
  <c r="C10"/>
  <c r="B10"/>
  <c r="A10"/>
  <c r="D9"/>
  <c r="C9"/>
  <c r="B9"/>
  <c r="A9"/>
  <c r="D8"/>
  <c r="C8"/>
  <c r="B8"/>
  <c r="A8"/>
  <c r="D7"/>
  <c r="C7"/>
  <c r="B7"/>
  <c r="A7"/>
  <c r="D6"/>
  <c r="C6"/>
  <c r="B6"/>
  <c r="A6"/>
  <c r="D5"/>
  <c r="C5"/>
  <c r="B5"/>
  <c r="A5"/>
  <c r="C4"/>
  <c r="B4"/>
  <c r="A4"/>
  <c r="B3"/>
  <c r="A3"/>
  <c r="G1"/>
  <c r="F1"/>
  <c r="E1"/>
  <c r="D1"/>
  <c r="C1"/>
  <c r="B1"/>
  <c r="A1"/>
  <c r="P121" i="25"/>
  <c r="O121"/>
  <c r="N121"/>
  <c r="M121"/>
  <c r="L121"/>
  <c r="K121"/>
  <c r="J121"/>
  <c r="I121"/>
  <c r="G120"/>
  <c r="P119"/>
  <c r="O119"/>
  <c r="N119"/>
  <c r="M119"/>
  <c r="L119"/>
  <c r="K119"/>
  <c r="J119"/>
  <c r="I119"/>
  <c r="G118"/>
  <c r="O117"/>
  <c r="N117"/>
  <c r="M117"/>
  <c r="L117"/>
  <c r="K117"/>
  <c r="J117"/>
  <c r="I117"/>
  <c r="Q108"/>
  <c r="P108"/>
  <c r="O108"/>
  <c r="N108"/>
  <c r="M108"/>
  <c r="L108"/>
  <c r="K108"/>
  <c r="J108"/>
  <c r="I108"/>
  <c r="Q105"/>
  <c r="Q106" s="1"/>
  <c r="P105"/>
  <c r="O105"/>
  <c r="O106" s="1"/>
  <c r="N105"/>
  <c r="M105"/>
  <c r="M106" s="1"/>
  <c r="L105"/>
  <c r="K105"/>
  <c r="K106" s="1"/>
  <c r="J105"/>
  <c r="I105"/>
  <c r="I106" s="1"/>
  <c r="H105"/>
  <c r="Q103"/>
  <c r="Q104" s="1"/>
  <c r="P103"/>
  <c r="O103"/>
  <c r="O104" s="1"/>
  <c r="N103"/>
  <c r="M103"/>
  <c r="M104" s="1"/>
  <c r="L103"/>
  <c r="K103"/>
  <c r="K104" s="1"/>
  <c r="J103"/>
  <c r="I103"/>
  <c r="I104" s="1"/>
  <c r="H103"/>
  <c r="Q102"/>
  <c r="P102"/>
  <c r="O102"/>
  <c r="N102"/>
  <c r="M102"/>
  <c r="L102"/>
  <c r="K102"/>
  <c r="J102"/>
  <c r="I102"/>
  <c r="Q99"/>
  <c r="P99"/>
  <c r="O99"/>
  <c r="N99"/>
  <c r="M99"/>
  <c r="L99"/>
  <c r="K99"/>
  <c r="J99"/>
  <c r="I99"/>
  <c r="H99"/>
  <c r="O97"/>
  <c r="N97"/>
  <c r="M97"/>
  <c r="L97"/>
  <c r="K97"/>
  <c r="J97"/>
  <c r="I97"/>
  <c r="H97"/>
  <c r="H11" s="1"/>
  <c r="AB86"/>
  <c r="AA86"/>
  <c r="Z86"/>
  <c r="Y86"/>
  <c r="X86"/>
  <c r="I80"/>
  <c r="Q77"/>
  <c r="P77"/>
  <c r="P78" s="1"/>
  <c r="O77"/>
  <c r="N77"/>
  <c r="N78" s="1"/>
  <c r="M77"/>
  <c r="L77"/>
  <c r="L78" s="1"/>
  <c r="K77"/>
  <c r="J77"/>
  <c r="J78" s="1"/>
  <c r="I77"/>
  <c r="H77"/>
  <c r="Q69"/>
  <c r="P69"/>
  <c r="O69"/>
  <c r="N69"/>
  <c r="M69"/>
  <c r="L69"/>
  <c r="K69"/>
  <c r="J69"/>
  <c r="I69"/>
  <c r="H69"/>
  <c r="P67"/>
  <c r="N67"/>
  <c r="L67"/>
  <c r="J67"/>
  <c r="H67"/>
  <c r="P65"/>
  <c r="N65"/>
  <c r="L65"/>
  <c r="J65"/>
  <c r="H65"/>
  <c r="L63"/>
  <c r="K63"/>
  <c r="J63"/>
  <c r="I63"/>
  <c r="H63"/>
  <c r="C63"/>
  <c r="B63"/>
  <c r="Q57"/>
  <c r="P57"/>
  <c r="O57"/>
  <c r="N57"/>
  <c r="M57"/>
  <c r="L57"/>
  <c r="K57"/>
  <c r="J57"/>
  <c r="I57"/>
  <c r="Q54"/>
  <c r="P54"/>
  <c r="P55" s="1"/>
  <c r="O54"/>
  <c r="N54"/>
  <c r="N55" s="1"/>
  <c r="M54"/>
  <c r="L54"/>
  <c r="L55" s="1"/>
  <c r="K54"/>
  <c r="J54"/>
  <c r="J55" s="1"/>
  <c r="I54"/>
  <c r="H54"/>
  <c r="O52"/>
  <c r="N52"/>
  <c r="M52"/>
  <c r="L52"/>
  <c r="K52"/>
  <c r="J52"/>
  <c r="I52"/>
  <c r="H52"/>
  <c r="Q48"/>
  <c r="P48"/>
  <c r="O48"/>
  <c r="N48"/>
  <c r="M48"/>
  <c r="L48"/>
  <c r="K48"/>
  <c r="J48"/>
  <c r="I48"/>
  <c r="H48"/>
  <c r="L45"/>
  <c r="K45"/>
  <c r="J45"/>
  <c r="I45"/>
  <c r="H45"/>
  <c r="C45"/>
  <c r="B45"/>
  <c r="Q40"/>
  <c r="P40"/>
  <c r="O40"/>
  <c r="N40"/>
  <c r="M40"/>
  <c r="L40"/>
  <c r="K40"/>
  <c r="J40"/>
  <c r="I40"/>
  <c r="Q37"/>
  <c r="P37"/>
  <c r="P38" s="1"/>
  <c r="O37"/>
  <c r="N37"/>
  <c r="N38" s="1"/>
  <c r="M37"/>
  <c r="L37"/>
  <c r="L38" s="1"/>
  <c r="K37"/>
  <c r="J37"/>
  <c r="J38" s="1"/>
  <c r="I37"/>
  <c r="H37"/>
  <c r="O35"/>
  <c r="N35"/>
  <c r="M35"/>
  <c r="L35"/>
  <c r="K35"/>
  <c r="J35"/>
  <c r="I35"/>
  <c r="H35"/>
  <c r="L33"/>
  <c r="K33"/>
  <c r="K50" s="1"/>
  <c r="J33"/>
  <c r="I33"/>
  <c r="I50" s="1"/>
  <c r="H33"/>
  <c r="H50" s="1"/>
  <c r="Q31"/>
  <c r="P31"/>
  <c r="O31"/>
  <c r="N31"/>
  <c r="M31"/>
  <c r="L31"/>
  <c r="K31"/>
  <c r="J31"/>
  <c r="I31"/>
  <c r="H31"/>
  <c r="I28"/>
  <c r="H28"/>
  <c r="C28"/>
  <c r="B28"/>
  <c r="J25"/>
  <c r="I25"/>
  <c r="H25"/>
  <c r="C25"/>
  <c r="B25"/>
  <c r="F18"/>
  <c r="D18"/>
  <c r="C18"/>
  <c r="B18"/>
  <c r="L16"/>
  <c r="K16"/>
  <c r="J16"/>
  <c r="I16"/>
  <c r="H16"/>
  <c r="F16"/>
  <c r="D16"/>
  <c r="C16"/>
  <c r="B16"/>
  <c r="H13"/>
  <c r="K10"/>
  <c r="P8"/>
  <c r="N8"/>
  <c r="L8"/>
  <c r="J8"/>
  <c r="D4"/>
  <c r="C4"/>
  <c r="B4"/>
  <c r="Q1"/>
  <c r="P1"/>
  <c r="O1"/>
  <c r="N1"/>
  <c r="M1"/>
  <c r="L1"/>
  <c r="K1"/>
  <c r="J1"/>
  <c r="I1"/>
  <c r="H1"/>
  <c r="C1"/>
  <c r="B1"/>
  <c r="A1"/>
  <c r="A29" i="24"/>
  <c r="A28"/>
  <c r="A25"/>
  <c r="A22"/>
  <c r="A19"/>
  <c r="A16"/>
  <c r="A13"/>
  <c r="A10"/>
  <c r="A7"/>
  <c r="A4"/>
  <c r="A1"/>
  <c r="P337" i="10"/>
  <c r="O337"/>
  <c r="N337"/>
  <c r="M337"/>
  <c r="L337"/>
  <c r="K337"/>
  <c r="J337"/>
  <c r="I337"/>
  <c r="Q336"/>
  <c r="Q337" s="1"/>
  <c r="Q335"/>
  <c r="P335"/>
  <c r="O335"/>
  <c r="N335"/>
  <c r="M335"/>
  <c r="L335"/>
  <c r="K335"/>
  <c r="J335"/>
  <c r="I335"/>
  <c r="Q333"/>
  <c r="P333"/>
  <c r="O333"/>
  <c r="N333"/>
  <c r="M333"/>
  <c r="L333"/>
  <c r="K333"/>
  <c r="J333"/>
  <c r="I333"/>
  <c r="Q331"/>
  <c r="P331"/>
  <c r="O331"/>
  <c r="N331"/>
  <c r="M331"/>
  <c r="L331"/>
  <c r="K331"/>
  <c r="J331"/>
  <c r="I331"/>
  <c r="Q329"/>
  <c r="P329"/>
  <c r="O329"/>
  <c r="N329"/>
  <c r="M329"/>
  <c r="L329"/>
  <c r="K329"/>
  <c r="J329"/>
  <c r="I329"/>
  <c r="Q327"/>
  <c r="P327"/>
  <c r="O327"/>
  <c r="N327"/>
  <c r="M327"/>
  <c r="L327"/>
  <c r="K327"/>
  <c r="J327"/>
  <c r="I327"/>
  <c r="Q325"/>
  <c r="P325"/>
  <c r="O325"/>
  <c r="N325"/>
  <c r="M325"/>
  <c r="L325"/>
  <c r="K325"/>
  <c r="J325"/>
  <c r="I325"/>
  <c r="Q323"/>
  <c r="P323"/>
  <c r="O323"/>
  <c r="N323"/>
  <c r="M323"/>
  <c r="L323"/>
  <c r="K323"/>
  <c r="J323"/>
  <c r="I323"/>
  <c r="Q321"/>
  <c r="P321"/>
  <c r="O321"/>
  <c r="N321"/>
  <c r="M321"/>
  <c r="L321"/>
  <c r="K321"/>
  <c r="J321"/>
  <c r="I321"/>
  <c r="Q319"/>
  <c r="P319"/>
  <c r="O319"/>
  <c r="N319"/>
  <c r="M319"/>
  <c r="L319"/>
  <c r="K319"/>
  <c r="J319"/>
  <c r="I319"/>
  <c r="Q317"/>
  <c r="P317"/>
  <c r="O317"/>
  <c r="N317"/>
  <c r="M317"/>
  <c r="L317"/>
  <c r="K317"/>
  <c r="J317"/>
  <c r="I317"/>
  <c r="Q315"/>
  <c r="P315"/>
  <c r="O315"/>
  <c r="N315"/>
  <c r="M315"/>
  <c r="L315"/>
  <c r="K315"/>
  <c r="J315"/>
  <c r="I315"/>
  <c r="Q313"/>
  <c r="P313"/>
  <c r="O313"/>
  <c r="N313"/>
  <c r="M313"/>
  <c r="L313"/>
  <c r="K313"/>
  <c r="J313"/>
  <c r="I313"/>
  <c r="Q311"/>
  <c r="P311"/>
  <c r="O311"/>
  <c r="N311"/>
  <c r="M311"/>
  <c r="L311"/>
  <c r="K311"/>
  <c r="J311"/>
  <c r="I311"/>
  <c r="Q309"/>
  <c r="P309"/>
  <c r="O309"/>
  <c r="N309"/>
  <c r="M309"/>
  <c r="L309"/>
  <c r="K309"/>
  <c r="J309"/>
  <c r="I309"/>
  <c r="Q307"/>
  <c r="P307"/>
  <c r="O307"/>
  <c r="N307"/>
  <c r="M307"/>
  <c r="L307"/>
  <c r="K307"/>
  <c r="J307"/>
  <c r="I307"/>
  <c r="Q305"/>
  <c r="P305"/>
  <c r="O305"/>
  <c r="N305"/>
  <c r="M305"/>
  <c r="L305"/>
  <c r="K305"/>
  <c r="J305"/>
  <c r="I305"/>
  <c r="Q303"/>
  <c r="P303"/>
  <c r="O303"/>
  <c r="N303"/>
  <c r="M303"/>
  <c r="L303"/>
  <c r="K303"/>
  <c r="J303"/>
  <c r="I303"/>
  <c r="Q301"/>
  <c r="P301"/>
  <c r="O301"/>
  <c r="N301"/>
  <c r="M301"/>
  <c r="L301"/>
  <c r="K301"/>
  <c r="J301"/>
  <c r="I301"/>
  <c r="Q299"/>
  <c r="P299"/>
  <c r="O299"/>
  <c r="N299"/>
  <c r="M299"/>
  <c r="L299"/>
  <c r="K299"/>
  <c r="J299"/>
  <c r="I299"/>
  <c r="I297"/>
  <c r="Q295"/>
  <c r="P295"/>
  <c r="O295"/>
  <c r="N295"/>
  <c r="M295"/>
  <c r="L295"/>
  <c r="K295"/>
  <c r="J295"/>
  <c r="I295"/>
  <c r="Q293"/>
  <c r="P293"/>
  <c r="O293"/>
  <c r="N293"/>
  <c r="M293"/>
  <c r="L293"/>
  <c r="K293"/>
  <c r="J293"/>
  <c r="I293"/>
  <c r="Q291"/>
  <c r="P291"/>
  <c r="O291"/>
  <c r="N291"/>
  <c r="M291"/>
  <c r="L291"/>
  <c r="K291"/>
  <c r="J291"/>
  <c r="I291"/>
  <c r="M289"/>
  <c r="L289"/>
  <c r="K289"/>
  <c r="J289"/>
  <c r="N288"/>
  <c r="N289" s="1"/>
  <c r="H288"/>
  <c r="Q287"/>
  <c r="P287"/>
  <c r="O287"/>
  <c r="N287"/>
  <c r="M287"/>
  <c r="L287"/>
  <c r="K287"/>
  <c r="J287"/>
  <c r="I287"/>
  <c r="K281"/>
  <c r="J281"/>
  <c r="I281"/>
  <c r="H281"/>
  <c r="F281"/>
  <c r="D281"/>
  <c r="C280"/>
  <c r="K279"/>
  <c r="J279"/>
  <c r="I279"/>
  <c r="H279"/>
  <c r="F279"/>
  <c r="D279"/>
  <c r="C278"/>
  <c r="F277"/>
  <c r="C277"/>
  <c r="B277"/>
  <c r="A277"/>
  <c r="S276"/>
  <c r="R276"/>
  <c r="K276"/>
  <c r="J276"/>
  <c r="I276"/>
  <c r="H276"/>
  <c r="D276"/>
  <c r="S275"/>
  <c r="R275"/>
  <c r="K275"/>
  <c r="J275"/>
  <c r="I275"/>
  <c r="H275"/>
  <c r="S274"/>
  <c r="R274"/>
  <c r="K274"/>
  <c r="J274"/>
  <c r="I274"/>
  <c r="H274"/>
  <c r="D274"/>
  <c r="S273"/>
  <c r="R273"/>
  <c r="K273"/>
  <c r="J273"/>
  <c r="I273"/>
  <c r="H273"/>
  <c r="S272"/>
  <c r="R272"/>
  <c r="K272"/>
  <c r="J272"/>
  <c r="I272"/>
  <c r="H272"/>
  <c r="D272"/>
  <c r="S271"/>
  <c r="R271"/>
  <c r="K271"/>
  <c r="J271"/>
  <c r="I271"/>
  <c r="H271"/>
  <c r="S270"/>
  <c r="R270"/>
  <c r="K270"/>
  <c r="J270"/>
  <c r="I270"/>
  <c r="H270"/>
  <c r="D270"/>
  <c r="S269"/>
  <c r="R269"/>
  <c r="K269"/>
  <c r="J269"/>
  <c r="I269"/>
  <c r="H269"/>
  <c r="S268"/>
  <c r="R268"/>
  <c r="K268"/>
  <c r="J268"/>
  <c r="I268"/>
  <c r="H268"/>
  <c r="D268"/>
  <c r="S267"/>
  <c r="R267"/>
  <c r="K267"/>
  <c r="J267"/>
  <c r="I267"/>
  <c r="H267"/>
  <c r="S266"/>
  <c r="R266"/>
  <c r="K266"/>
  <c r="J266"/>
  <c r="I266"/>
  <c r="H266"/>
  <c r="D266"/>
  <c r="S265"/>
  <c r="R265"/>
  <c r="K265"/>
  <c r="J265"/>
  <c r="I265"/>
  <c r="H265"/>
  <c r="S264"/>
  <c r="R264"/>
  <c r="K264"/>
  <c r="J264"/>
  <c r="I264"/>
  <c r="H264"/>
  <c r="D264"/>
  <c r="S263"/>
  <c r="R263"/>
  <c r="K263"/>
  <c r="J263"/>
  <c r="I263"/>
  <c r="H263"/>
  <c r="S262"/>
  <c r="R262"/>
  <c r="K262"/>
  <c r="J262"/>
  <c r="I262"/>
  <c r="H262"/>
  <c r="D262"/>
  <c r="D261"/>
  <c r="D259"/>
  <c r="D257"/>
  <c r="F256"/>
  <c r="C256"/>
  <c r="F255"/>
  <c r="D255"/>
  <c r="C255"/>
  <c r="B255"/>
  <c r="A255"/>
  <c r="F254"/>
  <c r="C254"/>
  <c r="F253"/>
  <c r="D253"/>
  <c r="C253"/>
  <c r="B253"/>
  <c r="A253"/>
  <c r="F252"/>
  <c r="C252"/>
  <c r="F251"/>
  <c r="D251"/>
  <c r="C251"/>
  <c r="B251"/>
  <c r="A251"/>
  <c r="F250"/>
  <c r="C250"/>
  <c r="F249"/>
  <c r="C249"/>
  <c r="B249"/>
  <c r="A249"/>
  <c r="E248"/>
  <c r="Q246"/>
  <c r="P246"/>
  <c r="O246"/>
  <c r="N246"/>
  <c r="M246"/>
  <c r="L246"/>
  <c r="K246"/>
  <c r="J246"/>
  <c r="I246"/>
  <c r="H246"/>
  <c r="Q244"/>
  <c r="P244"/>
  <c r="O244"/>
  <c r="N244"/>
  <c r="M244"/>
  <c r="L244"/>
  <c r="K244"/>
  <c r="J244"/>
  <c r="I244"/>
  <c r="H244"/>
  <c r="Q242"/>
  <c r="P242"/>
  <c r="O242"/>
  <c r="N242"/>
  <c r="M242"/>
  <c r="L242"/>
  <c r="K242"/>
  <c r="J242"/>
  <c r="I242"/>
  <c r="H242"/>
  <c r="I240"/>
  <c r="H240"/>
  <c r="N238"/>
  <c r="M238"/>
  <c r="L238"/>
  <c r="K238"/>
  <c r="J238"/>
  <c r="I238"/>
  <c r="H238"/>
  <c r="Q236"/>
  <c r="P236"/>
  <c r="O236"/>
  <c r="N236"/>
  <c r="M236"/>
  <c r="L236"/>
  <c r="K236"/>
  <c r="J236"/>
  <c r="I236"/>
  <c r="H236"/>
  <c r="F234"/>
  <c r="C234"/>
  <c r="F233"/>
  <c r="D233"/>
  <c r="C233"/>
  <c r="B233"/>
  <c r="A233"/>
  <c r="E232"/>
  <c r="Q230"/>
  <c r="P230"/>
  <c r="O230"/>
  <c r="N230"/>
  <c r="M230"/>
  <c r="L230"/>
  <c r="K230"/>
  <c r="J230"/>
  <c r="I230"/>
  <c r="H230"/>
  <c r="Q228"/>
  <c r="P228"/>
  <c r="O228"/>
  <c r="N228"/>
  <c r="M228"/>
  <c r="L228"/>
  <c r="K228"/>
  <c r="J228"/>
  <c r="I228"/>
  <c r="H228"/>
  <c r="Q226"/>
  <c r="P226"/>
  <c r="O226"/>
  <c r="N226"/>
  <c r="M226"/>
  <c r="L226"/>
  <c r="K226"/>
  <c r="J226"/>
  <c r="I226"/>
  <c r="H226"/>
  <c r="I224"/>
  <c r="H224"/>
  <c r="M222"/>
  <c r="L222"/>
  <c r="K222"/>
  <c r="J222"/>
  <c r="I222"/>
  <c r="H222"/>
  <c r="Q220"/>
  <c r="P220"/>
  <c r="O220"/>
  <c r="N220"/>
  <c r="M220"/>
  <c r="L220"/>
  <c r="K220"/>
  <c r="K221" s="1"/>
  <c r="J220"/>
  <c r="I220"/>
  <c r="I221" s="1"/>
  <c r="H220"/>
  <c r="F218"/>
  <c r="C218"/>
  <c r="F217"/>
  <c r="D217"/>
  <c r="C217"/>
  <c r="B217"/>
  <c r="A217"/>
  <c r="E216"/>
  <c r="Q214"/>
  <c r="P214"/>
  <c r="O214"/>
  <c r="N214"/>
  <c r="M214"/>
  <c r="L214"/>
  <c r="K214"/>
  <c r="K215" s="1"/>
  <c r="J214"/>
  <c r="I214"/>
  <c r="I215" s="1"/>
  <c r="H214"/>
  <c r="Q212"/>
  <c r="Q213" s="1"/>
  <c r="P212"/>
  <c r="O212"/>
  <c r="O213" s="1"/>
  <c r="N212"/>
  <c r="M212"/>
  <c r="M213" s="1"/>
  <c r="L212"/>
  <c r="K212"/>
  <c r="K213" s="1"/>
  <c r="J212"/>
  <c r="I212"/>
  <c r="I213" s="1"/>
  <c r="H212"/>
  <c r="Q210"/>
  <c r="Q211" s="1"/>
  <c r="P210"/>
  <c r="O210"/>
  <c r="O211" s="1"/>
  <c r="N210"/>
  <c r="M210"/>
  <c r="M211" s="1"/>
  <c r="L210"/>
  <c r="K210"/>
  <c r="K211" s="1"/>
  <c r="J210"/>
  <c r="I210"/>
  <c r="I211" s="1"/>
  <c r="H210"/>
  <c r="I208"/>
  <c r="I209" s="1"/>
  <c r="H208"/>
  <c r="N206"/>
  <c r="M206"/>
  <c r="L206"/>
  <c r="K206"/>
  <c r="J206"/>
  <c r="I206"/>
  <c r="H206"/>
  <c r="Q204"/>
  <c r="P204"/>
  <c r="O204"/>
  <c r="N204"/>
  <c r="M204"/>
  <c r="L204"/>
  <c r="K204"/>
  <c r="J204"/>
  <c r="I204"/>
  <c r="H204"/>
  <c r="F202"/>
  <c r="C202"/>
  <c r="F201"/>
  <c r="D201"/>
  <c r="C201"/>
  <c r="B201"/>
  <c r="E200"/>
  <c r="Q198"/>
  <c r="P198"/>
  <c r="O198"/>
  <c r="N198"/>
  <c r="M198"/>
  <c r="L198"/>
  <c r="K198"/>
  <c r="J198"/>
  <c r="I198"/>
  <c r="H198"/>
  <c r="Q196"/>
  <c r="P196"/>
  <c r="O196"/>
  <c r="N196"/>
  <c r="M196"/>
  <c r="L196"/>
  <c r="K196"/>
  <c r="J196"/>
  <c r="I196"/>
  <c r="H196"/>
  <c r="Q194"/>
  <c r="P194"/>
  <c r="O194"/>
  <c r="N194"/>
  <c r="M194"/>
  <c r="L194"/>
  <c r="K194"/>
  <c r="J194"/>
  <c r="I194"/>
  <c r="H194"/>
  <c r="I192"/>
  <c r="H192"/>
  <c r="M190"/>
  <c r="L190"/>
  <c r="K190"/>
  <c r="J190"/>
  <c r="I190"/>
  <c r="H190"/>
  <c r="Q188"/>
  <c r="P188"/>
  <c r="O188"/>
  <c r="N188"/>
  <c r="M188"/>
  <c r="L188"/>
  <c r="K188"/>
  <c r="J188"/>
  <c r="I188"/>
  <c r="I189" s="1"/>
  <c r="H188"/>
  <c r="F186"/>
  <c r="C186"/>
  <c r="F185"/>
  <c r="D185"/>
  <c r="C185"/>
  <c r="B185"/>
  <c r="A185"/>
  <c r="Q182"/>
  <c r="P182"/>
  <c r="O182"/>
  <c r="N182"/>
  <c r="M182"/>
  <c r="L182"/>
  <c r="K182"/>
  <c r="J182"/>
  <c r="I182"/>
  <c r="H182"/>
  <c r="Q180"/>
  <c r="P180"/>
  <c r="O180"/>
  <c r="N180"/>
  <c r="M180"/>
  <c r="L180"/>
  <c r="K180"/>
  <c r="J180"/>
  <c r="J181" s="1"/>
  <c r="I180"/>
  <c r="H180"/>
  <c r="I181" s="1"/>
  <c r="Q178"/>
  <c r="P178"/>
  <c r="O178"/>
  <c r="N178"/>
  <c r="M178"/>
  <c r="L178"/>
  <c r="K178"/>
  <c r="J178"/>
  <c r="I178"/>
  <c r="H178"/>
  <c r="I176"/>
  <c r="H176"/>
  <c r="M174"/>
  <c r="L174"/>
  <c r="K174"/>
  <c r="J174"/>
  <c r="I174"/>
  <c r="H174"/>
  <c r="Q172"/>
  <c r="P172"/>
  <c r="O172"/>
  <c r="N172"/>
  <c r="M172"/>
  <c r="L172"/>
  <c r="K172"/>
  <c r="J172"/>
  <c r="I172"/>
  <c r="H172"/>
  <c r="F170"/>
  <c r="C170"/>
  <c r="F169"/>
  <c r="D169"/>
  <c r="C169"/>
  <c r="B169"/>
  <c r="A169"/>
  <c r="Q166"/>
  <c r="P166"/>
  <c r="O166"/>
  <c r="N166"/>
  <c r="M166"/>
  <c r="L166"/>
  <c r="K166"/>
  <c r="J166"/>
  <c r="I166"/>
  <c r="H166"/>
  <c r="Q164"/>
  <c r="P164"/>
  <c r="O164"/>
  <c r="N164"/>
  <c r="M164"/>
  <c r="L164"/>
  <c r="K164"/>
  <c r="J164"/>
  <c r="I164"/>
  <c r="H164"/>
  <c r="Q162"/>
  <c r="P162"/>
  <c r="O162"/>
  <c r="N162"/>
  <c r="M162"/>
  <c r="L162"/>
  <c r="K162"/>
  <c r="J162"/>
  <c r="I162"/>
  <c r="H162"/>
  <c r="I160"/>
  <c r="H160"/>
  <c r="M158"/>
  <c r="L158"/>
  <c r="K158"/>
  <c r="J158"/>
  <c r="I158"/>
  <c r="I159" s="1"/>
  <c r="H158"/>
  <c r="Q156"/>
  <c r="Q157" s="1"/>
  <c r="P156"/>
  <c r="O156"/>
  <c r="O157" s="1"/>
  <c r="N156"/>
  <c r="M156"/>
  <c r="M157" s="1"/>
  <c r="L156"/>
  <c r="K156"/>
  <c r="K157" s="1"/>
  <c r="J156"/>
  <c r="I156"/>
  <c r="I157" s="1"/>
  <c r="H156"/>
  <c r="F154"/>
  <c r="C154"/>
  <c r="F153"/>
  <c r="D153"/>
  <c r="C153"/>
  <c r="B153"/>
  <c r="A153"/>
  <c r="F152"/>
  <c r="C152"/>
  <c r="F151"/>
  <c r="C151"/>
  <c r="B151"/>
  <c r="A151"/>
  <c r="D150"/>
  <c r="D148"/>
  <c r="D146"/>
  <c r="F145"/>
  <c r="C145"/>
  <c r="F144"/>
  <c r="D144"/>
  <c r="C144"/>
  <c r="B144"/>
  <c r="A144"/>
  <c r="F143"/>
  <c r="C143"/>
  <c r="F142"/>
  <c r="D142"/>
  <c r="C142"/>
  <c r="B142"/>
  <c r="A142"/>
  <c r="F141"/>
  <c r="C141"/>
  <c r="F140"/>
  <c r="D140"/>
  <c r="C140"/>
  <c r="B140"/>
  <c r="A140"/>
  <c r="F139"/>
  <c r="C139"/>
  <c r="F138"/>
  <c r="C138"/>
  <c r="B138"/>
  <c r="A138"/>
  <c r="Q135"/>
  <c r="P135"/>
  <c r="O135"/>
  <c r="N135"/>
  <c r="M135"/>
  <c r="L135"/>
  <c r="K135"/>
  <c r="J135"/>
  <c r="I135"/>
  <c r="H135"/>
  <c r="E135"/>
  <c r="E137" s="1"/>
  <c r="Q133"/>
  <c r="P133"/>
  <c r="O133"/>
  <c r="N133"/>
  <c r="M133"/>
  <c r="L133"/>
  <c r="K133"/>
  <c r="J133"/>
  <c r="I133"/>
  <c r="H133"/>
  <c r="Q131"/>
  <c r="P131"/>
  <c r="O131"/>
  <c r="N131"/>
  <c r="M131"/>
  <c r="L131"/>
  <c r="K131"/>
  <c r="J131"/>
  <c r="I131"/>
  <c r="H131"/>
  <c r="F129"/>
  <c r="C129"/>
  <c r="F128"/>
  <c r="D128"/>
  <c r="C128"/>
  <c r="B128"/>
  <c r="A128"/>
  <c r="Q125"/>
  <c r="P125"/>
  <c r="O125"/>
  <c r="N125"/>
  <c r="M125"/>
  <c r="L125"/>
  <c r="K125"/>
  <c r="J125"/>
  <c r="I125"/>
  <c r="H125"/>
  <c r="E125"/>
  <c r="E127" s="1"/>
  <c r="Q123"/>
  <c r="P123"/>
  <c r="O123"/>
  <c r="N123"/>
  <c r="M123"/>
  <c r="L123"/>
  <c r="K123"/>
  <c r="J123"/>
  <c r="I123"/>
  <c r="H123"/>
  <c r="Q121"/>
  <c r="P121"/>
  <c r="O121"/>
  <c r="N121"/>
  <c r="M121"/>
  <c r="L121"/>
  <c r="K121"/>
  <c r="J121"/>
  <c r="I121"/>
  <c r="H121"/>
  <c r="F119"/>
  <c r="C119"/>
  <c r="F118"/>
  <c r="D118"/>
  <c r="C118"/>
  <c r="B118"/>
  <c r="A118"/>
  <c r="Q115"/>
  <c r="P115"/>
  <c r="O115"/>
  <c r="N115"/>
  <c r="M115"/>
  <c r="L115"/>
  <c r="K115"/>
  <c r="J115"/>
  <c r="I115"/>
  <c r="H115"/>
  <c r="E115"/>
  <c r="E117" s="1"/>
  <c r="Q113"/>
  <c r="P113"/>
  <c r="O113"/>
  <c r="N113"/>
  <c r="M113"/>
  <c r="L113"/>
  <c r="K113"/>
  <c r="J113"/>
  <c r="I113"/>
  <c r="H113"/>
  <c r="Q111"/>
  <c r="P111"/>
  <c r="O111"/>
  <c r="N111"/>
  <c r="M111"/>
  <c r="L111"/>
  <c r="K111"/>
  <c r="J111"/>
  <c r="I111"/>
  <c r="H111"/>
  <c r="F109"/>
  <c r="C109"/>
  <c r="F108"/>
  <c r="D108"/>
  <c r="C108"/>
  <c r="B108"/>
  <c r="A108"/>
  <c r="Q105"/>
  <c r="P105"/>
  <c r="O105"/>
  <c r="N105"/>
  <c r="M105"/>
  <c r="L105"/>
  <c r="K105"/>
  <c r="J105"/>
  <c r="I105"/>
  <c r="H105"/>
  <c r="E105"/>
  <c r="E107" s="1"/>
  <c r="Q103"/>
  <c r="P103"/>
  <c r="O103"/>
  <c r="N103"/>
  <c r="M103"/>
  <c r="L103"/>
  <c r="K103"/>
  <c r="J103"/>
  <c r="I103"/>
  <c r="H103"/>
  <c r="Q101"/>
  <c r="P101"/>
  <c r="O101"/>
  <c r="N101"/>
  <c r="M101"/>
  <c r="L101"/>
  <c r="K101"/>
  <c r="J101"/>
  <c r="I101"/>
  <c r="H101"/>
  <c r="F99"/>
  <c r="C99"/>
  <c r="F98"/>
  <c r="D98"/>
  <c r="C98"/>
  <c r="B98"/>
  <c r="A98"/>
  <c r="Q95"/>
  <c r="P95"/>
  <c r="O95"/>
  <c r="N95"/>
  <c r="M95"/>
  <c r="L95"/>
  <c r="K95"/>
  <c r="J95"/>
  <c r="I95"/>
  <c r="H95"/>
  <c r="E95"/>
  <c r="E97" s="1"/>
  <c r="Q93"/>
  <c r="P93"/>
  <c r="O93"/>
  <c r="N93"/>
  <c r="M93"/>
  <c r="L93"/>
  <c r="K93"/>
  <c r="J93"/>
  <c r="I93"/>
  <c r="H93"/>
  <c r="Q91"/>
  <c r="P91"/>
  <c r="O91"/>
  <c r="N91"/>
  <c r="M91"/>
  <c r="L91"/>
  <c r="K91"/>
  <c r="J91"/>
  <c r="I91"/>
  <c r="H91"/>
  <c r="F89"/>
  <c r="C89"/>
  <c r="F88"/>
  <c r="D88"/>
  <c r="C88"/>
  <c r="B88"/>
  <c r="A88"/>
  <c r="Q85"/>
  <c r="P85"/>
  <c r="O85"/>
  <c r="N85"/>
  <c r="M85"/>
  <c r="L85"/>
  <c r="K85"/>
  <c r="J85"/>
  <c r="I85"/>
  <c r="H85"/>
  <c r="E85"/>
  <c r="E87" s="1"/>
  <c r="Q83"/>
  <c r="P83"/>
  <c r="O83"/>
  <c r="N83"/>
  <c r="M83"/>
  <c r="L83"/>
  <c r="K83"/>
  <c r="J83"/>
  <c r="I83"/>
  <c r="H83"/>
  <c r="Q81"/>
  <c r="P81"/>
  <c r="O81"/>
  <c r="N81"/>
  <c r="M81"/>
  <c r="L81"/>
  <c r="K81"/>
  <c r="J81"/>
  <c r="I81"/>
  <c r="H81"/>
  <c r="F79"/>
  <c r="C79"/>
  <c r="F78"/>
  <c r="D78"/>
  <c r="C78"/>
  <c r="B78"/>
  <c r="A78"/>
  <c r="F77"/>
  <c r="C77"/>
  <c r="F76"/>
  <c r="C76"/>
  <c r="B76"/>
  <c r="A76"/>
  <c r="B75"/>
  <c r="A75"/>
  <c r="F68"/>
  <c r="F66"/>
  <c r="F64"/>
  <c r="F62"/>
  <c r="I59"/>
  <c r="H59"/>
  <c r="F59"/>
  <c r="N57"/>
  <c r="M57"/>
  <c r="L57"/>
  <c r="K57"/>
  <c r="J57"/>
  <c r="I57"/>
  <c r="H57"/>
  <c r="Q55"/>
  <c r="P55"/>
  <c r="O55"/>
  <c r="N55"/>
  <c r="M55"/>
  <c r="L55"/>
  <c r="K55"/>
  <c r="J55"/>
  <c r="I55"/>
  <c r="H55"/>
  <c r="C54"/>
  <c r="H53"/>
  <c r="F53"/>
  <c r="D53"/>
  <c r="C53"/>
  <c r="B53"/>
  <c r="A53"/>
  <c r="K48"/>
  <c r="J48"/>
  <c r="I48"/>
  <c r="H48"/>
  <c r="F47"/>
  <c r="C47"/>
  <c r="D46"/>
  <c r="C46"/>
  <c r="B46"/>
  <c r="A46"/>
  <c r="S45"/>
  <c r="R45"/>
  <c r="C45"/>
  <c r="B45"/>
  <c r="A45"/>
  <c r="F44"/>
  <c r="C44"/>
  <c r="K43"/>
  <c r="J43"/>
  <c r="I43"/>
  <c r="H43"/>
  <c r="F43"/>
  <c r="D43"/>
  <c r="C43"/>
  <c r="B43"/>
  <c r="A43"/>
  <c r="Q40"/>
  <c r="P40"/>
  <c r="O40"/>
  <c r="N40"/>
  <c r="M40"/>
  <c r="L40"/>
  <c r="K40"/>
  <c r="J40"/>
  <c r="I40"/>
  <c r="H40"/>
  <c r="Q38"/>
  <c r="P38"/>
  <c r="O38"/>
  <c r="N38"/>
  <c r="M38"/>
  <c r="L38"/>
  <c r="L39" s="1"/>
  <c r="K38"/>
  <c r="J38"/>
  <c r="J39" s="1"/>
  <c r="I38"/>
  <c r="H38"/>
  <c r="Q36"/>
  <c r="P36"/>
  <c r="O36"/>
  <c r="N36"/>
  <c r="M36"/>
  <c r="L36"/>
  <c r="K36"/>
  <c r="J36"/>
  <c r="I36"/>
  <c r="H36"/>
  <c r="M35"/>
  <c r="L35"/>
  <c r="K35"/>
  <c r="J35"/>
  <c r="N34"/>
  <c r="N35" s="1"/>
  <c r="H34"/>
  <c r="I35" s="1"/>
  <c r="Q33"/>
  <c r="P33"/>
  <c r="O33"/>
  <c r="N33"/>
  <c r="M33"/>
  <c r="L33"/>
  <c r="K33"/>
  <c r="J33"/>
  <c r="I33"/>
  <c r="H33"/>
  <c r="F30"/>
  <c r="C30"/>
  <c r="K29"/>
  <c r="J29"/>
  <c r="J50" s="1"/>
  <c r="I29"/>
  <c r="H29"/>
  <c r="H50" s="1"/>
  <c r="F29"/>
  <c r="D29"/>
  <c r="C29"/>
  <c r="B29"/>
  <c r="A29"/>
  <c r="F28"/>
  <c r="C28"/>
  <c r="F27"/>
  <c r="C27"/>
  <c r="B27"/>
  <c r="A27"/>
  <c r="D26"/>
  <c r="D24"/>
  <c r="D22"/>
  <c r="D20"/>
  <c r="F19"/>
  <c r="C19"/>
  <c r="K18"/>
  <c r="J18"/>
  <c r="I18"/>
  <c r="H18"/>
  <c r="F18"/>
  <c r="D18"/>
  <c r="C18"/>
  <c r="B18"/>
  <c r="A18"/>
  <c r="F17"/>
  <c r="C17"/>
  <c r="F16"/>
  <c r="D16"/>
  <c r="C16"/>
  <c r="B16"/>
  <c r="A16"/>
  <c r="F15"/>
  <c r="C15"/>
  <c r="K14"/>
  <c r="J14"/>
  <c r="I14"/>
  <c r="H14"/>
  <c r="F14"/>
  <c r="D14"/>
  <c r="C14"/>
  <c r="B14"/>
  <c r="A14"/>
  <c r="F13"/>
  <c r="C13"/>
  <c r="K12"/>
  <c r="J12"/>
  <c r="I12"/>
  <c r="H12"/>
  <c r="F12"/>
  <c r="D12"/>
  <c r="C12"/>
  <c r="B12"/>
  <c r="A12"/>
  <c r="F11"/>
  <c r="C11"/>
  <c r="F10"/>
  <c r="C10"/>
  <c r="B10"/>
  <c r="A10"/>
  <c r="F9"/>
  <c r="C9"/>
  <c r="R8"/>
  <c r="L8"/>
  <c r="K8"/>
  <c r="J8"/>
  <c r="I8"/>
  <c r="H8"/>
  <c r="F8"/>
  <c r="D8"/>
  <c r="C8"/>
  <c r="B8"/>
  <c r="A8"/>
  <c r="F7"/>
  <c r="C7"/>
  <c r="R6"/>
  <c r="L6"/>
  <c r="K6"/>
  <c r="J6"/>
  <c r="I6"/>
  <c r="H6"/>
  <c r="F6"/>
  <c r="D6"/>
  <c r="C6"/>
  <c r="B6"/>
  <c r="A6"/>
  <c r="F5"/>
  <c r="C5"/>
  <c r="R4"/>
  <c r="F4"/>
  <c r="C4"/>
  <c r="B4"/>
  <c r="A4"/>
  <c r="B2"/>
  <c r="A2"/>
  <c r="S1"/>
  <c r="R1"/>
  <c r="P1"/>
  <c r="O1"/>
  <c r="N1"/>
  <c r="M1"/>
  <c r="L1"/>
  <c r="K1"/>
  <c r="J1"/>
  <c r="I1"/>
  <c r="H1"/>
  <c r="F1"/>
  <c r="E1"/>
  <c r="F540" i="27"/>
  <c r="F539"/>
  <c r="F538"/>
  <c r="F537"/>
  <c r="F536"/>
  <c r="F535"/>
  <c r="F534"/>
  <c r="F533"/>
  <c r="F532"/>
  <c r="F531"/>
  <c r="F516"/>
  <c r="F514"/>
  <c r="R513"/>
  <c r="Q513"/>
  <c r="P513"/>
  <c r="O513"/>
  <c r="N513"/>
  <c r="M513"/>
  <c r="L513"/>
  <c r="K513"/>
  <c r="J513"/>
  <c r="R511"/>
  <c r="Q511"/>
  <c r="P511"/>
  <c r="O511"/>
  <c r="N511"/>
  <c r="M511"/>
  <c r="L511"/>
  <c r="K511"/>
  <c r="J511"/>
  <c r="R509"/>
  <c r="Q509"/>
  <c r="P509"/>
  <c r="O509"/>
  <c r="N509"/>
  <c r="M509"/>
  <c r="L509"/>
  <c r="K509"/>
  <c r="J509"/>
  <c r="R507"/>
  <c r="Q507"/>
  <c r="P507"/>
  <c r="O507"/>
  <c r="N507"/>
  <c r="M507"/>
  <c r="L507"/>
  <c r="K507"/>
  <c r="J507"/>
  <c r="L497"/>
  <c r="J497"/>
  <c r="R493"/>
  <c r="Q493"/>
  <c r="P493"/>
  <c r="O493"/>
  <c r="N493"/>
  <c r="M493"/>
  <c r="L493"/>
  <c r="K493"/>
  <c r="J493"/>
  <c r="M488"/>
  <c r="L488"/>
  <c r="L421" s="1"/>
  <c r="K488"/>
  <c r="J488"/>
  <c r="J421" s="1"/>
  <c r="I488"/>
  <c r="R486"/>
  <c r="R419" s="1"/>
  <c r="Q486"/>
  <c r="P486"/>
  <c r="O486"/>
  <c r="N486"/>
  <c r="N419" s="1"/>
  <c r="M486"/>
  <c r="L486"/>
  <c r="K486"/>
  <c r="J486"/>
  <c r="J419" s="1"/>
  <c r="I486"/>
  <c r="I487" s="1"/>
  <c r="J485"/>
  <c r="Q482"/>
  <c r="P482"/>
  <c r="O482"/>
  <c r="N482"/>
  <c r="M482"/>
  <c r="L482"/>
  <c r="K482"/>
  <c r="J482"/>
  <c r="I482"/>
  <c r="I483" s="1"/>
  <c r="F482"/>
  <c r="R481"/>
  <c r="Q481"/>
  <c r="P481"/>
  <c r="O481"/>
  <c r="N481"/>
  <c r="M481"/>
  <c r="L481"/>
  <c r="K481"/>
  <c r="J481"/>
  <c r="F480"/>
  <c r="F478"/>
  <c r="F476"/>
  <c r="I474"/>
  <c r="I9" i="20" s="1"/>
  <c r="F474" i="27"/>
  <c r="J461"/>
  <c r="I461"/>
  <c r="I462" s="1"/>
  <c r="M459"/>
  <c r="L459"/>
  <c r="K459"/>
  <c r="J459"/>
  <c r="R457"/>
  <c r="Q457"/>
  <c r="P457"/>
  <c r="O457"/>
  <c r="N457"/>
  <c r="M457"/>
  <c r="L457"/>
  <c r="K457"/>
  <c r="J457"/>
  <c r="I457"/>
  <c r="I458" s="1"/>
  <c r="G447"/>
  <c r="D447"/>
  <c r="C447"/>
  <c r="B447"/>
  <c r="A447"/>
  <c r="G445"/>
  <c r="D445"/>
  <c r="C445"/>
  <c r="B445"/>
  <c r="A445"/>
  <c r="G443"/>
  <c r="D443"/>
  <c r="C443"/>
  <c r="B443"/>
  <c r="A443"/>
  <c r="G441"/>
  <c r="D441"/>
  <c r="C441"/>
  <c r="B441"/>
  <c r="A441"/>
  <c r="G439"/>
  <c r="D439"/>
  <c r="C439"/>
  <c r="B439"/>
  <c r="A439"/>
  <c r="G437"/>
  <c r="D437"/>
  <c r="C437"/>
  <c r="B437"/>
  <c r="A437"/>
  <c r="G435"/>
  <c r="D435"/>
  <c r="C435"/>
  <c r="B435"/>
  <c r="A435"/>
  <c r="X433"/>
  <c r="W433"/>
  <c r="V433"/>
  <c r="U433"/>
  <c r="T433"/>
  <c r="S433"/>
  <c r="G433"/>
  <c r="C433"/>
  <c r="B433"/>
  <c r="A433"/>
  <c r="R429"/>
  <c r="Q429"/>
  <c r="P429"/>
  <c r="O429"/>
  <c r="N429"/>
  <c r="M429"/>
  <c r="L429"/>
  <c r="K429"/>
  <c r="J429"/>
  <c r="I429"/>
  <c r="R427"/>
  <c r="Q427"/>
  <c r="P427"/>
  <c r="O427"/>
  <c r="N427"/>
  <c r="M427"/>
  <c r="L427"/>
  <c r="K427"/>
  <c r="J427"/>
  <c r="I427"/>
  <c r="R425"/>
  <c r="R387" s="1"/>
  <c r="Q425"/>
  <c r="P425"/>
  <c r="P387" s="1"/>
  <c r="O425"/>
  <c r="N425"/>
  <c r="N387" s="1"/>
  <c r="M425"/>
  <c r="L425"/>
  <c r="L387" s="1"/>
  <c r="K425"/>
  <c r="J425"/>
  <c r="J387" s="1"/>
  <c r="I425"/>
  <c r="M421"/>
  <c r="K421"/>
  <c r="I421"/>
  <c r="P419"/>
  <c r="L419"/>
  <c r="G409"/>
  <c r="D409"/>
  <c r="C409"/>
  <c r="B409"/>
  <c r="A409"/>
  <c r="G407"/>
  <c r="D407"/>
  <c r="C407"/>
  <c r="B407"/>
  <c r="A407"/>
  <c r="G405"/>
  <c r="D405"/>
  <c r="C405"/>
  <c r="B405"/>
  <c r="A405"/>
  <c r="G403"/>
  <c r="D403"/>
  <c r="C403"/>
  <c r="B403"/>
  <c r="A403"/>
  <c r="G401"/>
  <c r="D401"/>
  <c r="C401"/>
  <c r="B401"/>
  <c r="A401"/>
  <c r="G399"/>
  <c r="D399"/>
  <c r="C399"/>
  <c r="B399"/>
  <c r="A399"/>
  <c r="G397"/>
  <c r="D397"/>
  <c r="C397"/>
  <c r="B397"/>
  <c r="A397"/>
  <c r="X395"/>
  <c r="W395"/>
  <c r="V395"/>
  <c r="U395"/>
  <c r="T395"/>
  <c r="S395"/>
  <c r="G395"/>
  <c r="C395"/>
  <c r="B395"/>
  <c r="A395"/>
  <c r="R391"/>
  <c r="Q391"/>
  <c r="P391"/>
  <c r="O391"/>
  <c r="N391"/>
  <c r="M391"/>
  <c r="L391"/>
  <c r="K391"/>
  <c r="J391"/>
  <c r="I391"/>
  <c r="I392" s="1"/>
  <c r="R389"/>
  <c r="Q389"/>
  <c r="P389"/>
  <c r="O389"/>
  <c r="N389"/>
  <c r="M389"/>
  <c r="L389"/>
  <c r="K389"/>
  <c r="J389"/>
  <c r="I389"/>
  <c r="I390" s="1"/>
  <c r="Q387"/>
  <c r="O387"/>
  <c r="M387"/>
  <c r="K387"/>
  <c r="I387"/>
  <c r="Q385"/>
  <c r="P385"/>
  <c r="O385"/>
  <c r="N385"/>
  <c r="M385"/>
  <c r="L385"/>
  <c r="K385"/>
  <c r="J385"/>
  <c r="I385"/>
  <c r="I386" s="1"/>
  <c r="M383"/>
  <c r="L383"/>
  <c r="K383"/>
  <c r="J383"/>
  <c r="I383"/>
  <c r="R381"/>
  <c r="Q381"/>
  <c r="P381"/>
  <c r="O381"/>
  <c r="N381"/>
  <c r="M381"/>
  <c r="L381"/>
  <c r="K381"/>
  <c r="J381"/>
  <c r="I381"/>
  <c r="I382" s="1"/>
  <c r="G371"/>
  <c r="D371"/>
  <c r="C371"/>
  <c r="B371"/>
  <c r="A371"/>
  <c r="G369"/>
  <c r="D369"/>
  <c r="C369"/>
  <c r="B369"/>
  <c r="A369"/>
  <c r="G367"/>
  <c r="D367"/>
  <c r="C367"/>
  <c r="B367"/>
  <c r="A367"/>
  <c r="G365"/>
  <c r="D365"/>
  <c r="C365"/>
  <c r="B365"/>
  <c r="A365"/>
  <c r="G363"/>
  <c r="D363"/>
  <c r="C363"/>
  <c r="B363"/>
  <c r="A363"/>
  <c r="G361"/>
  <c r="D361"/>
  <c r="C361"/>
  <c r="B361"/>
  <c r="A361"/>
  <c r="G359"/>
  <c r="D359"/>
  <c r="C359"/>
  <c r="B359"/>
  <c r="A359"/>
  <c r="G357"/>
  <c r="C357"/>
  <c r="B357"/>
  <c r="A357"/>
  <c r="G355"/>
  <c r="D355"/>
  <c r="C355"/>
  <c r="B355"/>
  <c r="A355"/>
  <c r="G353"/>
  <c r="D353"/>
  <c r="C353"/>
  <c r="B353"/>
  <c r="A353"/>
  <c r="G351"/>
  <c r="D351"/>
  <c r="C351"/>
  <c r="B351"/>
  <c r="A351"/>
  <c r="G349"/>
  <c r="D349"/>
  <c r="C349"/>
  <c r="B349"/>
  <c r="A349"/>
  <c r="G347"/>
  <c r="D347"/>
  <c r="C347"/>
  <c r="B347"/>
  <c r="A347"/>
  <c r="G345"/>
  <c r="D345"/>
  <c r="C345"/>
  <c r="B345"/>
  <c r="A345"/>
  <c r="G343"/>
  <c r="D343"/>
  <c r="C343"/>
  <c r="B343"/>
  <c r="A343"/>
  <c r="G341"/>
  <c r="C341"/>
  <c r="B341"/>
  <c r="A341"/>
  <c r="G328"/>
  <c r="E328"/>
  <c r="D328"/>
  <c r="C328"/>
  <c r="B328"/>
  <c r="A328"/>
  <c r="G326"/>
  <c r="E326"/>
  <c r="D326"/>
  <c r="C326"/>
  <c r="B326"/>
  <c r="A326"/>
  <c r="G324"/>
  <c r="E324"/>
  <c r="D324"/>
  <c r="C324"/>
  <c r="B324"/>
  <c r="A324"/>
  <c r="G322"/>
  <c r="E322"/>
  <c r="D322"/>
  <c r="C322"/>
  <c r="B322"/>
  <c r="A322"/>
  <c r="G320"/>
  <c r="E320"/>
  <c r="D320"/>
  <c r="C320"/>
  <c r="B320"/>
  <c r="A320"/>
  <c r="G318"/>
  <c r="E318"/>
  <c r="D318"/>
  <c r="C318"/>
  <c r="B318"/>
  <c r="A318"/>
  <c r="G316"/>
  <c r="D316"/>
  <c r="C316"/>
  <c r="B316"/>
  <c r="A316"/>
  <c r="G314"/>
  <c r="D314"/>
  <c r="C314"/>
  <c r="B314"/>
  <c r="A314"/>
  <c r="G312"/>
  <c r="C312"/>
  <c r="B312"/>
  <c r="A312"/>
  <c r="G310"/>
  <c r="D310"/>
  <c r="C310"/>
  <c r="B310"/>
  <c r="A310"/>
  <c r="G308"/>
  <c r="D308"/>
  <c r="C308"/>
  <c r="B308"/>
  <c r="A308"/>
  <c r="G306"/>
  <c r="C306"/>
  <c r="B306"/>
  <c r="A306"/>
  <c r="G304"/>
  <c r="D304"/>
  <c r="C304"/>
  <c r="B304"/>
  <c r="A304"/>
  <c r="G302"/>
  <c r="D302"/>
  <c r="C302"/>
  <c r="B302"/>
  <c r="A302"/>
  <c r="C300"/>
  <c r="B300"/>
  <c r="A300"/>
  <c r="B298"/>
  <c r="A298"/>
  <c r="G296"/>
  <c r="D296"/>
  <c r="C296"/>
  <c r="B296"/>
  <c r="A296"/>
  <c r="G294"/>
  <c r="D294"/>
  <c r="C294"/>
  <c r="B294"/>
  <c r="A294"/>
  <c r="G292"/>
  <c r="D292"/>
  <c r="C292"/>
  <c r="B292"/>
  <c r="A292"/>
  <c r="G290"/>
  <c r="D290"/>
  <c r="C290"/>
  <c r="B290"/>
  <c r="A290"/>
  <c r="G288"/>
  <c r="D288"/>
  <c r="C288"/>
  <c r="B288"/>
  <c r="A288"/>
  <c r="G286"/>
  <c r="D286"/>
  <c r="C286"/>
  <c r="B286"/>
  <c r="A286"/>
  <c r="G284"/>
  <c r="D284"/>
  <c r="C284"/>
  <c r="B284"/>
  <c r="A284"/>
  <c r="G282"/>
  <c r="C282"/>
  <c r="B282"/>
  <c r="A282"/>
  <c r="R279"/>
  <c r="Q279"/>
  <c r="P279"/>
  <c r="O279"/>
  <c r="N279"/>
  <c r="M279"/>
  <c r="L279"/>
  <c r="K279"/>
  <c r="J279"/>
  <c r="I279"/>
  <c r="R277"/>
  <c r="Q277"/>
  <c r="P277"/>
  <c r="O277"/>
  <c r="N277"/>
  <c r="M277"/>
  <c r="L277"/>
  <c r="K277"/>
  <c r="J277"/>
  <c r="I277"/>
  <c r="R275"/>
  <c r="Q275"/>
  <c r="P275"/>
  <c r="O275"/>
  <c r="N275"/>
  <c r="M275"/>
  <c r="L275"/>
  <c r="K275"/>
  <c r="J275"/>
  <c r="I275"/>
  <c r="M273"/>
  <c r="L273"/>
  <c r="K273"/>
  <c r="J273"/>
  <c r="I273"/>
  <c r="M272"/>
  <c r="L272"/>
  <c r="K272"/>
  <c r="J272"/>
  <c r="I272"/>
  <c r="M271"/>
  <c r="L271"/>
  <c r="K271"/>
  <c r="J271"/>
  <c r="I271"/>
  <c r="M270"/>
  <c r="L270"/>
  <c r="K270"/>
  <c r="J270"/>
  <c r="I270"/>
  <c r="M269"/>
  <c r="L269"/>
  <c r="K269"/>
  <c r="J269"/>
  <c r="I269"/>
  <c r="M268"/>
  <c r="L268"/>
  <c r="K268"/>
  <c r="J268"/>
  <c r="I268"/>
  <c r="M267"/>
  <c r="L267"/>
  <c r="K267"/>
  <c r="J267"/>
  <c r="I267"/>
  <c r="M266"/>
  <c r="L266"/>
  <c r="K266"/>
  <c r="J266"/>
  <c r="X265"/>
  <c r="W265"/>
  <c r="V265"/>
  <c r="U265"/>
  <c r="T265"/>
  <c r="G265"/>
  <c r="D265"/>
  <c r="C265"/>
  <c r="B265"/>
  <c r="A265"/>
  <c r="M264"/>
  <c r="L264"/>
  <c r="K264"/>
  <c r="J264"/>
  <c r="X263"/>
  <c r="W263"/>
  <c r="V263"/>
  <c r="U263"/>
  <c r="T263"/>
  <c r="G263"/>
  <c r="D263"/>
  <c r="C263"/>
  <c r="B263"/>
  <c r="A263"/>
  <c r="M262"/>
  <c r="L262"/>
  <c r="K262"/>
  <c r="J262"/>
  <c r="X261"/>
  <c r="W261"/>
  <c r="V261"/>
  <c r="U261"/>
  <c r="T261"/>
  <c r="G261"/>
  <c r="D261"/>
  <c r="C261"/>
  <c r="B261"/>
  <c r="A261"/>
  <c r="M260"/>
  <c r="L260"/>
  <c r="K260"/>
  <c r="J260"/>
  <c r="X259"/>
  <c r="W259"/>
  <c r="V259"/>
  <c r="U259"/>
  <c r="T259"/>
  <c r="G259"/>
  <c r="D259"/>
  <c r="C259"/>
  <c r="B259"/>
  <c r="A259"/>
  <c r="M258"/>
  <c r="L258"/>
  <c r="K258"/>
  <c r="J258"/>
  <c r="X257"/>
  <c r="W257"/>
  <c r="V257"/>
  <c r="U257"/>
  <c r="T257"/>
  <c r="G257"/>
  <c r="D257"/>
  <c r="C257"/>
  <c r="B257"/>
  <c r="A257"/>
  <c r="M256"/>
  <c r="L256"/>
  <c r="K256"/>
  <c r="J256"/>
  <c r="G255"/>
  <c r="D255"/>
  <c r="C255"/>
  <c r="B255"/>
  <c r="A255"/>
  <c r="M254"/>
  <c r="L254"/>
  <c r="K254"/>
  <c r="J254"/>
  <c r="G253"/>
  <c r="D253"/>
  <c r="C253"/>
  <c r="B253"/>
  <c r="A253"/>
  <c r="G251"/>
  <c r="C251"/>
  <c r="B251"/>
  <c r="A251"/>
  <c r="B249"/>
  <c r="A249"/>
  <c r="G247"/>
  <c r="D247"/>
  <c r="C247"/>
  <c r="B247"/>
  <c r="A247"/>
  <c r="G245"/>
  <c r="D245"/>
  <c r="C245"/>
  <c r="B245"/>
  <c r="A245"/>
  <c r="G243"/>
  <c r="D243"/>
  <c r="C243"/>
  <c r="B243"/>
  <c r="A243"/>
  <c r="G241"/>
  <c r="D241"/>
  <c r="C241"/>
  <c r="B241"/>
  <c r="A241"/>
  <c r="G239"/>
  <c r="D239"/>
  <c r="C239"/>
  <c r="B239"/>
  <c r="A239"/>
  <c r="G237"/>
  <c r="D237"/>
  <c r="C237"/>
  <c r="B237"/>
  <c r="A237"/>
  <c r="G235"/>
  <c r="D235"/>
  <c r="C235"/>
  <c r="B235"/>
  <c r="A235"/>
  <c r="G233"/>
  <c r="C233"/>
  <c r="B233"/>
  <c r="A233"/>
  <c r="X223"/>
  <c r="W223"/>
  <c r="V223"/>
  <c r="U223"/>
  <c r="T223"/>
  <c r="M223"/>
  <c r="M296" s="1"/>
  <c r="L223"/>
  <c r="L296" s="1"/>
  <c r="K223"/>
  <c r="K296" s="1"/>
  <c r="J223"/>
  <c r="J296" s="1"/>
  <c r="I223"/>
  <c r="I296" s="1"/>
  <c r="G223"/>
  <c r="D223"/>
  <c r="C223"/>
  <c r="B223"/>
  <c r="A223"/>
  <c r="X221"/>
  <c r="W221"/>
  <c r="V221"/>
  <c r="U221"/>
  <c r="T221"/>
  <c r="M221"/>
  <c r="M294" s="1"/>
  <c r="L221"/>
  <c r="K221"/>
  <c r="K294" s="1"/>
  <c r="J221"/>
  <c r="I221"/>
  <c r="I294" s="1"/>
  <c r="G221"/>
  <c r="D221"/>
  <c r="C221"/>
  <c r="B221"/>
  <c r="A221"/>
  <c r="X219"/>
  <c r="W219"/>
  <c r="V219"/>
  <c r="U219"/>
  <c r="T219"/>
  <c r="M219"/>
  <c r="M292" s="1"/>
  <c r="L219"/>
  <c r="L292" s="1"/>
  <c r="K219"/>
  <c r="K292" s="1"/>
  <c r="J219"/>
  <c r="J292" s="1"/>
  <c r="I219"/>
  <c r="I292" s="1"/>
  <c r="G219"/>
  <c r="D219"/>
  <c r="C219"/>
  <c r="B219"/>
  <c r="A219"/>
  <c r="X217"/>
  <c r="W217"/>
  <c r="V217"/>
  <c r="U217"/>
  <c r="T217"/>
  <c r="M217"/>
  <c r="M290" s="1"/>
  <c r="L217"/>
  <c r="K217"/>
  <c r="K290" s="1"/>
  <c r="J217"/>
  <c r="I217"/>
  <c r="I290" s="1"/>
  <c r="G217"/>
  <c r="D217"/>
  <c r="C217"/>
  <c r="B217"/>
  <c r="A217"/>
  <c r="X215"/>
  <c r="W215"/>
  <c r="V215"/>
  <c r="U215"/>
  <c r="T215"/>
  <c r="M215"/>
  <c r="M288" s="1"/>
  <c r="L215"/>
  <c r="L288" s="1"/>
  <c r="K215"/>
  <c r="K288" s="1"/>
  <c r="J215"/>
  <c r="J288" s="1"/>
  <c r="I215"/>
  <c r="I288" s="1"/>
  <c r="G215"/>
  <c r="D215"/>
  <c r="C215"/>
  <c r="B215"/>
  <c r="A215"/>
  <c r="X213"/>
  <c r="W213"/>
  <c r="V213"/>
  <c r="U213"/>
  <c r="T213"/>
  <c r="M213"/>
  <c r="M286" s="1"/>
  <c r="L213"/>
  <c r="K213"/>
  <c r="K286" s="1"/>
  <c r="J213"/>
  <c r="I213"/>
  <c r="I286" s="1"/>
  <c r="G213"/>
  <c r="D213"/>
  <c r="C213"/>
  <c r="B213"/>
  <c r="A213"/>
  <c r="M211"/>
  <c r="M284" s="1"/>
  <c r="L211"/>
  <c r="L284" s="1"/>
  <c r="K211"/>
  <c r="K284" s="1"/>
  <c r="J211"/>
  <c r="J284" s="1"/>
  <c r="I211"/>
  <c r="I284" s="1"/>
  <c r="G211"/>
  <c r="D211"/>
  <c r="C211"/>
  <c r="B211"/>
  <c r="A211"/>
  <c r="G209"/>
  <c r="C209"/>
  <c r="B209"/>
  <c r="A209"/>
  <c r="M207"/>
  <c r="L207"/>
  <c r="K207"/>
  <c r="J207"/>
  <c r="I207"/>
  <c r="G207"/>
  <c r="D207"/>
  <c r="C207"/>
  <c r="B207"/>
  <c r="A207"/>
  <c r="M205"/>
  <c r="L205"/>
  <c r="K205"/>
  <c r="J205"/>
  <c r="I205"/>
  <c r="G205"/>
  <c r="D205"/>
  <c r="C205"/>
  <c r="B205"/>
  <c r="A205"/>
  <c r="M203"/>
  <c r="L203"/>
  <c r="K203"/>
  <c r="J203"/>
  <c r="I203"/>
  <c r="G203"/>
  <c r="D203"/>
  <c r="C203"/>
  <c r="B203"/>
  <c r="A203"/>
  <c r="M201"/>
  <c r="L201"/>
  <c r="K201"/>
  <c r="J201"/>
  <c r="I201"/>
  <c r="G201"/>
  <c r="D201"/>
  <c r="C201"/>
  <c r="B201"/>
  <c r="A201"/>
  <c r="M199"/>
  <c r="L199"/>
  <c r="K199"/>
  <c r="J199"/>
  <c r="I199"/>
  <c r="G199"/>
  <c r="D199"/>
  <c r="C199"/>
  <c r="B199"/>
  <c r="A199"/>
  <c r="M197"/>
  <c r="L197"/>
  <c r="K197"/>
  <c r="J197"/>
  <c r="I197"/>
  <c r="G197"/>
  <c r="D197"/>
  <c r="C197"/>
  <c r="B197"/>
  <c r="A197"/>
  <c r="M195"/>
  <c r="L195"/>
  <c r="K195"/>
  <c r="J195"/>
  <c r="I195"/>
  <c r="G195"/>
  <c r="D195"/>
  <c r="C195"/>
  <c r="B195"/>
  <c r="A195"/>
  <c r="X193"/>
  <c r="W193"/>
  <c r="V193"/>
  <c r="U193"/>
  <c r="T193"/>
  <c r="S193"/>
  <c r="G193"/>
  <c r="C193"/>
  <c r="B193"/>
  <c r="A193"/>
  <c r="M192"/>
  <c r="L192"/>
  <c r="K192"/>
  <c r="J192"/>
  <c r="I192"/>
  <c r="M191"/>
  <c r="L191"/>
  <c r="K191"/>
  <c r="J191"/>
  <c r="I191"/>
  <c r="M190"/>
  <c r="L190"/>
  <c r="K190"/>
  <c r="J190"/>
  <c r="I190"/>
  <c r="M189"/>
  <c r="L189"/>
  <c r="K189"/>
  <c r="J189"/>
  <c r="I189"/>
  <c r="M188"/>
  <c r="L188"/>
  <c r="K188"/>
  <c r="J188"/>
  <c r="I188"/>
  <c r="M187"/>
  <c r="L187"/>
  <c r="K187"/>
  <c r="J187"/>
  <c r="I187"/>
  <c r="M186"/>
  <c r="L186"/>
  <c r="K186"/>
  <c r="J186"/>
  <c r="I186"/>
  <c r="M184"/>
  <c r="L184"/>
  <c r="K184"/>
  <c r="J184"/>
  <c r="G183"/>
  <c r="D183"/>
  <c r="C183"/>
  <c r="B183"/>
  <c r="A183"/>
  <c r="M182"/>
  <c r="L182"/>
  <c r="K182"/>
  <c r="J182"/>
  <c r="G181"/>
  <c r="D181"/>
  <c r="C181"/>
  <c r="B181"/>
  <c r="A181"/>
  <c r="M180"/>
  <c r="L180"/>
  <c r="K180"/>
  <c r="J180"/>
  <c r="G179"/>
  <c r="D179"/>
  <c r="C179"/>
  <c r="B179"/>
  <c r="A179"/>
  <c r="M178"/>
  <c r="L178"/>
  <c r="K178"/>
  <c r="J178"/>
  <c r="G177"/>
  <c r="D177"/>
  <c r="C177"/>
  <c r="B177"/>
  <c r="A177"/>
  <c r="M176"/>
  <c r="L176"/>
  <c r="K176"/>
  <c r="J176"/>
  <c r="G175"/>
  <c r="D175"/>
  <c r="C175"/>
  <c r="B175"/>
  <c r="A175"/>
  <c r="M174"/>
  <c r="L174"/>
  <c r="K174"/>
  <c r="J174"/>
  <c r="G173"/>
  <c r="D173"/>
  <c r="C173"/>
  <c r="B173"/>
  <c r="A173"/>
  <c r="M172"/>
  <c r="L172"/>
  <c r="K172"/>
  <c r="J172"/>
  <c r="G171"/>
  <c r="D171"/>
  <c r="C171"/>
  <c r="B171"/>
  <c r="A171"/>
  <c r="X169"/>
  <c r="W169"/>
  <c r="V169"/>
  <c r="U169"/>
  <c r="T169"/>
  <c r="S169"/>
  <c r="M169"/>
  <c r="M193" s="1"/>
  <c r="L169"/>
  <c r="L209" s="1"/>
  <c r="K169"/>
  <c r="K193" s="1"/>
  <c r="J169"/>
  <c r="J209" s="1"/>
  <c r="I169"/>
  <c r="I193" s="1"/>
  <c r="G169"/>
  <c r="C169"/>
  <c r="B169"/>
  <c r="A169"/>
  <c r="X167"/>
  <c r="W167"/>
  <c r="V167"/>
  <c r="U167"/>
  <c r="T167"/>
  <c r="M167"/>
  <c r="L167"/>
  <c r="K167"/>
  <c r="J167"/>
  <c r="I167"/>
  <c r="G167"/>
  <c r="D167"/>
  <c r="C167"/>
  <c r="B167"/>
  <c r="A167"/>
  <c r="X165"/>
  <c r="W165"/>
  <c r="V165"/>
  <c r="U165"/>
  <c r="T165"/>
  <c r="M165"/>
  <c r="L165"/>
  <c r="K165"/>
  <c r="J165"/>
  <c r="I165"/>
  <c r="G165"/>
  <c r="D165"/>
  <c r="C165"/>
  <c r="B165"/>
  <c r="A165"/>
  <c r="X163"/>
  <c r="W163"/>
  <c r="V163"/>
  <c r="U163"/>
  <c r="T163"/>
  <c r="M163"/>
  <c r="L163"/>
  <c r="K163"/>
  <c r="J163"/>
  <c r="I163"/>
  <c r="G163"/>
  <c r="D163"/>
  <c r="C163"/>
  <c r="B163"/>
  <c r="A163"/>
  <c r="X161"/>
  <c r="W161"/>
  <c r="V161"/>
  <c r="U161"/>
  <c r="T161"/>
  <c r="M161"/>
  <c r="L161"/>
  <c r="K161"/>
  <c r="J161"/>
  <c r="I161"/>
  <c r="G161"/>
  <c r="D161"/>
  <c r="C161"/>
  <c r="B161"/>
  <c r="A161"/>
  <c r="X159"/>
  <c r="W159"/>
  <c r="V159"/>
  <c r="U159"/>
  <c r="T159"/>
  <c r="M159"/>
  <c r="L159"/>
  <c r="K159"/>
  <c r="J159"/>
  <c r="I159"/>
  <c r="G159"/>
  <c r="D159"/>
  <c r="C159"/>
  <c r="B159"/>
  <c r="A159"/>
  <c r="X157"/>
  <c r="W157"/>
  <c r="V157"/>
  <c r="U157"/>
  <c r="T157"/>
  <c r="M157"/>
  <c r="L157"/>
  <c r="K157"/>
  <c r="J157"/>
  <c r="I157"/>
  <c r="G157"/>
  <c r="D157"/>
  <c r="C157"/>
  <c r="B157"/>
  <c r="A157"/>
  <c r="X155"/>
  <c r="W155"/>
  <c r="V155"/>
  <c r="U155"/>
  <c r="T155"/>
  <c r="M155"/>
  <c r="L155"/>
  <c r="K155"/>
  <c r="J155"/>
  <c r="I155"/>
  <c r="G155"/>
  <c r="D155"/>
  <c r="C155"/>
  <c r="B155"/>
  <c r="A155"/>
  <c r="X153"/>
  <c r="W153"/>
  <c r="V153"/>
  <c r="U153"/>
  <c r="T153"/>
  <c r="M153"/>
  <c r="L153"/>
  <c r="K153"/>
  <c r="J153"/>
  <c r="I153"/>
  <c r="G153"/>
  <c r="C153"/>
  <c r="B153"/>
  <c r="A153"/>
  <c r="M152"/>
  <c r="L152"/>
  <c r="K152"/>
  <c r="J152"/>
  <c r="I152"/>
  <c r="M151"/>
  <c r="L151"/>
  <c r="K151"/>
  <c r="J151"/>
  <c r="I151"/>
  <c r="M150"/>
  <c r="L150"/>
  <c r="K150"/>
  <c r="J150"/>
  <c r="I150"/>
  <c r="M149"/>
  <c r="L149"/>
  <c r="K149"/>
  <c r="J149"/>
  <c r="I149"/>
  <c r="M148"/>
  <c r="L148"/>
  <c r="K148"/>
  <c r="J148"/>
  <c r="I148"/>
  <c r="M147"/>
  <c r="L147"/>
  <c r="K147"/>
  <c r="J147"/>
  <c r="I147"/>
  <c r="M146"/>
  <c r="L146"/>
  <c r="K146"/>
  <c r="J146"/>
  <c r="I146"/>
  <c r="M145"/>
  <c r="L145"/>
  <c r="K145"/>
  <c r="J145"/>
  <c r="I145"/>
  <c r="M144"/>
  <c r="L144"/>
  <c r="K144"/>
  <c r="J144"/>
  <c r="X143"/>
  <c r="W143"/>
  <c r="V143"/>
  <c r="U143"/>
  <c r="T143"/>
  <c r="G143"/>
  <c r="D143"/>
  <c r="C143"/>
  <c r="B143"/>
  <c r="A143"/>
  <c r="M142"/>
  <c r="L142"/>
  <c r="K142"/>
  <c r="J142"/>
  <c r="X141"/>
  <c r="W141"/>
  <c r="V141"/>
  <c r="U141"/>
  <c r="T141"/>
  <c r="G141"/>
  <c r="D141"/>
  <c r="C141"/>
  <c r="B141"/>
  <c r="A141"/>
  <c r="M140"/>
  <c r="L140"/>
  <c r="K140"/>
  <c r="J140"/>
  <c r="X139"/>
  <c r="W139"/>
  <c r="V139"/>
  <c r="U139"/>
  <c r="T139"/>
  <c r="G139"/>
  <c r="D139"/>
  <c r="C139"/>
  <c r="B139"/>
  <c r="A139"/>
  <c r="M138"/>
  <c r="L138"/>
  <c r="K138"/>
  <c r="J138"/>
  <c r="X137"/>
  <c r="W137"/>
  <c r="V137"/>
  <c r="U137"/>
  <c r="T137"/>
  <c r="G137"/>
  <c r="D137"/>
  <c r="C137"/>
  <c r="B137"/>
  <c r="A137"/>
  <c r="M136"/>
  <c r="L136"/>
  <c r="K136"/>
  <c r="J136"/>
  <c r="X135"/>
  <c r="W135"/>
  <c r="V135"/>
  <c r="U135"/>
  <c r="T135"/>
  <c r="G135"/>
  <c r="D135"/>
  <c r="C135"/>
  <c r="B135"/>
  <c r="A135"/>
  <c r="M134"/>
  <c r="L134"/>
  <c r="K134"/>
  <c r="J134"/>
  <c r="X133"/>
  <c r="W133"/>
  <c r="V133"/>
  <c r="U133"/>
  <c r="T133"/>
  <c r="G133"/>
  <c r="D133"/>
  <c r="C133"/>
  <c r="B133"/>
  <c r="A133"/>
  <c r="M132"/>
  <c r="L132"/>
  <c r="K132"/>
  <c r="J132"/>
  <c r="X131"/>
  <c r="W131"/>
  <c r="V131"/>
  <c r="U131"/>
  <c r="T131"/>
  <c r="G131"/>
  <c r="D131"/>
  <c r="C131"/>
  <c r="B131"/>
  <c r="A131"/>
  <c r="AC130"/>
  <c r="AB130"/>
  <c r="AA130"/>
  <c r="M130"/>
  <c r="L130"/>
  <c r="K130"/>
  <c r="J130"/>
  <c r="X129"/>
  <c r="W129"/>
  <c r="V129"/>
  <c r="U129"/>
  <c r="T129"/>
  <c r="G129"/>
  <c r="C129"/>
  <c r="B129"/>
  <c r="A129"/>
  <c r="AC128"/>
  <c r="AB128"/>
  <c r="AA128"/>
  <c r="X127"/>
  <c r="W127"/>
  <c r="V127"/>
  <c r="U127"/>
  <c r="T127"/>
  <c r="B127"/>
  <c r="A127"/>
  <c r="X125"/>
  <c r="W125"/>
  <c r="V125"/>
  <c r="U125"/>
  <c r="T125"/>
  <c r="M125"/>
  <c r="M232" s="1"/>
  <c r="L125"/>
  <c r="K125"/>
  <c r="K232" s="1"/>
  <c r="J125"/>
  <c r="I125"/>
  <c r="I232" s="1"/>
  <c r="G125"/>
  <c r="D125"/>
  <c r="C125"/>
  <c r="B125"/>
  <c r="A125"/>
  <c r="X123"/>
  <c r="W123"/>
  <c r="V123"/>
  <c r="U123"/>
  <c r="T123"/>
  <c r="M123"/>
  <c r="M231" s="1"/>
  <c r="L123"/>
  <c r="L231" s="1"/>
  <c r="K123"/>
  <c r="K231" s="1"/>
  <c r="J123"/>
  <c r="J231" s="1"/>
  <c r="I123"/>
  <c r="I231" s="1"/>
  <c r="G123"/>
  <c r="D123"/>
  <c r="C123"/>
  <c r="B123"/>
  <c r="A123"/>
  <c r="X121"/>
  <c r="W121"/>
  <c r="V121"/>
  <c r="U121"/>
  <c r="T121"/>
  <c r="M121"/>
  <c r="M230" s="1"/>
  <c r="L121"/>
  <c r="K121"/>
  <c r="K230" s="1"/>
  <c r="J121"/>
  <c r="I121"/>
  <c r="I230" s="1"/>
  <c r="G121"/>
  <c r="D121"/>
  <c r="C121"/>
  <c r="B121"/>
  <c r="A121"/>
  <c r="X119"/>
  <c r="W119"/>
  <c r="V119"/>
  <c r="U119"/>
  <c r="T119"/>
  <c r="M119"/>
  <c r="M229" s="1"/>
  <c r="L119"/>
  <c r="L229" s="1"/>
  <c r="K119"/>
  <c r="K229" s="1"/>
  <c r="J119"/>
  <c r="J229" s="1"/>
  <c r="I119"/>
  <c r="I229" s="1"/>
  <c r="G119"/>
  <c r="D119"/>
  <c r="C119"/>
  <c r="B119"/>
  <c r="A119"/>
  <c r="X117"/>
  <c r="W117"/>
  <c r="V117"/>
  <c r="U117"/>
  <c r="T117"/>
  <c r="M117"/>
  <c r="M228" s="1"/>
  <c r="L117"/>
  <c r="K117"/>
  <c r="K228" s="1"/>
  <c r="J117"/>
  <c r="I117"/>
  <c r="I228" s="1"/>
  <c r="G117"/>
  <c r="D117"/>
  <c r="C117"/>
  <c r="B117"/>
  <c r="A117"/>
  <c r="X115"/>
  <c r="W115"/>
  <c r="V115"/>
  <c r="U115"/>
  <c r="T115"/>
  <c r="M115"/>
  <c r="M227" s="1"/>
  <c r="L115"/>
  <c r="L227" s="1"/>
  <c r="K115"/>
  <c r="K227" s="1"/>
  <c r="J115"/>
  <c r="J227" s="1"/>
  <c r="I115"/>
  <c r="I227" s="1"/>
  <c r="G115"/>
  <c r="D115"/>
  <c r="C115"/>
  <c r="B115"/>
  <c r="A115"/>
  <c r="X113"/>
  <c r="W113"/>
  <c r="V113"/>
  <c r="U113"/>
  <c r="T113"/>
  <c r="M113"/>
  <c r="M226" s="1"/>
  <c r="L113"/>
  <c r="K113"/>
  <c r="K226" s="1"/>
  <c r="J113"/>
  <c r="I113"/>
  <c r="I226" s="1"/>
  <c r="G113"/>
  <c r="D113"/>
  <c r="C113"/>
  <c r="B113"/>
  <c r="A113"/>
  <c r="X111"/>
  <c r="W111"/>
  <c r="V111"/>
  <c r="U111"/>
  <c r="T111"/>
  <c r="M111"/>
  <c r="L111"/>
  <c r="L225" s="1"/>
  <c r="K111"/>
  <c r="J111"/>
  <c r="J225" s="1"/>
  <c r="I111"/>
  <c r="G111"/>
  <c r="C111"/>
  <c r="B111"/>
  <c r="A111"/>
  <c r="M110"/>
  <c r="L110"/>
  <c r="K110"/>
  <c r="J110"/>
  <c r="I110"/>
  <c r="M109"/>
  <c r="L109"/>
  <c r="K109"/>
  <c r="J109"/>
  <c r="I109"/>
  <c r="M108"/>
  <c r="L108"/>
  <c r="K108"/>
  <c r="J108"/>
  <c r="I108"/>
  <c r="M107"/>
  <c r="L107"/>
  <c r="K107"/>
  <c r="J107"/>
  <c r="I107"/>
  <c r="M106"/>
  <c r="L106"/>
  <c r="K106"/>
  <c r="J106"/>
  <c r="I106"/>
  <c r="M105"/>
  <c r="L105"/>
  <c r="K105"/>
  <c r="J105"/>
  <c r="I105"/>
  <c r="M104"/>
  <c r="L104"/>
  <c r="K104"/>
  <c r="J104"/>
  <c r="I104"/>
  <c r="M103"/>
  <c r="L103"/>
  <c r="K103"/>
  <c r="J103"/>
  <c r="I103"/>
  <c r="M102"/>
  <c r="L102"/>
  <c r="K102"/>
  <c r="J102"/>
  <c r="X101"/>
  <c r="W101"/>
  <c r="V101"/>
  <c r="U101"/>
  <c r="T101"/>
  <c r="G101"/>
  <c r="D101"/>
  <c r="C101"/>
  <c r="B101"/>
  <c r="A101"/>
  <c r="M100"/>
  <c r="L100"/>
  <c r="K100"/>
  <c r="J100"/>
  <c r="X99"/>
  <c r="W99"/>
  <c r="V99"/>
  <c r="U99"/>
  <c r="T99"/>
  <c r="G99"/>
  <c r="D99"/>
  <c r="C99"/>
  <c r="B99"/>
  <c r="A99"/>
  <c r="M98"/>
  <c r="L98"/>
  <c r="K98"/>
  <c r="J98"/>
  <c r="X97"/>
  <c r="W97"/>
  <c r="V97"/>
  <c r="U97"/>
  <c r="T97"/>
  <c r="G97"/>
  <c r="D97"/>
  <c r="C97"/>
  <c r="B97"/>
  <c r="A97"/>
  <c r="M96"/>
  <c r="L96"/>
  <c r="K96"/>
  <c r="J96"/>
  <c r="X95"/>
  <c r="W95"/>
  <c r="V95"/>
  <c r="U95"/>
  <c r="T95"/>
  <c r="G95"/>
  <c r="D95"/>
  <c r="C95"/>
  <c r="B95"/>
  <c r="A95"/>
  <c r="M94"/>
  <c r="L94"/>
  <c r="K94"/>
  <c r="J94"/>
  <c r="X93"/>
  <c r="W93"/>
  <c r="V93"/>
  <c r="U93"/>
  <c r="T93"/>
  <c r="G93"/>
  <c r="D93"/>
  <c r="C93"/>
  <c r="B93"/>
  <c r="A93"/>
  <c r="M92"/>
  <c r="L92"/>
  <c r="K92"/>
  <c r="J92"/>
  <c r="X91"/>
  <c r="W91"/>
  <c r="V91"/>
  <c r="U91"/>
  <c r="T91"/>
  <c r="G91"/>
  <c r="D91"/>
  <c r="C91"/>
  <c r="B91"/>
  <c r="A91"/>
  <c r="M90"/>
  <c r="L90"/>
  <c r="K90"/>
  <c r="J90"/>
  <c r="X89"/>
  <c r="W89"/>
  <c r="V89"/>
  <c r="U89"/>
  <c r="T89"/>
  <c r="G89"/>
  <c r="D89"/>
  <c r="C89"/>
  <c r="B89"/>
  <c r="A89"/>
  <c r="M88"/>
  <c r="L88"/>
  <c r="K88"/>
  <c r="J88"/>
  <c r="X87"/>
  <c r="W87"/>
  <c r="V87"/>
  <c r="U87"/>
  <c r="T87"/>
  <c r="G87"/>
  <c r="C87"/>
  <c r="B87"/>
  <c r="A87"/>
  <c r="M86"/>
  <c r="L86"/>
  <c r="K86"/>
  <c r="J86"/>
  <c r="I86"/>
  <c r="M85"/>
  <c r="L85"/>
  <c r="K85"/>
  <c r="J85"/>
  <c r="I85"/>
  <c r="M84"/>
  <c r="L84"/>
  <c r="K84"/>
  <c r="J84"/>
  <c r="I84"/>
  <c r="M83"/>
  <c r="L83"/>
  <c r="K83"/>
  <c r="J83"/>
  <c r="I83"/>
  <c r="M82"/>
  <c r="L82"/>
  <c r="K82"/>
  <c r="J82"/>
  <c r="I82"/>
  <c r="M81"/>
  <c r="L81"/>
  <c r="K81"/>
  <c r="J81"/>
  <c r="I81"/>
  <c r="M80"/>
  <c r="L80"/>
  <c r="K80"/>
  <c r="J80"/>
  <c r="I80"/>
  <c r="N80" s="1"/>
  <c r="N86" s="1"/>
  <c r="M79"/>
  <c r="L79"/>
  <c r="K79"/>
  <c r="J79"/>
  <c r="X78"/>
  <c r="W78"/>
  <c r="V78"/>
  <c r="U78"/>
  <c r="T78"/>
  <c r="G78"/>
  <c r="D78"/>
  <c r="C78"/>
  <c r="B78"/>
  <c r="A78"/>
  <c r="M77"/>
  <c r="L77"/>
  <c r="K77"/>
  <c r="J77"/>
  <c r="X76"/>
  <c r="W76"/>
  <c r="V76"/>
  <c r="U76"/>
  <c r="T76"/>
  <c r="G76"/>
  <c r="D76"/>
  <c r="C76"/>
  <c r="B76"/>
  <c r="A76"/>
  <c r="M75"/>
  <c r="L75"/>
  <c r="K75"/>
  <c r="J75"/>
  <c r="X74"/>
  <c r="W74"/>
  <c r="V74"/>
  <c r="U74"/>
  <c r="T74"/>
  <c r="G74"/>
  <c r="D74"/>
  <c r="C74"/>
  <c r="B74"/>
  <c r="A74"/>
  <c r="M73"/>
  <c r="L73"/>
  <c r="K73"/>
  <c r="J73"/>
  <c r="X72"/>
  <c r="W72"/>
  <c r="V72"/>
  <c r="U72"/>
  <c r="T72"/>
  <c r="G72"/>
  <c r="D72"/>
  <c r="C72"/>
  <c r="B72"/>
  <c r="A72"/>
  <c r="M71"/>
  <c r="L71"/>
  <c r="K71"/>
  <c r="J71"/>
  <c r="X70"/>
  <c r="W70"/>
  <c r="V70"/>
  <c r="U70"/>
  <c r="T70"/>
  <c r="G70"/>
  <c r="D70"/>
  <c r="C70"/>
  <c r="B70"/>
  <c r="A70"/>
  <c r="M69"/>
  <c r="L69"/>
  <c r="K69"/>
  <c r="J69"/>
  <c r="X68"/>
  <c r="W68"/>
  <c r="V68"/>
  <c r="U68"/>
  <c r="T68"/>
  <c r="G68"/>
  <c r="D68"/>
  <c r="C68"/>
  <c r="B68"/>
  <c r="A68"/>
  <c r="M67"/>
  <c r="L67"/>
  <c r="K67"/>
  <c r="J67"/>
  <c r="X66"/>
  <c r="W66"/>
  <c r="V66"/>
  <c r="U66"/>
  <c r="T66"/>
  <c r="G66"/>
  <c r="D66"/>
  <c r="C66"/>
  <c r="B66"/>
  <c r="A66"/>
  <c r="M65"/>
  <c r="L65"/>
  <c r="K65"/>
  <c r="J65"/>
  <c r="X64"/>
  <c r="W64"/>
  <c r="V64"/>
  <c r="U64"/>
  <c r="T64"/>
  <c r="G64"/>
  <c r="C64"/>
  <c r="B64"/>
  <c r="A64"/>
  <c r="X62"/>
  <c r="W62"/>
  <c r="V62"/>
  <c r="U62"/>
  <c r="T62"/>
  <c r="G62"/>
  <c r="C62"/>
  <c r="B62"/>
  <c r="A62"/>
  <c r="X57"/>
  <c r="W57"/>
  <c r="V57"/>
  <c r="U57"/>
  <c r="T57"/>
  <c r="M57"/>
  <c r="D57"/>
  <c r="C57"/>
  <c r="B57"/>
  <c r="A57"/>
  <c r="X55"/>
  <c r="W55"/>
  <c r="V55"/>
  <c r="U55"/>
  <c r="T55"/>
  <c r="D55"/>
  <c r="C55"/>
  <c r="B55"/>
  <c r="A55"/>
  <c r="X53"/>
  <c r="W53"/>
  <c r="V53"/>
  <c r="U53"/>
  <c r="T53"/>
  <c r="C53"/>
  <c r="B53"/>
  <c r="A53"/>
  <c r="X51"/>
  <c r="W51"/>
  <c r="V51"/>
  <c r="U51"/>
  <c r="T51"/>
  <c r="D51"/>
  <c r="C51"/>
  <c r="B51"/>
  <c r="A51"/>
  <c r="X49"/>
  <c r="W49"/>
  <c r="V49"/>
  <c r="U49"/>
  <c r="T49"/>
  <c r="D49"/>
  <c r="C49"/>
  <c r="B49"/>
  <c r="A49"/>
  <c r="D47"/>
  <c r="C47"/>
  <c r="B47"/>
  <c r="A47"/>
  <c r="D45"/>
  <c r="C45"/>
  <c r="B45"/>
  <c r="A45"/>
  <c r="D43"/>
  <c r="C43"/>
  <c r="B43"/>
  <c r="A43"/>
  <c r="D41"/>
  <c r="C41"/>
  <c r="B41"/>
  <c r="A41"/>
  <c r="D39"/>
  <c r="C39"/>
  <c r="B39"/>
  <c r="A39"/>
  <c r="X37"/>
  <c r="W37"/>
  <c r="V37"/>
  <c r="U37"/>
  <c r="T37"/>
  <c r="C37"/>
  <c r="B37"/>
  <c r="A37"/>
  <c r="X35"/>
  <c r="W35"/>
  <c r="V35"/>
  <c r="U35"/>
  <c r="T35"/>
  <c r="D35"/>
  <c r="C35"/>
  <c r="B35"/>
  <c r="A35"/>
  <c r="X33"/>
  <c r="W33"/>
  <c r="V33"/>
  <c r="U33"/>
  <c r="T33"/>
  <c r="D33"/>
  <c r="C33"/>
  <c r="B33"/>
  <c r="A33"/>
  <c r="X31"/>
  <c r="W31"/>
  <c r="V31"/>
  <c r="U31"/>
  <c r="T31"/>
  <c r="D31"/>
  <c r="C31"/>
  <c r="B31"/>
  <c r="A31"/>
  <c r="X29"/>
  <c r="W29"/>
  <c r="V29"/>
  <c r="U29"/>
  <c r="T29"/>
  <c r="D29"/>
  <c r="C29"/>
  <c r="B29"/>
  <c r="A29"/>
  <c r="X27"/>
  <c r="W27"/>
  <c r="V27"/>
  <c r="U27"/>
  <c r="T27"/>
  <c r="D27"/>
  <c r="C27"/>
  <c r="B27"/>
  <c r="A27"/>
  <c r="X25"/>
  <c r="W25"/>
  <c r="V25"/>
  <c r="U25"/>
  <c r="T25"/>
  <c r="D25"/>
  <c r="C25"/>
  <c r="B25"/>
  <c r="A25"/>
  <c r="X23"/>
  <c r="W23"/>
  <c r="V23"/>
  <c r="U23"/>
  <c r="T23"/>
  <c r="D23"/>
  <c r="C23"/>
  <c r="B23"/>
  <c r="A23"/>
  <c r="X21"/>
  <c r="W21"/>
  <c r="V21"/>
  <c r="U21"/>
  <c r="T21"/>
  <c r="M21"/>
  <c r="C21"/>
  <c r="B21"/>
  <c r="A21"/>
  <c r="X19"/>
  <c r="W19"/>
  <c r="V19"/>
  <c r="U19"/>
  <c r="T19"/>
  <c r="D19"/>
  <c r="C19"/>
  <c r="B19"/>
  <c r="A19"/>
  <c r="X17"/>
  <c r="W17"/>
  <c r="V17"/>
  <c r="U17"/>
  <c r="T17"/>
  <c r="D17"/>
  <c r="C17"/>
  <c r="B17"/>
  <c r="A17"/>
  <c r="X15"/>
  <c r="W15"/>
  <c r="V15"/>
  <c r="U15"/>
  <c r="T15"/>
  <c r="D15"/>
  <c r="C15"/>
  <c r="B15"/>
  <c r="A15"/>
  <c r="X13"/>
  <c r="W13"/>
  <c r="V13"/>
  <c r="U13"/>
  <c r="T13"/>
  <c r="D13"/>
  <c r="C13"/>
  <c r="B13"/>
  <c r="A13"/>
  <c r="X11"/>
  <c r="W11"/>
  <c r="V11"/>
  <c r="U11"/>
  <c r="T11"/>
  <c r="D11"/>
  <c r="C11"/>
  <c r="B11"/>
  <c r="A11"/>
  <c r="X9"/>
  <c r="W9"/>
  <c r="V9"/>
  <c r="U9"/>
  <c r="T9"/>
  <c r="D9"/>
  <c r="C9"/>
  <c r="B9"/>
  <c r="A9"/>
  <c r="X7"/>
  <c r="W7"/>
  <c r="V7"/>
  <c r="U7"/>
  <c r="T7"/>
  <c r="D7"/>
  <c r="C7"/>
  <c r="B7"/>
  <c r="A7"/>
  <c r="X5"/>
  <c r="W5"/>
  <c r="V5"/>
  <c r="U5"/>
  <c r="T5"/>
  <c r="C5"/>
  <c r="B5"/>
  <c r="A5"/>
  <c r="A3"/>
  <c r="O52" i="21"/>
  <c r="N52"/>
  <c r="M52"/>
  <c r="L52"/>
  <c r="K52"/>
  <c r="J52"/>
  <c r="I52"/>
  <c r="H52"/>
  <c r="G52"/>
  <c r="A52"/>
  <c r="A51"/>
  <c r="A49"/>
  <c r="A48"/>
  <c r="A46"/>
  <c r="O45"/>
  <c r="O46" s="1"/>
  <c r="N45"/>
  <c r="N46" s="1"/>
  <c r="M45"/>
  <c r="M46" s="1"/>
  <c r="L45"/>
  <c r="L46" s="1"/>
  <c r="K45"/>
  <c r="K46" s="1"/>
  <c r="J45"/>
  <c r="J46" s="1"/>
  <c r="I45"/>
  <c r="I46" s="1"/>
  <c r="H45"/>
  <c r="H46" s="1"/>
  <c r="G45"/>
  <c r="G46" s="1"/>
  <c r="A45"/>
  <c r="A44"/>
  <c r="A42"/>
  <c r="A41"/>
  <c r="A40"/>
  <c r="A38"/>
  <c r="O37"/>
  <c r="O38" s="1"/>
  <c r="N37"/>
  <c r="N38" s="1"/>
  <c r="M37"/>
  <c r="M38" s="1"/>
  <c r="L37"/>
  <c r="L38" s="1"/>
  <c r="K37"/>
  <c r="K38" s="1"/>
  <c r="J37"/>
  <c r="J38" s="1"/>
  <c r="I37"/>
  <c r="I38" s="1"/>
  <c r="H37"/>
  <c r="H38" s="1"/>
  <c r="G37"/>
  <c r="G38" s="1"/>
  <c r="A37"/>
  <c r="A36"/>
  <c r="A34"/>
  <c r="A33"/>
  <c r="A32"/>
  <c r="O30"/>
  <c r="N30"/>
  <c r="M30"/>
  <c r="L30"/>
  <c r="K30"/>
  <c r="J30"/>
  <c r="I30"/>
  <c r="H30"/>
  <c r="G30"/>
  <c r="A30"/>
  <c r="O29"/>
  <c r="N29"/>
  <c r="M29"/>
  <c r="L29"/>
  <c r="K29"/>
  <c r="J29"/>
  <c r="I29"/>
  <c r="H29"/>
  <c r="G29"/>
  <c r="A29"/>
  <c r="A28"/>
  <c r="A26"/>
  <c r="A25"/>
  <c r="A24"/>
  <c r="O22"/>
  <c r="N22"/>
  <c r="M22"/>
  <c r="L22"/>
  <c r="K22"/>
  <c r="J22"/>
  <c r="I22"/>
  <c r="H22"/>
  <c r="G22"/>
  <c r="A22"/>
  <c r="O21"/>
  <c r="N21"/>
  <c r="M21"/>
  <c r="L21"/>
  <c r="K21"/>
  <c r="J21"/>
  <c r="I21"/>
  <c r="H21"/>
  <c r="G21"/>
  <c r="A21"/>
  <c r="O20"/>
  <c r="N20"/>
  <c r="M20"/>
  <c r="L20"/>
  <c r="K20"/>
  <c r="J20"/>
  <c r="I20"/>
  <c r="H20"/>
  <c r="G20"/>
  <c r="A20"/>
  <c r="O19"/>
  <c r="N19"/>
  <c r="M19"/>
  <c r="L19"/>
  <c r="K19"/>
  <c r="J19"/>
  <c r="I19"/>
  <c r="H19"/>
  <c r="G19"/>
  <c r="A19"/>
  <c r="O18"/>
  <c r="N18"/>
  <c r="M18"/>
  <c r="L18"/>
  <c r="K18"/>
  <c r="J18"/>
  <c r="I18"/>
  <c r="H18"/>
  <c r="G18"/>
  <c r="A18"/>
  <c r="O17"/>
  <c r="N17"/>
  <c r="M17"/>
  <c r="L17"/>
  <c r="K17"/>
  <c r="J17"/>
  <c r="I17"/>
  <c r="H17"/>
  <c r="G17"/>
  <c r="A17"/>
  <c r="O16"/>
  <c r="N16"/>
  <c r="M16"/>
  <c r="L16"/>
  <c r="K16"/>
  <c r="J16"/>
  <c r="I16"/>
  <c r="H16"/>
  <c r="G16"/>
  <c r="A16"/>
  <c r="O15"/>
  <c r="N15"/>
  <c r="M15"/>
  <c r="L15"/>
  <c r="K15"/>
  <c r="J15"/>
  <c r="I15"/>
  <c r="H15"/>
  <c r="G15"/>
  <c r="A15"/>
  <c r="O14"/>
  <c r="N14"/>
  <c r="M14"/>
  <c r="L14"/>
  <c r="K14"/>
  <c r="J14"/>
  <c r="I14"/>
  <c r="H14"/>
  <c r="G14"/>
  <c r="A14"/>
  <c r="A13"/>
  <c r="A11"/>
  <c r="A10"/>
  <c r="A9"/>
  <c r="A8"/>
  <c r="A7"/>
  <c r="A6"/>
  <c r="A5"/>
  <c r="A4"/>
  <c r="A3"/>
  <c r="A2"/>
  <c r="R1" i="20"/>
  <c r="Q1"/>
  <c r="P1"/>
  <c r="O1"/>
  <c r="N1"/>
  <c r="M1"/>
  <c r="L1"/>
  <c r="K1"/>
  <c r="J1"/>
  <c r="I1"/>
  <c r="F1"/>
  <c r="E1"/>
  <c r="B1"/>
  <c r="A1"/>
  <c r="A36" i="19"/>
  <c r="A32"/>
  <c r="A29"/>
  <c r="A26"/>
  <c r="A23"/>
  <c r="A20"/>
  <c r="A16"/>
  <c r="A13"/>
  <c r="A10"/>
  <c r="A7"/>
  <c r="A4"/>
  <c r="A1"/>
  <c r="A9" i="18"/>
  <c r="A16" i="12"/>
  <c r="A15"/>
  <c r="A14"/>
  <c r="A13"/>
  <c r="A12"/>
  <c r="A11"/>
  <c r="A10"/>
  <c r="A9"/>
  <c r="A8"/>
  <c r="A7"/>
  <c r="A6"/>
  <c r="A5"/>
  <c r="A3"/>
  <c r="A4" s="1"/>
  <c r="A2"/>
  <c r="K1"/>
  <c r="J1"/>
  <c r="I1"/>
  <c r="H1"/>
  <c r="G1"/>
  <c r="F1"/>
  <c r="E1"/>
  <c r="D1"/>
  <c r="C1"/>
  <c r="B1"/>
  <c r="A1"/>
  <c r="AO102" i="17"/>
  <c r="AN102"/>
  <c r="AM102"/>
  <c r="AL102"/>
  <c r="AK102"/>
  <c r="AB102"/>
  <c r="AA102"/>
  <c r="Z102"/>
  <c r="Y102"/>
  <c r="X102"/>
  <c r="AO101"/>
  <c r="AN101"/>
  <c r="AM101"/>
  <c r="AL101"/>
  <c r="AK101"/>
  <c r="AB101"/>
  <c r="AA101"/>
  <c r="Z101"/>
  <c r="Y101"/>
  <c r="X101"/>
  <c r="E62"/>
  <c r="D62"/>
  <c r="C62"/>
  <c r="B62"/>
  <c r="F60"/>
  <c r="F62" s="1"/>
  <c r="F52"/>
  <c r="E52"/>
  <c r="E47" s="1"/>
  <c r="K146" i="9" s="1"/>
  <c r="J147" i="5" s="1"/>
  <c r="F32" i="16" s="1"/>
  <c r="D52" i="17"/>
  <c r="C52"/>
  <c r="C47" s="1"/>
  <c r="I146" i="9" s="1"/>
  <c r="H147" i="5" s="1"/>
  <c r="D32" i="16" s="1"/>
  <c r="B52" i="17"/>
  <c r="F51"/>
  <c r="F47" s="1"/>
  <c r="D47"/>
  <c r="B47"/>
  <c r="J42"/>
  <c r="I42"/>
  <c r="H42"/>
  <c r="G42"/>
  <c r="F37"/>
  <c r="E37"/>
  <c r="D37"/>
  <c r="C37"/>
  <c r="B37"/>
  <c r="J35"/>
  <c r="I35"/>
  <c r="H35"/>
  <c r="G35"/>
  <c r="F35"/>
  <c r="E35"/>
  <c r="D35"/>
  <c r="C35"/>
  <c r="F33"/>
  <c r="E33"/>
  <c r="D33"/>
  <c r="C33"/>
  <c r="B33"/>
  <c r="B32" s="1"/>
  <c r="AM25"/>
  <c r="AL25"/>
  <c r="AK25"/>
  <c r="AJ25"/>
  <c r="AI25"/>
  <c r="Z25"/>
  <c r="Y25"/>
  <c r="X25"/>
  <c r="W25"/>
  <c r="V25"/>
  <c r="L25"/>
  <c r="K25"/>
  <c r="J25"/>
  <c r="I25"/>
  <c r="H25"/>
  <c r="AM24"/>
  <c r="AL24"/>
  <c r="AK24"/>
  <c r="AJ24"/>
  <c r="AI24"/>
  <c r="Z24"/>
  <c r="Y24"/>
  <c r="X24"/>
  <c r="W24"/>
  <c r="V24"/>
  <c r="L24"/>
  <c r="K24"/>
  <c r="J24"/>
  <c r="I24"/>
  <c r="H24"/>
  <c r="N20"/>
  <c r="M20"/>
  <c r="F18"/>
  <c r="E18"/>
  <c r="Q15"/>
  <c r="P15"/>
  <c r="M6" s="1"/>
  <c r="M8" s="1"/>
  <c r="K8"/>
  <c r="I8"/>
  <c r="F6"/>
  <c r="E6"/>
  <c r="D6"/>
  <c r="C6"/>
  <c r="A35" i="16"/>
  <c r="B33"/>
  <c r="B32"/>
  <c r="B31"/>
  <c r="B30"/>
  <c r="B29"/>
  <c r="B28"/>
  <c r="B26"/>
  <c r="A25"/>
  <c r="A19"/>
  <c r="A14"/>
  <c r="A8"/>
  <c r="A2"/>
  <c r="Q101" i="15"/>
  <c r="P101"/>
  <c r="O101"/>
  <c r="N101"/>
  <c r="M101"/>
  <c r="L101"/>
  <c r="K101"/>
  <c r="J101"/>
  <c r="I101"/>
  <c r="Q99"/>
  <c r="P99"/>
  <c r="O99"/>
  <c r="N99"/>
  <c r="M99"/>
  <c r="L99"/>
  <c r="K99"/>
  <c r="J99"/>
  <c r="I99"/>
  <c r="K96"/>
  <c r="J96"/>
  <c r="I96"/>
  <c r="H96"/>
  <c r="K94"/>
  <c r="K95" s="1"/>
  <c r="J94"/>
  <c r="I94"/>
  <c r="Q93"/>
  <c r="P93"/>
  <c r="O93"/>
  <c r="N93"/>
  <c r="M93"/>
  <c r="L93"/>
  <c r="K93"/>
  <c r="J93"/>
  <c r="I93"/>
  <c r="Q91"/>
  <c r="P91"/>
  <c r="O91"/>
  <c r="N91"/>
  <c r="M91"/>
  <c r="L91"/>
  <c r="K91"/>
  <c r="J91"/>
  <c r="I91"/>
  <c r="Q88"/>
  <c r="P88"/>
  <c r="O88"/>
  <c r="N88"/>
  <c r="M88"/>
  <c r="L88"/>
  <c r="K88"/>
  <c r="J88"/>
  <c r="J82" s="1"/>
  <c r="J66" s="1"/>
  <c r="I88"/>
  <c r="H88"/>
  <c r="H82" s="1"/>
  <c r="H66" s="1"/>
  <c r="Q86"/>
  <c r="P86"/>
  <c r="O86"/>
  <c r="N86"/>
  <c r="M86"/>
  <c r="L86"/>
  <c r="K86"/>
  <c r="J86"/>
  <c r="I86"/>
  <c r="H86"/>
  <c r="K84"/>
  <c r="J84"/>
  <c r="I84"/>
  <c r="K82"/>
  <c r="I82"/>
  <c r="K81"/>
  <c r="J81"/>
  <c r="I81"/>
  <c r="L80"/>
  <c r="L96" s="1"/>
  <c r="K79"/>
  <c r="J79"/>
  <c r="L78"/>
  <c r="L84" s="1"/>
  <c r="H78"/>
  <c r="Q76"/>
  <c r="P76"/>
  <c r="O76"/>
  <c r="N76"/>
  <c r="M76"/>
  <c r="L76"/>
  <c r="K76"/>
  <c r="J76"/>
  <c r="I76"/>
  <c r="H76"/>
  <c r="L74"/>
  <c r="K74"/>
  <c r="J74"/>
  <c r="I74"/>
  <c r="K68"/>
  <c r="J68"/>
  <c r="I68"/>
  <c r="E68"/>
  <c r="E70" s="1"/>
  <c r="K66"/>
  <c r="I66"/>
  <c r="K64"/>
  <c r="J64"/>
  <c r="I64"/>
  <c r="K62"/>
  <c r="J62"/>
  <c r="I62"/>
  <c r="H62"/>
  <c r="A60"/>
  <c r="A58"/>
  <c r="K55"/>
  <c r="J55"/>
  <c r="I55"/>
  <c r="H55"/>
  <c r="A47"/>
  <c r="Q43"/>
  <c r="P43"/>
  <c r="O43"/>
  <c r="N43"/>
  <c r="M43"/>
  <c r="L43"/>
  <c r="K43"/>
  <c r="J43"/>
  <c r="I43"/>
  <c r="H43"/>
  <c r="L41"/>
  <c r="L53" s="1"/>
  <c r="K41"/>
  <c r="K53" s="1"/>
  <c r="J41"/>
  <c r="J53" s="1"/>
  <c r="I41"/>
  <c r="I53" s="1"/>
  <c r="Q39"/>
  <c r="P39"/>
  <c r="Q40" s="1"/>
  <c r="O39"/>
  <c r="N39"/>
  <c r="O40" s="1"/>
  <c r="M39"/>
  <c r="L39"/>
  <c r="M40" s="1"/>
  <c r="K39"/>
  <c r="J39"/>
  <c r="K40" s="1"/>
  <c r="I39"/>
  <c r="H39"/>
  <c r="I40" s="1"/>
  <c r="A35"/>
  <c r="A33"/>
  <c r="Q30"/>
  <c r="P30"/>
  <c r="P31" s="1"/>
  <c r="O30"/>
  <c r="N30"/>
  <c r="N31" s="1"/>
  <c r="M30"/>
  <c r="L30"/>
  <c r="L31" s="1"/>
  <c r="K30"/>
  <c r="J30"/>
  <c r="J31" s="1"/>
  <c r="I30"/>
  <c r="H30"/>
  <c r="L28"/>
  <c r="K28"/>
  <c r="K29" s="1"/>
  <c r="J28"/>
  <c r="I28"/>
  <c r="Q26"/>
  <c r="P26"/>
  <c r="O26"/>
  <c r="N26"/>
  <c r="M26"/>
  <c r="L26"/>
  <c r="K26"/>
  <c r="J26"/>
  <c r="I26"/>
  <c r="H26"/>
  <c r="A23"/>
  <c r="A19"/>
  <c r="A16"/>
  <c r="A12"/>
  <c r="A9"/>
  <c r="A6"/>
  <c r="A4"/>
  <c r="A2"/>
  <c r="Q1"/>
  <c r="P1"/>
  <c r="O1"/>
  <c r="N1"/>
  <c r="M1"/>
  <c r="L1"/>
  <c r="K1"/>
  <c r="J1"/>
  <c r="I1"/>
  <c r="H1"/>
  <c r="F16" i="6"/>
  <c r="F12" s="1"/>
  <c r="E16"/>
  <c r="D16"/>
  <c r="C16"/>
  <c r="E13"/>
  <c r="D13"/>
  <c r="C13"/>
  <c r="F9"/>
  <c r="E9"/>
  <c r="D9"/>
  <c r="C9"/>
  <c r="B9"/>
  <c r="D179" i="28"/>
  <c r="C179"/>
  <c r="B179"/>
  <c r="D178"/>
  <c r="C178"/>
  <c r="B178"/>
  <c r="C177"/>
  <c r="B177"/>
  <c r="D176"/>
  <c r="C176"/>
  <c r="B176"/>
  <c r="D175"/>
  <c r="C175"/>
  <c r="B175"/>
  <c r="C174"/>
  <c r="B174"/>
  <c r="D173"/>
  <c r="C173"/>
  <c r="B173"/>
  <c r="D172"/>
  <c r="C172"/>
  <c r="B172"/>
  <c r="C171"/>
  <c r="B171"/>
  <c r="D170"/>
  <c r="C170"/>
  <c r="B170"/>
  <c r="E169"/>
  <c r="D169"/>
  <c r="C169"/>
  <c r="B169"/>
  <c r="E168"/>
  <c r="D168"/>
  <c r="C168"/>
  <c r="B168"/>
  <c r="D167"/>
  <c r="C167"/>
  <c r="B167"/>
  <c r="D166"/>
  <c r="C166"/>
  <c r="B166"/>
  <c r="E165"/>
  <c r="D165"/>
  <c r="C165"/>
  <c r="B165"/>
  <c r="E164"/>
  <c r="D164"/>
  <c r="C164"/>
  <c r="B164"/>
  <c r="D163"/>
  <c r="C163"/>
  <c r="B163"/>
  <c r="D162"/>
  <c r="C162"/>
  <c r="B162"/>
  <c r="C161"/>
  <c r="B161"/>
  <c r="B160"/>
  <c r="D159"/>
  <c r="C159"/>
  <c r="B159"/>
  <c r="D158"/>
  <c r="C158"/>
  <c r="B158"/>
  <c r="C157"/>
  <c r="B157"/>
  <c r="C156"/>
  <c r="B156"/>
  <c r="C155"/>
  <c r="B155"/>
  <c r="C154"/>
  <c r="B154"/>
  <c r="C153"/>
  <c r="B153"/>
  <c r="C152"/>
  <c r="B152"/>
  <c r="C151"/>
  <c r="B151"/>
  <c r="C150"/>
  <c r="B150"/>
  <c r="C149"/>
  <c r="B149"/>
  <c r="C148"/>
  <c r="B148"/>
  <c r="C147"/>
  <c r="B147"/>
  <c r="C146"/>
  <c r="B146"/>
  <c r="B145"/>
  <c r="C144"/>
  <c r="B144"/>
  <c r="C143"/>
  <c r="B143"/>
  <c r="C142"/>
  <c r="B142"/>
  <c r="C141"/>
  <c r="B141"/>
  <c r="C140"/>
  <c r="B140"/>
  <c r="C139"/>
  <c r="B139"/>
  <c r="D138"/>
  <c r="C138"/>
  <c r="B138"/>
  <c r="D137"/>
  <c r="C137"/>
  <c r="B137"/>
  <c r="C136"/>
  <c r="B136"/>
  <c r="D135"/>
  <c r="C135"/>
  <c r="B135"/>
  <c r="D134"/>
  <c r="C134"/>
  <c r="B134"/>
  <c r="D133"/>
  <c r="C133"/>
  <c r="B133"/>
  <c r="C132"/>
  <c r="B132"/>
  <c r="B131"/>
  <c r="C130"/>
  <c r="B130"/>
  <c r="C129"/>
  <c r="B129"/>
  <c r="C128"/>
  <c r="B128"/>
  <c r="C127"/>
  <c r="B127"/>
  <c r="C126"/>
  <c r="B126"/>
  <c r="D125"/>
  <c r="C125"/>
  <c r="B125"/>
  <c r="D124"/>
  <c r="C124"/>
  <c r="B124"/>
  <c r="C123"/>
  <c r="B123"/>
  <c r="C122"/>
  <c r="B122"/>
  <c r="B121"/>
  <c r="D120"/>
  <c r="C120"/>
  <c r="B120"/>
  <c r="D119"/>
  <c r="C119"/>
  <c r="B119"/>
  <c r="D118"/>
  <c r="C118"/>
  <c r="B118"/>
  <c r="D117"/>
  <c r="C117"/>
  <c r="B117"/>
  <c r="D116"/>
  <c r="C116"/>
  <c r="B116"/>
  <c r="D115"/>
  <c r="C115"/>
  <c r="B115"/>
  <c r="D114"/>
  <c r="C114"/>
  <c r="B114"/>
  <c r="C113"/>
  <c r="B113"/>
  <c r="D112"/>
  <c r="C112"/>
  <c r="B112"/>
  <c r="D111"/>
  <c r="C111"/>
  <c r="B111"/>
  <c r="D110"/>
  <c r="C110"/>
  <c r="B110"/>
  <c r="D109"/>
  <c r="C109"/>
  <c r="B109"/>
  <c r="D108"/>
  <c r="C108"/>
  <c r="B108"/>
  <c r="D107"/>
  <c r="C107"/>
  <c r="B107"/>
  <c r="D106"/>
  <c r="C106"/>
  <c r="B106"/>
  <c r="C105"/>
  <c r="B105"/>
  <c r="D104"/>
  <c r="C104"/>
  <c r="B104"/>
  <c r="D103"/>
  <c r="C103"/>
  <c r="B103"/>
  <c r="D102"/>
  <c r="C102"/>
  <c r="B102"/>
  <c r="D101"/>
  <c r="C101"/>
  <c r="B101"/>
  <c r="D100"/>
  <c r="C100"/>
  <c r="B100"/>
  <c r="D99"/>
  <c r="C99"/>
  <c r="B99"/>
  <c r="D98"/>
  <c r="C98"/>
  <c r="B98"/>
  <c r="C97"/>
  <c r="B97"/>
  <c r="D96"/>
  <c r="C96"/>
  <c r="B96"/>
  <c r="D95"/>
  <c r="C95"/>
  <c r="B95"/>
  <c r="D94"/>
  <c r="C94"/>
  <c r="B94"/>
  <c r="D93"/>
  <c r="C93"/>
  <c r="B93"/>
  <c r="D92"/>
  <c r="C92"/>
  <c r="B92"/>
  <c r="D91"/>
  <c r="C91"/>
  <c r="B91"/>
  <c r="D90"/>
  <c r="C90"/>
  <c r="B90"/>
  <c r="C89"/>
  <c r="B89"/>
  <c r="E88"/>
  <c r="D88"/>
  <c r="C88"/>
  <c r="B88"/>
  <c r="E87"/>
  <c r="D87"/>
  <c r="C87"/>
  <c r="B87"/>
  <c r="E86"/>
  <c r="D86"/>
  <c r="C86"/>
  <c r="B86"/>
  <c r="E85"/>
  <c r="D85"/>
  <c r="C85"/>
  <c r="B85"/>
  <c r="E84"/>
  <c r="D84"/>
  <c r="C84"/>
  <c r="B84"/>
  <c r="E83"/>
  <c r="D83"/>
  <c r="C83"/>
  <c r="B83"/>
  <c r="D82"/>
  <c r="C82"/>
  <c r="B82"/>
  <c r="D81"/>
  <c r="C81"/>
  <c r="B81"/>
  <c r="C80"/>
  <c r="B80"/>
  <c r="D79"/>
  <c r="C79"/>
  <c r="B79"/>
  <c r="D78"/>
  <c r="C78"/>
  <c r="B78"/>
  <c r="C77"/>
  <c r="B77"/>
  <c r="D76"/>
  <c r="C76"/>
  <c r="B76"/>
  <c r="D75"/>
  <c r="C75"/>
  <c r="B75"/>
  <c r="C74"/>
  <c r="B74"/>
  <c r="B73"/>
  <c r="C72"/>
  <c r="B72"/>
  <c r="D71"/>
  <c r="C71"/>
  <c r="B71"/>
  <c r="D70"/>
  <c r="C70"/>
  <c r="B70"/>
  <c r="C69"/>
  <c r="B69"/>
  <c r="D68"/>
  <c r="C68"/>
  <c r="B68"/>
  <c r="D67"/>
  <c r="C67"/>
  <c r="B67"/>
  <c r="D66"/>
  <c r="C66"/>
  <c r="B66"/>
  <c r="D65"/>
  <c r="C65"/>
  <c r="B65"/>
  <c r="D64"/>
  <c r="C64"/>
  <c r="B64"/>
  <c r="D63"/>
  <c r="C63"/>
  <c r="B63"/>
  <c r="D62"/>
  <c r="C62"/>
  <c r="B62"/>
  <c r="C61"/>
  <c r="B61"/>
  <c r="D60"/>
  <c r="C60"/>
  <c r="B60"/>
  <c r="D59"/>
  <c r="C59"/>
  <c r="B59"/>
  <c r="D58"/>
  <c r="C58"/>
  <c r="B58"/>
  <c r="D57"/>
  <c r="C57"/>
  <c r="B57"/>
  <c r="D56"/>
  <c r="C56"/>
  <c r="B56"/>
  <c r="D55"/>
  <c r="C55"/>
  <c r="B55"/>
  <c r="D54"/>
  <c r="C54"/>
  <c r="B54"/>
  <c r="C53"/>
  <c r="B53"/>
  <c r="D52"/>
  <c r="C52"/>
  <c r="B52"/>
  <c r="D51"/>
  <c r="C51"/>
  <c r="B51"/>
  <c r="D50"/>
  <c r="C50"/>
  <c r="B50"/>
  <c r="D49"/>
  <c r="C49"/>
  <c r="B49"/>
  <c r="D48"/>
  <c r="C48"/>
  <c r="B48"/>
  <c r="D47"/>
  <c r="C47"/>
  <c r="B47"/>
  <c r="D46"/>
  <c r="C46"/>
  <c r="B46"/>
  <c r="C45"/>
  <c r="B45"/>
  <c r="B44"/>
  <c r="H43"/>
  <c r="G43"/>
  <c r="F43"/>
  <c r="D43"/>
  <c r="C43"/>
  <c r="B43"/>
  <c r="H42"/>
  <c r="G42"/>
  <c r="F42"/>
  <c r="D42"/>
  <c r="C42"/>
  <c r="B42"/>
  <c r="C41"/>
  <c r="B41"/>
  <c r="D40"/>
  <c r="C40"/>
  <c r="B40"/>
  <c r="D39"/>
  <c r="C39"/>
  <c r="B39"/>
  <c r="D38"/>
  <c r="C38"/>
  <c r="B38"/>
  <c r="C37"/>
  <c r="B37"/>
  <c r="D36"/>
  <c r="C36"/>
  <c r="B36"/>
  <c r="D35"/>
  <c r="C35"/>
  <c r="B35"/>
  <c r="D34"/>
  <c r="C34"/>
  <c r="B34"/>
  <c r="D33"/>
  <c r="C33"/>
  <c r="B33"/>
  <c r="D32"/>
  <c r="C32"/>
  <c r="B32"/>
  <c r="D31"/>
  <c r="C31"/>
  <c r="B31"/>
  <c r="C30"/>
  <c r="B30"/>
  <c r="D29"/>
  <c r="C29"/>
  <c r="B29"/>
  <c r="D28"/>
  <c r="C28"/>
  <c r="B28"/>
  <c r="D27"/>
  <c r="C27"/>
  <c r="B27"/>
  <c r="C26"/>
  <c r="B26"/>
  <c r="D25"/>
  <c r="C25"/>
  <c r="B25"/>
  <c r="D24"/>
  <c r="C24"/>
  <c r="B24"/>
  <c r="D23"/>
  <c r="C23"/>
  <c r="B23"/>
  <c r="D22"/>
  <c r="C22"/>
  <c r="B22"/>
  <c r="D21"/>
  <c r="C21"/>
  <c r="B21"/>
  <c r="D20"/>
  <c r="C20"/>
  <c r="B20"/>
  <c r="C19"/>
  <c r="B19"/>
  <c r="D18"/>
  <c r="C18"/>
  <c r="B18"/>
  <c r="D17"/>
  <c r="C17"/>
  <c r="B17"/>
  <c r="D16"/>
  <c r="C16"/>
  <c r="B16"/>
  <c r="C15"/>
  <c r="B15"/>
  <c r="B14"/>
  <c r="D13"/>
  <c r="C13"/>
  <c r="B13"/>
  <c r="D12"/>
  <c r="C12"/>
  <c r="B12"/>
  <c r="C11"/>
  <c r="B11"/>
  <c r="H10"/>
  <c r="G10"/>
  <c r="F10"/>
  <c r="D10"/>
  <c r="C10"/>
  <c r="B10"/>
  <c r="H9"/>
  <c r="G9"/>
  <c r="F9"/>
  <c r="D9"/>
  <c r="C9"/>
  <c r="B9"/>
  <c r="C8"/>
  <c r="B8"/>
  <c r="H7"/>
  <c r="G7"/>
  <c r="F7"/>
  <c r="D7"/>
  <c r="C7"/>
  <c r="B7"/>
  <c r="D6"/>
  <c r="C6"/>
  <c r="B6"/>
  <c r="H5"/>
  <c r="G5"/>
  <c r="F5"/>
  <c r="D5"/>
  <c r="C5"/>
  <c r="B5"/>
  <c r="H4"/>
  <c r="G4"/>
  <c r="F4"/>
  <c r="D4"/>
  <c r="C4"/>
  <c r="B4"/>
  <c r="C3"/>
  <c r="B3"/>
  <c r="B2"/>
  <c r="N1"/>
  <c r="M1"/>
  <c r="L1"/>
  <c r="K1"/>
  <c r="J1"/>
  <c r="I1"/>
  <c r="H1"/>
  <c r="G1"/>
  <c r="F1"/>
  <c r="P123" i="14"/>
  <c r="P124" s="1"/>
  <c r="O123"/>
  <c r="N123"/>
  <c r="N124" s="1"/>
  <c r="M123"/>
  <c r="L123"/>
  <c r="L124" s="1"/>
  <c r="K123"/>
  <c r="J123"/>
  <c r="J124" s="1"/>
  <c r="I123"/>
  <c r="H123"/>
  <c r="H124" s="1"/>
  <c r="G123"/>
  <c r="P122"/>
  <c r="O122"/>
  <c r="N122"/>
  <c r="M122"/>
  <c r="L122"/>
  <c r="K122"/>
  <c r="J122"/>
  <c r="I122"/>
  <c r="H122"/>
  <c r="P119"/>
  <c r="O119"/>
  <c r="N119"/>
  <c r="M119"/>
  <c r="L119"/>
  <c r="K119"/>
  <c r="J119"/>
  <c r="I119"/>
  <c r="H119"/>
  <c r="G119"/>
  <c r="P118"/>
  <c r="O118"/>
  <c r="N118"/>
  <c r="M118"/>
  <c r="L118"/>
  <c r="K118"/>
  <c r="J118"/>
  <c r="I118"/>
  <c r="H118"/>
  <c r="P112"/>
  <c r="O112"/>
  <c r="N112"/>
  <c r="M112"/>
  <c r="L112"/>
  <c r="K112"/>
  <c r="J112"/>
  <c r="I112"/>
  <c r="H112"/>
  <c r="P109"/>
  <c r="O109"/>
  <c r="N109"/>
  <c r="M109"/>
  <c r="L109"/>
  <c r="L110" s="1"/>
  <c r="K109"/>
  <c r="J109"/>
  <c r="J110" s="1"/>
  <c r="I109"/>
  <c r="H109"/>
  <c r="H110" s="1"/>
  <c r="G109"/>
  <c r="L107"/>
  <c r="L108" s="1"/>
  <c r="K107"/>
  <c r="J107"/>
  <c r="J108" s="1"/>
  <c r="I107"/>
  <c r="H107"/>
  <c r="P106"/>
  <c r="O106"/>
  <c r="N106"/>
  <c r="M106"/>
  <c r="L106"/>
  <c r="K106"/>
  <c r="J106"/>
  <c r="I106"/>
  <c r="H106"/>
  <c r="E105"/>
  <c r="P103"/>
  <c r="O103"/>
  <c r="N103"/>
  <c r="M103"/>
  <c r="L103"/>
  <c r="K103"/>
  <c r="K113" s="1"/>
  <c r="J103"/>
  <c r="J113" s="1"/>
  <c r="I103"/>
  <c r="I113" s="1"/>
  <c r="H103"/>
  <c r="H113" s="1"/>
  <c r="G103"/>
  <c r="G113" s="1"/>
  <c r="G51" s="1"/>
  <c r="L102"/>
  <c r="K102"/>
  <c r="J102"/>
  <c r="I102"/>
  <c r="H102"/>
  <c r="M101"/>
  <c r="P99"/>
  <c r="O99"/>
  <c r="N99"/>
  <c r="M99"/>
  <c r="L99"/>
  <c r="K99"/>
  <c r="K115" s="1"/>
  <c r="J99"/>
  <c r="I99"/>
  <c r="I115" s="1"/>
  <c r="H99"/>
  <c r="G99"/>
  <c r="G115" s="1"/>
  <c r="G53" s="1"/>
  <c r="L96"/>
  <c r="K96"/>
  <c r="J96"/>
  <c r="I96"/>
  <c r="M95"/>
  <c r="M107" s="1"/>
  <c r="G95"/>
  <c r="G107" s="1"/>
  <c r="K93"/>
  <c r="K91" s="1"/>
  <c r="J93"/>
  <c r="I93"/>
  <c r="H93"/>
  <c r="G93"/>
  <c r="G91" s="1"/>
  <c r="I91"/>
  <c r="P88"/>
  <c r="O88"/>
  <c r="N88"/>
  <c r="M88"/>
  <c r="L88"/>
  <c r="K88"/>
  <c r="J88"/>
  <c r="I88"/>
  <c r="H88"/>
  <c r="P86"/>
  <c r="O86"/>
  <c r="N86"/>
  <c r="M86"/>
  <c r="L86"/>
  <c r="K86"/>
  <c r="J86"/>
  <c r="I86"/>
  <c r="H86"/>
  <c r="P84"/>
  <c r="O84"/>
  <c r="N84"/>
  <c r="M84"/>
  <c r="L84"/>
  <c r="K84"/>
  <c r="J84"/>
  <c r="I84"/>
  <c r="H84"/>
  <c r="P79"/>
  <c r="O79"/>
  <c r="N79"/>
  <c r="M79"/>
  <c r="L79"/>
  <c r="K79"/>
  <c r="J79"/>
  <c r="I79"/>
  <c r="H79"/>
  <c r="G79"/>
  <c r="P77"/>
  <c r="O77"/>
  <c r="N77"/>
  <c r="M77"/>
  <c r="L77"/>
  <c r="K77"/>
  <c r="J77"/>
  <c r="I77"/>
  <c r="H77"/>
  <c r="G77"/>
  <c r="P75"/>
  <c r="O75"/>
  <c r="N75"/>
  <c r="M75"/>
  <c r="L75"/>
  <c r="K75"/>
  <c r="J75"/>
  <c r="I75"/>
  <c r="H75"/>
  <c r="G75"/>
  <c r="F75"/>
  <c r="D70"/>
  <c r="C70"/>
  <c r="B70"/>
  <c r="D68"/>
  <c r="C68"/>
  <c r="B68"/>
  <c r="M64"/>
  <c r="L64"/>
  <c r="K64"/>
  <c r="J64"/>
  <c r="I64"/>
  <c r="H64"/>
  <c r="G64"/>
  <c r="K62"/>
  <c r="J62"/>
  <c r="I62"/>
  <c r="H62"/>
  <c r="G62"/>
  <c r="P60"/>
  <c r="O60"/>
  <c r="N60"/>
  <c r="M60"/>
  <c r="L60"/>
  <c r="K60"/>
  <c r="J60"/>
  <c r="I60"/>
  <c r="H60"/>
  <c r="G60"/>
  <c r="C58"/>
  <c r="B58"/>
  <c r="P55"/>
  <c r="O55"/>
  <c r="N55"/>
  <c r="M55"/>
  <c r="L55"/>
  <c r="K55"/>
  <c r="J55"/>
  <c r="I55"/>
  <c r="H55"/>
  <c r="G55"/>
  <c r="C47"/>
  <c r="B47"/>
  <c r="C45"/>
  <c r="B45"/>
  <c r="C36"/>
  <c r="B36"/>
  <c r="C34"/>
  <c r="B34"/>
  <c r="K31"/>
  <c r="J31"/>
  <c r="I31"/>
  <c r="H31"/>
  <c r="G31"/>
  <c r="P29"/>
  <c r="O29"/>
  <c r="N29"/>
  <c r="M29"/>
  <c r="L29"/>
  <c r="K29"/>
  <c r="J29"/>
  <c r="I29"/>
  <c r="H29"/>
  <c r="G29"/>
  <c r="C25"/>
  <c r="B25"/>
  <c r="C23"/>
  <c r="B23"/>
  <c r="C18"/>
  <c r="B18"/>
  <c r="P12"/>
  <c r="O12"/>
  <c r="N12"/>
  <c r="M12"/>
  <c r="L12"/>
  <c r="K12"/>
  <c r="J12"/>
  <c r="I12"/>
  <c r="H12"/>
  <c r="G12"/>
  <c r="P10"/>
  <c r="O10"/>
  <c r="N10"/>
  <c r="M10"/>
  <c r="L10"/>
  <c r="K10"/>
  <c r="J10"/>
  <c r="I10"/>
  <c r="H10"/>
  <c r="G10"/>
  <c r="P8"/>
  <c r="O8"/>
  <c r="N8"/>
  <c r="M8"/>
  <c r="L8"/>
  <c r="K8"/>
  <c r="K9" s="1"/>
  <c r="J8"/>
  <c r="I8"/>
  <c r="I9" s="1"/>
  <c r="H8"/>
  <c r="G8"/>
  <c r="C6"/>
  <c r="B6"/>
  <c r="B4"/>
  <c r="R1"/>
  <c r="Q1"/>
  <c r="P1"/>
  <c r="O1"/>
  <c r="N1"/>
  <c r="M1"/>
  <c r="L1"/>
  <c r="K1"/>
  <c r="J1"/>
  <c r="I1"/>
  <c r="H1"/>
  <c r="G1"/>
  <c r="F1"/>
  <c r="E1"/>
  <c r="D1"/>
  <c r="C1"/>
  <c r="B1"/>
  <c r="A1"/>
  <c r="C32" i="13"/>
  <c r="C20"/>
  <c r="F13"/>
  <c r="L128" i="9" s="1"/>
  <c r="D13" i="13"/>
  <c r="J128" i="9" s="1"/>
  <c r="J18" i="25" s="1"/>
  <c r="B13" i="13"/>
  <c r="H128" i="9" s="1"/>
  <c r="H18" i="25" s="1"/>
  <c r="E5" i="13"/>
  <c r="K125" i="9" s="1"/>
  <c r="D5" i="13"/>
  <c r="C5"/>
  <c r="I125" i="9" s="1"/>
  <c r="B5" i="13"/>
  <c r="F3"/>
  <c r="E3"/>
  <c r="D3"/>
  <c r="C3"/>
  <c r="A182" i="9"/>
  <c r="A179" i="28" s="1"/>
  <c r="A181" i="9"/>
  <c r="A178" i="28" s="1"/>
  <c r="A180" i="9"/>
  <c r="A177" i="28" s="1"/>
  <c r="A179" i="9"/>
  <c r="A176" i="28" s="1"/>
  <c r="A178" i="9"/>
  <c r="A175" i="28" s="1"/>
  <c r="A177" i="9"/>
  <c r="A174" i="28" s="1"/>
  <c r="A176" i="9"/>
  <c r="A173" i="28" s="1"/>
  <c r="A175" i="9"/>
  <c r="A172" i="28" s="1"/>
  <c r="A174" i="9"/>
  <c r="A171" i="28" s="1"/>
  <c r="A173" i="9"/>
  <c r="A170" i="28" s="1"/>
  <c r="A172" i="9"/>
  <c r="A169" i="28" s="1"/>
  <c r="A171" i="9"/>
  <c r="A168" i="28" s="1"/>
  <c r="A170" i="9"/>
  <c r="A167" i="28" s="1"/>
  <c r="A169" i="9"/>
  <c r="A166" i="28" s="1"/>
  <c r="A168" i="9"/>
  <c r="A165" i="28" s="1"/>
  <c r="A167" i="9"/>
  <c r="A164" i="28" s="1"/>
  <c r="A166" i="9"/>
  <c r="A163" i="28" s="1"/>
  <c r="A165" i="9"/>
  <c r="A162" i="28" s="1"/>
  <c r="A164" i="9"/>
  <c r="A161" i="28" s="1"/>
  <c r="A163" i="9"/>
  <c r="A162"/>
  <c r="A159" i="28" s="1"/>
  <c r="A161" i="9"/>
  <c r="A158" i="28" s="1"/>
  <c r="I58" i="14"/>
  <c r="G58"/>
  <c r="A160" i="9"/>
  <c r="A157" i="28" s="1"/>
  <c r="F159" i="9"/>
  <c r="A159"/>
  <c r="A156" i="28" s="1"/>
  <c r="F158" i="9"/>
  <c r="A158"/>
  <c r="A155" i="28" s="1"/>
  <c r="F157" i="9"/>
  <c r="A157"/>
  <c r="A154" i="28" s="1"/>
  <c r="F156" i="9"/>
  <c r="A156"/>
  <c r="A153" i="28" s="1"/>
  <c r="F155" i="9"/>
  <c r="A155"/>
  <c r="A152" i="28" s="1"/>
  <c r="F154" i="9"/>
  <c r="A154"/>
  <c r="A151" i="28" s="1"/>
  <c r="A153" i="9"/>
  <c r="A150" i="28" s="1"/>
  <c r="A152" i="9"/>
  <c r="A149" i="28" s="1"/>
  <c r="J152" i="5"/>
  <c r="F8" i="24" s="1"/>
  <c r="H152" i="5"/>
  <c r="D8" i="24" s="1"/>
  <c r="A151" i="9"/>
  <c r="A148" i="28" s="1"/>
  <c r="J18" i="14"/>
  <c r="H18"/>
  <c r="A150" i="9"/>
  <c r="A147" i="28" s="1"/>
  <c r="K6" i="14"/>
  <c r="J150" i="5"/>
  <c r="I6" i="14"/>
  <c r="H150" i="5"/>
  <c r="G6" i="14"/>
  <c r="A149" i="9"/>
  <c r="A146" i="28" s="1"/>
  <c r="A148" i="9"/>
  <c r="A145" i="28" s="1"/>
  <c r="A147" i="9"/>
  <c r="A144" i="28" s="1"/>
  <c r="L146" i="9"/>
  <c r="J146"/>
  <c r="I147" i="5" s="1"/>
  <c r="E32" i="16" s="1"/>
  <c r="H146" i="9"/>
  <c r="A146"/>
  <c r="A143" i="28" s="1"/>
  <c r="L145" i="9"/>
  <c r="K145"/>
  <c r="J146" i="5" s="1"/>
  <c r="F31" i="16" s="1"/>
  <c r="J145" i="9"/>
  <c r="I145"/>
  <c r="H146" i="5" s="1"/>
  <c r="D31" i="16" s="1"/>
  <c r="H145" i="9"/>
  <c r="A145"/>
  <c r="A142" i="28" s="1"/>
  <c r="A144" i="9"/>
  <c r="A141" i="28" s="1"/>
  <c r="A143" i="9"/>
  <c r="A140" i="28" s="1"/>
  <c r="L142" i="9"/>
  <c r="K142"/>
  <c r="J143" i="5" s="1"/>
  <c r="F28" i="16" s="1"/>
  <c r="J142" i="9"/>
  <c r="I142"/>
  <c r="H143" i="5" s="1"/>
  <c r="D28" i="16" s="1"/>
  <c r="H142" i="9"/>
  <c r="H23" i="15" s="1"/>
  <c r="H37" s="1"/>
  <c r="A142" i="9"/>
  <c r="A139" i="28" s="1"/>
  <c r="F141" i="9"/>
  <c r="A141"/>
  <c r="A138" i="28" s="1"/>
  <c r="F140" i="9"/>
  <c r="A140"/>
  <c r="A137" i="28" s="1"/>
  <c r="F139" i="9"/>
  <c r="A139"/>
  <c r="A136" i="28" s="1"/>
  <c r="F138" i="9"/>
  <c r="A138"/>
  <c r="A135" i="28" s="1"/>
  <c r="F137" i="9"/>
  <c r="A137"/>
  <c r="A134" i="28" s="1"/>
  <c r="F136" i="9"/>
  <c r="A136"/>
  <c r="A133" i="28" s="1"/>
  <c r="F135" i="9"/>
  <c r="F133" s="1"/>
  <c r="A135"/>
  <c r="A132" i="28" s="1"/>
  <c r="A134" i="9"/>
  <c r="A131" i="28" s="1"/>
  <c r="A133" i="9"/>
  <c r="A130" i="28" s="1"/>
  <c r="R132" i="9"/>
  <c r="A132"/>
  <c r="A129" i="28" s="1"/>
  <c r="R131" i="9"/>
  <c r="A131"/>
  <c r="A128" i="28" s="1"/>
  <c r="A130" i="9"/>
  <c r="A127" i="28" s="1"/>
  <c r="A129" i="9"/>
  <c r="A126" i="28" s="1"/>
  <c r="A128" i="9"/>
  <c r="A125" i="28" s="1"/>
  <c r="R127" i="9"/>
  <c r="A127"/>
  <c r="A124" i="28" s="1"/>
  <c r="L126" i="9"/>
  <c r="K126"/>
  <c r="K133" s="1"/>
  <c r="J126"/>
  <c r="J133" s="1"/>
  <c r="I126"/>
  <c r="H126"/>
  <c r="H133" s="1"/>
  <c r="B19" i="12" s="1"/>
  <c r="A126" i="9"/>
  <c r="A123" i="28" s="1"/>
  <c r="J125" i="9"/>
  <c r="G122" i="28" s="1"/>
  <c r="H125" i="9"/>
  <c r="A125"/>
  <c r="A122" i="28" s="1"/>
  <c r="A124" i="9"/>
  <c r="A121" i="28" s="1"/>
  <c r="F123" i="9"/>
  <c r="F132" s="1"/>
  <c r="A123"/>
  <c r="A120" i="28" s="1"/>
  <c r="F122" i="9"/>
  <c r="A122"/>
  <c r="A119" i="28" s="1"/>
  <c r="F121" i="9"/>
  <c r="A121"/>
  <c r="A118" i="28" s="1"/>
  <c r="F120" i="9"/>
  <c r="A120"/>
  <c r="A117" i="28" s="1"/>
  <c r="F119" i="9"/>
  <c r="A119"/>
  <c r="A116" i="28" s="1"/>
  <c r="F118" i="9"/>
  <c r="A118"/>
  <c r="A115" i="28" s="1"/>
  <c r="F117" i="9"/>
  <c r="A117"/>
  <c r="A114" i="28" s="1"/>
  <c r="F116" i="9"/>
  <c r="A116"/>
  <c r="A113" i="28" s="1"/>
  <c r="F115" i="9"/>
  <c r="A115"/>
  <c r="A112" i="28" s="1"/>
  <c r="F114" i="9"/>
  <c r="A114"/>
  <c r="A111" i="28" s="1"/>
  <c r="F113" i="9"/>
  <c r="A113"/>
  <c r="A110" i="28" s="1"/>
  <c r="F112" i="9"/>
  <c r="A112"/>
  <c r="A109" i="28" s="1"/>
  <c r="F111" i="9"/>
  <c r="A111"/>
  <c r="A108" i="28" s="1"/>
  <c r="F110" i="9"/>
  <c r="A110"/>
  <c r="A107" i="28" s="1"/>
  <c r="F109" i="9"/>
  <c r="A109"/>
  <c r="A106" i="28" s="1"/>
  <c r="F108" i="9"/>
  <c r="A108"/>
  <c r="A105" i="28" s="1"/>
  <c r="F107" i="9"/>
  <c r="A107"/>
  <c r="A104" i="28" s="1"/>
  <c r="F106" i="9"/>
  <c r="A106"/>
  <c r="A103" i="28" s="1"/>
  <c r="F105" i="9"/>
  <c r="A105"/>
  <c r="A102" i="28" s="1"/>
  <c r="F104" i="9"/>
  <c r="A104"/>
  <c r="A101" i="28" s="1"/>
  <c r="F103" i="9"/>
  <c r="A103"/>
  <c r="A100" i="28" s="1"/>
  <c r="F102" i="9"/>
  <c r="A102"/>
  <c r="A99" i="28" s="1"/>
  <c r="F101" i="9"/>
  <c r="A101"/>
  <c r="A98" i="28" s="1"/>
  <c r="F100" i="9"/>
  <c r="A100"/>
  <c r="A97" i="28" s="1"/>
  <c r="F99" i="9"/>
  <c r="A99"/>
  <c r="A96" i="28" s="1"/>
  <c r="F98" i="9"/>
  <c r="A98"/>
  <c r="A95" i="28" s="1"/>
  <c r="F97" i="9"/>
  <c r="A97"/>
  <c r="A94" i="28" s="1"/>
  <c r="F96" i="9"/>
  <c r="A96"/>
  <c r="A93" i="28" s="1"/>
  <c r="F95" i="9"/>
  <c r="A95"/>
  <c r="A92" i="28" s="1"/>
  <c r="F94" i="9"/>
  <c r="A94"/>
  <c r="A91" i="28" s="1"/>
  <c r="F93" i="9"/>
  <c r="A93"/>
  <c r="A90" i="28" s="1"/>
  <c r="F92" i="9"/>
  <c r="A92"/>
  <c r="A89" i="28" s="1"/>
  <c r="F91" i="9"/>
  <c r="A91"/>
  <c r="A88" i="28" s="1"/>
  <c r="F90" i="9"/>
  <c r="A90"/>
  <c r="A87" i="28" s="1"/>
  <c r="F89" i="9"/>
  <c r="A89"/>
  <c r="A86" i="28" s="1"/>
  <c r="F88" i="9"/>
  <c r="A88"/>
  <c r="A85" i="28" s="1"/>
  <c r="F87" i="9"/>
  <c r="A87"/>
  <c r="A84" i="28" s="1"/>
  <c r="F86" i="9"/>
  <c r="A86"/>
  <c r="A83" i="28" s="1"/>
  <c r="F85" i="9"/>
  <c r="A85"/>
  <c r="A82" i="28" s="1"/>
  <c r="F84" i="9"/>
  <c r="A84"/>
  <c r="A81" i="28" s="1"/>
  <c r="F83" i="9"/>
  <c r="A83"/>
  <c r="A80" i="28" s="1"/>
  <c r="A82" i="9"/>
  <c r="A79" i="28" s="1"/>
  <c r="A81" i="9"/>
  <c r="A78" i="28" s="1"/>
  <c r="A80" i="9"/>
  <c r="A77" i="28" s="1"/>
  <c r="F79" i="9"/>
  <c r="A79"/>
  <c r="A76" i="28" s="1"/>
  <c r="F78" i="9"/>
  <c r="A78"/>
  <c r="A75" i="28" s="1"/>
  <c r="A77" i="9"/>
  <c r="A74" i="28" s="1"/>
  <c r="A76" i="9"/>
  <c r="A73" i="28" s="1"/>
  <c r="L75" i="9"/>
  <c r="F75"/>
  <c r="A75"/>
  <c r="A72" i="28" s="1"/>
  <c r="K74" i="9"/>
  <c r="J74"/>
  <c r="J72" s="1"/>
  <c r="I74"/>
  <c r="H74"/>
  <c r="H72" s="1"/>
  <c r="G74"/>
  <c r="F74"/>
  <c r="A74"/>
  <c r="A71" i="28" s="1"/>
  <c r="K73" i="9"/>
  <c r="L17" i="20" s="1"/>
  <c r="L18" s="1"/>
  <c r="J73" i="9"/>
  <c r="K17" i="20" s="1"/>
  <c r="I73" i="9"/>
  <c r="J17" i="20" s="1"/>
  <c r="J18" s="1"/>
  <c r="H73" i="9"/>
  <c r="I17" i="20" s="1"/>
  <c r="G73" i="9"/>
  <c r="H17" i="20" s="1"/>
  <c r="F73" i="9"/>
  <c r="A73"/>
  <c r="A70" i="28" s="1"/>
  <c r="F72" i="9"/>
  <c r="A72"/>
  <c r="A69" i="28" s="1"/>
  <c r="F71" i="9"/>
  <c r="A71"/>
  <c r="A68" i="28" s="1"/>
  <c r="F70" i="9"/>
  <c r="A70"/>
  <c r="A67" i="28" s="1"/>
  <c r="F69" i="9"/>
  <c r="A69"/>
  <c r="A66" i="28" s="1"/>
  <c r="F68" i="9"/>
  <c r="A68"/>
  <c r="A65" i="28" s="1"/>
  <c r="F67" i="9"/>
  <c r="A67"/>
  <c r="A64" i="28" s="1"/>
  <c r="F66" i="9"/>
  <c r="A66"/>
  <c r="A63" i="28" s="1"/>
  <c r="F65" i="9"/>
  <c r="A65"/>
  <c r="A62" i="28" s="1"/>
  <c r="F64" i="9"/>
  <c r="A64"/>
  <c r="A61" i="28" s="1"/>
  <c r="F63" i="9"/>
  <c r="A63"/>
  <c r="A60" i="28" s="1"/>
  <c r="K62" i="9"/>
  <c r="I62"/>
  <c r="H63" i="5" s="1"/>
  <c r="G62" i="9"/>
  <c r="H33" i="27" s="1"/>
  <c r="F62" i="9"/>
  <c r="A62"/>
  <c r="A59" i="28" s="1"/>
  <c r="F61" i="9"/>
  <c r="A61"/>
  <c r="A58" i="28" s="1"/>
  <c r="F60" i="9"/>
  <c r="A60"/>
  <c r="A57" i="28" s="1"/>
  <c r="F59" i="9"/>
  <c r="A59"/>
  <c r="A56" i="28" s="1"/>
  <c r="F58" i="9"/>
  <c r="A58"/>
  <c r="A55" i="28" s="1"/>
  <c r="F57" i="9"/>
  <c r="A57"/>
  <c r="A54" i="28" s="1"/>
  <c r="K56" i="9"/>
  <c r="J57" i="5" s="1"/>
  <c r="J56" i="9"/>
  <c r="I56"/>
  <c r="H57" i="5" s="1"/>
  <c r="H56" i="9"/>
  <c r="I21" i="27" s="1"/>
  <c r="G56" i="9"/>
  <c r="F56"/>
  <c r="A56"/>
  <c r="A53" i="28" s="1"/>
  <c r="F55" i="9"/>
  <c r="A55"/>
  <c r="A52" i="28" s="1"/>
  <c r="F54" i="9"/>
  <c r="A54"/>
  <c r="A51" i="28" s="1"/>
  <c r="F53" i="9"/>
  <c r="A53"/>
  <c r="A50" i="28" s="1"/>
  <c r="F52" i="9"/>
  <c r="A52"/>
  <c r="A49" i="28" s="1"/>
  <c r="F51" i="9"/>
  <c r="A51"/>
  <c r="A48" i="28" s="1"/>
  <c r="F50" i="9"/>
  <c r="A50"/>
  <c r="A47" i="28" s="1"/>
  <c r="F49" i="9"/>
  <c r="A49"/>
  <c r="A46" i="28" s="1"/>
  <c r="F48" i="9"/>
  <c r="G5" i="27" s="1"/>
  <c r="A48" i="9"/>
  <c r="A45" i="28" s="1"/>
  <c r="A47" i="9"/>
  <c r="A44" i="28" s="1"/>
  <c r="L46" i="9"/>
  <c r="A46"/>
  <c r="A43" i="28" s="1"/>
  <c r="L45" i="9"/>
  <c r="A45"/>
  <c r="A42" i="28" s="1"/>
  <c r="L44" i="9"/>
  <c r="K44"/>
  <c r="J44"/>
  <c r="I44"/>
  <c r="H44"/>
  <c r="H277" i="10" s="1"/>
  <c r="G44" i="9"/>
  <c r="A44"/>
  <c r="A41" i="28" s="1"/>
  <c r="H255" i="10"/>
  <c r="A43" i="9"/>
  <c r="A40" i="28" s="1"/>
  <c r="H253" i="10"/>
  <c r="A42" i="9"/>
  <c r="A39" i="28" s="1"/>
  <c r="J42" i="5"/>
  <c r="H42"/>
  <c r="H251" i="10"/>
  <c r="G41" i="9"/>
  <c r="A41"/>
  <c r="A38" i="28" s="1"/>
  <c r="A40" i="9"/>
  <c r="A37" i="28" s="1"/>
  <c r="I40" i="5"/>
  <c r="G40"/>
  <c r="G39" i="9"/>
  <c r="A39"/>
  <c r="A36" i="28" s="1"/>
  <c r="G38" i="9"/>
  <c r="A38"/>
  <c r="A35" i="28" s="1"/>
  <c r="H38" i="5"/>
  <c r="A37" i="9"/>
  <c r="A34" i="28" s="1"/>
  <c r="J37" i="5"/>
  <c r="H37"/>
  <c r="G36" i="9"/>
  <c r="A36"/>
  <c r="A33" i="28" s="1"/>
  <c r="A35" i="9"/>
  <c r="A32" i="28" s="1"/>
  <c r="G34" i="9"/>
  <c r="A34"/>
  <c r="A31" i="28" s="1"/>
  <c r="I34" i="5"/>
  <c r="G34"/>
  <c r="G33" i="9"/>
  <c r="G40" s="1"/>
  <c r="A33"/>
  <c r="A30" i="28" s="1"/>
  <c r="A32" i="9"/>
  <c r="A29" i="28" s="1"/>
  <c r="A31" i="9"/>
  <c r="A28" i="28" s="1"/>
  <c r="A30" i="9"/>
  <c r="A27" i="28" s="1"/>
  <c r="A29" i="9"/>
  <c r="A26" i="28" s="1"/>
  <c r="A28" i="9"/>
  <c r="A27"/>
  <c r="A24" i="28" s="1"/>
  <c r="A26" i="9"/>
  <c r="A23" i="28" s="1"/>
  <c r="A25" i="9"/>
  <c r="A22" i="28" s="1"/>
  <c r="A24" i="9"/>
  <c r="A45" i="25" s="1"/>
  <c r="A23" i="9"/>
  <c r="A20" i="28" s="1"/>
  <c r="K29" i="9"/>
  <c r="I29"/>
  <c r="A22"/>
  <c r="A19" i="28" s="1"/>
  <c r="A21" i="9"/>
  <c r="A18" i="28" s="1"/>
  <c r="G20" i="9"/>
  <c r="A20"/>
  <c r="A28" i="25" s="1"/>
  <c r="G19" i="9"/>
  <c r="A19"/>
  <c r="A16" i="28" s="1"/>
  <c r="G18" i="9"/>
  <c r="A18"/>
  <c r="A15" i="28" s="1"/>
  <c r="A17" i="9"/>
  <c r="A14" i="28" s="1"/>
  <c r="K16" i="9"/>
  <c r="J16"/>
  <c r="I16"/>
  <c r="G16"/>
  <c r="H504" i="27" s="1"/>
  <c r="A16" i="9"/>
  <c r="A25" i="25" s="1"/>
  <c r="K15" i="9"/>
  <c r="J15"/>
  <c r="I15"/>
  <c r="H15"/>
  <c r="G15"/>
  <c r="H502" i="27" s="1"/>
  <c r="A15" i="9"/>
  <c r="A12" i="28" s="1"/>
  <c r="A14" i="9"/>
  <c r="A11" i="28" s="1"/>
  <c r="A13" i="9"/>
  <c r="A10" i="28" s="1"/>
  <c r="A12" i="9"/>
  <c r="A9" i="28" s="1"/>
  <c r="K11" i="9"/>
  <c r="K27" i="10" s="1"/>
  <c r="J11" i="9"/>
  <c r="J27" i="10" s="1"/>
  <c r="I11" i="9"/>
  <c r="I27" i="10" s="1"/>
  <c r="H11" i="9"/>
  <c r="H27" i="10" s="1"/>
  <c r="G11" i="9"/>
  <c r="A11"/>
  <c r="A8" i="28" s="1"/>
  <c r="A10" i="9"/>
  <c r="A7" i="28" s="1"/>
  <c r="A9" i="9"/>
  <c r="A6" i="28" s="1"/>
  <c r="A8" i="9"/>
  <c r="A18" i="25" s="1"/>
  <c r="A7" i="9"/>
  <c r="A16" i="25" s="1"/>
  <c r="K6" i="9"/>
  <c r="J6"/>
  <c r="I6"/>
  <c r="H6"/>
  <c r="G6"/>
  <c r="A6"/>
  <c r="A4" i="25" s="1"/>
  <c r="A5" i="9"/>
  <c r="A4"/>
  <c r="L3"/>
  <c r="L4" i="10" s="1"/>
  <c r="K3" i="9"/>
  <c r="K4" i="10" s="1"/>
  <c r="J3" i="9"/>
  <c r="J4" i="10" s="1"/>
  <c r="I3" i="9"/>
  <c r="I4" i="10" s="1"/>
  <c r="H3" i="9"/>
  <c r="H4" i="10" s="1"/>
  <c r="G3" i="9"/>
  <c r="A3"/>
  <c r="A2"/>
  <c r="A2" i="28" s="1"/>
  <c r="D183" i="5"/>
  <c r="C183"/>
  <c r="B183"/>
  <c r="A183"/>
  <c r="D182"/>
  <c r="C182"/>
  <c r="B182"/>
  <c r="A182"/>
  <c r="C181"/>
  <c r="B181"/>
  <c r="A181"/>
  <c r="D180"/>
  <c r="C180"/>
  <c r="B180"/>
  <c r="D179"/>
  <c r="C179"/>
  <c r="B179"/>
  <c r="A179"/>
  <c r="C178"/>
  <c r="B178"/>
  <c r="A178"/>
  <c r="D177"/>
  <c r="C177"/>
  <c r="B177"/>
  <c r="A177"/>
  <c r="D176"/>
  <c r="C176"/>
  <c r="B176"/>
  <c r="A176"/>
  <c r="C175"/>
  <c r="B175"/>
  <c r="A175"/>
  <c r="D174"/>
  <c r="C174"/>
  <c r="B174"/>
  <c r="E173"/>
  <c r="D173"/>
  <c r="C173"/>
  <c r="B173"/>
  <c r="A173"/>
  <c r="E172"/>
  <c r="D172"/>
  <c r="C172"/>
  <c r="B172"/>
  <c r="D171"/>
  <c r="C171"/>
  <c r="B171"/>
  <c r="A171"/>
  <c r="D170"/>
  <c r="C170"/>
  <c r="B170"/>
  <c r="E169"/>
  <c r="D169"/>
  <c r="C169"/>
  <c r="B169"/>
  <c r="A169"/>
  <c r="E168"/>
  <c r="D168"/>
  <c r="C168"/>
  <c r="B168"/>
  <c r="D167"/>
  <c r="C167"/>
  <c r="B167"/>
  <c r="A167"/>
  <c r="D166"/>
  <c r="C166"/>
  <c r="B166"/>
  <c r="C165"/>
  <c r="B165"/>
  <c r="A165"/>
  <c r="B164"/>
  <c r="A164"/>
  <c r="F163"/>
  <c r="D163"/>
  <c r="C163"/>
  <c r="B163"/>
  <c r="A163"/>
  <c r="F162"/>
  <c r="D162"/>
  <c r="C162"/>
  <c r="B162"/>
  <c r="A162"/>
  <c r="J161"/>
  <c r="I161"/>
  <c r="H161"/>
  <c r="G161"/>
  <c r="F161"/>
  <c r="C161"/>
  <c r="B161"/>
  <c r="A161"/>
  <c r="C160"/>
  <c r="B160"/>
  <c r="A160"/>
  <c r="C159"/>
  <c r="B159"/>
  <c r="A159"/>
  <c r="C158"/>
  <c r="B158"/>
  <c r="A158"/>
  <c r="C157"/>
  <c r="B157"/>
  <c r="A157"/>
  <c r="C156"/>
  <c r="B156"/>
  <c r="A156"/>
  <c r="K155"/>
  <c r="J155"/>
  <c r="I155"/>
  <c r="H155"/>
  <c r="G155"/>
  <c r="C155"/>
  <c r="A14" i="24" s="1"/>
  <c r="B155" i="5"/>
  <c r="F154"/>
  <c r="C154"/>
  <c r="B154"/>
  <c r="A154"/>
  <c r="F153"/>
  <c r="C153"/>
  <c r="B153"/>
  <c r="K152"/>
  <c r="G8" i="24" s="1"/>
  <c r="I152" i="5"/>
  <c r="E8" i="24" s="1"/>
  <c r="G152" i="5"/>
  <c r="C8" i="24" s="1"/>
  <c r="F152" i="5"/>
  <c r="C152"/>
  <c r="B152"/>
  <c r="A152"/>
  <c r="K151"/>
  <c r="J151"/>
  <c r="I151"/>
  <c r="H151"/>
  <c r="G151"/>
  <c r="F151"/>
  <c r="C151"/>
  <c r="B151"/>
  <c r="K150"/>
  <c r="I150"/>
  <c r="G150"/>
  <c r="F150"/>
  <c r="C150"/>
  <c r="B150"/>
  <c r="A150"/>
  <c r="B149"/>
  <c r="A149"/>
  <c r="C148"/>
  <c r="B148"/>
  <c r="K147"/>
  <c r="G32" i="16" s="1"/>
  <c r="G147" i="5"/>
  <c r="C32" i="16" s="1"/>
  <c r="C147" i="5"/>
  <c r="B147"/>
  <c r="K146"/>
  <c r="G31" i="16" s="1"/>
  <c r="I146" i="5"/>
  <c r="E31" i="16" s="1"/>
  <c r="G146" i="5"/>
  <c r="C31" i="16" s="1"/>
  <c r="C146" i="5"/>
  <c r="B146"/>
  <c r="C145"/>
  <c r="B145"/>
  <c r="A145"/>
  <c r="C144"/>
  <c r="B144"/>
  <c r="K143"/>
  <c r="G28" i="16" s="1"/>
  <c r="I143" i="5"/>
  <c r="E28" i="16" s="1"/>
  <c r="G143" i="5"/>
  <c r="C28" i="16" s="1"/>
  <c r="C143" i="5"/>
  <c r="B143"/>
  <c r="D142"/>
  <c r="C142"/>
  <c r="B142"/>
  <c r="D141"/>
  <c r="C141"/>
  <c r="B141"/>
  <c r="C140"/>
  <c r="B140"/>
  <c r="A140"/>
  <c r="D139"/>
  <c r="C139"/>
  <c r="B139"/>
  <c r="A139"/>
  <c r="D138"/>
  <c r="C138"/>
  <c r="B138"/>
  <c r="A138"/>
  <c r="D137"/>
  <c r="C137"/>
  <c r="B137"/>
  <c r="A137"/>
  <c r="C136"/>
  <c r="B136"/>
  <c r="B135"/>
  <c r="A135"/>
  <c r="C134"/>
  <c r="B134"/>
  <c r="A134"/>
  <c r="K133"/>
  <c r="G3" i="18" s="1"/>
  <c r="J133" i="5"/>
  <c r="F3" i="18" s="1"/>
  <c r="I133" i="5"/>
  <c r="E3" i="18" s="1"/>
  <c r="H133" i="5"/>
  <c r="D3" i="18" s="1"/>
  <c r="G133" i="5"/>
  <c r="C3" i="18" s="1"/>
  <c r="C133" i="5"/>
  <c r="B133"/>
  <c r="A133"/>
  <c r="K132"/>
  <c r="J132"/>
  <c r="I132"/>
  <c r="H132"/>
  <c r="G132"/>
  <c r="F132"/>
  <c r="C132"/>
  <c r="B132"/>
  <c r="H131"/>
  <c r="G131"/>
  <c r="F131"/>
  <c r="C131"/>
  <c r="B131"/>
  <c r="A131"/>
  <c r="I130"/>
  <c r="E2" i="18" s="1"/>
  <c r="H130" i="5"/>
  <c r="D2" i="18" s="1"/>
  <c r="G130" i="5"/>
  <c r="C2" i="18" s="1"/>
  <c r="F130" i="5"/>
  <c r="C130"/>
  <c r="B130"/>
  <c r="A130"/>
  <c r="I129"/>
  <c r="F129"/>
  <c r="D129"/>
  <c r="C129"/>
  <c r="B129"/>
  <c r="A129"/>
  <c r="K128"/>
  <c r="J128"/>
  <c r="I128"/>
  <c r="H128"/>
  <c r="G128"/>
  <c r="F128"/>
  <c r="D128"/>
  <c r="C128"/>
  <c r="B128"/>
  <c r="A128"/>
  <c r="K127"/>
  <c r="J127"/>
  <c r="I127"/>
  <c r="H127"/>
  <c r="G127"/>
  <c r="F127"/>
  <c r="C127"/>
  <c r="B127"/>
  <c r="K126"/>
  <c r="J126"/>
  <c r="I126"/>
  <c r="H126"/>
  <c r="G126"/>
  <c r="F126"/>
  <c r="C126"/>
  <c r="B126"/>
  <c r="A126"/>
  <c r="B125"/>
  <c r="A125"/>
  <c r="D124"/>
  <c r="C124"/>
  <c r="B124"/>
  <c r="A124"/>
  <c r="D123"/>
  <c r="C123"/>
  <c r="B123"/>
  <c r="A123"/>
  <c r="D122"/>
  <c r="C122"/>
  <c r="B122"/>
  <c r="A122"/>
  <c r="D121"/>
  <c r="C121"/>
  <c r="B121"/>
  <c r="A121"/>
  <c r="D120"/>
  <c r="C120"/>
  <c r="B120"/>
  <c r="A120"/>
  <c r="D119"/>
  <c r="C119"/>
  <c r="B119"/>
  <c r="A119"/>
  <c r="D118"/>
  <c r="C118"/>
  <c r="B118"/>
  <c r="A118"/>
  <c r="C117"/>
  <c r="B117"/>
  <c r="D116"/>
  <c r="C116"/>
  <c r="B116"/>
  <c r="D115"/>
  <c r="C115"/>
  <c r="B115"/>
  <c r="D114"/>
  <c r="C114"/>
  <c r="B114"/>
  <c r="D113"/>
  <c r="C113"/>
  <c r="B113"/>
  <c r="D112"/>
  <c r="C112"/>
  <c r="B112"/>
  <c r="D111"/>
  <c r="C111"/>
  <c r="B111"/>
  <c r="D110"/>
  <c r="C110"/>
  <c r="B110"/>
  <c r="C109"/>
  <c r="B109"/>
  <c r="A109"/>
  <c r="D108"/>
  <c r="C108"/>
  <c r="B108"/>
  <c r="A108"/>
  <c r="D107"/>
  <c r="C107"/>
  <c r="B107"/>
  <c r="A107"/>
  <c r="D106"/>
  <c r="C106"/>
  <c r="B106"/>
  <c r="A106"/>
  <c r="D105"/>
  <c r="C105"/>
  <c r="B105"/>
  <c r="A105"/>
  <c r="D104"/>
  <c r="C104"/>
  <c r="B104"/>
  <c r="A104"/>
  <c r="D103"/>
  <c r="C103"/>
  <c r="B103"/>
  <c r="A103"/>
  <c r="D102"/>
  <c r="C102"/>
  <c r="B102"/>
  <c r="A102"/>
  <c r="C101"/>
  <c r="B101"/>
  <c r="D100"/>
  <c r="C100"/>
  <c r="B100"/>
  <c r="D99"/>
  <c r="C99"/>
  <c r="B99"/>
  <c r="D98"/>
  <c r="C98"/>
  <c r="B98"/>
  <c r="D97"/>
  <c r="C97"/>
  <c r="B97"/>
  <c r="D96"/>
  <c r="C96"/>
  <c r="B96"/>
  <c r="D95"/>
  <c r="C95"/>
  <c r="B95"/>
  <c r="D94"/>
  <c r="C94"/>
  <c r="B94"/>
  <c r="C93"/>
  <c r="B93"/>
  <c r="A93"/>
  <c r="E92"/>
  <c r="D92"/>
  <c r="C92"/>
  <c r="B92"/>
  <c r="E91"/>
  <c r="D91"/>
  <c r="C91"/>
  <c r="B91"/>
  <c r="A91"/>
  <c r="E90"/>
  <c r="D90"/>
  <c r="C90"/>
  <c r="B90"/>
  <c r="E89"/>
  <c r="D89"/>
  <c r="C89"/>
  <c r="B89"/>
  <c r="A89"/>
  <c r="E88"/>
  <c r="D88"/>
  <c r="C88"/>
  <c r="B88"/>
  <c r="E87"/>
  <c r="D87"/>
  <c r="C87"/>
  <c r="B87"/>
  <c r="A87"/>
  <c r="D86"/>
  <c r="C86"/>
  <c r="B86"/>
  <c r="A86"/>
  <c r="D85"/>
  <c r="C85"/>
  <c r="B85"/>
  <c r="A85"/>
  <c r="C84"/>
  <c r="B84"/>
  <c r="F83"/>
  <c r="D83"/>
  <c r="C83"/>
  <c r="B83"/>
  <c r="A83"/>
  <c r="F82"/>
  <c r="D82"/>
  <c r="C82"/>
  <c r="B82"/>
  <c r="F81"/>
  <c r="C81"/>
  <c r="B81"/>
  <c r="D80"/>
  <c r="C80"/>
  <c r="B80"/>
  <c r="A80"/>
  <c r="D79"/>
  <c r="C79"/>
  <c r="B79"/>
  <c r="A79"/>
  <c r="C78"/>
  <c r="B78"/>
  <c r="B77"/>
  <c r="C76"/>
  <c r="B76"/>
  <c r="A76"/>
  <c r="K75"/>
  <c r="J75"/>
  <c r="H75"/>
  <c r="D75"/>
  <c r="C75"/>
  <c r="B75"/>
  <c r="A75"/>
  <c r="J74"/>
  <c r="K134" i="26" s="1"/>
  <c r="I74" i="5"/>
  <c r="H74"/>
  <c r="G74"/>
  <c r="D74"/>
  <c r="C74"/>
  <c r="B74"/>
  <c r="C73"/>
  <c r="B73"/>
  <c r="A73"/>
  <c r="D72"/>
  <c r="C72"/>
  <c r="B72"/>
  <c r="A72"/>
  <c r="D71"/>
  <c r="C71"/>
  <c r="B71"/>
  <c r="A71"/>
  <c r="D70"/>
  <c r="C70"/>
  <c r="B70"/>
  <c r="A70"/>
  <c r="D69"/>
  <c r="C69"/>
  <c r="B69"/>
  <c r="A69"/>
  <c r="D68"/>
  <c r="C68"/>
  <c r="B68"/>
  <c r="A68"/>
  <c r="D67"/>
  <c r="C67"/>
  <c r="B67"/>
  <c r="A67"/>
  <c r="D66"/>
  <c r="C66"/>
  <c r="B66"/>
  <c r="A66"/>
  <c r="C65"/>
  <c r="B65"/>
  <c r="D64"/>
  <c r="C64"/>
  <c r="B64"/>
  <c r="J63"/>
  <c r="D63"/>
  <c r="C63"/>
  <c r="B63"/>
  <c r="A63"/>
  <c r="D62"/>
  <c r="C62"/>
  <c r="B62"/>
  <c r="A62"/>
  <c r="D61"/>
  <c r="C61"/>
  <c r="B61"/>
  <c r="A61"/>
  <c r="D60"/>
  <c r="C60"/>
  <c r="B60"/>
  <c r="A60"/>
  <c r="D59"/>
  <c r="C59"/>
  <c r="B59"/>
  <c r="A59"/>
  <c r="D58"/>
  <c r="C58"/>
  <c r="B58"/>
  <c r="A58"/>
  <c r="K57"/>
  <c r="I57"/>
  <c r="G57"/>
  <c r="C57"/>
  <c r="B57"/>
  <c r="D56"/>
  <c r="C56"/>
  <c r="B56"/>
  <c r="D55"/>
  <c r="C55"/>
  <c r="B55"/>
  <c r="D54"/>
  <c r="C54"/>
  <c r="B54"/>
  <c r="D53"/>
  <c r="C53"/>
  <c r="B53"/>
  <c r="D52"/>
  <c r="C52"/>
  <c r="B52"/>
  <c r="D51"/>
  <c r="C51"/>
  <c r="B51"/>
  <c r="D50"/>
  <c r="C50"/>
  <c r="B50"/>
  <c r="C49"/>
  <c r="B49"/>
  <c r="A49"/>
  <c r="B48"/>
  <c r="A48"/>
  <c r="K47"/>
  <c r="J47"/>
  <c r="I47"/>
  <c r="H47"/>
  <c r="G47"/>
  <c r="F47"/>
  <c r="D47"/>
  <c r="C47"/>
  <c r="B47"/>
  <c r="A47"/>
  <c r="K46"/>
  <c r="J46"/>
  <c r="I46"/>
  <c r="H46"/>
  <c r="G46"/>
  <c r="F46"/>
  <c r="D46"/>
  <c r="C46"/>
  <c r="B46"/>
  <c r="A46"/>
  <c r="K45"/>
  <c r="J45"/>
  <c r="I45"/>
  <c r="H45"/>
  <c r="G45"/>
  <c r="F45"/>
  <c r="C45"/>
  <c r="B45"/>
  <c r="I44"/>
  <c r="F44"/>
  <c r="D44"/>
  <c r="C44"/>
  <c r="B44"/>
  <c r="A44"/>
  <c r="I43"/>
  <c r="F43"/>
  <c r="D43"/>
  <c r="C43"/>
  <c r="B43"/>
  <c r="A43"/>
  <c r="I42"/>
  <c r="G42"/>
  <c r="F42"/>
  <c r="D42"/>
  <c r="C42"/>
  <c r="B42"/>
  <c r="A42"/>
  <c r="F41"/>
  <c r="C41"/>
  <c r="B41"/>
  <c r="J40"/>
  <c r="H40"/>
  <c r="F40"/>
  <c r="D40"/>
  <c r="C40"/>
  <c r="B40"/>
  <c r="A40"/>
  <c r="J39"/>
  <c r="I39"/>
  <c r="H39"/>
  <c r="G39"/>
  <c r="F39"/>
  <c r="D39"/>
  <c r="C39"/>
  <c r="B39"/>
  <c r="I38"/>
  <c r="F38"/>
  <c r="D38"/>
  <c r="C38"/>
  <c r="B38"/>
  <c r="A38"/>
  <c r="I37"/>
  <c r="G37"/>
  <c r="F37"/>
  <c r="D37"/>
  <c r="C37"/>
  <c r="B37"/>
  <c r="A37"/>
  <c r="F36"/>
  <c r="D36"/>
  <c r="C36"/>
  <c r="B36"/>
  <c r="A36"/>
  <c r="J35"/>
  <c r="I35"/>
  <c r="H35"/>
  <c r="G35"/>
  <c r="F35"/>
  <c r="D35"/>
  <c r="C35"/>
  <c r="B35"/>
  <c r="J34"/>
  <c r="H34"/>
  <c r="F34"/>
  <c r="C34"/>
  <c r="B34"/>
  <c r="F33"/>
  <c r="D33"/>
  <c r="C33"/>
  <c r="B33"/>
  <c r="A33"/>
  <c r="F32"/>
  <c r="D32"/>
  <c r="C32"/>
  <c r="B32"/>
  <c r="F31"/>
  <c r="D31"/>
  <c r="C31"/>
  <c r="B31"/>
  <c r="A31"/>
  <c r="J30"/>
  <c r="H30"/>
  <c r="F30"/>
  <c r="C30"/>
  <c r="B30"/>
  <c r="A30"/>
  <c r="F29"/>
  <c r="D29"/>
  <c r="C29"/>
  <c r="B29"/>
  <c r="A29"/>
  <c r="F28"/>
  <c r="D28"/>
  <c r="C28"/>
  <c r="B28"/>
  <c r="A28"/>
  <c r="F27"/>
  <c r="D27"/>
  <c r="C27"/>
  <c r="B27"/>
  <c r="A27"/>
  <c r="F26"/>
  <c r="D26"/>
  <c r="C26"/>
  <c r="B26"/>
  <c r="A26"/>
  <c r="F25"/>
  <c r="D25"/>
  <c r="C25"/>
  <c r="B25"/>
  <c r="A25"/>
  <c r="F24"/>
  <c r="D24"/>
  <c r="C24"/>
  <c r="B24"/>
  <c r="A24"/>
  <c r="J23"/>
  <c r="I23"/>
  <c r="H23"/>
  <c r="G23"/>
  <c r="F23"/>
  <c r="C23"/>
  <c r="B23"/>
  <c r="A23"/>
  <c r="F22"/>
  <c r="D22"/>
  <c r="C22"/>
  <c r="B22"/>
  <c r="A22"/>
  <c r="J21"/>
  <c r="I21"/>
  <c r="H21"/>
  <c r="G21"/>
  <c r="F21"/>
  <c r="D21"/>
  <c r="C21"/>
  <c r="B21"/>
  <c r="J20"/>
  <c r="H20"/>
  <c r="F20"/>
  <c r="D20"/>
  <c r="C20"/>
  <c r="B20"/>
  <c r="A20"/>
  <c r="J19"/>
  <c r="I19"/>
  <c r="H19"/>
  <c r="G19"/>
  <c r="F19"/>
  <c r="C19"/>
  <c r="B19"/>
  <c r="A19"/>
  <c r="B18"/>
  <c r="A18"/>
  <c r="J17"/>
  <c r="I17"/>
  <c r="H17"/>
  <c r="G17"/>
  <c r="F17"/>
  <c r="D17"/>
  <c r="C17"/>
  <c r="B17"/>
  <c r="J16"/>
  <c r="I16"/>
  <c r="H16"/>
  <c r="G16"/>
  <c r="F16"/>
  <c r="D16"/>
  <c r="C16"/>
  <c r="B16"/>
  <c r="C15"/>
  <c r="B15"/>
  <c r="A15"/>
  <c r="J14"/>
  <c r="I14"/>
  <c r="H14"/>
  <c r="G14"/>
  <c r="F14"/>
  <c r="D14"/>
  <c r="C14"/>
  <c r="B14"/>
  <c r="A14"/>
  <c r="K13"/>
  <c r="J13"/>
  <c r="I13"/>
  <c r="H13"/>
  <c r="G13"/>
  <c r="F13"/>
  <c r="D13"/>
  <c r="C13"/>
  <c r="B13"/>
  <c r="A13"/>
  <c r="J12"/>
  <c r="I12"/>
  <c r="H12"/>
  <c r="G12"/>
  <c r="F12"/>
  <c r="C12"/>
  <c r="B12"/>
  <c r="A12"/>
  <c r="J11"/>
  <c r="I11"/>
  <c r="H11"/>
  <c r="G11"/>
  <c r="F11"/>
  <c r="D11"/>
  <c r="C11"/>
  <c r="B11"/>
  <c r="F10"/>
  <c r="D10"/>
  <c r="C10"/>
  <c r="B10"/>
  <c r="J9"/>
  <c r="I9"/>
  <c r="H9"/>
  <c r="G9"/>
  <c r="F9"/>
  <c r="D9"/>
  <c r="C9"/>
  <c r="B9"/>
  <c r="A9"/>
  <c r="J8"/>
  <c r="I8"/>
  <c r="H8"/>
  <c r="G8"/>
  <c r="F8"/>
  <c r="D8"/>
  <c r="C8"/>
  <c r="B8"/>
  <c r="A8"/>
  <c r="J7"/>
  <c r="I7"/>
  <c r="H7"/>
  <c r="G7"/>
  <c r="F7"/>
  <c r="C7"/>
  <c r="B7"/>
  <c r="A7"/>
  <c r="K6"/>
  <c r="J6"/>
  <c r="I6"/>
  <c r="H6"/>
  <c r="G6"/>
  <c r="F6"/>
  <c r="D6"/>
  <c r="C6"/>
  <c r="B6"/>
  <c r="A6"/>
  <c r="K5"/>
  <c r="J5"/>
  <c r="I5"/>
  <c r="H5"/>
  <c r="G5"/>
  <c r="F5"/>
  <c r="D5"/>
  <c r="C5"/>
  <c r="B5"/>
  <c r="A5"/>
  <c r="K4"/>
  <c r="J4"/>
  <c r="I4"/>
  <c r="H4"/>
  <c r="G4"/>
  <c r="F4"/>
  <c r="C4"/>
  <c r="B4"/>
  <c r="A4"/>
  <c r="B3"/>
  <c r="A2"/>
  <c r="Z1"/>
  <c r="X1"/>
  <c r="W1"/>
  <c r="V1"/>
  <c r="U1"/>
  <c r="T1"/>
  <c r="S1"/>
  <c r="R1"/>
  <c r="Q1"/>
  <c r="P1"/>
  <c r="O1"/>
  <c r="N1"/>
  <c r="M1"/>
  <c r="L1"/>
  <c r="K1"/>
  <c r="J1"/>
  <c r="I1"/>
  <c r="H1"/>
  <c r="G1"/>
  <c r="F1"/>
  <c r="E1"/>
  <c r="D1"/>
  <c r="C1"/>
  <c r="B1"/>
  <c r="A1"/>
  <c r="A5" i="2"/>
  <c r="L73" i="1"/>
  <c r="K73"/>
  <c r="J73"/>
  <c r="I73"/>
  <c r="H73"/>
  <c r="G73"/>
  <c r="F73"/>
  <c r="E73"/>
  <c r="D73"/>
  <c r="O72"/>
  <c r="N72"/>
  <c r="L71"/>
  <c r="K71"/>
  <c r="J71"/>
  <c r="I71"/>
  <c r="H71"/>
  <c r="G71"/>
  <c r="F71"/>
  <c r="E71"/>
  <c r="D71"/>
  <c r="O70"/>
  <c r="N70"/>
  <c r="L69"/>
  <c r="K69"/>
  <c r="J69"/>
  <c r="I69"/>
  <c r="H69"/>
  <c r="G69"/>
  <c r="F69"/>
  <c r="E69"/>
  <c r="D69"/>
  <c r="O68"/>
  <c r="N68"/>
  <c r="L67"/>
  <c r="K67"/>
  <c r="J67"/>
  <c r="I67"/>
  <c r="H67"/>
  <c r="G67"/>
  <c r="F67"/>
  <c r="E67"/>
  <c r="D67"/>
  <c r="O66"/>
  <c r="N66"/>
  <c r="L65"/>
  <c r="K65"/>
  <c r="J65"/>
  <c r="I65"/>
  <c r="H65"/>
  <c r="G65"/>
  <c r="F65"/>
  <c r="E65"/>
  <c r="D65"/>
  <c r="O64"/>
  <c r="N64"/>
  <c r="L63"/>
  <c r="K63"/>
  <c r="J63"/>
  <c r="I63"/>
  <c r="H63"/>
  <c r="G63"/>
  <c r="F63"/>
  <c r="E63"/>
  <c r="D63"/>
  <c r="P62"/>
  <c r="O62"/>
  <c r="N62"/>
  <c r="L61"/>
  <c r="K61"/>
  <c r="J61"/>
  <c r="I61"/>
  <c r="H61"/>
  <c r="G61"/>
  <c r="F61"/>
  <c r="E61"/>
  <c r="D61"/>
  <c r="O60"/>
  <c r="N60"/>
  <c r="L53"/>
  <c r="L55" s="1"/>
  <c r="K53"/>
  <c r="K57" s="1"/>
  <c r="J53"/>
  <c r="J55" s="1"/>
  <c r="I53"/>
  <c r="I57" s="1"/>
  <c r="H53"/>
  <c r="H57" s="1"/>
  <c r="G53"/>
  <c r="G57" s="1"/>
  <c r="F53"/>
  <c r="F57" s="1"/>
  <c r="E53"/>
  <c r="E57" s="1"/>
  <c r="D53"/>
  <c r="D57" s="1"/>
  <c r="C53"/>
  <c r="C57" s="1"/>
  <c r="L52"/>
  <c r="K52"/>
  <c r="J52"/>
  <c r="I52"/>
  <c r="L45"/>
  <c r="L49" s="1"/>
  <c r="K45"/>
  <c r="K49" s="1"/>
  <c r="J45"/>
  <c r="J49" s="1"/>
  <c r="I45"/>
  <c r="I49" s="1"/>
  <c r="H45"/>
  <c r="H49" s="1"/>
  <c r="G45"/>
  <c r="G49" s="1"/>
  <c r="F45"/>
  <c r="F49" s="1"/>
  <c r="E45"/>
  <c r="E49" s="1"/>
  <c r="D45"/>
  <c r="D49" s="1"/>
  <c r="C45"/>
  <c r="C49" s="1"/>
  <c r="K41"/>
  <c r="J41"/>
  <c r="I41"/>
  <c r="H41"/>
  <c r="G41"/>
  <c r="F41"/>
  <c r="E41"/>
  <c r="D41"/>
  <c r="C41"/>
  <c r="B41"/>
  <c r="A38"/>
  <c r="F36"/>
  <c r="G51" s="1"/>
  <c r="E36"/>
  <c r="F51" s="1"/>
  <c r="D36"/>
  <c r="E51" s="1"/>
  <c r="C36"/>
  <c r="D51" s="1"/>
  <c r="B36"/>
  <c r="C51" s="1"/>
  <c r="K33"/>
  <c r="J33"/>
  <c r="I33"/>
  <c r="H33"/>
  <c r="G33"/>
  <c r="F33"/>
  <c r="E33"/>
  <c r="D33"/>
  <c r="C33"/>
  <c r="B33"/>
  <c r="K32"/>
  <c r="J32"/>
  <c r="I32"/>
  <c r="H32"/>
  <c r="G32"/>
  <c r="F32"/>
  <c r="E32"/>
  <c r="D32"/>
  <c r="C32"/>
  <c r="B32"/>
  <c r="A11" i="5" l="1"/>
  <c r="A10"/>
  <c r="M9" i="14"/>
  <c r="O9"/>
  <c r="I11"/>
  <c r="K11"/>
  <c r="M11"/>
  <c r="O11"/>
  <c r="I13"/>
  <c r="K13"/>
  <c r="M13"/>
  <c r="O13"/>
  <c r="J56" i="10"/>
  <c r="L56"/>
  <c r="N56"/>
  <c r="P56"/>
  <c r="D52" i="30"/>
  <c r="F52"/>
  <c r="N110" i="14"/>
  <c r="P110"/>
  <c r="K75" i="15"/>
  <c r="J77"/>
  <c r="L77"/>
  <c r="N77"/>
  <c r="H84"/>
  <c r="H68" s="1"/>
  <c r="I69" s="1"/>
  <c r="I165" i="10"/>
  <c r="J165"/>
  <c r="L165"/>
  <c r="N165"/>
  <c r="P165"/>
  <c r="K76" i="5"/>
  <c r="I44" i="10"/>
  <c r="H10"/>
  <c r="J10"/>
  <c r="M72" i="32"/>
  <c r="M79"/>
  <c r="J44" i="10"/>
  <c r="J58"/>
  <c r="L58"/>
  <c r="N58"/>
  <c r="I82"/>
  <c r="K82"/>
  <c r="M82"/>
  <c r="O82"/>
  <c r="K159"/>
  <c r="M159"/>
  <c r="M215"/>
  <c r="I10"/>
  <c r="K10"/>
  <c r="M496" i="27"/>
  <c r="L72" i="32"/>
  <c r="H56" i="14"/>
  <c r="J56"/>
  <c r="L56"/>
  <c r="N56"/>
  <c r="P56"/>
  <c r="H61"/>
  <c r="J61"/>
  <c r="L61"/>
  <c r="N61"/>
  <c r="P61"/>
  <c r="J63"/>
  <c r="I65"/>
  <c r="K65"/>
  <c r="M65"/>
  <c r="P77" i="15"/>
  <c r="K44" i="10"/>
  <c r="I167"/>
  <c r="J7"/>
  <c r="L7"/>
  <c r="I9"/>
  <c r="K9"/>
  <c r="I49"/>
  <c r="K49"/>
  <c r="I134" i="26"/>
  <c r="R128" i="9"/>
  <c r="A3" i="5"/>
  <c r="A16"/>
  <c r="G20"/>
  <c r="I20"/>
  <c r="A21"/>
  <c r="A32"/>
  <c r="A34"/>
  <c r="A35"/>
  <c r="A39"/>
  <c r="A41"/>
  <c r="G43"/>
  <c r="G44"/>
  <c r="A45"/>
  <c r="A50"/>
  <c r="A51"/>
  <c r="A52"/>
  <c r="A53"/>
  <c r="A54"/>
  <c r="A55"/>
  <c r="A56"/>
  <c r="A57"/>
  <c r="A64"/>
  <c r="A65"/>
  <c r="A74"/>
  <c r="G75"/>
  <c r="H134" i="26" s="1"/>
  <c r="I75" i="5"/>
  <c r="J134" i="26" s="1"/>
  <c r="A78" i="5"/>
  <c r="A82"/>
  <c r="A84"/>
  <c r="A88"/>
  <c r="A90"/>
  <c r="A92"/>
  <c r="A94"/>
  <c r="A95"/>
  <c r="A96"/>
  <c r="A97"/>
  <c r="A98"/>
  <c r="A99"/>
  <c r="A100"/>
  <c r="A101"/>
  <c r="A110"/>
  <c r="A111"/>
  <c r="A112"/>
  <c r="A113"/>
  <c r="A114"/>
  <c r="A115"/>
  <c r="A116"/>
  <c r="A117"/>
  <c r="A127"/>
  <c r="G129"/>
  <c r="K129"/>
  <c r="A132"/>
  <c r="A136"/>
  <c r="A141"/>
  <c r="A142"/>
  <c r="A143"/>
  <c r="A144"/>
  <c r="A146"/>
  <c r="A147"/>
  <c r="A148"/>
  <c r="A151"/>
  <c r="A153"/>
  <c r="A155"/>
  <c r="A166"/>
  <c r="A168"/>
  <c r="A170"/>
  <c r="A172"/>
  <c r="A174"/>
  <c r="A180"/>
  <c r="L484" i="27"/>
  <c r="P31" i="34"/>
  <c r="R31"/>
  <c r="O37"/>
  <c r="I38"/>
  <c r="O23" s="1"/>
  <c r="I39"/>
  <c r="O19" s="1"/>
  <c r="Q37"/>
  <c r="K38"/>
  <c r="K39"/>
  <c r="Q19" s="1"/>
  <c r="O22"/>
  <c r="O31"/>
  <c r="Q31"/>
  <c r="H38"/>
  <c r="H39"/>
  <c r="N19" s="1"/>
  <c r="J38"/>
  <c r="P37"/>
  <c r="J39"/>
  <c r="P19" s="1"/>
  <c r="T19" s="1"/>
  <c r="L38"/>
  <c r="R37"/>
  <c r="L39"/>
  <c r="R19" s="1"/>
  <c r="J22" i="5"/>
  <c r="K34"/>
  <c r="E50" i="1"/>
  <c r="H95" i="23"/>
  <c r="J95"/>
  <c r="L95"/>
  <c r="H103"/>
  <c r="J103"/>
  <c r="L103"/>
  <c r="H105"/>
  <c r="J105"/>
  <c r="L105"/>
  <c r="H30" i="14"/>
  <c r="J30"/>
  <c r="L30"/>
  <c r="N30"/>
  <c r="P30"/>
  <c r="H32"/>
  <c r="J32"/>
  <c r="I27" i="15"/>
  <c r="K27"/>
  <c r="M27"/>
  <c r="O27"/>
  <c r="Q27"/>
  <c r="L54"/>
  <c r="J44"/>
  <c r="L44"/>
  <c r="N44"/>
  <c r="P44"/>
  <c r="Q44"/>
  <c r="J65"/>
  <c r="K65"/>
  <c r="J67"/>
  <c r="K67"/>
  <c r="K69"/>
  <c r="N146" i="27"/>
  <c r="N148"/>
  <c r="N150"/>
  <c r="N152"/>
  <c r="J154"/>
  <c r="K156"/>
  <c r="M156"/>
  <c r="J276"/>
  <c r="L276"/>
  <c r="N276"/>
  <c r="P276"/>
  <c r="R276"/>
  <c r="J278"/>
  <c r="L278"/>
  <c r="N278"/>
  <c r="P278"/>
  <c r="R278"/>
  <c r="J382"/>
  <c r="L382"/>
  <c r="P382"/>
  <c r="R382"/>
  <c r="O386"/>
  <c r="Q386"/>
  <c r="K428"/>
  <c r="M428"/>
  <c r="O428"/>
  <c r="Q428"/>
  <c r="K430"/>
  <c r="M430"/>
  <c r="O430"/>
  <c r="Q430"/>
  <c r="K458"/>
  <c r="M458"/>
  <c r="O458"/>
  <c r="Q458"/>
  <c r="N158" i="10"/>
  <c r="N174"/>
  <c r="N190"/>
  <c r="N222"/>
  <c r="I282"/>
  <c r="I65" i="25"/>
  <c r="K65"/>
  <c r="M65"/>
  <c r="O65"/>
  <c r="Q65"/>
  <c r="I67"/>
  <c r="K67"/>
  <c r="M67"/>
  <c r="O67"/>
  <c r="Q67"/>
  <c r="L64" i="33"/>
  <c r="L65"/>
  <c r="L66"/>
  <c r="C83"/>
  <c r="C89" s="1"/>
  <c r="J84"/>
  <c r="J91" s="1"/>
  <c r="I78" i="14"/>
  <c r="K78"/>
  <c r="M78"/>
  <c r="O78"/>
  <c r="P78"/>
  <c r="I94"/>
  <c r="K94"/>
  <c r="N95"/>
  <c r="K85" i="15"/>
  <c r="I87"/>
  <c r="K87"/>
  <c r="M87"/>
  <c r="O87"/>
  <c r="Q87"/>
  <c r="I89"/>
  <c r="K89"/>
  <c r="M89"/>
  <c r="O89"/>
  <c r="Q89"/>
  <c r="I28" i="31"/>
  <c r="G42" i="9" s="1"/>
  <c r="K28" i="31"/>
  <c r="H43" i="5" s="1"/>
  <c r="G22"/>
  <c r="I22"/>
  <c r="I500" i="27"/>
  <c r="H29" i="9"/>
  <c r="K500" i="27"/>
  <c r="J29" i="9"/>
  <c r="I50" i="1"/>
  <c r="H120" i="14"/>
  <c r="J120"/>
  <c r="L120"/>
  <c r="N120"/>
  <c r="P120"/>
  <c r="N105" i="27"/>
  <c r="N107"/>
  <c r="N109"/>
  <c r="J114"/>
  <c r="L114"/>
  <c r="J118"/>
  <c r="L118"/>
  <c r="J122"/>
  <c r="L122"/>
  <c r="J126"/>
  <c r="L126"/>
  <c r="J158"/>
  <c r="L158"/>
  <c r="K160"/>
  <c r="M160"/>
  <c r="J162"/>
  <c r="L162"/>
  <c r="K164"/>
  <c r="M164"/>
  <c r="J166"/>
  <c r="L166"/>
  <c r="K168"/>
  <c r="M168"/>
  <c r="K196"/>
  <c r="M196"/>
  <c r="K198"/>
  <c r="M198"/>
  <c r="K200"/>
  <c r="M200"/>
  <c r="K202"/>
  <c r="M202"/>
  <c r="K204"/>
  <c r="M204"/>
  <c r="K206"/>
  <c r="M206"/>
  <c r="K208"/>
  <c r="M208"/>
  <c r="N280"/>
  <c r="P280"/>
  <c r="R280"/>
  <c r="K483"/>
  <c r="M483"/>
  <c r="O483"/>
  <c r="J26" i="33"/>
  <c r="I26" s="1"/>
  <c r="J37"/>
  <c r="I37" s="1"/>
  <c r="J50"/>
  <c r="I50" s="1"/>
  <c r="K54"/>
  <c r="J54" s="1"/>
  <c r="I54" s="1"/>
  <c r="J61"/>
  <c r="I61" s="1"/>
  <c r="I64"/>
  <c r="K64"/>
  <c r="I65"/>
  <c r="K65"/>
  <c r="I66"/>
  <c r="K66"/>
  <c r="K69"/>
  <c r="D83"/>
  <c r="L83"/>
  <c r="L90" s="1"/>
  <c r="H500" i="27"/>
  <c r="H490" s="1"/>
  <c r="H423" s="1"/>
  <c r="G29" i="9"/>
  <c r="D58" i="1"/>
  <c r="F58"/>
  <c r="H58"/>
  <c r="I97" i="14"/>
  <c r="H74" i="15"/>
  <c r="I97"/>
  <c r="K97"/>
  <c r="V27" i="17"/>
  <c r="H27" s="1"/>
  <c r="X27"/>
  <c r="J27" s="1"/>
  <c r="Z27"/>
  <c r="L27" s="1"/>
  <c r="I241" i="10"/>
  <c r="I243"/>
  <c r="K243"/>
  <c r="M243"/>
  <c r="K58" i="14"/>
  <c r="K161" i="5"/>
  <c r="C32" i="17"/>
  <c r="H138" i="9"/>
  <c r="G139" i="5" s="1"/>
  <c r="J10" i="20"/>
  <c r="I13" i="25"/>
  <c r="I14" s="1"/>
  <c r="I100"/>
  <c r="K13"/>
  <c r="K100"/>
  <c r="M13"/>
  <c r="M100"/>
  <c r="O13"/>
  <c r="O100"/>
  <c r="Q13"/>
  <c r="Q100"/>
  <c r="E47" i="1"/>
  <c r="I47"/>
  <c r="D55"/>
  <c r="H55"/>
  <c r="I99" i="23"/>
  <c r="K99"/>
  <c r="K101"/>
  <c r="I124" i="14"/>
  <c r="K124"/>
  <c r="M124"/>
  <c r="O124"/>
  <c r="J27" i="15"/>
  <c r="L27"/>
  <c r="N27"/>
  <c r="P27"/>
  <c r="L29"/>
  <c r="I31"/>
  <c r="K31"/>
  <c r="M31"/>
  <c r="O31"/>
  <c r="Q31"/>
  <c r="J56"/>
  <c r="K56"/>
  <c r="J63"/>
  <c r="K63"/>
  <c r="J69"/>
  <c r="J75"/>
  <c r="L75"/>
  <c r="I77"/>
  <c r="K77"/>
  <c r="M77"/>
  <c r="O77"/>
  <c r="Q77"/>
  <c r="I83"/>
  <c r="K83"/>
  <c r="J85"/>
  <c r="J87"/>
  <c r="L87"/>
  <c r="N87"/>
  <c r="P87"/>
  <c r="J89"/>
  <c r="L89"/>
  <c r="N89"/>
  <c r="P89"/>
  <c r="X105" i="17"/>
  <c r="Z105"/>
  <c r="AB105"/>
  <c r="K487" i="27"/>
  <c r="M487"/>
  <c r="K489"/>
  <c r="M489"/>
  <c r="K282" i="10"/>
  <c r="J32" i="25"/>
  <c r="L32"/>
  <c r="N32"/>
  <c r="P32"/>
  <c r="I36"/>
  <c r="K36"/>
  <c r="M36"/>
  <c r="O36"/>
  <c r="I49"/>
  <c r="K49"/>
  <c r="M49"/>
  <c r="O49"/>
  <c r="Q49"/>
  <c r="I53"/>
  <c r="K53"/>
  <c r="M53"/>
  <c r="O53"/>
  <c r="K66"/>
  <c r="O66"/>
  <c r="Q66"/>
  <c r="I68"/>
  <c r="K68"/>
  <c r="M68"/>
  <c r="O68"/>
  <c r="Q68"/>
  <c r="Q70"/>
  <c r="I78"/>
  <c r="K78"/>
  <c r="M78"/>
  <c r="O78"/>
  <c r="Q78"/>
  <c r="J31" i="33"/>
  <c r="I31" s="1"/>
  <c r="J83"/>
  <c r="J90" s="1"/>
  <c r="J85"/>
  <c r="J92" s="1"/>
  <c r="L85"/>
  <c r="L92" s="1"/>
  <c r="L84"/>
  <c r="L91" s="1"/>
  <c r="J41" i="34"/>
  <c r="J47" s="1"/>
  <c r="L41"/>
  <c r="L47" s="1"/>
  <c r="K45"/>
  <c r="K51" s="1"/>
  <c r="R125" i="9"/>
  <c r="F124" i="28"/>
  <c r="J13" i="25"/>
  <c r="J14" s="1"/>
  <c r="J100"/>
  <c r="L13"/>
  <c r="L14" s="1"/>
  <c r="L100"/>
  <c r="N13"/>
  <c r="N14" s="1"/>
  <c r="N100"/>
  <c r="P13"/>
  <c r="P14" s="1"/>
  <c r="P100"/>
  <c r="G55" i="23"/>
  <c r="L62" i="9"/>
  <c r="K63" i="5" s="1"/>
  <c r="E52" i="1"/>
  <c r="K50"/>
  <c r="C47"/>
  <c r="G47"/>
  <c r="N47" s="1"/>
  <c r="K47"/>
  <c r="F55"/>
  <c r="I95" i="23"/>
  <c r="K95"/>
  <c r="H99"/>
  <c r="J99"/>
  <c r="L99"/>
  <c r="J101"/>
  <c r="I103"/>
  <c r="K103"/>
  <c r="I105"/>
  <c r="K105"/>
  <c r="I18" i="20"/>
  <c r="K18"/>
  <c r="H9" i="14"/>
  <c r="J9"/>
  <c r="L9"/>
  <c r="N9"/>
  <c r="P9"/>
  <c r="J11"/>
  <c r="L11"/>
  <c r="N11"/>
  <c r="P11"/>
  <c r="H13"/>
  <c r="J13"/>
  <c r="L13"/>
  <c r="N13"/>
  <c r="P13"/>
  <c r="I30"/>
  <c r="K30"/>
  <c r="M30"/>
  <c r="O30"/>
  <c r="I32"/>
  <c r="K32"/>
  <c r="I56"/>
  <c r="K56"/>
  <c r="M56"/>
  <c r="O56"/>
  <c r="I61"/>
  <c r="K61"/>
  <c r="M61"/>
  <c r="O61"/>
  <c r="I63"/>
  <c r="K63"/>
  <c r="H65"/>
  <c r="J65"/>
  <c r="L65"/>
  <c r="H76"/>
  <c r="J76"/>
  <c r="L76"/>
  <c r="N76"/>
  <c r="P76"/>
  <c r="H80"/>
  <c r="J80"/>
  <c r="L80"/>
  <c r="N80"/>
  <c r="P80"/>
  <c r="G97"/>
  <c r="K97"/>
  <c r="I100"/>
  <c r="K100"/>
  <c r="M100"/>
  <c r="O100"/>
  <c r="I108"/>
  <c r="K108"/>
  <c r="I110"/>
  <c r="K110"/>
  <c r="M110"/>
  <c r="O110"/>
  <c r="I120"/>
  <c r="K120"/>
  <c r="M120"/>
  <c r="O120"/>
  <c r="J83" i="15"/>
  <c r="J95"/>
  <c r="J97"/>
  <c r="W27" i="17"/>
  <c r="I27" s="1"/>
  <c r="Y27"/>
  <c r="K27" s="1"/>
  <c r="Y105"/>
  <c r="AA105"/>
  <c r="O243" i="10"/>
  <c r="Q243"/>
  <c r="I245"/>
  <c r="H83" i="33"/>
  <c r="H90" s="1"/>
  <c r="A77" i="5"/>
  <c r="A81"/>
  <c r="K245" i="10"/>
  <c r="M245"/>
  <c r="O245"/>
  <c r="H233" i="27"/>
  <c r="H225"/>
  <c r="Q245" i="10"/>
  <c r="I247"/>
  <c r="K247"/>
  <c r="M247"/>
  <c r="Q82"/>
  <c r="I84"/>
  <c r="K84"/>
  <c r="M84"/>
  <c r="O84"/>
  <c r="Q84"/>
  <c r="J86"/>
  <c r="L86"/>
  <c r="N86"/>
  <c r="P86"/>
  <c r="I92"/>
  <c r="J92"/>
  <c r="L92"/>
  <c r="N92"/>
  <c r="P92"/>
  <c r="I94"/>
  <c r="J94"/>
  <c r="L94"/>
  <c r="N94"/>
  <c r="P94"/>
  <c r="J124"/>
  <c r="I459" i="27"/>
  <c r="J475"/>
  <c r="R534"/>
  <c r="J392"/>
  <c r="L392"/>
  <c r="N392"/>
  <c r="P392"/>
  <c r="R392"/>
  <c r="K422"/>
  <c r="M422"/>
  <c r="O247" i="10"/>
  <c r="I41"/>
  <c r="K41"/>
  <c r="I102"/>
  <c r="K102"/>
  <c r="M102"/>
  <c r="O102"/>
  <c r="Q102"/>
  <c r="I104"/>
  <c r="K104"/>
  <c r="M104"/>
  <c r="O104"/>
  <c r="Q104"/>
  <c r="I106"/>
  <c r="J106"/>
  <c r="L106"/>
  <c r="N106"/>
  <c r="I122"/>
  <c r="K122"/>
  <c r="M122"/>
  <c r="O122"/>
  <c r="Q122"/>
  <c r="I124"/>
  <c r="K124"/>
  <c r="M124"/>
  <c r="O124"/>
  <c r="Q124"/>
  <c r="I126"/>
  <c r="J126"/>
  <c r="L126"/>
  <c r="N126"/>
  <c r="P126"/>
  <c r="I132"/>
  <c r="J132"/>
  <c r="L132"/>
  <c r="N132"/>
  <c r="P132"/>
  <c r="I134"/>
  <c r="J134"/>
  <c r="L134"/>
  <c r="N134"/>
  <c r="P134"/>
  <c r="I136"/>
  <c r="K136"/>
  <c r="M136"/>
  <c r="I173"/>
  <c r="J173"/>
  <c r="L173"/>
  <c r="N173"/>
  <c r="I179"/>
  <c r="K179"/>
  <c r="M179"/>
  <c r="I183"/>
  <c r="K183"/>
  <c r="M183"/>
  <c r="O183"/>
  <c r="I193"/>
  <c r="I195"/>
  <c r="K195"/>
  <c r="M195"/>
  <c r="O195"/>
  <c r="Q195"/>
  <c r="I197"/>
  <c r="K197"/>
  <c r="M197"/>
  <c r="O197"/>
  <c r="Q197"/>
  <c r="I225"/>
  <c r="I227"/>
  <c r="K227"/>
  <c r="M227"/>
  <c r="O227"/>
  <c r="A17" i="5"/>
  <c r="J11" i="25"/>
  <c r="J98"/>
  <c r="L11"/>
  <c r="L98"/>
  <c r="N11"/>
  <c r="N98"/>
  <c r="I32"/>
  <c r="K32"/>
  <c r="M32"/>
  <c r="O32"/>
  <c r="Q32"/>
  <c r="J36"/>
  <c r="L36"/>
  <c r="N36"/>
  <c r="I46"/>
  <c r="K46"/>
  <c r="J49"/>
  <c r="L49"/>
  <c r="N49"/>
  <c r="P49"/>
  <c r="J53"/>
  <c r="L53"/>
  <c r="N53"/>
  <c r="I64"/>
  <c r="K64"/>
  <c r="J104"/>
  <c r="L104"/>
  <c r="N104"/>
  <c r="P104"/>
  <c r="J106"/>
  <c r="L106"/>
  <c r="N106"/>
  <c r="P106"/>
  <c r="I505" i="27"/>
  <c r="P116" i="25"/>
  <c r="Q116" s="1"/>
  <c r="I11"/>
  <c r="I98"/>
  <c r="K11"/>
  <c r="K98"/>
  <c r="M11"/>
  <c r="M98"/>
  <c r="O11"/>
  <c r="O98"/>
  <c r="Q90"/>
  <c r="Q120"/>
  <c r="Q121" s="1"/>
  <c r="I12"/>
  <c r="G43" i="23"/>
  <c r="F17"/>
  <c r="D19" i="12"/>
  <c r="F123" i="28"/>
  <c r="I133" i="9"/>
  <c r="G130" i="28" s="1"/>
  <c r="H126"/>
  <c r="I129"/>
  <c r="L133" i="9"/>
  <c r="K130"/>
  <c r="E17" i="12" s="1"/>
  <c r="H128" i="28"/>
  <c r="I128"/>
  <c r="H123"/>
  <c r="D6" i="13"/>
  <c r="L18" i="25"/>
  <c r="J34"/>
  <c r="L34"/>
  <c r="I38"/>
  <c r="K38"/>
  <c r="M38"/>
  <c r="O38"/>
  <c r="Q38"/>
  <c r="I55"/>
  <c r="K55"/>
  <c r="M55"/>
  <c r="O55"/>
  <c r="Q55"/>
  <c r="I66"/>
  <c r="M66"/>
  <c r="I70"/>
  <c r="K70"/>
  <c r="M70"/>
  <c r="O70"/>
  <c r="I122" i="28"/>
  <c r="H12" i="13"/>
  <c r="G124" i="28"/>
  <c r="B17" i="12"/>
  <c r="I134" i="5"/>
  <c r="G123" i="28"/>
  <c r="K134" i="5"/>
  <c r="I123" i="28"/>
  <c r="D18" i="12"/>
  <c r="G127" i="28"/>
  <c r="F127"/>
  <c r="C18" i="12"/>
  <c r="H122" i="28"/>
  <c r="J66" i="25"/>
  <c r="L66"/>
  <c r="N66"/>
  <c r="P66"/>
  <c r="J68"/>
  <c r="L68"/>
  <c r="N68"/>
  <c r="P68"/>
  <c r="J70"/>
  <c r="L70"/>
  <c r="N70"/>
  <c r="P70"/>
  <c r="D17" i="12"/>
  <c r="C10" i="23"/>
  <c r="G3" i="29" s="1"/>
  <c r="C59" i="23"/>
  <c r="E10"/>
  <c r="I3" i="29" s="1"/>
  <c r="E59" i="23"/>
  <c r="B10"/>
  <c r="B59"/>
  <c r="D9"/>
  <c r="D59"/>
  <c r="F9"/>
  <c r="F59"/>
  <c r="C17"/>
  <c r="D17"/>
  <c r="E17"/>
  <c r="Q483" i="27"/>
  <c r="J483"/>
  <c r="L483"/>
  <c r="N483"/>
  <c r="P483"/>
  <c r="R531"/>
  <c r="R540"/>
  <c r="R539"/>
  <c r="R538"/>
  <c r="R537"/>
  <c r="R536"/>
  <c r="R535"/>
  <c r="R532"/>
  <c r="L489"/>
  <c r="J489"/>
  <c r="H488"/>
  <c r="H421" s="1"/>
  <c r="O487"/>
  <c r="Q487"/>
  <c r="I419"/>
  <c r="K419"/>
  <c r="K420" s="1"/>
  <c r="M419"/>
  <c r="M420" s="1"/>
  <c r="O419"/>
  <c r="O420" s="1"/>
  <c r="Q419"/>
  <c r="Q420" s="1"/>
  <c r="J487"/>
  <c r="L487"/>
  <c r="N487"/>
  <c r="P487"/>
  <c r="R487"/>
  <c r="K388"/>
  <c r="M388"/>
  <c r="O388"/>
  <c r="Q388"/>
  <c r="F146" i="28"/>
  <c r="H146"/>
  <c r="I46" i="10"/>
  <c r="J502" i="27"/>
  <c r="K46" i="10"/>
  <c r="L502" i="27"/>
  <c r="J53" i="10"/>
  <c r="K504" i="27"/>
  <c r="H46" i="10"/>
  <c r="I502" i="27"/>
  <c r="I503" s="1"/>
  <c r="J46" i="10"/>
  <c r="K502" i="27"/>
  <c r="K503" s="1"/>
  <c r="I53" i="10"/>
  <c r="J504" i="27"/>
  <c r="J505" s="1"/>
  <c r="K53" i="10"/>
  <c r="L504" i="27"/>
  <c r="L505" s="1"/>
  <c r="F16" i="28"/>
  <c r="H16"/>
  <c r="I26" i="25"/>
  <c r="J28"/>
  <c r="I131" i="5"/>
  <c r="J5" i="10"/>
  <c r="L5"/>
  <c r="I11"/>
  <c r="K11"/>
  <c r="I28"/>
  <c r="K28"/>
  <c r="J47"/>
  <c r="K54"/>
  <c r="F18" i="28"/>
  <c r="H18"/>
  <c r="I280" i="10"/>
  <c r="G134" i="5"/>
  <c r="Q134" s="1"/>
  <c r="G75" i="9"/>
  <c r="H62" i="27" s="1"/>
  <c r="H21"/>
  <c r="H395" s="1"/>
  <c r="G108" i="9" s="1"/>
  <c r="G72"/>
  <c r="G64" s="1"/>
  <c r="H55" i="27"/>
  <c r="Q13" i="5"/>
  <c r="Q127"/>
  <c r="Q128"/>
  <c r="Q129"/>
  <c r="Q150"/>
  <c r="Q161"/>
  <c r="H407" i="27"/>
  <c r="C2" i="19"/>
  <c r="I7" i="10"/>
  <c r="K7"/>
  <c r="J9"/>
  <c r="L9"/>
  <c r="I30"/>
  <c r="K30"/>
  <c r="J280"/>
  <c r="J26" i="25"/>
  <c r="I29"/>
  <c r="J46"/>
  <c r="R49"/>
  <c r="R55"/>
  <c r="J64"/>
  <c r="F19" i="28"/>
  <c r="J500" i="27"/>
  <c r="H19" i="28"/>
  <c r="L500" i="27"/>
  <c r="B76" i="23"/>
  <c r="B84" s="1"/>
  <c r="H57" i="27"/>
  <c r="Q34" i="5"/>
  <c r="Q45"/>
  <c r="Q46"/>
  <c r="Q47"/>
  <c r="Q126"/>
  <c r="J13" i="10"/>
  <c r="R37"/>
  <c r="R39"/>
  <c r="K280"/>
  <c r="R68" i="25"/>
  <c r="H474" i="27"/>
  <c r="M386"/>
  <c r="N267"/>
  <c r="O267" s="1"/>
  <c r="P267" s="1"/>
  <c r="Q267" s="1"/>
  <c r="R267" s="1"/>
  <c r="N269"/>
  <c r="O269" s="1"/>
  <c r="P269" s="1"/>
  <c r="Q269" s="1"/>
  <c r="R269" s="1"/>
  <c r="N271"/>
  <c r="O271" s="1"/>
  <c r="P271" s="1"/>
  <c r="Q271" s="1"/>
  <c r="R271" s="1"/>
  <c r="N273"/>
  <c r="O273" s="1"/>
  <c r="P273" s="1"/>
  <c r="Q273" s="1"/>
  <c r="R273" s="1"/>
  <c r="N268"/>
  <c r="O268" s="1"/>
  <c r="P268" s="1"/>
  <c r="Q268" s="1"/>
  <c r="R268" s="1"/>
  <c r="N270"/>
  <c r="O270" s="1"/>
  <c r="P270" s="1"/>
  <c r="Q270" s="1"/>
  <c r="R270" s="1"/>
  <c r="N272"/>
  <c r="O272" s="1"/>
  <c r="P272" s="1"/>
  <c r="Q272" s="1"/>
  <c r="R272" s="1"/>
  <c r="Q426"/>
  <c r="R458"/>
  <c r="J384"/>
  <c r="B88" i="23"/>
  <c r="G73" i="5"/>
  <c r="H64" i="9"/>
  <c r="G31" i="4" s="1"/>
  <c r="J64" i="9"/>
  <c r="K37" i="27" s="1"/>
  <c r="K310" s="1"/>
  <c r="I73" i="5"/>
  <c r="Q75"/>
  <c r="Q57"/>
  <c r="N51" i="29"/>
  <c r="G223" s="1"/>
  <c r="P51"/>
  <c r="I223" s="1"/>
  <c r="R51"/>
  <c r="K223" s="1"/>
  <c r="M52"/>
  <c r="F224" s="1"/>
  <c r="O52"/>
  <c r="H224" s="1"/>
  <c r="Q52"/>
  <c r="J224" s="1"/>
  <c r="N53"/>
  <c r="G225" s="1"/>
  <c r="P53"/>
  <c r="I225" s="1"/>
  <c r="R53"/>
  <c r="K225" s="1"/>
  <c r="M54"/>
  <c r="F226" s="1"/>
  <c r="O54"/>
  <c r="H226" s="1"/>
  <c r="Q54"/>
  <c r="J226" s="1"/>
  <c r="N55"/>
  <c r="G227" s="1"/>
  <c r="P55"/>
  <c r="I227" s="1"/>
  <c r="R55"/>
  <c r="K227" s="1"/>
  <c r="M56"/>
  <c r="F228" s="1"/>
  <c r="O56"/>
  <c r="H228" s="1"/>
  <c r="Q56"/>
  <c r="J228" s="1"/>
  <c r="N57"/>
  <c r="G229" s="1"/>
  <c r="P57"/>
  <c r="I229" s="1"/>
  <c r="R57"/>
  <c r="K229" s="1"/>
  <c r="M51"/>
  <c r="F223" s="1"/>
  <c r="O51"/>
  <c r="H223" s="1"/>
  <c r="Q51"/>
  <c r="J223" s="1"/>
  <c r="N52"/>
  <c r="G224" s="1"/>
  <c r="P52"/>
  <c r="I224" s="1"/>
  <c r="R52"/>
  <c r="K224" s="1"/>
  <c r="M53"/>
  <c r="F225" s="1"/>
  <c r="O53"/>
  <c r="H225" s="1"/>
  <c r="Q53"/>
  <c r="J225" s="1"/>
  <c r="N54"/>
  <c r="G226" s="1"/>
  <c r="P54"/>
  <c r="I226" s="1"/>
  <c r="R54"/>
  <c r="K226" s="1"/>
  <c r="M55"/>
  <c r="F227" s="1"/>
  <c r="O55"/>
  <c r="H227" s="1"/>
  <c r="Q55"/>
  <c r="J227" s="1"/>
  <c r="N56"/>
  <c r="G228" s="1"/>
  <c r="P56"/>
  <c r="I228" s="1"/>
  <c r="R56"/>
  <c r="K228" s="1"/>
  <c r="M57"/>
  <c r="F229" s="1"/>
  <c r="O57"/>
  <c r="H229" s="1"/>
  <c r="Q57"/>
  <c r="J229" s="1"/>
  <c r="N39" i="10"/>
  <c r="P39"/>
  <c r="I96"/>
  <c r="K96"/>
  <c r="M96"/>
  <c r="O96"/>
  <c r="Q96"/>
  <c r="N124"/>
  <c r="O136"/>
  <c r="Q136"/>
  <c r="I163"/>
  <c r="K163"/>
  <c r="M163"/>
  <c r="O163"/>
  <c r="Q163"/>
  <c r="P173"/>
  <c r="O179"/>
  <c r="Q179"/>
  <c r="Q183"/>
  <c r="I199"/>
  <c r="K199"/>
  <c r="M199"/>
  <c r="O199"/>
  <c r="Q199"/>
  <c r="I205"/>
  <c r="K205"/>
  <c r="M205"/>
  <c r="O205"/>
  <c r="Q205"/>
  <c r="I207"/>
  <c r="K207"/>
  <c r="M207"/>
  <c r="Q227"/>
  <c r="I229"/>
  <c r="K229"/>
  <c r="M229"/>
  <c r="O229"/>
  <c r="Q229"/>
  <c r="I231"/>
  <c r="K231"/>
  <c r="M231"/>
  <c r="O231"/>
  <c r="Q231"/>
  <c r="I237"/>
  <c r="K237"/>
  <c r="M237"/>
  <c r="O237"/>
  <c r="Q237"/>
  <c r="I239"/>
  <c r="K239"/>
  <c r="M239"/>
  <c r="I37"/>
  <c r="K37"/>
  <c r="M37"/>
  <c r="O37"/>
  <c r="Q37"/>
  <c r="M41"/>
  <c r="O41"/>
  <c r="Q41"/>
  <c r="J49"/>
  <c r="I56"/>
  <c r="K56"/>
  <c r="M56"/>
  <c r="O56"/>
  <c r="Q56"/>
  <c r="I58"/>
  <c r="K58"/>
  <c r="M58"/>
  <c r="I60"/>
  <c r="P106"/>
  <c r="I112"/>
  <c r="J112"/>
  <c r="L112"/>
  <c r="N112"/>
  <c r="P112"/>
  <c r="J114"/>
  <c r="L114"/>
  <c r="N114"/>
  <c r="P114"/>
  <c r="I116"/>
  <c r="K116"/>
  <c r="M116"/>
  <c r="O116"/>
  <c r="Q116"/>
  <c r="J167"/>
  <c r="L167"/>
  <c r="N167"/>
  <c r="P167"/>
  <c r="I175"/>
  <c r="K175"/>
  <c r="M175"/>
  <c r="I177"/>
  <c r="L181"/>
  <c r="N181"/>
  <c r="P181"/>
  <c r="K189"/>
  <c r="M189"/>
  <c r="O189"/>
  <c r="Q189"/>
  <c r="I191"/>
  <c r="K191"/>
  <c r="M191"/>
  <c r="O215"/>
  <c r="Q215"/>
  <c r="M221"/>
  <c r="O221"/>
  <c r="Q221"/>
  <c r="I223"/>
  <c r="K223"/>
  <c r="M223"/>
  <c r="Q247"/>
  <c r="N82" i="27"/>
  <c r="O82" s="1"/>
  <c r="P82" s="1"/>
  <c r="Q82" s="1"/>
  <c r="R82" s="1"/>
  <c r="N84"/>
  <c r="O84" s="1"/>
  <c r="P84" s="1"/>
  <c r="Q84" s="1"/>
  <c r="R84" s="1"/>
  <c r="N81"/>
  <c r="O81" s="1"/>
  <c r="P81" s="1"/>
  <c r="Q81" s="1"/>
  <c r="R81" s="1"/>
  <c r="N83"/>
  <c r="O83" s="1"/>
  <c r="P83" s="1"/>
  <c r="Q83" s="1"/>
  <c r="R83" s="1"/>
  <c r="N85"/>
  <c r="O85" s="1"/>
  <c r="P85" s="1"/>
  <c r="Q85" s="1"/>
  <c r="R85" s="1"/>
  <c r="J214"/>
  <c r="L214"/>
  <c r="K289"/>
  <c r="M289"/>
  <c r="U15" i="20"/>
  <c r="O146" i="27"/>
  <c r="P146" s="1"/>
  <c r="Q146" s="1"/>
  <c r="R146" s="1"/>
  <c r="O148"/>
  <c r="P148" s="1"/>
  <c r="Q148" s="1"/>
  <c r="R148" s="1"/>
  <c r="O150"/>
  <c r="P150" s="1"/>
  <c r="Q150" s="1"/>
  <c r="R150" s="1"/>
  <c r="O152"/>
  <c r="P152" s="1"/>
  <c r="Q152" s="1"/>
  <c r="R152" s="1"/>
  <c r="L154"/>
  <c r="N186"/>
  <c r="O186" s="1"/>
  <c r="P186" s="1"/>
  <c r="Q186" s="1"/>
  <c r="R186" s="1"/>
  <c r="N188"/>
  <c r="O188" s="1"/>
  <c r="P188" s="1"/>
  <c r="Q188" s="1"/>
  <c r="R188" s="1"/>
  <c r="N190"/>
  <c r="O190" s="1"/>
  <c r="P190" s="1"/>
  <c r="Q190" s="1"/>
  <c r="R190" s="1"/>
  <c r="N192"/>
  <c r="O192" s="1"/>
  <c r="P192" s="1"/>
  <c r="Q192" s="1"/>
  <c r="R192" s="1"/>
  <c r="J280"/>
  <c r="L280"/>
  <c r="N382"/>
  <c r="L384"/>
  <c r="N386"/>
  <c r="P386"/>
  <c r="J420"/>
  <c r="L420"/>
  <c r="N420"/>
  <c r="P420"/>
  <c r="R420"/>
  <c r="L422"/>
  <c r="K426"/>
  <c r="M426"/>
  <c r="O426"/>
  <c r="T9" i="20"/>
  <c r="N104" i="27"/>
  <c r="N106"/>
  <c r="N108"/>
  <c r="N110"/>
  <c r="N147"/>
  <c r="O147" s="1"/>
  <c r="P147" s="1"/>
  <c r="Q147" s="1"/>
  <c r="R147" s="1"/>
  <c r="N149"/>
  <c r="O149" s="1"/>
  <c r="P149" s="1"/>
  <c r="Q149" s="1"/>
  <c r="R149" s="1"/>
  <c r="N151"/>
  <c r="O151" s="1"/>
  <c r="P151" s="1"/>
  <c r="Q151" s="1"/>
  <c r="R151" s="1"/>
  <c r="K154"/>
  <c r="M154"/>
  <c r="J156"/>
  <c r="L156"/>
  <c r="K158"/>
  <c r="M158"/>
  <c r="J160"/>
  <c r="L160"/>
  <c r="K162"/>
  <c r="M162"/>
  <c r="J164"/>
  <c r="L164"/>
  <c r="K166"/>
  <c r="M166"/>
  <c r="J168"/>
  <c r="L168"/>
  <c r="N187"/>
  <c r="O187" s="1"/>
  <c r="P187" s="1"/>
  <c r="Q187" s="1"/>
  <c r="R187" s="1"/>
  <c r="N189"/>
  <c r="O189" s="1"/>
  <c r="P189" s="1"/>
  <c r="Q189" s="1"/>
  <c r="R189" s="1"/>
  <c r="N191"/>
  <c r="O191" s="1"/>
  <c r="P191" s="1"/>
  <c r="Q191" s="1"/>
  <c r="R191" s="1"/>
  <c r="J196"/>
  <c r="L196"/>
  <c r="J198"/>
  <c r="L198"/>
  <c r="J200"/>
  <c r="L200"/>
  <c r="J202"/>
  <c r="L202"/>
  <c r="J204"/>
  <c r="L204"/>
  <c r="J206"/>
  <c r="L206"/>
  <c r="J208"/>
  <c r="L208"/>
  <c r="J218"/>
  <c r="L218"/>
  <c r="K293"/>
  <c r="M293"/>
  <c r="J222"/>
  <c r="L222"/>
  <c r="K297"/>
  <c r="M297"/>
  <c r="K276"/>
  <c r="M276"/>
  <c r="O276"/>
  <c r="Q276"/>
  <c r="K280"/>
  <c r="M280"/>
  <c r="O280"/>
  <c r="Q280"/>
  <c r="K382"/>
  <c r="M382"/>
  <c r="O382"/>
  <c r="Q382"/>
  <c r="K384"/>
  <c r="M384"/>
  <c r="J388"/>
  <c r="L388"/>
  <c r="N388"/>
  <c r="P388"/>
  <c r="R388"/>
  <c r="K390"/>
  <c r="M390"/>
  <c r="O390"/>
  <c r="Q390"/>
  <c r="R390"/>
  <c r="J426"/>
  <c r="L426"/>
  <c r="N426"/>
  <c r="P426"/>
  <c r="R426"/>
  <c r="J428"/>
  <c r="L428"/>
  <c r="N428"/>
  <c r="P428"/>
  <c r="R428"/>
  <c r="J430"/>
  <c r="L430"/>
  <c r="N430"/>
  <c r="P430"/>
  <c r="R430"/>
  <c r="J460"/>
  <c r="L460"/>
  <c r="G52" i="1"/>
  <c r="O51"/>
  <c r="H52"/>
  <c r="N51"/>
  <c r="G50"/>
  <c r="N49"/>
  <c r="O49"/>
  <c r="L50"/>
  <c r="N57"/>
  <c r="G58"/>
  <c r="D52"/>
  <c r="F52"/>
  <c r="D50"/>
  <c r="F50"/>
  <c r="H50"/>
  <c r="J50"/>
  <c r="E58"/>
  <c r="I58"/>
  <c r="Q6" i="14"/>
  <c r="I53"/>
  <c r="K53"/>
  <c r="I114"/>
  <c r="I51"/>
  <c r="K114"/>
  <c r="K51"/>
  <c r="N45" i="1"/>
  <c r="D46"/>
  <c r="F46"/>
  <c r="H46"/>
  <c r="J46"/>
  <c r="L46"/>
  <c r="D47"/>
  <c r="D48" s="1"/>
  <c r="F47"/>
  <c r="F48" s="1"/>
  <c r="H47"/>
  <c r="H48" s="1"/>
  <c r="J47"/>
  <c r="J48" s="1"/>
  <c r="L47"/>
  <c r="G48"/>
  <c r="O53"/>
  <c r="E54"/>
  <c r="G54"/>
  <c r="I54"/>
  <c r="K54"/>
  <c r="C55"/>
  <c r="D56" s="1"/>
  <c r="E55"/>
  <c r="E56" s="1"/>
  <c r="G55"/>
  <c r="I55"/>
  <c r="I56" s="1"/>
  <c r="K55"/>
  <c r="K56" s="1"/>
  <c r="J57"/>
  <c r="J58" s="1"/>
  <c r="L57"/>
  <c r="I68" i="26"/>
  <c r="K68"/>
  <c r="H108" i="14"/>
  <c r="Q58"/>
  <c r="M108"/>
  <c r="H114"/>
  <c r="H51"/>
  <c r="H52" s="1"/>
  <c r="J114"/>
  <c r="J51"/>
  <c r="O45" i="1"/>
  <c r="E46"/>
  <c r="G46"/>
  <c r="I46"/>
  <c r="K46"/>
  <c r="N53"/>
  <c r="D54"/>
  <c r="F54"/>
  <c r="H54"/>
  <c r="J54"/>
  <c r="L54"/>
  <c r="L68" i="26"/>
  <c r="L113" i="14"/>
  <c r="C14" i="24"/>
  <c r="C14" i="19"/>
  <c r="E14" i="24"/>
  <c r="E14" i="19"/>
  <c r="G14" i="24"/>
  <c r="G14" i="19"/>
  <c r="L29" i="10"/>
  <c r="L48"/>
  <c r="L49" s="1"/>
  <c r="I54"/>
  <c r="H62"/>
  <c r="B19" i="6"/>
  <c r="J62" i="10"/>
  <c r="D19" i="6"/>
  <c r="H64" i="10"/>
  <c r="H70" s="1"/>
  <c r="B20" i="6"/>
  <c r="J64" i="10"/>
  <c r="D20" i="6"/>
  <c r="L64" i="10"/>
  <c r="F20" i="6"/>
  <c r="H66" i="10"/>
  <c r="H72" s="1"/>
  <c r="H74" s="1"/>
  <c r="J66"/>
  <c r="H68"/>
  <c r="J68"/>
  <c r="L68"/>
  <c r="I490" i="27"/>
  <c r="H76" i="10"/>
  <c r="B22" i="6"/>
  <c r="J76" i="10"/>
  <c r="D22" i="6"/>
  <c r="A63" i="25"/>
  <c r="A25" i="28"/>
  <c r="J138" i="10"/>
  <c r="G26" i="28"/>
  <c r="G15" i="29"/>
  <c r="H151" i="10"/>
  <c r="H45" s="1"/>
  <c r="I15" i="29"/>
  <c r="J151" i="10"/>
  <c r="J45" s="1"/>
  <c r="G30" i="28"/>
  <c r="K15" i="29"/>
  <c r="L151" i="10"/>
  <c r="I30" i="28"/>
  <c r="G16" i="29"/>
  <c r="H153" i="10"/>
  <c r="I16" i="29"/>
  <c r="J153" i="10"/>
  <c r="G31" i="28"/>
  <c r="G18" i="29"/>
  <c r="H185" i="10"/>
  <c r="I18" i="29"/>
  <c r="J185" i="10"/>
  <c r="G33" i="28"/>
  <c r="I19" i="29"/>
  <c r="J201" i="10"/>
  <c r="G34" i="28"/>
  <c r="G20" i="29"/>
  <c r="H217" i="10"/>
  <c r="I20" i="29"/>
  <c r="J217" i="10"/>
  <c r="G35" i="28"/>
  <c r="G21" i="29"/>
  <c r="H233" i="10"/>
  <c r="I21" i="29"/>
  <c r="J233" i="10"/>
  <c r="G36" i="28"/>
  <c r="J251" i="10"/>
  <c r="G38" i="28"/>
  <c r="J253" i="10"/>
  <c r="G39" i="28"/>
  <c r="J255" i="10"/>
  <c r="G40" i="28"/>
  <c r="J277" i="10"/>
  <c r="G41" i="28"/>
  <c r="L277" i="10"/>
  <c r="I41" i="28"/>
  <c r="L281" i="10"/>
  <c r="L282" s="1"/>
  <c r="I43" i="28"/>
  <c r="G21" i="27"/>
  <c r="G37" s="1"/>
  <c r="G53" s="1"/>
  <c r="G7"/>
  <c r="G53" i="28"/>
  <c r="K21" i="27"/>
  <c r="J33"/>
  <c r="L33"/>
  <c r="J55"/>
  <c r="F70" i="28"/>
  <c r="L55" i="27"/>
  <c r="H70" i="28"/>
  <c r="C76" i="23"/>
  <c r="I57" i="27"/>
  <c r="E76" i="23"/>
  <c r="K57" i="27"/>
  <c r="G71" i="28"/>
  <c r="M62" i="27"/>
  <c r="I4" i="25"/>
  <c r="I20" s="1"/>
  <c r="D6" i="18"/>
  <c r="K4" i="25"/>
  <c r="F6" i="18"/>
  <c r="G139" i="28"/>
  <c r="J23" i="15"/>
  <c r="I139" i="28"/>
  <c r="L23" i="15"/>
  <c r="I47"/>
  <c r="F142" i="28"/>
  <c r="K47" i="15"/>
  <c r="H142" i="28"/>
  <c r="H58" i="15"/>
  <c r="J58"/>
  <c r="G143" i="28"/>
  <c r="L58" i="15"/>
  <c r="I143" i="28"/>
  <c r="E2" i="19"/>
  <c r="G147" i="28"/>
  <c r="G2" i="19"/>
  <c r="I147" i="28"/>
  <c r="D8" i="19"/>
  <c r="F148" i="28"/>
  <c r="F8" i="19"/>
  <c r="H148" i="28"/>
  <c r="F151"/>
  <c r="H151"/>
  <c r="F157"/>
  <c r="H157"/>
  <c r="J54" i="15"/>
  <c r="L97"/>
  <c r="L62"/>
  <c r="L63" s="1"/>
  <c r="L55"/>
  <c r="L56" s="1"/>
  <c r="D4" i="18"/>
  <c r="F4"/>
  <c r="Q133" i="5"/>
  <c r="Q143"/>
  <c r="Q147"/>
  <c r="D2" i="24"/>
  <c r="F2"/>
  <c r="Q155" i="5"/>
  <c r="R12" i="9"/>
  <c r="R29" i="10" s="1"/>
  <c r="L15" i="9"/>
  <c r="M502" i="27" s="1"/>
  <c r="M503" s="1"/>
  <c r="R19" i="9"/>
  <c r="R64" i="10" s="1"/>
  <c r="R21" i="9"/>
  <c r="R68" i="10" s="1"/>
  <c r="R33" i="9"/>
  <c r="M99" i="23"/>
  <c r="H40" i="9"/>
  <c r="J40"/>
  <c r="R44"/>
  <c r="R277" i="10" s="1"/>
  <c r="R46" i="9"/>
  <c r="R281" i="10" s="1"/>
  <c r="I395" i="27"/>
  <c r="H108" i="9" s="1"/>
  <c r="G109" i="5" s="1"/>
  <c r="H80" i="26" s="1"/>
  <c r="H75" i="9"/>
  <c r="R75" s="1"/>
  <c r="J75"/>
  <c r="R133"/>
  <c r="R142"/>
  <c r="H144"/>
  <c r="B14" i="12" s="1"/>
  <c r="J144" i="9"/>
  <c r="L144"/>
  <c r="R146"/>
  <c r="R150"/>
  <c r="H152"/>
  <c r="J152"/>
  <c r="L152"/>
  <c r="I155"/>
  <c r="C3" i="12" s="1"/>
  <c r="K155" i="9"/>
  <c r="C6" i="13"/>
  <c r="E6"/>
  <c r="C13"/>
  <c r="E13"/>
  <c r="A2" i="14"/>
  <c r="H11"/>
  <c r="A18"/>
  <c r="H22"/>
  <c r="H40" s="1"/>
  <c r="J22"/>
  <c r="J40" s="1"/>
  <c r="A25"/>
  <c r="H27"/>
  <c r="J27"/>
  <c r="A36"/>
  <c r="H36"/>
  <c r="J36"/>
  <c r="G49"/>
  <c r="I49"/>
  <c r="K49"/>
  <c r="H63"/>
  <c r="A68"/>
  <c r="I76"/>
  <c r="K76"/>
  <c r="M76"/>
  <c r="O76"/>
  <c r="H78"/>
  <c r="J78"/>
  <c r="L78"/>
  <c r="N78"/>
  <c r="I80"/>
  <c r="K80"/>
  <c r="M80"/>
  <c r="O80"/>
  <c r="H91"/>
  <c r="H92" s="1"/>
  <c r="J91"/>
  <c r="J92" s="1"/>
  <c r="H94"/>
  <c r="J94"/>
  <c r="O95"/>
  <c r="P95" s="1"/>
  <c r="H96"/>
  <c r="N96"/>
  <c r="H97"/>
  <c r="J97"/>
  <c r="H100"/>
  <c r="J100"/>
  <c r="L100"/>
  <c r="N100"/>
  <c r="P100"/>
  <c r="N101"/>
  <c r="N102" s="1"/>
  <c r="M102"/>
  <c r="H104"/>
  <c r="J104"/>
  <c r="L104"/>
  <c r="N104"/>
  <c r="P104"/>
  <c r="H115"/>
  <c r="J115"/>
  <c r="F3" i="28"/>
  <c r="H3"/>
  <c r="A5"/>
  <c r="F8"/>
  <c r="H8"/>
  <c r="I9"/>
  <c r="F12"/>
  <c r="H12"/>
  <c r="G13"/>
  <c r="G15"/>
  <c r="G17"/>
  <c r="A21"/>
  <c r="I85" i="15"/>
  <c r="D14" i="24"/>
  <c r="D14" i="19"/>
  <c r="F14" i="24"/>
  <c r="F14" i="19"/>
  <c r="I62" i="10"/>
  <c r="I63" s="1"/>
  <c r="C19" i="6"/>
  <c r="K62" i="10"/>
  <c r="K63" s="1"/>
  <c r="E19" i="6"/>
  <c r="I64" i="10"/>
  <c r="C20" i="6"/>
  <c r="K64" i="10"/>
  <c r="E20" i="6"/>
  <c r="I66" i="10"/>
  <c r="K66"/>
  <c r="I68"/>
  <c r="I69" s="1"/>
  <c r="K68"/>
  <c r="I76"/>
  <c r="I77" s="1"/>
  <c r="C22" i="6"/>
  <c r="K76" i="10"/>
  <c r="K77" s="1"/>
  <c r="E22" i="6"/>
  <c r="H41" i="34"/>
  <c r="H47" s="1"/>
  <c r="I138" i="10"/>
  <c r="F26" i="28"/>
  <c r="K138" i="10"/>
  <c r="K139" s="1"/>
  <c r="H26" i="28"/>
  <c r="H15" i="29"/>
  <c r="I151" i="10"/>
  <c r="J499" i="27"/>
  <c r="F30" i="28"/>
  <c r="J15" i="29"/>
  <c r="K151" i="10"/>
  <c r="H30" i="28"/>
  <c r="H16" i="29"/>
  <c r="I153" i="10"/>
  <c r="F31" i="28"/>
  <c r="J16" i="29"/>
  <c r="K153" i="10"/>
  <c r="K154" s="1"/>
  <c r="H31" i="28"/>
  <c r="H18" i="29"/>
  <c r="I185" i="10"/>
  <c r="I186" s="1"/>
  <c r="F33" i="28"/>
  <c r="J18" i="29"/>
  <c r="K185" i="10"/>
  <c r="K186" s="1"/>
  <c r="H33" i="28"/>
  <c r="H19" i="29"/>
  <c r="I201" i="10"/>
  <c r="H20" i="29"/>
  <c r="I217" i="10"/>
  <c r="I218" s="1"/>
  <c r="F35" i="28"/>
  <c r="J20" i="29"/>
  <c r="K217" i="10"/>
  <c r="K218" s="1"/>
  <c r="H35" i="28"/>
  <c r="H21" i="29"/>
  <c r="I233" i="10"/>
  <c r="F36" i="28"/>
  <c r="J21" i="29"/>
  <c r="K233" i="10"/>
  <c r="K234" s="1"/>
  <c r="H36" i="28"/>
  <c r="I251" i="10"/>
  <c r="F38" i="28"/>
  <c r="K251" i="10"/>
  <c r="H38" i="28"/>
  <c r="I253" i="10"/>
  <c r="F39" i="28"/>
  <c r="I255" i="10"/>
  <c r="I256" s="1"/>
  <c r="F40" i="28"/>
  <c r="K255" i="10"/>
  <c r="K256" s="1"/>
  <c r="H40" i="28"/>
  <c r="I277" i="10"/>
  <c r="I278" s="1"/>
  <c r="F41" i="28"/>
  <c r="K277" i="10"/>
  <c r="K278" s="1"/>
  <c r="H41" i="28"/>
  <c r="L279" i="10"/>
  <c r="L280" s="1"/>
  <c r="I42" i="28"/>
  <c r="J21" i="27"/>
  <c r="F53" i="28"/>
  <c r="L21" i="27"/>
  <c r="I53" i="28"/>
  <c r="H53"/>
  <c r="I59"/>
  <c r="M33" i="27"/>
  <c r="I55"/>
  <c r="K55"/>
  <c r="G70" i="28"/>
  <c r="D76" i="23"/>
  <c r="J57" i="27"/>
  <c r="F71" i="28"/>
  <c r="F76" i="23"/>
  <c r="L57" i="27"/>
  <c r="M58" s="1"/>
  <c r="I71" i="28"/>
  <c r="H71"/>
  <c r="H4" i="25"/>
  <c r="H22" s="1"/>
  <c r="C7" i="18"/>
  <c r="C6"/>
  <c r="J4" i="25"/>
  <c r="E7" i="18"/>
  <c r="E6"/>
  <c r="L4" i="25"/>
  <c r="L22" s="1"/>
  <c r="G7" i="18"/>
  <c r="G6"/>
  <c r="H12" i="15"/>
  <c r="I23"/>
  <c r="F139" i="28"/>
  <c r="K23" i="15"/>
  <c r="R29" s="1"/>
  <c r="H139" i="28"/>
  <c r="H47" i="15"/>
  <c r="J47"/>
  <c r="G142" i="28"/>
  <c r="L47" i="15"/>
  <c r="I142" i="28"/>
  <c r="I58" i="15"/>
  <c r="F143" i="28"/>
  <c r="K58" i="15"/>
  <c r="K59" s="1"/>
  <c r="H143" i="28"/>
  <c r="D2" i="19"/>
  <c r="F147" i="28"/>
  <c r="F2" i="19"/>
  <c r="H147" i="28"/>
  <c r="C8" i="19"/>
  <c r="E8"/>
  <c r="G148" i="28"/>
  <c r="G8" i="19"/>
  <c r="I148" i="28"/>
  <c r="G151"/>
  <c r="I151"/>
  <c r="G157"/>
  <c r="I157"/>
  <c r="A75" i="20"/>
  <c r="A72"/>
  <c r="A69"/>
  <c r="A67"/>
  <c r="A65"/>
  <c r="A63"/>
  <c r="A61"/>
  <c r="A2"/>
  <c r="A160" i="28"/>
  <c r="A76" i="20"/>
  <c r="A73"/>
  <c r="A70"/>
  <c r="A36"/>
  <c r="A34"/>
  <c r="A32"/>
  <c r="A30"/>
  <c r="A28"/>
  <c r="A26"/>
  <c r="A24"/>
  <c r="A22"/>
  <c r="A20"/>
  <c r="A4"/>
  <c r="L68" i="15"/>
  <c r="L69" s="1"/>
  <c r="L85"/>
  <c r="C4" i="18"/>
  <c r="E4"/>
  <c r="G4"/>
  <c r="Q132" i="5"/>
  <c r="Q146"/>
  <c r="C2" i="24"/>
  <c r="E2"/>
  <c r="G2"/>
  <c r="Q151" i="5"/>
  <c r="Q152"/>
  <c r="I5" i="10"/>
  <c r="K5"/>
  <c r="J11"/>
  <c r="J28"/>
  <c r="I47"/>
  <c r="K47"/>
  <c r="J54"/>
  <c r="I40" i="9"/>
  <c r="K40"/>
  <c r="J43" i="5" s="1"/>
  <c r="R45" i="9"/>
  <c r="R279" i="10" s="1"/>
  <c r="R56" i="9"/>
  <c r="I72"/>
  <c r="K72"/>
  <c r="R74"/>
  <c r="I75"/>
  <c r="K75"/>
  <c r="R126"/>
  <c r="I144"/>
  <c r="K144"/>
  <c r="R145"/>
  <c r="G146" i="28"/>
  <c r="I146"/>
  <c r="R149" i="9"/>
  <c r="R151"/>
  <c r="I152"/>
  <c r="K152"/>
  <c r="R154"/>
  <c r="H155"/>
  <c r="G156" i="5" s="1"/>
  <c r="J155" i="9"/>
  <c r="L155"/>
  <c r="D4" i="12"/>
  <c r="R160" i="9"/>
  <c r="F122" i="28"/>
  <c r="F6" i="13"/>
  <c r="A4" i="14"/>
  <c r="A6"/>
  <c r="H6"/>
  <c r="H7" s="1"/>
  <c r="J6"/>
  <c r="J7" s="1"/>
  <c r="G18"/>
  <c r="G19" s="1"/>
  <c r="I18"/>
  <c r="K18"/>
  <c r="G22"/>
  <c r="G40" s="1"/>
  <c r="I22"/>
  <c r="I40" s="1"/>
  <c r="I41" s="1"/>
  <c r="K22"/>
  <c r="K40" s="1"/>
  <c r="A23"/>
  <c r="G27"/>
  <c r="I27"/>
  <c r="K27"/>
  <c r="A34"/>
  <c r="G36"/>
  <c r="I36"/>
  <c r="I37" s="1"/>
  <c r="K36"/>
  <c r="A45"/>
  <c r="A47"/>
  <c r="H49"/>
  <c r="H50" s="1"/>
  <c r="J49"/>
  <c r="A58"/>
  <c r="H58"/>
  <c r="H59" s="1"/>
  <c r="J58"/>
  <c r="J59" s="1"/>
  <c r="A70"/>
  <c r="L93"/>
  <c r="M96"/>
  <c r="I104"/>
  <c r="K104"/>
  <c r="M104"/>
  <c r="O104"/>
  <c r="A3" i="28"/>
  <c r="G3"/>
  <c r="A4"/>
  <c r="G8"/>
  <c r="G12"/>
  <c r="A13"/>
  <c r="F13"/>
  <c r="H13"/>
  <c r="F15"/>
  <c r="H15"/>
  <c r="G16"/>
  <c r="I16"/>
  <c r="A17"/>
  <c r="F17"/>
  <c r="H17"/>
  <c r="G18"/>
  <c r="I18"/>
  <c r="G19"/>
  <c r="R31" i="15"/>
  <c r="K54"/>
  <c r="K10" i="17"/>
  <c r="F2" s="1"/>
  <c r="O105" i="27"/>
  <c r="O107"/>
  <c r="O109"/>
  <c r="K282"/>
  <c r="K285"/>
  <c r="M282"/>
  <c r="M285"/>
  <c r="J29" i="15"/>
  <c r="J40"/>
  <c r="L40"/>
  <c r="N40"/>
  <c r="P40"/>
  <c r="J42"/>
  <c r="L42"/>
  <c r="I44"/>
  <c r="K44"/>
  <c r="M44"/>
  <c r="O44"/>
  <c r="I56"/>
  <c r="I63"/>
  <c r="I67"/>
  <c r="I79"/>
  <c r="M80"/>
  <c r="N80" s="1"/>
  <c r="L81"/>
  <c r="L82"/>
  <c r="H94"/>
  <c r="H64" s="1"/>
  <c r="I65" s="1"/>
  <c r="L94"/>
  <c r="M22" i="27"/>
  <c r="I282"/>
  <c r="J289"/>
  <c r="L289"/>
  <c r="J293"/>
  <c r="L293"/>
  <c r="J297"/>
  <c r="L297"/>
  <c r="O104"/>
  <c r="O106"/>
  <c r="O108"/>
  <c r="O110"/>
  <c r="J233"/>
  <c r="L233"/>
  <c r="J285"/>
  <c r="L285"/>
  <c r="F13" i="6"/>
  <c r="K42" i="15"/>
  <c r="M78"/>
  <c r="N78" s="1"/>
  <c r="L79"/>
  <c r="T15" i="20"/>
  <c r="O80" i="27"/>
  <c r="J112"/>
  <c r="L112"/>
  <c r="K114"/>
  <c r="M114"/>
  <c r="J116"/>
  <c r="L116"/>
  <c r="K118"/>
  <c r="M118"/>
  <c r="J120"/>
  <c r="L120"/>
  <c r="K122"/>
  <c r="M122"/>
  <c r="J124"/>
  <c r="L124"/>
  <c r="K126"/>
  <c r="M126"/>
  <c r="K170"/>
  <c r="M170"/>
  <c r="J185"/>
  <c r="L185"/>
  <c r="J193"/>
  <c r="J194" s="1"/>
  <c r="L193"/>
  <c r="L194" s="1"/>
  <c r="I209"/>
  <c r="I233" s="1"/>
  <c r="K209"/>
  <c r="M209"/>
  <c r="M225" s="1"/>
  <c r="J212"/>
  <c r="L212"/>
  <c r="K214"/>
  <c r="M214"/>
  <c r="J216"/>
  <c r="L216"/>
  <c r="K218"/>
  <c r="M218"/>
  <c r="J220"/>
  <c r="L220"/>
  <c r="K222"/>
  <c r="M222"/>
  <c r="J224"/>
  <c r="L224"/>
  <c r="J226"/>
  <c r="L226"/>
  <c r="J228"/>
  <c r="L228"/>
  <c r="J230"/>
  <c r="L230"/>
  <c r="J232"/>
  <c r="L232"/>
  <c r="J235"/>
  <c r="L235"/>
  <c r="J237"/>
  <c r="L237"/>
  <c r="J239"/>
  <c r="L239"/>
  <c r="J241"/>
  <c r="L241"/>
  <c r="J243"/>
  <c r="L243"/>
  <c r="J245"/>
  <c r="L245"/>
  <c r="J247"/>
  <c r="L247"/>
  <c r="K278"/>
  <c r="M278"/>
  <c r="O278"/>
  <c r="Q278"/>
  <c r="J286"/>
  <c r="J287" s="1"/>
  <c r="L286"/>
  <c r="L287" s="1"/>
  <c r="J290"/>
  <c r="J291" s="1"/>
  <c r="L290"/>
  <c r="L291" s="1"/>
  <c r="J294"/>
  <c r="J295" s="1"/>
  <c r="L294"/>
  <c r="L295" s="1"/>
  <c r="I20" i="10"/>
  <c r="K20"/>
  <c r="H22"/>
  <c r="J22"/>
  <c r="H26"/>
  <c r="J26"/>
  <c r="K112" i="27"/>
  <c r="M112"/>
  <c r="K116"/>
  <c r="M116"/>
  <c r="K120"/>
  <c r="M120"/>
  <c r="K124"/>
  <c r="M124"/>
  <c r="J170"/>
  <c r="L170"/>
  <c r="I185"/>
  <c r="K185"/>
  <c r="M185"/>
  <c r="K212"/>
  <c r="M212"/>
  <c r="K216"/>
  <c r="M216"/>
  <c r="K220"/>
  <c r="M220"/>
  <c r="K224"/>
  <c r="M224"/>
  <c r="I235"/>
  <c r="K235"/>
  <c r="K236" s="1"/>
  <c r="M235"/>
  <c r="M236" s="1"/>
  <c r="I237"/>
  <c r="K237"/>
  <c r="K238" s="1"/>
  <c r="M237"/>
  <c r="I239"/>
  <c r="K239"/>
  <c r="K240" s="1"/>
  <c r="M239"/>
  <c r="M240" s="1"/>
  <c r="I241"/>
  <c r="K241"/>
  <c r="K242" s="1"/>
  <c r="M241"/>
  <c r="I243"/>
  <c r="K243"/>
  <c r="K244" s="1"/>
  <c r="M243"/>
  <c r="M244" s="1"/>
  <c r="I245"/>
  <c r="K245"/>
  <c r="K246" s="1"/>
  <c r="M245"/>
  <c r="I247"/>
  <c r="K247"/>
  <c r="K248" s="1"/>
  <c r="M247"/>
  <c r="M248" s="1"/>
  <c r="H20" i="10"/>
  <c r="I22"/>
  <c r="K22"/>
  <c r="I26"/>
  <c r="K26"/>
  <c r="R48"/>
  <c r="J386" i="27"/>
  <c r="L386"/>
  <c r="J390"/>
  <c r="L390"/>
  <c r="N390"/>
  <c r="P390"/>
  <c r="K392"/>
  <c r="M392"/>
  <c r="O392"/>
  <c r="Q392"/>
  <c r="J422"/>
  <c r="J458"/>
  <c r="L458"/>
  <c r="N458"/>
  <c r="P458"/>
  <c r="K460"/>
  <c r="M460"/>
  <c r="J462"/>
  <c r="O474"/>
  <c r="O9" i="20" s="1"/>
  <c r="O10" s="1"/>
  <c r="K497" i="27"/>
  <c r="M497"/>
  <c r="I13" i="10"/>
  <c r="K13"/>
  <c r="I15"/>
  <c r="K15"/>
  <c r="I19"/>
  <c r="K19"/>
  <c r="J20"/>
  <c r="J30"/>
  <c r="J37"/>
  <c r="L37"/>
  <c r="N37"/>
  <c r="P37"/>
  <c r="I39"/>
  <c r="K39"/>
  <c r="M39"/>
  <c r="O39"/>
  <c r="Q39"/>
  <c r="J41"/>
  <c r="R41" s="1"/>
  <c r="L41"/>
  <c r="N41"/>
  <c r="P41"/>
  <c r="I50"/>
  <c r="I51" s="1"/>
  <c r="K50"/>
  <c r="K51" s="1"/>
  <c r="J82"/>
  <c r="L82"/>
  <c r="N82"/>
  <c r="P82"/>
  <c r="J84"/>
  <c r="L84"/>
  <c r="N84"/>
  <c r="P84"/>
  <c r="I86"/>
  <c r="K86"/>
  <c r="M86"/>
  <c r="O86"/>
  <c r="Q86"/>
  <c r="K92"/>
  <c r="M92"/>
  <c r="O92"/>
  <c r="Q92"/>
  <c r="K94"/>
  <c r="M94"/>
  <c r="O94"/>
  <c r="Q94"/>
  <c r="J96"/>
  <c r="L96"/>
  <c r="N96"/>
  <c r="P96"/>
  <c r="J102"/>
  <c r="L102"/>
  <c r="N102"/>
  <c r="P102"/>
  <c r="J104"/>
  <c r="L104"/>
  <c r="N104"/>
  <c r="P104"/>
  <c r="K106"/>
  <c r="M106"/>
  <c r="O106"/>
  <c r="Q106"/>
  <c r="K112"/>
  <c r="M112"/>
  <c r="O112"/>
  <c r="Q112"/>
  <c r="I114"/>
  <c r="K114"/>
  <c r="M114"/>
  <c r="O114"/>
  <c r="Q114"/>
  <c r="J116"/>
  <c r="L116"/>
  <c r="N116"/>
  <c r="P116"/>
  <c r="L122"/>
  <c r="P122"/>
  <c r="M126"/>
  <c r="Q126"/>
  <c r="K386" i="27"/>
  <c r="J15" i="10"/>
  <c r="J19"/>
  <c r="R33"/>
  <c r="R35"/>
  <c r="J122"/>
  <c r="N122"/>
  <c r="L124"/>
  <c r="P124"/>
  <c r="K126"/>
  <c r="O126"/>
  <c r="K132"/>
  <c r="M132"/>
  <c r="O132"/>
  <c r="Q132"/>
  <c r="K134"/>
  <c r="M134"/>
  <c r="O134"/>
  <c r="Q134"/>
  <c r="J136"/>
  <c r="L136"/>
  <c r="N136"/>
  <c r="P136"/>
  <c r="J157"/>
  <c r="L157"/>
  <c r="N157"/>
  <c r="P157"/>
  <c r="J159"/>
  <c r="L159"/>
  <c r="N159"/>
  <c r="I161"/>
  <c r="J163"/>
  <c r="L163"/>
  <c r="N163"/>
  <c r="P163"/>
  <c r="K165"/>
  <c r="M165"/>
  <c r="O165"/>
  <c r="Q165"/>
  <c r="K167"/>
  <c r="M167"/>
  <c r="O167"/>
  <c r="Q167"/>
  <c r="K173"/>
  <c r="M173"/>
  <c r="O173"/>
  <c r="Q173"/>
  <c r="J175"/>
  <c r="L175"/>
  <c r="N175"/>
  <c r="J179"/>
  <c r="L179"/>
  <c r="N179"/>
  <c r="P179"/>
  <c r="K181"/>
  <c r="M181"/>
  <c r="O181"/>
  <c r="Q181"/>
  <c r="J183"/>
  <c r="L183"/>
  <c r="N183"/>
  <c r="P183"/>
  <c r="J189"/>
  <c r="L189"/>
  <c r="N189"/>
  <c r="P189"/>
  <c r="J191"/>
  <c r="L191"/>
  <c r="N191"/>
  <c r="J195"/>
  <c r="L195"/>
  <c r="N195"/>
  <c r="P195"/>
  <c r="J197"/>
  <c r="L197"/>
  <c r="N197"/>
  <c r="P197"/>
  <c r="J199"/>
  <c r="L199"/>
  <c r="N199"/>
  <c r="P199"/>
  <c r="J205"/>
  <c r="L205"/>
  <c r="N205"/>
  <c r="P205"/>
  <c r="J207"/>
  <c r="L207"/>
  <c r="N207"/>
  <c r="J211"/>
  <c r="L211"/>
  <c r="N211"/>
  <c r="P211"/>
  <c r="J213"/>
  <c r="L213"/>
  <c r="N213"/>
  <c r="P213"/>
  <c r="J215"/>
  <c r="L215"/>
  <c r="N215"/>
  <c r="P215"/>
  <c r="J221"/>
  <c r="L221"/>
  <c r="N221"/>
  <c r="P221"/>
  <c r="J223"/>
  <c r="L223"/>
  <c r="N223"/>
  <c r="J227"/>
  <c r="L227"/>
  <c r="N227"/>
  <c r="P227"/>
  <c r="J229"/>
  <c r="L229"/>
  <c r="N229"/>
  <c r="P229"/>
  <c r="J231"/>
  <c r="L231"/>
  <c r="N231"/>
  <c r="P231"/>
  <c r="J237"/>
  <c r="L237"/>
  <c r="N237"/>
  <c r="P237"/>
  <c r="J239"/>
  <c r="L239"/>
  <c r="N239"/>
  <c r="J243"/>
  <c r="L243"/>
  <c r="N243"/>
  <c r="P243"/>
  <c r="J245"/>
  <c r="L245"/>
  <c r="N245"/>
  <c r="P245"/>
  <c r="J247"/>
  <c r="L247"/>
  <c r="N247"/>
  <c r="P247"/>
  <c r="J282"/>
  <c r="I289"/>
  <c r="J296"/>
  <c r="K296" s="1"/>
  <c r="H20" i="25"/>
  <c r="J20"/>
  <c r="L20"/>
  <c r="M20" s="1"/>
  <c r="O288" i="10"/>
  <c r="R8" i="25"/>
  <c r="K20"/>
  <c r="J22"/>
  <c r="I51"/>
  <c r="C11" i="23"/>
  <c r="C25"/>
  <c r="E25"/>
  <c r="I8" i="25"/>
  <c r="K8"/>
  <c r="M8"/>
  <c r="O8"/>
  <c r="Q8"/>
  <c r="J10"/>
  <c r="L10"/>
  <c r="K12"/>
  <c r="M12"/>
  <c r="O12"/>
  <c r="J17"/>
  <c r="L17"/>
  <c r="I34"/>
  <c r="K34"/>
  <c r="L46"/>
  <c r="J50"/>
  <c r="K51" s="1"/>
  <c r="L50"/>
  <c r="L51" s="1"/>
  <c r="R53"/>
  <c r="L64"/>
  <c r="R66"/>
  <c r="N67" i="29"/>
  <c r="G239" s="1"/>
  <c r="P67"/>
  <c r="I239" s="1"/>
  <c r="R67"/>
  <c r="K239" s="1"/>
  <c r="F198"/>
  <c r="H198"/>
  <c r="J198"/>
  <c r="I17" i="25"/>
  <c r="K17"/>
  <c r="H52" i="30"/>
  <c r="N51"/>
  <c r="G52"/>
  <c r="O51"/>
  <c r="N49"/>
  <c r="N55"/>
  <c r="C9" i="23"/>
  <c r="E9"/>
  <c r="D10"/>
  <c r="F10"/>
  <c r="E52" i="30"/>
  <c r="E94" i="33"/>
  <c r="G94"/>
  <c r="H45" i="34"/>
  <c r="H51" s="1"/>
  <c r="F19" i="13"/>
  <c r="L129" i="9" s="1"/>
  <c r="E20" i="13"/>
  <c r="C43" i="23"/>
  <c r="E43"/>
  <c r="B44"/>
  <c r="G57" i="9" s="1"/>
  <c r="H23" i="27" s="1"/>
  <c r="H397" s="1"/>
  <c r="D44" i="23"/>
  <c r="F44"/>
  <c r="G44" s="1"/>
  <c r="L57" i="9" s="1"/>
  <c r="K58" i="5" s="1"/>
  <c r="L63" i="26" s="1"/>
  <c r="C46" i="23"/>
  <c r="E46"/>
  <c r="B48"/>
  <c r="G59" i="9" s="1"/>
  <c r="H27" i="27" s="1"/>
  <c r="H401" s="1"/>
  <c r="D48" i="23"/>
  <c r="F48"/>
  <c r="G48" s="1"/>
  <c r="C50"/>
  <c r="E50"/>
  <c r="B52"/>
  <c r="G61" i="9" s="1"/>
  <c r="H31" i="27" s="1"/>
  <c r="H405" s="1"/>
  <c r="D52" i="23"/>
  <c r="F52"/>
  <c r="G52" s="1"/>
  <c r="C54"/>
  <c r="E54"/>
  <c r="O45" i="30"/>
  <c r="E46"/>
  <c r="G46"/>
  <c r="I46"/>
  <c r="K46"/>
  <c r="C47"/>
  <c r="D48" s="1"/>
  <c r="E47"/>
  <c r="E48" s="1"/>
  <c r="G47"/>
  <c r="I47"/>
  <c r="I48" s="1"/>
  <c r="K47"/>
  <c r="K48" s="1"/>
  <c r="D49"/>
  <c r="D50" s="1"/>
  <c r="F49"/>
  <c r="F50" s="1"/>
  <c r="H49"/>
  <c r="H50" s="1"/>
  <c r="J49"/>
  <c r="J50" s="1"/>
  <c r="L49"/>
  <c r="N53"/>
  <c r="D54"/>
  <c r="F54"/>
  <c r="H54"/>
  <c r="J54"/>
  <c r="L54"/>
  <c r="D55"/>
  <c r="D56" s="1"/>
  <c r="F55"/>
  <c r="F56" s="1"/>
  <c r="H55"/>
  <c r="H56" s="1"/>
  <c r="J55"/>
  <c r="J56" s="1"/>
  <c r="L55"/>
  <c r="C57"/>
  <c r="D58" s="1"/>
  <c r="E57"/>
  <c r="E58" s="1"/>
  <c r="G57"/>
  <c r="I57"/>
  <c r="I58" s="1"/>
  <c r="K57"/>
  <c r="K58" s="1"/>
  <c r="I50" i="32"/>
  <c r="J74" s="1"/>
  <c r="M50"/>
  <c r="K97" i="23"/>
  <c r="I83" i="33"/>
  <c r="I90" s="1"/>
  <c r="D92" s="1"/>
  <c r="K83"/>
  <c r="K90" s="1"/>
  <c r="F92" s="1"/>
  <c r="I84"/>
  <c r="I91" s="1"/>
  <c r="D93" s="1"/>
  <c r="K84"/>
  <c r="K91" s="1"/>
  <c r="F93" s="1"/>
  <c r="I85"/>
  <c r="I92" s="1"/>
  <c r="D94" s="1"/>
  <c r="K85"/>
  <c r="K92" s="1"/>
  <c r="F94" s="1"/>
  <c r="H86"/>
  <c r="H93" s="1"/>
  <c r="C95" s="1"/>
  <c r="J86"/>
  <c r="J93" s="1"/>
  <c r="E95" s="1"/>
  <c r="L86"/>
  <c r="L93" s="1"/>
  <c r="G95" s="1"/>
  <c r="H87"/>
  <c r="H94" s="1"/>
  <c r="C96" s="1"/>
  <c r="J87"/>
  <c r="J94" s="1"/>
  <c r="E96" s="1"/>
  <c r="L87"/>
  <c r="L94" s="1"/>
  <c r="G96" s="1"/>
  <c r="H88"/>
  <c r="H95" s="1"/>
  <c r="C97" s="1"/>
  <c r="J88"/>
  <c r="J95" s="1"/>
  <c r="E97" s="1"/>
  <c r="L88"/>
  <c r="L95" s="1"/>
  <c r="G97" s="1"/>
  <c r="D89"/>
  <c r="F89"/>
  <c r="C92"/>
  <c r="E92"/>
  <c r="G92"/>
  <c r="E93"/>
  <c r="G93"/>
  <c r="K42" i="34"/>
  <c r="K48" s="1"/>
  <c r="H43"/>
  <c r="H49" s="1"/>
  <c r="J43"/>
  <c r="J49" s="1"/>
  <c r="L43"/>
  <c r="L49" s="1"/>
  <c r="K44"/>
  <c r="K50" s="1"/>
  <c r="D43" i="23"/>
  <c r="F43"/>
  <c r="C44"/>
  <c r="E44"/>
  <c r="B46"/>
  <c r="G58" i="9" s="1"/>
  <c r="H25" i="27" s="1"/>
  <c r="H399" s="1"/>
  <c r="D46" i="23"/>
  <c r="F46"/>
  <c r="G46" s="1"/>
  <c r="C48"/>
  <c r="E48"/>
  <c r="B50"/>
  <c r="G60" i="9" s="1"/>
  <c r="H29" i="27" s="1"/>
  <c r="H403" s="1"/>
  <c r="D50" i="23"/>
  <c r="F50"/>
  <c r="G50" s="1"/>
  <c r="C52"/>
  <c r="E52"/>
  <c r="N45" i="30"/>
  <c r="D46"/>
  <c r="F46"/>
  <c r="H46"/>
  <c r="J46"/>
  <c r="L46"/>
  <c r="O53"/>
  <c r="E54"/>
  <c r="G54"/>
  <c r="I54"/>
  <c r="K54"/>
  <c r="J50" i="32"/>
  <c r="J97" i="23"/>
  <c r="H84" i="33"/>
  <c r="H91" s="1"/>
  <c r="C93" s="1"/>
  <c r="H85"/>
  <c r="H92" s="1"/>
  <c r="C94" s="1"/>
  <c r="I86"/>
  <c r="I93" s="1"/>
  <c r="D95" s="1"/>
  <c r="K86"/>
  <c r="K93" s="1"/>
  <c r="F95" s="1"/>
  <c r="I87"/>
  <c r="I94" s="1"/>
  <c r="D96" s="1"/>
  <c r="K87"/>
  <c r="K94" s="1"/>
  <c r="F96" s="1"/>
  <c r="I88"/>
  <c r="I95" s="1"/>
  <c r="D97" s="1"/>
  <c r="K88"/>
  <c r="K95" s="1"/>
  <c r="F97" s="1"/>
  <c r="K41" i="34"/>
  <c r="K47" s="1"/>
  <c r="J42"/>
  <c r="J48" s="1"/>
  <c r="L42"/>
  <c r="L48" s="1"/>
  <c r="K43"/>
  <c r="K49" s="1"/>
  <c r="J44"/>
  <c r="J50" s="1"/>
  <c r="L44"/>
  <c r="L50" s="1"/>
  <c r="M246" i="27" l="1"/>
  <c r="M242"/>
  <c r="M238"/>
  <c r="J50" i="14"/>
  <c r="K41"/>
  <c r="I59" i="15"/>
  <c r="J48"/>
  <c r="I234" i="10"/>
  <c r="I154"/>
  <c r="K69"/>
  <c r="B82" i="23"/>
  <c r="B80"/>
  <c r="V19" i="34"/>
  <c r="K74" i="32"/>
  <c r="K75"/>
  <c r="N75"/>
  <c r="N74"/>
  <c r="N80" s="1"/>
  <c r="I30" i="5"/>
  <c r="I31" i="9"/>
  <c r="H6" i="28"/>
  <c r="K16" i="10"/>
  <c r="J10" i="5"/>
  <c r="F6" i="28"/>
  <c r="I16" i="10"/>
  <c r="H10" i="5"/>
  <c r="M81" i="32"/>
  <c r="K31" i="9"/>
  <c r="K253" i="10"/>
  <c r="J45" i="34"/>
  <c r="J51" s="1"/>
  <c r="G30" i="9"/>
  <c r="F78" i="4" s="1"/>
  <c r="G31" i="9"/>
  <c r="M95" i="23"/>
  <c r="M103"/>
  <c r="I30" i="9"/>
  <c r="K30"/>
  <c r="J16" i="10"/>
  <c r="I10" i="5"/>
  <c r="G6" i="28"/>
  <c r="H16" i="10"/>
  <c r="H24" s="1"/>
  <c r="G10" i="5"/>
  <c r="H39" i="28"/>
  <c r="J52" i="14"/>
  <c r="F79" i="4"/>
  <c r="N22" i="34"/>
  <c r="H22" s="1"/>
  <c r="P20"/>
  <c r="J20" s="1"/>
  <c r="P24"/>
  <c r="N20"/>
  <c r="H20" s="1"/>
  <c r="Q22"/>
  <c r="K152" i="10"/>
  <c r="K45"/>
  <c r="I152"/>
  <c r="I45"/>
  <c r="M105" i="23"/>
  <c r="N25" i="34"/>
  <c r="H25" s="1"/>
  <c r="N24"/>
  <c r="H24" s="1"/>
  <c r="O20"/>
  <c r="P23"/>
  <c r="P21"/>
  <c r="P38"/>
  <c r="K22"/>
  <c r="I22"/>
  <c r="S22"/>
  <c r="R20"/>
  <c r="R24"/>
  <c r="L45"/>
  <c r="L51" s="1"/>
  <c r="P25"/>
  <c r="J25" s="1"/>
  <c r="U19"/>
  <c r="Q24"/>
  <c r="S19"/>
  <c r="O24"/>
  <c r="R22"/>
  <c r="P22"/>
  <c r="U22" s="1"/>
  <c r="R23"/>
  <c r="R21"/>
  <c r="R38"/>
  <c r="T24"/>
  <c r="J24"/>
  <c r="N23"/>
  <c r="H23" s="1"/>
  <c r="N21"/>
  <c r="H21" s="1"/>
  <c r="Q38"/>
  <c r="Q23"/>
  <c r="Q21"/>
  <c r="T20"/>
  <c r="I20"/>
  <c r="S20"/>
  <c r="O38"/>
  <c r="O21"/>
  <c r="R25"/>
  <c r="Q20"/>
  <c r="Q25"/>
  <c r="O25"/>
  <c r="H79" i="4"/>
  <c r="N107" i="14"/>
  <c r="N108" s="1"/>
  <c r="N64"/>
  <c r="N65" s="1"/>
  <c r="M500" i="27"/>
  <c r="L29" i="9"/>
  <c r="I89" i="14"/>
  <c r="I42" s="1"/>
  <c r="I81"/>
  <c r="I14" s="1"/>
  <c r="I501" i="27"/>
  <c r="H28" i="15"/>
  <c r="I29" s="1"/>
  <c r="H41"/>
  <c r="G30" i="5"/>
  <c r="H138" i="10"/>
  <c r="R70" i="25"/>
  <c r="I75" i="15"/>
  <c r="G47" i="23"/>
  <c r="L58" i="9"/>
  <c r="G53" i="23"/>
  <c r="L61" i="9"/>
  <c r="I475" i="27"/>
  <c r="H9" i="20"/>
  <c r="I10" s="1"/>
  <c r="K21" i="5"/>
  <c r="Q21" s="1"/>
  <c r="K89" i="14"/>
  <c r="K42" s="1"/>
  <c r="K81"/>
  <c r="K14" s="1"/>
  <c r="D32" i="17"/>
  <c r="I138" i="9"/>
  <c r="G51" i="23"/>
  <c r="L60" i="9"/>
  <c r="G49" i="23"/>
  <c r="L59" i="9"/>
  <c r="I65" i="5"/>
  <c r="I31" i="4"/>
  <c r="K22" i="5"/>
  <c r="Q22" s="1"/>
  <c r="H37" i="27"/>
  <c r="H310" s="1"/>
  <c r="F31" i="4"/>
  <c r="G89" i="14"/>
  <c r="G42" s="1"/>
  <c r="G81"/>
  <c r="G14" s="1"/>
  <c r="M23" i="27"/>
  <c r="Q14" i="25"/>
  <c r="O14"/>
  <c r="M14"/>
  <c r="K14"/>
  <c r="P474" i="27"/>
  <c r="O475"/>
  <c r="Q97" i="25"/>
  <c r="Q117"/>
  <c r="J5"/>
  <c r="R14"/>
  <c r="I423" i="27"/>
  <c r="I491"/>
  <c r="J29" i="25"/>
  <c r="P117"/>
  <c r="P97"/>
  <c r="N20"/>
  <c r="O20" s="1"/>
  <c r="P20" s="1"/>
  <c r="Q20" s="1"/>
  <c r="R10"/>
  <c r="N12"/>
  <c r="L12"/>
  <c r="J12"/>
  <c r="R12" s="1"/>
  <c r="B86" i="23"/>
  <c r="B78"/>
  <c r="G45"/>
  <c r="G56"/>
  <c r="L63" i="9" s="1"/>
  <c r="M35" i="27" s="1"/>
  <c r="E37" i="23"/>
  <c r="J48" i="9"/>
  <c r="C37" i="23"/>
  <c r="H48" i="9"/>
  <c r="G10" i="23"/>
  <c r="G76"/>
  <c r="G59" s="1"/>
  <c r="G67" s="1"/>
  <c r="G17"/>
  <c r="I126" i="28"/>
  <c r="L130" i="9"/>
  <c r="J13" i="13"/>
  <c r="K128" i="9"/>
  <c r="I130" i="28"/>
  <c r="F19" i="12"/>
  <c r="H13" i="13"/>
  <c r="I128" i="9"/>
  <c r="H130" i="28"/>
  <c r="E19" i="12"/>
  <c r="E18"/>
  <c r="H127" i="28"/>
  <c r="F130"/>
  <c r="C19" i="12"/>
  <c r="B25" i="23"/>
  <c r="G48" i="9" s="1"/>
  <c r="H5" i="27" s="1"/>
  <c r="F3" i="29"/>
  <c r="C56" i="23"/>
  <c r="F71"/>
  <c r="S71" s="1"/>
  <c r="F69"/>
  <c r="D69"/>
  <c r="D71"/>
  <c r="Q71" s="1"/>
  <c r="B71"/>
  <c r="O71" s="1"/>
  <c r="B69"/>
  <c r="E71"/>
  <c r="R71" s="1"/>
  <c r="E69"/>
  <c r="C71"/>
  <c r="P71" s="1"/>
  <c r="C69"/>
  <c r="I489" i="27"/>
  <c r="K505"/>
  <c r="L503"/>
  <c r="J503"/>
  <c r="H412"/>
  <c r="G110" i="9"/>
  <c r="H415" i="27"/>
  <c r="G113" i="9"/>
  <c r="H411" i="27"/>
  <c r="G109" i="9"/>
  <c r="K20" i="5"/>
  <c r="Q20" s="1"/>
  <c r="H53" i="27"/>
  <c r="H61" s="1"/>
  <c r="H414"/>
  <c r="G112" i="9"/>
  <c r="H413" i="27"/>
  <c r="G111" i="9"/>
  <c r="H416" i="27"/>
  <c r="G114" i="9"/>
  <c r="H304" i="27"/>
  <c r="G79" i="9" s="1"/>
  <c r="H316" i="27"/>
  <c r="H433"/>
  <c r="H383"/>
  <c r="I384" s="1"/>
  <c r="H459"/>
  <c r="I460" s="1"/>
  <c r="D77" i="23"/>
  <c r="D86"/>
  <c r="I69" i="9" s="1"/>
  <c r="D84" i="23"/>
  <c r="D82"/>
  <c r="D80"/>
  <c r="D88"/>
  <c r="I70" i="9" s="1"/>
  <c r="D78" i="23"/>
  <c r="E82"/>
  <c r="E86"/>
  <c r="E78"/>
  <c r="E88"/>
  <c r="J70" i="9" s="1"/>
  <c r="E80" i="23"/>
  <c r="E84"/>
  <c r="C77"/>
  <c r="C86"/>
  <c r="H69" i="9" s="1"/>
  <c r="C78" i="23"/>
  <c r="C88"/>
  <c r="C82"/>
  <c r="C84"/>
  <c r="C80"/>
  <c r="F77"/>
  <c r="F78"/>
  <c r="G78" s="1"/>
  <c r="F86"/>
  <c r="G86" s="1"/>
  <c r="F84"/>
  <c r="G84" s="1"/>
  <c r="F88"/>
  <c r="G88" s="1"/>
  <c r="F80"/>
  <c r="G80" s="1"/>
  <c r="F82"/>
  <c r="G82" s="1"/>
  <c r="I37" i="27"/>
  <c r="I310" s="1"/>
  <c r="G65" i="5"/>
  <c r="N459" i="27"/>
  <c r="N460" s="1"/>
  <c r="N383"/>
  <c r="N384" s="1"/>
  <c r="H63" i="9"/>
  <c r="P383" i="27"/>
  <c r="Q474"/>
  <c r="D98" i="33"/>
  <c r="F98"/>
  <c r="K176" i="10"/>
  <c r="K160"/>
  <c r="K297"/>
  <c r="K240"/>
  <c r="K224"/>
  <c r="K208"/>
  <c r="K192"/>
  <c r="K59"/>
  <c r="N84" i="15"/>
  <c r="N79"/>
  <c r="N74"/>
  <c r="N94"/>
  <c r="O78"/>
  <c r="H17" i="29"/>
  <c r="I169" i="10"/>
  <c r="H36" i="5"/>
  <c r="C53" i="23"/>
  <c r="H61" i="9"/>
  <c r="D51" i="23"/>
  <c r="I60" i="9"/>
  <c r="E49" i="23"/>
  <c r="J59" i="9"/>
  <c r="F47" i="23"/>
  <c r="K58" i="9"/>
  <c r="C45" i="23"/>
  <c r="H57" i="9"/>
  <c r="L101" i="23"/>
  <c r="G58" i="30"/>
  <c r="N57"/>
  <c r="L50"/>
  <c r="O49"/>
  <c r="E55" i="23"/>
  <c r="J62" i="9"/>
  <c r="F53" i="23"/>
  <c r="K61" i="9"/>
  <c r="C51" i="23"/>
  <c r="H60" i="9"/>
  <c r="D49" i="23"/>
  <c r="I59" i="9"/>
  <c r="E47" i="23"/>
  <c r="J58" i="9"/>
  <c r="F45" i="23"/>
  <c r="K57" i="9"/>
  <c r="F20" i="13"/>
  <c r="D25" i="23"/>
  <c r="D11"/>
  <c r="H3" i="29"/>
  <c r="G70" i="9"/>
  <c r="H49" i="27" s="1"/>
  <c r="H445" s="1"/>
  <c r="G122" i="9" s="1"/>
  <c r="B67" i="23"/>
  <c r="G68" i="9" s="1"/>
  <c r="H45" i="27" s="1"/>
  <c r="H441" s="1"/>
  <c r="G120" i="9" s="1"/>
  <c r="G66"/>
  <c r="H41" i="27" s="1"/>
  <c r="H437" s="1"/>
  <c r="B65" i="23"/>
  <c r="G67" i="9" s="1"/>
  <c r="H43" i="27" s="1"/>
  <c r="H439" s="1"/>
  <c r="B61" i="23"/>
  <c r="R74" i="25"/>
  <c r="E69" s="1"/>
  <c r="E35" i="23"/>
  <c r="E33"/>
  <c r="E31"/>
  <c r="E29"/>
  <c r="E27"/>
  <c r="E26"/>
  <c r="C35"/>
  <c r="C33"/>
  <c r="C31"/>
  <c r="C29"/>
  <c r="C27"/>
  <c r="C26"/>
  <c r="O289" i="10"/>
  <c r="O238"/>
  <c r="O239" s="1"/>
  <c r="O222"/>
  <c r="O223" s="1"/>
  <c r="O206"/>
  <c r="O207" s="1"/>
  <c r="O190"/>
  <c r="O191" s="1"/>
  <c r="O174"/>
  <c r="O175" s="1"/>
  <c r="O158"/>
  <c r="O159" s="1"/>
  <c r="O57"/>
  <c r="O58" s="1"/>
  <c r="O34"/>
  <c r="O35" s="1"/>
  <c r="N488" i="27"/>
  <c r="N489" s="1"/>
  <c r="K233"/>
  <c r="K234" s="1"/>
  <c r="K210"/>
  <c r="P80"/>
  <c r="O86"/>
  <c r="N96" i="15"/>
  <c r="N82"/>
  <c r="N81"/>
  <c r="P110" i="27"/>
  <c r="P108"/>
  <c r="P106"/>
  <c r="P104"/>
  <c r="T13" i="20"/>
  <c r="M82" i="15"/>
  <c r="M81"/>
  <c r="M96"/>
  <c r="P64" i="14"/>
  <c r="P107"/>
  <c r="P96"/>
  <c r="L94"/>
  <c r="L91"/>
  <c r="L92" s="1"/>
  <c r="L62"/>
  <c r="L63" s="1"/>
  <c r="L31"/>
  <c r="L32" s="1"/>
  <c r="K38"/>
  <c r="K28"/>
  <c r="G38"/>
  <c r="I19"/>
  <c r="I17"/>
  <c r="F6" i="12"/>
  <c r="I154" i="28"/>
  <c r="F34" i="6"/>
  <c r="R157" i="9"/>
  <c r="K158" i="5"/>
  <c r="K45" i="14"/>
  <c r="B6" i="12"/>
  <c r="B34" i="6"/>
  <c r="G158" i="5"/>
  <c r="G45" i="14"/>
  <c r="G152" i="28"/>
  <c r="I156" i="5"/>
  <c r="F149" i="28"/>
  <c r="H34" i="14"/>
  <c r="I153" i="9"/>
  <c r="H153" i="5"/>
  <c r="K35" i="15"/>
  <c r="H141" i="28"/>
  <c r="J145" i="5"/>
  <c r="F30" i="16" s="1"/>
  <c r="K143" i="9"/>
  <c r="H134" i="5"/>
  <c r="L62" i="27"/>
  <c r="M63" s="1"/>
  <c r="H72" i="28"/>
  <c r="J76" i="5"/>
  <c r="H69" i="28"/>
  <c r="K64" i="9"/>
  <c r="J31" i="4" s="1"/>
  <c r="J73" i="5"/>
  <c r="I249" i="10"/>
  <c r="I259" s="1"/>
  <c r="F37" i="28"/>
  <c r="H41" i="5"/>
  <c r="K37" i="15"/>
  <c r="K24"/>
  <c r="I37"/>
  <c r="I24"/>
  <c r="L5" i="25"/>
  <c r="L58" i="27"/>
  <c r="M34"/>
  <c r="L395"/>
  <c r="L22"/>
  <c r="J395"/>
  <c r="J22"/>
  <c r="K254" i="10"/>
  <c r="I254"/>
  <c r="K252"/>
  <c r="I252"/>
  <c r="H44" i="34"/>
  <c r="H50" s="1"/>
  <c r="J501" i="27"/>
  <c r="J490"/>
  <c r="K70" i="10"/>
  <c r="K65"/>
  <c r="J116" i="14"/>
  <c r="J53"/>
  <c r="J54" s="1"/>
  <c r="H98"/>
  <c r="H89"/>
  <c r="H81"/>
  <c r="J38"/>
  <c r="J28"/>
  <c r="E34" i="6"/>
  <c r="E6" i="12"/>
  <c r="H154" i="28"/>
  <c r="J45" i="14"/>
  <c r="J158" i="5"/>
  <c r="H152" i="28"/>
  <c r="J156" i="5"/>
  <c r="I149" i="28"/>
  <c r="L153" i="9"/>
  <c r="K153" i="5"/>
  <c r="K34" i="14"/>
  <c r="R152" i="9"/>
  <c r="H153"/>
  <c r="G153" i="5"/>
  <c r="G34" i="14"/>
  <c r="J35" i="15"/>
  <c r="G141" i="28"/>
  <c r="J143" i="9"/>
  <c r="I145" i="5"/>
  <c r="E30" i="16" s="1"/>
  <c r="I62" i="27"/>
  <c r="G76" i="5"/>
  <c r="Q76" s="1"/>
  <c r="R63" i="9"/>
  <c r="H249" i="10"/>
  <c r="G41" i="5"/>
  <c r="K20" i="29"/>
  <c r="L217" i="10"/>
  <c r="I35" i="28"/>
  <c r="R38" i="9"/>
  <c r="R217" i="10" s="1"/>
  <c r="K39" i="5"/>
  <c r="Q39" s="1"/>
  <c r="K18" i="29"/>
  <c r="L185" i="10"/>
  <c r="M186" s="1"/>
  <c r="I33" i="28"/>
  <c r="R36" i="9"/>
  <c r="R185" i="10" s="1"/>
  <c r="K37" i="5"/>
  <c r="Q37" s="1"/>
  <c r="K16" i="29"/>
  <c r="L153" i="10"/>
  <c r="I31" i="28"/>
  <c r="R34" i="9"/>
  <c r="R153" i="10" s="1"/>
  <c r="K35" i="5"/>
  <c r="Q35" s="1"/>
  <c r="L76" i="10"/>
  <c r="L77" s="1"/>
  <c r="F22" i="6"/>
  <c r="I19" i="28"/>
  <c r="R22" i="9"/>
  <c r="R76" i="10" s="1"/>
  <c r="K23" i="5"/>
  <c r="Q23" s="1"/>
  <c r="K58" i="27"/>
  <c r="L56"/>
  <c r="L53"/>
  <c r="L59" s="1"/>
  <c r="K395"/>
  <c r="K22"/>
  <c r="J254" i="10"/>
  <c r="J252"/>
  <c r="R243"/>
  <c r="R159"/>
  <c r="R157"/>
  <c r="K501" i="27"/>
  <c r="K490"/>
  <c r="L65" i="10"/>
  <c r="L114" i="14"/>
  <c r="L51"/>
  <c r="L52" s="1"/>
  <c r="L58" i="1"/>
  <c r="O57"/>
  <c r="G56"/>
  <c r="N55"/>
  <c r="E98" i="33"/>
  <c r="D56" i="23"/>
  <c r="K52" i="34"/>
  <c r="J58" i="30"/>
  <c r="F58"/>
  <c r="J48"/>
  <c r="F48"/>
  <c r="F55" i="23"/>
  <c r="L58" i="30"/>
  <c r="L48"/>
  <c r="L52" i="34"/>
  <c r="K56" i="30"/>
  <c r="E56"/>
  <c r="I50"/>
  <c r="J51" i="10"/>
  <c r="R50" s="1"/>
  <c r="J248" i="27"/>
  <c r="J246"/>
  <c r="J244"/>
  <c r="J242"/>
  <c r="J240"/>
  <c r="J238"/>
  <c r="J236"/>
  <c r="L234"/>
  <c r="J234"/>
  <c r="K295"/>
  <c r="K291"/>
  <c r="K287"/>
  <c r="M194"/>
  <c r="I225"/>
  <c r="I95" i="15"/>
  <c r="D3" i="12"/>
  <c r="B4"/>
  <c r="C14"/>
  <c r="K50" i="14"/>
  <c r="H37"/>
  <c r="H41"/>
  <c r="Q12"/>
  <c r="E4" i="12"/>
  <c r="L59" i="15"/>
  <c r="D14" i="12"/>
  <c r="K48" i="15"/>
  <c r="K5" i="25"/>
  <c r="I5"/>
  <c r="L278" i="10"/>
  <c r="J278"/>
  <c r="J256"/>
  <c r="J234"/>
  <c r="J202"/>
  <c r="J154"/>
  <c r="R165" s="1"/>
  <c r="L152"/>
  <c r="J152"/>
  <c r="J63"/>
  <c r="K98" i="14"/>
  <c r="I92"/>
  <c r="Q10"/>
  <c r="I59"/>
  <c r="J19"/>
  <c r="H19"/>
  <c r="M113"/>
  <c r="I98"/>
  <c r="K13" i="13"/>
  <c r="I7" i="14"/>
  <c r="K52"/>
  <c r="I52"/>
  <c r="K54"/>
  <c r="H56" i="1"/>
  <c r="K58"/>
  <c r="E48"/>
  <c r="F56"/>
  <c r="K48"/>
  <c r="O55"/>
  <c r="I101" i="23"/>
  <c r="E53"/>
  <c r="J61" i="9"/>
  <c r="F51" i="23"/>
  <c r="K60" i="9"/>
  <c r="C49" i="23"/>
  <c r="H59" i="9"/>
  <c r="D47" i="23"/>
  <c r="I58" i="9"/>
  <c r="E45" i="23"/>
  <c r="J57" i="9"/>
  <c r="I17" i="29"/>
  <c r="J169" i="10"/>
  <c r="J170" s="1"/>
  <c r="G32" i="28"/>
  <c r="I36" i="5"/>
  <c r="J75" i="32"/>
  <c r="G37" i="9" s="1"/>
  <c r="L56" i="30"/>
  <c r="O55"/>
  <c r="G48"/>
  <c r="N47"/>
  <c r="C55" i="23"/>
  <c r="H62" i="9"/>
  <c r="D53" i="23"/>
  <c r="I61" i="9"/>
  <c r="E51" i="23"/>
  <c r="J60" i="9"/>
  <c r="F49" i="23"/>
  <c r="K59" i="9"/>
  <c r="C47" i="23"/>
  <c r="H58" i="9"/>
  <c r="D45" i="23"/>
  <c r="I57" i="9"/>
  <c r="K25" i="25"/>
  <c r="K26" s="1"/>
  <c r="J130" i="5"/>
  <c r="F2" i="18" s="1"/>
  <c r="F25" i="23"/>
  <c r="F11"/>
  <c r="J3" i="29"/>
  <c r="M33" i="25"/>
  <c r="M10"/>
  <c r="R51"/>
  <c r="J51"/>
  <c r="M22"/>
  <c r="J297" i="10"/>
  <c r="J240"/>
  <c r="J241" s="1"/>
  <c r="J224"/>
  <c r="J225" s="1"/>
  <c r="J208"/>
  <c r="J209" s="1"/>
  <c r="J192"/>
  <c r="J193" s="1"/>
  <c r="L296"/>
  <c r="M296" s="1"/>
  <c r="J176"/>
  <c r="J160"/>
  <c r="J59"/>
  <c r="J60" s="1"/>
  <c r="R42"/>
  <c r="E32" s="1"/>
  <c r="R482" i="27"/>
  <c r="R483" s="1"/>
  <c r="O459"/>
  <c r="O460" s="1"/>
  <c r="O383"/>
  <c r="M233"/>
  <c r="M234" s="1"/>
  <c r="M210"/>
  <c r="M94" i="15"/>
  <c r="M84"/>
  <c r="M79"/>
  <c r="P78"/>
  <c r="M74"/>
  <c r="L95"/>
  <c r="L64"/>
  <c r="L65" s="1"/>
  <c r="L83"/>
  <c r="L66"/>
  <c r="L67" s="1"/>
  <c r="M251" i="27"/>
  <c r="K251"/>
  <c r="P109"/>
  <c r="P107"/>
  <c r="P105"/>
  <c r="F14" i="17"/>
  <c r="L140" i="9" s="1"/>
  <c r="E2" i="17"/>
  <c r="L135" i="9"/>
  <c r="R32" i="15"/>
  <c r="E30" s="1"/>
  <c r="Q36" i="14"/>
  <c r="K37"/>
  <c r="I38"/>
  <c r="I28"/>
  <c r="K19"/>
  <c r="L19" s="1"/>
  <c r="Q18"/>
  <c r="K17"/>
  <c r="D6" i="12"/>
  <c r="G154" i="28"/>
  <c r="D34" i="6"/>
  <c r="I158" i="5"/>
  <c r="I45" i="14"/>
  <c r="I152" i="28"/>
  <c r="R155" i="9"/>
  <c r="K156" i="5"/>
  <c r="Q156" s="1"/>
  <c r="H149" i="28"/>
  <c r="J34" i="14"/>
  <c r="K153" i="9"/>
  <c r="J153" i="5"/>
  <c r="I35" i="15"/>
  <c r="F141" i="28"/>
  <c r="H145" i="5"/>
  <c r="D30" i="16" s="1"/>
  <c r="I143" i="9"/>
  <c r="J134" i="5"/>
  <c r="J62" i="27"/>
  <c r="J63" s="1"/>
  <c r="F72" i="28"/>
  <c r="H76" i="5"/>
  <c r="F69" i="28"/>
  <c r="I64" i="9"/>
  <c r="H31" i="4" s="1"/>
  <c r="H32" s="1"/>
  <c r="H73" i="5"/>
  <c r="K249" i="10"/>
  <c r="K259" s="1"/>
  <c r="H37" i="28"/>
  <c r="L40" i="9"/>
  <c r="J41" i="5"/>
  <c r="L48" i="15"/>
  <c r="J58" i="27"/>
  <c r="K53"/>
  <c r="K61" s="1"/>
  <c r="K56"/>
  <c r="I53"/>
  <c r="I61" s="1"/>
  <c r="K433"/>
  <c r="K316"/>
  <c r="K304"/>
  <c r="L499"/>
  <c r="L501"/>
  <c r="L490"/>
  <c r="K72" i="10"/>
  <c r="K74" s="1"/>
  <c r="K67"/>
  <c r="I72"/>
  <c r="I67"/>
  <c r="I70"/>
  <c r="I65"/>
  <c r="H116" i="14"/>
  <c r="H53"/>
  <c r="J98"/>
  <c r="J89"/>
  <c r="J81"/>
  <c r="O107"/>
  <c r="O96"/>
  <c r="O64"/>
  <c r="O65" s="1"/>
  <c r="H38"/>
  <c r="H39" s="1"/>
  <c r="H28"/>
  <c r="C38" i="13"/>
  <c r="C34" i="6"/>
  <c r="C35" s="1"/>
  <c r="C6" i="12"/>
  <c r="F154" i="28"/>
  <c r="H45" i="14"/>
  <c r="H46" s="1"/>
  <c r="H158" i="5"/>
  <c r="F152" i="28"/>
  <c r="H156" i="5"/>
  <c r="G149" i="28"/>
  <c r="J153" i="9"/>
  <c r="I153" i="5"/>
  <c r="I34" i="14"/>
  <c r="L35" i="15"/>
  <c r="I141" i="28"/>
  <c r="L143" i="9"/>
  <c r="R144"/>
  <c r="K145" i="5"/>
  <c r="H35" i="15"/>
  <c r="H49" s="1"/>
  <c r="H143" i="9"/>
  <c r="G145" i="5"/>
  <c r="C30" i="16" s="1"/>
  <c r="K62" i="27"/>
  <c r="G72" i="28"/>
  <c r="I76" i="5"/>
  <c r="J249" i="10"/>
  <c r="G37" i="28"/>
  <c r="I41" i="5"/>
  <c r="K21" i="29"/>
  <c r="L233" i="10"/>
  <c r="M234" s="1"/>
  <c r="I36" i="28"/>
  <c r="R39" i="9"/>
  <c r="R233" i="10" s="1"/>
  <c r="K40" i="5"/>
  <c r="Q40" s="1"/>
  <c r="R151" i="10"/>
  <c r="R43"/>
  <c r="L46"/>
  <c r="I12" i="28"/>
  <c r="R15" i="9"/>
  <c r="R46" i="10" s="1"/>
  <c r="K16" i="5"/>
  <c r="Q16" s="1"/>
  <c r="L37" i="15"/>
  <c r="L38" s="1"/>
  <c r="L24"/>
  <c r="J37"/>
  <c r="J38" s="1"/>
  <c r="J24"/>
  <c r="J56" i="27"/>
  <c r="J53"/>
  <c r="L407"/>
  <c r="J407"/>
  <c r="M397"/>
  <c r="G23"/>
  <c r="G39" s="1"/>
  <c r="G55" s="1"/>
  <c r="G9"/>
  <c r="R199" i="10"/>
  <c r="R197"/>
  <c r="R195"/>
  <c r="R193"/>
  <c r="R191"/>
  <c r="R189"/>
  <c r="K499" i="27"/>
  <c r="I42" i="34"/>
  <c r="I48" s="1"/>
  <c r="J72" i="10"/>
  <c r="J67"/>
  <c r="J70"/>
  <c r="J65"/>
  <c r="L50"/>
  <c r="L51" s="1"/>
  <c r="L30"/>
  <c r="L48" i="1"/>
  <c r="O47"/>
  <c r="G98" i="33"/>
  <c r="C98"/>
  <c r="F56" i="23"/>
  <c r="B56"/>
  <c r="G63" i="9" s="1"/>
  <c r="H35" i="27" s="1"/>
  <c r="H409" s="1"/>
  <c r="H58" i="30"/>
  <c r="H48"/>
  <c r="D55" i="23"/>
  <c r="O57" i="30"/>
  <c r="O47"/>
  <c r="J52" i="34"/>
  <c r="I56" i="30"/>
  <c r="K50"/>
  <c r="E50"/>
  <c r="E56" i="23"/>
  <c r="G56" i="30"/>
  <c r="G50"/>
  <c r="E11" i="23"/>
  <c r="N85" i="25"/>
  <c r="P288" i="10"/>
  <c r="P488" i="27"/>
  <c r="L248"/>
  <c r="L246"/>
  <c r="L244"/>
  <c r="L242"/>
  <c r="L240"/>
  <c r="L238"/>
  <c r="L236"/>
  <c r="L282"/>
  <c r="M283" s="1"/>
  <c r="J282"/>
  <c r="L210"/>
  <c r="J210"/>
  <c r="M295"/>
  <c r="M291"/>
  <c r="M287"/>
  <c r="I251"/>
  <c r="K194"/>
  <c r="K225"/>
  <c r="O80" i="15"/>
  <c r="F3" i="12"/>
  <c r="F4"/>
  <c r="B3"/>
  <c r="E14"/>
  <c r="H42" i="34"/>
  <c r="H48" s="1"/>
  <c r="L115" i="14"/>
  <c r="M115" s="1"/>
  <c r="M93"/>
  <c r="I50"/>
  <c r="J37"/>
  <c r="J41"/>
  <c r="G69" i="28"/>
  <c r="E3" i="12"/>
  <c r="C4"/>
  <c r="F14"/>
  <c r="J59" i="15"/>
  <c r="E13" i="12"/>
  <c r="I48" i="15"/>
  <c r="I72" i="28"/>
  <c r="E77" i="23"/>
  <c r="J218" i="10"/>
  <c r="R229" s="1"/>
  <c r="J186"/>
  <c r="J139"/>
  <c r="J77"/>
  <c r="L69"/>
  <c r="J69"/>
  <c r="L97" i="14"/>
  <c r="L81" s="1"/>
  <c r="Q8"/>
  <c r="K59"/>
  <c r="Q62"/>
  <c r="J17"/>
  <c r="H17"/>
  <c r="O101"/>
  <c r="K92"/>
  <c r="I13" i="13"/>
  <c r="K116" i="14"/>
  <c r="I116"/>
  <c r="K7"/>
  <c r="I48" i="1"/>
  <c r="J56"/>
  <c r="L56"/>
  <c r="Q40" i="14" l="1"/>
  <c r="J250" i="10"/>
  <c r="R237"/>
  <c r="M409" i="27"/>
  <c r="K32" i="9"/>
  <c r="H32"/>
  <c r="J31" i="5"/>
  <c r="J78" i="4"/>
  <c r="E23" i="6"/>
  <c r="E25" s="1"/>
  <c r="K140" i="10"/>
  <c r="H31" i="5"/>
  <c r="I140" i="10"/>
  <c r="H78" i="4"/>
  <c r="C23" i="6"/>
  <c r="C25" s="1"/>
  <c r="I161" i="9" s="1"/>
  <c r="I32"/>
  <c r="J32" i="5"/>
  <c r="K142" i="10"/>
  <c r="J79" i="4"/>
  <c r="I24" i="10"/>
  <c r="I17"/>
  <c r="H32" i="5"/>
  <c r="I142" i="10"/>
  <c r="H30" i="9"/>
  <c r="K72" i="32"/>
  <c r="K79"/>
  <c r="L79"/>
  <c r="J33" i="5"/>
  <c r="J80" i="4"/>
  <c r="K144" i="10"/>
  <c r="J72" i="32"/>
  <c r="G35" i="9" s="1"/>
  <c r="J17" i="10"/>
  <c r="J24"/>
  <c r="K14" i="5"/>
  <c r="Q14" s="1"/>
  <c r="L43" i="10"/>
  <c r="R13" i="9"/>
  <c r="L16"/>
  <c r="M498" i="27"/>
  <c r="L11" i="9"/>
  <c r="I10" i="28"/>
  <c r="G32" i="9"/>
  <c r="F80" i="4" s="1"/>
  <c r="F82" s="1"/>
  <c r="F83" s="1"/>
  <c r="L66" i="10"/>
  <c r="L67" s="1"/>
  <c r="R20" i="9"/>
  <c r="R66" i="10" s="1"/>
  <c r="I17" i="28"/>
  <c r="K24" i="10"/>
  <c r="K17"/>
  <c r="H144"/>
  <c r="G33" i="5"/>
  <c r="G80" i="4"/>
  <c r="H31" i="9"/>
  <c r="N72" i="32"/>
  <c r="N79"/>
  <c r="K80"/>
  <c r="L80"/>
  <c r="R167" i="10"/>
  <c r="B90" i="23"/>
  <c r="C26" i="6"/>
  <c r="I162" i="9" s="1"/>
  <c r="R56" i="15"/>
  <c r="K64" i="5"/>
  <c r="G65" i="9"/>
  <c r="H39" i="27" s="1"/>
  <c r="H435" s="1"/>
  <c r="T25" i="34"/>
  <c r="I25"/>
  <c r="S25"/>
  <c r="K20"/>
  <c r="U20"/>
  <c r="I23"/>
  <c r="S23"/>
  <c r="K23"/>
  <c r="U23"/>
  <c r="L23"/>
  <c r="V23"/>
  <c r="V22"/>
  <c r="L22"/>
  <c r="V24"/>
  <c r="L24"/>
  <c r="J23"/>
  <c r="T23"/>
  <c r="H19"/>
  <c r="H13" s="1"/>
  <c r="G24" i="9" s="1"/>
  <c r="U25" i="34"/>
  <c r="K25"/>
  <c r="L25"/>
  <c r="V25"/>
  <c r="I21"/>
  <c r="S21"/>
  <c r="K21"/>
  <c r="U21"/>
  <c r="L21"/>
  <c r="V21"/>
  <c r="T22"/>
  <c r="J22"/>
  <c r="I24"/>
  <c r="S24"/>
  <c r="K24"/>
  <c r="U24"/>
  <c r="V20"/>
  <c r="L20"/>
  <c r="J21"/>
  <c r="T21"/>
  <c r="H15"/>
  <c r="G26" i="9" s="1"/>
  <c r="H101" i="23"/>
  <c r="H150" i="10"/>
  <c r="H53" i="15"/>
  <c r="I54" s="1"/>
  <c r="I42"/>
  <c r="I139" i="10"/>
  <c r="H454" i="27"/>
  <c r="J32" i="4"/>
  <c r="J20"/>
  <c r="Q475" i="27"/>
  <c r="Q9" i="20"/>
  <c r="K60" i="5"/>
  <c r="L65" i="26" s="1"/>
  <c r="M27" i="27"/>
  <c r="M401" s="1"/>
  <c r="K61" i="5"/>
  <c r="L66" i="26" s="1"/>
  <c r="M29" i="27"/>
  <c r="E32" i="17"/>
  <c r="J138" i="9"/>
  <c r="F15" i="17"/>
  <c r="L141" i="9" s="1"/>
  <c r="E39" i="23"/>
  <c r="F20" i="4"/>
  <c r="I32"/>
  <c r="P475" i="27"/>
  <c r="P9" i="20"/>
  <c r="P10" s="1"/>
  <c r="H139" i="5"/>
  <c r="F135" i="28"/>
  <c r="I12" i="15"/>
  <c r="I13" s="1"/>
  <c r="K62" i="5"/>
  <c r="L67" i="26" s="1"/>
  <c r="M31" i="27"/>
  <c r="M405" s="1"/>
  <c r="K59" i="5"/>
  <c r="L64" i="26" s="1"/>
  <c r="M25" i="27"/>
  <c r="G32" i="4"/>
  <c r="O384" i="27"/>
  <c r="R474"/>
  <c r="P459"/>
  <c r="P11" i="25"/>
  <c r="P12" s="1"/>
  <c r="P98"/>
  <c r="P52"/>
  <c r="P53" s="1"/>
  <c r="P35"/>
  <c r="P36" s="1"/>
  <c r="Q11"/>
  <c r="Q12" s="1"/>
  <c r="Q98"/>
  <c r="Q52"/>
  <c r="Q53" s="1"/>
  <c r="Q35"/>
  <c r="Q36" s="1"/>
  <c r="N9"/>
  <c r="N86"/>
  <c r="G11" i="23"/>
  <c r="G25"/>
  <c r="F37"/>
  <c r="G37" s="1"/>
  <c r="K48" i="9"/>
  <c r="D37" i="23"/>
  <c r="I48" i="9"/>
  <c r="H308" i="27"/>
  <c r="G81" i="9" s="1"/>
  <c r="H341" i="27"/>
  <c r="G92" i="9" s="1"/>
  <c r="H357" i="27"/>
  <c r="G100" i="9" s="1"/>
  <c r="H302" i="27"/>
  <c r="G78" i="9" s="1"/>
  <c r="H314" i="27"/>
  <c r="G84" i="9" s="1"/>
  <c r="I5" i="27"/>
  <c r="G49" i="5"/>
  <c r="I49"/>
  <c r="K5" i="27"/>
  <c r="G45" i="28"/>
  <c r="H312" i="27"/>
  <c r="G83" i="9" s="1"/>
  <c r="G57" i="23"/>
  <c r="G83"/>
  <c r="G87"/>
  <c r="G8"/>
  <c r="G60"/>
  <c r="G71"/>
  <c r="G69"/>
  <c r="G70" s="1"/>
  <c r="G61"/>
  <c r="L65" i="9" s="1"/>
  <c r="G65" i="23"/>
  <c r="G81"/>
  <c r="L66" i="9"/>
  <c r="G85" i="23"/>
  <c r="L68" i="9"/>
  <c r="G79" i="23"/>
  <c r="H59" i="27"/>
  <c r="G77" i="23"/>
  <c r="K70" i="9"/>
  <c r="L49" i="27" s="1"/>
  <c r="F125" i="28"/>
  <c r="I18" i="25"/>
  <c r="H129" i="5"/>
  <c r="G125" i="28"/>
  <c r="D7" i="18"/>
  <c r="H125" i="28"/>
  <c r="K18" i="25"/>
  <c r="J129" i="5"/>
  <c r="I125" i="28"/>
  <c r="F7" i="18"/>
  <c r="F18" i="12"/>
  <c r="I127" i="28"/>
  <c r="F17" i="12"/>
  <c r="B37" i="23"/>
  <c r="B33"/>
  <c r="B29"/>
  <c r="B35"/>
  <c r="B31"/>
  <c r="B27"/>
  <c r="J54" i="27"/>
  <c r="K63"/>
  <c r="M19" i="14"/>
  <c r="N19" s="1"/>
  <c r="O19" s="1"/>
  <c r="P19" s="1"/>
  <c r="I257" i="10"/>
  <c r="M101" i="23"/>
  <c r="G119" i="9"/>
  <c r="H451" i="27"/>
  <c r="F90" i="23"/>
  <c r="H67" i="28"/>
  <c r="F87" i="23"/>
  <c r="K69" i="9"/>
  <c r="C85" i="23"/>
  <c r="C89"/>
  <c r="H70" i="9"/>
  <c r="F67" i="28" s="1"/>
  <c r="G70" i="5"/>
  <c r="I47" i="27"/>
  <c r="I443" s="1"/>
  <c r="E85" i="23"/>
  <c r="K49" i="27"/>
  <c r="G67" i="28"/>
  <c r="I71" i="5"/>
  <c r="J104" i="26" s="1"/>
  <c r="E87" i="23"/>
  <c r="J69" i="9"/>
  <c r="H452" i="27"/>
  <c r="G116" i="9"/>
  <c r="G82"/>
  <c r="H306" i="27"/>
  <c r="G80" i="9" s="1"/>
  <c r="K19" i="5"/>
  <c r="Q19" s="1"/>
  <c r="L62" i="10"/>
  <c r="R18" i="9"/>
  <c r="R62" i="10" s="1"/>
  <c r="I15" i="28"/>
  <c r="F19" i="6"/>
  <c r="Q64" i="14"/>
  <c r="R54" i="15"/>
  <c r="H417" i="27"/>
  <c r="G115" i="9"/>
  <c r="G117"/>
  <c r="H11" i="20"/>
  <c r="H449" i="27"/>
  <c r="G118" i="9"/>
  <c r="H450" i="27"/>
  <c r="F85" i="23"/>
  <c r="F79"/>
  <c r="C81"/>
  <c r="C83"/>
  <c r="E79"/>
  <c r="J49" i="27"/>
  <c r="H71" i="5"/>
  <c r="J47" i="27"/>
  <c r="F66" i="28"/>
  <c r="H70" i="5"/>
  <c r="G85" i="9"/>
  <c r="B93" i="23" s="1"/>
  <c r="D90"/>
  <c r="D87"/>
  <c r="C87"/>
  <c r="F81"/>
  <c r="E81"/>
  <c r="F83"/>
  <c r="E83"/>
  <c r="C90"/>
  <c r="D89"/>
  <c r="D83"/>
  <c r="D79"/>
  <c r="C79"/>
  <c r="F89"/>
  <c r="E89"/>
  <c r="E90"/>
  <c r="D81"/>
  <c r="D85"/>
  <c r="B73"/>
  <c r="G71" i="9" s="1"/>
  <c r="H51" i="27" s="1"/>
  <c r="H447" s="1"/>
  <c r="G69" i="9"/>
  <c r="H47" i="27" s="1"/>
  <c r="H443" s="1"/>
  <c r="H103" i="26"/>
  <c r="H154"/>
  <c r="I304" i="27"/>
  <c r="H79" i="9" s="1"/>
  <c r="G80" i="5" s="1"/>
  <c r="H143" i="26" s="1"/>
  <c r="I341" i="27"/>
  <c r="H92" i="9" s="1"/>
  <c r="G93" i="5" s="1"/>
  <c r="I433" i="27"/>
  <c r="I434" s="1"/>
  <c r="I316"/>
  <c r="J59"/>
  <c r="I59"/>
  <c r="Q488"/>
  <c r="Q489" s="1"/>
  <c r="M116" i="14"/>
  <c r="M53"/>
  <c r="R52" i="10"/>
  <c r="F48" s="1"/>
  <c r="J55" i="9"/>
  <c r="L82" i="14"/>
  <c r="L14"/>
  <c r="L15" s="1"/>
  <c r="M94"/>
  <c r="M91"/>
  <c r="M92" s="1"/>
  <c r="M62"/>
  <c r="M63" s="1"/>
  <c r="M31"/>
  <c r="M32" s="1"/>
  <c r="E26" i="6"/>
  <c r="K162" i="9" s="1"/>
  <c r="K161"/>
  <c r="O82" i="15"/>
  <c r="O81"/>
  <c r="O96"/>
  <c r="S278" i="27"/>
  <c r="S276"/>
  <c r="S280"/>
  <c r="J283"/>
  <c r="J251"/>
  <c r="J252" s="1"/>
  <c r="P421"/>
  <c r="P289" i="10"/>
  <c r="P238"/>
  <c r="P239" s="1"/>
  <c r="P222"/>
  <c r="P223" s="1"/>
  <c r="P206"/>
  <c r="P207" s="1"/>
  <c r="P190"/>
  <c r="P191" s="1"/>
  <c r="P174"/>
  <c r="P175" s="1"/>
  <c r="P158"/>
  <c r="P159" s="1"/>
  <c r="P57"/>
  <c r="P58" s="1"/>
  <c r="P34"/>
  <c r="P35" s="1"/>
  <c r="E57" i="23"/>
  <c r="J63" i="9"/>
  <c r="I41" i="34"/>
  <c r="I47" s="1"/>
  <c r="I43"/>
  <c r="I49" s="1"/>
  <c r="I45"/>
  <c r="I51" s="1"/>
  <c r="I44"/>
  <c r="I50" s="1"/>
  <c r="K461" i="27"/>
  <c r="K462" s="1"/>
  <c r="G25"/>
  <c r="G41" s="1"/>
  <c r="G57" s="1"/>
  <c r="G11"/>
  <c r="L47" i="10"/>
  <c r="L234"/>
  <c r="M233"/>
  <c r="N234" s="1"/>
  <c r="G150" i="28"/>
  <c r="I25" i="14"/>
  <c r="I154" i="5"/>
  <c r="D2" i="12"/>
  <c r="D20" i="24"/>
  <c r="D21" i="19"/>
  <c r="O108" i="14"/>
  <c r="K90"/>
  <c r="J90"/>
  <c r="J42"/>
  <c r="H54"/>
  <c r="L491" i="27"/>
  <c r="L423"/>
  <c r="J79" i="9"/>
  <c r="J82"/>
  <c r="M41" i="27"/>
  <c r="K67" i="5"/>
  <c r="M45" i="27"/>
  <c r="K69" i="5"/>
  <c r="I33" i="15"/>
  <c r="F140" i="28"/>
  <c r="H144" i="5"/>
  <c r="D29" i="16" s="1"/>
  <c r="E20" i="24"/>
  <c r="E21" i="19"/>
  <c r="D35" i="6"/>
  <c r="I34"/>
  <c r="F29" i="17"/>
  <c r="L4" i="15"/>
  <c r="L147" i="9"/>
  <c r="L139"/>
  <c r="G17" i="16" s="1"/>
  <c r="K136" i="5"/>
  <c r="L19" i="15"/>
  <c r="K142" i="5"/>
  <c r="G16" i="16"/>
  <c r="L16" i="15"/>
  <c r="K141" i="5"/>
  <c r="P84" i="15"/>
  <c r="P79"/>
  <c r="P94"/>
  <c r="M85"/>
  <c r="M68"/>
  <c r="M69" s="1"/>
  <c r="R459" i="27"/>
  <c r="R383"/>
  <c r="E36" i="10"/>
  <c r="E38"/>
  <c r="J161"/>
  <c r="R161"/>
  <c r="L297"/>
  <c r="L240"/>
  <c r="L241" s="1"/>
  <c r="L224"/>
  <c r="L225" s="1"/>
  <c r="L208"/>
  <c r="L209" s="1"/>
  <c r="L192"/>
  <c r="L193" s="1"/>
  <c r="L176"/>
  <c r="L177" s="1"/>
  <c r="L160"/>
  <c r="L161" s="1"/>
  <c r="L59"/>
  <c r="L60" s="1"/>
  <c r="R57" i="25"/>
  <c r="M50"/>
  <c r="M51" s="1"/>
  <c r="M34"/>
  <c r="K28"/>
  <c r="J131" i="5"/>
  <c r="K19" i="29"/>
  <c r="L201" i="10"/>
  <c r="I34" i="28"/>
  <c r="R37" i="9"/>
  <c r="R201" i="10" s="1"/>
  <c r="K38" i="5"/>
  <c r="G19" i="29"/>
  <c r="H201" i="10"/>
  <c r="G38" i="5"/>
  <c r="F34" i="28"/>
  <c r="M114" i="14"/>
  <c r="M51"/>
  <c r="M52" s="1"/>
  <c r="N113"/>
  <c r="D57" i="23"/>
  <c r="I63" i="9"/>
  <c r="K491" i="27"/>
  <c r="K423"/>
  <c r="M501"/>
  <c r="M490"/>
  <c r="M395"/>
  <c r="L138" i="10"/>
  <c r="I26" i="28"/>
  <c r="R29" i="9"/>
  <c r="K30" i="5"/>
  <c r="Q30" s="1"/>
  <c r="L154" i="10"/>
  <c r="L218"/>
  <c r="M218"/>
  <c r="M217" s="1"/>
  <c r="N218" s="1"/>
  <c r="L69" i="26"/>
  <c r="G25" i="14"/>
  <c r="G154" i="5"/>
  <c r="B2" i="12"/>
  <c r="I150" i="28"/>
  <c r="K25" i="14"/>
  <c r="R153" i="9"/>
  <c r="K154" i="5"/>
  <c r="F2" i="12"/>
  <c r="F20" i="24"/>
  <c r="F21" i="19"/>
  <c r="I82" i="14"/>
  <c r="H82"/>
  <c r="H14"/>
  <c r="H70"/>
  <c r="H163" i="5"/>
  <c r="D35" i="19" s="1"/>
  <c r="J396" i="27"/>
  <c r="I108" i="9"/>
  <c r="S430" i="27"/>
  <c r="S420"/>
  <c r="S428"/>
  <c r="L396"/>
  <c r="K108" i="9"/>
  <c r="K33" i="15"/>
  <c r="H140" i="28"/>
  <c r="J144" i="5"/>
  <c r="F29" i="16" s="1"/>
  <c r="G20" i="24"/>
  <c r="G21" i="19"/>
  <c r="Q158" i="5"/>
  <c r="M97" i="15"/>
  <c r="M62"/>
  <c r="M63" s="1"/>
  <c r="M55"/>
  <c r="M56" s="1"/>
  <c r="M66"/>
  <c r="M67" s="1"/>
  <c r="M83"/>
  <c r="N83"/>
  <c r="N66"/>
  <c r="C28" i="23"/>
  <c r="H49" i="9"/>
  <c r="C30" i="23"/>
  <c r="H50" i="9"/>
  <c r="C34" i="23"/>
  <c r="H52" i="9"/>
  <c r="C38" i="23"/>
  <c r="H54" i="9"/>
  <c r="E65" i="23"/>
  <c r="J67" i="9" s="1"/>
  <c r="E61" i="23"/>
  <c r="J65" i="9" s="1"/>
  <c r="E67" i="23"/>
  <c r="J68" i="9" s="1"/>
  <c r="J66"/>
  <c r="J51"/>
  <c r="J53"/>
  <c r="E67" i="25"/>
  <c r="D35" i="23"/>
  <c r="E36" s="1"/>
  <c r="D33"/>
  <c r="D31"/>
  <c r="E32" s="1"/>
  <c r="D29"/>
  <c r="D26"/>
  <c r="D27"/>
  <c r="J19" i="29"/>
  <c r="K201" i="10"/>
  <c r="H34" i="28"/>
  <c r="J38" i="5"/>
  <c r="I23" i="27"/>
  <c r="I397" s="1"/>
  <c r="G58" i="5"/>
  <c r="R57" i="9"/>
  <c r="L25" i="27"/>
  <c r="H55" i="28"/>
  <c r="J59" i="5"/>
  <c r="K64" i="26" s="1"/>
  <c r="I55" i="28"/>
  <c r="K27" i="27"/>
  <c r="G56" i="28"/>
  <c r="I60" i="5"/>
  <c r="J65" i="26" s="1"/>
  <c r="J29" i="27"/>
  <c r="F57" i="28"/>
  <c r="H61" i="5"/>
  <c r="I66" i="26" s="1"/>
  <c r="I31" i="27"/>
  <c r="I405" s="1"/>
  <c r="G62" i="5"/>
  <c r="R61" i="9"/>
  <c r="O94" i="15"/>
  <c r="O84"/>
  <c r="O79"/>
  <c r="O74"/>
  <c r="N41"/>
  <c r="N28"/>
  <c r="N75"/>
  <c r="Q459" i="27"/>
  <c r="Q460" s="1"/>
  <c r="Q383"/>
  <c r="Q384" s="1"/>
  <c r="M97" i="14"/>
  <c r="N93"/>
  <c r="P80" i="15"/>
  <c r="R200" i="10"/>
  <c r="K59" i="27"/>
  <c r="J61"/>
  <c r="E28" i="15"/>
  <c r="E32" s="1"/>
  <c r="K283" i="27"/>
  <c r="I54" i="14"/>
  <c r="O93"/>
  <c r="E34" i="10"/>
  <c r="L54" i="27"/>
  <c r="J46" i="14"/>
  <c r="H52" i="34"/>
  <c r="M399" i="27"/>
  <c r="M403"/>
  <c r="M407"/>
  <c r="L61"/>
  <c r="P65" i="14"/>
  <c r="R488" i="27"/>
  <c r="O186" i="10"/>
  <c r="E40"/>
  <c r="R221"/>
  <c r="R245"/>
  <c r="N296"/>
  <c r="K193"/>
  <c r="K225"/>
  <c r="K177"/>
  <c r="R227"/>
  <c r="R231"/>
  <c r="R239"/>
  <c r="P384" i="27"/>
  <c r="C57" i="23"/>
  <c r="O102" i="14"/>
  <c r="P101"/>
  <c r="P102" s="1"/>
  <c r="L98"/>
  <c r="L89"/>
  <c r="L116"/>
  <c r="L53"/>
  <c r="L54" s="1"/>
  <c r="N115"/>
  <c r="L283" i="27"/>
  <c r="L251"/>
  <c r="L252" s="1"/>
  <c r="N10" i="25"/>
  <c r="N33"/>
  <c r="O85"/>
  <c r="F57" i="23"/>
  <c r="K63" i="9"/>
  <c r="M411" i="27"/>
  <c r="L109" i="9"/>
  <c r="M413" i="27"/>
  <c r="L111" i="9"/>
  <c r="M415" i="27"/>
  <c r="L113" i="9"/>
  <c r="J416" i="27"/>
  <c r="I114" i="9"/>
  <c r="L416" i="27"/>
  <c r="K114" i="9"/>
  <c r="H33" i="15"/>
  <c r="G144" i="5"/>
  <c r="C29" i="16" s="1"/>
  <c r="B13" i="12"/>
  <c r="G30" i="16"/>
  <c r="Q145" i="5"/>
  <c r="L33" i="15"/>
  <c r="L34" s="1"/>
  <c r="I140" i="28"/>
  <c r="R143" i="9"/>
  <c r="K144" i="5"/>
  <c r="F13" i="12"/>
  <c r="L49" i="15"/>
  <c r="L36"/>
  <c r="H34" i="6"/>
  <c r="K82" i="14"/>
  <c r="J82"/>
  <c r="J14"/>
  <c r="J85" i="9"/>
  <c r="E93" i="23" s="1"/>
  <c r="J116" i="9"/>
  <c r="L249" i="10"/>
  <c r="L250" s="1"/>
  <c r="I37" i="28"/>
  <c r="R40" i="9"/>
  <c r="R249" i="10" s="1"/>
  <c r="K41" i="5"/>
  <c r="Q41" s="1"/>
  <c r="J37" i="27"/>
  <c r="J310" s="1"/>
  <c r="F61" i="28"/>
  <c r="H65" i="5"/>
  <c r="G61" i="28"/>
  <c r="I36" i="15"/>
  <c r="I49"/>
  <c r="I50" s="1"/>
  <c r="H150" i="28"/>
  <c r="J25" i="14"/>
  <c r="J154" i="5"/>
  <c r="E2" i="12"/>
  <c r="D2" i="17"/>
  <c r="E14"/>
  <c r="K140" i="9" s="1"/>
  <c r="I137" i="28" s="1"/>
  <c r="E3" i="17"/>
  <c r="K135" i="9"/>
  <c r="Q105" i="27"/>
  <c r="Q107"/>
  <c r="Q109"/>
  <c r="M252"/>
  <c r="M75" i="15"/>
  <c r="M41"/>
  <c r="M28"/>
  <c r="M29" s="1"/>
  <c r="M64"/>
  <c r="M65" s="1"/>
  <c r="M95"/>
  <c r="R385" i="27"/>
  <c r="R386" s="1"/>
  <c r="J177" i="10"/>
  <c r="M176"/>
  <c r="M177" s="1"/>
  <c r="M160"/>
  <c r="M161" s="1"/>
  <c r="M154" s="1"/>
  <c r="M297"/>
  <c r="M240"/>
  <c r="M241" s="1"/>
  <c r="M224"/>
  <c r="M225" s="1"/>
  <c r="M208"/>
  <c r="M209" s="1"/>
  <c r="M202" s="1"/>
  <c r="M192"/>
  <c r="M193" s="1"/>
  <c r="M59"/>
  <c r="M60" s="1"/>
  <c r="N22" i="25"/>
  <c r="F35" i="23"/>
  <c r="G35" s="1"/>
  <c r="F33"/>
  <c r="G33" s="1"/>
  <c r="F31"/>
  <c r="G31" s="1"/>
  <c r="F29"/>
  <c r="G29" s="1"/>
  <c r="F26"/>
  <c r="F27"/>
  <c r="G27" s="1"/>
  <c r="F54" i="28"/>
  <c r="J23" i="27"/>
  <c r="H58" i="5"/>
  <c r="I63" i="26" s="1"/>
  <c r="I25" i="27"/>
  <c r="I399" s="1"/>
  <c r="G59" i="5"/>
  <c r="R58" i="9"/>
  <c r="H56" i="28"/>
  <c r="L27" i="27"/>
  <c r="J60" i="5"/>
  <c r="K65" i="26" s="1"/>
  <c r="I56" i="28"/>
  <c r="G57"/>
  <c r="K29" i="27"/>
  <c r="I61" i="5"/>
  <c r="J66" i="26" s="1"/>
  <c r="F58" i="28"/>
  <c r="J31" i="27"/>
  <c r="H62" i="5"/>
  <c r="I67" i="26" s="1"/>
  <c r="I33" i="27"/>
  <c r="G63" i="5"/>
  <c r="F59" i="28"/>
  <c r="R62" i="9"/>
  <c r="K23" i="27"/>
  <c r="G54" i="28"/>
  <c r="I58" i="5"/>
  <c r="J63" i="26" s="1"/>
  <c r="J25" i="27"/>
  <c r="F55" i="28"/>
  <c r="H59" i="5"/>
  <c r="I64" i="26" s="1"/>
  <c r="I27" i="27"/>
  <c r="I401" s="1"/>
  <c r="G60" i="5"/>
  <c r="R59" i="9"/>
  <c r="L29" i="27"/>
  <c r="H57" i="28"/>
  <c r="J61" i="5"/>
  <c r="K66" i="26" s="1"/>
  <c r="I57" i="28"/>
  <c r="K31" i="27"/>
  <c r="G58" i="28"/>
  <c r="I62" i="5"/>
  <c r="J67" i="26" s="1"/>
  <c r="R15" i="25"/>
  <c r="E11" s="1"/>
  <c r="K396" i="27"/>
  <c r="J108" i="9"/>
  <c r="L186" i="10"/>
  <c r="M185"/>
  <c r="P186" s="1"/>
  <c r="H259"/>
  <c r="H257"/>
  <c r="J33" i="15"/>
  <c r="J34" s="1"/>
  <c r="G140" i="28"/>
  <c r="I144" i="5"/>
  <c r="E29" i="16" s="1"/>
  <c r="D13" i="12"/>
  <c r="J49" i="15"/>
  <c r="J36"/>
  <c r="R42"/>
  <c r="J34" i="6"/>
  <c r="E35"/>
  <c r="I90" i="14"/>
  <c r="H90"/>
  <c r="H42"/>
  <c r="J491" i="27"/>
  <c r="J423"/>
  <c r="H68" i="14"/>
  <c r="H162" i="5"/>
  <c r="D34" i="19" s="1"/>
  <c r="C8" i="12"/>
  <c r="I38" i="15"/>
  <c r="R38"/>
  <c r="L37" i="27"/>
  <c r="L310" s="1"/>
  <c r="H61" i="28"/>
  <c r="J65" i="5"/>
  <c r="K36" i="15"/>
  <c r="K49"/>
  <c r="F150" i="28"/>
  <c r="H25" i="14"/>
  <c r="H154" i="5"/>
  <c r="C2" i="12"/>
  <c r="C20" i="24"/>
  <c r="C21" i="19"/>
  <c r="K46" i="14"/>
  <c r="Q45"/>
  <c r="F35" i="6"/>
  <c r="K34"/>
  <c r="P108" i="14"/>
  <c r="Q104" i="27"/>
  <c r="Q106"/>
  <c r="Q108"/>
  <c r="Q110"/>
  <c r="N97" i="15"/>
  <c r="N62"/>
  <c r="N63" s="1"/>
  <c r="N55"/>
  <c r="N56" s="1"/>
  <c r="P86" i="27"/>
  <c r="Q80"/>
  <c r="N421"/>
  <c r="N422" s="1"/>
  <c r="C70" i="23"/>
  <c r="C65"/>
  <c r="C66" s="1"/>
  <c r="C61"/>
  <c r="C62" s="1"/>
  <c r="C72"/>
  <c r="C67"/>
  <c r="C68" s="1"/>
  <c r="H66" i="9"/>
  <c r="R66" s="1"/>
  <c r="C60" i="23"/>
  <c r="C32"/>
  <c r="H51" i="9"/>
  <c r="C36" i="23"/>
  <c r="H53" i="9"/>
  <c r="E28" i="23"/>
  <c r="J49" i="9"/>
  <c r="E30" i="23"/>
  <c r="J50" i="9"/>
  <c r="E34" i="23"/>
  <c r="J52" i="9"/>
  <c r="E38" i="23"/>
  <c r="J54" i="9"/>
  <c r="L25" i="25"/>
  <c r="L26" s="1"/>
  <c r="R129" i="9"/>
  <c r="K130" i="5"/>
  <c r="H54" i="28"/>
  <c r="L23" i="27"/>
  <c r="J58" i="5"/>
  <c r="K63" i="26" s="1"/>
  <c r="I54" i="28"/>
  <c r="G55"/>
  <c r="K25" i="27"/>
  <c r="I59" i="5"/>
  <c r="J64" i="26" s="1"/>
  <c r="F56" i="28"/>
  <c r="J27" i="27"/>
  <c r="H60" i="5"/>
  <c r="I65" i="26" s="1"/>
  <c r="I29" i="27"/>
  <c r="I403" s="1"/>
  <c r="G61" i="5"/>
  <c r="R60" i="9"/>
  <c r="H58" i="28"/>
  <c r="L31" i="27"/>
  <c r="J62" i="5"/>
  <c r="K67" i="26" s="1"/>
  <c r="I58" i="28"/>
  <c r="G59"/>
  <c r="K33" i="27"/>
  <c r="I63" i="5"/>
  <c r="J68" i="26" s="1"/>
  <c r="H59" i="28"/>
  <c r="N95" i="15"/>
  <c r="N64"/>
  <c r="N65" s="1"/>
  <c r="N68"/>
  <c r="N69" s="1"/>
  <c r="N85"/>
  <c r="I35" i="27"/>
  <c r="I409" s="1"/>
  <c r="G64" i="5"/>
  <c r="H69" i="26" s="1"/>
  <c r="J74" i="10"/>
  <c r="I74"/>
  <c r="K54" i="27"/>
  <c r="K250" i="10"/>
  <c r="I46" i="14"/>
  <c r="I39"/>
  <c r="F3" i="17"/>
  <c r="K252" i="27"/>
  <c r="R225" i="10"/>
  <c r="P85" i="25"/>
  <c r="O115" i="14"/>
  <c r="Q60"/>
  <c r="O488" i="27"/>
  <c r="O489" s="1"/>
  <c r="J257" i="10"/>
  <c r="J259"/>
  <c r="M59" i="27"/>
  <c r="N59" s="1"/>
  <c r="O59" s="1"/>
  <c r="P59" s="1"/>
  <c r="Q153" i="5"/>
  <c r="J39" i="14"/>
  <c r="I261" i="10"/>
  <c r="K257"/>
  <c r="K261" s="1"/>
  <c r="K38" i="15"/>
  <c r="I250" i="10"/>
  <c r="L63" i="27"/>
  <c r="K39" i="14"/>
  <c r="P93"/>
  <c r="Q80" i="15"/>
  <c r="Q288" i="10"/>
  <c r="C39" i="23"/>
  <c r="E65" i="25"/>
  <c r="R223" i="10"/>
  <c r="R247"/>
  <c r="Q78" i="15"/>
  <c r="K60" i="10"/>
  <c r="K209"/>
  <c r="K241"/>
  <c r="R241" s="1"/>
  <c r="K161"/>
  <c r="N97" i="14"/>
  <c r="C13" i="12"/>
  <c r="R163" i="10"/>
  <c r="P460" i="27"/>
  <c r="B35" i="6" l="1"/>
  <c r="K50" i="15"/>
  <c r="J82" i="4"/>
  <c r="J83" s="1"/>
  <c r="L32" i="9"/>
  <c r="N81" i="32"/>
  <c r="H142" i="10"/>
  <c r="H148" s="1"/>
  <c r="G32" i="5"/>
  <c r="G79" i="4"/>
  <c r="I8" i="28"/>
  <c r="L6" i="9"/>
  <c r="L27" i="10"/>
  <c r="L28" s="1"/>
  <c r="R11" i="9"/>
  <c r="R27" i="10" s="1"/>
  <c r="K12" i="5"/>
  <c r="Q12" s="1"/>
  <c r="M504" i="27"/>
  <c r="M505" s="1"/>
  <c r="R16" i="9"/>
  <c r="R53" i="10" s="1"/>
  <c r="K17" i="5"/>
  <c r="Q17" s="1"/>
  <c r="L53" i="10"/>
  <c r="I13" i="28"/>
  <c r="L44" i="10"/>
  <c r="L45"/>
  <c r="L30" i="9"/>
  <c r="K78" i="4" s="1"/>
  <c r="K81" i="32"/>
  <c r="L81"/>
  <c r="J31" i="9"/>
  <c r="G31" i="5"/>
  <c r="B23" i="6"/>
  <c r="B25" s="1"/>
  <c r="G78" i="4"/>
  <c r="G82" s="1"/>
  <c r="G83" s="1"/>
  <c r="H181" i="9" s="1"/>
  <c r="H140" i="10"/>
  <c r="H146" s="1"/>
  <c r="K146"/>
  <c r="K80" i="4"/>
  <c r="E42" i="10"/>
  <c r="F28" i="28"/>
  <c r="F27"/>
  <c r="I26" i="34"/>
  <c r="L31" i="9"/>
  <c r="M484" i="27"/>
  <c r="M499"/>
  <c r="H97" i="23"/>
  <c r="K150" i="10"/>
  <c r="J30" i="9"/>
  <c r="I148" i="10"/>
  <c r="I143"/>
  <c r="K148"/>
  <c r="H33" i="5"/>
  <c r="I144" i="10"/>
  <c r="H80" i="4"/>
  <c r="H82" s="1"/>
  <c r="H83" s="1"/>
  <c r="I181" i="9" s="1"/>
  <c r="F29" i="28"/>
  <c r="I141" i="10"/>
  <c r="I146"/>
  <c r="K79" i="4"/>
  <c r="L19" i="34"/>
  <c r="L13" s="1"/>
  <c r="J19"/>
  <c r="J14" s="1"/>
  <c r="H12"/>
  <c r="G23" i="9" s="1"/>
  <c r="H16" i="34"/>
  <c r="G27" i="9" s="1"/>
  <c r="H14" i="34"/>
  <c r="G25" i="9" s="1"/>
  <c r="K19" i="34"/>
  <c r="K14" s="1"/>
  <c r="I19"/>
  <c r="I7" i="20"/>
  <c r="G65" i="4"/>
  <c r="H178" i="9" s="1"/>
  <c r="F22" i="4"/>
  <c r="G164" i="9"/>
  <c r="G21" i="4"/>
  <c r="F32" i="17"/>
  <c r="L138" i="9" s="1"/>
  <c r="K138"/>
  <c r="K7" i="20"/>
  <c r="I65" i="4"/>
  <c r="J178" i="9" s="1"/>
  <c r="R475" i="27"/>
  <c r="R9" i="20"/>
  <c r="R10" s="1"/>
  <c r="I139" i="5"/>
  <c r="J12" i="15"/>
  <c r="J13" s="1"/>
  <c r="G135" i="28"/>
  <c r="J22" i="4"/>
  <c r="K164" i="9"/>
  <c r="J21" i="4"/>
  <c r="Q10" i="20"/>
  <c r="G72" i="23"/>
  <c r="T71"/>
  <c r="U71" s="1"/>
  <c r="V71" s="1"/>
  <c r="W71" s="1"/>
  <c r="X71" s="1"/>
  <c r="Y71" s="1"/>
  <c r="H121" i="9"/>
  <c r="G122" i="5" s="1"/>
  <c r="H121" i="26" s="1"/>
  <c r="I444" i="27"/>
  <c r="P9" i="25"/>
  <c r="P86"/>
  <c r="B99" i="23"/>
  <c r="G88" i="9" s="1"/>
  <c r="H322" i="27" s="1"/>
  <c r="H334" s="1"/>
  <c r="B97" i="23"/>
  <c r="G87" i="9" s="1"/>
  <c r="H320" i="27" s="1"/>
  <c r="H332" s="1"/>
  <c r="B101" i="23"/>
  <c r="G89" i="9" s="1"/>
  <c r="H324" i="27" s="1"/>
  <c r="H336" s="1"/>
  <c r="B95" i="23"/>
  <c r="G86" i="9" s="1"/>
  <c r="H318" i="27" s="1"/>
  <c r="H330" s="1"/>
  <c r="B103" i="23"/>
  <c r="G90" i="9" s="1"/>
  <c r="H326" i="27" s="1"/>
  <c r="H338" s="1"/>
  <c r="E71" i="25"/>
  <c r="M64"/>
  <c r="M63" s="1"/>
  <c r="E101" i="23"/>
  <c r="E103"/>
  <c r="E95"/>
  <c r="E97"/>
  <c r="E99"/>
  <c r="O86" i="25"/>
  <c r="O9"/>
  <c r="M39" i="27"/>
  <c r="K66" i="5"/>
  <c r="G28" i="23"/>
  <c r="L49" i="9"/>
  <c r="G30" i="23"/>
  <c r="L50" i="9"/>
  <c r="G34" i="23"/>
  <c r="L52" i="9"/>
  <c r="K308" i="27"/>
  <c r="K341"/>
  <c r="J92" i="9" s="1"/>
  <c r="K314" i="27"/>
  <c r="K357"/>
  <c r="K302"/>
  <c r="G38" i="23"/>
  <c r="L54" i="9"/>
  <c r="G32" i="23"/>
  <c r="L51" i="9"/>
  <c r="L53"/>
  <c r="G36" i="23"/>
  <c r="J154" i="26"/>
  <c r="I308" i="27"/>
  <c r="H81" i="9" s="1"/>
  <c r="G82" i="5" s="1"/>
  <c r="H148" i="26" s="1"/>
  <c r="I314" i="27"/>
  <c r="H84" i="9" s="1"/>
  <c r="G85" i="5" s="1"/>
  <c r="I357" i="27"/>
  <c r="I358" s="1"/>
  <c r="I302"/>
  <c r="H78" i="9" s="1"/>
  <c r="G79" i="5" s="1"/>
  <c r="H142" i="26" s="1"/>
  <c r="H49" i="5"/>
  <c r="J5" i="27"/>
  <c r="F45" i="28"/>
  <c r="J49" i="5"/>
  <c r="L5" i="27"/>
  <c r="H45" i="28"/>
  <c r="L48" i="9"/>
  <c r="G26" i="23"/>
  <c r="G39"/>
  <c r="L73" i="9"/>
  <c r="I70" i="28" s="1"/>
  <c r="G9" i="23"/>
  <c r="G73"/>
  <c r="G89"/>
  <c r="L70" i="9"/>
  <c r="L69"/>
  <c r="L67"/>
  <c r="J71" i="5"/>
  <c r="G90" i="23"/>
  <c r="K22" i="25"/>
  <c r="L19"/>
  <c r="K19"/>
  <c r="I19"/>
  <c r="I22"/>
  <c r="J19"/>
  <c r="I68" i="5"/>
  <c r="J101" i="26" s="1"/>
  <c r="K43" i="27"/>
  <c r="K41"/>
  <c r="I67" i="5"/>
  <c r="J100" i="26" s="1"/>
  <c r="G51" i="9"/>
  <c r="H11" i="27" s="1"/>
  <c r="G50" i="9"/>
  <c r="H9" i="27" s="1"/>
  <c r="G54" i="9"/>
  <c r="H67"/>
  <c r="R67" s="1"/>
  <c r="G49"/>
  <c r="H7" i="27" s="1"/>
  <c r="B39" i="23"/>
  <c r="G53" i="9"/>
  <c r="H15" i="27" s="1"/>
  <c r="H367" s="1"/>
  <c r="H377" s="1"/>
  <c r="G52" i="9"/>
  <c r="H13" i="27" s="1"/>
  <c r="H68" i="9"/>
  <c r="R68" s="1"/>
  <c r="H65"/>
  <c r="R70"/>
  <c r="Q421" i="27"/>
  <c r="Q422" s="1"/>
  <c r="R489"/>
  <c r="P489"/>
  <c r="Q154" i="5"/>
  <c r="G123" i="9"/>
  <c r="H455" i="27"/>
  <c r="K439"/>
  <c r="G68" i="5"/>
  <c r="H101" i="26" s="1"/>
  <c r="I43" i="27"/>
  <c r="I439" s="1"/>
  <c r="I41"/>
  <c r="I437" s="1"/>
  <c r="G67" i="5"/>
  <c r="H100" i="26" s="1"/>
  <c r="G105" i="9"/>
  <c r="L63" i="10"/>
  <c r="L70"/>
  <c r="M70" s="1"/>
  <c r="N70" s="1"/>
  <c r="O70" s="1"/>
  <c r="P70" s="1"/>
  <c r="Q70" s="1"/>
  <c r="L72"/>
  <c r="K45" i="27"/>
  <c r="I69" i="5"/>
  <c r="J102" i="26" s="1"/>
  <c r="I49" i="27"/>
  <c r="I445" s="1"/>
  <c r="H122" i="9" s="1"/>
  <c r="G71" i="5"/>
  <c r="H104" i="26" s="1"/>
  <c r="I45" i="27"/>
  <c r="I441" s="1"/>
  <c r="G69" i="5"/>
  <c r="H102" i="26" s="1"/>
  <c r="L47" i="27"/>
  <c r="H66" i="28"/>
  <c r="J70" i="5"/>
  <c r="L445" i="27"/>
  <c r="K122" i="9" s="1"/>
  <c r="L50" i="27"/>
  <c r="G121" i="9"/>
  <c r="H453" i="27"/>
  <c r="E91" i="23"/>
  <c r="J443" i="27"/>
  <c r="J48"/>
  <c r="J445"/>
  <c r="I122" i="9" s="1"/>
  <c r="I66" i="5"/>
  <c r="J99" i="26" s="1"/>
  <c r="K39" i="27"/>
  <c r="K437"/>
  <c r="G66" i="28"/>
  <c r="I70" i="5"/>
  <c r="J103" i="26" s="1"/>
  <c r="K47" i="27"/>
  <c r="K50"/>
  <c r="K445"/>
  <c r="J122" i="9" s="1"/>
  <c r="Q38" i="14"/>
  <c r="H351" i="27"/>
  <c r="G97" i="9" s="1"/>
  <c r="F91" i="23"/>
  <c r="D91"/>
  <c r="C91"/>
  <c r="H85" i="9"/>
  <c r="C93" i="23" s="1"/>
  <c r="I312" i="27"/>
  <c r="H83" i="9" s="1"/>
  <c r="G84" i="5" s="1"/>
  <c r="H82" i="9"/>
  <c r="G83" i="5" s="1"/>
  <c r="I306" i="27"/>
  <c r="H80" i="9" s="1"/>
  <c r="H116"/>
  <c r="I451" i="27"/>
  <c r="I452"/>
  <c r="I450"/>
  <c r="I454"/>
  <c r="I453"/>
  <c r="R248" i="10"/>
  <c r="H261"/>
  <c r="F50"/>
  <c r="F52" s="1"/>
  <c r="M39" i="9"/>
  <c r="N233" i="10"/>
  <c r="O234" s="1"/>
  <c r="M36" i="9"/>
  <c r="N98" i="14"/>
  <c r="N89"/>
  <c r="Q82" i="15"/>
  <c r="Q81"/>
  <c r="Q96"/>
  <c r="O116" i="14"/>
  <c r="O53"/>
  <c r="P33" i="25"/>
  <c r="K407" i="27"/>
  <c r="K34"/>
  <c r="L34"/>
  <c r="L405"/>
  <c r="L32"/>
  <c r="M32"/>
  <c r="I414"/>
  <c r="H112" i="9"/>
  <c r="G113" i="5" s="1"/>
  <c r="H84" i="26" s="1"/>
  <c r="J401" i="27"/>
  <c r="J28"/>
  <c r="L28" i="25"/>
  <c r="R38" s="1"/>
  <c r="R130" i="9"/>
  <c r="K131" i="5"/>
  <c r="Q131" s="1"/>
  <c r="H26" i="14"/>
  <c r="H23"/>
  <c r="K154" i="26"/>
  <c r="K103"/>
  <c r="K104"/>
  <c r="L433" i="27"/>
  <c r="L316"/>
  <c r="L304"/>
  <c r="L38"/>
  <c r="L341"/>
  <c r="J35" i="6"/>
  <c r="R50" i="15"/>
  <c r="J50"/>
  <c r="M417" i="27"/>
  <c r="L115" i="9"/>
  <c r="I413" i="27"/>
  <c r="H111" i="9"/>
  <c r="G112" i="5" s="1"/>
  <c r="H83" i="26" s="1"/>
  <c r="K397" i="27"/>
  <c r="K24"/>
  <c r="H68" i="26"/>
  <c r="Q63" i="5"/>
  <c r="K403" i="27"/>
  <c r="K30"/>
  <c r="L401"/>
  <c r="L28"/>
  <c r="M28"/>
  <c r="I412"/>
  <c r="H110" i="9"/>
  <c r="G111" i="5" s="1"/>
  <c r="H82" i="26" s="1"/>
  <c r="J397" i="27"/>
  <c r="J24"/>
  <c r="F28" i="23"/>
  <c r="K49" i="9"/>
  <c r="F30" i="23"/>
  <c r="K50" i="9"/>
  <c r="F34" i="23"/>
  <c r="K52" i="9"/>
  <c r="F38" i="23"/>
  <c r="K54" i="9"/>
  <c r="F72" i="23"/>
  <c r="F67"/>
  <c r="G68" s="1"/>
  <c r="K66" i="9"/>
  <c r="F60" i="23"/>
  <c r="F70"/>
  <c r="F65"/>
  <c r="G66" s="1"/>
  <c r="F61"/>
  <c r="G62" s="1"/>
  <c r="O22" i="25"/>
  <c r="M42" i="15"/>
  <c r="M53"/>
  <c r="M54" s="1"/>
  <c r="R109" i="27"/>
  <c r="R107"/>
  <c r="R105"/>
  <c r="D14" i="17"/>
  <c r="J140" i="9" s="1"/>
  <c r="C2" i="17"/>
  <c r="J135" i="9"/>
  <c r="J26" i="14"/>
  <c r="J23"/>
  <c r="I154" i="26"/>
  <c r="I103"/>
  <c r="I104"/>
  <c r="J433" i="27"/>
  <c r="J316"/>
  <c r="J304"/>
  <c r="J38"/>
  <c r="K38"/>
  <c r="J341"/>
  <c r="L253" i="10"/>
  <c r="I39" i="28"/>
  <c r="R42" i="9"/>
  <c r="R253" i="10" s="1"/>
  <c r="K43" i="5"/>
  <c r="Q43" s="1"/>
  <c r="I117"/>
  <c r="J116" i="26" s="1"/>
  <c r="I86" i="5"/>
  <c r="J115"/>
  <c r="K86" i="26" s="1"/>
  <c r="K114" i="5"/>
  <c r="K110"/>
  <c r="I93"/>
  <c r="N34" i="25"/>
  <c r="N50"/>
  <c r="N51" s="1"/>
  <c r="N116" i="14"/>
  <c r="N53"/>
  <c r="N54" s="1"/>
  <c r="L90"/>
  <c r="L42"/>
  <c r="L43" s="1"/>
  <c r="N297" i="10"/>
  <c r="N240"/>
  <c r="N241" s="1"/>
  <c r="N224"/>
  <c r="N225" s="1"/>
  <c r="N208"/>
  <c r="N209" s="1"/>
  <c r="N192"/>
  <c r="N193" s="1"/>
  <c r="N186" s="1"/>
  <c r="N185" s="1"/>
  <c r="N176"/>
  <c r="N177" s="1"/>
  <c r="N160"/>
  <c r="N161" s="1"/>
  <c r="N59"/>
  <c r="N60" s="1"/>
  <c r="R421" i="27"/>
  <c r="R422" s="1"/>
  <c r="M414"/>
  <c r="L112" i="9"/>
  <c r="O94" i="14"/>
  <c r="O91"/>
  <c r="O62"/>
  <c r="O31"/>
  <c r="L485" i="27"/>
  <c r="L461"/>
  <c r="L462" s="1"/>
  <c r="P96" i="15"/>
  <c r="P82"/>
  <c r="P81"/>
  <c r="M98" i="14"/>
  <c r="M89"/>
  <c r="N53" i="15"/>
  <c r="N54" s="1"/>
  <c r="N42"/>
  <c r="O64"/>
  <c r="O65" s="1"/>
  <c r="O95"/>
  <c r="I415" i="27"/>
  <c r="H113" i="9"/>
  <c r="G114" i="5" s="1"/>
  <c r="H85" i="26" s="1"/>
  <c r="K401" i="27"/>
  <c r="K28"/>
  <c r="L399"/>
  <c r="L26"/>
  <c r="M26"/>
  <c r="H63" i="26"/>
  <c r="Q58" i="5"/>
  <c r="K202" i="10"/>
  <c r="R213"/>
  <c r="D28" i="23"/>
  <c r="I49" i="9"/>
  <c r="D30" i="23"/>
  <c r="I50" i="9"/>
  <c r="D34" i="23"/>
  <c r="I52" i="9"/>
  <c r="D38" i="23"/>
  <c r="I54" i="9"/>
  <c r="D72" i="23"/>
  <c r="D67"/>
  <c r="I66" i="9"/>
  <c r="F63" i="28" s="1"/>
  <c r="D60" i="23"/>
  <c r="D70"/>
  <c r="D65"/>
  <c r="D61"/>
  <c r="H105" i="28"/>
  <c r="J109" i="5"/>
  <c r="K80" i="26" s="1"/>
  <c r="H73" i="14"/>
  <c r="Q14"/>
  <c r="H15"/>
  <c r="I15"/>
  <c r="Q25"/>
  <c r="K26"/>
  <c r="K23"/>
  <c r="G23"/>
  <c r="Q27"/>
  <c r="M38" i="9"/>
  <c r="N217" i="10"/>
  <c r="O218" s="1"/>
  <c r="R138"/>
  <c r="L139"/>
  <c r="M491" i="27"/>
  <c r="M423"/>
  <c r="M424" s="1"/>
  <c r="N114" i="14"/>
  <c r="N51"/>
  <c r="N52" s="1"/>
  <c r="O113"/>
  <c r="L202" i="10"/>
  <c r="M201"/>
  <c r="E48" i="25"/>
  <c r="E54"/>
  <c r="E52"/>
  <c r="U9" i="20"/>
  <c r="P95" i="15"/>
  <c r="P64"/>
  <c r="P65" s="1"/>
  <c r="L60"/>
  <c r="F15" i="12"/>
  <c r="K148" i="5"/>
  <c r="M441" i="27"/>
  <c r="M437"/>
  <c r="I83" i="5"/>
  <c r="J149" i="26" s="1"/>
  <c r="I80" i="5"/>
  <c r="J143" i="26" s="1"/>
  <c r="J43" i="14"/>
  <c r="K43"/>
  <c r="O97" i="15"/>
  <c r="O62"/>
  <c r="O63" s="1"/>
  <c r="O55"/>
  <c r="O56" s="1"/>
  <c r="O66"/>
  <c r="O67" s="1"/>
  <c r="O83"/>
  <c r="J70" i="14"/>
  <c r="J163" i="5"/>
  <c r="F35" i="19" s="1"/>
  <c r="C73" i="23"/>
  <c r="C74" s="1"/>
  <c r="R232" i="10"/>
  <c r="E72" i="23"/>
  <c r="E66"/>
  <c r="E73"/>
  <c r="J71" i="9" s="1"/>
  <c r="R460" i="27"/>
  <c r="I34" i="15"/>
  <c r="L424" i="27"/>
  <c r="O97" i="14"/>
  <c r="C40" i="23"/>
  <c r="H55" i="9"/>
  <c r="Q94" i="15"/>
  <c r="Q84"/>
  <c r="Q79"/>
  <c r="Q74"/>
  <c r="Q289" i="10"/>
  <c r="Q238"/>
  <c r="Q239" s="1"/>
  <c r="Q222"/>
  <c r="Q223" s="1"/>
  <c r="Q206"/>
  <c r="Q207" s="1"/>
  <c r="Q190"/>
  <c r="Q191" s="1"/>
  <c r="Q174"/>
  <c r="Q175" s="1"/>
  <c r="Q158"/>
  <c r="Q159" s="1"/>
  <c r="Q57"/>
  <c r="Q58" s="1"/>
  <c r="Q34"/>
  <c r="Q35" s="1"/>
  <c r="P94" i="14"/>
  <c r="P91"/>
  <c r="P92" s="1"/>
  <c r="P62"/>
  <c r="P63" s="1"/>
  <c r="P31"/>
  <c r="P32" s="1"/>
  <c r="M61" i="27"/>
  <c r="O421"/>
  <c r="O422" s="1"/>
  <c r="Q66" i="14"/>
  <c r="D60" s="1"/>
  <c r="I417" i="27"/>
  <c r="H115" i="9"/>
  <c r="G116" i="5" s="1"/>
  <c r="H87" i="26" s="1"/>
  <c r="H66"/>
  <c r="Q61" i="5"/>
  <c r="K399" i="27"/>
  <c r="K26"/>
  <c r="L397"/>
  <c r="L24"/>
  <c r="M24"/>
  <c r="G2" i="18"/>
  <c r="Q130" i="5"/>
  <c r="K17" i="27"/>
  <c r="G51" i="28"/>
  <c r="I55" i="5"/>
  <c r="J10" i="26" s="1"/>
  <c r="K13" i="27"/>
  <c r="G49" i="28"/>
  <c r="I53" i="5"/>
  <c r="J8" i="26" s="1"/>
  <c r="K9" i="27"/>
  <c r="G47" i="28"/>
  <c r="I51" i="5"/>
  <c r="J6" i="26" s="1"/>
  <c r="G46" i="28"/>
  <c r="K7" i="27"/>
  <c r="I50" i="5"/>
  <c r="J5" i="26" s="1"/>
  <c r="I15" i="27"/>
  <c r="G54" i="5"/>
  <c r="R53" i="9"/>
  <c r="I11" i="27"/>
  <c r="G52" i="5"/>
  <c r="R51" i="9"/>
  <c r="R80" i="27"/>
  <c r="R86" s="1"/>
  <c r="Q86"/>
  <c r="R110"/>
  <c r="R108"/>
  <c r="R106"/>
  <c r="R104"/>
  <c r="K35" i="6"/>
  <c r="H72" i="14"/>
  <c r="J424" i="27"/>
  <c r="Q42" i="14"/>
  <c r="H43"/>
  <c r="I43"/>
  <c r="G105" i="28"/>
  <c r="I109" i="5"/>
  <c r="J80" i="26" s="1"/>
  <c r="E13" i="25"/>
  <c r="E9"/>
  <c r="E7"/>
  <c r="K405" i="27"/>
  <c r="K32"/>
  <c r="L403"/>
  <c r="L30"/>
  <c r="M30"/>
  <c r="H65" i="26"/>
  <c r="Q60" i="5"/>
  <c r="J399" i="27"/>
  <c r="J26"/>
  <c r="I407"/>
  <c r="J34"/>
  <c r="J405"/>
  <c r="J32"/>
  <c r="H64" i="26"/>
  <c r="Q59" i="5"/>
  <c r="F32" i="23"/>
  <c r="K51" i="9"/>
  <c r="F36" i="23"/>
  <c r="K53" i="9"/>
  <c r="K4" i="15"/>
  <c r="H132" i="28"/>
  <c r="E29" i="17"/>
  <c r="J136" i="5"/>
  <c r="K147" i="9"/>
  <c r="K139"/>
  <c r="E12" i="12" s="1"/>
  <c r="F6" i="16"/>
  <c r="K16" i="15"/>
  <c r="H137" i="28"/>
  <c r="F16" i="16"/>
  <c r="J141" i="5"/>
  <c r="M435" i="27"/>
  <c r="L251" i="10"/>
  <c r="I38" i="28"/>
  <c r="R41" i="9"/>
  <c r="R251" i="10" s="1"/>
  <c r="K42" i="5"/>
  <c r="Q42" s="1"/>
  <c r="L255" i="10"/>
  <c r="L256" s="1"/>
  <c r="I40" i="28"/>
  <c r="R43" i="9"/>
  <c r="R255" i="10" s="1"/>
  <c r="K44" i="5"/>
  <c r="Q44" s="1"/>
  <c r="J15" i="14"/>
  <c r="K15"/>
  <c r="G29" i="16"/>
  <c r="Q144" i="5"/>
  <c r="H115"/>
  <c r="I86" i="26" s="1"/>
  <c r="R111" i="9"/>
  <c r="K112" i="5"/>
  <c r="L35" i="27"/>
  <c r="H60" i="28"/>
  <c r="J64" i="5"/>
  <c r="K69" i="26" s="1"/>
  <c r="I60" i="28"/>
  <c r="O33" i="25"/>
  <c r="O10"/>
  <c r="U13" i="20"/>
  <c r="M416" i="27"/>
  <c r="M408"/>
  <c r="L114" i="9"/>
  <c r="M412" i="27"/>
  <c r="M400"/>
  <c r="L110" i="9"/>
  <c r="N81" i="14"/>
  <c r="N94"/>
  <c r="N91"/>
  <c r="N92" s="1"/>
  <c r="N62"/>
  <c r="N63" s="1"/>
  <c r="N31"/>
  <c r="N32" s="1"/>
  <c r="O75" i="15"/>
  <c r="O41"/>
  <c r="O28"/>
  <c r="O29" s="1"/>
  <c r="O85"/>
  <c r="O68"/>
  <c r="O69" s="1"/>
  <c r="H67" i="26"/>
  <c r="Q62" i="5"/>
  <c r="J403" i="27"/>
  <c r="J30"/>
  <c r="I411"/>
  <c r="H109" i="9"/>
  <c r="G110" i="5" s="1"/>
  <c r="H81" i="26" s="1"/>
  <c r="D32" i="23"/>
  <c r="I51" i="9"/>
  <c r="G48" i="28" s="1"/>
  <c r="D36" i="23"/>
  <c r="I53" i="9"/>
  <c r="G50" i="28" s="1"/>
  <c r="K15" i="27"/>
  <c r="I54" i="5"/>
  <c r="K11" i="27"/>
  <c r="I52" i="5"/>
  <c r="J7" i="26" s="1"/>
  <c r="I17" i="27"/>
  <c r="G55" i="5"/>
  <c r="R54" i="9"/>
  <c r="I13" i="27"/>
  <c r="G53" i="5"/>
  <c r="R52" i="9"/>
  <c r="I9" i="27"/>
  <c r="G51" i="5"/>
  <c r="R50" i="9"/>
  <c r="I7" i="27"/>
  <c r="G50" i="5"/>
  <c r="R49" i="9"/>
  <c r="F105" i="28"/>
  <c r="H109" i="5"/>
  <c r="I80" i="26" s="1"/>
  <c r="M396" i="27"/>
  <c r="S422" s="1"/>
  <c r="L108" i="9"/>
  <c r="J35" i="27"/>
  <c r="F60" i="28"/>
  <c r="H64" i="5"/>
  <c r="I69" i="26" s="1"/>
  <c r="R211" i="10"/>
  <c r="R209"/>
  <c r="R205"/>
  <c r="I202"/>
  <c r="K29" i="25"/>
  <c r="R32"/>
  <c r="R36"/>
  <c r="P68" i="15"/>
  <c r="P85"/>
  <c r="L18"/>
  <c r="L17"/>
  <c r="G27" i="16"/>
  <c r="G26"/>
  <c r="I136" i="28"/>
  <c r="F11" i="12"/>
  <c r="K140" i="5"/>
  <c r="F31" i="17"/>
  <c r="L137" i="9" s="1"/>
  <c r="I35" i="6"/>
  <c r="Q69" i="5"/>
  <c r="Q67"/>
  <c r="I26" i="14"/>
  <c r="Q29" s="1"/>
  <c r="I23"/>
  <c r="Q31"/>
  <c r="G27" i="27"/>
  <c r="G43" s="1"/>
  <c r="G13"/>
  <c r="K35"/>
  <c r="G60" i="28"/>
  <c r="I64" i="5"/>
  <c r="J69" i="26" s="1"/>
  <c r="S281" i="27"/>
  <c r="E275" s="1"/>
  <c r="J68" i="14"/>
  <c r="J162" i="5"/>
  <c r="F34" i="19" s="1"/>
  <c r="E8" i="12"/>
  <c r="K19" i="27"/>
  <c r="I56" i="5"/>
  <c r="J11" i="26" s="1"/>
  <c r="J261" i="10"/>
  <c r="R44" i="15"/>
  <c r="R45" s="1"/>
  <c r="F39" i="23"/>
  <c r="E15" i="17"/>
  <c r="K141" i="9" s="1"/>
  <c r="L50" i="15"/>
  <c r="Q85" i="25"/>
  <c r="P115" i="14"/>
  <c r="O296" i="10"/>
  <c r="M30"/>
  <c r="M29" s="1"/>
  <c r="M24" i="15"/>
  <c r="M23" s="1"/>
  <c r="N29"/>
  <c r="D39" i="23"/>
  <c r="E60"/>
  <c r="E68"/>
  <c r="E62"/>
  <c r="E70"/>
  <c r="N67" i="15"/>
  <c r="K34"/>
  <c r="Q64" i="5"/>
  <c r="R168" i="10"/>
  <c r="K424" i="27"/>
  <c r="P113" i="14"/>
  <c r="Q38" i="5"/>
  <c r="E50" i="25"/>
  <c r="R384" i="27"/>
  <c r="P74" i="15"/>
  <c r="I132" i="28"/>
  <c r="F12" i="12"/>
  <c r="I52" i="34"/>
  <c r="P422" i="27"/>
  <c r="E277"/>
  <c r="M81" i="14"/>
  <c r="M54"/>
  <c r="K82" i="4" l="1"/>
  <c r="K83" s="1"/>
  <c r="G47" i="14"/>
  <c r="G159" i="5"/>
  <c r="H159" i="9"/>
  <c r="H35" i="6"/>
  <c r="R73" i="9"/>
  <c r="I13" i="34"/>
  <c r="H24" i="9" s="1"/>
  <c r="G25" i="5" s="1"/>
  <c r="I14" i="34"/>
  <c r="K12"/>
  <c r="L12"/>
  <c r="H88" i="10"/>
  <c r="K24" i="9"/>
  <c r="J25"/>
  <c r="J16" i="34"/>
  <c r="I27" i="9" s="1"/>
  <c r="J12" i="34"/>
  <c r="I23" i="9" s="1"/>
  <c r="I31" i="5"/>
  <c r="I78" i="4"/>
  <c r="D23" i="6"/>
  <c r="D25" s="1"/>
  <c r="J140" i="10"/>
  <c r="G27" i="28"/>
  <c r="H27"/>
  <c r="K17" i="29"/>
  <c r="I32" i="28"/>
  <c r="K36" i="5"/>
  <c r="M97" i="23"/>
  <c r="L169" i="10"/>
  <c r="R35" i="9"/>
  <c r="R169" i="10" s="1"/>
  <c r="L142"/>
  <c r="R31" i="9"/>
  <c r="I28" i="28"/>
  <c r="K32" i="5"/>
  <c r="Q32" s="1"/>
  <c r="H161" i="9"/>
  <c r="B26" i="6"/>
  <c r="H162" i="9" s="1"/>
  <c r="I32" i="5"/>
  <c r="I79" i="4"/>
  <c r="J142" i="10"/>
  <c r="G28" i="28"/>
  <c r="H28"/>
  <c r="I97" i="23"/>
  <c r="H169" i="10"/>
  <c r="G17" i="29"/>
  <c r="G36" i="5"/>
  <c r="F32" i="28"/>
  <c r="M54" i="10"/>
  <c r="M53" s="1"/>
  <c r="L54"/>
  <c r="R59" s="1"/>
  <c r="R57"/>
  <c r="R55"/>
  <c r="L97" i="23"/>
  <c r="K169" i="10"/>
  <c r="J36" i="5"/>
  <c r="J17" i="29"/>
  <c r="H32" i="28"/>
  <c r="D15" i="17"/>
  <c r="J141" i="9" s="1"/>
  <c r="L16" i="34"/>
  <c r="K16"/>
  <c r="K15"/>
  <c r="J15"/>
  <c r="I26" i="9" s="1"/>
  <c r="J13" i="34"/>
  <c r="I24" i="9" s="1"/>
  <c r="I12" i="34"/>
  <c r="H23" i="9" s="1"/>
  <c r="H25"/>
  <c r="I145" i="10"/>
  <c r="I150"/>
  <c r="J32" i="9"/>
  <c r="L140" i="10"/>
  <c r="I27" i="28"/>
  <c r="K31" i="5"/>
  <c r="Q31" s="1"/>
  <c r="F23" i="6"/>
  <c r="F25" s="1"/>
  <c r="R30" i="9"/>
  <c r="L10" i="10"/>
  <c r="L11" s="1"/>
  <c r="R6" i="9"/>
  <c r="R10" i="10" s="1"/>
  <c r="I3" i="28"/>
  <c r="K7" i="5"/>
  <c r="Q7" s="1"/>
  <c r="L144" i="10"/>
  <c r="R32" i="9"/>
  <c r="I29" i="28"/>
  <c r="K33" i="5"/>
  <c r="Q33" s="1"/>
  <c r="L14" i="34"/>
  <c r="K13"/>
  <c r="I16"/>
  <c r="H27" i="9" s="1"/>
  <c r="I15" i="34"/>
  <c r="H26" i="9" s="1"/>
  <c r="L15" i="34"/>
  <c r="I25" i="9"/>
  <c r="N202" i="10"/>
  <c r="Q186"/>
  <c r="J50" i="27"/>
  <c r="O13" i="34"/>
  <c r="N13"/>
  <c r="J17"/>
  <c r="I28" i="9" s="1"/>
  <c r="H17" i="34"/>
  <c r="G28" i="9" s="1"/>
  <c r="K17" i="34"/>
  <c r="J446" i="27"/>
  <c r="I446"/>
  <c r="E105" i="23"/>
  <c r="J91" i="9" s="1"/>
  <c r="K328" i="27" s="1"/>
  <c r="K340" s="1"/>
  <c r="J65" i="4"/>
  <c r="L7" i="20"/>
  <c r="L8" s="1"/>
  <c r="H17" i="27"/>
  <c r="H7" i="20"/>
  <c r="I8" s="1"/>
  <c r="F65" i="4"/>
  <c r="J24"/>
  <c r="J25" s="1"/>
  <c r="J23"/>
  <c r="J26"/>
  <c r="J27" s="1"/>
  <c r="K139" i="5"/>
  <c r="Q139" s="1"/>
  <c r="L12" i="15"/>
  <c r="R138" i="9"/>
  <c r="I135" i="28"/>
  <c r="G6" i="16"/>
  <c r="F24" i="4"/>
  <c r="G25" s="1"/>
  <c r="G23"/>
  <c r="M5" i="25"/>
  <c r="H65" i="4"/>
  <c r="I178" i="9" s="1"/>
  <c r="J7" i="20"/>
  <c r="J8" s="1"/>
  <c r="K174" i="9"/>
  <c r="J139" i="5"/>
  <c r="H135" i="28"/>
  <c r="K12" i="15"/>
  <c r="K13" s="1"/>
  <c r="H4" i="20"/>
  <c r="G174" i="9"/>
  <c r="G170"/>
  <c r="G169"/>
  <c r="I169" s="1"/>
  <c r="J169" s="1"/>
  <c r="G166"/>
  <c r="G165"/>
  <c r="I165" s="1"/>
  <c r="J28" i="4"/>
  <c r="J29" s="1"/>
  <c r="K8" i="20"/>
  <c r="F28" i="4"/>
  <c r="G29" s="1"/>
  <c r="M17" i="20"/>
  <c r="M18" s="1"/>
  <c r="M7"/>
  <c r="M8" s="1"/>
  <c r="K65" i="4"/>
  <c r="K74" i="5"/>
  <c r="L72" i="9"/>
  <c r="R72" s="1"/>
  <c r="M55" i="27"/>
  <c r="H118" i="9"/>
  <c r="G119" i="5" s="1"/>
  <c r="H118" i="26" s="1"/>
  <c r="I438" i="27"/>
  <c r="H120" i="9"/>
  <c r="G121" i="5" s="1"/>
  <c r="H120" i="26" s="1"/>
  <c r="I442" i="27"/>
  <c r="H119" i="9"/>
  <c r="G120" i="5" s="1"/>
  <c r="H119" i="26" s="1"/>
  <c r="I440" i="27"/>
  <c r="N64" i="25"/>
  <c r="N63" s="1"/>
  <c r="M132" i="9"/>
  <c r="C94" i="23"/>
  <c r="C97"/>
  <c r="C99"/>
  <c r="C101"/>
  <c r="C95"/>
  <c r="C103"/>
  <c r="J88" i="9"/>
  <c r="K322" i="27" s="1"/>
  <c r="K334" s="1"/>
  <c r="J86" i="9"/>
  <c r="K318" i="27" s="1"/>
  <c r="K330" s="1"/>
  <c r="J89" i="9"/>
  <c r="K324" i="27" s="1"/>
  <c r="K336" s="1"/>
  <c r="B105" i="23"/>
  <c r="G91" i="9" s="1"/>
  <c r="H328" i="27" s="1"/>
  <c r="H340" s="1"/>
  <c r="Q86" i="25"/>
  <c r="Q9"/>
  <c r="J87" i="9"/>
  <c r="K320" i="27" s="1"/>
  <c r="K332" s="1"/>
  <c r="J90" i="9"/>
  <c r="K326" i="27" s="1"/>
  <c r="K338" s="1"/>
  <c r="R34" i="25"/>
  <c r="J308" i="27"/>
  <c r="J314"/>
  <c r="K315" s="1"/>
  <c r="J6"/>
  <c r="J357"/>
  <c r="K358" s="1"/>
  <c r="J302"/>
  <c r="K52" i="5"/>
  <c r="M11" i="27"/>
  <c r="M363" s="1"/>
  <c r="J100" i="9"/>
  <c r="J84"/>
  <c r="K312" i="27"/>
  <c r="J83" i="9" s="1"/>
  <c r="K309" i="27"/>
  <c r="K306"/>
  <c r="J80" i="9" s="1"/>
  <c r="J81"/>
  <c r="G40" i="23"/>
  <c r="L55" i="9"/>
  <c r="K49" i="5"/>
  <c r="Q49" s="1"/>
  <c r="M5" i="27"/>
  <c r="R48" i="9"/>
  <c r="I45" i="28"/>
  <c r="L308" i="27"/>
  <c r="L314"/>
  <c r="L6"/>
  <c r="L357"/>
  <c r="L302"/>
  <c r="H100" i="9"/>
  <c r="G101" i="5" s="1"/>
  <c r="K54"/>
  <c r="L9" i="26" s="1"/>
  <c r="M15" i="27"/>
  <c r="M367" s="1"/>
  <c r="K55" i="5"/>
  <c r="L10" i="26" s="1"/>
  <c r="M17" i="27"/>
  <c r="M369" s="1"/>
  <c r="J78" i="9"/>
  <c r="K303" i="27"/>
  <c r="M13"/>
  <c r="K53" i="5"/>
  <c r="K51"/>
  <c r="L6" i="26" s="1"/>
  <c r="M9" i="27"/>
  <c r="K50" i="5"/>
  <c r="L5" i="26" s="1"/>
  <c r="M7" i="27"/>
  <c r="K6"/>
  <c r="M47"/>
  <c r="R69" i="9"/>
  <c r="I66" i="28"/>
  <c r="K70" i="5"/>
  <c r="Q70" s="1"/>
  <c r="Q74"/>
  <c r="L134" i="26"/>
  <c r="T17" i="20"/>
  <c r="I69" i="28"/>
  <c r="K73" i="5"/>
  <c r="Q73" s="1"/>
  <c r="M56" i="27"/>
  <c r="M53"/>
  <c r="M54" s="1"/>
  <c r="G91" i="23"/>
  <c r="L71" i="9"/>
  <c r="M43" i="27"/>
  <c r="K68" i="5"/>
  <c r="Q68" s="1"/>
  <c r="M49" i="27"/>
  <c r="K71" i="5"/>
  <c r="Q71" s="1"/>
  <c r="I67" i="28"/>
  <c r="J129"/>
  <c r="D66" i="23"/>
  <c r="I67" i="9"/>
  <c r="D68" i="23"/>
  <c r="I68" i="9"/>
  <c r="F66" i="23"/>
  <c r="K67" i="9"/>
  <c r="F68" i="23"/>
  <c r="K68" i="9"/>
  <c r="G66" i="5"/>
  <c r="R65" i="9"/>
  <c r="I39" i="27"/>
  <c r="I435" s="1"/>
  <c r="I436" s="1"/>
  <c r="G55" i="9"/>
  <c r="H19" i="27" s="1"/>
  <c r="H359"/>
  <c r="H343"/>
  <c r="G93" i="9" s="1"/>
  <c r="H353" i="27"/>
  <c r="G98" i="9" s="1"/>
  <c r="H369" i="27"/>
  <c r="H345"/>
  <c r="G94" i="9" s="1"/>
  <c r="H361" i="27"/>
  <c r="H363"/>
  <c r="H347"/>
  <c r="G95" i="9" s="1"/>
  <c r="H71"/>
  <c r="D62" i="23"/>
  <c r="I65" i="9"/>
  <c r="H67" i="5"/>
  <c r="I100" i="26" s="1"/>
  <c r="J41" i="27"/>
  <c r="F62" i="23"/>
  <c r="K65" i="9"/>
  <c r="H63" i="28"/>
  <c r="L41" i="27"/>
  <c r="J67" i="5"/>
  <c r="K100" i="26" s="1"/>
  <c r="I63" i="28"/>
  <c r="H349" i="27"/>
  <c r="G96" i="9" s="1"/>
  <c r="H365" i="27"/>
  <c r="G63" i="28"/>
  <c r="F30" i="17"/>
  <c r="L136" i="9" s="1"/>
  <c r="J118"/>
  <c r="K450" i="27"/>
  <c r="K435"/>
  <c r="J444"/>
  <c r="I121" i="9"/>
  <c r="I72" i="5"/>
  <c r="J105" i="26" s="1"/>
  <c r="K51" i="27"/>
  <c r="K355" s="1"/>
  <c r="L443"/>
  <c r="L48"/>
  <c r="L74" i="10"/>
  <c r="M72"/>
  <c r="J119" i="9"/>
  <c r="K451" i="27"/>
  <c r="G86" i="5"/>
  <c r="K446" i="27"/>
  <c r="K454"/>
  <c r="K48"/>
  <c r="K443"/>
  <c r="K441"/>
  <c r="L446"/>
  <c r="G117" i="5"/>
  <c r="H116" i="26" s="1"/>
  <c r="H149"/>
  <c r="G81" i="5"/>
  <c r="E37" i="15"/>
  <c r="E41"/>
  <c r="N39" i="9"/>
  <c r="O233" i="10"/>
  <c r="P234" s="1"/>
  <c r="N38" i="9"/>
  <c r="O217" i="10"/>
  <c r="P218" s="1"/>
  <c r="O185"/>
  <c r="N36" i="9"/>
  <c r="P114" i="14"/>
  <c r="P51"/>
  <c r="O176" i="10"/>
  <c r="O177" s="1"/>
  <c r="O160"/>
  <c r="O161" s="1"/>
  <c r="O297"/>
  <c r="O240"/>
  <c r="O241" s="1"/>
  <c r="O224"/>
  <c r="O225" s="1"/>
  <c r="O208"/>
  <c r="O209" s="1"/>
  <c r="O192"/>
  <c r="O193" s="1"/>
  <c r="O59"/>
  <c r="O60" s="1"/>
  <c r="F40" i="23"/>
  <c r="K55" i="9"/>
  <c r="K371" i="27"/>
  <c r="J72" i="14"/>
  <c r="M82"/>
  <c r="M14"/>
  <c r="M15" s="1"/>
  <c r="D40" i="23"/>
  <c r="I55" i="9"/>
  <c r="E40" i="23"/>
  <c r="M485" i="27"/>
  <c r="M461"/>
  <c r="M462" s="1"/>
  <c r="M62" i="10"/>
  <c r="M50"/>
  <c r="M51" s="1"/>
  <c r="N30"/>
  <c r="N29" s="1"/>
  <c r="M12" i="9"/>
  <c r="N496" i="27" s="1"/>
  <c r="N497" s="1"/>
  <c r="P116" i="14"/>
  <c r="P53"/>
  <c r="P54" s="1"/>
  <c r="K19" i="15"/>
  <c r="F17" i="16"/>
  <c r="H138" i="28"/>
  <c r="J142" i="5"/>
  <c r="I138" i="28"/>
  <c r="G29" i="27"/>
  <c r="G45" s="1"/>
  <c r="G15"/>
  <c r="I84" i="5"/>
  <c r="M51" i="27"/>
  <c r="R71" i="9"/>
  <c r="K72" i="5"/>
  <c r="G5" i="16"/>
  <c r="L9" i="15"/>
  <c r="K138" i="5"/>
  <c r="L21" i="15"/>
  <c r="R40" i="25"/>
  <c r="E39" s="1"/>
  <c r="R215" i="10"/>
  <c r="R207"/>
  <c r="J409" i="27"/>
  <c r="J36"/>
  <c r="I105" i="28"/>
  <c r="R108" i="9"/>
  <c r="K109" i="5"/>
  <c r="H5" i="26"/>
  <c r="Q50" i="5"/>
  <c r="I345" i="27"/>
  <c r="H94" i="9" s="1"/>
  <c r="G95" i="5" s="1"/>
  <c r="I361" i="27"/>
  <c r="I362" s="1"/>
  <c r="H8" i="26"/>
  <c r="Q53" i="5"/>
  <c r="I353" i="27"/>
  <c r="H98" i="9" s="1"/>
  <c r="G99" i="5" s="1"/>
  <c r="I369" i="27"/>
  <c r="I370" s="1"/>
  <c r="K347"/>
  <c r="K363"/>
  <c r="J9" i="26"/>
  <c r="J414" i="27"/>
  <c r="J404"/>
  <c r="I112" i="9"/>
  <c r="O42" i="15"/>
  <c r="O53"/>
  <c r="O54" s="1"/>
  <c r="N82" i="14"/>
  <c r="N14"/>
  <c r="N15" s="1"/>
  <c r="I111" i="28"/>
  <c r="K115" i="5"/>
  <c r="O50" i="25"/>
  <c r="O51" s="1"/>
  <c r="O34"/>
  <c r="I92" i="5"/>
  <c r="I88"/>
  <c r="L257" i="10"/>
  <c r="L252"/>
  <c r="L117" i="9"/>
  <c r="K18" i="15"/>
  <c r="K21" s="1"/>
  <c r="E11" i="12"/>
  <c r="J140" i="5"/>
  <c r="F27" i="16"/>
  <c r="F26"/>
  <c r="L15" i="27"/>
  <c r="H50" i="28"/>
  <c r="J54" i="5"/>
  <c r="I50" i="28"/>
  <c r="L11" i="27"/>
  <c r="H48" i="28"/>
  <c r="J52" i="5"/>
  <c r="K7" i="26" s="1"/>
  <c r="I48" i="28"/>
  <c r="L414" i="27"/>
  <c r="L404"/>
  <c r="K112" i="9"/>
  <c r="I109" i="28" s="1"/>
  <c r="K415" i="27"/>
  <c r="K406"/>
  <c r="J113" i="9"/>
  <c r="H7" i="26"/>
  <c r="Q52" i="5"/>
  <c r="I351" i="27"/>
  <c r="H97" i="9" s="1"/>
  <c r="G98" i="5" s="1"/>
  <c r="I367" i="27"/>
  <c r="I368" s="1"/>
  <c r="K343"/>
  <c r="K359"/>
  <c r="K345"/>
  <c r="K361"/>
  <c r="K353"/>
  <c r="K369"/>
  <c r="N61"/>
  <c r="B7" i="12"/>
  <c r="H156" i="9"/>
  <c r="G160" i="5"/>
  <c r="L133"/>
  <c r="H3" i="18" s="1"/>
  <c r="Q64" i="15"/>
  <c r="Q65" s="1"/>
  <c r="Q95"/>
  <c r="G33" i="16"/>
  <c r="M37" i="9"/>
  <c r="O114" i="14"/>
  <c r="O51"/>
  <c r="O52" s="1"/>
  <c r="J35" i="28"/>
  <c r="L39" i="5"/>
  <c r="Q32" i="14"/>
  <c r="D27" s="1"/>
  <c r="M90"/>
  <c r="M42"/>
  <c r="M43" s="1"/>
  <c r="P97" i="15"/>
  <c r="P62"/>
  <c r="P63" s="1"/>
  <c r="P55"/>
  <c r="P56" s="1"/>
  <c r="R112" i="9"/>
  <c r="K113" i="5"/>
  <c r="L81" i="26"/>
  <c r="Q110" i="5"/>
  <c r="F155" i="28"/>
  <c r="H47" i="14"/>
  <c r="H159" i="5"/>
  <c r="I159" i="9"/>
  <c r="I91" i="5"/>
  <c r="I90"/>
  <c r="L259" i="10"/>
  <c r="M259" s="1"/>
  <c r="L254"/>
  <c r="J317" i="27"/>
  <c r="I85" i="9"/>
  <c r="D93" i="23" s="1"/>
  <c r="J312" i="27"/>
  <c r="K317"/>
  <c r="D29" i="17"/>
  <c r="J4" i="15"/>
  <c r="J147" i="9"/>
  <c r="J139"/>
  <c r="H136" i="28" s="1"/>
  <c r="I136" i="5"/>
  <c r="E6" i="16"/>
  <c r="J19" i="15"/>
  <c r="I142" i="5"/>
  <c r="J16" i="15"/>
  <c r="K17" s="1"/>
  <c r="I141" i="5"/>
  <c r="J411" i="27"/>
  <c r="J398"/>
  <c r="I109" i="9"/>
  <c r="H155" i="28"/>
  <c r="J47" i="14"/>
  <c r="J159" i="5"/>
  <c r="K159" i="9"/>
  <c r="L342" i="27"/>
  <c r="K92" i="9"/>
  <c r="L317" i="27"/>
  <c r="K85" i="9"/>
  <c r="F93" i="23" s="1"/>
  <c r="L312" i="27"/>
  <c r="L29" i="25"/>
  <c r="J413" i="27"/>
  <c r="J402"/>
  <c r="I111" i="9"/>
  <c r="K416" i="27"/>
  <c r="K408"/>
  <c r="J114" i="9"/>
  <c r="L408" i="27"/>
  <c r="Q97" i="15"/>
  <c r="Q62"/>
  <c r="Q63" s="1"/>
  <c r="Q55"/>
  <c r="Q56" s="1"/>
  <c r="Q66"/>
  <c r="Q83"/>
  <c r="J33" i="28"/>
  <c r="L37" i="5"/>
  <c r="P296" i="10"/>
  <c r="E279" i="27"/>
  <c r="N252" s="1"/>
  <c r="N251" s="1"/>
  <c r="P69" i="15"/>
  <c r="E35" i="25"/>
  <c r="M4"/>
  <c r="N5" s="1"/>
  <c r="Q23" i="14"/>
  <c r="S426" i="27"/>
  <c r="D73" i="23"/>
  <c r="O32" i="14"/>
  <c r="O92"/>
  <c r="R113" i="9"/>
  <c r="F73" i="23"/>
  <c r="G74" s="1"/>
  <c r="O54" i="14"/>
  <c r="H108" i="10"/>
  <c r="G27" i="5"/>
  <c r="F23" i="28"/>
  <c r="P41" i="15"/>
  <c r="P28"/>
  <c r="P29" s="1"/>
  <c r="P75"/>
  <c r="N24"/>
  <c r="M37"/>
  <c r="M38" s="1"/>
  <c r="N23"/>
  <c r="M142" i="9"/>
  <c r="Q33" i="25"/>
  <c r="Q10"/>
  <c r="K409" i="27"/>
  <c r="K36"/>
  <c r="G155" i="28"/>
  <c r="I47" i="14"/>
  <c r="I159" i="5"/>
  <c r="J159" i="9"/>
  <c r="G4" i="16"/>
  <c r="L6" i="15"/>
  <c r="K137" i="5"/>
  <c r="F10" i="12"/>
  <c r="I343" i="27"/>
  <c r="H93" i="9" s="1"/>
  <c r="G94" i="5" s="1"/>
  <c r="I359" i="27"/>
  <c r="I360" s="1"/>
  <c r="H6" i="26"/>
  <c r="Q51" i="5"/>
  <c r="I349" i="27"/>
  <c r="H96" i="9" s="1"/>
  <c r="G97" i="5" s="1"/>
  <c r="I365" i="27"/>
  <c r="I366" s="1"/>
  <c r="H10" i="26"/>
  <c r="Q55" i="5"/>
  <c r="K351" i="27"/>
  <c r="K367"/>
  <c r="J15"/>
  <c r="K16" s="1"/>
  <c r="F50" i="28"/>
  <c r="H54" i="5"/>
  <c r="J11" i="27"/>
  <c r="F48" i="28"/>
  <c r="H52" i="5"/>
  <c r="I7" i="26" s="1"/>
  <c r="R110" i="9"/>
  <c r="K111" i="5"/>
  <c r="L409" i="27"/>
  <c r="L36"/>
  <c r="M36"/>
  <c r="L83" i="26"/>
  <c r="Q112" i="5"/>
  <c r="I89"/>
  <c r="E15" i="12"/>
  <c r="K60" i="15"/>
  <c r="L61" s="1"/>
  <c r="H144" i="28"/>
  <c r="J148" i="5"/>
  <c r="F33" i="16" s="1"/>
  <c r="E31" i="17"/>
  <c r="K137" i="9" s="1"/>
  <c r="J415" i="27"/>
  <c r="J406"/>
  <c r="I113" i="9"/>
  <c r="I416" i="27"/>
  <c r="H114" i="9"/>
  <c r="J408" i="27"/>
  <c r="J412"/>
  <c r="J400"/>
  <c r="I110" i="9"/>
  <c r="I155" i="28"/>
  <c r="K47" i="14"/>
  <c r="R158" i="9"/>
  <c r="K159" i="5"/>
  <c r="L159" i="9"/>
  <c r="I347" i="27"/>
  <c r="H95" i="9" s="1"/>
  <c r="G96" i="5" s="1"/>
  <c r="I363" i="27"/>
  <c r="I364" s="1"/>
  <c r="H9" i="26"/>
  <c r="Q54" i="5"/>
  <c r="K349" i="27"/>
  <c r="K365"/>
  <c r="L411"/>
  <c r="L398"/>
  <c r="K109" i="9"/>
  <c r="M398" i="27"/>
  <c r="K412"/>
  <c r="K400"/>
  <c r="J110" i="9"/>
  <c r="D64" i="14"/>
  <c r="D62"/>
  <c r="C26" i="24"/>
  <c r="C27" i="19"/>
  <c r="Q75" i="15"/>
  <c r="Q41"/>
  <c r="Q28"/>
  <c r="Q29" s="1"/>
  <c r="Q85"/>
  <c r="Q68"/>
  <c r="Q69" s="1"/>
  <c r="I19" i="27"/>
  <c r="G56" i="5"/>
  <c r="R55" i="9"/>
  <c r="O98" i="14"/>
  <c r="O89"/>
  <c r="J73"/>
  <c r="L118" i="9"/>
  <c r="L120"/>
  <c r="Q16" i="14"/>
  <c r="F51" i="28"/>
  <c r="J17" i="27"/>
  <c r="K18" s="1"/>
  <c r="H55" i="5"/>
  <c r="I10" i="26" s="1"/>
  <c r="F49" i="28"/>
  <c r="J13" i="27"/>
  <c r="H53" i="5"/>
  <c r="I8" i="26" s="1"/>
  <c r="F47" i="28"/>
  <c r="J9" i="27"/>
  <c r="H51" i="5"/>
  <c r="I6" i="26" s="1"/>
  <c r="J7" i="27"/>
  <c r="F46" i="28"/>
  <c r="H50" i="5"/>
  <c r="I5" i="26" s="1"/>
  <c r="L412" i="27"/>
  <c r="L400"/>
  <c r="K110" i="9"/>
  <c r="K413" i="27"/>
  <c r="K402"/>
  <c r="J111" i="9"/>
  <c r="P83" i="15"/>
  <c r="P66"/>
  <c r="P67" s="1"/>
  <c r="L85" i="26"/>
  <c r="Q114" i="5"/>
  <c r="I87"/>
  <c r="J342" i="27"/>
  <c r="I92" i="9"/>
  <c r="K342" i="27"/>
  <c r="J311"/>
  <c r="I82" i="9"/>
  <c r="K311" i="27"/>
  <c r="J306"/>
  <c r="J305"/>
  <c r="I79" i="9"/>
  <c r="K305" i="27"/>
  <c r="J434"/>
  <c r="I116" i="9"/>
  <c r="J454" i="27"/>
  <c r="J453"/>
  <c r="K434"/>
  <c r="B2" i="17"/>
  <c r="C14"/>
  <c r="I140" i="9" s="1"/>
  <c r="C3" i="17"/>
  <c r="I135" i="9"/>
  <c r="Q22" i="25"/>
  <c r="P22"/>
  <c r="H51" i="28"/>
  <c r="L17" i="27"/>
  <c r="J55" i="5"/>
  <c r="K10" i="26" s="1"/>
  <c r="I51" i="28"/>
  <c r="H49"/>
  <c r="L13" i="27"/>
  <c r="J53" i="5"/>
  <c r="K8" i="26" s="1"/>
  <c r="I49" i="28"/>
  <c r="H47"/>
  <c r="L9" i="27"/>
  <c r="J51" i="5"/>
  <c r="K6" i="26" s="1"/>
  <c r="I47" i="28"/>
  <c r="L7" i="27"/>
  <c r="H46" i="28"/>
  <c r="J50" i="5"/>
  <c r="K5" i="26" s="1"/>
  <c r="I46" i="28"/>
  <c r="L413" i="27"/>
  <c r="L402"/>
  <c r="K111" i="9"/>
  <c r="M402" i="27"/>
  <c r="K414"/>
  <c r="K404"/>
  <c r="J112" i="9"/>
  <c r="K411" i="27"/>
  <c r="K398"/>
  <c r="J109" i="9"/>
  <c r="R115"/>
  <c r="K116" i="5"/>
  <c r="L311" i="27"/>
  <c r="K82" i="9"/>
  <c r="L306" i="27"/>
  <c r="L305"/>
  <c r="K79" i="9"/>
  <c r="L434" i="27"/>
  <c r="K116" i="9"/>
  <c r="L454" i="27"/>
  <c r="L453"/>
  <c r="L415"/>
  <c r="L406"/>
  <c r="K113" i="9"/>
  <c r="M406" i="27"/>
  <c r="P34" i="25"/>
  <c r="P50"/>
  <c r="P51" s="1"/>
  <c r="N90" i="14"/>
  <c r="N42"/>
  <c r="N43" s="1"/>
  <c r="J36" i="28"/>
  <c r="L40" i="5"/>
  <c r="D29" i="14"/>
  <c r="E33" i="25"/>
  <c r="E31"/>
  <c r="R216" i="10"/>
  <c r="L5" i="15"/>
  <c r="S424" i="27"/>
  <c r="S431" s="1"/>
  <c r="Q296" i="10"/>
  <c r="E74" i="23"/>
  <c r="P97" i="14"/>
  <c r="I144" i="28"/>
  <c r="M46" i="25"/>
  <c r="M45" s="1"/>
  <c r="N46" s="1"/>
  <c r="O81" i="14"/>
  <c r="O63"/>
  <c r="M404" i="27"/>
  <c r="N201" i="10"/>
  <c r="R109" i="9"/>
  <c r="D3" i="17"/>
  <c r="P10" i="25"/>
  <c r="Q43" i="14"/>
  <c r="D42" s="1"/>
  <c r="L64" i="9" l="1"/>
  <c r="K31" i="4" s="1"/>
  <c r="K26" i="9"/>
  <c r="Q15" i="34"/>
  <c r="K23" i="9"/>
  <c r="Q12" i="34"/>
  <c r="P13"/>
  <c r="J24" i="9"/>
  <c r="L14" i="10"/>
  <c r="R8" i="9"/>
  <c r="I5" i="28"/>
  <c r="K9" i="5"/>
  <c r="Q9" s="1"/>
  <c r="L161" i="9"/>
  <c r="F26" i="6"/>
  <c r="L162" i="9" s="1"/>
  <c r="G24" i="5"/>
  <c r="H78" i="10"/>
  <c r="H27" i="5"/>
  <c r="I108" i="10"/>
  <c r="J23" i="9"/>
  <c r="P12" i="34"/>
  <c r="K27" i="9"/>
  <c r="Q16" i="34"/>
  <c r="N54" i="10"/>
  <c r="N53" s="1"/>
  <c r="N16" i="9" s="1"/>
  <c r="O504" i="27" s="1"/>
  <c r="M16" i="9"/>
  <c r="R181" i="10"/>
  <c r="R179"/>
  <c r="R183"/>
  <c r="I170"/>
  <c r="J143"/>
  <c r="J148"/>
  <c r="K143"/>
  <c r="G162" i="5"/>
  <c r="C34" i="19" s="1"/>
  <c r="F158" i="28"/>
  <c r="G68" i="14"/>
  <c r="B8" i="12"/>
  <c r="R142" i="10"/>
  <c r="L143"/>
  <c r="L148"/>
  <c r="M148" s="1"/>
  <c r="N148" s="1"/>
  <c r="O148" s="1"/>
  <c r="P148" s="1"/>
  <c r="Q148" s="1"/>
  <c r="J161" i="9"/>
  <c r="D26" i="6"/>
  <c r="J162" i="9" s="1"/>
  <c r="I118" i="10"/>
  <c r="H28" i="5"/>
  <c r="F24" i="28"/>
  <c r="J98" i="10"/>
  <c r="I26" i="5"/>
  <c r="G22" i="28"/>
  <c r="K88" i="10"/>
  <c r="H21" i="28"/>
  <c r="J25" i="5"/>
  <c r="L17" i="34"/>
  <c r="K28" i="9" s="1"/>
  <c r="L170" i="10"/>
  <c r="Q36" i="5"/>
  <c r="H26"/>
  <c r="I98" i="10"/>
  <c r="F22" i="28"/>
  <c r="G28" i="5"/>
  <c r="H118" i="10"/>
  <c r="K25" i="9"/>
  <c r="Q14" i="34"/>
  <c r="R144" i="10"/>
  <c r="L150"/>
  <c r="L145"/>
  <c r="L12"/>
  <c r="R7" i="9"/>
  <c r="I4" i="28"/>
  <c r="K8" i="5"/>
  <c r="Q8" s="1"/>
  <c r="R140" i="10"/>
  <c r="L146"/>
  <c r="M146" s="1"/>
  <c r="L141"/>
  <c r="I33" i="5"/>
  <c r="I80" i="4"/>
  <c r="J144" i="10"/>
  <c r="G29" i="28"/>
  <c r="H29"/>
  <c r="G26" i="5"/>
  <c r="H98" i="10"/>
  <c r="H25" i="5"/>
  <c r="I88" i="10"/>
  <c r="F21" i="28"/>
  <c r="J26" i="9"/>
  <c r="P15" i="34"/>
  <c r="P16"/>
  <c r="J27" i="9"/>
  <c r="K170" i="10"/>
  <c r="R173"/>
  <c r="G163" i="5"/>
  <c r="C35" i="19" s="1"/>
  <c r="F159" i="28"/>
  <c r="G70" i="14"/>
  <c r="J146" i="10"/>
  <c r="J141"/>
  <c r="K141"/>
  <c r="H24" i="5"/>
  <c r="I78" i="10"/>
  <c r="I79" s="1"/>
  <c r="F20" i="28"/>
  <c r="D31" i="14"/>
  <c r="R61" i="10"/>
  <c r="I82" i="4"/>
  <c r="I83" s="1"/>
  <c r="J181" i="9" s="1"/>
  <c r="P14" i="34"/>
  <c r="Q13"/>
  <c r="O202" i="10"/>
  <c r="J28" i="9"/>
  <c r="I128" i="10"/>
  <c r="H29" i="5"/>
  <c r="P17" i="34"/>
  <c r="I17"/>
  <c r="H28" i="9" s="1"/>
  <c r="O12" i="34"/>
  <c r="N12"/>
  <c r="O15"/>
  <c r="N15"/>
  <c r="O16"/>
  <c r="N16"/>
  <c r="O14"/>
  <c r="N14"/>
  <c r="J165" i="9"/>
  <c r="F57" i="4"/>
  <c r="G177" i="9"/>
  <c r="J57" i="4"/>
  <c r="K177" i="9"/>
  <c r="K180" s="1"/>
  <c r="K181" s="1"/>
  <c r="F26" i="4"/>
  <c r="G27" s="1"/>
  <c r="I166" i="9"/>
  <c r="G167"/>
  <c r="G168" s="1"/>
  <c r="I170"/>
  <c r="E16" i="16"/>
  <c r="G173" i="9"/>
  <c r="K169"/>
  <c r="L13" i="15"/>
  <c r="K32" i="4"/>
  <c r="K20"/>
  <c r="O64" i="25"/>
  <c r="O63" s="1"/>
  <c r="P64" s="1"/>
  <c r="N132" i="9"/>
  <c r="F94" i="23"/>
  <c r="F99"/>
  <c r="F101"/>
  <c r="F95"/>
  <c r="F103"/>
  <c r="F97"/>
  <c r="H86" i="9"/>
  <c r="C96" i="23"/>
  <c r="H88" i="9"/>
  <c r="C100" i="23"/>
  <c r="D94"/>
  <c r="D97"/>
  <c r="D95"/>
  <c r="D103"/>
  <c r="D99"/>
  <c r="D101"/>
  <c r="E94"/>
  <c r="H90" i="9"/>
  <c r="C104" i="23"/>
  <c r="C102"/>
  <c r="H89" i="9"/>
  <c r="I324" i="27" s="1"/>
  <c r="I336" s="1"/>
  <c r="C98" i="23"/>
  <c r="H87" i="9"/>
  <c r="I320" i="27" s="1"/>
  <c r="I332" s="1"/>
  <c r="C105" i="23"/>
  <c r="L8" i="26"/>
  <c r="M359" i="27"/>
  <c r="M343"/>
  <c r="L93" i="9" s="1"/>
  <c r="M361" i="27"/>
  <c r="M345"/>
  <c r="L94" i="9" s="1"/>
  <c r="L106"/>
  <c r="K107" i="5" s="1"/>
  <c r="L105" i="9"/>
  <c r="K106" i="5" s="1"/>
  <c r="K100" i="9"/>
  <c r="L358" i="27"/>
  <c r="K84" i="9"/>
  <c r="L315" i="27"/>
  <c r="M308"/>
  <c r="M357"/>
  <c r="M378" s="1"/>
  <c r="M302"/>
  <c r="M314"/>
  <c r="M6"/>
  <c r="K56" i="5"/>
  <c r="L11" i="26" s="1"/>
  <c r="M19" i="27"/>
  <c r="M371" s="1"/>
  <c r="I82" i="5"/>
  <c r="I85"/>
  <c r="M375" i="27"/>
  <c r="L103" i="9"/>
  <c r="K104" i="5" s="1"/>
  <c r="I78" i="9"/>
  <c r="G75" i="28" s="1"/>
  <c r="J303" i="27"/>
  <c r="J309"/>
  <c r="I81" i="9"/>
  <c r="M349" i="27"/>
  <c r="L96" i="9" s="1"/>
  <c r="K97" i="5" s="1"/>
  <c r="M365" i="27"/>
  <c r="I79" i="5"/>
  <c r="J142" i="26" s="1"/>
  <c r="K78" i="9"/>
  <c r="L303" i="27"/>
  <c r="K81" i="9"/>
  <c r="L309" i="27"/>
  <c r="I101" i="5"/>
  <c r="J358" i="27"/>
  <c r="I100" i="9"/>
  <c r="J315" i="27"/>
  <c r="I84" i="9"/>
  <c r="L7" i="26"/>
  <c r="M445" i="27"/>
  <c r="M353"/>
  <c r="L98" i="9" s="1"/>
  <c r="M50" i="27"/>
  <c r="M347"/>
  <c r="L95" i="9" s="1"/>
  <c r="M439" i="27"/>
  <c r="I61" i="28"/>
  <c r="K65" i="5"/>
  <c r="M37" i="27"/>
  <c r="M310" s="1"/>
  <c r="R64" i="9"/>
  <c r="M48" i="27"/>
  <c r="M443"/>
  <c r="M351"/>
  <c r="L97" i="9" s="1"/>
  <c r="K129" i="28"/>
  <c r="H374" i="27"/>
  <c r="G102" i="9"/>
  <c r="H378" i="27"/>
  <c r="G106" i="9"/>
  <c r="H117"/>
  <c r="G118" i="5" s="1"/>
  <c r="H117" i="26" s="1"/>
  <c r="I449" i="27"/>
  <c r="H99" i="26"/>
  <c r="Q66" i="5"/>
  <c r="F74" i="23"/>
  <c r="K71" i="9"/>
  <c r="D74" i="23"/>
  <c r="I71" i="9"/>
  <c r="H376" i="27"/>
  <c r="G104" i="9"/>
  <c r="L42" i="27"/>
  <c r="M42"/>
  <c r="L437"/>
  <c r="I62" i="28"/>
  <c r="H62"/>
  <c r="L39" i="27"/>
  <c r="J66" i="5"/>
  <c r="K99" i="26" s="1"/>
  <c r="J42" i="27"/>
  <c r="K42"/>
  <c r="J437"/>
  <c r="J39"/>
  <c r="H66" i="5"/>
  <c r="I99" i="26" s="1"/>
  <c r="F62" i="28"/>
  <c r="G62"/>
  <c r="G72" i="5"/>
  <c r="H105" i="26" s="1"/>
  <c r="I51" i="27"/>
  <c r="I447" s="1"/>
  <c r="H375"/>
  <c r="G103" i="9"/>
  <c r="H373" i="27"/>
  <c r="G101" i="9"/>
  <c r="H355" i="27"/>
  <c r="G99" i="9" s="1"/>
  <c r="H371" i="27"/>
  <c r="I65" i="28"/>
  <c r="L45" i="27"/>
  <c r="J69" i="5"/>
  <c r="K102" i="26" s="1"/>
  <c r="H65" i="28"/>
  <c r="I64"/>
  <c r="L43" i="27"/>
  <c r="J68" i="5"/>
  <c r="K101" i="26" s="1"/>
  <c r="H64" i="28"/>
  <c r="H69" i="5"/>
  <c r="I102" i="26" s="1"/>
  <c r="J45" i="27"/>
  <c r="G65" i="28"/>
  <c r="F65"/>
  <c r="J43" i="27"/>
  <c r="H68" i="5"/>
  <c r="I101" i="26" s="1"/>
  <c r="G64" i="28"/>
  <c r="F64"/>
  <c r="G88" i="5"/>
  <c r="E17" i="16"/>
  <c r="L59" i="14"/>
  <c r="L58" s="1"/>
  <c r="M59" s="1"/>
  <c r="M58" s="1"/>
  <c r="J120" i="9"/>
  <c r="K452" i="27"/>
  <c r="K121" i="9"/>
  <c r="L444" i="27"/>
  <c r="H122" i="5"/>
  <c r="I121" i="26" s="1"/>
  <c r="F118" i="28"/>
  <c r="K11" i="20"/>
  <c r="J117" i="9"/>
  <c r="K449" i="27"/>
  <c r="K444"/>
  <c r="J121" i="9"/>
  <c r="K453" i="27"/>
  <c r="I120" i="5"/>
  <c r="J119" i="26" s="1"/>
  <c r="N72" i="10"/>
  <c r="M74"/>
  <c r="K447" i="27"/>
  <c r="I119" i="5"/>
  <c r="J118" i="26" s="1"/>
  <c r="E30" i="17"/>
  <c r="K136" i="9" s="1"/>
  <c r="E37" i="25"/>
  <c r="M29" s="1"/>
  <c r="N37" i="9"/>
  <c r="D33" i="14"/>
  <c r="N62" i="10"/>
  <c r="N50"/>
  <c r="N51" s="1"/>
  <c r="Q30"/>
  <c r="O30"/>
  <c r="O29" s="1"/>
  <c r="N12" i="9"/>
  <c r="O496" i="27" s="1"/>
  <c r="O497" s="1"/>
  <c r="O38" i="9"/>
  <c r="P217" i="10"/>
  <c r="Q218" s="1"/>
  <c r="O39" i="9"/>
  <c r="P233" i="10"/>
  <c r="Q234" s="1"/>
  <c r="P63" i="25"/>
  <c r="Q64" s="1"/>
  <c r="O132" i="9"/>
  <c r="M160"/>
  <c r="N255" i="27"/>
  <c r="O252"/>
  <c r="O251" s="1"/>
  <c r="N265"/>
  <c r="N263"/>
  <c r="N261"/>
  <c r="N259"/>
  <c r="N257"/>
  <c r="N253"/>
  <c r="P98" i="14"/>
  <c r="P89"/>
  <c r="P81"/>
  <c r="Q176" i="10"/>
  <c r="Q160"/>
  <c r="Q297"/>
  <c r="Q240"/>
  <c r="Q224"/>
  <c r="Q208"/>
  <c r="Q192"/>
  <c r="Q59"/>
  <c r="H110" i="28"/>
  <c r="J114" i="5"/>
  <c r="K85" i="26" s="1"/>
  <c r="I110" i="28"/>
  <c r="H113"/>
  <c r="J117" i="5"/>
  <c r="K116" i="26" s="1"/>
  <c r="H76" i="28"/>
  <c r="J80" i="5"/>
  <c r="K143" i="26" s="1"/>
  <c r="L307" i="27"/>
  <c r="K80" i="9"/>
  <c r="H77" i="28" s="1"/>
  <c r="G106"/>
  <c r="I110" i="5"/>
  <c r="J81" i="26" s="1"/>
  <c r="L361" i="27"/>
  <c r="L345"/>
  <c r="L10"/>
  <c r="M10"/>
  <c r="L365"/>
  <c r="L349"/>
  <c r="L14"/>
  <c r="M14"/>
  <c r="I4" i="15"/>
  <c r="C29" i="17"/>
  <c r="H136" i="5"/>
  <c r="I147" i="9"/>
  <c r="I139"/>
  <c r="D16" i="16" s="1"/>
  <c r="D6"/>
  <c r="I16" i="15"/>
  <c r="H141" i="5"/>
  <c r="F89" i="28"/>
  <c r="H93" i="5"/>
  <c r="G89" i="28"/>
  <c r="G108"/>
  <c r="I112" i="5"/>
  <c r="J83" i="26" s="1"/>
  <c r="J359" i="27"/>
  <c r="J343"/>
  <c r="J8"/>
  <c r="J361"/>
  <c r="J345"/>
  <c r="J10"/>
  <c r="D8" i="14"/>
  <c r="D10"/>
  <c r="D12"/>
  <c r="R120" i="9"/>
  <c r="K121" i="5"/>
  <c r="O90" i="14"/>
  <c r="O42"/>
  <c r="O43" s="1"/>
  <c r="I355" i="27"/>
  <c r="H99" i="9" s="1"/>
  <c r="G100" i="5" s="1"/>
  <c r="I371" i="27"/>
  <c r="I372" s="1"/>
  <c r="Q42" i="15"/>
  <c r="Q53"/>
  <c r="G107" i="28"/>
  <c r="I111" i="5"/>
  <c r="J82" i="26" s="1"/>
  <c r="H106" i="28"/>
  <c r="J110" i="5"/>
  <c r="K81" i="26" s="1"/>
  <c r="I106" i="28"/>
  <c r="K376" i="27"/>
  <c r="J104" i="9"/>
  <c r="G26" i="24"/>
  <c r="G27" i="19"/>
  <c r="Q159" i="5"/>
  <c r="K48" i="14"/>
  <c r="Q47"/>
  <c r="F107" i="28"/>
  <c r="H111" i="5"/>
  <c r="I82" i="26" s="1"/>
  <c r="G115" i="5"/>
  <c r="H86" i="26" s="1"/>
  <c r="F111" i="28"/>
  <c r="F110"/>
  <c r="H114" i="5"/>
  <c r="I85" i="26" s="1"/>
  <c r="K6" i="15"/>
  <c r="L7" s="1"/>
  <c r="F4" i="16"/>
  <c r="J137" i="5"/>
  <c r="E10" i="12"/>
  <c r="L417" i="27"/>
  <c r="L410"/>
  <c r="K115" i="9"/>
  <c r="M410" i="27"/>
  <c r="J363"/>
  <c r="J347"/>
  <c r="J12"/>
  <c r="J97" i="9"/>
  <c r="L8" i="15"/>
  <c r="L51"/>
  <c r="E26" i="24"/>
  <c r="E27" i="19"/>
  <c r="K417" i="27"/>
  <c r="K410"/>
  <c r="J115" i="9"/>
  <c r="Q50" i="25"/>
  <c r="Q51" s="1"/>
  <c r="Q34"/>
  <c r="J139" i="28"/>
  <c r="L143" i="5"/>
  <c r="H28" i="16" s="1"/>
  <c r="R95" i="9"/>
  <c r="K96" i="5"/>
  <c r="Q96" s="1"/>
  <c r="P53" i="15"/>
  <c r="P54" s="1"/>
  <c r="P42"/>
  <c r="I109" i="10"/>
  <c r="G111" i="28"/>
  <c r="I115" i="5"/>
  <c r="J86" i="26" s="1"/>
  <c r="H111" i="28"/>
  <c r="H82"/>
  <c r="J86" i="5"/>
  <c r="H89" i="28"/>
  <c r="J93" i="5"/>
  <c r="E7" i="12"/>
  <c r="H156" i="28"/>
  <c r="K156" i="9"/>
  <c r="J160" i="5"/>
  <c r="F106" i="28"/>
  <c r="H110" i="5"/>
  <c r="I81" i="26" s="1"/>
  <c r="E27" i="16"/>
  <c r="E26"/>
  <c r="J60" i="15"/>
  <c r="G144" i="28"/>
  <c r="D15" i="12"/>
  <c r="I148" i="5"/>
  <c r="E33" i="16" s="1"/>
  <c r="F82" i="28"/>
  <c r="H86" i="5"/>
  <c r="G82" i="28"/>
  <c r="C7" i="12"/>
  <c r="F156" i="28"/>
  <c r="I156" i="9"/>
  <c r="H160" i="5"/>
  <c r="H48" i="14"/>
  <c r="Q53"/>
  <c r="L84" i="26"/>
  <c r="Q113" i="5"/>
  <c r="B5" i="12"/>
  <c r="G157" i="5"/>
  <c r="J98" i="9"/>
  <c r="K346" i="27"/>
  <c r="J94" i="9"/>
  <c r="K373" i="27"/>
  <c r="K360"/>
  <c r="J101" i="9"/>
  <c r="I377" i="27"/>
  <c r="H105" i="9"/>
  <c r="G110" i="28"/>
  <c r="I114" i="5"/>
  <c r="J85" i="26" s="1"/>
  <c r="R117" i="9"/>
  <c r="K118" i="5"/>
  <c r="L86" i="26"/>
  <c r="Q115" i="5"/>
  <c r="K348" i="27"/>
  <c r="J95" i="9"/>
  <c r="T7" i="20"/>
  <c r="L80" i="26"/>
  <c r="Q109" i="5"/>
  <c r="J417" i="27"/>
  <c r="J410"/>
  <c r="I115" i="9"/>
  <c r="L11" i="15"/>
  <c r="L105" i="26"/>
  <c r="Q72" i="5"/>
  <c r="G31" i="27"/>
  <c r="G47" s="1"/>
  <c r="G17"/>
  <c r="M48" i="10"/>
  <c r="M49" s="1"/>
  <c r="J9" i="28"/>
  <c r="L13" i="5"/>
  <c r="M63" i="10"/>
  <c r="M68"/>
  <c r="M66"/>
  <c r="M64"/>
  <c r="M18" i="9"/>
  <c r="K379" i="27"/>
  <c r="J107" i="9"/>
  <c r="L19" i="27"/>
  <c r="H52" i="28"/>
  <c r="J56" i="5"/>
  <c r="K11" i="26" s="1"/>
  <c r="I52" i="28"/>
  <c r="P185" i="10"/>
  <c r="O36" i="9"/>
  <c r="K35" i="28"/>
  <c r="M39" i="5"/>
  <c r="K36" i="28"/>
  <c r="M40" i="5"/>
  <c r="K13" i="28"/>
  <c r="M17" i="5"/>
  <c r="M133"/>
  <c r="I3" i="18" s="1"/>
  <c r="E43" i="15"/>
  <c r="E45" s="1"/>
  <c r="C15" i="17"/>
  <c r="I141" i="9" s="1"/>
  <c r="J48" i="14"/>
  <c r="G137" i="28"/>
  <c r="K5" i="15"/>
  <c r="K10" i="27"/>
  <c r="Q97" i="5"/>
  <c r="K12" i="27"/>
  <c r="O201" i="10"/>
  <c r="P52" i="14"/>
  <c r="D66"/>
  <c r="D40"/>
  <c r="D38"/>
  <c r="N45" i="25"/>
  <c r="M131" i="9"/>
  <c r="J128" i="28" s="1"/>
  <c r="O82" i="14"/>
  <c r="O14"/>
  <c r="O15" s="1"/>
  <c r="H79" i="28"/>
  <c r="J83" i="5"/>
  <c r="L87" i="26"/>
  <c r="Q116" i="5"/>
  <c r="G109" i="28"/>
  <c r="I113" i="5"/>
  <c r="J84" i="26" s="1"/>
  <c r="H108" i="28"/>
  <c r="J112" i="5"/>
  <c r="K83" i="26" s="1"/>
  <c r="I108" i="28"/>
  <c r="L359" i="27"/>
  <c r="L343"/>
  <c r="L8"/>
  <c r="M8"/>
  <c r="L369"/>
  <c r="L353"/>
  <c r="L18"/>
  <c r="M18"/>
  <c r="B14" i="17"/>
  <c r="H140" i="9" s="1"/>
  <c r="H135"/>
  <c r="F132" i="28" s="1"/>
  <c r="F113"/>
  <c r="H117" i="5"/>
  <c r="I116" i="26" s="1"/>
  <c r="G113" i="28"/>
  <c r="F76"/>
  <c r="H80" i="5"/>
  <c r="I143" i="26" s="1"/>
  <c r="G76" i="28"/>
  <c r="J307" i="27"/>
  <c r="I80" i="9"/>
  <c r="K307" i="27"/>
  <c r="F79" i="28"/>
  <c r="H83" i="5"/>
  <c r="G79" i="28"/>
  <c r="H107"/>
  <c r="J111" i="5"/>
  <c r="K82" i="26" s="1"/>
  <c r="J365" i="27"/>
  <c r="J349"/>
  <c r="K350" s="1"/>
  <c r="J14"/>
  <c r="J369"/>
  <c r="K370" s="1"/>
  <c r="J353"/>
  <c r="K354" s="1"/>
  <c r="J18"/>
  <c r="R118" i="9"/>
  <c r="K119" i="5"/>
  <c r="H11" i="26"/>
  <c r="Q56" i="5"/>
  <c r="J96" i="9"/>
  <c r="I375" i="27"/>
  <c r="H103" i="9"/>
  <c r="I156" i="28"/>
  <c r="F7" i="12"/>
  <c r="R159" i="9"/>
  <c r="L156"/>
  <c r="K160" i="5"/>
  <c r="Q160" s="1"/>
  <c r="K9" i="15"/>
  <c r="F5" i="16"/>
  <c r="J138" i="5"/>
  <c r="L82" i="26"/>
  <c r="Q111" i="5"/>
  <c r="I9" i="26"/>
  <c r="J367" i="27"/>
  <c r="J351"/>
  <c r="K352" s="1"/>
  <c r="J16"/>
  <c r="K377"/>
  <c r="K368"/>
  <c r="J105" i="9"/>
  <c r="I376" i="27"/>
  <c r="H104" i="9"/>
  <c r="I373" i="27"/>
  <c r="H101" i="9"/>
  <c r="G156" i="28"/>
  <c r="D7" i="12"/>
  <c r="J156" i="9"/>
  <c r="I160" i="5"/>
  <c r="Q55" i="14"/>
  <c r="I48"/>
  <c r="N37" i="15"/>
  <c r="N38" s="1"/>
  <c r="O24"/>
  <c r="O23" s="1"/>
  <c r="N142" i="9"/>
  <c r="E168" i="10"/>
  <c r="M153"/>
  <c r="N154" s="1"/>
  <c r="R98" i="9"/>
  <c r="K99" i="5"/>
  <c r="Q99" s="1"/>
  <c r="N4" i="25"/>
  <c r="O5" s="1"/>
  <c r="M18"/>
  <c r="M16"/>
  <c r="M126" i="9"/>
  <c r="P297" i="10"/>
  <c r="P240"/>
  <c r="P241" s="1"/>
  <c r="P224"/>
  <c r="P225" s="1"/>
  <c r="P208"/>
  <c r="P209" s="1"/>
  <c r="P192"/>
  <c r="P193" s="1"/>
  <c r="P176"/>
  <c r="P177" s="1"/>
  <c r="P160"/>
  <c r="P161" s="1"/>
  <c r="P59"/>
  <c r="P60" s="1"/>
  <c r="F108" i="28"/>
  <c r="H112" i="5"/>
  <c r="I83" i="26" s="1"/>
  <c r="L313" i="27"/>
  <c r="K83" i="9"/>
  <c r="F26" i="24"/>
  <c r="F27" i="19"/>
  <c r="J18" i="15"/>
  <c r="J21" s="1"/>
  <c r="J17"/>
  <c r="G136" i="28"/>
  <c r="D11" i="12"/>
  <c r="I140" i="5"/>
  <c r="D31" i="17"/>
  <c r="J137" i="9" s="1"/>
  <c r="J313" i="27"/>
  <c r="I83" i="9"/>
  <c r="K313" i="27"/>
  <c r="N259" i="10"/>
  <c r="D26" i="24"/>
  <c r="D27" i="19"/>
  <c r="J34" i="28"/>
  <c r="L38" i="5"/>
  <c r="O61" i="27"/>
  <c r="K378"/>
  <c r="J106" i="9"/>
  <c r="K374" i="27"/>
  <c r="K362"/>
  <c r="J102" i="9"/>
  <c r="K344" i="27"/>
  <c r="J93" i="9"/>
  <c r="H109" i="28"/>
  <c r="J113" i="5"/>
  <c r="K84" i="26" s="1"/>
  <c r="L363" i="27"/>
  <c r="L347"/>
  <c r="L12"/>
  <c r="M12"/>
  <c r="K9" i="26"/>
  <c r="L367" i="27"/>
  <c r="L351"/>
  <c r="L16"/>
  <c r="M16"/>
  <c r="L261" i="10"/>
  <c r="M257"/>
  <c r="F109" i="28"/>
  <c r="H113" i="5"/>
  <c r="I84" i="26" s="1"/>
  <c r="K375" i="27"/>
  <c r="K364"/>
  <c r="J103" i="9"/>
  <c r="I378" i="27"/>
  <c r="H106" i="9"/>
  <c r="I374" i="27"/>
  <c r="H102" i="9"/>
  <c r="M447" i="27"/>
  <c r="M355"/>
  <c r="K20" i="15"/>
  <c r="L20"/>
  <c r="J19" i="27"/>
  <c r="F52" i="28"/>
  <c r="H56" i="5"/>
  <c r="I11" i="26" s="1"/>
  <c r="G52" i="28"/>
  <c r="R97" i="9"/>
  <c r="K98" i="5"/>
  <c r="Q98" s="1"/>
  <c r="R93" i="9"/>
  <c r="K94" i="5"/>
  <c r="Q94" s="1"/>
  <c r="R94" i="9"/>
  <c r="K95" i="5"/>
  <c r="Q95" s="1"/>
  <c r="J99" i="9"/>
  <c r="K33" i="28"/>
  <c r="M37" i="5"/>
  <c r="E41" i="25"/>
  <c r="D14" i="14"/>
  <c r="D16" s="1"/>
  <c r="K14" i="27"/>
  <c r="K61" i="15"/>
  <c r="I107" i="28"/>
  <c r="I133"/>
  <c r="E425" i="27"/>
  <c r="Q49" i="14"/>
  <c r="Q67" i="15"/>
  <c r="G132" i="28"/>
  <c r="D12" i="12"/>
  <c r="K8" i="27"/>
  <c r="R96" i="9"/>
  <c r="R114"/>
  <c r="I134" i="28"/>
  <c r="Q17" i="34" l="1"/>
  <c r="G24" i="28"/>
  <c r="L27" i="9"/>
  <c r="M16" i="34" s="1"/>
  <c r="R16" s="1"/>
  <c r="J118" i="10"/>
  <c r="J119" s="1"/>
  <c r="I28" i="5"/>
  <c r="L13" i="10"/>
  <c r="R12"/>
  <c r="L20"/>
  <c r="M20" s="1"/>
  <c r="N20" s="1"/>
  <c r="O20" s="1"/>
  <c r="P20" s="1"/>
  <c r="Q20" s="1"/>
  <c r="J99"/>
  <c r="G158" i="28"/>
  <c r="I162" i="5"/>
  <c r="E34" i="19" s="1"/>
  <c r="I68" i="14"/>
  <c r="D8" i="12"/>
  <c r="H158" i="28"/>
  <c r="H24"/>
  <c r="K118" i="10"/>
  <c r="K119" s="1"/>
  <c r="J28" i="5"/>
  <c r="L23" i="9"/>
  <c r="M12" i="34" s="1"/>
  <c r="R12" s="1"/>
  <c r="J78" i="10"/>
  <c r="J79" s="1"/>
  <c r="I24" i="5"/>
  <c r="G20" i="28"/>
  <c r="I158"/>
  <c r="R161" i="9"/>
  <c r="F8" i="12"/>
  <c r="K68" i="14"/>
  <c r="K162" i="5"/>
  <c r="L22" i="10"/>
  <c r="M22" s="1"/>
  <c r="N22" s="1"/>
  <c r="O22" s="1"/>
  <c r="P22" s="1"/>
  <c r="Q22" s="1"/>
  <c r="R14"/>
  <c r="L15"/>
  <c r="J24" i="5"/>
  <c r="K78" i="10"/>
  <c r="K79" s="1"/>
  <c r="R84" s="1"/>
  <c r="H20" i="28"/>
  <c r="H23"/>
  <c r="K108" i="10"/>
  <c r="J27" i="5"/>
  <c r="R177" i="10"/>
  <c r="I119"/>
  <c r="G73" i="14"/>
  <c r="H71"/>
  <c r="L26" i="9"/>
  <c r="M15" i="34" s="1"/>
  <c r="R15" s="1"/>
  <c r="J108" i="10"/>
  <c r="I27" i="5"/>
  <c r="G23" i="28"/>
  <c r="I89" i="10"/>
  <c r="J145"/>
  <c r="J150"/>
  <c r="K145"/>
  <c r="N146"/>
  <c r="M150"/>
  <c r="K98"/>
  <c r="H22" i="28"/>
  <c r="J26" i="5"/>
  <c r="J29"/>
  <c r="K128" i="10"/>
  <c r="I70" i="14"/>
  <c r="G159" i="28"/>
  <c r="I163" i="5"/>
  <c r="E35" i="19" s="1"/>
  <c r="H159" i="28"/>
  <c r="G72" i="14"/>
  <c r="H69"/>
  <c r="N504" i="27"/>
  <c r="N505" s="1"/>
  <c r="J13" i="28"/>
  <c r="L17" i="5"/>
  <c r="I159" i="28"/>
  <c r="R162" i="9"/>
  <c r="K70" i="14"/>
  <c r="K163" i="5"/>
  <c r="L24" i="9"/>
  <c r="M13" i="34" s="1"/>
  <c r="R13" s="1"/>
  <c r="G21" i="28"/>
  <c r="I25" i="5"/>
  <c r="J88" i="10"/>
  <c r="J89" s="1"/>
  <c r="I99"/>
  <c r="K89"/>
  <c r="L25" i="9"/>
  <c r="M14" i="34" s="1"/>
  <c r="R14" s="1"/>
  <c r="R175" i="10"/>
  <c r="O54"/>
  <c r="O53" s="1"/>
  <c r="M122" i="9"/>
  <c r="L122"/>
  <c r="G90" i="5"/>
  <c r="H128" i="10"/>
  <c r="G29" i="5"/>
  <c r="F25" i="28"/>
  <c r="J128" i="10"/>
  <c r="I29" i="5"/>
  <c r="G25" i="28"/>
  <c r="H25"/>
  <c r="O17" i="34"/>
  <c r="N17"/>
  <c r="M47" i="10"/>
  <c r="M46" s="1"/>
  <c r="M15" i="9" s="1"/>
  <c r="N502" i="27" s="1"/>
  <c r="N503" s="1"/>
  <c r="J170" i="9"/>
  <c r="K170" s="1"/>
  <c r="J166"/>
  <c r="I167"/>
  <c r="I168" s="1"/>
  <c r="G58" i="4"/>
  <c r="F59"/>
  <c r="J59"/>
  <c r="J61" s="1"/>
  <c r="J62" s="1"/>
  <c r="J58"/>
  <c r="G178" i="9"/>
  <c r="G179" s="1"/>
  <c r="G180"/>
  <c r="G181" s="1"/>
  <c r="G182" s="1"/>
  <c r="K178"/>
  <c r="K165"/>
  <c r="I173"/>
  <c r="G123" i="5"/>
  <c r="H122" i="26" s="1"/>
  <c r="I11" i="20"/>
  <c r="I12" s="1"/>
  <c r="L164" i="9"/>
  <c r="K22" i="4"/>
  <c r="K21"/>
  <c r="D105" i="23"/>
  <c r="E106" s="1"/>
  <c r="S388" i="27"/>
  <c r="S384"/>
  <c r="S382"/>
  <c r="S392"/>
  <c r="S390"/>
  <c r="S386"/>
  <c r="H91" i="9"/>
  <c r="I328" i="27" s="1"/>
  <c r="I340" s="1"/>
  <c r="C106" i="23"/>
  <c r="I326" i="27"/>
  <c r="I338" s="1"/>
  <c r="G91" i="5"/>
  <c r="I88" i="9"/>
  <c r="J322" i="27" s="1"/>
  <c r="D100" i="23"/>
  <c r="E100"/>
  <c r="I86" i="9"/>
  <c r="J318" i="27" s="1"/>
  <c r="D96" i="23"/>
  <c r="E96"/>
  <c r="I322" i="27"/>
  <c r="I334" s="1"/>
  <c r="G89" i="5"/>
  <c r="I318" i="27"/>
  <c r="I330" s="1"/>
  <c r="G87" i="5"/>
  <c r="K90" i="9"/>
  <c r="L326" i="27" s="1"/>
  <c r="F104" i="23"/>
  <c r="F100"/>
  <c r="K88" i="9"/>
  <c r="L322" i="27" s="1"/>
  <c r="F105" i="23"/>
  <c r="J123" i="28"/>
  <c r="M125" i="9"/>
  <c r="I89"/>
  <c r="J324" i="27" s="1"/>
  <c r="D102" i="23"/>
  <c r="E102"/>
  <c r="I90" i="9"/>
  <c r="J326" i="27" s="1"/>
  <c r="D104" i="23"/>
  <c r="E104"/>
  <c r="I87" i="9"/>
  <c r="J320" i="27" s="1"/>
  <c r="D98" i="23"/>
  <c r="E98"/>
  <c r="K87" i="9"/>
  <c r="L320" i="27" s="1"/>
  <c r="F98" i="23"/>
  <c r="K86" i="9"/>
  <c r="L318" i="27" s="1"/>
  <c r="F96" i="23"/>
  <c r="K89" i="9"/>
  <c r="L324" i="27" s="1"/>
  <c r="F102" i="23"/>
  <c r="M28" i="25"/>
  <c r="N29" s="1"/>
  <c r="H101" i="5"/>
  <c r="F97" i="28"/>
  <c r="M376" i="27"/>
  <c r="L104" i="9"/>
  <c r="K105" i="5" s="1"/>
  <c r="F78" i="28"/>
  <c r="H82" i="5"/>
  <c r="I148" i="26" s="1"/>
  <c r="M379" i="27"/>
  <c r="L107" i="9"/>
  <c r="K108" i="5" s="1"/>
  <c r="L78" i="9"/>
  <c r="M303" i="27"/>
  <c r="L81" i="9"/>
  <c r="M309" i="27"/>
  <c r="H81" i="28"/>
  <c r="J85" i="5"/>
  <c r="H97" i="28"/>
  <c r="J101" i="5"/>
  <c r="M374" i="27"/>
  <c r="L102" i="9"/>
  <c r="K103" i="5" s="1"/>
  <c r="M373" i="27"/>
  <c r="L101" i="9"/>
  <c r="K102" i="5" s="1"/>
  <c r="G78" i="28"/>
  <c r="M377" i="27"/>
  <c r="H85" i="5"/>
  <c r="F81" i="28"/>
  <c r="J82" i="5"/>
  <c r="K148" i="26" s="1"/>
  <c r="H78" i="28"/>
  <c r="H75"/>
  <c r="J79" i="5"/>
  <c r="K142" i="26" s="1"/>
  <c r="F75" i="28"/>
  <c r="H79" i="5"/>
  <c r="I142" i="26" s="1"/>
  <c r="J148"/>
  <c r="I81" i="5"/>
  <c r="L84" i="9"/>
  <c r="M315" i="27"/>
  <c r="L100" i="9"/>
  <c r="M358" i="27"/>
  <c r="G97" i="28"/>
  <c r="G81"/>
  <c r="M444" i="27"/>
  <c r="L121" i="9"/>
  <c r="Q65" i="5"/>
  <c r="L102" i="26"/>
  <c r="L99"/>
  <c r="L103"/>
  <c r="L154"/>
  <c r="L100"/>
  <c r="L104"/>
  <c r="L101"/>
  <c r="L119" i="9"/>
  <c r="M446" i="27"/>
  <c r="M316"/>
  <c r="M38"/>
  <c r="M433"/>
  <c r="M304"/>
  <c r="M341"/>
  <c r="L129" i="28"/>
  <c r="J441" i="27"/>
  <c r="J46"/>
  <c r="K46"/>
  <c r="M44"/>
  <c r="L439"/>
  <c r="L44"/>
  <c r="M46"/>
  <c r="L46"/>
  <c r="L441"/>
  <c r="G107" i="9"/>
  <c r="H379" i="27"/>
  <c r="H123" i="9"/>
  <c r="G124" i="5" s="1"/>
  <c r="H123" i="26" s="1"/>
  <c r="I455" i="27"/>
  <c r="K438"/>
  <c r="I118" i="9"/>
  <c r="J450" i="27"/>
  <c r="J438"/>
  <c r="M40"/>
  <c r="L435"/>
  <c r="L40"/>
  <c r="J51"/>
  <c r="H72" i="5"/>
  <c r="I105" i="26" s="1"/>
  <c r="F68" i="28"/>
  <c r="G68"/>
  <c r="J72" i="5"/>
  <c r="K105" i="26" s="1"/>
  <c r="L51" i="27"/>
  <c r="I68" i="28"/>
  <c r="H68"/>
  <c r="J439" i="27"/>
  <c r="K44"/>
  <c r="J44"/>
  <c r="J40"/>
  <c r="J435"/>
  <c r="K40"/>
  <c r="L438"/>
  <c r="L450"/>
  <c r="K118" i="9"/>
  <c r="M438" i="27"/>
  <c r="M36" i="15"/>
  <c r="M35" s="1"/>
  <c r="M130" i="9"/>
  <c r="N28" i="25"/>
  <c r="O29" s="1"/>
  <c r="M25"/>
  <c r="I118" i="5"/>
  <c r="J117" i="26" s="1"/>
  <c r="I123" i="5"/>
  <c r="J122" i="26" s="1"/>
  <c r="J122" i="5"/>
  <c r="K121" i="26" s="1"/>
  <c r="H118" i="28"/>
  <c r="D30" i="17"/>
  <c r="J136" i="9" s="1"/>
  <c r="H133" i="28" s="1"/>
  <c r="C12" i="12"/>
  <c r="J123" i="9"/>
  <c r="K455" i="27"/>
  <c r="N74" i="10"/>
  <c r="O72"/>
  <c r="I122" i="5"/>
  <c r="J121" i="26" s="1"/>
  <c r="G118" i="28"/>
  <c r="I121" i="5"/>
  <c r="J120" i="26" s="1"/>
  <c r="P24" i="15"/>
  <c r="O37"/>
  <c r="O38" s="1"/>
  <c r="P23"/>
  <c r="O142" i="9"/>
  <c r="Q63" i="25"/>
  <c r="Q132" i="9" s="1"/>
  <c r="P132"/>
  <c r="O37"/>
  <c r="O265" i="27"/>
  <c r="O263"/>
  <c r="O261"/>
  <c r="O259"/>
  <c r="O257"/>
  <c r="O253"/>
  <c r="O255"/>
  <c r="P252"/>
  <c r="P251" s="1"/>
  <c r="P39" i="9"/>
  <c r="Q233" i="10"/>
  <c r="Q39" i="9" s="1"/>
  <c r="P38"/>
  <c r="Q217" i="10"/>
  <c r="Q38" i="9" s="1"/>
  <c r="L99"/>
  <c r="M455" i="27"/>
  <c r="L123" i="9"/>
  <c r="G103" i="5"/>
  <c r="R102" i="9"/>
  <c r="G107" i="5"/>
  <c r="Q107" s="1"/>
  <c r="R106" i="9"/>
  <c r="I104" i="5"/>
  <c r="L377" i="27"/>
  <c r="L368"/>
  <c r="K105" i="9"/>
  <c r="M368" i="27"/>
  <c r="L375"/>
  <c r="L364"/>
  <c r="K103" i="9"/>
  <c r="M364" i="27"/>
  <c r="I107" i="5"/>
  <c r="O259" i="10"/>
  <c r="E5" i="16"/>
  <c r="J9" i="15"/>
  <c r="K10" s="1"/>
  <c r="I138" i="5"/>
  <c r="J88"/>
  <c r="H80" i="28"/>
  <c r="J84" i="5"/>
  <c r="L127"/>
  <c r="M133" i="9"/>
  <c r="M17" i="25"/>
  <c r="M127" i="9"/>
  <c r="J124" i="28" s="1"/>
  <c r="N153" i="10"/>
  <c r="M34" i="9"/>
  <c r="K139" i="28"/>
  <c r="M143" i="5"/>
  <c r="I28" i="16" s="1"/>
  <c r="M4" i="20"/>
  <c r="K165" i="5"/>
  <c r="G153" i="28"/>
  <c r="D5" i="12"/>
  <c r="I157" i="5"/>
  <c r="J377" i="27"/>
  <c r="J368"/>
  <c r="I105" i="9"/>
  <c r="K11" i="15"/>
  <c r="L118" i="26"/>
  <c r="Q119" i="5"/>
  <c r="J378" i="27"/>
  <c r="J370"/>
  <c r="I106" i="9"/>
  <c r="J350" i="27"/>
  <c r="I96" i="9"/>
  <c r="F77" i="28"/>
  <c r="G77"/>
  <c r="L354" i="27"/>
  <c r="K98" i="9"/>
  <c r="M354" i="27"/>
  <c r="L344"/>
  <c r="K93" i="9"/>
  <c r="M344" i="27"/>
  <c r="M26" i="25"/>
  <c r="M129" i="9"/>
  <c r="O46" i="25"/>
  <c r="N25"/>
  <c r="O45"/>
  <c r="P46" s="1"/>
  <c r="N131" i="9"/>
  <c r="K128" i="28" s="1"/>
  <c r="E429" i="27"/>
  <c r="E427"/>
  <c r="E419"/>
  <c r="E421"/>
  <c r="I19" i="15"/>
  <c r="D17" i="16"/>
  <c r="H142" i="5"/>
  <c r="G138" i="28"/>
  <c r="L33"/>
  <c r="N37" i="5"/>
  <c r="I108"/>
  <c r="M65" i="10"/>
  <c r="M19" i="9"/>
  <c r="M69" i="10"/>
  <c r="M21" i="9"/>
  <c r="F112" i="28"/>
  <c r="H116" i="5"/>
  <c r="I87" i="26" s="1"/>
  <c r="I95" i="5"/>
  <c r="F86" i="28"/>
  <c r="H90" i="5"/>
  <c r="G86" i="28"/>
  <c r="F87"/>
  <c r="G87"/>
  <c r="F83"/>
  <c r="H87" i="5"/>
  <c r="G83" i="28"/>
  <c r="H87"/>
  <c r="J348" i="27"/>
  <c r="I95" i="9"/>
  <c r="K51" i="15"/>
  <c r="K8"/>
  <c r="I105" i="5"/>
  <c r="I379" i="27"/>
  <c r="H107" i="9"/>
  <c r="L120" i="26"/>
  <c r="Q121" i="5"/>
  <c r="J374" i="27"/>
  <c r="J362"/>
  <c r="I102" i="9"/>
  <c r="J344" i="27"/>
  <c r="I93" i="9"/>
  <c r="G90" i="28" s="1"/>
  <c r="I18" i="15"/>
  <c r="I21" s="1"/>
  <c r="C11" i="12"/>
  <c r="H140" i="5"/>
  <c r="D27" i="16"/>
  <c r="D26"/>
  <c r="L350" i="27"/>
  <c r="K96" i="9"/>
  <c r="M350" i="27"/>
  <c r="L346"/>
  <c r="K94" i="9"/>
  <c r="M346" i="27"/>
  <c r="P90" i="14"/>
  <c r="P42"/>
  <c r="P43" s="1"/>
  <c r="N258" i="27"/>
  <c r="N262"/>
  <c r="N266"/>
  <c r="N256"/>
  <c r="N160" i="9"/>
  <c r="N59" i="14"/>
  <c r="N58" s="1"/>
  <c r="N133" i="5"/>
  <c r="J3" i="18" s="1"/>
  <c r="L36" i="28"/>
  <c r="N40" i="5"/>
  <c r="O62" i="10"/>
  <c r="O50"/>
  <c r="O51" s="1"/>
  <c r="P30"/>
  <c r="P29" s="1"/>
  <c r="O12" i="9"/>
  <c r="P496" i="27" s="1"/>
  <c r="P497" s="1"/>
  <c r="L131" i="5"/>
  <c r="P202" i="10"/>
  <c r="P201" s="1"/>
  <c r="B15" i="17"/>
  <c r="H141" i="9" s="1"/>
  <c r="E423" i="27"/>
  <c r="L10" i="15"/>
  <c r="L52"/>
  <c r="Q54"/>
  <c r="Q193" i="10"/>
  <c r="Q225"/>
  <c r="Q177"/>
  <c r="I100" i="5"/>
  <c r="J371" i="27"/>
  <c r="J355"/>
  <c r="J20"/>
  <c r="K20"/>
  <c r="N257" i="10"/>
  <c r="L352" i="27"/>
  <c r="K97" i="9"/>
  <c r="M352" i="27"/>
  <c r="L348"/>
  <c r="K95" i="9"/>
  <c r="M348" i="27"/>
  <c r="I94" i="5"/>
  <c r="G99" i="28"/>
  <c r="I103" i="5"/>
  <c r="Q59" i="27"/>
  <c r="P61"/>
  <c r="F84" i="28"/>
  <c r="H88" i="5"/>
  <c r="G84" i="28"/>
  <c r="F85"/>
  <c r="G85"/>
  <c r="F80"/>
  <c r="H84" i="5"/>
  <c r="G80" i="28"/>
  <c r="E4" i="16"/>
  <c r="J6" i="15"/>
  <c r="I137" i="5"/>
  <c r="D10" i="12"/>
  <c r="H85" i="28"/>
  <c r="J89" i="5"/>
  <c r="N18" i="25"/>
  <c r="N16"/>
  <c r="O4"/>
  <c r="P5" s="1"/>
  <c r="N126" i="9"/>
  <c r="M19" i="25"/>
  <c r="M128" i="9"/>
  <c r="J125" i="28" s="1"/>
  <c r="G102" i="5"/>
  <c r="Q102" s="1"/>
  <c r="G105"/>
  <c r="Q105" s="1"/>
  <c r="G102" i="28"/>
  <c r="I106" i="5"/>
  <c r="J352" i="27"/>
  <c r="I97" i="9"/>
  <c r="I153" i="28"/>
  <c r="F5" i="12"/>
  <c r="R156" i="9"/>
  <c r="K157" i="5"/>
  <c r="Q157" s="1"/>
  <c r="G104"/>
  <c r="Q104" s="1"/>
  <c r="R103" i="9"/>
  <c r="G93" i="28"/>
  <c r="I97" i="5"/>
  <c r="J354" i="27"/>
  <c r="I98" i="9"/>
  <c r="G95" i="28" s="1"/>
  <c r="J376" i="27"/>
  <c r="J366"/>
  <c r="I104" i="9"/>
  <c r="I149" i="26"/>
  <c r="H81" i="5"/>
  <c r="B29" i="17"/>
  <c r="H4" i="15"/>
  <c r="J5" s="1"/>
  <c r="H147" i="9"/>
  <c r="F144" i="28" s="1"/>
  <c r="H139" i="9"/>
  <c r="G136" i="5"/>
  <c r="C6" i="16"/>
  <c r="R135" i="9"/>
  <c r="C16" i="16"/>
  <c r="H16" i="15"/>
  <c r="G141" i="5"/>
  <c r="Q141" s="1"/>
  <c r="R140" i="9"/>
  <c r="L378" i="27"/>
  <c r="L370"/>
  <c r="K106" i="9"/>
  <c r="M370" i="27"/>
  <c r="L373"/>
  <c r="L360"/>
  <c r="K101" i="9"/>
  <c r="M360" i="27"/>
  <c r="K149" i="26"/>
  <c r="J81" i="5"/>
  <c r="L132"/>
  <c r="H4" i="18" s="1"/>
  <c r="D44" i="14"/>
  <c r="M58" i="15"/>
  <c r="M49"/>
  <c r="M50" s="1"/>
  <c r="N36"/>
  <c r="N35" s="1"/>
  <c r="M144" i="9"/>
  <c r="Q185" i="10"/>
  <c r="Q36" i="9" s="1"/>
  <c r="P36"/>
  <c r="L371" i="27"/>
  <c r="L355"/>
  <c r="L20"/>
  <c r="M20"/>
  <c r="J15" i="28"/>
  <c r="L19" i="5"/>
  <c r="M67" i="10"/>
  <c r="M20" i="9"/>
  <c r="G33" i="27"/>
  <c r="G49" s="1"/>
  <c r="G19"/>
  <c r="G35" s="1"/>
  <c r="G51" s="1"/>
  <c r="L14" i="15"/>
  <c r="G92" i="28"/>
  <c r="I96" i="5"/>
  <c r="L117" i="26"/>
  <c r="Q118" i="5"/>
  <c r="G106"/>
  <c r="Q106" s="1"/>
  <c r="R105" i="9"/>
  <c r="I102" i="5"/>
  <c r="I99"/>
  <c r="C5" i="12"/>
  <c r="F153" i="28"/>
  <c r="H157" i="5"/>
  <c r="R65" i="15"/>
  <c r="E5" i="12"/>
  <c r="H153" i="28"/>
  <c r="J157" i="5"/>
  <c r="H86" i="28"/>
  <c r="H83"/>
  <c r="G112"/>
  <c r="I116" i="5"/>
  <c r="J87" i="26" s="1"/>
  <c r="G94" i="28"/>
  <c r="I98" i="5"/>
  <c r="J375" i="27"/>
  <c r="J364"/>
  <c r="I103" i="9"/>
  <c r="H112" i="28"/>
  <c r="J116" i="5"/>
  <c r="K87" i="26" s="1"/>
  <c r="I112" i="28"/>
  <c r="J346" i="27"/>
  <c r="I94" i="9"/>
  <c r="J373" i="27"/>
  <c r="J360"/>
  <c r="I101" i="9"/>
  <c r="C15" i="12"/>
  <c r="I60" i="15"/>
  <c r="H148" i="5"/>
  <c r="D33" i="16" s="1"/>
  <c r="C31" i="17"/>
  <c r="I137" i="9" s="1"/>
  <c r="I5" i="15"/>
  <c r="L376" i="27"/>
  <c r="L366"/>
  <c r="K104" i="9"/>
  <c r="M366" i="27"/>
  <c r="L374"/>
  <c r="L362"/>
  <c r="K102" i="9"/>
  <c r="M362" i="27"/>
  <c r="P82" i="14"/>
  <c r="P14"/>
  <c r="P15" s="1"/>
  <c r="N254" i="27"/>
  <c r="N260"/>
  <c r="N264"/>
  <c r="J157" i="28"/>
  <c r="L49" i="14"/>
  <c r="L50" s="1"/>
  <c r="L27"/>
  <c r="L161" i="5"/>
  <c r="L35" i="28"/>
  <c r="N39" i="5"/>
  <c r="N48" i="10"/>
  <c r="N49" s="1"/>
  <c r="K9" i="28"/>
  <c r="M13" i="5"/>
  <c r="N68" i="10"/>
  <c r="N66"/>
  <c r="N64"/>
  <c r="N63"/>
  <c r="N18" i="9"/>
  <c r="K34" i="28"/>
  <c r="M38" i="5"/>
  <c r="M261" i="10"/>
  <c r="H134" i="28"/>
  <c r="Q51" i="14"/>
  <c r="K366" i="27"/>
  <c r="L7" i="14"/>
  <c r="L6" s="1"/>
  <c r="F137" i="28"/>
  <c r="Q60" i="10"/>
  <c r="Q209"/>
  <c r="Q241"/>
  <c r="Q161"/>
  <c r="J87" i="5" l="1"/>
  <c r="J90"/>
  <c r="R104" i="9"/>
  <c r="R101"/>
  <c r="H89" i="5"/>
  <c r="J91"/>
  <c r="H91"/>
  <c r="H84" i="28"/>
  <c r="Q103" i="5"/>
  <c r="G92"/>
  <c r="K99" i="10"/>
  <c r="M99"/>
  <c r="P54"/>
  <c r="O16" i="9"/>
  <c r="P53" i="10"/>
  <c r="Q163" i="5"/>
  <c r="G35" i="19"/>
  <c r="I73" i="14"/>
  <c r="I71"/>
  <c r="J71"/>
  <c r="I23" i="28"/>
  <c r="L108" i="10"/>
  <c r="K27" i="5"/>
  <c r="Q27" s="1"/>
  <c r="R26" i="9"/>
  <c r="R108" i="10" s="1"/>
  <c r="K69" i="14"/>
  <c r="Q68"/>
  <c r="K72"/>
  <c r="L72" s="1"/>
  <c r="R94" i="10"/>
  <c r="R92"/>
  <c r="O505" i="27"/>
  <c r="R122" i="10"/>
  <c r="L98"/>
  <c r="N99" s="1"/>
  <c r="R25" i="9"/>
  <c r="R98" i="10" s="1"/>
  <c r="I22" i="28"/>
  <c r="K26" i="5"/>
  <c r="Q26" s="1"/>
  <c r="L88" i="10"/>
  <c r="R24" i="9"/>
  <c r="R88" i="10" s="1"/>
  <c r="I21" i="28"/>
  <c r="K25" i="5"/>
  <c r="Q25" s="1"/>
  <c r="K73" i="14"/>
  <c r="Q70"/>
  <c r="K71"/>
  <c r="O146" i="10"/>
  <c r="N150"/>
  <c r="J109"/>
  <c r="R114"/>
  <c r="R112"/>
  <c r="K109"/>
  <c r="M109"/>
  <c r="G34" i="19"/>
  <c r="Q162" i="5"/>
  <c r="L78" i="10"/>
  <c r="R23" i="9"/>
  <c r="R78" i="10" s="1"/>
  <c r="L28" i="9"/>
  <c r="M17" i="34" s="1"/>
  <c r="R17" s="1"/>
  <c r="I20" i="28"/>
  <c r="K24" i="5"/>
  <c r="Q24" s="1"/>
  <c r="I69" i="14"/>
  <c r="I72"/>
  <c r="J69"/>
  <c r="L118" i="10"/>
  <c r="R27" i="9"/>
  <c r="R118" i="10" s="1"/>
  <c r="I24" i="28"/>
  <c r="K28" i="5"/>
  <c r="Q28" s="1"/>
  <c r="R104" i="10"/>
  <c r="R96"/>
  <c r="R184"/>
  <c r="R126"/>
  <c r="R124"/>
  <c r="I91" i="9"/>
  <c r="M451" i="27"/>
  <c r="E431"/>
  <c r="D106" i="23"/>
  <c r="J173" i="9"/>
  <c r="M11" i="20"/>
  <c r="K123" i="5"/>
  <c r="R122" i="9"/>
  <c r="N130"/>
  <c r="J129" i="10"/>
  <c r="K129"/>
  <c r="O28" i="25"/>
  <c r="P29" s="1"/>
  <c r="I129" i="10"/>
  <c r="N47"/>
  <c r="N46" s="1"/>
  <c r="K175" i="9"/>
  <c r="J60" i="4"/>
  <c r="F61"/>
  <c r="G62" s="1"/>
  <c r="G60"/>
  <c r="G175" i="9"/>
  <c r="K166"/>
  <c r="K173" s="1"/>
  <c r="J167"/>
  <c r="J168" s="1"/>
  <c r="L174"/>
  <c r="L169"/>
  <c r="L165"/>
  <c r="L170"/>
  <c r="L166"/>
  <c r="K28" i="4"/>
  <c r="K29" s="1"/>
  <c r="K23"/>
  <c r="K24"/>
  <c r="R164" i="9"/>
  <c r="S393" i="27"/>
  <c r="E381" s="1"/>
  <c r="J332"/>
  <c r="K321"/>
  <c r="J321"/>
  <c r="J336"/>
  <c r="K325"/>
  <c r="J325"/>
  <c r="L323"/>
  <c r="L334"/>
  <c r="J330"/>
  <c r="K319"/>
  <c r="J319"/>
  <c r="K123" i="28"/>
  <c r="N125" i="9"/>
  <c r="L336" i="27"/>
  <c r="L325"/>
  <c r="L330"/>
  <c r="L319"/>
  <c r="L321"/>
  <c r="L332"/>
  <c r="J327"/>
  <c r="J338"/>
  <c r="K327"/>
  <c r="K91" i="9"/>
  <c r="F106" i="23"/>
  <c r="L338" i="27"/>
  <c r="L327"/>
  <c r="J323"/>
  <c r="J334"/>
  <c r="K323"/>
  <c r="I97" i="28"/>
  <c r="K101" i="5"/>
  <c r="Q101" s="1"/>
  <c r="R100" i="9"/>
  <c r="R84"/>
  <c r="I81" i="28"/>
  <c r="K85" i="5"/>
  <c r="Q85" s="1"/>
  <c r="I78" i="28"/>
  <c r="R81" i="9"/>
  <c r="K82" i="5"/>
  <c r="R78" i="9"/>
  <c r="I75" i="28"/>
  <c r="K79" i="5"/>
  <c r="L79" i="9"/>
  <c r="M305" i="27"/>
  <c r="L82" i="9"/>
  <c r="M311" i="27"/>
  <c r="M306"/>
  <c r="M454"/>
  <c r="L92" i="9"/>
  <c r="M342" i="27"/>
  <c r="M453"/>
  <c r="M450"/>
  <c r="M452"/>
  <c r="M449"/>
  <c r="S462"/>
  <c r="L116" i="9"/>
  <c r="M434" i="27"/>
  <c r="M317"/>
  <c r="M312"/>
  <c r="L85" i="9"/>
  <c r="G93" i="23" s="1"/>
  <c r="R119" i="9"/>
  <c r="K120" i="5"/>
  <c r="R121" i="9"/>
  <c r="I118" i="28"/>
  <c r="K122" i="5"/>
  <c r="J130" i="28"/>
  <c r="G19" i="12"/>
  <c r="K127" i="28"/>
  <c r="M129"/>
  <c r="G18" i="12"/>
  <c r="J127" i="28"/>
  <c r="G17" i="12"/>
  <c r="J126" i="28"/>
  <c r="N129"/>
  <c r="H115"/>
  <c r="I115"/>
  <c r="J119" i="5"/>
  <c r="K118" i="26" s="1"/>
  <c r="J11" i="20"/>
  <c r="I117" i="9"/>
  <c r="J449" i="27"/>
  <c r="J436"/>
  <c r="K436"/>
  <c r="K440"/>
  <c r="I119" i="9"/>
  <c r="J451" i="27"/>
  <c r="J440"/>
  <c r="J447"/>
  <c r="J52"/>
  <c r="K52"/>
  <c r="M436"/>
  <c r="L449"/>
  <c r="K117" i="9"/>
  <c r="L436" i="27"/>
  <c r="L11" i="20"/>
  <c r="F115" i="28"/>
  <c r="G115"/>
  <c r="H119" i="5"/>
  <c r="I118" i="26" s="1"/>
  <c r="M442" i="27"/>
  <c r="L452"/>
  <c r="L442"/>
  <c r="K120" i="9"/>
  <c r="M440" i="27"/>
  <c r="L451"/>
  <c r="L440"/>
  <c r="K119" i="9"/>
  <c r="I120"/>
  <c r="J442" i="27"/>
  <c r="J452"/>
  <c r="K442"/>
  <c r="L447"/>
  <c r="L52"/>
  <c r="M52"/>
  <c r="I124" i="5"/>
  <c r="J123" i="26" s="1"/>
  <c r="O74" i="10"/>
  <c r="P72"/>
  <c r="N15" i="9"/>
  <c r="O502" i="27" s="1"/>
  <c r="O503" s="1"/>
  <c r="P133" i="5"/>
  <c r="S132" i="9"/>
  <c r="N58" i="15"/>
  <c r="N49"/>
  <c r="N50" s="1"/>
  <c r="O36"/>
  <c r="O35" s="1"/>
  <c r="N144" i="9"/>
  <c r="P4" i="25"/>
  <c r="Q5" s="1"/>
  <c r="O18"/>
  <c r="O16"/>
  <c r="O126" i="9"/>
  <c r="P37"/>
  <c r="N35" i="28"/>
  <c r="S38" i="9"/>
  <c r="S217" i="10" s="1"/>
  <c r="P39" i="5"/>
  <c r="R39" s="1"/>
  <c r="N36" i="28"/>
  <c r="S39" i="9"/>
  <c r="S233" i="10" s="1"/>
  <c r="P40" i="5"/>
  <c r="R40" s="1"/>
  <c r="P255" i="27"/>
  <c r="Q252"/>
  <c r="Q251" s="1"/>
  <c r="P265"/>
  <c r="P263"/>
  <c r="P261"/>
  <c r="P259"/>
  <c r="P257"/>
  <c r="P253"/>
  <c r="L38" i="14"/>
  <c r="L39" s="1"/>
  <c r="L28"/>
  <c r="L26" s="1"/>
  <c r="L25" s="1"/>
  <c r="I9" i="15"/>
  <c r="D5" i="16"/>
  <c r="H138" i="5"/>
  <c r="R69" i="15"/>
  <c r="M61"/>
  <c r="M60" s="1"/>
  <c r="F98" i="28"/>
  <c r="H102" i="5"/>
  <c r="F100" i="28"/>
  <c r="H104" i="5"/>
  <c r="J17" i="28"/>
  <c r="L21" i="5"/>
  <c r="L356" i="27"/>
  <c r="K99" i="9"/>
  <c r="M33" i="28"/>
  <c r="O37" i="5"/>
  <c r="J141" i="28"/>
  <c r="L145" i="5"/>
  <c r="H30" i="16" s="1"/>
  <c r="M59" i="15"/>
  <c r="M146" i="9"/>
  <c r="H98" i="28"/>
  <c r="J102" i="5"/>
  <c r="I98" i="28"/>
  <c r="H103"/>
  <c r="J107" i="5"/>
  <c r="I103" i="28"/>
  <c r="B11" i="12"/>
  <c r="G140" i="5"/>
  <c r="Q140" s="1"/>
  <c r="R139" i="9"/>
  <c r="F101" i="28"/>
  <c r="H105" i="5"/>
  <c r="N17" i="25"/>
  <c r="N127" i="9"/>
  <c r="K124" i="28" s="1"/>
  <c r="J8" i="15"/>
  <c r="J51"/>
  <c r="Q61" i="27"/>
  <c r="R59"/>
  <c r="R61" s="1"/>
  <c r="H92" i="28"/>
  <c r="J96" i="5"/>
  <c r="I92" i="28"/>
  <c r="O257" i="10"/>
  <c r="J356" i="27"/>
  <c r="I99" i="9"/>
  <c r="K356" i="27"/>
  <c r="C17" i="16"/>
  <c r="H19" i="15"/>
  <c r="G142" i="5"/>
  <c r="Q142" s="1"/>
  <c r="R141" i="9"/>
  <c r="P62" i="10"/>
  <c r="P50"/>
  <c r="P51" s="1"/>
  <c r="Q29"/>
  <c r="P12" i="9"/>
  <c r="Q496" i="27" s="1"/>
  <c r="Q497" s="1"/>
  <c r="O59" i="14"/>
  <c r="O58" s="1"/>
  <c r="O160" i="9"/>
  <c r="H91" i="28"/>
  <c r="J95" i="5"/>
  <c r="I91" i="28"/>
  <c r="G108" i="5"/>
  <c r="Q108" s="1"/>
  <c r="R107" i="9"/>
  <c r="I20" i="15"/>
  <c r="J20"/>
  <c r="P45" i="25"/>
  <c r="O25"/>
  <c r="O131" i="9"/>
  <c r="L128" i="28" s="1"/>
  <c r="H95"/>
  <c r="J99" i="5"/>
  <c r="I95" i="28"/>
  <c r="F93"/>
  <c r="H97" i="5"/>
  <c r="F103" i="28"/>
  <c r="H107" i="5"/>
  <c r="F102" i="28"/>
  <c r="H106" i="5"/>
  <c r="M22" i="20"/>
  <c r="K4" i="21"/>
  <c r="K167" i="5"/>
  <c r="K175"/>
  <c r="J31" i="28"/>
  <c r="L35" i="5"/>
  <c r="N34" i="9"/>
  <c r="O154" i="10"/>
  <c r="O153" s="1"/>
  <c r="O261"/>
  <c r="P259"/>
  <c r="R123" i="9"/>
  <c r="K124" i="5"/>
  <c r="M131"/>
  <c r="M35" i="28"/>
  <c r="O39" i="5"/>
  <c r="O256" i="27"/>
  <c r="O254"/>
  <c r="O260"/>
  <c r="O264"/>
  <c r="L34" i="28"/>
  <c r="N38" i="5"/>
  <c r="P37" i="15"/>
  <c r="P38" s="1"/>
  <c r="Q24"/>
  <c r="Q23" s="1"/>
  <c r="P142" i="9"/>
  <c r="J61" i="15"/>
  <c r="K7"/>
  <c r="K52"/>
  <c r="F138" i="28"/>
  <c r="G134"/>
  <c r="M356" i="27"/>
  <c r="Q56" i="14"/>
  <c r="N67" i="10"/>
  <c r="N20" i="9"/>
  <c r="M7" i="14"/>
  <c r="L18"/>
  <c r="M6"/>
  <c r="M149" i="9"/>
  <c r="K15" i="28"/>
  <c r="M19" i="5"/>
  <c r="N65" i="10"/>
  <c r="N19" i="9"/>
  <c r="N69" i="10"/>
  <c r="N21" i="9"/>
  <c r="H99" i="28"/>
  <c r="J103" i="5"/>
  <c r="I99" i="28"/>
  <c r="H101"/>
  <c r="J105" i="5"/>
  <c r="I101" i="28"/>
  <c r="F91"/>
  <c r="H95" i="5"/>
  <c r="L379" i="27"/>
  <c r="L372"/>
  <c r="K107" i="9"/>
  <c r="M372" i="27"/>
  <c r="N33" i="28"/>
  <c r="S36" i="9"/>
  <c r="S185" i="10" s="1"/>
  <c r="P37" i="5"/>
  <c r="R37" s="1"/>
  <c r="C27" i="16"/>
  <c r="C26"/>
  <c r="Q136" i="5"/>
  <c r="H60" i="15"/>
  <c r="R67" s="1"/>
  <c r="B15" i="12"/>
  <c r="G148" i="5"/>
  <c r="R147" i="9"/>
  <c r="B31" i="17"/>
  <c r="H137" i="9" s="1"/>
  <c r="F134" i="28" s="1"/>
  <c r="F95"/>
  <c r="H99" i="5"/>
  <c r="F94" i="28"/>
  <c r="H98" i="5"/>
  <c r="H7" i="18"/>
  <c r="L129" i="5"/>
  <c r="M127"/>
  <c r="N133" i="9"/>
  <c r="N19" i="25"/>
  <c r="N128" i="9"/>
  <c r="K125" i="28" s="1"/>
  <c r="H94"/>
  <c r="J98" i="5"/>
  <c r="I94" i="28"/>
  <c r="J379" i="27"/>
  <c r="J372"/>
  <c r="I107" i="9"/>
  <c r="K372" i="27"/>
  <c r="O48" i="10"/>
  <c r="O49" s="1"/>
  <c r="O47" s="1"/>
  <c r="O46" s="1"/>
  <c r="L9" i="28"/>
  <c r="N13" i="5"/>
  <c r="O63" i="10"/>
  <c r="O68"/>
  <c r="O66"/>
  <c r="O64"/>
  <c r="O18" i="9"/>
  <c r="K157" i="28"/>
  <c r="M27" i="14"/>
  <c r="M161" i="5"/>
  <c r="M49" i="14"/>
  <c r="M50" s="1"/>
  <c r="H93" i="28"/>
  <c r="J97" i="5"/>
  <c r="I93" i="28"/>
  <c r="F90"/>
  <c r="H94" i="5"/>
  <c r="F99" i="28"/>
  <c r="H103" i="5"/>
  <c r="F92" i="28"/>
  <c r="H96" i="5"/>
  <c r="M46" i="9"/>
  <c r="J12" i="28"/>
  <c r="L16" i="5"/>
  <c r="J18" i="28"/>
  <c r="L22" i="5"/>
  <c r="J16" i="28"/>
  <c r="L20" i="5"/>
  <c r="M132"/>
  <c r="I4" i="18" s="1"/>
  <c r="N26" i="25"/>
  <c r="N129" i="9"/>
  <c r="H18" i="12" s="1"/>
  <c r="L130" i="5"/>
  <c r="H2" i="18" s="1"/>
  <c r="H90" i="28"/>
  <c r="J94" i="5"/>
  <c r="I90" i="28"/>
  <c r="K51" i="21"/>
  <c r="H6" i="18"/>
  <c r="L128" i="5"/>
  <c r="L134"/>
  <c r="J11" i="15"/>
  <c r="J14" s="1"/>
  <c r="J10"/>
  <c r="H100" i="28"/>
  <c r="J104" i="5"/>
  <c r="I100" i="28"/>
  <c r="H102"/>
  <c r="J106" i="5"/>
  <c r="I102" i="28"/>
  <c r="I4" i="20"/>
  <c r="G165" i="5"/>
  <c r="I96" i="28"/>
  <c r="R99" i="9"/>
  <c r="K100" i="5"/>
  <c r="Q100" s="1"/>
  <c r="P28" i="25"/>
  <c r="Q29" s="1"/>
  <c r="O130" i="9"/>
  <c r="M36" i="28"/>
  <c r="O40" i="5"/>
  <c r="O258" i="27"/>
  <c r="O262"/>
  <c r="O266"/>
  <c r="O133" i="5"/>
  <c r="K3" i="18" s="1"/>
  <c r="L139" i="28"/>
  <c r="N143" i="5"/>
  <c r="J28" i="16" s="1"/>
  <c r="Q202" i="10"/>
  <c r="Q201" s="1"/>
  <c r="Q37" i="9" s="1"/>
  <c r="C30" i="17"/>
  <c r="I136" i="9" s="1"/>
  <c r="G98" i="28"/>
  <c r="H18" i="15"/>
  <c r="B12" i="12"/>
  <c r="F136" i="28"/>
  <c r="I17" i="15"/>
  <c r="G101" i="28"/>
  <c r="G91"/>
  <c r="K14" i="15"/>
  <c r="J122" i="28"/>
  <c r="N261" i="10"/>
  <c r="G103" i="28"/>
  <c r="G100"/>
  <c r="R106" i="10" l="1"/>
  <c r="E176"/>
  <c r="E172"/>
  <c r="E180"/>
  <c r="E178"/>
  <c r="E182"/>
  <c r="M119"/>
  <c r="M118" s="1"/>
  <c r="N119" s="1"/>
  <c r="L119"/>
  <c r="L128"/>
  <c r="L129" s="1"/>
  <c r="K29" i="5"/>
  <c r="Q29" s="1"/>
  <c r="I25" i="28"/>
  <c r="R28" i="9"/>
  <c r="R128" i="10" s="1"/>
  <c r="L79"/>
  <c r="R82" s="1"/>
  <c r="M79"/>
  <c r="M78"/>
  <c r="N79" s="1"/>
  <c r="R86"/>
  <c r="M89"/>
  <c r="L89"/>
  <c r="M88"/>
  <c r="N89" s="1"/>
  <c r="L99"/>
  <c r="M98"/>
  <c r="L73" i="14"/>
  <c r="L70" s="1"/>
  <c r="L68"/>
  <c r="M72"/>
  <c r="Q54" i="10"/>
  <c r="Q53" s="1"/>
  <c r="Q16" i="9" s="1"/>
  <c r="P16"/>
  <c r="R102" i="10"/>
  <c r="R107" s="1"/>
  <c r="R97"/>
  <c r="E174"/>
  <c r="P146"/>
  <c r="O150"/>
  <c r="L109"/>
  <c r="N109"/>
  <c r="M108"/>
  <c r="P504" i="27"/>
  <c r="P505" s="1"/>
  <c r="L13" i="28"/>
  <c r="N17" i="5"/>
  <c r="R116" i="10"/>
  <c r="R117" s="1"/>
  <c r="R127"/>
  <c r="J328" i="27"/>
  <c r="F88" i="28"/>
  <c r="G88"/>
  <c r="H92" i="5"/>
  <c r="Q123"/>
  <c r="L122" i="26"/>
  <c r="G95" i="23"/>
  <c r="G99"/>
  <c r="G103"/>
  <c r="G97"/>
  <c r="G101"/>
  <c r="R132" i="10"/>
  <c r="R134"/>
  <c r="R136"/>
  <c r="G171" i="9"/>
  <c r="G172" s="1"/>
  <c r="G176"/>
  <c r="K167"/>
  <c r="K168" s="1"/>
  <c r="L12" i="20"/>
  <c r="M12"/>
  <c r="J12"/>
  <c r="K12"/>
  <c r="K26" i="4"/>
  <c r="K27" s="1"/>
  <c r="K25"/>
  <c r="K57"/>
  <c r="L177" i="9"/>
  <c r="S458" i="27"/>
  <c r="S460"/>
  <c r="L173" i="9"/>
  <c r="T4" i="20"/>
  <c r="I5"/>
  <c r="L328" i="27"/>
  <c r="J92" i="5"/>
  <c r="H88" i="28"/>
  <c r="L123"/>
  <c r="O125" i="9"/>
  <c r="G94" i="23"/>
  <c r="Q82" i="5"/>
  <c r="L148" i="26"/>
  <c r="L142"/>
  <c r="Q79" i="5"/>
  <c r="L121" i="26"/>
  <c r="Q122" i="5"/>
  <c r="R92" i="9"/>
  <c r="I89" i="28"/>
  <c r="K93" i="5"/>
  <c r="Q93" s="1"/>
  <c r="L80" i="9"/>
  <c r="M307" i="27"/>
  <c r="R82" i="9"/>
  <c r="I79" i="28"/>
  <c r="K83" i="5"/>
  <c r="I76" i="28"/>
  <c r="K80" i="5"/>
  <c r="R79" i="9"/>
  <c r="L119" i="26"/>
  <c r="Q120" i="5"/>
  <c r="R85" i="9"/>
  <c r="I82" i="28"/>
  <c r="K86" i="5"/>
  <c r="Q86" s="1"/>
  <c r="M313" i="27"/>
  <c r="L83" i="9"/>
  <c r="R116"/>
  <c r="I113" i="28"/>
  <c r="K117" i="5"/>
  <c r="L127" i="28"/>
  <c r="H17" i="12"/>
  <c r="K126" i="28"/>
  <c r="K130"/>
  <c r="H19" i="12"/>
  <c r="I116" i="28"/>
  <c r="J120" i="5"/>
  <c r="K119" i="26" s="1"/>
  <c r="H116" i="28"/>
  <c r="I117"/>
  <c r="J121" i="5"/>
  <c r="K120" i="26" s="1"/>
  <c r="H117" i="28"/>
  <c r="J455" i="27"/>
  <c r="I123" i="9"/>
  <c r="J448" i="27"/>
  <c r="K448"/>
  <c r="F114" i="28"/>
  <c r="H118" i="5"/>
  <c r="I117" i="26" s="1"/>
  <c r="G114" i="28"/>
  <c r="L455" i="27"/>
  <c r="K123" i="9"/>
  <c r="L448" i="27"/>
  <c r="M448"/>
  <c r="F117" i="28"/>
  <c r="H121" i="5"/>
  <c r="I120" i="26" s="1"/>
  <c r="G117" i="28"/>
  <c r="I119"/>
  <c r="J123" i="5"/>
  <c r="K122" i="26" s="1"/>
  <c r="H119" i="28"/>
  <c r="I114"/>
  <c r="J118" i="5"/>
  <c r="K117" i="26" s="1"/>
  <c r="H114" i="28"/>
  <c r="F116"/>
  <c r="G116"/>
  <c r="H120" i="5"/>
  <c r="I119" i="26" s="1"/>
  <c r="F119" i="28"/>
  <c r="H123" i="5"/>
  <c r="I122" i="26" s="1"/>
  <c r="G119" i="28"/>
  <c r="P74" i="10"/>
  <c r="Q72"/>
  <c r="Q74" s="1"/>
  <c r="B30" i="17"/>
  <c r="H136" i="9" s="1"/>
  <c r="H6" i="15" s="1"/>
  <c r="O15" i="9"/>
  <c r="P502" i="27" s="1"/>
  <c r="P503" s="1"/>
  <c r="N34" i="28"/>
  <c r="S37" i="9"/>
  <c r="S201" i="10" s="1"/>
  <c r="P38" i="5"/>
  <c r="R38" s="1"/>
  <c r="O34" i="9"/>
  <c r="P154" i="10"/>
  <c r="P153" s="1"/>
  <c r="Q154" s="1"/>
  <c r="Q265" i="27"/>
  <c r="Q263"/>
  <c r="Q261"/>
  <c r="Q259"/>
  <c r="Q257"/>
  <c r="Q253"/>
  <c r="Q255"/>
  <c r="R252"/>
  <c r="R251" s="1"/>
  <c r="L126" i="5"/>
  <c r="N131"/>
  <c r="Q28" i="25"/>
  <c r="Q130" i="9" s="1"/>
  <c r="P130"/>
  <c r="G51" i="21"/>
  <c r="G7"/>
  <c r="I28" i="20"/>
  <c r="I46" s="1"/>
  <c r="G170" i="5"/>
  <c r="G11" i="21"/>
  <c r="I36" i="20"/>
  <c r="I54" s="1"/>
  <c r="G174" i="5"/>
  <c r="G178"/>
  <c r="M130"/>
  <c r="I2" i="18" s="1"/>
  <c r="M281" i="10"/>
  <c r="M282" s="1"/>
  <c r="J43" i="28"/>
  <c r="L47" i="5"/>
  <c r="M38" i="14"/>
  <c r="M39" s="1"/>
  <c r="M28"/>
  <c r="O65" i="10"/>
  <c r="O19" i="9"/>
  <c r="O69" i="10"/>
  <c r="O21" i="9"/>
  <c r="C4" i="16"/>
  <c r="B10" i="12"/>
  <c r="H104" i="28"/>
  <c r="J108" i="5"/>
  <c r="I104" i="28"/>
  <c r="M18" i="14"/>
  <c r="N149" i="9"/>
  <c r="N7" i="14"/>
  <c r="N6" s="1"/>
  <c r="D49"/>
  <c r="D53"/>
  <c r="D55"/>
  <c r="M139" i="28"/>
  <c r="O143" i="5"/>
  <c r="K28" i="16" s="1"/>
  <c r="Q37" i="15"/>
  <c r="Q38" s="1"/>
  <c r="Q142" i="9"/>
  <c r="L123" i="26"/>
  <c r="Q124" i="5"/>
  <c r="Q259" i="10"/>
  <c r="O26" i="25"/>
  <c r="O129" i="9"/>
  <c r="I18" i="12" s="1"/>
  <c r="Q46" i="25"/>
  <c r="P25"/>
  <c r="Q45"/>
  <c r="P131" i="9"/>
  <c r="M128" i="28" s="1"/>
  <c r="L157"/>
  <c r="N49" i="14"/>
  <c r="N50" s="1"/>
  <c r="N27"/>
  <c r="N161" i="5"/>
  <c r="Q62" i="10"/>
  <c r="Q50"/>
  <c r="Q51" s="1"/>
  <c r="Q12" i="9"/>
  <c r="R496" i="27" s="1"/>
  <c r="R497" s="1"/>
  <c r="L23" i="14"/>
  <c r="M26"/>
  <c r="M25" s="1"/>
  <c r="M153" i="9"/>
  <c r="P254" i="27"/>
  <c r="P260"/>
  <c r="P264"/>
  <c r="M34" i="28"/>
  <c r="O38" i="5"/>
  <c r="P18" i="25"/>
  <c r="P16"/>
  <c r="Q4"/>
  <c r="P126" i="9"/>
  <c r="O19" i="25"/>
  <c r="O128" i="9"/>
  <c r="L125" i="28" s="1"/>
  <c r="K141"/>
  <c r="M145" i="5"/>
  <c r="I30" i="16" s="1"/>
  <c r="K12" i="28"/>
  <c r="N46" i="9"/>
  <c r="M16" i="5"/>
  <c r="R177" i="9"/>
  <c r="R173"/>
  <c r="Q165" i="5"/>
  <c r="K122" i="28"/>
  <c r="H21" i="15"/>
  <c r="M18"/>
  <c r="I6"/>
  <c r="D4" i="16"/>
  <c r="H137" i="5"/>
  <c r="C10" i="12"/>
  <c r="G133" i="28"/>
  <c r="I22" i="20"/>
  <c r="I40" s="1"/>
  <c r="G4" i="21"/>
  <c r="G167" i="5"/>
  <c r="G3" i="21"/>
  <c r="I20" i="20"/>
  <c r="I38" s="1"/>
  <c r="G166" i="5"/>
  <c r="G175"/>
  <c r="Q175" s="1"/>
  <c r="G181"/>
  <c r="L15" i="28"/>
  <c r="N19" i="5"/>
  <c r="O67" i="10"/>
  <c r="O20" i="9"/>
  <c r="F104" i="28"/>
  <c r="H108" i="5"/>
  <c r="G104" i="28"/>
  <c r="I7" i="18"/>
  <c r="M129" i="5"/>
  <c r="M134"/>
  <c r="C5" i="16"/>
  <c r="H9" i="15"/>
  <c r="H11" s="1"/>
  <c r="G138" i="5"/>
  <c r="Q138" s="1"/>
  <c r="R137" i="9"/>
  <c r="C33" i="16"/>
  <c r="Q148" i="5"/>
  <c r="K4" i="20"/>
  <c r="I165" i="5"/>
  <c r="K18" i="28"/>
  <c r="M22" i="5"/>
  <c r="K16" i="28"/>
  <c r="M20" i="5"/>
  <c r="J146" i="28"/>
  <c r="L150" i="5"/>
  <c r="L17" i="14"/>
  <c r="M150" i="9"/>
  <c r="K17" i="28"/>
  <c r="M21" i="5"/>
  <c r="K31" i="28"/>
  <c r="M35" i="5"/>
  <c r="M40" i="20"/>
  <c r="N40" s="1"/>
  <c r="N132" i="5"/>
  <c r="P160" i="9"/>
  <c r="P59" i="14"/>
  <c r="P58" s="1"/>
  <c r="P48" i="10"/>
  <c r="P49" s="1"/>
  <c r="P47" s="1"/>
  <c r="P46" s="1"/>
  <c r="M9" i="28"/>
  <c r="O13" i="5"/>
  <c r="P68" i="10"/>
  <c r="P66"/>
  <c r="P64"/>
  <c r="P63"/>
  <c r="P18" i="9"/>
  <c r="F96" i="28"/>
  <c r="H100" i="5"/>
  <c r="G96" i="28"/>
  <c r="P257" i="10"/>
  <c r="P261" s="1"/>
  <c r="I6" i="18"/>
  <c r="M128" i="5"/>
  <c r="G14" i="12"/>
  <c r="J143" i="28"/>
  <c r="L147" i="5"/>
  <c r="H32" i="16" s="1"/>
  <c r="H96" i="28"/>
  <c r="J100" i="5"/>
  <c r="M4" i="15"/>
  <c r="N61"/>
  <c r="N60" s="1"/>
  <c r="M147" i="9"/>
  <c r="I11" i="15"/>
  <c r="P258" i="27"/>
  <c r="P262"/>
  <c r="P266"/>
  <c r="P256"/>
  <c r="L122" i="28"/>
  <c r="N127" i="5"/>
  <c r="O133" i="9"/>
  <c r="O17" i="25"/>
  <c r="O127" i="9"/>
  <c r="L124" i="28" s="1"/>
  <c r="O58" i="15"/>
  <c r="O49"/>
  <c r="O50" s="1"/>
  <c r="P36"/>
  <c r="P35" s="1"/>
  <c r="O144" i="9"/>
  <c r="N59" i="15"/>
  <c r="N146" i="9"/>
  <c r="L3" i="18"/>
  <c r="R133" i="5"/>
  <c r="B22" i="12"/>
  <c r="B21"/>
  <c r="D51" i="14"/>
  <c r="R174" i="9"/>
  <c r="Q167" i="5"/>
  <c r="R166" i="9"/>
  <c r="I61" i="15"/>
  <c r="R63" s="1"/>
  <c r="R70" s="1"/>
  <c r="O99" i="10" l="1"/>
  <c r="P99"/>
  <c r="M27" i="9"/>
  <c r="N118" i="10"/>
  <c r="P109"/>
  <c r="N108"/>
  <c r="O109"/>
  <c r="M26" i="9"/>
  <c r="Q146" i="10"/>
  <c r="Q150" s="1"/>
  <c r="P150"/>
  <c r="Q504" i="27"/>
  <c r="Q505" s="1"/>
  <c r="M13" i="28"/>
  <c r="O17" i="5"/>
  <c r="N72" i="14"/>
  <c r="M68"/>
  <c r="M73"/>
  <c r="M70" s="1"/>
  <c r="M162" i="9"/>
  <c r="L71" i="14"/>
  <c r="M24" i="9"/>
  <c r="N88" i="10"/>
  <c r="O89" s="1"/>
  <c r="N78"/>
  <c r="M23" i="9"/>
  <c r="M128" i="10"/>
  <c r="S463" i="27"/>
  <c r="E461" s="1"/>
  <c r="R87" i="10"/>
  <c r="R504" i="27"/>
  <c r="R505" s="1"/>
  <c r="N13" i="28"/>
  <c r="P17" i="5"/>
  <c r="R17" s="1"/>
  <c r="S16" i="9"/>
  <c r="S53" i="10" s="1"/>
  <c r="M161" i="9"/>
  <c r="L69" i="14"/>
  <c r="M25" i="9"/>
  <c r="N98" i="10"/>
  <c r="Q99" s="1"/>
  <c r="E184"/>
  <c r="M170"/>
  <c r="M169" s="1"/>
  <c r="N170" s="1"/>
  <c r="N169" s="1"/>
  <c r="J340" i="27"/>
  <c r="J329"/>
  <c r="K329"/>
  <c r="F133" i="28"/>
  <c r="G137" i="5"/>
  <c r="Q137" s="1"/>
  <c r="R136" i="9"/>
  <c r="M77" i="10"/>
  <c r="M138"/>
  <c r="R137"/>
  <c r="I10" i="15"/>
  <c r="L167" i="9"/>
  <c r="L168" s="1"/>
  <c r="K11" i="21"/>
  <c r="K174" i="5"/>
  <c r="M36" i="20"/>
  <c r="K59" i="4"/>
  <c r="K61" s="1"/>
  <c r="K62" s="1"/>
  <c r="K58"/>
  <c r="Q174" i="5"/>
  <c r="L180" i="9"/>
  <c r="L178"/>
  <c r="F21" i="12"/>
  <c r="K178" i="5"/>
  <c r="Q178" s="1"/>
  <c r="G100" i="23"/>
  <c r="L88" i="9"/>
  <c r="M322" i="27" s="1"/>
  <c r="G102" i="23"/>
  <c r="L89" i="9"/>
  <c r="M324" i="27" s="1"/>
  <c r="L86" i="9"/>
  <c r="M318" i="27" s="1"/>
  <c r="G96" i="23"/>
  <c r="L329" i="27"/>
  <c r="L340"/>
  <c r="M123" i="28"/>
  <c r="P125" i="9"/>
  <c r="G98" i="23"/>
  <c r="L87" i="9"/>
  <c r="M320" i="27" s="1"/>
  <c r="G104" i="23"/>
  <c r="L90" i="9"/>
  <c r="M326" i="27" s="1"/>
  <c r="G105" i="23"/>
  <c r="E459" i="27"/>
  <c r="T11" i="20"/>
  <c r="I80" i="28"/>
  <c r="K84" i="5"/>
  <c r="Q84" s="1"/>
  <c r="R83" i="9"/>
  <c r="R86"/>
  <c r="K87" i="5"/>
  <c r="Q117"/>
  <c r="L116" i="26"/>
  <c r="Q80" i="5"/>
  <c r="L143" i="26"/>
  <c r="Q83" i="5"/>
  <c r="L149" i="26"/>
  <c r="K81" i="5"/>
  <c r="Q81" s="1"/>
  <c r="R80" i="9"/>
  <c r="I77" i="28"/>
  <c r="R88" i="9"/>
  <c r="K89" i="5"/>
  <c r="I86" i="28"/>
  <c r="E457" i="27"/>
  <c r="M127" i="28"/>
  <c r="L130"/>
  <c r="I19" i="12"/>
  <c r="I17"/>
  <c r="L126" i="28"/>
  <c r="N127"/>
  <c r="J124" i="5"/>
  <c r="K123" i="26" s="1"/>
  <c r="I120" i="28"/>
  <c r="H120"/>
  <c r="H124" i="5"/>
  <c r="I123" i="26" s="1"/>
  <c r="F120" i="28"/>
  <c r="G120"/>
  <c r="P58" i="15"/>
  <c r="P49"/>
  <c r="P50" s="1"/>
  <c r="Q36"/>
  <c r="Q35" s="1"/>
  <c r="P144" i="9"/>
  <c r="O61" i="15"/>
  <c r="O60" s="1"/>
  <c r="N4"/>
  <c r="N147" i="9"/>
  <c r="N153"/>
  <c r="M23" i="14"/>
  <c r="O7"/>
  <c r="N18"/>
  <c r="O6"/>
  <c r="O149" i="9"/>
  <c r="P34"/>
  <c r="Q153" i="10"/>
  <c r="P15" i="9"/>
  <c r="Q502" i="27" s="1"/>
  <c r="Q503" s="1"/>
  <c r="Q18" i="25"/>
  <c r="Q16"/>
  <c r="Q126" i="9"/>
  <c r="S130"/>
  <c r="P131" i="5"/>
  <c r="R131" s="1"/>
  <c r="R255" i="27"/>
  <c r="R265"/>
  <c r="R263"/>
  <c r="R261"/>
  <c r="R259"/>
  <c r="R257"/>
  <c r="R253"/>
  <c r="H14" i="12"/>
  <c r="K143" i="28"/>
  <c r="M147" i="5"/>
  <c r="I32" i="16" s="1"/>
  <c r="L141" i="28"/>
  <c r="N145" i="5"/>
  <c r="J30" i="16" s="1"/>
  <c r="O59" i="15"/>
  <c r="O146" i="9"/>
  <c r="J6" i="18"/>
  <c r="N128" i="5"/>
  <c r="N134"/>
  <c r="N126"/>
  <c r="J144" i="28"/>
  <c r="L148" i="5"/>
  <c r="H33" i="16" s="1"/>
  <c r="M5" i="15"/>
  <c r="M139" i="9"/>
  <c r="M135"/>
  <c r="P67" i="10"/>
  <c r="P20" i="9"/>
  <c r="R58" i="14"/>
  <c r="Q160" i="9"/>
  <c r="L4" i="20"/>
  <c r="H161" i="28"/>
  <c r="AI164" i="9"/>
  <c r="J165" i="5"/>
  <c r="I161" i="28"/>
  <c r="AJ164" i="9"/>
  <c r="J4" i="20"/>
  <c r="F161" i="28"/>
  <c r="AG164" i="9"/>
  <c r="H165" i="5"/>
  <c r="G177" i="28"/>
  <c r="AH177" i="9"/>
  <c r="G171" i="28"/>
  <c r="AH173" i="9"/>
  <c r="G163" i="28"/>
  <c r="K22" i="20"/>
  <c r="I4" i="21"/>
  <c r="I167" i="5"/>
  <c r="I11" i="21"/>
  <c r="K36" i="20"/>
  <c r="I174" i="5"/>
  <c r="I178"/>
  <c r="G41" i="21"/>
  <c r="I75" i="20"/>
  <c r="I65"/>
  <c r="G182" i="5"/>
  <c r="I26" i="20"/>
  <c r="I44" s="1"/>
  <c r="G6" i="21"/>
  <c r="G169" i="5"/>
  <c r="I51" i="15"/>
  <c r="I8"/>
  <c r="I14" s="1"/>
  <c r="I7"/>
  <c r="J7"/>
  <c r="M126" i="5"/>
  <c r="N281" i="10"/>
  <c r="N282" s="1"/>
  <c r="K43" i="28"/>
  <c r="M47" i="5"/>
  <c r="P17" i="25"/>
  <c r="P127" i="9"/>
  <c r="M124" i="28" s="1"/>
  <c r="Q63" i="10"/>
  <c r="Q68"/>
  <c r="Q66"/>
  <c r="Q64"/>
  <c r="Q18" i="9"/>
  <c r="N38" i="14"/>
  <c r="N39" s="1"/>
  <c r="N28"/>
  <c r="N26" s="1"/>
  <c r="N25" s="1"/>
  <c r="O132" i="5"/>
  <c r="P26" i="25"/>
  <c r="P129" i="9"/>
  <c r="N130" i="5"/>
  <c r="J2" i="18" s="1"/>
  <c r="H8" i="15"/>
  <c r="M8" s="1"/>
  <c r="H51"/>
  <c r="G33" i="21"/>
  <c r="I72" i="20"/>
  <c r="I61"/>
  <c r="G179" i="5"/>
  <c r="O131"/>
  <c r="Q258" i="27"/>
  <c r="Q262"/>
  <c r="Q266"/>
  <c r="J4" i="18"/>
  <c r="AH164" i="9"/>
  <c r="D21" i="12"/>
  <c r="H182" i="9"/>
  <c r="B27" i="12" s="1"/>
  <c r="B23"/>
  <c r="H179" i="9"/>
  <c r="I30" i="20"/>
  <c r="I48" s="1"/>
  <c r="G8" i="21"/>
  <c r="G171" i="5"/>
  <c r="Q257" i="10"/>
  <c r="Q261" s="1"/>
  <c r="M15" i="28"/>
  <c r="O19" i="5"/>
  <c r="P65" i="10"/>
  <c r="P19" i="9"/>
  <c r="P69" i="10"/>
  <c r="P21" i="9"/>
  <c r="M157" i="28"/>
  <c r="O27" i="14"/>
  <c r="O161" i="5"/>
  <c r="O49" i="14"/>
  <c r="O50" s="1"/>
  <c r="H2" i="19"/>
  <c r="J147" i="28"/>
  <c r="M152" i="9"/>
  <c r="M151" s="1"/>
  <c r="L151" i="5"/>
  <c r="H2" i="24" s="1"/>
  <c r="I51" i="21"/>
  <c r="I175" i="5"/>
  <c r="I181"/>
  <c r="M11" i="15"/>
  <c r="L17" i="28"/>
  <c r="N21" i="5"/>
  <c r="G5" i="21"/>
  <c r="I24" i="20"/>
  <c r="I42" s="1"/>
  <c r="G168" i="5"/>
  <c r="N18" i="15"/>
  <c r="M16"/>
  <c r="M21"/>
  <c r="M19" s="1"/>
  <c r="J7" i="18"/>
  <c r="N129" i="5"/>
  <c r="O127"/>
  <c r="M122" i="28"/>
  <c r="P133" i="9"/>
  <c r="P19" i="25"/>
  <c r="P128" i="9"/>
  <c r="M125" i="28" s="1"/>
  <c r="J150"/>
  <c r="L154" i="5"/>
  <c r="Q48" i="10"/>
  <c r="Q49" s="1"/>
  <c r="Q47" s="1"/>
  <c r="Q46" s="1"/>
  <c r="Q15" i="9" s="1"/>
  <c r="R502" i="27" s="1"/>
  <c r="R503" s="1"/>
  <c r="N9" i="28"/>
  <c r="S12" i="9"/>
  <c r="S29" i="10" s="1"/>
  <c r="P13" i="5"/>
  <c r="R13" s="1"/>
  <c r="Q25" i="25"/>
  <c r="Q131" i="9"/>
  <c r="N128" i="28" s="1"/>
  <c r="N139"/>
  <c r="S142" i="9"/>
  <c r="P143" i="5"/>
  <c r="D57" i="14"/>
  <c r="L48"/>
  <c r="L47" s="1"/>
  <c r="K146" i="28"/>
  <c r="M150" i="5"/>
  <c r="M17" i="14"/>
  <c r="N150" i="9"/>
  <c r="L18" i="28"/>
  <c r="N22" i="5"/>
  <c r="L16" i="28"/>
  <c r="N20" i="5"/>
  <c r="Q256" i="27"/>
  <c r="Q254"/>
  <c r="Q260"/>
  <c r="Q264"/>
  <c r="L31" i="28"/>
  <c r="N35" i="5"/>
  <c r="O46" i="9"/>
  <c r="L12" i="28"/>
  <c r="N16" i="5"/>
  <c r="G161" i="28"/>
  <c r="B26" i="12"/>
  <c r="I87" i="28" l="1"/>
  <c r="I83"/>
  <c r="M35" i="9"/>
  <c r="M151" i="10"/>
  <c r="N25" i="9"/>
  <c r="O98" i="10"/>
  <c r="L26" i="5"/>
  <c r="J22" i="28"/>
  <c r="L162" i="5"/>
  <c r="H34" i="19" s="1"/>
  <c r="J158" i="28"/>
  <c r="G8" i="12"/>
  <c r="J20" i="28"/>
  <c r="L24" i="5"/>
  <c r="L25"/>
  <c r="J21" i="28"/>
  <c r="N162" i="9"/>
  <c r="M71" i="14"/>
  <c r="N68"/>
  <c r="O72"/>
  <c r="N73"/>
  <c r="N70" s="1"/>
  <c r="Q109" i="10"/>
  <c r="N26" i="9"/>
  <c r="O108" i="10"/>
  <c r="O119"/>
  <c r="N27" i="9"/>
  <c r="O118" i="10"/>
  <c r="O170"/>
  <c r="O169" s="1"/>
  <c r="N151"/>
  <c r="N35" i="9"/>
  <c r="M129" i="10"/>
  <c r="M28" i="9"/>
  <c r="O79" i="10"/>
  <c r="O78" s="1"/>
  <c r="N23" i="9"/>
  <c r="N128" i="10"/>
  <c r="N24" i="9"/>
  <c r="O88" i="10"/>
  <c r="J159" i="28"/>
  <c r="L163" i="5"/>
  <c r="H35" i="19" s="1"/>
  <c r="M69" i="14"/>
  <c r="N161" i="9"/>
  <c r="J24" i="28"/>
  <c r="L28" i="5"/>
  <c r="H14" i="15"/>
  <c r="K90" i="5"/>
  <c r="Q90" s="1"/>
  <c r="R89" i="9"/>
  <c r="I85" i="28"/>
  <c r="R87" i="9"/>
  <c r="N77" i="10"/>
  <c r="N138"/>
  <c r="M142"/>
  <c r="M139"/>
  <c r="M140"/>
  <c r="N8" i="15"/>
  <c r="O8" s="1"/>
  <c r="P8" s="1"/>
  <c r="Q8" s="1"/>
  <c r="I84" i="28"/>
  <c r="K88" i="5"/>
  <c r="Q88" s="1"/>
  <c r="R90" i="9"/>
  <c r="K91" i="5"/>
  <c r="K33" i="21"/>
  <c r="M61" i="20"/>
  <c r="L179" i="9"/>
  <c r="R178"/>
  <c r="M72" i="20"/>
  <c r="N72" s="1"/>
  <c r="K179" i="5"/>
  <c r="Q179" s="1"/>
  <c r="L181" i="9"/>
  <c r="K181" i="5"/>
  <c r="Q181" s="1"/>
  <c r="L182" i="9"/>
  <c r="R180"/>
  <c r="L175"/>
  <c r="K60" i="4"/>
  <c r="K5" i="20"/>
  <c r="S10"/>
  <c r="S16"/>
  <c r="S8"/>
  <c r="S18"/>
  <c r="S14"/>
  <c r="R175" i="9"/>
  <c r="H171"/>
  <c r="AH174"/>
  <c r="AH180"/>
  <c r="N123" i="28"/>
  <c r="Q125" i="9"/>
  <c r="S125" s="1"/>
  <c r="G106" i="23"/>
  <c r="L91" i="9"/>
  <c r="M319" i="27"/>
  <c r="M330"/>
  <c r="N330" s="1"/>
  <c r="O330" s="1"/>
  <c r="M327"/>
  <c r="M338"/>
  <c r="M321"/>
  <c r="M332"/>
  <c r="N332" s="1"/>
  <c r="M325"/>
  <c r="M336"/>
  <c r="N336" s="1"/>
  <c r="M334"/>
  <c r="M323"/>
  <c r="G174" i="28"/>
  <c r="G170"/>
  <c r="Q89" i="5"/>
  <c r="Q91"/>
  <c r="Q87"/>
  <c r="E463" i="27"/>
  <c r="M130" i="28"/>
  <c r="J19" i="12"/>
  <c r="J17"/>
  <c r="M126" i="28"/>
  <c r="J18" i="12"/>
  <c r="AH166" i="9"/>
  <c r="Q34"/>
  <c r="Q46"/>
  <c r="S15"/>
  <c r="S46" i="10" s="1"/>
  <c r="N12" i="28"/>
  <c r="P16" i="5"/>
  <c r="R16" s="1"/>
  <c r="N23" i="14"/>
  <c r="O153" i="9"/>
  <c r="O4" i="15"/>
  <c r="P61"/>
  <c r="P60" s="1"/>
  <c r="O147" i="9"/>
  <c r="N73" i="20"/>
  <c r="O281" i="10"/>
  <c r="O282" s="1"/>
  <c r="L43" i="28"/>
  <c r="N47" i="5"/>
  <c r="I2" i="19"/>
  <c r="K147" i="28"/>
  <c r="M151" i="5"/>
  <c r="I2" i="24" s="1"/>
  <c r="N152" i="9"/>
  <c r="S131"/>
  <c r="P132" i="5"/>
  <c r="H8" i="19"/>
  <c r="G2" i="12"/>
  <c r="J148" i="28"/>
  <c r="L22" i="14"/>
  <c r="L40" s="1"/>
  <c r="L41" s="1"/>
  <c r="L37" s="1"/>
  <c r="L36" s="1"/>
  <c r="L152" i="5"/>
  <c r="H8" i="24" s="1"/>
  <c r="K7" i="18"/>
  <c r="O129" i="5"/>
  <c r="O134"/>
  <c r="M20" i="15"/>
  <c r="M141" i="9"/>
  <c r="N21" i="15"/>
  <c r="N19" s="1"/>
  <c r="O18"/>
  <c r="N16"/>
  <c r="N11"/>
  <c r="M14"/>
  <c r="M12" s="1"/>
  <c r="I41" i="21"/>
  <c r="K75" i="20"/>
  <c r="K65"/>
  <c r="I182" i="5"/>
  <c r="J149" i="28"/>
  <c r="L34" i="14"/>
  <c r="L153" i="5"/>
  <c r="M18" i="28"/>
  <c r="O22" i="5"/>
  <c r="M16" i="28"/>
  <c r="O20" i="5"/>
  <c r="G34" i="21"/>
  <c r="I73" i="20"/>
  <c r="I63"/>
  <c r="G180" i="5"/>
  <c r="O130"/>
  <c r="K2" i="18" s="1"/>
  <c r="Q65" i="10"/>
  <c r="Q19" i="9"/>
  <c r="Q69" i="10"/>
  <c r="Q21" i="9"/>
  <c r="K54" i="20"/>
  <c r="F162" i="28"/>
  <c r="H3" i="21"/>
  <c r="J20" i="20"/>
  <c r="AG165" i="9"/>
  <c r="H166" i="5"/>
  <c r="F171" i="28"/>
  <c r="AG174" i="9"/>
  <c r="H175" i="5"/>
  <c r="F177" i="28"/>
  <c r="AG180" i="9"/>
  <c r="H181" i="5"/>
  <c r="AH181" i="9"/>
  <c r="J5" i="20"/>
  <c r="J4" i="21"/>
  <c r="L22" i="20"/>
  <c r="H163" i="28"/>
  <c r="AI166" i="9"/>
  <c r="J167" i="5"/>
  <c r="I163" i="28"/>
  <c r="AJ166" i="9"/>
  <c r="H170" i="28"/>
  <c r="J11" i="21"/>
  <c r="L36" i="20"/>
  <c r="AI173" i="9"/>
  <c r="J174" i="5"/>
  <c r="I170" i="28"/>
  <c r="AJ173" i="9"/>
  <c r="H174" i="28"/>
  <c r="AI177" i="9"/>
  <c r="J178" i="5"/>
  <c r="AJ177" i="9"/>
  <c r="I174" i="28"/>
  <c r="J51" i="21"/>
  <c r="J136" i="28"/>
  <c r="L140" i="5"/>
  <c r="R254" i="27"/>
  <c r="R260"/>
  <c r="R264"/>
  <c r="R256"/>
  <c r="S126" i="9"/>
  <c r="P127" i="5"/>
  <c r="R127" s="1"/>
  <c r="Q133" i="9"/>
  <c r="Q19" i="25"/>
  <c r="Q128" i="9"/>
  <c r="N125" i="28" s="1"/>
  <c r="L146"/>
  <c r="N150" i="5"/>
  <c r="N17" i="14"/>
  <c r="O150" i="9"/>
  <c r="K150" i="28"/>
  <c r="N151" i="9"/>
  <c r="M154" i="5"/>
  <c r="K144" i="28"/>
  <c r="M148" i="5"/>
  <c r="I33" i="16" s="1"/>
  <c r="M141" i="28"/>
  <c r="O145" i="5"/>
  <c r="K30" i="16" s="1"/>
  <c r="K4" i="18"/>
  <c r="J179" i="9"/>
  <c r="C22" i="12"/>
  <c r="C21"/>
  <c r="M6" i="15"/>
  <c r="G25" i="21"/>
  <c r="I69" i="20"/>
  <c r="I56"/>
  <c r="G176" i="5"/>
  <c r="H176" i="9"/>
  <c r="B25" i="12" s="1"/>
  <c r="M48" i="14"/>
  <c r="M158" i="9"/>
  <c r="M47" i="14"/>
  <c r="L28" i="16"/>
  <c r="R143" i="5"/>
  <c r="Q26" i="25"/>
  <c r="Q129" i="9"/>
  <c r="O126" i="5"/>
  <c r="M17" i="15"/>
  <c r="M140" i="9"/>
  <c r="O38" i="14"/>
  <c r="O39" s="1"/>
  <c r="O28"/>
  <c r="O26" s="1"/>
  <c r="O25" s="1"/>
  <c r="G42" i="21"/>
  <c r="I76" i="20"/>
  <c r="I67"/>
  <c r="G183" i="5"/>
  <c r="N15" i="28"/>
  <c r="S18" i="9"/>
  <c r="S62" i="10" s="1"/>
  <c r="P19" i="5"/>
  <c r="R19" s="1"/>
  <c r="Q67" i="10"/>
  <c r="Q20" i="9"/>
  <c r="K6" i="18"/>
  <c r="O128" i="5"/>
  <c r="R52" i="15"/>
  <c r="I52"/>
  <c r="J52"/>
  <c r="I33" i="21"/>
  <c r="K72" i="20"/>
  <c r="K61"/>
  <c r="I179" i="5"/>
  <c r="K40" i="20"/>
  <c r="H4" i="21"/>
  <c r="J22" i="20"/>
  <c r="F163" i="28"/>
  <c r="AG166" i="9"/>
  <c r="H167" i="5"/>
  <c r="F166" i="28"/>
  <c r="H7" i="21"/>
  <c r="J28" i="20"/>
  <c r="AG169" i="9"/>
  <c r="H170" i="5"/>
  <c r="F170" i="28"/>
  <c r="H11" i="21"/>
  <c r="J36" i="20"/>
  <c r="AG173" i="9"/>
  <c r="H174" i="5"/>
  <c r="F174" i="28"/>
  <c r="AG177" i="9"/>
  <c r="H178" i="5"/>
  <c r="H51" i="21"/>
  <c r="H171" i="28"/>
  <c r="AI174" i="9"/>
  <c r="J175" i="5"/>
  <c r="I171" i="28"/>
  <c r="AJ174" i="9"/>
  <c r="H177" i="28"/>
  <c r="AI180" i="9"/>
  <c r="J181" i="5"/>
  <c r="I177" i="28"/>
  <c r="AJ180" i="9"/>
  <c r="L5" i="20"/>
  <c r="M5"/>
  <c r="N157" i="28"/>
  <c r="P49" i="14"/>
  <c r="P50" s="1"/>
  <c r="P27"/>
  <c r="S160" i="9"/>
  <c r="P161" i="5"/>
  <c r="R161" s="1"/>
  <c r="M17" i="28"/>
  <c r="O21" i="5"/>
  <c r="J132" i="28"/>
  <c r="G12" i="12"/>
  <c r="L136" i="5"/>
  <c r="I14" i="12"/>
  <c r="L143" i="28"/>
  <c r="N147" i="5"/>
  <c r="J32" i="16" s="1"/>
  <c r="R258" i="27"/>
  <c r="R262"/>
  <c r="R266"/>
  <c r="Q17" i="25"/>
  <c r="Q127" i="9"/>
  <c r="N124" i="28" s="1"/>
  <c r="M12"/>
  <c r="P46" i="9"/>
  <c r="O16" i="5"/>
  <c r="M31" i="28"/>
  <c r="O35" i="5"/>
  <c r="O18" i="14"/>
  <c r="P149" i="9"/>
  <c r="P7" i="14"/>
  <c r="P6" s="1"/>
  <c r="N5" i="15"/>
  <c r="N9"/>
  <c r="N6"/>
  <c r="N139" i="9"/>
  <c r="N135"/>
  <c r="Q58" i="15"/>
  <c r="Q49"/>
  <c r="Q50" s="1"/>
  <c r="Q144" i="9"/>
  <c r="P59" i="15"/>
  <c r="P146" i="9"/>
  <c r="J182"/>
  <c r="D27" i="12" s="1"/>
  <c r="R182" i="9"/>
  <c r="E21" i="12"/>
  <c r="M9" i="15"/>
  <c r="G15" i="12"/>
  <c r="O336" i="27" l="1"/>
  <c r="O332"/>
  <c r="K21" i="28"/>
  <c r="M25" i="5"/>
  <c r="N129" i="10"/>
  <c r="N28" i="9"/>
  <c r="P79" i="10"/>
  <c r="O23" i="9"/>
  <c r="P78" i="10"/>
  <c r="O128"/>
  <c r="J25" i="28"/>
  <c r="L29" i="5"/>
  <c r="K32" i="28"/>
  <c r="M36" i="5"/>
  <c r="O35" i="9"/>
  <c r="O151" i="10"/>
  <c r="P170"/>
  <c r="P169" s="1"/>
  <c r="K24" i="28"/>
  <c r="M28" i="5"/>
  <c r="O26" i="9"/>
  <c r="P108" i="10"/>
  <c r="O73" i="14"/>
  <c r="O70" s="1"/>
  <c r="P72"/>
  <c r="O68"/>
  <c r="K22" i="28"/>
  <c r="M26" i="5"/>
  <c r="L36"/>
  <c r="J32" i="28"/>
  <c r="M162" i="5"/>
  <c r="I34" i="19" s="1"/>
  <c r="K158" i="28"/>
  <c r="P89" i="10"/>
  <c r="P88" s="1"/>
  <c r="O24" i="9"/>
  <c r="M24" i="5"/>
  <c r="K20" i="28"/>
  <c r="N152" i="10"/>
  <c r="N33" i="9"/>
  <c r="N249" i="10"/>
  <c r="N43"/>
  <c r="P119"/>
  <c r="P118" s="1"/>
  <c r="O27" i="9"/>
  <c r="N71" i="14"/>
  <c r="O162" i="9"/>
  <c r="O161"/>
  <c r="N69" i="14"/>
  <c r="H8" i="12"/>
  <c r="M163" i="5"/>
  <c r="I35" i="19" s="1"/>
  <c r="K159" i="28"/>
  <c r="P98" i="10"/>
  <c r="O25" i="9"/>
  <c r="M43" i="10"/>
  <c r="M152"/>
  <c r="M33" i="9"/>
  <c r="M249" i="10"/>
  <c r="N334" i="27"/>
  <c r="O334" s="1"/>
  <c r="P332"/>
  <c r="Q332" s="1"/>
  <c r="R332" s="1"/>
  <c r="N338"/>
  <c r="O338" s="1"/>
  <c r="P338" s="1"/>
  <c r="Q338" s="1"/>
  <c r="R338" s="1"/>
  <c r="N142" i="10"/>
  <c r="N139"/>
  <c r="N140"/>
  <c r="O77"/>
  <c r="O138"/>
  <c r="M141"/>
  <c r="M30" i="9"/>
  <c r="M31"/>
  <c r="M144" i="10"/>
  <c r="M143"/>
  <c r="M69" i="20"/>
  <c r="N69" s="1"/>
  <c r="N70" s="1"/>
  <c r="K176" i="5"/>
  <c r="K25" i="21"/>
  <c r="M56" i="20"/>
  <c r="L176" i="9"/>
  <c r="K42" i="21"/>
  <c r="M67" i="20"/>
  <c r="M76"/>
  <c r="K183" i="5"/>
  <c r="Q183" s="1"/>
  <c r="K41" i="21"/>
  <c r="M65" i="20"/>
  <c r="M75"/>
  <c r="N75" s="1"/>
  <c r="N76" s="1"/>
  <c r="K182" i="5"/>
  <c r="Q182" s="1"/>
  <c r="F27" i="12"/>
  <c r="R181" i="9"/>
  <c r="F26" i="12"/>
  <c r="M73" i="20"/>
  <c r="R179" i="9"/>
  <c r="K34" i="21"/>
  <c r="M63" i="20"/>
  <c r="K180" i="5"/>
  <c r="Q180" s="1"/>
  <c r="Q176"/>
  <c r="H172" i="9"/>
  <c r="I171"/>
  <c r="S12" i="20"/>
  <c r="S19" s="1"/>
  <c r="E15" s="1"/>
  <c r="P330" i="27"/>
  <c r="M328"/>
  <c r="I88" i="28"/>
  <c r="R91" i="9"/>
  <c r="K92" i="5"/>
  <c r="K17" i="12"/>
  <c r="N126" i="28"/>
  <c r="K18" i="12"/>
  <c r="N130" i="28"/>
  <c r="K19" i="12"/>
  <c r="R6" i="14"/>
  <c r="P18"/>
  <c r="Q149" i="9"/>
  <c r="H166" i="28"/>
  <c r="J7" i="21"/>
  <c r="L28" i="20"/>
  <c r="AI169" i="9"/>
  <c r="J170" i="5"/>
  <c r="P153" i="9"/>
  <c r="O23" i="14"/>
  <c r="Q61" i="15"/>
  <c r="Q60" s="1"/>
  <c r="P4"/>
  <c r="P147" i="9"/>
  <c r="M10" i="15"/>
  <c r="M137" i="9"/>
  <c r="J14" i="12"/>
  <c r="M143" i="28"/>
  <c r="O147" i="5"/>
  <c r="K32" i="16" s="1"/>
  <c r="N141" i="28"/>
  <c r="S144" i="9"/>
  <c r="P145" i="5"/>
  <c r="H12" i="12"/>
  <c r="K132" i="28"/>
  <c r="M136" i="5"/>
  <c r="N7" i="15"/>
  <c r="N51"/>
  <c r="N136" i="9"/>
  <c r="P281" i="10"/>
  <c r="P282" s="1"/>
  <c r="M43" i="28"/>
  <c r="O47" i="5"/>
  <c r="L6" i="18"/>
  <c r="P128" i="5"/>
  <c r="R128" s="1"/>
  <c r="S127" i="9"/>
  <c r="H27" i="16"/>
  <c r="H26"/>
  <c r="P38" i="14"/>
  <c r="P39" s="1"/>
  <c r="P28"/>
  <c r="P26" s="1"/>
  <c r="P25" s="1"/>
  <c r="J41" i="21"/>
  <c r="L75" i="20"/>
  <c r="L65"/>
  <c r="H178" i="28"/>
  <c r="AI181" i="9"/>
  <c r="J182" i="5"/>
  <c r="I178" i="28"/>
  <c r="AJ181" i="9"/>
  <c r="H33" i="21"/>
  <c r="J72" i="20"/>
  <c r="O72" s="1"/>
  <c r="P72" s="1"/>
  <c r="J61"/>
  <c r="J62" s="1"/>
  <c r="F175" i="28"/>
  <c r="AG178" i="9"/>
  <c r="H179" i="5"/>
  <c r="J54" i="20"/>
  <c r="J37"/>
  <c r="J46"/>
  <c r="J29"/>
  <c r="H6" i="21"/>
  <c r="J26" i="20"/>
  <c r="F165" i="28"/>
  <c r="AG168" i="9"/>
  <c r="H169" i="5"/>
  <c r="J137" i="28"/>
  <c r="H16" i="16"/>
  <c r="L141" i="5"/>
  <c r="S129" i="9"/>
  <c r="P130" i="5"/>
  <c r="N48" i="14"/>
  <c r="N47" s="1"/>
  <c r="N158" i="9"/>
  <c r="M51" i="15"/>
  <c r="M52" s="1"/>
  <c r="M7"/>
  <c r="M136" i="9"/>
  <c r="H8" i="21"/>
  <c r="J30" i="20"/>
  <c r="F167" i="28"/>
  <c r="AG170" i="9"/>
  <c r="H171" i="5"/>
  <c r="L7" i="18"/>
  <c r="S128" i="9"/>
  <c r="P129" i="5"/>
  <c r="R129" s="1"/>
  <c r="S133" i="9"/>
  <c r="P134" i="5"/>
  <c r="R134" s="1"/>
  <c r="J33" i="21"/>
  <c r="L72" i="20"/>
  <c r="L61"/>
  <c r="H175" i="28"/>
  <c r="AI178" i="9"/>
  <c r="J179" i="5"/>
  <c r="I175" i="28"/>
  <c r="AJ178" i="9"/>
  <c r="L54" i="20"/>
  <c r="L37"/>
  <c r="M37"/>
  <c r="I3" i="21"/>
  <c r="K20" i="20"/>
  <c r="G162" i="28"/>
  <c r="AH165" i="9"/>
  <c r="I166" i="5"/>
  <c r="D22" i="12"/>
  <c r="I25" i="21"/>
  <c r="K69" i="20"/>
  <c r="K56"/>
  <c r="I176" i="5"/>
  <c r="J176" i="9"/>
  <c r="D25" i="12" s="1"/>
  <c r="M13" i="15"/>
  <c r="M138" i="9"/>
  <c r="N17" i="15"/>
  <c r="N140" i="9"/>
  <c r="N20" i="15"/>
  <c r="N141" i="9"/>
  <c r="L4" i="18"/>
  <c r="R132" i="5"/>
  <c r="L150" i="28"/>
  <c r="N154" i="5"/>
  <c r="K182" i="9"/>
  <c r="C23" i="12"/>
  <c r="AH178" i="9"/>
  <c r="G175" i="28"/>
  <c r="H15" i="12"/>
  <c r="K37" i="20"/>
  <c r="I42" i="21"/>
  <c r="K76" i="20"/>
  <c r="K67"/>
  <c r="I183" i="5"/>
  <c r="Q59" i="15"/>
  <c r="Q146" i="9"/>
  <c r="K136" i="28"/>
  <c r="H11" i="12"/>
  <c r="M140" i="5"/>
  <c r="N10" i="15"/>
  <c r="N137" i="9"/>
  <c r="M146" i="28"/>
  <c r="O150" i="5"/>
  <c r="O17" i="14"/>
  <c r="P150" i="9"/>
  <c r="I172"/>
  <c r="I7" i="21"/>
  <c r="K28" i="20"/>
  <c r="G166" i="28"/>
  <c r="AH169" i="9"/>
  <c r="I170" i="5"/>
  <c r="H5" i="21"/>
  <c r="J24" i="20"/>
  <c r="F164" i="28"/>
  <c r="AG167" i="9"/>
  <c r="H168" i="5"/>
  <c r="J40" i="20"/>
  <c r="O40" s="1"/>
  <c r="P40" s="1"/>
  <c r="J23"/>
  <c r="R57" i="15"/>
  <c r="E51" s="1"/>
  <c r="N17" i="28"/>
  <c r="S20" i="9"/>
  <c r="S66" i="10" s="1"/>
  <c r="P21" i="5"/>
  <c r="R21" s="1"/>
  <c r="J155" i="28"/>
  <c r="L159" i="5"/>
  <c r="G26" i="21"/>
  <c r="I70" i="20"/>
  <c r="I58"/>
  <c r="G177" i="5"/>
  <c r="G9" i="21"/>
  <c r="I32" i="20"/>
  <c r="I50" s="1"/>
  <c r="G172" i="5"/>
  <c r="I34" i="21"/>
  <c r="K73" i="20"/>
  <c r="K63"/>
  <c r="I180" i="5"/>
  <c r="I8" i="19"/>
  <c r="H2" i="12"/>
  <c r="K148" i="28"/>
  <c r="M22" i="14"/>
  <c r="M40" s="1"/>
  <c r="M41" s="1"/>
  <c r="M37" s="1"/>
  <c r="M36" s="1"/>
  <c r="M152" i="5"/>
  <c r="I8" i="24" s="1"/>
  <c r="J2" i="19"/>
  <c r="L147" i="28"/>
  <c r="O152" i="9"/>
  <c r="O151" s="1"/>
  <c r="N151" i="5"/>
  <c r="J2" i="24" s="1"/>
  <c r="L40" i="20"/>
  <c r="L23"/>
  <c r="M23"/>
  <c r="H41" i="21"/>
  <c r="J75" i="20"/>
  <c r="O75" s="1"/>
  <c r="J65"/>
  <c r="J66" s="1"/>
  <c r="F178" i="28"/>
  <c r="AG181" i="9"/>
  <c r="H182" i="5"/>
  <c r="J38" i="20"/>
  <c r="J21"/>
  <c r="S21" i="9"/>
  <c r="S68" i="10" s="1"/>
  <c r="N18" i="28"/>
  <c r="P22" i="5"/>
  <c r="R22" s="1"/>
  <c r="S19" i="9"/>
  <c r="S64" i="10" s="1"/>
  <c r="N16" i="28"/>
  <c r="P20" i="5"/>
  <c r="R20" s="1"/>
  <c r="N14" i="15"/>
  <c r="N12" s="1"/>
  <c r="O11"/>
  <c r="O9" s="1"/>
  <c r="P18"/>
  <c r="O16"/>
  <c r="O21"/>
  <c r="O19" s="1"/>
  <c r="H17" i="16"/>
  <c r="J138" i="28"/>
  <c r="L142" i="5"/>
  <c r="M154" i="9"/>
  <c r="L45" i="14"/>
  <c r="K149" i="28"/>
  <c r="M153" i="5"/>
  <c r="M34" i="14"/>
  <c r="L144" i="28"/>
  <c r="N148" i="5"/>
  <c r="J33" i="16" s="1"/>
  <c r="O6" i="15"/>
  <c r="O5"/>
  <c r="O139" i="9"/>
  <c r="O135"/>
  <c r="Q281" i="10"/>
  <c r="Q282" s="1"/>
  <c r="N43" i="28"/>
  <c r="S46" i="9"/>
  <c r="S281" i="10" s="1"/>
  <c r="P47" i="5"/>
  <c r="R47" s="1"/>
  <c r="N31" i="28"/>
  <c r="S34" i="9"/>
  <c r="S153" i="10" s="1"/>
  <c r="P35" i="5"/>
  <c r="R35" s="1"/>
  <c r="I179" i="9"/>
  <c r="C26" i="12" s="1"/>
  <c r="K23" i="20"/>
  <c r="K62"/>
  <c r="N122" i="28"/>
  <c r="G11" i="12"/>
  <c r="K179" i="9"/>
  <c r="I182"/>
  <c r="C27" i="12" s="1"/>
  <c r="G178" i="28"/>
  <c r="D26" i="12"/>
  <c r="Q89" i="10" l="1"/>
  <c r="P24" i="9"/>
  <c r="Q88" i="10"/>
  <c r="Q24" i="9" s="1"/>
  <c r="Q170" i="10"/>
  <c r="Q169" s="1"/>
  <c r="P35" i="9"/>
  <c r="P151" i="10"/>
  <c r="M255"/>
  <c r="M40" i="9"/>
  <c r="M251" i="10"/>
  <c r="M250"/>
  <c r="M253"/>
  <c r="L22" i="28"/>
  <c r="N26" i="5"/>
  <c r="L158" i="28"/>
  <c r="I8" i="12"/>
  <c r="N162" i="5"/>
  <c r="J34" i="19" s="1"/>
  <c r="Q119" i="10"/>
  <c r="P27" i="9"/>
  <c r="Q118" i="10"/>
  <c r="Q27" i="9" s="1"/>
  <c r="N45" i="10"/>
  <c r="N27"/>
  <c r="N44"/>
  <c r="N13" i="9"/>
  <c r="K30" i="28"/>
  <c r="M34" i="5"/>
  <c r="L21" i="28"/>
  <c r="N25" i="5"/>
  <c r="P161" i="9"/>
  <c r="O69" i="14"/>
  <c r="O71"/>
  <c r="P162" i="9"/>
  <c r="L32" i="28"/>
  <c r="N36" i="5"/>
  <c r="Q79" i="10"/>
  <c r="Q78" s="1"/>
  <c r="P23" i="9"/>
  <c r="P128" i="10"/>
  <c r="P334" i="27"/>
  <c r="Q334" s="1"/>
  <c r="R334" s="1"/>
  <c r="L34" i="5"/>
  <c r="J30" i="28"/>
  <c r="M44" i="10"/>
  <c r="M45"/>
  <c r="M27"/>
  <c r="M13" i="9"/>
  <c r="P25"/>
  <c r="Q98" i="10"/>
  <c r="Q25" i="9" s="1"/>
  <c r="N163" i="5"/>
  <c r="J35" i="19" s="1"/>
  <c r="L159" i="28"/>
  <c r="L24"/>
  <c r="N28" i="5"/>
  <c r="N255" i="10"/>
  <c r="N250"/>
  <c r="N253"/>
  <c r="N40" i="9"/>
  <c r="N251" i="10"/>
  <c r="P73" i="14"/>
  <c r="P70" s="1"/>
  <c r="P68"/>
  <c r="P26" i="9"/>
  <c r="Q108" i="10"/>
  <c r="Q26" i="9" s="1"/>
  <c r="O249" i="10"/>
  <c r="O33" i="9"/>
  <c r="O152" i="10"/>
  <c r="O43"/>
  <c r="O129"/>
  <c r="O28" i="9"/>
  <c r="L20" i="28"/>
  <c r="N24" i="5"/>
  <c r="K25" i="28"/>
  <c r="M29" i="5"/>
  <c r="P336" i="27"/>
  <c r="N340"/>
  <c r="M32" i="9"/>
  <c r="M145" i="10"/>
  <c r="J27" i="28"/>
  <c r="L31" i="5"/>
  <c r="O139" i="10"/>
  <c r="O140"/>
  <c r="O142"/>
  <c r="N30" i="9"/>
  <c r="N141" i="10"/>
  <c r="N31" i="9"/>
  <c r="N144" i="10"/>
  <c r="N143"/>
  <c r="P138"/>
  <c r="P77"/>
  <c r="J28" i="28"/>
  <c r="L32" i="5"/>
  <c r="P75" i="20"/>
  <c r="O76"/>
  <c r="F25" i="12"/>
  <c r="K26" i="21"/>
  <c r="M58" i="20"/>
  <c r="K177" i="5"/>
  <c r="Q177" s="1"/>
  <c r="M70" i="20"/>
  <c r="R176" i="9"/>
  <c r="Q72" i="20"/>
  <c r="R72" s="1"/>
  <c r="J171" i="9"/>
  <c r="K171" s="1"/>
  <c r="K172" s="1"/>
  <c r="M340" i="27"/>
  <c r="M329"/>
  <c r="Q92" i="5"/>
  <c r="O340" i="27"/>
  <c r="E9" i="20"/>
  <c r="E11"/>
  <c r="E13"/>
  <c r="P23" i="14"/>
  <c r="R23" s="1"/>
  <c r="R25"/>
  <c r="Q153" i="9"/>
  <c r="J8" i="19"/>
  <c r="I2" i="12"/>
  <c r="L148" i="28"/>
  <c r="N22" i="14"/>
  <c r="N40" s="1"/>
  <c r="N41" s="1"/>
  <c r="N152" i="5"/>
  <c r="J8" i="24" s="1"/>
  <c r="O48" i="14"/>
  <c r="O158" i="9"/>
  <c r="O47" i="14"/>
  <c r="Q4" i="15"/>
  <c r="Q147" i="9"/>
  <c r="P126" i="5"/>
  <c r="R126" s="1"/>
  <c r="L132" i="28"/>
  <c r="I12" i="12"/>
  <c r="N136" i="5"/>
  <c r="O10" i="15"/>
  <c r="O137" i="9"/>
  <c r="J151" i="28"/>
  <c r="L155" i="5"/>
  <c r="M155" i="9"/>
  <c r="N37" i="14"/>
  <c r="N154" i="9"/>
  <c r="N36" i="14"/>
  <c r="M45"/>
  <c r="O20" i="15"/>
  <c r="O141" i="9"/>
  <c r="P21" i="15"/>
  <c r="P19" s="1"/>
  <c r="Q18"/>
  <c r="P16"/>
  <c r="N13"/>
  <c r="N138" i="9"/>
  <c r="I34" i="20"/>
  <c r="I52" s="1"/>
  <c r="G10" i="21"/>
  <c r="G173" i="5"/>
  <c r="K2" i="19"/>
  <c r="M147" i="28"/>
  <c r="O151" i="5"/>
  <c r="K2" i="24" s="1"/>
  <c r="P152" i="9"/>
  <c r="L67" i="20"/>
  <c r="H179" i="28"/>
  <c r="J42" i="21"/>
  <c r="L76" i="20"/>
  <c r="AI182" i="9"/>
  <c r="J183" i="5"/>
  <c r="AJ182" i="9"/>
  <c r="I179" i="28"/>
  <c r="H6" i="16"/>
  <c r="J135" i="28"/>
  <c r="L139" i="5"/>
  <c r="H162" i="28"/>
  <c r="J3" i="21"/>
  <c r="L20" i="20"/>
  <c r="AI165" i="9"/>
  <c r="J166" i="5"/>
  <c r="E22" i="12"/>
  <c r="J48" i="20"/>
  <c r="J31"/>
  <c r="H4" i="16"/>
  <c r="J133" i="28"/>
  <c r="L137" i="5"/>
  <c r="G10" i="12"/>
  <c r="L2" i="18"/>
  <c r="R130" i="5"/>
  <c r="L66" i="20"/>
  <c r="M66"/>
  <c r="I4" i="16"/>
  <c r="K133" i="28"/>
  <c r="M137" i="5"/>
  <c r="J134" i="28"/>
  <c r="H5" i="16"/>
  <c r="L138" i="5"/>
  <c r="P5" i="15"/>
  <c r="P6"/>
  <c r="P139" i="9"/>
  <c r="P135"/>
  <c r="N146" i="28"/>
  <c r="S149" i="9"/>
  <c r="P150" i="5"/>
  <c r="R150" s="1"/>
  <c r="I15" i="12"/>
  <c r="AH179" i="9"/>
  <c r="Q40" i="20"/>
  <c r="R40" s="1"/>
  <c r="K66"/>
  <c r="E17"/>
  <c r="J5" i="21"/>
  <c r="L24" i="20"/>
  <c r="H164" i="28"/>
  <c r="AI167" i="9"/>
  <c r="J168" i="5"/>
  <c r="E23" i="12"/>
  <c r="J63" i="20"/>
  <c r="J64" s="1"/>
  <c r="F176" i="28"/>
  <c r="H34" i="21"/>
  <c r="J73" i="20"/>
  <c r="AG179" i="9"/>
  <c r="H180" i="5"/>
  <c r="J67" i="20"/>
  <c r="F179" i="28"/>
  <c r="H42" i="21"/>
  <c r="J76" i="20"/>
  <c r="AG182" i="9"/>
  <c r="H183" i="5"/>
  <c r="L63" i="20"/>
  <c r="H176" i="28"/>
  <c r="J34" i="21"/>
  <c r="L73" i="20"/>
  <c r="AI179" i="9"/>
  <c r="J180" i="5"/>
  <c r="I176" i="28"/>
  <c r="AJ179" i="9"/>
  <c r="L136" i="28"/>
  <c r="N140" i="5"/>
  <c r="O51" i="15"/>
  <c r="O52" s="1"/>
  <c r="O7"/>
  <c r="O136" i="9"/>
  <c r="L46" i="14"/>
  <c r="M157" i="9"/>
  <c r="O17" i="15"/>
  <c r="O140" i="9"/>
  <c r="P11" i="15"/>
  <c r="O14"/>
  <c r="O12" s="1"/>
  <c r="J25" i="21"/>
  <c r="L69" i="20"/>
  <c r="L56"/>
  <c r="H172" i="28"/>
  <c r="AI175" i="9"/>
  <c r="J176" i="5"/>
  <c r="AJ175" i="9"/>
  <c r="I172" i="28"/>
  <c r="K176" i="9"/>
  <c r="E25" i="12" s="1"/>
  <c r="L149" i="28"/>
  <c r="N34" i="14"/>
  <c r="N153" i="5"/>
  <c r="H26" i="24"/>
  <c r="H27" i="19"/>
  <c r="E55" i="15"/>
  <c r="E53"/>
  <c r="E49"/>
  <c r="I5" i="21"/>
  <c r="K24" i="20"/>
  <c r="G164" i="28"/>
  <c r="I168" i="5"/>
  <c r="AH167" i="9"/>
  <c r="D23" i="12"/>
  <c r="J42" i="20"/>
  <c r="J25"/>
  <c r="K7" i="21"/>
  <c r="M28" i="20"/>
  <c r="I166" i="28"/>
  <c r="R169" i="9"/>
  <c r="AJ169"/>
  <c r="K170" i="5"/>
  <c r="K46" i="20"/>
  <c r="K29"/>
  <c r="H25" i="21"/>
  <c r="J69" i="20"/>
  <c r="O69" s="1"/>
  <c r="P69" s="1"/>
  <c r="Q69" s="1"/>
  <c r="R69" s="1"/>
  <c r="J56"/>
  <c r="J57" s="1"/>
  <c r="F172" i="28"/>
  <c r="AG175" i="9"/>
  <c r="H176" i="5"/>
  <c r="I176" i="9"/>
  <c r="C25" i="12" s="1"/>
  <c r="I5" i="16"/>
  <c r="K134" i="28"/>
  <c r="M138" i="5"/>
  <c r="K14" i="12"/>
  <c r="N143" i="28"/>
  <c r="S146" i="9"/>
  <c r="P147" i="5"/>
  <c r="I17" i="16"/>
  <c r="K138" i="28"/>
  <c r="M142" i="5"/>
  <c r="I16" i="16"/>
  <c r="K137" i="28"/>
  <c r="M141" i="5"/>
  <c r="I26" i="21"/>
  <c r="K70" i="20"/>
  <c r="K58"/>
  <c r="G173" i="28"/>
  <c r="I177" i="5"/>
  <c r="AH176" i="9"/>
  <c r="K30" i="20"/>
  <c r="G167" i="28"/>
  <c r="I8" i="21"/>
  <c r="AH170" i="9"/>
  <c r="I171" i="5"/>
  <c r="K38" i="20"/>
  <c r="K21"/>
  <c r="L62"/>
  <c r="M62"/>
  <c r="K155" i="28"/>
  <c r="M159" i="5"/>
  <c r="J44" i="20"/>
  <c r="J27"/>
  <c r="O73"/>
  <c r="I27" i="16"/>
  <c r="I26"/>
  <c r="L30"/>
  <c r="R145" i="5"/>
  <c r="M144" i="28"/>
  <c r="J15" i="12"/>
  <c r="O148" i="5"/>
  <c r="K33" i="16" s="1"/>
  <c r="M150" i="28"/>
  <c r="P151" i="9"/>
  <c r="O154" i="5"/>
  <c r="L46" i="20"/>
  <c r="L29"/>
  <c r="P17" i="14"/>
  <c r="Q150" i="9"/>
  <c r="R18" i="14"/>
  <c r="E7" i="20"/>
  <c r="G176" i="28"/>
  <c r="B24" i="12"/>
  <c r="AH182" i="9"/>
  <c r="G179" i="28"/>
  <c r="E26" i="12"/>
  <c r="E27"/>
  <c r="AH175" i="9"/>
  <c r="G172" i="28"/>
  <c r="N52" i="15"/>
  <c r="H10" i="12"/>
  <c r="Q35" i="9" l="1"/>
  <c r="Q151" i="10"/>
  <c r="Q336" i="27"/>
  <c r="R336" s="1"/>
  <c r="N29" i="5"/>
  <c r="L25" i="28"/>
  <c r="O45" i="10"/>
  <c r="O13" i="9"/>
  <c r="O44" i="10"/>
  <c r="O27"/>
  <c r="L30" i="28"/>
  <c r="N34" i="5"/>
  <c r="Q161" i="9"/>
  <c r="R68" i="14"/>
  <c r="P69"/>
  <c r="N252" i="10"/>
  <c r="N41" i="9"/>
  <c r="N254" i="10"/>
  <c r="N42" i="9"/>
  <c r="N43"/>
  <c r="N256" i="10"/>
  <c r="O26" i="5"/>
  <c r="M22" i="28"/>
  <c r="M10" i="10"/>
  <c r="M11" i="9"/>
  <c r="M28" i="10"/>
  <c r="M20" i="28"/>
  <c r="O24" i="5"/>
  <c r="O162"/>
  <c r="K34" i="19" s="1"/>
  <c r="M158" i="28"/>
  <c r="J8" i="12"/>
  <c r="M24" i="28"/>
  <c r="O28" i="5"/>
  <c r="L41"/>
  <c r="J37" i="28"/>
  <c r="P152" i="10"/>
  <c r="P33" i="9"/>
  <c r="P43" i="10"/>
  <c r="P249"/>
  <c r="S24" i="9"/>
  <c r="S88" i="10" s="1"/>
  <c r="P25" i="5"/>
  <c r="R25" s="1"/>
  <c r="N21" i="28"/>
  <c r="O250" i="10"/>
  <c r="O253"/>
  <c r="O251"/>
  <c r="O40" i="9"/>
  <c r="O255" i="10"/>
  <c r="P71" i="14"/>
  <c r="Q162" i="9"/>
  <c r="R70" i="14"/>
  <c r="K37" i="28"/>
  <c r="M41" i="5"/>
  <c r="N22" i="28"/>
  <c r="P26" i="5"/>
  <c r="R26" s="1"/>
  <c r="S25" i="9"/>
  <c r="S98" i="10" s="1"/>
  <c r="N498" i="27"/>
  <c r="J10" i="28"/>
  <c r="L14" i="5"/>
  <c r="M45" i="9"/>
  <c r="P129" i="10"/>
  <c r="P28" i="9"/>
  <c r="Q23"/>
  <c r="Q128" i="10"/>
  <c r="M159" i="28"/>
  <c r="O163" i="5"/>
  <c r="K35" i="19" s="1"/>
  <c r="O498" i="27"/>
  <c r="N45" i="9"/>
  <c r="K10" i="28"/>
  <c r="M14" i="5"/>
  <c r="N10" i="10"/>
  <c r="N28"/>
  <c r="N11" i="9"/>
  <c r="S27"/>
  <c r="S118" i="10" s="1"/>
  <c r="N24" i="28"/>
  <c r="P28" i="5"/>
  <c r="R28" s="1"/>
  <c r="M254" i="10"/>
  <c r="M42" i="9"/>
  <c r="M41"/>
  <c r="M252" i="10"/>
  <c r="M43" i="9"/>
  <c r="M256" i="10"/>
  <c r="M32" i="28"/>
  <c r="O36" i="5"/>
  <c r="M21" i="28"/>
  <c r="O25" i="5"/>
  <c r="P140" i="10"/>
  <c r="P142"/>
  <c r="P139"/>
  <c r="N32" i="9"/>
  <c r="N145" i="10"/>
  <c r="O143"/>
  <c r="O31" i="9"/>
  <c r="O144" i="10"/>
  <c r="L33" i="5"/>
  <c r="J29" i="28"/>
  <c r="M32" i="5"/>
  <c r="K28" i="28"/>
  <c r="K27"/>
  <c r="M31" i="5"/>
  <c r="O30" i="9"/>
  <c r="O141" i="10"/>
  <c r="Q138"/>
  <c r="Q77"/>
  <c r="Q75" i="20"/>
  <c r="P76"/>
  <c r="L171" i="9"/>
  <c r="L172" s="1"/>
  <c r="J172"/>
  <c r="P340" i="27"/>
  <c r="Q330"/>
  <c r="K3" i="21"/>
  <c r="M20" i="20"/>
  <c r="I162" i="28"/>
  <c r="R165" i="9"/>
  <c r="AJ165"/>
  <c r="K166" i="5"/>
  <c r="F22" i="12"/>
  <c r="L2" i="19"/>
  <c r="N147" i="28"/>
  <c r="Q152" i="9"/>
  <c r="S150"/>
  <c r="P151" i="5"/>
  <c r="K8" i="19"/>
  <c r="J2" i="12"/>
  <c r="M148" i="28"/>
  <c r="O22" i="14"/>
  <c r="O40" s="1"/>
  <c r="O41" s="1"/>
  <c r="O152" i="5"/>
  <c r="K8" i="24" s="1"/>
  <c r="P73" i="20"/>
  <c r="L32" i="16"/>
  <c r="R147" i="5"/>
  <c r="F173" i="28"/>
  <c r="H26" i="21"/>
  <c r="J70" i="20"/>
  <c r="J58"/>
  <c r="J59" s="1"/>
  <c r="AG176" i="9"/>
  <c r="H177" i="5"/>
  <c r="K26" i="20"/>
  <c r="G165" i="28"/>
  <c r="I6" i="21"/>
  <c r="AH168" i="9"/>
  <c r="I169" i="5"/>
  <c r="H173" i="28"/>
  <c r="J26" i="21"/>
  <c r="L70" i="20"/>
  <c r="L58"/>
  <c r="AI176" i="9"/>
  <c r="J177" i="5"/>
  <c r="I173" i="28"/>
  <c r="AJ176" i="9"/>
  <c r="L57" i="20"/>
  <c r="M57"/>
  <c r="P14" i="15"/>
  <c r="P12" s="1"/>
  <c r="Q11"/>
  <c r="Q14" s="1"/>
  <c r="L64" i="20"/>
  <c r="M64"/>
  <c r="J68"/>
  <c r="J60"/>
  <c r="L42"/>
  <c r="L25"/>
  <c r="J12" i="12"/>
  <c r="M132" i="28"/>
  <c r="O136" i="5"/>
  <c r="P7" i="15"/>
  <c r="P136" i="9"/>
  <c r="L38" i="20"/>
  <c r="L21"/>
  <c r="L68"/>
  <c r="L60"/>
  <c r="M68"/>
  <c r="M60"/>
  <c r="Q16" i="15"/>
  <c r="Q21"/>
  <c r="Q19" s="1"/>
  <c r="J17" i="16"/>
  <c r="L138" i="28"/>
  <c r="N142" i="5"/>
  <c r="M46" i="14"/>
  <c r="N157" i="9"/>
  <c r="H4" i="12" s="1"/>
  <c r="K151" i="28"/>
  <c r="N155" i="9"/>
  <c r="H3" i="12" s="1"/>
  <c r="M155" i="5"/>
  <c r="J152" i="28"/>
  <c r="L156" i="5"/>
  <c r="N144" i="28"/>
  <c r="S147" i="9"/>
  <c r="P148" i="5"/>
  <c r="P48" i="14"/>
  <c r="P47" s="1"/>
  <c r="P158" i="9"/>
  <c r="K57" i="20"/>
  <c r="E19"/>
  <c r="K64"/>
  <c r="K68"/>
  <c r="G3" i="12"/>
  <c r="N11" i="20"/>
  <c r="N12" s="1"/>
  <c r="I26" i="24"/>
  <c r="I27" i="19"/>
  <c r="K48" i="20"/>
  <c r="K31"/>
  <c r="H9" i="21"/>
  <c r="J32" i="20"/>
  <c r="F168" i="28"/>
  <c r="AG171" i="9"/>
  <c r="H172" i="5"/>
  <c r="C24" i="12"/>
  <c r="O70" i="20"/>
  <c r="Q170" i="5"/>
  <c r="M46" i="20"/>
  <c r="N46" s="1"/>
  <c r="M29"/>
  <c r="K5" i="21"/>
  <c r="M24" i="20"/>
  <c r="I164" i="28"/>
  <c r="R167" i="9"/>
  <c r="K168" i="5"/>
  <c r="AJ167" i="9"/>
  <c r="F23" i="12"/>
  <c r="K42" i="20"/>
  <c r="K25"/>
  <c r="E57" i="15"/>
  <c r="M48"/>
  <c r="M47" s="1"/>
  <c r="O13"/>
  <c r="O138" i="9"/>
  <c r="L137" i="28"/>
  <c r="J16" i="16"/>
  <c r="N141" i="5"/>
  <c r="G6" i="12"/>
  <c r="J154" i="28"/>
  <c r="M159" i="9"/>
  <c r="M156"/>
  <c r="L158" i="5"/>
  <c r="J4" i="16"/>
  <c r="L133" i="28"/>
  <c r="N137" i="5"/>
  <c r="J6" i="21"/>
  <c r="L26" i="20"/>
  <c r="H165" i="28"/>
  <c r="AI168" i="9"/>
  <c r="J169" i="5"/>
  <c r="M136" i="28"/>
  <c r="O140" i="5"/>
  <c r="J8" i="21"/>
  <c r="L30" i="20"/>
  <c r="H167" i="28"/>
  <c r="AI170" i="9"/>
  <c r="J171" i="5"/>
  <c r="M149" i="28"/>
  <c r="O153" i="5"/>
  <c r="O34" i="14"/>
  <c r="I6" i="16"/>
  <c r="K135" i="28"/>
  <c r="M139" i="5"/>
  <c r="P17" i="15"/>
  <c r="P140" i="9"/>
  <c r="P20" i="15"/>
  <c r="P141" i="9"/>
  <c r="O37" i="14"/>
  <c r="O36" s="1"/>
  <c r="O154" i="9"/>
  <c r="N45" i="14"/>
  <c r="H14" i="24"/>
  <c r="H14" i="19"/>
  <c r="L134" i="28"/>
  <c r="J5" i="16"/>
  <c r="N138" i="5"/>
  <c r="J27" i="16"/>
  <c r="J26"/>
  <c r="Q12" i="15"/>
  <c r="Q9"/>
  <c r="Q6"/>
  <c r="Q5"/>
  <c r="Q139" i="9"/>
  <c r="Q135"/>
  <c r="K15" i="12" s="1"/>
  <c r="L155" i="28"/>
  <c r="N159" i="5"/>
  <c r="N150" i="28"/>
  <c r="S153" i="9"/>
  <c r="Q151"/>
  <c r="P154" i="5"/>
  <c r="R154" s="1"/>
  <c r="K59" i="20"/>
  <c r="I11" i="12"/>
  <c r="P9" i="15"/>
  <c r="K60" i="20"/>
  <c r="G4" i="12"/>
  <c r="L43" i="5" l="1"/>
  <c r="J39" i="28"/>
  <c r="N279" i="10"/>
  <c r="N44" i="9"/>
  <c r="K42" i="28"/>
  <c r="M46" i="5"/>
  <c r="Q129" i="10"/>
  <c r="Q28" i="9"/>
  <c r="M25" i="28"/>
  <c r="O29" i="5"/>
  <c r="J42" i="28"/>
  <c r="L46" i="5"/>
  <c r="M279" i="10"/>
  <c r="M280" s="1"/>
  <c r="M44" i="9"/>
  <c r="S162"/>
  <c r="N159" i="28"/>
  <c r="P163" i="5"/>
  <c r="O43" i="9"/>
  <c r="O256" i="10"/>
  <c r="O41" i="9"/>
  <c r="O252" i="10"/>
  <c r="P250"/>
  <c r="P253"/>
  <c r="P251"/>
  <c r="P40" i="9"/>
  <c r="P255" i="10"/>
  <c r="M30" i="28"/>
  <c r="O34" i="5"/>
  <c r="J8" i="28"/>
  <c r="L12" i="5"/>
  <c r="M6" i="9"/>
  <c r="M43" i="5"/>
  <c r="K39" i="28"/>
  <c r="M42" i="5"/>
  <c r="K38" i="28"/>
  <c r="K8" i="12"/>
  <c r="N158" i="28"/>
  <c r="P162" i="5"/>
  <c r="S161" i="9"/>
  <c r="N32" i="28"/>
  <c r="P36" i="5"/>
  <c r="R36" s="1"/>
  <c r="S35" i="9"/>
  <c r="S169" i="10" s="1"/>
  <c r="L44" i="5"/>
  <c r="J40" i="28"/>
  <c r="L42" i="5"/>
  <c r="J38" i="28"/>
  <c r="K8"/>
  <c r="M12" i="5"/>
  <c r="N6" i="9"/>
  <c r="N11" i="10"/>
  <c r="N12"/>
  <c r="N14"/>
  <c r="O499" i="27"/>
  <c r="S23" i="9"/>
  <c r="S78" i="10" s="1"/>
  <c r="P24" i="5"/>
  <c r="R24" s="1"/>
  <c r="N20" i="28"/>
  <c r="N484" i="27"/>
  <c r="O484" s="1"/>
  <c r="N499"/>
  <c r="N41" i="5"/>
  <c r="L37" i="28"/>
  <c r="O42" i="9"/>
  <c r="O254" i="10"/>
  <c r="P45"/>
  <c r="P13" i="9"/>
  <c r="P44" i="10"/>
  <c r="P27"/>
  <c r="M11"/>
  <c r="M12"/>
  <c r="M14"/>
  <c r="M44" i="5"/>
  <c r="K40" i="28"/>
  <c r="O10" i="10"/>
  <c r="O28"/>
  <c r="O11" i="9"/>
  <c r="P498" i="27"/>
  <c r="O45" i="9"/>
  <c r="L10" i="28"/>
  <c r="N14" i="5"/>
  <c r="Q249" i="10"/>
  <c r="Q33" i="9"/>
  <c r="Q152" i="10"/>
  <c r="Q43"/>
  <c r="L28" i="28"/>
  <c r="N32" i="5"/>
  <c r="P141" i="10"/>
  <c r="P30" i="9"/>
  <c r="Q142" i="10"/>
  <c r="S138"/>
  <c r="Q139"/>
  <c r="Q140"/>
  <c r="N31" i="5"/>
  <c r="L27" i="28"/>
  <c r="O32" i="9"/>
  <c r="O145" i="10"/>
  <c r="K29" i="28"/>
  <c r="M33" i="5"/>
  <c r="P144" i="10"/>
  <c r="P143"/>
  <c r="P31" i="9"/>
  <c r="R75" i="20"/>
  <c r="R76" s="1"/>
  <c r="Q76"/>
  <c r="O46"/>
  <c r="P46" s="1"/>
  <c r="Q46" s="1"/>
  <c r="R46" s="1"/>
  <c r="Q340" i="27"/>
  <c r="R330"/>
  <c r="R340" s="1"/>
  <c r="R47" i="14"/>
  <c r="Q158" i="9"/>
  <c r="J9" i="21"/>
  <c r="L32" i="20"/>
  <c r="H168" i="28"/>
  <c r="AI171" i="9"/>
  <c r="J172" i="5"/>
  <c r="N136" i="28"/>
  <c r="S139" i="9"/>
  <c r="P140" i="5"/>
  <c r="R140" s="1"/>
  <c r="Q51" i="15"/>
  <c r="Q7"/>
  <c r="Q136" i="9"/>
  <c r="Q13" i="15"/>
  <c r="Q138" i="9"/>
  <c r="N46" i="14"/>
  <c r="O157" i="9"/>
  <c r="K17" i="16"/>
  <c r="M138" i="28"/>
  <c r="O142" i="5"/>
  <c r="K16" i="16"/>
  <c r="M137" i="28"/>
  <c r="O141" i="5"/>
  <c r="L48" i="20"/>
  <c r="L31"/>
  <c r="H20" i="24"/>
  <c r="H21" i="19"/>
  <c r="G7" i="12"/>
  <c r="J156" i="28"/>
  <c r="L160" i="5"/>
  <c r="J6" i="16"/>
  <c r="L135" i="28"/>
  <c r="N139" i="5"/>
  <c r="N48" i="15"/>
  <c r="N47" s="1"/>
  <c r="M145" i="9"/>
  <c r="M33" i="15"/>
  <c r="M42" i="20"/>
  <c r="N42" s="1"/>
  <c r="M25"/>
  <c r="P70"/>
  <c r="I9" i="21"/>
  <c r="K32" i="20"/>
  <c r="G168" i="28"/>
  <c r="I172" i="5"/>
  <c r="AH171" i="9"/>
  <c r="D24" i="12"/>
  <c r="J50" i="20"/>
  <c r="J33"/>
  <c r="M155" i="28"/>
  <c r="O159" i="5"/>
  <c r="K152" i="28"/>
  <c r="M156" i="5"/>
  <c r="H6" i="12"/>
  <c r="K154" i="28"/>
  <c r="N159" i="9"/>
  <c r="N156"/>
  <c r="M158" i="5"/>
  <c r="Q17" i="15"/>
  <c r="Q140" i="9"/>
  <c r="K4" i="16"/>
  <c r="M133" i="28"/>
  <c r="O137" i="5"/>
  <c r="P13" i="15"/>
  <c r="P138" i="9"/>
  <c r="L2" i="24"/>
  <c r="R151" i="5"/>
  <c r="N149" i="28"/>
  <c r="P34" i="14"/>
  <c r="S152" i="9"/>
  <c r="P153" i="5"/>
  <c r="R153" s="1"/>
  <c r="J11" i="12"/>
  <c r="P10" i="15"/>
  <c r="P137" i="9"/>
  <c r="L8" i="19"/>
  <c r="K2" i="12"/>
  <c r="N148" i="28"/>
  <c r="P22" i="14"/>
  <c r="P40" s="1"/>
  <c r="P41" s="1"/>
  <c r="P37" s="1"/>
  <c r="P36" s="1"/>
  <c r="S151" i="9"/>
  <c r="P152" i="5"/>
  <c r="J26" i="24"/>
  <c r="J27" i="19"/>
  <c r="N132" i="28"/>
  <c r="K12" i="12"/>
  <c r="P136" i="5"/>
  <c r="S135" i="9"/>
  <c r="Q10" i="15"/>
  <c r="Q137" i="9"/>
  <c r="I4" i="12"/>
  <c r="L151" i="28"/>
  <c r="N155" i="5"/>
  <c r="O155" i="9"/>
  <c r="P154"/>
  <c r="O45" i="14"/>
  <c r="L44" i="20"/>
  <c r="L27"/>
  <c r="G5" i="12"/>
  <c r="J153" i="28"/>
  <c r="L157" i="5"/>
  <c r="M26" i="20"/>
  <c r="I165" i="28"/>
  <c r="K6" i="21"/>
  <c r="R168" i="9"/>
  <c r="AJ168"/>
  <c r="K169" i="5"/>
  <c r="Q169" s="1"/>
  <c r="Q168"/>
  <c r="H10" i="21"/>
  <c r="J34" i="20"/>
  <c r="F169" i="28"/>
  <c r="AG172" i="9"/>
  <c r="H173" i="5"/>
  <c r="J119" i="28"/>
  <c r="L123" i="5"/>
  <c r="M122" i="26" s="1"/>
  <c r="L33" i="16"/>
  <c r="R148" i="5"/>
  <c r="I14" i="24"/>
  <c r="I14" i="19"/>
  <c r="Q20" i="15"/>
  <c r="Q141" i="9"/>
  <c r="K27" i="16"/>
  <c r="K26"/>
  <c r="L59" i="20"/>
  <c r="M59"/>
  <c r="K44"/>
  <c r="K27"/>
  <c r="Q73"/>
  <c r="R73"/>
  <c r="M30"/>
  <c r="I167" i="28"/>
  <c r="K8" i="21"/>
  <c r="R170" i="9"/>
  <c r="AJ170"/>
  <c r="K171" i="5"/>
  <c r="Q171" s="1"/>
  <c r="Q166"/>
  <c r="M38" i="20"/>
  <c r="N38" s="1"/>
  <c r="O38" s="1"/>
  <c r="P38" s="1"/>
  <c r="Q38" s="1"/>
  <c r="R38" s="1"/>
  <c r="M21"/>
  <c r="E24" i="12"/>
  <c r="P51" i="15"/>
  <c r="P52" s="1"/>
  <c r="I10" i="12"/>
  <c r="O461" i="27" l="1"/>
  <c r="O485"/>
  <c r="Q45" i="10"/>
  <c r="Q13" i="9"/>
  <c r="Q44" i="10"/>
  <c r="Q27"/>
  <c r="S33" i="9"/>
  <c r="N30" i="28"/>
  <c r="P34" i="5"/>
  <c r="R34" s="1"/>
  <c r="O279" i="10"/>
  <c r="O280" s="1"/>
  <c r="O44" i="9"/>
  <c r="L42" i="28"/>
  <c r="N46" i="5"/>
  <c r="O6" i="9"/>
  <c r="L8" i="28"/>
  <c r="N12" i="5"/>
  <c r="O12" i="10"/>
  <c r="O11"/>
  <c r="O14"/>
  <c r="M13"/>
  <c r="M7" i="9"/>
  <c r="P10" i="10"/>
  <c r="P28"/>
  <c r="P11" i="9"/>
  <c r="Q498" i="27"/>
  <c r="M10" i="28"/>
  <c r="P45" i="9"/>
  <c r="O14" i="5"/>
  <c r="N7" i="9"/>
  <c r="N13" i="10"/>
  <c r="K3" i="28"/>
  <c r="M7" i="5"/>
  <c r="L7"/>
  <c r="J3" i="28"/>
  <c r="O41" i="5"/>
  <c r="M37" i="28"/>
  <c r="P254" i="10"/>
  <c r="P42" i="9"/>
  <c r="R163" i="5"/>
  <c r="L35" i="19"/>
  <c r="N280" i="10"/>
  <c r="Q250"/>
  <c r="Q253"/>
  <c r="Q255"/>
  <c r="Q40" i="9"/>
  <c r="Q251" i="10"/>
  <c r="P484" i="27"/>
  <c r="P499"/>
  <c r="M8" i="9"/>
  <c r="M15" i="10"/>
  <c r="L39" i="28"/>
  <c r="N43" i="5"/>
  <c r="N485" i="27"/>
  <c r="N461"/>
  <c r="N462" s="1"/>
  <c r="N434" s="1"/>
  <c r="N433" s="1"/>
  <c r="N8" i="9"/>
  <c r="N15" i="10"/>
  <c r="L34" i="19"/>
  <c r="R162" i="5"/>
  <c r="P43" i="9"/>
  <c r="P256" i="10"/>
  <c r="P252"/>
  <c r="P41" i="9"/>
  <c r="L38" i="28"/>
  <c r="N42" i="5"/>
  <c r="L40" i="28"/>
  <c r="N44" i="5"/>
  <c r="M277" i="10"/>
  <c r="M278" s="1"/>
  <c r="L45" i="5"/>
  <c r="J41" i="28"/>
  <c r="P29" i="5"/>
  <c r="R29" s="1"/>
  <c r="N25" i="28"/>
  <c r="S28" i="9"/>
  <c r="S128" i="10" s="1"/>
  <c r="N277"/>
  <c r="N278" s="1"/>
  <c r="M45" i="5"/>
  <c r="K41" i="28"/>
  <c r="O32" i="5"/>
  <c r="M28" i="28"/>
  <c r="P145" i="10"/>
  <c r="P32" i="9"/>
  <c r="N33" i="5"/>
  <c r="L29" i="28"/>
  <c r="Q143" i="10"/>
  <c r="Q31" i="9"/>
  <c r="Q144" i="10"/>
  <c r="S142"/>
  <c r="S140"/>
  <c r="Q141"/>
  <c r="Q30" i="9"/>
  <c r="O31" i="5"/>
  <c r="M27" i="28"/>
  <c r="F24" i="12"/>
  <c r="O48" i="15"/>
  <c r="O47" s="1"/>
  <c r="N145" i="9"/>
  <c r="N33" i="15"/>
  <c r="R36" i="14"/>
  <c r="Q154" i="9"/>
  <c r="P45" i="14"/>
  <c r="J10" i="21"/>
  <c r="L34" i="20"/>
  <c r="H169" i="28"/>
  <c r="AI172" i="9"/>
  <c r="J173" i="5"/>
  <c r="M34" i="20"/>
  <c r="I169" i="28"/>
  <c r="K10" i="21"/>
  <c r="R172" i="9"/>
  <c r="AJ172"/>
  <c r="K173" i="5"/>
  <c r="Q173" s="1"/>
  <c r="M48" i="20"/>
  <c r="M31"/>
  <c r="J52"/>
  <c r="J35"/>
  <c r="J14" i="24"/>
  <c r="J14" i="19"/>
  <c r="N134" i="28"/>
  <c r="L5" i="16"/>
  <c r="P138" i="5"/>
  <c r="R138" s="1"/>
  <c r="S137" i="9"/>
  <c r="K6" i="16"/>
  <c r="M135" i="28"/>
  <c r="O139" i="5"/>
  <c r="N137" i="28"/>
  <c r="L16" i="16"/>
  <c r="S140" i="9"/>
  <c r="P141" i="5"/>
  <c r="R141" s="1"/>
  <c r="I20" i="24"/>
  <c r="I21" i="19"/>
  <c r="K156" i="28"/>
  <c r="H7" i="12"/>
  <c r="M160" i="5"/>
  <c r="K34" i="20"/>
  <c r="G169" i="28"/>
  <c r="I10" i="21"/>
  <c r="AH172" i="9"/>
  <c r="I173" i="5"/>
  <c r="N44" i="20"/>
  <c r="O42"/>
  <c r="J142" i="28"/>
  <c r="L146" i="5"/>
  <c r="H31" i="16" s="1"/>
  <c r="L50" i="20"/>
  <c r="L33"/>
  <c r="N155" i="28"/>
  <c r="S158" i="9"/>
  <c r="P159" i="5"/>
  <c r="K10" i="12"/>
  <c r="K11"/>
  <c r="L17" i="16"/>
  <c r="N138" i="28"/>
  <c r="S141" i="9"/>
  <c r="P142" i="5"/>
  <c r="R142" s="1"/>
  <c r="M44" i="20"/>
  <c r="M27"/>
  <c r="O46" i="14"/>
  <c r="P157" i="9"/>
  <c r="M151" i="28"/>
  <c r="P155" i="9"/>
  <c r="O155" i="5"/>
  <c r="L152" i="28"/>
  <c r="N156" i="5"/>
  <c r="L27" i="16"/>
  <c r="L26"/>
  <c r="R136" i="5"/>
  <c r="L8" i="24"/>
  <c r="R152" i="5"/>
  <c r="K5" i="16"/>
  <c r="M134" i="28"/>
  <c r="O138" i="5"/>
  <c r="J10" i="12"/>
  <c r="K153" i="28"/>
  <c r="H5" i="12"/>
  <c r="M157" i="5"/>
  <c r="K26" i="24"/>
  <c r="K27" i="19"/>
  <c r="K9" i="21"/>
  <c r="M32" i="20"/>
  <c r="I168" i="28"/>
  <c r="R171" i="9"/>
  <c r="K172" i="5"/>
  <c r="Q172" s="1"/>
  <c r="AJ171" i="9"/>
  <c r="K50" i="20"/>
  <c r="K33"/>
  <c r="Q70"/>
  <c r="R70"/>
  <c r="M34" i="15"/>
  <c r="M143" i="9"/>
  <c r="I6" i="12"/>
  <c r="L154" i="28"/>
  <c r="O159" i="9"/>
  <c r="O156"/>
  <c r="N158" i="5"/>
  <c r="L6" i="16"/>
  <c r="N135" i="28"/>
  <c r="P139" i="5"/>
  <c r="R139" s="1"/>
  <c r="S138" i="9"/>
  <c r="L4" i="16"/>
  <c r="N133" i="28"/>
  <c r="P137" i="5"/>
  <c r="R137" s="1"/>
  <c r="S136" i="9"/>
  <c r="I3" i="12"/>
  <c r="Q52" i="15"/>
  <c r="O44" i="5" l="1"/>
  <c r="M40" i="28"/>
  <c r="K5"/>
  <c r="M9" i="5"/>
  <c r="J5" i="28"/>
  <c r="L9" i="5"/>
  <c r="P461" i="27"/>
  <c r="P462" s="1"/>
  <c r="P485"/>
  <c r="S40" i="9"/>
  <c r="S249" i="10" s="1"/>
  <c r="N37" i="28"/>
  <c r="P41" i="5"/>
  <c r="R41" s="1"/>
  <c r="Q42" i="9"/>
  <c r="Q254" i="10"/>
  <c r="M8" i="5"/>
  <c r="K4" i="28"/>
  <c r="M42"/>
  <c r="O46" i="5"/>
  <c r="P279" i="10"/>
  <c r="P280" s="1"/>
  <c r="P44" i="9"/>
  <c r="Q484" i="27"/>
  <c r="Q499"/>
  <c r="L8" i="5"/>
  <c r="J4" i="28"/>
  <c r="O8" i="9"/>
  <c r="O15" i="10"/>
  <c r="O13"/>
  <c r="O7" i="9"/>
  <c r="O277" i="10"/>
  <c r="O278" s="1"/>
  <c r="N45" i="5"/>
  <c r="L41" i="28"/>
  <c r="S43" i="10"/>
  <c r="S151"/>
  <c r="O462" i="27"/>
  <c r="O42" i="5"/>
  <c r="M38" i="28"/>
  <c r="O434" i="27"/>
  <c r="M116" i="9"/>
  <c r="N449" i="27"/>
  <c r="N37"/>
  <c r="N451"/>
  <c r="N439" s="1"/>
  <c r="N452"/>
  <c r="N441" s="1"/>
  <c r="N435"/>
  <c r="N450"/>
  <c r="N437" s="1"/>
  <c r="N454"/>
  <c r="N445" s="1"/>
  <c r="N453"/>
  <c r="N443" s="1"/>
  <c r="O433"/>
  <c r="Q41" i="9"/>
  <c r="Q252" i="10"/>
  <c r="Q43" i="9"/>
  <c r="Q256" i="10"/>
  <c r="O43" i="5"/>
  <c r="M39" i="28"/>
  <c r="M8"/>
  <c r="O12" i="5"/>
  <c r="P6" i="9"/>
  <c r="P11" i="10"/>
  <c r="P14"/>
  <c r="P12"/>
  <c r="L3" i="28"/>
  <c r="N7" i="5"/>
  <c r="Q28" i="10"/>
  <c r="Q11" i="9"/>
  <c r="Q10" i="10"/>
  <c r="R498" i="27"/>
  <c r="Q45" i="9"/>
  <c r="P14" i="5"/>
  <c r="R14" s="1"/>
  <c r="N10" i="28"/>
  <c r="S13" i="9"/>
  <c r="S30"/>
  <c r="N27" i="28"/>
  <c r="P31" i="5"/>
  <c r="R31" s="1"/>
  <c r="S144" i="10"/>
  <c r="Q145"/>
  <c r="Q32" i="9"/>
  <c r="S31"/>
  <c r="N28" i="28"/>
  <c r="P32" i="5"/>
  <c r="R32" s="1"/>
  <c r="M29" i="28"/>
  <c r="O33" i="5"/>
  <c r="P48" i="15"/>
  <c r="P47" s="1"/>
  <c r="O145" i="9"/>
  <c r="O33" i="15"/>
  <c r="I5" i="12"/>
  <c r="L153" i="28"/>
  <c r="N157" i="5"/>
  <c r="J140" i="28"/>
  <c r="L144" i="5"/>
  <c r="H29" i="16" s="1"/>
  <c r="M50" i="20"/>
  <c r="N50" s="1"/>
  <c r="M33"/>
  <c r="M152" i="28"/>
  <c r="O156" i="5"/>
  <c r="J6" i="12"/>
  <c r="M154" i="28"/>
  <c r="P159" i="9"/>
  <c r="P156"/>
  <c r="O158" i="5"/>
  <c r="P42" i="20"/>
  <c r="O44"/>
  <c r="K52"/>
  <c r="K35"/>
  <c r="R45" i="14"/>
  <c r="P46"/>
  <c r="Q157" i="9"/>
  <c r="K4" i="12" s="1"/>
  <c r="K142" i="28"/>
  <c r="M146" i="5"/>
  <c r="I31" i="16" s="1"/>
  <c r="J20" i="24"/>
  <c r="J21" i="19"/>
  <c r="I7" i="12"/>
  <c r="L156" i="28"/>
  <c r="N160" i="5"/>
  <c r="K14" i="24"/>
  <c r="K14" i="19"/>
  <c r="L26" i="24"/>
  <c r="L27" i="19"/>
  <c r="R159" i="5"/>
  <c r="N48" i="20"/>
  <c r="O48" s="1"/>
  <c r="M54"/>
  <c r="M52"/>
  <c r="M35"/>
  <c r="L52"/>
  <c r="L35"/>
  <c r="N151" i="28"/>
  <c r="P155" i="5"/>
  <c r="Q155" i="9"/>
  <c r="S154"/>
  <c r="N34" i="15"/>
  <c r="N143" i="9"/>
  <c r="H13" i="12" s="1"/>
  <c r="J3"/>
  <c r="J4"/>
  <c r="G13"/>
  <c r="Q279" i="10" l="1"/>
  <c r="Q280" s="1"/>
  <c r="Q44" i="9"/>
  <c r="P46" i="5"/>
  <c r="R46" s="1"/>
  <c r="N42" i="28"/>
  <c r="S45" i="9"/>
  <c r="S279" i="10" s="1"/>
  <c r="Q11"/>
  <c r="Q14"/>
  <c r="Q12"/>
  <c r="P8" i="9"/>
  <c r="P15" i="10"/>
  <c r="O7" i="5"/>
  <c r="M3" i="28"/>
  <c r="N40"/>
  <c r="P44" i="5"/>
  <c r="R44" s="1"/>
  <c r="S43" i="9"/>
  <c r="S255" i="10" s="1"/>
  <c r="N38" i="28"/>
  <c r="P42" i="5"/>
  <c r="R42" s="1"/>
  <c r="S41" i="9"/>
  <c r="S251" i="10" s="1"/>
  <c r="N444" i="27"/>
  <c r="N47"/>
  <c r="M121" i="9"/>
  <c r="N41" i="27"/>
  <c r="N438"/>
  <c r="M118" i="9"/>
  <c r="N442" i="27"/>
  <c r="N45"/>
  <c r="M120" i="9"/>
  <c r="N310" i="27"/>
  <c r="N304"/>
  <c r="N53"/>
  <c r="N316"/>
  <c r="N38"/>
  <c r="M64" i="9"/>
  <c r="J113" i="28"/>
  <c r="L117" i="5"/>
  <c r="M116" i="26" s="1"/>
  <c r="N8" i="5"/>
  <c r="L4" i="28"/>
  <c r="M41"/>
  <c r="P277" i="10"/>
  <c r="P278" s="1"/>
  <c r="O45" i="5"/>
  <c r="R484" i="27"/>
  <c r="R499"/>
  <c r="N8" i="28"/>
  <c r="Q6" i="9"/>
  <c r="S11"/>
  <c r="S27" i="10" s="1"/>
  <c r="P12" i="5"/>
  <c r="R12" s="1"/>
  <c r="P13" i="10"/>
  <c r="P7" i="9"/>
  <c r="O450" i="27"/>
  <c r="O437" s="1"/>
  <c r="P434"/>
  <c r="O451"/>
  <c r="O439" s="1"/>
  <c r="N116" i="9"/>
  <c r="O454" i="27"/>
  <c r="O445" s="1"/>
  <c r="O449"/>
  <c r="O37"/>
  <c r="O452"/>
  <c r="O441" s="1"/>
  <c r="O453"/>
  <c r="O443" s="1"/>
  <c r="P433"/>
  <c r="N122" i="9"/>
  <c r="N49" i="27"/>
  <c r="N446"/>
  <c r="N39"/>
  <c r="M117" i="9"/>
  <c r="N436" i="27"/>
  <c r="N440"/>
  <c r="N43"/>
  <c r="M119" i="9"/>
  <c r="N9" i="5"/>
  <c r="L5" i="28"/>
  <c r="Q461" i="27"/>
  <c r="Q462" s="1"/>
  <c r="Q485"/>
  <c r="S42" i="9"/>
  <c r="S253" i="10" s="1"/>
  <c r="N39" i="28"/>
  <c r="P43" i="5"/>
  <c r="R43" s="1"/>
  <c r="N455" i="27"/>
  <c r="N447" s="1"/>
  <c r="N29" i="28"/>
  <c r="S32" i="9"/>
  <c r="P33" i="5"/>
  <c r="R33" s="1"/>
  <c r="O50" i="20"/>
  <c r="P50" s="1"/>
  <c r="Q50" s="1"/>
  <c r="R50" s="1"/>
  <c r="Q48" i="15"/>
  <c r="Q47" s="1"/>
  <c r="P145" i="9"/>
  <c r="P33" i="15"/>
  <c r="L14" i="24"/>
  <c r="L14" i="19"/>
  <c r="R155" i="5"/>
  <c r="N152" i="28"/>
  <c r="S155" i="9"/>
  <c r="P156" i="5"/>
  <c r="R156" s="1"/>
  <c r="N54" i="20"/>
  <c r="M153" i="28"/>
  <c r="J5" i="12"/>
  <c r="O157" i="5"/>
  <c r="L142" i="28"/>
  <c r="N146" i="5"/>
  <c r="J31" i="16" s="1"/>
  <c r="K3" i="12"/>
  <c r="K140" i="28"/>
  <c r="M144" i="5"/>
  <c r="I29" i="16" s="1"/>
  <c r="K6" i="12"/>
  <c r="N154" i="28"/>
  <c r="Q159" i="9"/>
  <c r="S157"/>
  <c r="Q156"/>
  <c r="P158" i="5"/>
  <c r="P44" i="20"/>
  <c r="Q42"/>
  <c r="K20" i="24"/>
  <c r="K21" i="19"/>
  <c r="M156" i="28"/>
  <c r="J7" i="12"/>
  <c r="O160" i="5"/>
  <c r="N52" i="20"/>
  <c r="O34" i="15"/>
  <c r="O143" i="9"/>
  <c r="I13" i="12" s="1"/>
  <c r="N51" i="27" l="1"/>
  <c r="N448"/>
  <c r="M123" i="9"/>
  <c r="J116" i="28"/>
  <c r="L120" i="5"/>
  <c r="M119" i="26" s="1"/>
  <c r="L118" i="5"/>
  <c r="M117" i="26" s="1"/>
  <c r="J114" i="28"/>
  <c r="O11" i="20"/>
  <c r="O12" s="1"/>
  <c r="M123" i="5"/>
  <c r="N122" i="26" s="1"/>
  <c r="K119" i="28"/>
  <c r="O444" i="27"/>
  <c r="N121" i="9"/>
  <c r="O47" i="27"/>
  <c r="O310"/>
  <c r="O316"/>
  <c r="O38"/>
  <c r="O53"/>
  <c r="O304"/>
  <c r="N64" i="9"/>
  <c r="O122"/>
  <c r="O446" i="27"/>
  <c r="O49"/>
  <c r="O43"/>
  <c r="O440"/>
  <c r="N119" i="9"/>
  <c r="O41" i="27"/>
  <c r="O438"/>
  <c r="N118" i="9"/>
  <c r="R461" i="27"/>
  <c r="R462" s="1"/>
  <c r="R485"/>
  <c r="L65" i="5"/>
  <c r="J61" i="28"/>
  <c r="N324" i="27"/>
  <c r="N320"/>
  <c r="N326"/>
  <c r="N318"/>
  <c r="M85" i="9"/>
  <c r="N322" i="27"/>
  <c r="N328"/>
  <c r="N317"/>
  <c r="M79" i="9"/>
  <c r="N305" i="27"/>
  <c r="J117" i="28"/>
  <c r="L121" i="5"/>
  <c r="M120" i="26" s="1"/>
  <c r="J118" i="28"/>
  <c r="L122" i="5"/>
  <c r="M121" i="26" s="1"/>
  <c r="M5" i="28"/>
  <c r="O9" i="5"/>
  <c r="S14" i="10"/>
  <c r="Q8" i="9"/>
  <c r="Q15" i="10"/>
  <c r="N44" i="27"/>
  <c r="M67" i="9"/>
  <c r="M65"/>
  <c r="N40" i="27"/>
  <c r="M70" i="9"/>
  <c r="N50" i="27"/>
  <c r="Q434"/>
  <c r="Q433" s="1"/>
  <c r="O116" i="9"/>
  <c r="P453" i="27"/>
  <c r="P443" s="1"/>
  <c r="P454"/>
  <c r="P445" s="1"/>
  <c r="P451"/>
  <c r="P439" s="1"/>
  <c r="P452"/>
  <c r="P441" s="1"/>
  <c r="P37"/>
  <c r="P450"/>
  <c r="P437" s="1"/>
  <c r="P449"/>
  <c r="P455" s="1"/>
  <c r="P447" s="1"/>
  <c r="O442"/>
  <c r="O45"/>
  <c r="N120" i="9"/>
  <c r="O435" i="27"/>
  <c r="O455"/>
  <c r="O447" s="1"/>
  <c r="K113" i="28"/>
  <c r="M117" i="5"/>
  <c r="N116" i="26" s="1"/>
  <c r="M4" i="28"/>
  <c r="O8" i="5"/>
  <c r="S6" i="9"/>
  <c r="S10" i="10" s="1"/>
  <c r="N3" i="28"/>
  <c r="P7" i="5"/>
  <c r="R7" s="1"/>
  <c r="N57" i="27"/>
  <c r="M72" i="9"/>
  <c r="N55" i="27"/>
  <c r="N54"/>
  <c r="M82" i="9"/>
  <c r="N311" i="27"/>
  <c r="N46"/>
  <c r="M68" i="9"/>
  <c r="J115" i="28"/>
  <c r="L119" i="5"/>
  <c r="M118" i="26" s="1"/>
  <c r="N42" i="27"/>
  <c r="M66" i="9"/>
  <c r="N48" i="27"/>
  <c r="M69" i="9"/>
  <c r="Q13" i="10"/>
  <c r="S12"/>
  <c r="Q7" i="9"/>
  <c r="Q277" i="10"/>
  <c r="Q278" s="1"/>
  <c r="S44" i="9"/>
  <c r="S277" i="10" s="1"/>
  <c r="N41" i="28"/>
  <c r="P45" i="5"/>
  <c r="R45" s="1"/>
  <c r="Q145" i="9"/>
  <c r="Q33" i="15"/>
  <c r="O52" i="20"/>
  <c r="L20" i="24"/>
  <c r="L21" i="19"/>
  <c r="R158" i="5"/>
  <c r="P48" i="20"/>
  <c r="O54"/>
  <c r="M142" i="28"/>
  <c r="O146" i="5"/>
  <c r="K31" i="16" s="1"/>
  <c r="L140" i="28"/>
  <c r="N144" i="5"/>
  <c r="J29" i="16" s="1"/>
  <c r="R42" i="20"/>
  <c r="R44" s="1"/>
  <c r="Q44"/>
  <c r="K5" i="12"/>
  <c r="N153" i="28"/>
  <c r="P157" i="5"/>
  <c r="R157" s="1"/>
  <c r="S156" i="9"/>
  <c r="K7" i="12"/>
  <c r="N156" i="28"/>
  <c r="S159" i="9"/>
  <c r="P160" i="5"/>
  <c r="R160" s="1"/>
  <c r="P34" i="15"/>
  <c r="P143" i="9"/>
  <c r="P435" i="27" l="1"/>
  <c r="N4" i="28"/>
  <c r="P8" i="5"/>
  <c r="R8" s="1"/>
  <c r="S7" i="9"/>
  <c r="J79" i="28"/>
  <c r="L83" i="5"/>
  <c r="M149" i="26" s="1"/>
  <c r="M73" i="9"/>
  <c r="N56" i="27"/>
  <c r="M74" i="9"/>
  <c r="N58" i="27"/>
  <c r="N123" i="9"/>
  <c r="O448" i="27"/>
  <c r="O51"/>
  <c r="K117" i="28"/>
  <c r="M121" i="5"/>
  <c r="N120" i="26" s="1"/>
  <c r="R434" i="27"/>
  <c r="Q452"/>
  <c r="Q441" s="1"/>
  <c r="R433"/>
  <c r="Q451"/>
  <c r="Q439" s="1"/>
  <c r="P116" i="9"/>
  <c r="Q37" i="27"/>
  <c r="Q449"/>
  <c r="Q453"/>
  <c r="Q443" s="1"/>
  <c r="Q454"/>
  <c r="Q445" s="1"/>
  <c r="Q450"/>
  <c r="Q437" s="1"/>
  <c r="P438"/>
  <c r="O118" i="9"/>
  <c r="P41" i="27"/>
  <c r="P442"/>
  <c r="O120" i="9"/>
  <c r="P45" i="27"/>
  <c r="P122" i="9"/>
  <c r="P446" i="27"/>
  <c r="P49"/>
  <c r="L113" i="28"/>
  <c r="N117" i="5"/>
  <c r="O116" i="26" s="1"/>
  <c r="J64" i="28"/>
  <c r="L68" i="5"/>
  <c r="M101" i="26" s="1"/>
  <c r="L80" i="5"/>
  <c r="M143" i="26" s="1"/>
  <c r="J76" i="28"/>
  <c r="M91" i="9"/>
  <c r="N329" i="27"/>
  <c r="L86" i="5"/>
  <c r="J82" i="28"/>
  <c r="M90" i="9"/>
  <c r="N327" i="27"/>
  <c r="M89" i="9"/>
  <c r="N325" i="27"/>
  <c r="M120" i="5"/>
  <c r="N119" i="26" s="1"/>
  <c r="K116" i="28"/>
  <c r="N67" i="9"/>
  <c r="O44" i="27"/>
  <c r="M65" i="5"/>
  <c r="K61" i="28"/>
  <c r="O54" i="27"/>
  <c r="N72" i="9"/>
  <c r="O57" i="27"/>
  <c r="O55"/>
  <c r="O318"/>
  <c r="O324"/>
  <c r="O326"/>
  <c r="O317"/>
  <c r="N85" i="9"/>
  <c r="O328" i="27"/>
  <c r="O322"/>
  <c r="O320"/>
  <c r="N69" i="9"/>
  <c r="O48" i="27"/>
  <c r="J120" i="28"/>
  <c r="L124" i="5"/>
  <c r="M123" i="26" s="1"/>
  <c r="N52" i="27"/>
  <c r="M71" i="9"/>
  <c r="L70" i="5"/>
  <c r="M103" i="26" s="1"/>
  <c r="J66" i="28"/>
  <c r="L67" i="5"/>
  <c r="M100" i="26" s="1"/>
  <c r="J63" i="28"/>
  <c r="J65"/>
  <c r="L69" i="5"/>
  <c r="M102" i="26" s="1"/>
  <c r="L73" i="5"/>
  <c r="J69" i="28"/>
  <c r="O39" i="27"/>
  <c r="O436"/>
  <c r="N117" i="9"/>
  <c r="N68"/>
  <c r="O46" i="27"/>
  <c r="P39"/>
  <c r="O117" i="9"/>
  <c r="P436" i="27"/>
  <c r="P51"/>
  <c r="O123" i="9"/>
  <c r="P448" i="27"/>
  <c r="P310"/>
  <c r="P316"/>
  <c r="P38"/>
  <c r="O64" i="9"/>
  <c r="P304" i="27"/>
  <c r="P53"/>
  <c r="P440"/>
  <c r="O119" i="9"/>
  <c r="P43" i="27"/>
  <c r="P444"/>
  <c r="P47"/>
  <c r="O121" i="9"/>
  <c r="L71" i="5"/>
  <c r="M104" i="26" s="1"/>
  <c r="J67" i="28"/>
  <c r="L66" i="5"/>
  <c r="M99" i="26" s="1"/>
  <c r="J62" i="28"/>
  <c r="N5"/>
  <c r="P9" i="5"/>
  <c r="R9" s="1"/>
  <c r="S8" i="9"/>
  <c r="M88"/>
  <c r="N323" i="27"/>
  <c r="M86" i="9"/>
  <c r="N319" i="27"/>
  <c r="M87" i="9"/>
  <c r="N321" i="27"/>
  <c r="M119" i="5"/>
  <c r="N118" i="26" s="1"/>
  <c r="K115" i="28"/>
  <c r="O42" i="27"/>
  <c r="N66" i="9"/>
  <c r="O50" i="27"/>
  <c r="N70" i="9"/>
  <c r="P11" i="20"/>
  <c r="P12" s="1"/>
  <c r="L119" i="28"/>
  <c r="N123" i="5"/>
  <c r="O122" i="26" s="1"/>
  <c r="N79" i="9"/>
  <c r="O305" i="27"/>
  <c r="N82" i="9"/>
  <c r="O311" i="27"/>
  <c r="M122" i="5"/>
  <c r="N121" i="26" s="1"/>
  <c r="K118" i="28"/>
  <c r="P54" i="20"/>
  <c r="Q48"/>
  <c r="N142" i="28"/>
  <c r="S145" i="9"/>
  <c r="P146" i="5"/>
  <c r="M140" i="28"/>
  <c r="O144" i="5"/>
  <c r="K29" i="16" s="1"/>
  <c r="P52" i="20"/>
  <c r="Q34" i="15"/>
  <c r="Q143" i="9"/>
  <c r="J13" i="12"/>
  <c r="K79" i="28" l="1"/>
  <c r="M83" i="5"/>
  <c r="N149" i="26" s="1"/>
  <c r="M80" i="5"/>
  <c r="N143" i="26" s="1"/>
  <c r="K76" i="28"/>
  <c r="M71" i="5"/>
  <c r="N104" i="26" s="1"/>
  <c r="K67" i="28"/>
  <c r="K63"/>
  <c r="M67" i="5"/>
  <c r="N100" i="26" s="1"/>
  <c r="O69" i="9"/>
  <c r="P48" i="27"/>
  <c r="P44"/>
  <c r="O67" i="9"/>
  <c r="P305" i="27"/>
  <c r="O79" i="9"/>
  <c r="P311" i="27"/>
  <c r="O82" i="9"/>
  <c r="L120" i="28"/>
  <c r="N124" i="5"/>
  <c r="O123" i="26" s="1"/>
  <c r="P40" i="27"/>
  <c r="O65" i="9"/>
  <c r="K65" i="28"/>
  <c r="M69" i="5"/>
  <c r="N102" i="26" s="1"/>
  <c r="L72" i="5"/>
  <c r="M105" i="26" s="1"/>
  <c r="J68" i="28"/>
  <c r="O321" i="27"/>
  <c r="N87" i="9"/>
  <c r="O329" i="27"/>
  <c r="N91" i="9"/>
  <c r="N89"/>
  <c r="O325" i="27"/>
  <c r="O56"/>
  <c r="N73" i="9"/>
  <c r="M73" i="5"/>
  <c r="K69" i="28"/>
  <c r="O70" i="9"/>
  <c r="P50" i="27"/>
  <c r="O123" i="5"/>
  <c r="P122" i="26" s="1"/>
  <c r="Q11" i="20"/>
  <c r="Q12" s="1"/>
  <c r="M119" i="28"/>
  <c r="N121" i="5"/>
  <c r="O120" i="26" s="1"/>
  <c r="L117" i="28"/>
  <c r="O66" i="9"/>
  <c r="P42" i="27"/>
  <c r="Q122" i="9"/>
  <c r="Q446" i="27"/>
  <c r="Q49"/>
  <c r="Q435"/>
  <c r="Q455"/>
  <c r="Q447" s="1"/>
  <c r="M113" i="28"/>
  <c r="O117" i="5"/>
  <c r="P116" i="26" s="1"/>
  <c r="R451" i="27"/>
  <c r="Q116" i="9"/>
  <c r="R454" i="27"/>
  <c r="R445" s="1"/>
  <c r="R452"/>
  <c r="R441" s="1"/>
  <c r="R453"/>
  <c r="R443" s="1"/>
  <c r="R450"/>
  <c r="R437" s="1"/>
  <c r="R37"/>
  <c r="R449"/>
  <c r="R439"/>
  <c r="L88" i="5"/>
  <c r="J84" i="28"/>
  <c r="L87" i="5"/>
  <c r="J83" i="28"/>
  <c r="L89" i="5"/>
  <c r="J85" i="28"/>
  <c r="L118"/>
  <c r="N122" i="5"/>
  <c r="O121" i="26" s="1"/>
  <c r="N120" i="5"/>
  <c r="O119" i="26" s="1"/>
  <c r="L116" i="28"/>
  <c r="P55" i="27"/>
  <c r="P54"/>
  <c r="P57"/>
  <c r="O72" i="9"/>
  <c r="L61" i="28"/>
  <c r="N65" i="5"/>
  <c r="P326" i="27"/>
  <c r="P322"/>
  <c r="P324"/>
  <c r="P328"/>
  <c r="P318"/>
  <c r="O85" i="9"/>
  <c r="P320" i="27"/>
  <c r="P317"/>
  <c r="P52"/>
  <c r="O71" i="9"/>
  <c r="L114" i="28"/>
  <c r="N118" i="5"/>
  <c r="O117" i="26" s="1"/>
  <c r="M118" i="5"/>
  <c r="N117" i="26" s="1"/>
  <c r="K114" i="28"/>
  <c r="N65" i="9"/>
  <c r="O40" i="27"/>
  <c r="K66" i="28"/>
  <c r="M70" i="5"/>
  <c r="N103" i="26" s="1"/>
  <c r="O323" i="27"/>
  <c r="N88" i="9"/>
  <c r="M86" i="5"/>
  <c r="K82" i="28"/>
  <c r="N90" i="9"/>
  <c r="O327" i="27"/>
  <c r="N86" i="9"/>
  <c r="O319" i="27"/>
  <c r="O58"/>
  <c r="N74" i="9"/>
  <c r="M68" i="5"/>
  <c r="N101" i="26" s="1"/>
  <c r="K64" i="28"/>
  <c r="L90" i="5"/>
  <c r="J86" i="28"/>
  <c r="L91" i="5"/>
  <c r="J87" i="28"/>
  <c r="L92" i="5"/>
  <c r="J88" i="28"/>
  <c r="P46" i="27"/>
  <c r="O68" i="9"/>
  <c r="L115" i="28"/>
  <c r="N119" i="5"/>
  <c r="O118" i="26" s="1"/>
  <c r="Q438" i="27"/>
  <c r="P118" i="9"/>
  <c r="Q41" i="27"/>
  <c r="Q444"/>
  <c r="Q47"/>
  <c r="P121" i="9"/>
  <c r="Q310" i="27"/>
  <c r="Q316"/>
  <c r="Q38"/>
  <c r="Q304"/>
  <c r="P64" i="9"/>
  <c r="Q53" i="27"/>
  <c r="Q440"/>
  <c r="Q43"/>
  <c r="P119" i="9"/>
  <c r="Q45" i="27"/>
  <c r="P120" i="9"/>
  <c r="Q442" i="27"/>
  <c r="O52"/>
  <c r="N71" i="9"/>
  <c r="M124" i="5"/>
  <c r="N123" i="26" s="1"/>
  <c r="K120" i="28"/>
  <c r="L75" i="5"/>
  <c r="J71" i="28"/>
  <c r="N17" i="20"/>
  <c r="N18" s="1"/>
  <c r="L74" i="5"/>
  <c r="J70" i="28"/>
  <c r="N140"/>
  <c r="S143" i="9"/>
  <c r="P144" i="5"/>
  <c r="L31" i="16"/>
  <c r="R146" i="5"/>
  <c r="R52" i="20"/>
  <c r="Q52"/>
  <c r="R48"/>
  <c r="R54" s="1"/>
  <c r="Q54"/>
  <c r="K13" i="12"/>
  <c r="M72" i="5" l="1"/>
  <c r="N105" i="26" s="1"/>
  <c r="K68" i="28"/>
  <c r="P68" i="9"/>
  <c r="Q46" i="27"/>
  <c r="Q44"/>
  <c r="P67" i="9"/>
  <c r="Q54" i="27"/>
  <c r="Q57"/>
  <c r="Q55"/>
  <c r="P72" i="9"/>
  <c r="Q305" i="27"/>
  <c r="P79" i="9"/>
  <c r="Q328" i="27"/>
  <c r="Q322"/>
  <c r="Q317"/>
  <c r="Q320"/>
  <c r="Q326"/>
  <c r="Q318"/>
  <c r="Q324"/>
  <c r="P85" i="9"/>
  <c r="M118" i="28"/>
  <c r="O122" i="5"/>
  <c r="P121" i="26" s="1"/>
  <c r="O119" i="5"/>
  <c r="P118" i="26" s="1"/>
  <c r="M115" i="28"/>
  <c r="L65"/>
  <c r="N69" i="5"/>
  <c r="O102" i="26" s="1"/>
  <c r="K71" i="28"/>
  <c r="M75" i="5"/>
  <c r="K85" i="28"/>
  <c r="M89" i="5"/>
  <c r="N72"/>
  <c r="O105" i="26" s="1"/>
  <c r="L68" i="28"/>
  <c r="N86" i="5"/>
  <c r="L82" i="28"/>
  <c r="O91" i="9"/>
  <c r="P329" i="27"/>
  <c r="O88" i="9"/>
  <c r="P323" i="27"/>
  <c r="N73" i="5"/>
  <c r="L69" i="28"/>
  <c r="R440" i="27"/>
  <c r="Q119" i="9"/>
  <c r="R43" i="27"/>
  <c r="R310"/>
  <c r="R316"/>
  <c r="Q64" i="9"/>
  <c r="R38" i="27"/>
  <c r="R304"/>
  <c r="R53"/>
  <c r="R444"/>
  <c r="Q121" i="9"/>
  <c r="R47" i="27"/>
  <c r="R446"/>
  <c r="R49"/>
  <c r="Q39"/>
  <c r="P117" i="9"/>
  <c r="Q436" i="27"/>
  <c r="N71" i="5"/>
  <c r="O104" i="26" s="1"/>
  <c r="L67" i="28"/>
  <c r="M90" i="5"/>
  <c r="K86" i="28"/>
  <c r="N70" i="5"/>
  <c r="O103" i="26" s="1"/>
  <c r="L66" i="28"/>
  <c r="M134" i="26"/>
  <c r="M117" i="28"/>
  <c r="O121" i="5"/>
  <c r="P120" i="26" s="1"/>
  <c r="O120" i="5"/>
  <c r="P119" i="26" s="1"/>
  <c r="M116" i="28"/>
  <c r="O65" i="5"/>
  <c r="M61" i="28"/>
  <c r="Q311" i="27"/>
  <c r="P82" i="9"/>
  <c r="P69"/>
  <c r="Q48" i="27"/>
  <c r="Q42"/>
  <c r="P66" i="9"/>
  <c r="M87" i="5"/>
  <c r="K83" i="28"/>
  <c r="M91" i="5"/>
  <c r="K87" i="28"/>
  <c r="K62"/>
  <c r="M66" i="5"/>
  <c r="N99" i="26" s="1"/>
  <c r="O87" i="9"/>
  <c r="P321" i="27"/>
  <c r="O86" i="9"/>
  <c r="P319" i="27"/>
  <c r="O89" i="9"/>
  <c r="P325" i="27"/>
  <c r="O90" i="9"/>
  <c r="P327" i="27"/>
  <c r="O74" i="9"/>
  <c r="P58" i="27"/>
  <c r="O73" i="9"/>
  <c r="P56" i="27"/>
  <c r="R435"/>
  <c r="R455"/>
  <c r="R447" s="1"/>
  <c r="R41"/>
  <c r="Q118" i="9"/>
  <c r="R438" i="27"/>
  <c r="R45"/>
  <c r="R442"/>
  <c r="Q120" i="9"/>
  <c r="N113" i="28"/>
  <c r="P117" i="5"/>
  <c r="S116" i="9"/>
  <c r="P123"/>
  <c r="Q448" i="27"/>
  <c r="Q51"/>
  <c r="Q50"/>
  <c r="P70" i="9"/>
  <c r="R11" i="20"/>
  <c r="S122" i="9"/>
  <c r="N119" i="28"/>
  <c r="P123" i="5"/>
  <c r="N67"/>
  <c r="O100" i="26" s="1"/>
  <c r="L63" i="28"/>
  <c r="O17" i="20"/>
  <c r="O18" s="1"/>
  <c r="K70" i="28"/>
  <c r="M74" i="5"/>
  <c r="N134" i="26" s="1"/>
  <c r="K88" i="28"/>
  <c r="M92" i="5"/>
  <c r="K84" i="28"/>
  <c r="M88" i="5"/>
  <c r="N66"/>
  <c r="O99" i="26" s="1"/>
  <c r="L62" i="28"/>
  <c r="N83" i="5"/>
  <c r="O149" i="26" s="1"/>
  <c r="L79" i="28"/>
  <c r="N80" i="5"/>
  <c r="O143" i="26" s="1"/>
  <c r="L76" i="28"/>
  <c r="L64"/>
  <c r="N68" i="5"/>
  <c r="O101" i="26" s="1"/>
  <c r="L29" i="16"/>
  <c r="R144" i="5"/>
  <c r="R12" i="20" l="1"/>
  <c r="U11"/>
  <c r="R42" i="27"/>
  <c r="Q66" i="9"/>
  <c r="R39" i="27"/>
  <c r="Q117" i="9"/>
  <c r="R436" i="27"/>
  <c r="P17" i="20"/>
  <c r="P18" s="1"/>
  <c r="N74" i="5"/>
  <c r="L70" i="28"/>
  <c r="L71"/>
  <c r="N75" i="5"/>
  <c r="L87" i="28"/>
  <c r="N91" i="5"/>
  <c r="L86" i="28"/>
  <c r="N90" i="5"/>
  <c r="L83" i="28"/>
  <c r="N87" i="5"/>
  <c r="N88"/>
  <c r="L84" i="28"/>
  <c r="M66"/>
  <c r="O70" i="5"/>
  <c r="P103" i="26" s="1"/>
  <c r="Q40" i="27"/>
  <c r="P65" i="9"/>
  <c r="S121"/>
  <c r="N118" i="28"/>
  <c r="P122" i="5"/>
  <c r="R55" i="27"/>
  <c r="R57"/>
  <c r="Q72" i="9"/>
  <c r="R54" i="27"/>
  <c r="R328"/>
  <c r="R320"/>
  <c r="R322"/>
  <c r="R317"/>
  <c r="R324"/>
  <c r="R326"/>
  <c r="R318"/>
  <c r="Q85" i="9"/>
  <c r="Q67"/>
  <c r="R44" i="27"/>
  <c r="N89" i="5"/>
  <c r="L85" i="28"/>
  <c r="N92" i="5"/>
  <c r="L88" i="28"/>
  <c r="Q325" i="27"/>
  <c r="P89" i="9"/>
  <c r="Q327" i="27"/>
  <c r="P90" i="9"/>
  <c r="P91"/>
  <c r="Q329" i="27"/>
  <c r="Q56"/>
  <c r="P73" i="9"/>
  <c r="M65" i="28"/>
  <c r="O69" i="5"/>
  <c r="P102" i="26" s="1"/>
  <c r="R123" i="5"/>
  <c r="Q122" i="26"/>
  <c r="M67" i="28"/>
  <c r="O71" i="5"/>
  <c r="P104" i="26" s="1"/>
  <c r="P71" i="9"/>
  <c r="Q52" i="27"/>
  <c r="M120" i="28"/>
  <c r="O124" i="5"/>
  <c r="P123" i="26" s="1"/>
  <c r="R117" i="5"/>
  <c r="Q116" i="26"/>
  <c r="S120" i="9"/>
  <c r="N117" i="28"/>
  <c r="P121" i="5"/>
  <c r="Q68" i="9"/>
  <c r="R46" i="27"/>
  <c r="S118" i="9"/>
  <c r="N115" i="28"/>
  <c r="P119" i="5"/>
  <c r="Q123" i="9"/>
  <c r="R448" i="27"/>
  <c r="R51"/>
  <c r="O67" i="5"/>
  <c r="P100" i="26" s="1"/>
  <c r="M63" i="28"/>
  <c r="O83" i="5"/>
  <c r="P149" i="26" s="1"/>
  <c r="M79" i="28"/>
  <c r="M114"/>
  <c r="O118" i="5"/>
  <c r="P117" i="26" s="1"/>
  <c r="Q70" i="9"/>
  <c r="R50" i="27"/>
  <c r="Q69" i="9"/>
  <c r="R48" i="27"/>
  <c r="R305"/>
  <c r="Q79" i="9"/>
  <c r="S64"/>
  <c r="N61" i="28"/>
  <c r="P65" i="5"/>
  <c r="R65" s="1"/>
  <c r="R311" i="27"/>
  <c r="Q82" i="9"/>
  <c r="N116" i="28"/>
  <c r="P120" i="5"/>
  <c r="S119" i="9"/>
  <c r="M82" i="28"/>
  <c r="O86" i="5"/>
  <c r="Q319" i="27"/>
  <c r="P86" i="9"/>
  <c r="P87"/>
  <c r="Q321" i="27"/>
  <c r="P88" i="9"/>
  <c r="Q323" i="27"/>
  <c r="O80" i="5"/>
  <c r="P143" i="26" s="1"/>
  <c r="M76" i="28"/>
  <c r="M69"/>
  <c r="O73" i="5"/>
  <c r="Q58" i="27"/>
  <c r="P74" i="9"/>
  <c r="M64" i="28"/>
  <c r="O68" i="5"/>
  <c r="P101" i="26" s="1"/>
  <c r="E385" i="27"/>
  <c r="E383"/>
  <c r="E387"/>
  <c r="E389"/>
  <c r="E391"/>
  <c r="O89" i="5" l="1"/>
  <c r="M85" i="28"/>
  <c r="O88" i="5"/>
  <c r="M84" i="28"/>
  <c r="R120" i="5"/>
  <c r="Q119" i="26"/>
  <c r="P83" i="5"/>
  <c r="N79" i="28"/>
  <c r="S82" i="9"/>
  <c r="S69"/>
  <c r="N66" i="28"/>
  <c r="P70" i="5"/>
  <c r="N67" i="28"/>
  <c r="P71" i="5"/>
  <c r="S70" i="9"/>
  <c r="Q118" i="26"/>
  <c r="R119" i="5"/>
  <c r="N65" i="28"/>
  <c r="P69" i="5"/>
  <c r="S68" i="9"/>
  <c r="Q17" i="20"/>
  <c r="Q18" s="1"/>
  <c r="O74" i="5"/>
  <c r="M70" i="28"/>
  <c r="O91" i="5"/>
  <c r="M87" i="28"/>
  <c r="O90" i="5"/>
  <c r="M86" i="28"/>
  <c r="S85" i="9"/>
  <c r="N82" i="28"/>
  <c r="P86" i="5"/>
  <c r="R86" s="1"/>
  <c r="R327" i="27"/>
  <c r="Q90" i="9"/>
  <c r="R321" i="27"/>
  <c r="Q87" i="9"/>
  <c r="Q74"/>
  <c r="R58" i="27"/>
  <c r="Q121" i="26"/>
  <c r="R122" i="5"/>
  <c r="R40" i="27"/>
  <c r="Q65" i="9"/>
  <c r="O134" i="26"/>
  <c r="O75" i="5"/>
  <c r="M71" i="28"/>
  <c r="O87" i="5"/>
  <c r="M83" i="28"/>
  <c r="N76"/>
  <c r="P80" i="5"/>
  <c r="S79" i="9"/>
  <c r="R52" i="27"/>
  <c r="Q71" i="9"/>
  <c r="S123"/>
  <c r="P124" i="5"/>
  <c r="N120" i="28"/>
  <c r="Q120" i="26"/>
  <c r="R121" i="5"/>
  <c r="O72"/>
  <c r="P105" i="26" s="1"/>
  <c r="M68" i="28"/>
  <c r="O92" i="5"/>
  <c r="M88" i="28"/>
  <c r="S67" i="9"/>
  <c r="N64" i="28"/>
  <c r="P68" i="5"/>
  <c r="R319" i="27"/>
  <c r="Q86" i="9"/>
  <c r="R325" i="27"/>
  <c r="Q89" i="9"/>
  <c r="R323" i="27"/>
  <c r="Q88" i="9"/>
  <c r="R329" i="27"/>
  <c r="Q91" i="9"/>
  <c r="N69" i="28"/>
  <c r="P73" i="5"/>
  <c r="R73" s="1"/>
  <c r="S72" i="9"/>
  <c r="R56" i="27"/>
  <c r="Q73" i="9"/>
  <c r="O66" i="5"/>
  <c r="P99" i="26" s="1"/>
  <c r="M62" i="28"/>
  <c r="S117" i="9"/>
  <c r="N114" i="28"/>
  <c r="P118" i="5"/>
  <c r="N63" i="28"/>
  <c r="P67" i="5"/>
  <c r="S66" i="9"/>
  <c r="N358" i="27"/>
  <c r="N357" s="1"/>
  <c r="E393"/>
  <c r="R67" i="5" l="1"/>
  <c r="Q100" i="26"/>
  <c r="R17" i="20"/>
  <c r="P74" i="5"/>
  <c r="S73" i="9"/>
  <c r="N70" i="28"/>
  <c r="R80" i="5"/>
  <c r="Q143" i="26"/>
  <c r="N71" i="28"/>
  <c r="S74" i="9"/>
  <c r="P75" i="5"/>
  <c r="R75" s="1"/>
  <c r="Q102" i="26"/>
  <c r="R69" i="5"/>
  <c r="R83"/>
  <c r="Q149" i="26"/>
  <c r="R118" i="5"/>
  <c r="Q117" i="26"/>
  <c r="N88" i="28"/>
  <c r="P92" i="5"/>
  <c r="S91" i="9"/>
  <c r="P89" i="5"/>
  <c r="N85" i="28"/>
  <c r="S88" i="9"/>
  <c r="S89"/>
  <c r="N86" i="28"/>
  <c r="P90" i="5"/>
  <c r="P87"/>
  <c r="N83" i="28"/>
  <c r="S86" i="9"/>
  <c r="Q101" i="26"/>
  <c r="R68" i="5"/>
  <c r="Q123" i="26"/>
  <c r="R124" i="5"/>
  <c r="N68" i="28"/>
  <c r="S71" i="9"/>
  <c r="P72" i="5"/>
  <c r="N62" i="28"/>
  <c r="P66" i="5"/>
  <c r="S65" i="9"/>
  <c r="N84" i="28"/>
  <c r="S87" i="9"/>
  <c r="P88" i="5"/>
  <c r="N87" i="28"/>
  <c r="S90" i="9"/>
  <c r="P91" i="5"/>
  <c r="R71"/>
  <c r="Q104" i="26"/>
  <c r="R70" i="5"/>
  <c r="Q103" i="26"/>
  <c r="P134"/>
  <c r="N376" i="27"/>
  <c r="N365" s="1"/>
  <c r="N366" s="1"/>
  <c r="N377"/>
  <c r="N373"/>
  <c r="N378"/>
  <c r="N374"/>
  <c r="N361" s="1"/>
  <c r="O358"/>
  <c r="N5"/>
  <c r="N308" s="1"/>
  <c r="M100" i="9"/>
  <c r="O357" i="27"/>
  <c r="N369"/>
  <c r="N375"/>
  <c r="N363" s="1"/>
  <c r="N367"/>
  <c r="N370"/>
  <c r="M106" i="9"/>
  <c r="N17" i="27"/>
  <c r="N15"/>
  <c r="N368"/>
  <c r="M105" i="9"/>
  <c r="O5" i="27"/>
  <c r="O308" s="1"/>
  <c r="M104" i="9"/>
  <c r="N13" i="27"/>
  <c r="L101" i="5"/>
  <c r="J97" i="28"/>
  <c r="N359" i="27"/>
  <c r="R91" i="5" l="1"/>
  <c r="Q162" i="26"/>
  <c r="R87" i="5"/>
  <c r="Q158" i="26"/>
  <c r="R89" i="5"/>
  <c r="Q160" i="26"/>
  <c r="Q163"/>
  <c r="R92" i="5"/>
  <c r="R18" i="20"/>
  <c r="U17"/>
  <c r="R88" i="5"/>
  <c r="Q159" i="26"/>
  <c r="R66" i="5"/>
  <c r="Q99" i="26"/>
  <c r="Q105"/>
  <c r="R72" i="5"/>
  <c r="Q161" i="26"/>
  <c r="R90" i="5"/>
  <c r="R74"/>
  <c r="Q134" i="26"/>
  <c r="N314" i="27"/>
  <c r="M48" i="9"/>
  <c r="N341" i="27"/>
  <c r="N342" s="1"/>
  <c r="O377"/>
  <c r="O367" s="1"/>
  <c r="O373"/>
  <c r="O359" s="1"/>
  <c r="P358"/>
  <c r="O376"/>
  <c r="O365" s="1"/>
  <c r="N302"/>
  <c r="N6"/>
  <c r="N364"/>
  <c r="M103" i="9"/>
  <c r="N11" i="27"/>
  <c r="M102" i="9"/>
  <c r="N9" i="27"/>
  <c r="N362"/>
  <c r="O378"/>
  <c r="O369" s="1"/>
  <c r="O370" s="1"/>
  <c r="O374"/>
  <c r="O375"/>
  <c r="O363" s="1"/>
  <c r="N103" i="9" s="1"/>
  <c r="N379" i="27"/>
  <c r="N371" s="1"/>
  <c r="N19" s="1"/>
  <c r="P357"/>
  <c r="O361"/>
  <c r="N102" i="9" s="1"/>
  <c r="N100"/>
  <c r="K97" i="28" s="1"/>
  <c r="O9" i="27"/>
  <c r="N14"/>
  <c r="M52" i="9"/>
  <c r="N349" i="27"/>
  <c r="O6"/>
  <c r="O302"/>
  <c r="O341"/>
  <c r="O314"/>
  <c r="N48" i="9"/>
  <c r="O366" i="27"/>
  <c r="N104" i="9"/>
  <c r="O13" i="27"/>
  <c r="N360"/>
  <c r="M101" i="9"/>
  <c r="N7" i="27"/>
  <c r="L105" i="5"/>
  <c r="J101" i="28"/>
  <c r="N106" i="9"/>
  <c r="O364" i="27"/>
  <c r="N12"/>
  <c r="M51" i="9"/>
  <c r="N347" i="27"/>
  <c r="J100" i="28"/>
  <c r="L104" i="5"/>
  <c r="M84" i="9"/>
  <c r="N315" i="27"/>
  <c r="N312"/>
  <c r="M92" i="9"/>
  <c r="N303" i="27"/>
  <c r="M78" i="9"/>
  <c r="N18" i="27"/>
  <c r="N353"/>
  <c r="M54" i="9"/>
  <c r="N10" i="27"/>
  <c r="M50" i="9"/>
  <c r="N345" i="27"/>
  <c r="L103" i="5"/>
  <c r="J99" i="28"/>
  <c r="M101" i="5"/>
  <c r="L106"/>
  <c r="J102" i="28"/>
  <c r="N16" i="27"/>
  <c r="M53" i="9"/>
  <c r="N351" i="27"/>
  <c r="L49" i="5"/>
  <c r="M154" i="26" s="1"/>
  <c r="J45" i="28"/>
  <c r="M81" i="9"/>
  <c r="N309" i="27"/>
  <c r="N306"/>
  <c r="L107" i="5"/>
  <c r="J103" i="28"/>
  <c r="O15" i="27" l="1"/>
  <c r="N105" i="9"/>
  <c r="O368" i="27"/>
  <c r="O11"/>
  <c r="O17"/>
  <c r="O362"/>
  <c r="N20"/>
  <c r="N355"/>
  <c r="M55" i="9"/>
  <c r="O100"/>
  <c r="P374" i="27"/>
  <c r="P361" s="1"/>
  <c r="Q358"/>
  <c r="O379"/>
  <c r="O371" s="1"/>
  <c r="P378"/>
  <c r="P369" s="1"/>
  <c r="P5"/>
  <c r="P308" s="1"/>
  <c r="P377"/>
  <c r="P367" s="1"/>
  <c r="N107" i="9"/>
  <c r="O372" i="27"/>
  <c r="O19"/>
  <c r="P375"/>
  <c r="P363" s="1"/>
  <c r="P376"/>
  <c r="P365" s="1"/>
  <c r="O104" i="9" s="1"/>
  <c r="P373" i="27"/>
  <c r="Q357"/>
  <c r="R358" s="1"/>
  <c r="N372"/>
  <c r="M107" i="9"/>
  <c r="J52" i="28"/>
  <c r="L56" i="5"/>
  <c r="M11" i="26" s="1"/>
  <c r="M80" i="9"/>
  <c r="J77" i="28" s="1"/>
  <c r="N307" i="27"/>
  <c r="J78" i="28"/>
  <c r="L82" i="5"/>
  <c r="L54"/>
  <c r="M9" i="26" s="1"/>
  <c r="J50" i="28"/>
  <c r="O20" i="27"/>
  <c r="N55" i="9"/>
  <c r="O355" i="27"/>
  <c r="N346"/>
  <c r="M94" i="9"/>
  <c r="M98"/>
  <c r="N354" i="27"/>
  <c r="L79" i="5"/>
  <c r="M142" i="26" s="1"/>
  <c r="J75" i="28"/>
  <c r="J89"/>
  <c r="L93" i="5"/>
  <c r="N313" i="27"/>
  <c r="M83" i="9"/>
  <c r="L85" i="5"/>
  <c r="J81" i="28"/>
  <c r="L52" i="5"/>
  <c r="M7" i="26" s="1"/>
  <c r="J48" i="28"/>
  <c r="N51" i="9"/>
  <c r="O12" i="27"/>
  <c r="O347"/>
  <c r="K100" i="28"/>
  <c r="M104" i="5"/>
  <c r="K102" i="28"/>
  <c r="M106" i="5"/>
  <c r="O18" i="27"/>
  <c r="O353"/>
  <c r="N54" i="9"/>
  <c r="P302" i="27"/>
  <c r="P6"/>
  <c r="P341"/>
  <c r="O48" i="9"/>
  <c r="P314" i="27"/>
  <c r="P362"/>
  <c r="O102" i="9"/>
  <c r="P9" i="27"/>
  <c r="L97" i="28"/>
  <c r="N101" i="5"/>
  <c r="N8" i="27"/>
  <c r="M49" i="9"/>
  <c r="N343" i="27"/>
  <c r="K101" i="28"/>
  <c r="M105" i="5"/>
  <c r="K45" i="28"/>
  <c r="M49" i="5"/>
  <c r="N154" i="26" s="1"/>
  <c r="O342" i="27"/>
  <c r="N92" i="9"/>
  <c r="L53" i="5"/>
  <c r="M8" i="26" s="1"/>
  <c r="J49" i="28"/>
  <c r="N50" i="9"/>
  <c r="O10" i="27"/>
  <c r="O345"/>
  <c r="P359"/>
  <c r="N356"/>
  <c r="M99" i="9"/>
  <c r="N352" i="27"/>
  <c r="M97" i="9"/>
  <c r="K104" i="28"/>
  <c r="M108" i="5"/>
  <c r="L51"/>
  <c r="M6" i="26" s="1"/>
  <c r="J47" i="28"/>
  <c r="J51"/>
  <c r="L55" i="5"/>
  <c r="M10" i="26" s="1"/>
  <c r="N348" i="27"/>
  <c r="M95" i="9"/>
  <c r="O16" i="27"/>
  <c r="N53" i="9"/>
  <c r="O351" i="27"/>
  <c r="M107" i="5"/>
  <c r="K103" i="28"/>
  <c r="Q377" i="27"/>
  <c r="Q367" s="1"/>
  <c r="P100" i="9"/>
  <c r="Q373" i="27"/>
  <c r="Q359" s="1"/>
  <c r="Q5"/>
  <c r="Q308" s="1"/>
  <c r="O106" i="9"/>
  <c r="P370" i="27"/>
  <c r="P17"/>
  <c r="P364"/>
  <c r="O103" i="9"/>
  <c r="P11" i="27"/>
  <c r="O105" i="9"/>
  <c r="P368" i="27"/>
  <c r="P15"/>
  <c r="J98" i="28"/>
  <c r="L102" i="5"/>
  <c r="N52" i="9"/>
  <c r="O14" i="27"/>
  <c r="O349"/>
  <c r="N81" i="9"/>
  <c r="O309" i="27"/>
  <c r="O306"/>
  <c r="O315"/>
  <c r="N84" i="9"/>
  <c r="O312" i="27"/>
  <c r="N78" i="9"/>
  <c r="O303" i="27"/>
  <c r="N350"/>
  <c r="M96" i="9"/>
  <c r="M103" i="5"/>
  <c r="K99" i="28"/>
  <c r="Q374" i="27" l="1"/>
  <c r="Q361" s="1"/>
  <c r="Q375"/>
  <c r="Q363" s="1"/>
  <c r="Q378"/>
  <c r="Q376"/>
  <c r="Q365" s="1"/>
  <c r="P366"/>
  <c r="P13"/>
  <c r="P379"/>
  <c r="P371" s="1"/>
  <c r="O360"/>
  <c r="O7"/>
  <c r="N101" i="9"/>
  <c r="J104" i="28"/>
  <c r="L108" i="5"/>
  <c r="Q369" i="27"/>
  <c r="P106" i="9" s="1"/>
  <c r="R357" i="27"/>
  <c r="R5" s="1"/>
  <c r="R302" s="1"/>
  <c r="Q379"/>
  <c r="Q371" s="1"/>
  <c r="P107" i="9" s="1"/>
  <c r="K75" i="28"/>
  <c r="M79" i="5"/>
  <c r="N142" i="26" s="1"/>
  <c r="K81" i="28"/>
  <c r="M85" i="5"/>
  <c r="O307" i="27"/>
  <c r="N80" i="9"/>
  <c r="K77" i="28" s="1"/>
  <c r="K78"/>
  <c r="M82" i="5"/>
  <c r="P12" i="27"/>
  <c r="O51" i="9"/>
  <c r="P347" i="27"/>
  <c r="Q6"/>
  <c r="Q302"/>
  <c r="Q341"/>
  <c r="P48" i="9"/>
  <c r="Q314" i="27"/>
  <c r="P103" i="9"/>
  <c r="Q364" i="27"/>
  <c r="Q11"/>
  <c r="P102" i="9"/>
  <c r="Q362" i="27"/>
  <c r="Q9"/>
  <c r="M54" i="5"/>
  <c r="N9" i="26" s="1"/>
  <c r="K50" i="28"/>
  <c r="J92"/>
  <c r="L96" i="5"/>
  <c r="J94" i="28"/>
  <c r="L98" i="5"/>
  <c r="L100"/>
  <c r="J96" i="28"/>
  <c r="O101" i="9"/>
  <c r="P360" i="27"/>
  <c r="P7"/>
  <c r="M93" i="5"/>
  <c r="K89" i="28"/>
  <c r="N344" i="27"/>
  <c r="M93" i="9"/>
  <c r="N103" i="5"/>
  <c r="L99" i="28"/>
  <c r="P14" i="27"/>
  <c r="O52" i="9"/>
  <c r="P349" i="27"/>
  <c r="L101" i="28"/>
  <c r="N105" i="5"/>
  <c r="O84" i="9"/>
  <c r="P315" i="27"/>
  <c r="P312"/>
  <c r="L45" i="28"/>
  <c r="N49" i="5"/>
  <c r="O154" i="26" s="1"/>
  <c r="K51" i="28"/>
  <c r="M55" i="5"/>
  <c r="N10" i="26" s="1"/>
  <c r="J80" i="28"/>
  <c r="L84" i="5"/>
  <c r="L95"/>
  <c r="J91" i="28"/>
  <c r="N99" i="9"/>
  <c r="O356" i="27"/>
  <c r="J93" i="28"/>
  <c r="L97" i="5"/>
  <c r="O313" i="27"/>
  <c r="N83" i="9"/>
  <c r="O350" i="27"/>
  <c r="N96" i="9"/>
  <c r="K49" i="28"/>
  <c r="M53" i="5"/>
  <c r="N8" i="26" s="1"/>
  <c r="O53" i="9"/>
  <c r="P16" i="27"/>
  <c r="P351"/>
  <c r="N106" i="5"/>
  <c r="L102" i="28"/>
  <c r="N104" i="5"/>
  <c r="L100" i="28"/>
  <c r="P18" i="27"/>
  <c r="P353"/>
  <c r="O54" i="9"/>
  <c r="N107" i="5"/>
  <c r="L103" i="28"/>
  <c r="P105" i="9"/>
  <c r="Q368" i="27"/>
  <c r="Q15"/>
  <c r="P101" i="9"/>
  <c r="Q360" i="27"/>
  <c r="Q7"/>
  <c r="Q366"/>
  <c r="P104" i="9"/>
  <c r="Q13" i="27"/>
  <c r="M97" i="28"/>
  <c r="O101" i="5"/>
  <c r="O352" i="27"/>
  <c r="N97" i="9"/>
  <c r="O346" i="27"/>
  <c r="N94" i="9"/>
  <c r="K47" i="28"/>
  <c r="M51" i="5"/>
  <c r="N6" i="26" s="1"/>
  <c r="L50" i="5"/>
  <c r="M5" i="26" s="1"/>
  <c r="J46" i="28"/>
  <c r="P10" i="27"/>
  <c r="O50" i="9"/>
  <c r="P345" i="27"/>
  <c r="P309"/>
  <c r="O81" i="9"/>
  <c r="P306" i="27"/>
  <c r="O92" i="9"/>
  <c r="P342" i="27"/>
  <c r="P303"/>
  <c r="O78" i="9"/>
  <c r="O354" i="27"/>
  <c r="N98" i="9"/>
  <c r="N95"/>
  <c r="O348" i="27"/>
  <c r="M52" i="5"/>
  <c r="N7" i="26" s="1"/>
  <c r="K48" i="28"/>
  <c r="J95"/>
  <c r="L99" i="5"/>
  <c r="M56"/>
  <c r="N11" i="26" s="1"/>
  <c r="K52" i="28"/>
  <c r="M148" i="26"/>
  <c r="L81" i="5"/>
  <c r="R373" i="27" l="1"/>
  <c r="Q100" i="9"/>
  <c r="R374" i="27"/>
  <c r="R361" s="1"/>
  <c r="R376"/>
  <c r="R365" s="1"/>
  <c r="R366" s="1"/>
  <c r="R377"/>
  <c r="R378"/>
  <c r="R369" s="1"/>
  <c r="R375"/>
  <c r="R363" s="1"/>
  <c r="Q370"/>
  <c r="Q372"/>
  <c r="Q17"/>
  <c r="P19"/>
  <c r="O107" i="9"/>
  <c r="M104" i="28" s="1"/>
  <c r="P372" i="27"/>
  <c r="K98" i="28"/>
  <c r="M102" i="5"/>
  <c r="N49" i="9"/>
  <c r="O8" i="27"/>
  <c r="O343"/>
  <c r="R367"/>
  <c r="R368" s="1"/>
  <c r="R308"/>
  <c r="Q19"/>
  <c r="K95" i="28"/>
  <c r="M99" i="5"/>
  <c r="L75" i="28"/>
  <c r="N79" i="5"/>
  <c r="O142" i="26" s="1"/>
  <c r="O80" i="9"/>
  <c r="L77" i="28" s="1"/>
  <c r="P307" i="27"/>
  <c r="K92" i="28"/>
  <c r="M96" i="5"/>
  <c r="N93"/>
  <c r="L89" i="28"/>
  <c r="L78"/>
  <c r="N82" i="5"/>
  <c r="P346" i="27"/>
  <c r="O94" i="9"/>
  <c r="K94" i="28"/>
  <c r="M98" i="5"/>
  <c r="Q14" i="27"/>
  <c r="P52" i="9"/>
  <c r="Q349" i="27"/>
  <c r="Q16"/>
  <c r="P53" i="9"/>
  <c r="Q351" i="27"/>
  <c r="O106" i="5"/>
  <c r="M102" i="28"/>
  <c r="R362" i="27"/>
  <c r="Q102" i="9"/>
  <c r="R9" i="27"/>
  <c r="N55" i="5"/>
  <c r="O10" i="26" s="1"/>
  <c r="L51" i="28"/>
  <c r="M97" i="5"/>
  <c r="K93" i="28"/>
  <c r="M84" i="5"/>
  <c r="K80" i="28"/>
  <c r="O96" i="9"/>
  <c r="P350" i="27"/>
  <c r="Q10"/>
  <c r="P50" i="9"/>
  <c r="Q345" i="27"/>
  <c r="M99" i="28"/>
  <c r="O103" i="5"/>
  <c r="O108"/>
  <c r="Q12" i="27"/>
  <c r="P51" i="9"/>
  <c r="Q347" i="27"/>
  <c r="M100" i="28"/>
  <c r="O104" i="5"/>
  <c r="Q309" i="27"/>
  <c r="P81" i="9"/>
  <c r="Q306" i="27"/>
  <c r="P92" i="9"/>
  <c r="Q342" i="27"/>
  <c r="L48" i="28"/>
  <c r="N52" i="5"/>
  <c r="O7" i="26" s="1"/>
  <c r="R359" i="27"/>
  <c r="N51" i="5"/>
  <c r="O6" i="26" s="1"/>
  <c r="L47" i="28"/>
  <c r="M95" i="5"/>
  <c r="K91" i="28"/>
  <c r="O105" i="5"/>
  <c r="M101" i="28"/>
  <c r="Q8" i="27"/>
  <c r="P49" i="9"/>
  <c r="Q343" i="27"/>
  <c r="O102" i="5"/>
  <c r="M98" i="28"/>
  <c r="R6" i="27"/>
  <c r="Q48" i="9"/>
  <c r="R341" i="27"/>
  <c r="R314"/>
  <c r="R364"/>
  <c r="Q103" i="9"/>
  <c r="R11" i="27"/>
  <c r="N97" i="28"/>
  <c r="S100" i="9"/>
  <c r="P101" i="5"/>
  <c r="R101" s="1"/>
  <c r="P354" i="27"/>
  <c r="O98" i="9"/>
  <c r="P352" i="27"/>
  <c r="O97" i="9"/>
  <c r="L50" i="28"/>
  <c r="N54" i="5"/>
  <c r="O9" i="26" s="1"/>
  <c r="M100" i="5"/>
  <c r="K96" i="28"/>
  <c r="P313" i="27"/>
  <c r="O83" i="9"/>
  <c r="N85" i="5"/>
  <c r="L81" i="28"/>
  <c r="N53" i="5"/>
  <c r="O8" i="26" s="1"/>
  <c r="L49" i="28"/>
  <c r="J90"/>
  <c r="L94" i="5"/>
  <c r="P8" i="27"/>
  <c r="O49" i="9"/>
  <c r="P343" i="27"/>
  <c r="N102" i="5"/>
  <c r="L98" i="28"/>
  <c r="Q20" i="27"/>
  <c r="P55" i="9"/>
  <c r="Q355" i="27"/>
  <c r="Q18"/>
  <c r="Q353"/>
  <c r="P54" i="9"/>
  <c r="M103" i="28"/>
  <c r="O107" i="5"/>
  <c r="P84" i="9"/>
  <c r="Q315" i="27"/>
  <c r="Q312"/>
  <c r="M45" i="28"/>
  <c r="O49" i="5"/>
  <c r="P154" i="26" s="1"/>
  <c r="Q303" i="27"/>
  <c r="P78" i="9"/>
  <c r="O95"/>
  <c r="P348" i="27"/>
  <c r="N148" i="26"/>
  <c r="M81" i="5"/>
  <c r="Q106" i="9" l="1"/>
  <c r="R370" i="27"/>
  <c r="R17"/>
  <c r="Q104" i="9"/>
  <c r="R13" i="27"/>
  <c r="O55" i="9"/>
  <c r="M52" i="28" s="1"/>
  <c r="P20" i="27"/>
  <c r="P355"/>
  <c r="N108" i="5"/>
  <c r="L104" i="28"/>
  <c r="O344" i="27"/>
  <c r="N93" i="9"/>
  <c r="K46" i="28"/>
  <c r="M50" i="5"/>
  <c r="N5" i="26" s="1"/>
  <c r="Q105" i="9"/>
  <c r="R15" i="27"/>
  <c r="R379"/>
  <c r="R371" s="1"/>
  <c r="L92" i="28"/>
  <c r="N96" i="5"/>
  <c r="M51" i="28"/>
  <c r="O55" i="5"/>
  <c r="P10" i="26" s="1"/>
  <c r="O56" i="5"/>
  <c r="P11" i="26" s="1"/>
  <c r="L46" i="28"/>
  <c r="N50" i="5"/>
  <c r="O5" i="26" s="1"/>
  <c r="R12" i="27"/>
  <c r="Q51" i="9"/>
  <c r="R347" i="27"/>
  <c r="S106" i="9"/>
  <c r="N103" i="28"/>
  <c r="P107" i="5"/>
  <c r="R107" s="1"/>
  <c r="R309" i="27"/>
  <c r="Q81" i="9"/>
  <c r="R306" i="27"/>
  <c r="Q92" i="9"/>
  <c r="R342" i="27"/>
  <c r="N45" i="28"/>
  <c r="P49" i="5"/>
  <c r="S48" i="9"/>
  <c r="Q344" i="27"/>
  <c r="P93" i="9"/>
  <c r="P80"/>
  <c r="M77" i="28" s="1"/>
  <c r="Q307" i="27"/>
  <c r="M48" i="28"/>
  <c r="O52" i="5"/>
  <c r="P7" i="26" s="1"/>
  <c r="Q346" i="27"/>
  <c r="P94" i="9"/>
  <c r="R14" i="27"/>
  <c r="Q52" i="9"/>
  <c r="R349" i="27"/>
  <c r="N99" i="28"/>
  <c r="P103" i="5"/>
  <c r="R103" s="1"/>
  <c r="S102" i="9"/>
  <c r="P97"/>
  <c r="Q352" i="27"/>
  <c r="M49" i="28"/>
  <c r="O53" i="5"/>
  <c r="P8" i="26" s="1"/>
  <c r="N95" i="5"/>
  <c r="L91" i="28"/>
  <c r="O148" i="26"/>
  <c r="N81" i="5"/>
  <c r="R16" i="27"/>
  <c r="Q53" i="9"/>
  <c r="R351" i="27"/>
  <c r="M75" i="28"/>
  <c r="O79" i="5"/>
  <c r="P142" i="26" s="1"/>
  <c r="Q313" i="27"/>
  <c r="P83" i="9"/>
  <c r="M81" i="28"/>
  <c r="O85" i="5"/>
  <c r="Q354" i="27"/>
  <c r="P98" i="9"/>
  <c r="P99"/>
  <c r="Q356" i="27"/>
  <c r="P344"/>
  <c r="O93" i="9"/>
  <c r="L80" i="28"/>
  <c r="N84" i="5"/>
  <c r="N98"/>
  <c r="L94" i="28"/>
  <c r="L95"/>
  <c r="N99" i="5"/>
  <c r="P104"/>
  <c r="R104" s="1"/>
  <c r="N100" i="28"/>
  <c r="S103" i="9"/>
  <c r="R18" i="27"/>
  <c r="Q54" i="9"/>
  <c r="R353" i="27"/>
  <c r="R315"/>
  <c r="Q84" i="9"/>
  <c r="R312" i="27"/>
  <c r="R303"/>
  <c r="Q78" i="9"/>
  <c r="M46" i="28"/>
  <c r="O50" i="5"/>
  <c r="P5" i="26" s="1"/>
  <c r="R360" i="27"/>
  <c r="Q101" i="9"/>
  <c r="R7" i="27"/>
  <c r="O93" i="5"/>
  <c r="M89" i="28"/>
  <c r="O82" i="5"/>
  <c r="M78" i="28"/>
  <c r="Q348" i="27"/>
  <c r="P95" i="9"/>
  <c r="M47" i="28"/>
  <c r="O51" i="5"/>
  <c r="P6" i="26" s="1"/>
  <c r="N97" i="5"/>
  <c r="L93" i="28"/>
  <c r="N101"/>
  <c r="S104" i="9"/>
  <c r="P105" i="5"/>
  <c r="R105" s="1"/>
  <c r="Q50" i="9"/>
  <c r="R10" i="27"/>
  <c r="R345"/>
  <c r="M50" i="28"/>
  <c r="O54" i="5"/>
  <c r="P9" i="26" s="1"/>
  <c r="Q350" i="27"/>
  <c r="P96" i="9"/>
  <c r="N102" i="28"/>
  <c r="S105" i="9"/>
  <c r="P106" i="5"/>
  <c r="R106" s="1"/>
  <c r="P356" i="27" l="1"/>
  <c r="O99" i="9"/>
  <c r="L52" i="28"/>
  <c r="N56" i="5"/>
  <c r="O11" i="26" s="1"/>
  <c r="M94" i="5"/>
  <c r="K90" i="28"/>
  <c r="R372" i="27"/>
  <c r="R19"/>
  <c r="Q107" i="9"/>
  <c r="O97" i="5"/>
  <c r="M93" i="28"/>
  <c r="R346" i="27"/>
  <c r="Q94" i="9"/>
  <c r="S50"/>
  <c r="P51" i="5"/>
  <c r="N47" i="28"/>
  <c r="P148" i="26"/>
  <c r="O81" i="5"/>
  <c r="N98" i="28"/>
  <c r="S101" i="9"/>
  <c r="P102" i="5"/>
  <c r="R102" s="1"/>
  <c r="N75" i="28"/>
  <c r="S78" i="9"/>
  <c r="P79" i="5"/>
  <c r="R313" i="27"/>
  <c r="Q83" i="9"/>
  <c r="Q98"/>
  <c r="R354" i="27"/>
  <c r="M95" i="28"/>
  <c r="O99" i="5"/>
  <c r="O84"/>
  <c r="M80" i="28"/>
  <c r="N50"/>
  <c r="P54" i="5"/>
  <c r="S53" i="9"/>
  <c r="M94" i="28"/>
  <c r="O98" i="5"/>
  <c r="R350" i="27"/>
  <c r="Q96" i="9"/>
  <c r="M90" i="28"/>
  <c r="O94" i="5"/>
  <c r="N89" i="28"/>
  <c r="S92" i="9"/>
  <c r="P93" i="5"/>
  <c r="R93" s="1"/>
  <c r="S81" i="9"/>
  <c r="P82" i="5"/>
  <c r="N78" i="28"/>
  <c r="Q95" i="9"/>
  <c r="R348" i="27"/>
  <c r="M92" i="28"/>
  <c r="O96" i="5"/>
  <c r="R8" i="27"/>
  <c r="Q49" i="9"/>
  <c r="R343" i="27"/>
  <c r="N81" i="28"/>
  <c r="P85" i="5"/>
  <c r="R85" s="1"/>
  <c r="S84" i="9"/>
  <c r="N51" i="28"/>
  <c r="P55" i="5"/>
  <c r="S54" i="9"/>
  <c r="N94" i="5"/>
  <c r="L90" i="28"/>
  <c r="M96"/>
  <c r="O100" i="5"/>
  <c r="Q97" i="9"/>
  <c r="R352" i="27"/>
  <c r="N49" i="28"/>
  <c r="P53" i="5"/>
  <c r="S52" i="9"/>
  <c r="M91" i="28"/>
  <c r="O95" i="5"/>
  <c r="Q154" i="26"/>
  <c r="R49" i="5"/>
  <c r="R307" i="27"/>
  <c r="Q80" i="9"/>
  <c r="S51"/>
  <c r="P52" i="5"/>
  <c r="N48" i="28"/>
  <c r="N100" i="5" l="1"/>
  <c r="L96" i="28"/>
  <c r="S107" i="9"/>
  <c r="N104" i="28"/>
  <c r="P108" i="5"/>
  <c r="R108" s="1"/>
  <c r="R20" i="27"/>
  <c r="Q55" i="9"/>
  <c r="R355" i="27"/>
  <c r="Q8" i="26"/>
  <c r="R53" i="5"/>
  <c r="Q93" i="9"/>
  <c r="R344" i="27"/>
  <c r="S95" i="9"/>
  <c r="N92" i="28"/>
  <c r="P96" i="5"/>
  <c r="R96" s="1"/>
  <c r="P97"/>
  <c r="R97" s="1"/>
  <c r="N93" i="28"/>
  <c r="S96" i="9"/>
  <c r="N80" i="28"/>
  <c r="S83" i="9"/>
  <c r="P84" i="5"/>
  <c r="R84" s="1"/>
  <c r="R79"/>
  <c r="Q142" i="26"/>
  <c r="R51" i="5"/>
  <c r="Q6" i="26"/>
  <c r="N91" i="28"/>
  <c r="S94" i="9"/>
  <c r="P95" i="5"/>
  <c r="R95" s="1"/>
  <c r="R52"/>
  <c r="Q7" i="26"/>
  <c r="S80" i="9"/>
  <c r="N77" i="28"/>
  <c r="P98" i="5"/>
  <c r="R98" s="1"/>
  <c r="N94" i="28"/>
  <c r="S97" i="9"/>
  <c r="R55" i="5"/>
  <c r="Q10" i="26"/>
  <c r="S49" i="9"/>
  <c r="P50" i="5"/>
  <c r="N46" i="28"/>
  <c r="R82" i="5"/>
  <c r="Q148" i="26"/>
  <c r="P81" i="5"/>
  <c r="R81" s="1"/>
  <c r="Q9" i="26"/>
  <c r="R54" i="5"/>
  <c r="N95" i="28"/>
  <c r="P99" i="5"/>
  <c r="R99" s="1"/>
  <c r="S98" i="9"/>
  <c r="S55" l="1"/>
  <c r="P56" i="5"/>
  <c r="N52" i="28"/>
  <c r="R356" i="27"/>
  <c r="Q99" i="9"/>
  <c r="Q5" i="26"/>
  <c r="R50" i="5"/>
  <c r="N90" i="28"/>
  <c r="P94" i="5"/>
  <c r="R94" s="1"/>
  <c r="S93" i="9"/>
  <c r="S99" l="1"/>
  <c r="P100" i="5"/>
  <c r="R100" s="1"/>
  <c r="N96" i="28"/>
  <c r="R56" i="5"/>
  <c r="Q11" i="26"/>
  <c r="J23" i="28" l="1"/>
  <c r="L27" i="5"/>
  <c r="M27"/>
  <c r="K23" i="28"/>
  <c r="L23"/>
  <c r="N27" i="5"/>
  <c r="M23" i="28"/>
  <c r="O27" i="5"/>
  <c r="N23" i="28"/>
  <c r="P27" i="5"/>
  <c r="R27" s="1"/>
  <c r="S26" i="9"/>
  <c r="S108" i="10" s="1"/>
  <c r="O500" i="27"/>
  <c r="P500"/>
  <c r="Q500"/>
  <c r="N500"/>
  <c r="R500" l="1"/>
  <c r="S22" i="9"/>
  <c r="S76" i="10" s="1"/>
  <c r="N501" i="27"/>
  <c r="N490"/>
  <c r="R490"/>
  <c r="R501"/>
  <c r="O501"/>
  <c r="O490"/>
  <c r="L23" i="5"/>
  <c r="J19" i="28"/>
  <c r="M29" i="9"/>
  <c r="Q501" i="27"/>
  <c r="Q490"/>
  <c r="N23" i="5"/>
  <c r="L19" i="28"/>
  <c r="O29" i="9"/>
  <c r="P23" i="5"/>
  <c r="R23" s="1"/>
  <c r="Q29" i="9"/>
  <c r="N19" i="28"/>
  <c r="M19"/>
  <c r="P29" i="9"/>
  <c r="O23" i="5"/>
  <c r="P501" i="27"/>
  <c r="P490"/>
  <c r="M23" i="5"/>
  <c r="N29" i="9"/>
  <c r="K19" i="28"/>
  <c r="K26" l="1"/>
  <c r="M30" i="5"/>
  <c r="O30"/>
  <c r="M26" i="28"/>
  <c r="N30" i="5"/>
  <c r="L26" i="28"/>
  <c r="Q491" i="27"/>
  <c r="Q423"/>
  <c r="R423"/>
  <c r="R491"/>
  <c r="P423"/>
  <c r="P491"/>
  <c r="N26" i="28"/>
  <c r="P30" i="5"/>
  <c r="R30" s="1"/>
  <c r="S29" i="9"/>
  <c r="J26" i="28"/>
  <c r="L30" i="5"/>
  <c r="O491" i="27"/>
  <c r="O423"/>
  <c r="N491"/>
  <c r="N423"/>
  <c r="N424" s="1"/>
  <c r="N396" l="1"/>
  <c r="N395" s="1"/>
  <c r="R424"/>
  <c r="P424"/>
  <c r="O424"/>
  <c r="Q424"/>
  <c r="O396" l="1"/>
  <c r="N416"/>
  <c r="N407" s="1"/>
  <c r="N415"/>
  <c r="N405" s="1"/>
  <c r="N412"/>
  <c r="N399" s="1"/>
  <c r="N414"/>
  <c r="N403" s="1"/>
  <c r="N411"/>
  <c r="N397" s="1"/>
  <c r="N413"/>
  <c r="N401" s="1"/>
  <c r="M108" i="9"/>
  <c r="N21" i="27"/>
  <c r="O395"/>
  <c r="P396" s="1"/>
  <c r="N402"/>
  <c r="M111" i="9"/>
  <c r="N27" i="27"/>
  <c r="O413"/>
  <c r="O401" s="1"/>
  <c r="O414"/>
  <c r="O403" s="1"/>
  <c r="N108" i="9"/>
  <c r="O412" i="27"/>
  <c r="O399" s="1"/>
  <c r="O416"/>
  <c r="O407" s="1"/>
  <c r="P395"/>
  <c r="Q396" s="1"/>
  <c r="O411"/>
  <c r="O21"/>
  <c r="N400"/>
  <c r="M110" i="9"/>
  <c r="N25" i="27"/>
  <c r="N417"/>
  <c r="N409" s="1"/>
  <c r="N62"/>
  <c r="N63" s="1"/>
  <c r="N22"/>
  <c r="M56" i="9"/>
  <c r="N64" i="27"/>
  <c r="N406"/>
  <c r="M113" i="9"/>
  <c r="N31" i="27"/>
  <c r="L109" i="5"/>
  <c r="M80" i="26" s="1"/>
  <c r="J105" i="28"/>
  <c r="N408" i="27"/>
  <c r="M114" i="9"/>
  <c r="N33" i="27"/>
  <c r="O415" l="1"/>
  <c r="O405" s="1"/>
  <c r="N404"/>
  <c r="N29"/>
  <c r="M112" i="9"/>
  <c r="N398" i="27"/>
  <c r="M109" i="9"/>
  <c r="N23" i="27"/>
  <c r="N114" i="9"/>
  <c r="O408" i="27"/>
  <c r="O33"/>
  <c r="J110" i="28"/>
  <c r="L114" i="5"/>
  <c r="M85" i="26" s="1"/>
  <c r="N410" i="27"/>
  <c r="M115" i="9"/>
  <c r="N35" i="27"/>
  <c r="L115" i="5"/>
  <c r="M86" i="26" s="1"/>
  <c r="J111" i="28"/>
  <c r="N32" i="27"/>
  <c r="M61" i="9"/>
  <c r="J109" i="28"/>
  <c r="L113" i="5"/>
  <c r="M84" i="26" s="1"/>
  <c r="N24" i="27"/>
  <c r="M57" i="9"/>
  <c r="J106" i="28"/>
  <c r="L110" i="5"/>
  <c r="M81" i="26" s="1"/>
  <c r="L57" i="5"/>
  <c r="M75" i="9"/>
  <c r="J53" i="28"/>
  <c r="N26" i="27"/>
  <c r="M58" i="9"/>
  <c r="Q395" i="27"/>
  <c r="R396" s="1"/>
  <c r="P416"/>
  <c r="P412"/>
  <c r="P399" s="1"/>
  <c r="P415"/>
  <c r="P405" s="1"/>
  <c r="P413"/>
  <c r="P401" s="1"/>
  <c r="P414"/>
  <c r="P403" s="1"/>
  <c r="O108" i="9"/>
  <c r="P407" i="27"/>
  <c r="P411"/>
  <c r="P397" s="1"/>
  <c r="P21"/>
  <c r="N112" i="9"/>
  <c r="O404" i="27"/>
  <c r="O29"/>
  <c r="O406"/>
  <c r="N113" i="9"/>
  <c r="O31" i="27"/>
  <c r="M109" i="5"/>
  <c r="N80" i="26" s="1"/>
  <c r="K105" i="28"/>
  <c r="M59" i="9"/>
  <c r="N28" i="27"/>
  <c r="N34"/>
  <c r="M62" i="9"/>
  <c r="N30" i="27"/>
  <c r="M60" i="9"/>
  <c r="N74" i="27"/>
  <c r="N70"/>
  <c r="N76"/>
  <c r="N72"/>
  <c r="N78"/>
  <c r="N65"/>
  <c r="N68"/>
  <c r="N66"/>
  <c r="J107" i="28"/>
  <c r="L111" i="5"/>
  <c r="M82" i="26" s="1"/>
  <c r="O22" i="27"/>
  <c r="O62"/>
  <c r="O63" s="1"/>
  <c r="N56" i="9"/>
  <c r="O64" i="27"/>
  <c r="N110" i="9"/>
  <c r="O400" i="27"/>
  <c r="O25"/>
  <c r="O402"/>
  <c r="N111" i="9"/>
  <c r="O27" i="27"/>
  <c r="J108" i="28"/>
  <c r="L112" i="5"/>
  <c r="M83" i="26" s="1"/>
  <c r="O397" i="27"/>
  <c r="O417" l="1"/>
  <c r="O409" s="1"/>
  <c r="O410" s="1"/>
  <c r="P398"/>
  <c r="O109" i="9"/>
  <c r="P23" i="27"/>
  <c r="P402"/>
  <c r="O111" i="9"/>
  <c r="P27" i="27"/>
  <c r="P400"/>
  <c r="O110" i="9"/>
  <c r="P25" i="27"/>
  <c r="P404"/>
  <c r="O112" i="9"/>
  <c r="P29" i="27"/>
  <c r="P406"/>
  <c r="O113" i="9"/>
  <c r="P31" i="27"/>
  <c r="O65"/>
  <c r="O74"/>
  <c r="O78"/>
  <c r="O76"/>
  <c r="O70"/>
  <c r="O66"/>
  <c r="O72"/>
  <c r="O68"/>
  <c r="N67"/>
  <c r="N131"/>
  <c r="N89"/>
  <c r="N143"/>
  <c r="N79"/>
  <c r="N101"/>
  <c r="N125" s="1"/>
  <c r="N141"/>
  <c r="N77"/>
  <c r="N99"/>
  <c r="N123" s="1"/>
  <c r="N75"/>
  <c r="N139"/>
  <c r="N97"/>
  <c r="L61" i="5"/>
  <c r="M66" i="26" s="1"/>
  <c r="J57" i="28"/>
  <c r="J59"/>
  <c r="L63" i="5"/>
  <c r="M68" i="26" s="1"/>
  <c r="N7" i="20"/>
  <c r="N8" s="1"/>
  <c r="N5" s="1"/>
  <c r="N4" s="1"/>
  <c r="O32" i="27"/>
  <c r="N61" i="9"/>
  <c r="P22" i="27"/>
  <c r="P62"/>
  <c r="P63" s="1"/>
  <c r="O56" i="9"/>
  <c r="P64" i="27"/>
  <c r="P408"/>
  <c r="O114" i="9"/>
  <c r="P33" i="27"/>
  <c r="J72" i="28"/>
  <c r="L76" i="5"/>
  <c r="J54" i="28"/>
  <c r="L58" i="5"/>
  <c r="M63" i="26" s="1"/>
  <c r="J58" i="28"/>
  <c r="L62" i="5"/>
  <c r="M67" i="26" s="1"/>
  <c r="N36" i="27"/>
  <c r="M63" i="9"/>
  <c r="O28" i="27"/>
  <c r="N59" i="9"/>
  <c r="O398" i="27"/>
  <c r="N109" i="9"/>
  <c r="O23" i="27"/>
  <c r="M112" i="5"/>
  <c r="N83" i="26" s="1"/>
  <c r="K108" i="28"/>
  <c r="O26" i="27"/>
  <c r="N58" i="9"/>
  <c r="K107" i="28"/>
  <c r="M111" i="5"/>
  <c r="N82" i="26" s="1"/>
  <c r="K53" i="28"/>
  <c r="N75" i="9"/>
  <c r="M57" i="5"/>
  <c r="N69" i="27"/>
  <c r="N133"/>
  <c r="N91"/>
  <c r="N115" s="1"/>
  <c r="N137"/>
  <c r="N73"/>
  <c r="N95"/>
  <c r="N119" s="1"/>
  <c r="N71"/>
  <c r="N135"/>
  <c r="N93"/>
  <c r="N117" s="1"/>
  <c r="J56" i="28"/>
  <c r="L60" i="5"/>
  <c r="M65" i="26" s="1"/>
  <c r="M114" i="5"/>
  <c r="N85" i="26" s="1"/>
  <c r="K110" i="28"/>
  <c r="O30" i="27"/>
  <c r="N60" i="9"/>
  <c r="K109" i="28"/>
  <c r="M113" i="5"/>
  <c r="N84" i="26" s="1"/>
  <c r="R395" i="27"/>
  <c r="Q412"/>
  <c r="Q399" s="1"/>
  <c r="Q413"/>
  <c r="Q401" s="1"/>
  <c r="P108" i="9"/>
  <c r="Q414" i="27"/>
  <c r="Q403" s="1"/>
  <c r="Q415"/>
  <c r="Q405" s="1"/>
  <c r="Q416"/>
  <c r="Q407" s="1"/>
  <c r="Q411"/>
  <c r="Q21"/>
  <c r="L105" i="28"/>
  <c r="N109" i="5"/>
  <c r="O80" i="26" s="1"/>
  <c r="L59" i="5"/>
  <c r="M64" i="26" s="1"/>
  <c r="J55" i="28"/>
  <c r="L116" i="5"/>
  <c r="M87" i="26" s="1"/>
  <c r="J112" i="28"/>
  <c r="O34" i="27"/>
  <c r="N62" i="9"/>
  <c r="K111" i="28"/>
  <c r="M115" i="5"/>
  <c r="N86" i="26" s="1"/>
  <c r="P417" i="27"/>
  <c r="P409" s="1"/>
  <c r="N115" i="9" l="1"/>
  <c r="O35" i="27"/>
  <c r="O36" s="1"/>
  <c r="Q408"/>
  <c r="P114" i="9"/>
  <c r="Q33" i="27"/>
  <c r="Q406"/>
  <c r="P113" i="9"/>
  <c r="Q31" i="27"/>
  <c r="Q402"/>
  <c r="P111" i="9"/>
  <c r="Q27" i="27"/>
  <c r="N116"/>
  <c r="P410"/>
  <c r="O115" i="9"/>
  <c r="P35" i="27"/>
  <c r="R413"/>
  <c r="R401" s="1"/>
  <c r="R415"/>
  <c r="R416"/>
  <c r="R412"/>
  <c r="R414"/>
  <c r="R403" s="1"/>
  <c r="Q108" i="9"/>
  <c r="R411" i="27"/>
  <c r="R397" s="1"/>
  <c r="R399"/>
  <c r="R407"/>
  <c r="R405"/>
  <c r="R21"/>
  <c r="M105" i="28"/>
  <c r="O109" i="5"/>
  <c r="P80" i="26" s="1"/>
  <c r="M61" i="5"/>
  <c r="N66" i="26" s="1"/>
  <c r="K57" i="28"/>
  <c r="N94" i="27"/>
  <c r="N175"/>
  <c r="N136"/>
  <c r="N159"/>
  <c r="N160" s="1"/>
  <c r="N177"/>
  <c r="N96"/>
  <c r="N157"/>
  <c r="N158" s="1"/>
  <c r="N134"/>
  <c r="M110" i="5"/>
  <c r="N81" i="26" s="1"/>
  <c r="K106" i="28"/>
  <c r="K56"/>
  <c r="M60" i="5"/>
  <c r="N65" i="26" s="1"/>
  <c r="J60" i="28"/>
  <c r="L64" i="5"/>
  <c r="M69" i="26" s="1"/>
  <c r="P34" i="27"/>
  <c r="O62" i="9"/>
  <c r="L53" i="28"/>
  <c r="N57" i="5"/>
  <c r="O75" i="9"/>
  <c r="N98" i="27"/>
  <c r="N179"/>
  <c r="N100"/>
  <c r="N181"/>
  <c r="N183"/>
  <c r="N102"/>
  <c r="N90"/>
  <c r="N87"/>
  <c r="N171"/>
  <c r="N132"/>
  <c r="N129"/>
  <c r="N155"/>
  <c r="N156" s="1"/>
  <c r="O133"/>
  <c r="O69"/>
  <c r="O91"/>
  <c r="O115" s="1"/>
  <c r="O131"/>
  <c r="O67"/>
  <c r="O89"/>
  <c r="O113" s="1"/>
  <c r="O77"/>
  <c r="O141"/>
  <c r="O99"/>
  <c r="P32"/>
  <c r="O61" i="9"/>
  <c r="N113" i="5"/>
  <c r="O84" i="26" s="1"/>
  <c r="L109" i="28"/>
  <c r="P26" i="27"/>
  <c r="O58" i="9"/>
  <c r="N112" i="5"/>
  <c r="O83" i="26" s="1"/>
  <c r="L108" i="28"/>
  <c r="P24" i="27"/>
  <c r="O57" i="9"/>
  <c r="Q417" i="27"/>
  <c r="Q409" s="1"/>
  <c r="Q397"/>
  <c r="N121"/>
  <c r="K59" i="28"/>
  <c r="M63" i="5"/>
  <c r="N68" i="26" s="1"/>
  <c r="O7" i="20"/>
  <c r="O8" s="1"/>
  <c r="O5" s="1"/>
  <c r="O4" s="1"/>
  <c r="Q62" i="27"/>
  <c r="Q63" s="1"/>
  <c r="Q22"/>
  <c r="P56" i="9"/>
  <c r="Q64" i="27"/>
  <c r="Q404"/>
  <c r="P112" i="9"/>
  <c r="Q29" i="27"/>
  <c r="P110" i="9"/>
  <c r="Q400" i="27"/>
  <c r="Q25"/>
  <c r="N118"/>
  <c r="N120"/>
  <c r="N138"/>
  <c r="N161"/>
  <c r="N162" s="1"/>
  <c r="N92"/>
  <c r="N173"/>
  <c r="K72" i="28"/>
  <c r="M76" i="5"/>
  <c r="M59"/>
  <c r="N64" i="26" s="1"/>
  <c r="K55" i="28"/>
  <c r="O24" i="27"/>
  <c r="N57" i="9"/>
  <c r="L111" i="28"/>
  <c r="N115" i="5"/>
  <c r="O86" i="26" s="1"/>
  <c r="P65" i="27"/>
  <c r="P78"/>
  <c r="P70"/>
  <c r="P72"/>
  <c r="P68"/>
  <c r="P74"/>
  <c r="P76"/>
  <c r="P66"/>
  <c r="K58" i="28"/>
  <c r="M62" i="5"/>
  <c r="N67" i="26" s="1"/>
  <c r="N61" i="20"/>
  <c r="N56"/>
  <c r="N36"/>
  <c r="N63"/>
  <c r="N20"/>
  <c r="N65"/>
  <c r="N67"/>
  <c r="N28"/>
  <c r="N30"/>
  <c r="N22"/>
  <c r="M164" i="9"/>
  <c r="N163" i="27"/>
  <c r="N164" s="1"/>
  <c r="N140"/>
  <c r="N124"/>
  <c r="N165"/>
  <c r="N166" s="1"/>
  <c r="N142"/>
  <c r="N126"/>
  <c r="N167"/>
  <c r="N168" s="1"/>
  <c r="N144"/>
  <c r="O73"/>
  <c r="O137"/>
  <c r="O95"/>
  <c r="O119" s="1"/>
  <c r="O71"/>
  <c r="O135"/>
  <c r="O93"/>
  <c r="O79"/>
  <c r="O143"/>
  <c r="O101"/>
  <c r="O125" s="1"/>
  <c r="O75"/>
  <c r="O97"/>
  <c r="O139"/>
  <c r="N114" i="5"/>
  <c r="O85" i="26" s="1"/>
  <c r="L110" i="28"/>
  <c r="P30" i="27"/>
  <c r="O60" i="9"/>
  <c r="N111" i="5"/>
  <c r="O82" i="26" s="1"/>
  <c r="L107" i="28"/>
  <c r="P28" i="27"/>
  <c r="O59" i="9"/>
  <c r="L106" i="28"/>
  <c r="N110" i="5"/>
  <c r="O81" i="26" s="1"/>
  <c r="N113" i="27"/>
  <c r="M116" i="5" l="1"/>
  <c r="N87" i="26" s="1"/>
  <c r="K112" i="28"/>
  <c r="N63" i="9"/>
  <c r="R417" i="27"/>
  <c r="R409" s="1"/>
  <c r="O61" i="20"/>
  <c r="N164" i="9"/>
  <c r="O36" i="20"/>
  <c r="O65"/>
  <c r="O30"/>
  <c r="O67"/>
  <c r="O56"/>
  <c r="O20"/>
  <c r="O63"/>
  <c r="O28"/>
  <c r="O58"/>
  <c r="O22"/>
  <c r="R404" i="27"/>
  <c r="Q112" i="9"/>
  <c r="R29" i="27"/>
  <c r="N114"/>
  <c r="O138"/>
  <c r="O161"/>
  <c r="O162" s="1"/>
  <c r="AK164" i="9"/>
  <c r="J161" i="28"/>
  <c r="M174" i="9"/>
  <c r="M177"/>
  <c r="L165" i="5"/>
  <c r="L51" i="21" s="1"/>
  <c r="M180" i="9"/>
  <c r="M170"/>
  <c r="N31" i="20"/>
  <c r="N32"/>
  <c r="N34"/>
  <c r="N29"/>
  <c r="M169" i="9"/>
  <c r="N66" i="20"/>
  <c r="M181" i="9"/>
  <c r="N64" i="20"/>
  <c r="M179" i="9"/>
  <c r="N57" i="20"/>
  <c r="M175" i="9"/>
  <c r="P141" i="27"/>
  <c r="P77"/>
  <c r="P99"/>
  <c r="P69"/>
  <c r="P133"/>
  <c r="P91"/>
  <c r="P79"/>
  <c r="P143"/>
  <c r="P101"/>
  <c r="Q30"/>
  <c r="P60" i="9"/>
  <c r="M53" i="28"/>
  <c r="O57" i="5"/>
  <c r="P75" i="9"/>
  <c r="N122" i="27"/>
  <c r="Q410"/>
  <c r="P115" i="9"/>
  <c r="Q35" i="27"/>
  <c r="O165"/>
  <c r="O166" s="1"/>
  <c r="O142"/>
  <c r="O114"/>
  <c r="O116"/>
  <c r="O134"/>
  <c r="O157"/>
  <c r="O158" s="1"/>
  <c r="N130"/>
  <c r="N153"/>
  <c r="N154" s="1"/>
  <c r="N145"/>
  <c r="N195"/>
  <c r="N196" s="1"/>
  <c r="N172"/>
  <c r="N211"/>
  <c r="N169"/>
  <c r="N207"/>
  <c r="N208" s="1"/>
  <c r="N184"/>
  <c r="N223"/>
  <c r="L59" i="28"/>
  <c r="N63" i="5"/>
  <c r="O68" i="26" s="1"/>
  <c r="P7" i="20"/>
  <c r="P8" s="1"/>
  <c r="P5" s="1"/>
  <c r="P4" s="1"/>
  <c r="N199" i="27"/>
  <c r="N200" s="1"/>
  <c r="N176"/>
  <c r="N215"/>
  <c r="R22"/>
  <c r="R62"/>
  <c r="R63" s="1"/>
  <c r="Q56" i="9"/>
  <c r="R64" i="27"/>
  <c r="R410"/>
  <c r="Q115" i="9"/>
  <c r="R35" i="27"/>
  <c r="R408"/>
  <c r="Q114" i="9"/>
  <c r="R33" i="27"/>
  <c r="R398"/>
  <c r="Q109" i="9"/>
  <c r="R23" i="27"/>
  <c r="L112" i="28"/>
  <c r="N116" i="5"/>
  <c r="O87" i="26" s="1"/>
  <c r="P59" i="9"/>
  <c r="Q28" i="27"/>
  <c r="O114" i="5"/>
  <c r="P85" i="26" s="1"/>
  <c r="M110" i="28"/>
  <c r="P62" i="9"/>
  <c r="Q34" i="27"/>
  <c r="O98"/>
  <c r="O179"/>
  <c r="O126"/>
  <c r="O159"/>
  <c r="O160" s="1"/>
  <c r="O136"/>
  <c r="O120"/>
  <c r="N60" i="5"/>
  <c r="O65" i="26" s="1"/>
  <c r="L56" i="28"/>
  <c r="N61" i="5"/>
  <c r="O66" i="26" s="1"/>
  <c r="L57" i="28"/>
  <c r="O163" i="27"/>
  <c r="O164" s="1"/>
  <c r="O140"/>
  <c r="O102"/>
  <c r="O183"/>
  <c r="O167"/>
  <c r="O168" s="1"/>
  <c r="O144"/>
  <c r="O94"/>
  <c r="O175"/>
  <c r="O96"/>
  <c r="O177"/>
  <c r="N23" i="20"/>
  <c r="M166" i="9"/>
  <c r="N26" i="20"/>
  <c r="N24"/>
  <c r="N60"/>
  <c r="N68"/>
  <c r="M182" i="9"/>
  <c r="N21" i="20"/>
  <c r="M165" i="9"/>
  <c r="N37" i="20"/>
  <c r="M173" i="9"/>
  <c r="N62" i="20"/>
  <c r="M178" i="9"/>
  <c r="P67" i="27"/>
  <c r="P131"/>
  <c r="P89"/>
  <c r="P113" s="1"/>
  <c r="P139"/>
  <c r="P75"/>
  <c r="P97"/>
  <c r="P73"/>
  <c r="P137"/>
  <c r="P95"/>
  <c r="P71"/>
  <c r="P135"/>
  <c r="P93"/>
  <c r="M58" i="5"/>
  <c r="N63" i="26" s="1"/>
  <c r="K54" i="28"/>
  <c r="N197" i="27"/>
  <c r="N198" s="1"/>
  <c r="N213"/>
  <c r="N174"/>
  <c r="P58" i="9"/>
  <c r="Q26" i="27"/>
  <c r="M107" i="28"/>
  <c r="O111" i="5"/>
  <c r="P82" i="26" s="1"/>
  <c r="O113" i="5"/>
  <c r="P84" i="26" s="1"/>
  <c r="M109" i="28"/>
  <c r="Q65" i="27"/>
  <c r="Q70"/>
  <c r="Q78"/>
  <c r="Q68"/>
  <c r="Q74"/>
  <c r="Q72"/>
  <c r="Q76"/>
  <c r="Q66"/>
  <c r="Q398"/>
  <c r="P109" i="9"/>
  <c r="Q23" i="27"/>
  <c r="L54" i="28"/>
  <c r="N58" i="5"/>
  <c r="O63" i="26" s="1"/>
  <c r="N59" i="5"/>
  <c r="O64" i="26" s="1"/>
  <c r="L55" i="28"/>
  <c r="L58"/>
  <c r="N62" i="5"/>
  <c r="O67" i="26" s="1"/>
  <c r="O100" i="27"/>
  <c r="O181"/>
  <c r="O90"/>
  <c r="O87"/>
  <c r="O171"/>
  <c r="O155"/>
  <c r="O156" s="1"/>
  <c r="O132"/>
  <c r="O129"/>
  <c r="O92"/>
  <c r="O173"/>
  <c r="N185"/>
  <c r="N88"/>
  <c r="N103"/>
  <c r="N111"/>
  <c r="N182"/>
  <c r="N205"/>
  <c r="N206" s="1"/>
  <c r="N221"/>
  <c r="N180"/>
  <c r="N203"/>
  <c r="N204" s="1"/>
  <c r="N219"/>
  <c r="N76" i="5"/>
  <c r="L72" i="28"/>
  <c r="N178" i="27"/>
  <c r="N201"/>
  <c r="N202" s="1"/>
  <c r="N217"/>
  <c r="R406"/>
  <c r="Q113" i="9"/>
  <c r="R31" i="27"/>
  <c r="R400"/>
  <c r="Q110" i="9"/>
  <c r="R25" i="27"/>
  <c r="R402"/>
  <c r="Q111" i="9"/>
  <c r="R27" i="27"/>
  <c r="N105" i="28"/>
  <c r="P109" i="5"/>
  <c r="S108" i="9"/>
  <c r="P36" i="27"/>
  <c r="O63" i="9"/>
  <c r="M108" i="28"/>
  <c r="O112" i="5"/>
  <c r="P83" i="26" s="1"/>
  <c r="Q32" i="27"/>
  <c r="P61" i="9"/>
  <c r="M111" i="28"/>
  <c r="O115" i="5"/>
  <c r="P86" i="26" s="1"/>
  <c r="O121" i="27"/>
  <c r="O117"/>
  <c r="N58" i="20"/>
  <c r="O123" i="27"/>
  <c r="M64" i="5" l="1"/>
  <c r="N69" i="26" s="1"/>
  <c r="K60" i="28"/>
  <c r="P61" i="20"/>
  <c r="P56"/>
  <c r="P58" s="1"/>
  <c r="P65"/>
  <c r="P22"/>
  <c r="P30"/>
  <c r="P63"/>
  <c r="P20"/>
  <c r="O164" i="9"/>
  <c r="P67" i="20"/>
  <c r="P36"/>
  <c r="P28"/>
  <c r="N59"/>
  <c r="M176" i="9"/>
  <c r="R109" i="5"/>
  <c r="Q80" i="26"/>
  <c r="N107" i="28"/>
  <c r="S110" i="9"/>
  <c r="P111" i="5"/>
  <c r="N243" i="27"/>
  <c r="N244" s="1"/>
  <c r="N292"/>
  <c r="N293" s="1"/>
  <c r="N220"/>
  <c r="N112"/>
  <c r="O197"/>
  <c r="O198" s="1"/>
  <c r="O174"/>
  <c r="O213"/>
  <c r="O153"/>
  <c r="O154" s="1"/>
  <c r="O130"/>
  <c r="O145"/>
  <c r="O103"/>
  <c r="O88"/>
  <c r="O111"/>
  <c r="O182"/>
  <c r="O205"/>
  <c r="O206" s="1"/>
  <c r="O221"/>
  <c r="Q24"/>
  <c r="P57" i="9"/>
  <c r="Q77" i="27"/>
  <c r="Q141"/>
  <c r="Q99"/>
  <c r="Q75"/>
  <c r="Q139"/>
  <c r="Q97"/>
  <c r="Q79"/>
  <c r="Q143"/>
  <c r="Q101"/>
  <c r="M55" i="28"/>
  <c r="O59" i="5"/>
  <c r="P64" i="26" s="1"/>
  <c r="N237" i="27"/>
  <c r="N238" s="1"/>
  <c r="N214"/>
  <c r="N286"/>
  <c r="N287" s="1"/>
  <c r="N227"/>
  <c r="P94"/>
  <c r="P175"/>
  <c r="P96"/>
  <c r="P177"/>
  <c r="P138"/>
  <c r="P161"/>
  <c r="P162" s="1"/>
  <c r="P98"/>
  <c r="P179"/>
  <c r="P114"/>
  <c r="P155"/>
  <c r="P156" s="1"/>
  <c r="P129"/>
  <c r="P132"/>
  <c r="L179" i="5"/>
  <c r="AK178" i="9"/>
  <c r="J175" i="28"/>
  <c r="L33" i="21"/>
  <c r="J170" i="28"/>
  <c r="L11" i="21"/>
  <c r="AK173" i="9"/>
  <c r="L174" i="5"/>
  <c r="L3" i="21"/>
  <c r="AK165" i="9"/>
  <c r="J162" i="28"/>
  <c r="L166" i="5"/>
  <c r="AK182" i="9"/>
  <c r="L183" i="5"/>
  <c r="J179" i="28"/>
  <c r="L42" i="21"/>
  <c r="M168" i="9"/>
  <c r="N27" i="20"/>
  <c r="O63" i="5"/>
  <c r="P68" i="26" s="1"/>
  <c r="M59" i="28"/>
  <c r="Q7" i="20"/>
  <c r="Q8" s="1"/>
  <c r="Q5" s="1"/>
  <c r="Q4" s="1"/>
  <c r="M56" i="28"/>
  <c r="O60" i="5"/>
  <c r="P65" i="26" s="1"/>
  <c r="S109" i="9"/>
  <c r="N106" i="28"/>
  <c r="P110" i="5"/>
  <c r="R34" i="27"/>
  <c r="Q62" i="9"/>
  <c r="N112" i="28"/>
  <c r="S115" i="9"/>
  <c r="P116" i="5"/>
  <c r="R65" i="27"/>
  <c r="R74"/>
  <c r="R78"/>
  <c r="R70"/>
  <c r="R66"/>
  <c r="R72"/>
  <c r="R68"/>
  <c r="R76"/>
  <c r="N216"/>
  <c r="N239"/>
  <c r="N240" s="1"/>
  <c r="N288"/>
  <c r="N289" s="1"/>
  <c r="N228"/>
  <c r="N296"/>
  <c r="N297" s="1"/>
  <c r="N247"/>
  <c r="N248" s="1"/>
  <c r="N224"/>
  <c r="N232"/>
  <c r="N235"/>
  <c r="N236" s="1"/>
  <c r="N284"/>
  <c r="N212"/>
  <c r="P63" i="9"/>
  <c r="Q36" i="27"/>
  <c r="M57" i="28"/>
  <c r="O61" i="5"/>
  <c r="P66" i="26" s="1"/>
  <c r="P102" i="27"/>
  <c r="P183"/>
  <c r="P92"/>
  <c r="P173"/>
  <c r="P157"/>
  <c r="P158" s="1"/>
  <c r="P134"/>
  <c r="P100"/>
  <c r="P181"/>
  <c r="AK175" i="9"/>
  <c r="L176" i="5"/>
  <c r="L25" i="21"/>
  <c r="J172" i="28"/>
  <c r="AK179" i="9"/>
  <c r="L180" i="5"/>
  <c r="J176" i="28"/>
  <c r="L34" i="21"/>
  <c r="J178" i="28"/>
  <c r="L182" i="5"/>
  <c r="AK181" i="9"/>
  <c r="L41" i="21"/>
  <c r="L170" i="5"/>
  <c r="L7" i="21"/>
  <c r="J166" i="28"/>
  <c r="AK169" i="9"/>
  <c r="M172"/>
  <c r="N35" i="20"/>
  <c r="G27" i="12"/>
  <c r="AK180" i="9"/>
  <c r="L181" i="5"/>
  <c r="J177" i="28"/>
  <c r="J174"/>
  <c r="AK177" i="9"/>
  <c r="L178" i="5"/>
  <c r="G26" i="12"/>
  <c r="R30" i="27"/>
  <c r="Q60" i="9"/>
  <c r="N166"/>
  <c r="O24" i="20"/>
  <c r="O23"/>
  <c r="O26"/>
  <c r="N169" i="9"/>
  <c r="O29" i="20"/>
  <c r="N165" i="9"/>
  <c r="O21" i="20"/>
  <c r="O68"/>
  <c r="N182" i="9"/>
  <c r="O60" i="20"/>
  <c r="O66"/>
  <c r="N181" i="9"/>
  <c r="AL164"/>
  <c r="K161" i="28"/>
  <c r="N177" i="9"/>
  <c r="N174"/>
  <c r="N180"/>
  <c r="M165" i="5"/>
  <c r="M51" i="21" s="1"/>
  <c r="P117" i="27"/>
  <c r="G22" i="12"/>
  <c r="N226" i="27"/>
  <c r="O122"/>
  <c r="R28"/>
  <c r="Q59" i="9"/>
  <c r="R32" i="27"/>
  <c r="Q61" i="9"/>
  <c r="O124" i="27"/>
  <c r="O231"/>
  <c r="O118"/>
  <c r="M58" i="28"/>
  <c r="O62" i="5"/>
  <c r="P67" i="26" s="1"/>
  <c r="L60" i="28"/>
  <c r="N64" i="5"/>
  <c r="O69" i="26" s="1"/>
  <c r="S111" i="9"/>
  <c r="N108" i="28"/>
  <c r="P112" i="5"/>
  <c r="R26" i="27"/>
  <c r="Q58" i="9"/>
  <c r="S113"/>
  <c r="N110" i="28"/>
  <c r="P114" i="5"/>
  <c r="N218" i="27"/>
  <c r="N290"/>
  <c r="N291" s="1"/>
  <c r="N241"/>
  <c r="N242" s="1"/>
  <c r="N229"/>
  <c r="N294"/>
  <c r="N295" s="1"/>
  <c r="N245"/>
  <c r="N246" s="1"/>
  <c r="N222"/>
  <c r="N231"/>
  <c r="O195"/>
  <c r="O196" s="1"/>
  <c r="O172"/>
  <c r="O169"/>
  <c r="O211"/>
  <c r="O110" i="5"/>
  <c r="P81" i="26" s="1"/>
  <c r="M106" i="28"/>
  <c r="Q67" i="27"/>
  <c r="Q131"/>
  <c r="Q89"/>
  <c r="Q73"/>
  <c r="Q137"/>
  <c r="Q95"/>
  <c r="Q69"/>
  <c r="Q133"/>
  <c r="Q91"/>
  <c r="Q115" s="1"/>
  <c r="Q71"/>
  <c r="Q135"/>
  <c r="Q93"/>
  <c r="Q117" s="1"/>
  <c r="P136"/>
  <c r="P159"/>
  <c r="P160" s="1"/>
  <c r="P140"/>
  <c r="P163"/>
  <c r="P164" s="1"/>
  <c r="P90"/>
  <c r="P87"/>
  <c r="P171"/>
  <c r="N25" i="20"/>
  <c r="M167" i="9"/>
  <c r="L167" i="5"/>
  <c r="G23" i="12"/>
  <c r="J163" i="28"/>
  <c r="AK166" i="9"/>
  <c r="L4" i="21"/>
  <c r="O178" i="27"/>
  <c r="O201"/>
  <c r="O202" s="1"/>
  <c r="O217"/>
  <c r="O176"/>
  <c r="O199"/>
  <c r="O200" s="1"/>
  <c r="O215"/>
  <c r="O184"/>
  <c r="O207"/>
  <c r="O208" s="1"/>
  <c r="O223"/>
  <c r="O180"/>
  <c r="O219"/>
  <c r="O203"/>
  <c r="O204" s="1"/>
  <c r="R24"/>
  <c r="Q57" i="9"/>
  <c r="N111" i="28"/>
  <c r="S114" i="9"/>
  <c r="P115" i="5"/>
  <c r="R36" i="27"/>
  <c r="Q63" i="9"/>
  <c r="N53" i="28"/>
  <c r="S56" i="9"/>
  <c r="Q75"/>
  <c r="S75" s="1"/>
  <c r="P57" i="5"/>
  <c r="R57" s="1"/>
  <c r="N170" i="27"/>
  <c r="N193"/>
  <c r="N194" s="1"/>
  <c r="N209"/>
  <c r="M112" i="28"/>
  <c r="O116" i="5"/>
  <c r="P87" i="26" s="1"/>
  <c r="O76" i="5"/>
  <c r="M72" i="28"/>
  <c r="P167" i="27"/>
  <c r="P168" s="1"/>
  <c r="P144"/>
  <c r="P165"/>
  <c r="P166" s="1"/>
  <c r="P142"/>
  <c r="N33" i="20"/>
  <c r="M171" i="9"/>
  <c r="G24" i="12" s="1"/>
  <c r="AK170" i="9"/>
  <c r="J167" i="28"/>
  <c r="L8" i="21"/>
  <c r="L171" i="5"/>
  <c r="G25" i="12"/>
  <c r="AK174" i="9"/>
  <c r="J171" i="28"/>
  <c r="L175" i="5"/>
  <c r="S112" i="9"/>
  <c r="N109" i="28"/>
  <c r="P113" i="5"/>
  <c r="O59" i="20"/>
  <c r="N176" i="9"/>
  <c r="N179"/>
  <c r="O64" i="20"/>
  <c r="N175" i="9"/>
  <c r="O57" i="20"/>
  <c r="O31"/>
  <c r="N170" i="9"/>
  <c r="O34" i="20"/>
  <c r="O32"/>
  <c r="O37"/>
  <c r="N173" i="9"/>
  <c r="O62" i="20"/>
  <c r="N178" i="9"/>
  <c r="P119" i="27"/>
  <c r="P121"/>
  <c r="N230"/>
  <c r="P125"/>
  <c r="P115"/>
  <c r="P123"/>
  <c r="G21" i="12"/>
  <c r="H22" l="1"/>
  <c r="Q67" i="20"/>
  <c r="Q20"/>
  <c r="Q56"/>
  <c r="Q65"/>
  <c r="Q30"/>
  <c r="Q36"/>
  <c r="Q28"/>
  <c r="Q63"/>
  <c r="P164" i="9"/>
  <c r="Q61" i="20"/>
  <c r="Q58"/>
  <c r="Q22"/>
  <c r="P116" i="27"/>
  <c r="P120"/>
  <c r="N172" i="9"/>
  <c r="O35" i="20"/>
  <c r="M25" i="21"/>
  <c r="K172" i="28"/>
  <c r="AL175" i="9"/>
  <c r="M176" i="5"/>
  <c r="K176" i="28"/>
  <c r="M34" i="21"/>
  <c r="M180" i="5"/>
  <c r="AL179" i="9"/>
  <c r="N60" i="28"/>
  <c r="S63" i="9"/>
  <c r="P64" i="5"/>
  <c r="Q86" i="26"/>
  <c r="R115" i="5"/>
  <c r="O220" i="27"/>
  <c r="O243"/>
  <c r="O244" s="1"/>
  <c r="O292"/>
  <c r="O293" s="1"/>
  <c r="O224"/>
  <c r="O296"/>
  <c r="O297" s="1"/>
  <c r="O247"/>
  <c r="O248" s="1"/>
  <c r="O232"/>
  <c r="O218"/>
  <c r="O290"/>
  <c r="O291" s="1"/>
  <c r="O241"/>
  <c r="O242" s="1"/>
  <c r="O229"/>
  <c r="J164" i="28"/>
  <c r="AK167" i="9"/>
  <c r="L168" i="5"/>
  <c r="L5" i="21"/>
  <c r="P172" i="27"/>
  <c r="P169"/>
  <c r="P185" s="1"/>
  <c r="P195"/>
  <c r="P196" s="1"/>
  <c r="P211"/>
  <c r="Q118"/>
  <c r="Q116"/>
  <c r="Q138"/>
  <c r="Q161"/>
  <c r="Q162" s="1"/>
  <c r="Q132"/>
  <c r="Q155"/>
  <c r="Q156" s="1"/>
  <c r="Q129"/>
  <c r="O170"/>
  <c r="O209"/>
  <c r="O193"/>
  <c r="O194" s="1"/>
  <c r="S58" i="9"/>
  <c r="N55" i="28"/>
  <c r="P59" i="5"/>
  <c r="Q83" i="26"/>
  <c r="R112" i="5"/>
  <c r="AL174" i="9"/>
  <c r="K171" i="28"/>
  <c r="M175" i="5"/>
  <c r="H25" i="12"/>
  <c r="AL181" i="9"/>
  <c r="M182" i="5"/>
  <c r="M41" i="21"/>
  <c r="K178" i="28"/>
  <c r="M3" i="21"/>
  <c r="K162" i="28"/>
  <c r="AL165" i="9"/>
  <c r="M166" i="5"/>
  <c r="AL169" i="9"/>
  <c r="M7" i="21"/>
  <c r="K166" i="28"/>
  <c r="M170" i="5"/>
  <c r="K163" i="28"/>
  <c r="M4" i="21"/>
  <c r="AL166" i="9"/>
  <c r="M167" i="5"/>
  <c r="J169" i="28"/>
  <c r="L10" i="21"/>
  <c r="L173" i="5"/>
  <c r="AK172" i="9"/>
  <c r="O64" i="5"/>
  <c r="P69" i="26" s="1"/>
  <c r="M60" i="28"/>
  <c r="N285" i="27"/>
  <c r="N282"/>
  <c r="N283" s="1"/>
  <c r="R141"/>
  <c r="R99"/>
  <c r="R77"/>
  <c r="R73"/>
  <c r="R137"/>
  <c r="R95"/>
  <c r="R119" s="1"/>
  <c r="R79"/>
  <c r="R143"/>
  <c r="R101"/>
  <c r="Q87" i="26"/>
  <c r="R116" i="5"/>
  <c r="L169"/>
  <c r="AK168" i="9"/>
  <c r="J165" i="28"/>
  <c r="L6" i="21"/>
  <c r="P130" i="27"/>
  <c r="P153"/>
  <c r="P154" s="1"/>
  <c r="P145"/>
  <c r="P203"/>
  <c r="P204" s="1"/>
  <c r="P219"/>
  <c r="P180"/>
  <c r="P217"/>
  <c r="P178"/>
  <c r="P201"/>
  <c r="P202" s="1"/>
  <c r="P176"/>
  <c r="P199"/>
  <c r="P200" s="1"/>
  <c r="P215"/>
  <c r="Q183"/>
  <c r="Q102"/>
  <c r="Q98"/>
  <c r="Q179"/>
  <c r="Q100"/>
  <c r="Q181"/>
  <c r="M54" i="28"/>
  <c r="O58" i="5"/>
  <c r="P63" i="26" s="1"/>
  <c r="O222" i="27"/>
  <c r="O245"/>
  <c r="O246" s="1"/>
  <c r="O294"/>
  <c r="O295" s="1"/>
  <c r="O286"/>
  <c r="O287" s="1"/>
  <c r="O214"/>
  <c r="O237"/>
  <c r="O238" s="1"/>
  <c r="O227"/>
  <c r="Q82" i="26"/>
  <c r="R111" i="5"/>
  <c r="P29" i="20"/>
  <c r="O169" i="9"/>
  <c r="O173"/>
  <c r="P37" i="20"/>
  <c r="AM164" i="9"/>
  <c r="L161" i="28"/>
  <c r="O174" i="9"/>
  <c r="O177"/>
  <c r="O180"/>
  <c r="N165" i="5"/>
  <c r="N51" i="21" s="1"/>
  <c r="P64" i="20"/>
  <c r="O179" i="9"/>
  <c r="P23" i="20"/>
  <c r="O166" i="9"/>
  <c r="P26" i="20"/>
  <c r="P24"/>
  <c r="P57"/>
  <c r="O175" i="9"/>
  <c r="Q125" i="27"/>
  <c r="Q121"/>
  <c r="Q123"/>
  <c r="P124"/>
  <c r="P126"/>
  <c r="P122"/>
  <c r="P230"/>
  <c r="K175" i="28"/>
  <c r="M33" i="21"/>
  <c r="AL178" i="9"/>
  <c r="M179" i="5"/>
  <c r="AL173" i="9"/>
  <c r="M174" i="5"/>
  <c r="M11" i="21"/>
  <c r="K170" i="28"/>
  <c r="N171" i="9"/>
  <c r="H24" i="12" s="1"/>
  <c r="O33" i="20"/>
  <c r="AL170" i="9"/>
  <c r="M171" i="5"/>
  <c r="M8" i="21"/>
  <c r="K167" i="28"/>
  <c r="K173"/>
  <c r="M26" i="21"/>
  <c r="AL176" i="9"/>
  <c r="M177" i="5"/>
  <c r="Q84" i="26"/>
  <c r="R113" i="5"/>
  <c r="J168" i="28"/>
  <c r="L172" i="5"/>
  <c r="AK171" i="9"/>
  <c r="L9" i="21"/>
  <c r="N233" i="27"/>
  <c r="N234" s="1"/>
  <c r="N210"/>
  <c r="N72" i="28"/>
  <c r="P76" i="5"/>
  <c r="R76" s="1"/>
  <c r="N54" i="28"/>
  <c r="P58" i="5"/>
  <c r="S57" i="9"/>
  <c r="O239" i="27"/>
  <c r="O240" s="1"/>
  <c r="O288"/>
  <c r="O289" s="1"/>
  <c r="O216"/>
  <c r="P88"/>
  <c r="P103"/>
  <c r="P111"/>
  <c r="Q175"/>
  <c r="Q94"/>
  <c r="Q159"/>
  <c r="Q160" s="1"/>
  <c r="Q136"/>
  <c r="Q173"/>
  <c r="Q92"/>
  <c r="Q134"/>
  <c r="Q157"/>
  <c r="Q158" s="1"/>
  <c r="Q177"/>
  <c r="Q96"/>
  <c r="Q90"/>
  <c r="Q171"/>
  <c r="Q87"/>
  <c r="O212"/>
  <c r="O235"/>
  <c r="O236" s="1"/>
  <c r="O284"/>
  <c r="O226"/>
  <c r="Q85" i="26"/>
  <c r="R114" i="5"/>
  <c r="N58" i="28"/>
  <c r="P62" i="5"/>
  <c r="S61" i="9"/>
  <c r="N56" i="28"/>
  <c r="P60" i="5"/>
  <c r="S59" i="9"/>
  <c r="P118" i="27"/>
  <c r="P228"/>
  <c r="H27" i="12"/>
  <c r="AL180" i="9"/>
  <c r="M181" i="5"/>
  <c r="K177" i="28"/>
  <c r="H26" i="12"/>
  <c r="K174" i="28"/>
  <c r="AL177" i="9"/>
  <c r="M178" i="5"/>
  <c r="AL182" i="9"/>
  <c r="M183" i="5"/>
  <c r="K179" i="28"/>
  <c r="M42" i="21"/>
  <c r="O27" i="20"/>
  <c r="N168" i="9"/>
  <c r="O25" i="20"/>
  <c r="N167" i="9"/>
  <c r="S60"/>
  <c r="N57" i="28"/>
  <c r="P61" i="5"/>
  <c r="P182" i="27"/>
  <c r="P221"/>
  <c r="P205"/>
  <c r="P206" s="1"/>
  <c r="P197"/>
  <c r="P198" s="1"/>
  <c r="P213"/>
  <c r="P174"/>
  <c r="P207"/>
  <c r="P208" s="1"/>
  <c r="P184"/>
  <c r="P223"/>
  <c r="R69"/>
  <c r="R133"/>
  <c r="R91"/>
  <c r="R115" s="1"/>
  <c r="R131"/>
  <c r="R67"/>
  <c r="R89"/>
  <c r="R113" s="1"/>
  <c r="R71"/>
  <c r="R135"/>
  <c r="R93"/>
  <c r="R75"/>
  <c r="R139"/>
  <c r="R97"/>
  <c r="R121" s="1"/>
  <c r="N59" i="28"/>
  <c r="P63" i="5"/>
  <c r="S62" i="9"/>
  <c r="R7" i="20"/>
  <c r="R110" i="5"/>
  <c r="Q81" i="26"/>
  <c r="Q144" i="27"/>
  <c r="Q167"/>
  <c r="Q168" s="1"/>
  <c r="Q140"/>
  <c r="Q163"/>
  <c r="Q164" s="1"/>
  <c r="Q142"/>
  <c r="Q165"/>
  <c r="Q166" s="1"/>
  <c r="O112"/>
  <c r="O225"/>
  <c r="L177" i="5"/>
  <c r="AK176" i="9"/>
  <c r="L26" i="21"/>
  <c r="J173" i="28"/>
  <c r="P59" i="20"/>
  <c r="O176" i="9"/>
  <c r="P60" i="20"/>
  <c r="O182" i="9"/>
  <c r="P68" i="20"/>
  <c r="P21"/>
  <c r="O165" i="9"/>
  <c r="P31" i="20"/>
  <c r="O170" i="9"/>
  <c r="P32" i="20"/>
  <c r="P34"/>
  <c r="P66"/>
  <c r="O181" i="9"/>
  <c r="O178"/>
  <c r="P62" i="20"/>
  <c r="Q119" i="27"/>
  <c r="Q113"/>
  <c r="O228"/>
  <c r="O230"/>
  <c r="H21" i="12"/>
  <c r="O185" i="27"/>
  <c r="N225"/>
  <c r="I22" i="12" l="1"/>
  <c r="P35" i="20"/>
  <c r="O172" i="9"/>
  <c r="Q120" i="27"/>
  <c r="L175" i="28"/>
  <c r="N33" i="21"/>
  <c r="N179" i="5"/>
  <c r="AM178" i="9"/>
  <c r="O171"/>
  <c r="P33" i="20"/>
  <c r="AM182" i="9"/>
  <c r="N183" i="5"/>
  <c r="L179" i="28"/>
  <c r="N42" i="21"/>
  <c r="N26"/>
  <c r="L173" i="28"/>
  <c r="N177" i="5"/>
  <c r="AM176" i="9"/>
  <c r="R8" i="20"/>
  <c r="R5" s="1"/>
  <c r="R4" s="1"/>
  <c r="U7"/>
  <c r="Q68" i="26"/>
  <c r="R63" i="5"/>
  <c r="R179" i="27"/>
  <c r="R98"/>
  <c r="R140"/>
  <c r="R163"/>
  <c r="R164" s="1"/>
  <c r="R175"/>
  <c r="R94"/>
  <c r="R87"/>
  <c r="R171"/>
  <c r="R90"/>
  <c r="R92"/>
  <c r="R173"/>
  <c r="R157"/>
  <c r="R158" s="1"/>
  <c r="R134"/>
  <c r="P224"/>
  <c r="P296"/>
  <c r="P297" s="1"/>
  <c r="P247"/>
  <c r="P248" s="1"/>
  <c r="P214"/>
  <c r="P237"/>
  <c r="P238" s="1"/>
  <c r="P286"/>
  <c r="P287" s="1"/>
  <c r="M5" i="21"/>
  <c r="K164" i="28"/>
  <c r="M168" i="5"/>
  <c r="AL167" i="9"/>
  <c r="AL168"/>
  <c r="M6" i="21"/>
  <c r="K165" i="28"/>
  <c r="M169" i="5"/>
  <c r="Q67" i="26"/>
  <c r="R62" i="5"/>
  <c r="Q103" i="27"/>
  <c r="Q88"/>
  <c r="Q111"/>
  <c r="Q201"/>
  <c r="Q202" s="1"/>
  <c r="Q178"/>
  <c r="Q217"/>
  <c r="Q174"/>
  <c r="Q197"/>
  <c r="Q198" s="1"/>
  <c r="Q213"/>
  <c r="Q176"/>
  <c r="Q199"/>
  <c r="Q200" s="1"/>
  <c r="Q215"/>
  <c r="AL171" i="9"/>
  <c r="K168" i="28"/>
  <c r="M9" i="21"/>
  <c r="M172" i="5"/>
  <c r="Q122" i="27"/>
  <c r="L172" i="28"/>
  <c r="N25" i="21"/>
  <c r="N176" i="5"/>
  <c r="AM175" i="9"/>
  <c r="P25" i="20"/>
  <c r="O167" i="9"/>
  <c r="L163" i="28"/>
  <c r="N167" i="5"/>
  <c r="N4" i="21"/>
  <c r="AM166" i="9"/>
  <c r="N34" i="21"/>
  <c r="L176" i="28"/>
  <c r="N180" i="5"/>
  <c r="AM179" i="9"/>
  <c r="I26" i="12"/>
  <c r="AM177" i="9"/>
  <c r="N178" i="5"/>
  <c r="L174" i="28"/>
  <c r="N7" i="21"/>
  <c r="N170" i="5"/>
  <c r="AM169" i="9"/>
  <c r="L166" i="28"/>
  <c r="Q184" i="27"/>
  <c r="Q207"/>
  <c r="Q208" s="1"/>
  <c r="Q223"/>
  <c r="P218"/>
  <c r="P290"/>
  <c r="P291" s="1"/>
  <c r="P241"/>
  <c r="P242" s="1"/>
  <c r="P220"/>
  <c r="P292"/>
  <c r="P293" s="1"/>
  <c r="P243"/>
  <c r="P244" s="1"/>
  <c r="R144"/>
  <c r="R167"/>
  <c r="R168" s="1"/>
  <c r="R96"/>
  <c r="R177"/>
  <c r="R100"/>
  <c r="R181"/>
  <c r="R59" i="5"/>
  <c r="Q64" i="26"/>
  <c r="O210" i="27"/>
  <c r="O233"/>
  <c r="O234" s="1"/>
  <c r="Q153"/>
  <c r="Q154" s="1"/>
  <c r="Q130"/>
  <c r="Q145"/>
  <c r="R64" i="5"/>
  <c r="Q69" i="26"/>
  <c r="M173" i="5"/>
  <c r="K169" i="28"/>
  <c r="AL172" i="9"/>
  <c r="M10" i="21"/>
  <c r="Q23" i="20"/>
  <c r="Q26"/>
  <c r="P166" i="9"/>
  <c r="Q24" i="20"/>
  <c r="Q62"/>
  <c r="P178" i="9"/>
  <c r="P179"/>
  <c r="Q64" i="20"/>
  <c r="Q37"/>
  <c r="P173" i="9"/>
  <c r="Q31" i="20"/>
  <c r="Q34"/>
  <c r="P170" i="9"/>
  <c r="Q32" i="20"/>
  <c r="Q57"/>
  <c r="P175" i="9"/>
  <c r="Q68" i="20"/>
  <c r="P182" i="9"/>
  <c r="Q60" i="20"/>
  <c r="R117" i="27"/>
  <c r="R123"/>
  <c r="Q114"/>
  <c r="N182" i="5"/>
  <c r="N41" i="21"/>
  <c r="L178" i="28"/>
  <c r="AM181" i="9"/>
  <c r="N8" i="21"/>
  <c r="L167" i="28"/>
  <c r="I24" i="12"/>
  <c r="AM170" i="9"/>
  <c r="N171" i="5"/>
  <c r="N3" i="21"/>
  <c r="AM165" i="9"/>
  <c r="N166" i="5"/>
  <c r="L162" i="28"/>
  <c r="R122" i="27"/>
  <c r="R136"/>
  <c r="R159"/>
  <c r="R160" s="1"/>
  <c r="R114"/>
  <c r="R155"/>
  <c r="R156" s="1"/>
  <c r="R132"/>
  <c r="R129"/>
  <c r="R116"/>
  <c r="P245"/>
  <c r="P246" s="1"/>
  <c r="P222"/>
  <c r="P294"/>
  <c r="P295" s="1"/>
  <c r="Q66" i="26"/>
  <c r="R61" i="5"/>
  <c r="R60"/>
  <c r="Q65" i="26"/>
  <c r="O285" i="27"/>
  <c r="O282"/>
  <c r="O283" s="1"/>
  <c r="Q195"/>
  <c r="Q196" s="1"/>
  <c r="Q172"/>
  <c r="Q169"/>
  <c r="Q211"/>
  <c r="P112"/>
  <c r="R58" i="5"/>
  <c r="Q63" i="26"/>
  <c r="Q124" i="27"/>
  <c r="Q232"/>
  <c r="Q126"/>
  <c r="O168" i="9"/>
  <c r="I23" i="12" s="1"/>
  <c r="P27" i="20"/>
  <c r="I27" i="12"/>
  <c r="L177" i="28"/>
  <c r="AM180" i="9"/>
  <c r="N181" i="5"/>
  <c r="L171" i="28"/>
  <c r="AM174" i="9"/>
  <c r="I25" i="12"/>
  <c r="N175" i="5"/>
  <c r="L170" i="28"/>
  <c r="N11" i="21"/>
  <c r="N174" i="5"/>
  <c r="AM173" i="9"/>
  <c r="Q182" i="27"/>
  <c r="Q205"/>
  <c r="Q206" s="1"/>
  <c r="Q221"/>
  <c r="Q231" s="1"/>
  <c r="Q203"/>
  <c r="Q204" s="1"/>
  <c r="Q180"/>
  <c r="Q219"/>
  <c r="P216"/>
  <c r="P288"/>
  <c r="P289" s="1"/>
  <c r="P239"/>
  <c r="P240" s="1"/>
  <c r="R183"/>
  <c r="R102"/>
  <c r="R120"/>
  <c r="R161"/>
  <c r="R162" s="1"/>
  <c r="R138"/>
  <c r="R165"/>
  <c r="R166" s="1"/>
  <c r="R142"/>
  <c r="P235"/>
  <c r="P236" s="1"/>
  <c r="P284"/>
  <c r="P212"/>
  <c r="P226"/>
  <c r="P170"/>
  <c r="P193"/>
  <c r="P194" s="1"/>
  <c r="P209"/>
  <c r="Q59" i="20"/>
  <c r="P176" i="9"/>
  <c r="P174"/>
  <c r="O165" i="5"/>
  <c r="O51" i="21" s="1"/>
  <c r="P177" i="9"/>
  <c r="M161" i="28"/>
  <c r="AN164" i="9"/>
  <c r="P180"/>
  <c r="Q29" i="20"/>
  <c r="P169" i="9"/>
  <c r="P181"/>
  <c r="Q66" i="20"/>
  <c r="Q21"/>
  <c r="P165" i="9"/>
  <c r="P232" i="27"/>
  <c r="P231"/>
  <c r="I21" i="12"/>
  <c r="R125" i="27"/>
  <c r="H23" i="12"/>
  <c r="P229" i="27"/>
  <c r="P227"/>
  <c r="R126" l="1"/>
  <c r="M162" i="28"/>
  <c r="AN165" i="9"/>
  <c r="O3" i="21"/>
  <c r="O166" i="5"/>
  <c r="M166" i="28"/>
  <c r="O7" i="21"/>
  <c r="AN169" i="9"/>
  <c r="O170" i="5"/>
  <c r="AN180" i="9"/>
  <c r="J27" i="12"/>
  <c r="M177" i="28"/>
  <c r="O181" i="5"/>
  <c r="M173" i="28"/>
  <c r="O26" i="21"/>
  <c r="AN176" i="9"/>
  <c r="O177" i="5"/>
  <c r="P233" i="27"/>
  <c r="P234" s="1"/>
  <c r="P210"/>
  <c r="R184"/>
  <c r="R207"/>
  <c r="R208" s="1"/>
  <c r="R223"/>
  <c r="Q292"/>
  <c r="Q293" s="1"/>
  <c r="Q243"/>
  <c r="Q244" s="1"/>
  <c r="Q220"/>
  <c r="Q235"/>
  <c r="Q236" s="1"/>
  <c r="Q284"/>
  <c r="Q212"/>
  <c r="R118"/>
  <c r="M179" i="28"/>
  <c r="AN182" i="9"/>
  <c r="O183" i="5"/>
  <c r="O42" i="21"/>
  <c r="AN175" i="9"/>
  <c r="O25" i="21"/>
  <c r="O176" i="5"/>
  <c r="M172" i="28"/>
  <c r="P171" i="9"/>
  <c r="Q33" i="20"/>
  <c r="Q35"/>
  <c r="P172" i="9"/>
  <c r="O11" i="21"/>
  <c r="M170" i="28"/>
  <c r="O174" i="5"/>
  <c r="AN173" i="9"/>
  <c r="AN178"/>
  <c r="O33" i="21"/>
  <c r="O179" i="5"/>
  <c r="M175" i="28"/>
  <c r="P167" i="9"/>
  <c r="Q25" i="20"/>
  <c r="Q27"/>
  <c r="P168" i="9"/>
  <c r="Q214" i="27"/>
  <c r="Q237"/>
  <c r="Q238" s="1"/>
  <c r="Q286"/>
  <c r="Q287" s="1"/>
  <c r="Q227"/>
  <c r="Q112"/>
  <c r="R174"/>
  <c r="R213"/>
  <c r="R197"/>
  <c r="R198" s="1"/>
  <c r="R103"/>
  <c r="R88"/>
  <c r="R111"/>
  <c r="R199"/>
  <c r="R200" s="1"/>
  <c r="R176"/>
  <c r="R215"/>
  <c r="R180"/>
  <c r="R203"/>
  <c r="R204" s="1"/>
  <c r="R219"/>
  <c r="U4" i="20"/>
  <c r="R67"/>
  <c r="R36"/>
  <c r="R56"/>
  <c r="R65"/>
  <c r="Q164" i="9"/>
  <c r="R63" i="20"/>
  <c r="R20"/>
  <c r="R61"/>
  <c r="R58"/>
  <c r="R30"/>
  <c r="R22"/>
  <c r="R28"/>
  <c r="L168" i="28"/>
  <c r="N172" i="5"/>
  <c r="N9" i="21"/>
  <c r="AM171" i="9"/>
  <c r="J21" i="12"/>
  <c r="O182" i="5"/>
  <c r="AN181" i="9"/>
  <c r="M178" i="28"/>
  <c r="O41" i="21"/>
  <c r="AN177" i="9"/>
  <c r="O178" i="5"/>
  <c r="J26" i="12"/>
  <c r="M174" i="28"/>
  <c r="J25" i="12"/>
  <c r="AN174" i="9"/>
  <c r="O175" i="5"/>
  <c r="M171" i="28"/>
  <c r="P282" i="27"/>
  <c r="P283" s="1"/>
  <c r="P285"/>
  <c r="Q245"/>
  <c r="Q246" s="1"/>
  <c r="Q294"/>
  <c r="Q295" s="1"/>
  <c r="Q222"/>
  <c r="N169" i="5"/>
  <c r="AM168" i="9"/>
  <c r="L165" i="28"/>
  <c r="N6" i="21"/>
  <c r="Q193" i="27"/>
  <c r="Q194" s="1"/>
  <c r="Q209"/>
  <c r="Q170"/>
  <c r="R130"/>
  <c r="R153"/>
  <c r="R154" s="1"/>
  <c r="R145"/>
  <c r="R124"/>
  <c r="AN170" i="9"/>
  <c r="O8" i="21"/>
  <c r="M167" i="28"/>
  <c r="O171" i="5"/>
  <c r="AN179" i="9"/>
  <c r="O180" i="5"/>
  <c r="M176" i="28"/>
  <c r="O34" i="21"/>
  <c r="O167" i="5"/>
  <c r="AN166" i="9"/>
  <c r="M163" i="28"/>
  <c r="O4" i="21"/>
  <c r="R182" i="27"/>
  <c r="R221"/>
  <c r="R205"/>
  <c r="R206" s="1"/>
  <c r="R178"/>
  <c r="R217"/>
  <c r="R201"/>
  <c r="R202" s="1"/>
  <c r="Q247"/>
  <c r="Q248" s="1"/>
  <c r="Q296"/>
  <c r="Q297" s="1"/>
  <c r="Q224"/>
  <c r="N5" i="21"/>
  <c r="AM167" i="9"/>
  <c r="L164" i="28"/>
  <c r="N168" i="5"/>
  <c r="Q216" i="27"/>
  <c r="Q288"/>
  <c r="Q289" s="1"/>
  <c r="Q239"/>
  <c r="Q240" s="1"/>
  <c r="Q228"/>
  <c r="Q218"/>
  <c r="Q290"/>
  <c r="Q291" s="1"/>
  <c r="Q241"/>
  <c r="Q242" s="1"/>
  <c r="R172"/>
  <c r="R195"/>
  <c r="R196" s="1"/>
  <c r="R169"/>
  <c r="R211"/>
  <c r="N10" i="21"/>
  <c r="AM172" i="9"/>
  <c r="L169" i="28"/>
  <c r="N173" i="5"/>
  <c r="J22" i="12"/>
  <c r="P225" i="27"/>
  <c r="Q226"/>
  <c r="Q230"/>
  <c r="Q185"/>
  <c r="Q229"/>
  <c r="J23" i="12" l="1"/>
  <c r="J24"/>
  <c r="R212" i="27"/>
  <c r="R284"/>
  <c r="R235"/>
  <c r="R236" s="1"/>
  <c r="R226"/>
  <c r="R222"/>
  <c r="R245"/>
  <c r="R246" s="1"/>
  <c r="R294"/>
  <c r="R295" s="1"/>
  <c r="Q210"/>
  <c r="Q233"/>
  <c r="Q234" s="1"/>
  <c r="R29" i="20"/>
  <c r="Q169" i="9"/>
  <c r="R31" i="20"/>
  <c r="Q170" i="9"/>
  <c r="R34" i="20"/>
  <c r="R32"/>
  <c r="R62"/>
  <c r="Q178" i="9"/>
  <c r="R64" i="20"/>
  <c r="Q179" i="9"/>
  <c r="R66" i="20"/>
  <c r="Q181" i="9"/>
  <c r="R37" i="20"/>
  <c r="Q173" i="9"/>
  <c r="R216" i="27"/>
  <c r="R288"/>
  <c r="R289" s="1"/>
  <c r="R239"/>
  <c r="R240" s="1"/>
  <c r="R286"/>
  <c r="R287" s="1"/>
  <c r="R214"/>
  <c r="R237"/>
  <c r="R238" s="1"/>
  <c r="R227"/>
  <c r="M165" i="28"/>
  <c r="AN168" i="9"/>
  <c r="O169" i="5"/>
  <c r="O6" i="21"/>
  <c r="M169" i="28"/>
  <c r="AN172" i="9"/>
  <c r="O10" i="21"/>
  <c r="O173" i="5"/>
  <c r="R296" i="27"/>
  <c r="R297" s="1"/>
  <c r="R247"/>
  <c r="R248" s="1"/>
  <c r="R224"/>
  <c r="R231"/>
  <c r="Q225"/>
  <c r="R228"/>
  <c r="R170"/>
  <c r="R209"/>
  <c r="R193"/>
  <c r="R194" s="1"/>
  <c r="R218"/>
  <c r="R241"/>
  <c r="R242" s="1"/>
  <c r="R290"/>
  <c r="R291" s="1"/>
  <c r="R229"/>
  <c r="R23" i="20"/>
  <c r="Q166" i="9"/>
  <c r="R24" i="20"/>
  <c r="R26"/>
  <c r="Q176" i="9"/>
  <c r="R59" i="20"/>
  <c r="R21"/>
  <c r="Q165" i="9"/>
  <c r="S164"/>
  <c r="AO164"/>
  <c r="N161" i="28"/>
  <c r="K22" i="12"/>
  <c r="Q177" i="9"/>
  <c r="Q174"/>
  <c r="P165" i="5"/>
  <c r="Q180" i="9"/>
  <c r="R57" i="20"/>
  <c r="Q175" i="9"/>
  <c r="R68" i="20"/>
  <c r="R60"/>
  <c r="Q182" i="9"/>
  <c r="R220" i="27"/>
  <c r="R292"/>
  <c r="R293" s="1"/>
  <c r="R243"/>
  <c r="R244" s="1"/>
  <c r="R230"/>
  <c r="R112"/>
  <c r="R225"/>
  <c r="O5" i="21"/>
  <c r="M164" i="28"/>
  <c r="O168" i="5"/>
  <c r="AN167" i="9"/>
  <c r="AN171"/>
  <c r="O9" i="21"/>
  <c r="M168" i="28"/>
  <c r="O172" i="5"/>
  <c r="Q285" i="27"/>
  <c r="Q282"/>
  <c r="Q283" s="1"/>
  <c r="R185"/>
  <c r="R232"/>
  <c r="K21" i="12" l="1"/>
  <c r="P42" i="21"/>
  <c r="AO182" i="9"/>
  <c r="S182"/>
  <c r="N179" i="28"/>
  <c r="P183" i="5"/>
  <c r="R183" s="1"/>
  <c r="R165"/>
  <c r="P51" i="21"/>
  <c r="AO177" i="9"/>
  <c r="S177"/>
  <c r="P178" i="5"/>
  <c r="R178" s="1"/>
  <c r="N174" i="28"/>
  <c r="K26" i="12"/>
  <c r="P3" i="21"/>
  <c r="N162" i="28"/>
  <c r="P166" i="5"/>
  <c r="R166" s="1"/>
  <c r="AO165" i="9"/>
  <c r="S165"/>
  <c r="R27" i="20"/>
  <c r="Q168" i="9"/>
  <c r="AO166"/>
  <c r="P4" i="21"/>
  <c r="N163" i="28"/>
  <c r="S166" i="9"/>
  <c r="P167" i="5"/>
  <c r="R167" s="1"/>
  <c r="S173" i="9"/>
  <c r="P11" i="21"/>
  <c r="N170" i="28"/>
  <c r="AO173" i="9"/>
  <c r="P174" i="5"/>
  <c r="R174" s="1"/>
  <c r="S181" i="9"/>
  <c r="AO181"/>
  <c r="P182" i="5"/>
  <c r="R182" s="1"/>
  <c r="N178" i="28"/>
  <c r="P41" i="21"/>
  <c r="N176" i="28"/>
  <c r="AO179" i="9"/>
  <c r="P180" i="5"/>
  <c r="R180" s="1"/>
  <c r="P34" i="21"/>
  <c r="S179" i="9"/>
  <c r="S178"/>
  <c r="P33" i="21"/>
  <c r="P179" i="5"/>
  <c r="R179" s="1"/>
  <c r="N175" i="28"/>
  <c r="AO178" i="9"/>
  <c r="R33" i="20"/>
  <c r="Q171" i="9"/>
  <c r="AO170"/>
  <c r="P8" i="21"/>
  <c r="S170" i="9"/>
  <c r="P171" i="5"/>
  <c r="R171" s="1"/>
  <c r="N167" i="28"/>
  <c r="P7" i="21"/>
  <c r="AO169" i="9"/>
  <c r="N166" i="28"/>
  <c r="S169" i="9"/>
  <c r="P170" i="5"/>
  <c r="R170" s="1"/>
  <c r="N172" i="28"/>
  <c r="AO175" i="9"/>
  <c r="P176" i="5"/>
  <c r="R176" s="1"/>
  <c r="S175" i="9"/>
  <c r="P25" i="21"/>
  <c r="AO180" i="9"/>
  <c r="K27" i="12"/>
  <c r="P181" i="5"/>
  <c r="R181" s="1"/>
  <c r="S180" i="9"/>
  <c r="N177" i="28"/>
  <c r="N171"/>
  <c r="K25" i="12"/>
  <c r="P175" i="5"/>
  <c r="R175" s="1"/>
  <c r="S174" i="9"/>
  <c r="AO174"/>
  <c r="AO176"/>
  <c r="N173" i="28"/>
  <c r="P26" i="21"/>
  <c r="S176" i="9"/>
  <c r="P177" i="5"/>
  <c r="R177" s="1"/>
  <c r="R25" i="20"/>
  <c r="Q167" i="9"/>
  <c r="K23" i="12" s="1"/>
  <c r="R210" i="27"/>
  <c r="R233"/>
  <c r="R234" s="1"/>
  <c r="R35" i="20"/>
  <c r="Q172" i="9"/>
  <c r="K24" i="12" s="1"/>
  <c r="R285" i="27"/>
  <c r="R282"/>
  <c r="R283" s="1"/>
  <c r="N168" i="28" l="1"/>
  <c r="P9" i="21"/>
  <c r="AO171" i="9"/>
  <c r="S171"/>
  <c r="P172" i="5"/>
  <c r="R172" s="1"/>
  <c r="N165" i="28"/>
  <c r="S168" i="9"/>
  <c r="AO168"/>
  <c r="P6" i="21"/>
  <c r="P169" i="5"/>
  <c r="R169" s="1"/>
  <c r="AO172" i="9"/>
  <c r="S172"/>
  <c r="P10" i="21"/>
  <c r="N169" i="28"/>
  <c r="P173" i="5"/>
  <c r="R173" s="1"/>
  <c r="S167" i="9"/>
  <c r="AO167"/>
  <c r="P168" i="5"/>
  <c r="R168" s="1"/>
  <c r="N164" i="28"/>
  <c r="P5" i="21"/>
  <c r="I6" i="28"/>
  <c r="R9" i="9"/>
  <c r="K10" i="5"/>
  <c r="Q10" s="1"/>
  <c r="R10" i="9"/>
  <c r="L16" i="10"/>
  <c r="L17" s="1"/>
  <c r="L24" l="1"/>
  <c r="M24" s="1"/>
  <c r="M16" s="1"/>
  <c r="M26"/>
  <c r="M18" s="1"/>
  <c r="L18"/>
  <c r="R16"/>
  <c r="I7" i="28"/>
  <c r="K11" i="5"/>
  <c r="Q11" s="1"/>
  <c r="N24" i="10" l="1"/>
  <c r="N16" s="1"/>
  <c r="N26"/>
  <c r="N18" s="1"/>
  <c r="M9" i="9"/>
  <c r="M17" i="10"/>
  <c r="R18"/>
  <c r="L19"/>
  <c r="L26"/>
  <c r="M19"/>
  <c r="M10" i="9"/>
  <c r="O24" i="10" l="1"/>
  <c r="O16" s="1"/>
  <c r="O26"/>
  <c r="O18" s="1"/>
  <c r="N17"/>
  <c r="N9" i="9"/>
  <c r="J7" i="28"/>
  <c r="L11" i="5"/>
  <c r="J6" i="28"/>
  <c r="L10" i="5"/>
  <c r="N10" i="9"/>
  <c r="N19" i="10"/>
  <c r="P24" l="1"/>
  <c r="Q24" s="1"/>
  <c r="P26"/>
  <c r="P18" s="1"/>
  <c r="O17"/>
  <c r="O9" i="9"/>
  <c r="M10" i="5"/>
  <c r="K6" i="28"/>
  <c r="M11" i="5"/>
  <c r="K7" i="28"/>
  <c r="O19" i="10"/>
  <c r="O10" i="9"/>
  <c r="P16" i="10" l="1"/>
  <c r="L6" i="28"/>
  <c r="N10" i="5"/>
  <c r="Q26" i="10"/>
  <c r="Q18" s="1"/>
  <c r="Q16"/>
  <c r="L7" i="28"/>
  <c r="N11" i="5"/>
  <c r="P19" i="10"/>
  <c r="P10" i="9"/>
  <c r="P17" i="10"/>
  <c r="P9" i="9"/>
  <c r="S18" i="10" l="1"/>
  <c r="Q19"/>
  <c r="Q10" i="9"/>
  <c r="O10" i="5"/>
  <c r="M6" i="28"/>
  <c r="M7"/>
  <c r="O11" i="5"/>
  <c r="Q17" i="10"/>
  <c r="Q9" i="9"/>
  <c r="S16" i="10"/>
  <c r="S9" i="9" l="1"/>
  <c r="N6" i="28"/>
  <c r="P10" i="5"/>
  <c r="R10" s="1"/>
  <c r="S10" i="9"/>
  <c r="P11" i="5"/>
  <c r="R11" s="1"/>
  <c r="N7" i="28"/>
</calcChain>
</file>

<file path=xl/comments1.xml><?xml version="1.0" encoding="utf-8"?>
<comments xmlns="http://schemas.openxmlformats.org/spreadsheetml/2006/main">
  <authors>
    <author>bejjanki</author>
  </authors>
  <commentList>
    <comment ref="D16" authorId="0">
      <text>
        <r>
          <rPr>
            <b/>
            <sz val="8"/>
            <color indexed="81"/>
            <rFont val="Tahoma"/>
            <family val="2"/>
          </rPr>
          <t xml:space="preserve">bejjanki:
</t>
        </r>
        <r>
          <rPr>
            <sz val="8"/>
            <color indexed="81"/>
            <rFont val="Tahoma"/>
            <family val="2"/>
          </rPr>
          <t>Exchange rates used are in Home sheet.
If any changes in the definations are intimated to reports team</t>
        </r>
      </text>
    </comment>
  </commentList>
</comments>
</file>

<file path=xl/comments2.xml><?xml version="1.0" encoding="utf-8"?>
<comments xmlns="http://schemas.openxmlformats.org/spreadsheetml/2006/main">
  <authors>
    <author>sudheert</author>
  </authors>
  <commentList>
    <comment ref="AB12" authorId="0">
      <text>
        <r>
          <rPr>
            <b/>
            <sz val="8"/>
            <color indexed="81"/>
            <rFont val="Tahoma"/>
            <family val="2"/>
          </rPr>
          <t>sudheert:</t>
        </r>
        <r>
          <rPr>
            <sz val="8"/>
            <color indexed="81"/>
            <rFont val="Tahoma"/>
            <family val="2"/>
          </rPr>
          <t xml:space="preserve">
added four quarters data to get annual figure.</t>
        </r>
      </text>
    </comment>
    <comment ref="AB13" authorId="0">
      <text>
        <r>
          <rPr>
            <b/>
            <sz val="8"/>
            <color indexed="81"/>
            <rFont val="Tahoma"/>
            <family val="2"/>
          </rPr>
          <t>sudheert:</t>
        </r>
        <r>
          <rPr>
            <sz val="8"/>
            <color indexed="81"/>
            <rFont val="Tahoma"/>
            <family val="2"/>
          </rPr>
          <t xml:space="preserve">
added four quarters data to get annual figure.</t>
        </r>
      </text>
    </comment>
    <comment ref="AB18" authorId="0">
      <text>
        <r>
          <rPr>
            <b/>
            <sz val="8"/>
            <color indexed="81"/>
            <rFont val="Tahoma"/>
            <family val="2"/>
          </rPr>
          <t>sudheert:</t>
        </r>
        <r>
          <rPr>
            <sz val="8"/>
            <color indexed="81"/>
            <rFont val="Tahoma"/>
            <family val="2"/>
          </rPr>
          <t xml:space="preserve">
added four quarters data to get annual figure.</t>
        </r>
      </text>
    </comment>
    <comment ref="AB19" authorId="0">
      <text>
        <r>
          <rPr>
            <b/>
            <sz val="8"/>
            <color indexed="81"/>
            <rFont val="Tahoma"/>
            <family val="2"/>
          </rPr>
          <t>sudheert:</t>
        </r>
        <r>
          <rPr>
            <sz val="8"/>
            <color indexed="81"/>
            <rFont val="Tahoma"/>
            <family val="2"/>
          </rPr>
          <t xml:space="preserve">
added 4 quarters </t>
        </r>
      </text>
    </comment>
    <comment ref="AB20" authorId="0">
      <text>
        <r>
          <rPr>
            <b/>
            <sz val="8"/>
            <color indexed="81"/>
            <rFont val="Tahoma"/>
            <family val="2"/>
          </rPr>
          <t>sudheert:</t>
        </r>
        <r>
          <rPr>
            <sz val="8"/>
            <color indexed="81"/>
            <rFont val="Tahoma"/>
            <family val="2"/>
          </rPr>
          <t xml:space="preserve">
Benchmarked with Norway</t>
        </r>
      </text>
    </comment>
    <comment ref="AB21" authorId="0">
      <text>
        <r>
          <rPr>
            <b/>
            <sz val="8"/>
            <color indexed="81"/>
            <rFont val="Tahoma"/>
            <family val="2"/>
          </rPr>
          <t>sudheert:</t>
        </r>
        <r>
          <rPr>
            <sz val="8"/>
            <color indexed="81"/>
            <rFont val="Tahoma"/>
            <family val="2"/>
          </rPr>
          <t xml:space="preserve">
Benchmarked with Norway</t>
        </r>
      </text>
    </comment>
    <comment ref="G23" authorId="0">
      <text>
        <r>
          <rPr>
            <b/>
            <sz val="8"/>
            <color indexed="81"/>
            <rFont val="Tahoma"/>
            <family val="2"/>
          </rPr>
          <t>sudheert:</t>
        </r>
        <r>
          <rPr>
            <sz val="8"/>
            <color indexed="81"/>
            <rFont val="Tahoma"/>
            <family val="2"/>
          </rPr>
          <t xml:space="preserve">
 Forecasted 2007 figure as the data is not available for both 2007 &amp; 2008
</t>
        </r>
      </text>
    </comment>
    <comment ref="H23" authorId="0">
      <text>
        <r>
          <rPr>
            <b/>
            <sz val="8"/>
            <color indexed="81"/>
            <rFont val="Tahoma"/>
            <family val="2"/>
          </rPr>
          <t>sudheert:</t>
        </r>
        <r>
          <rPr>
            <sz val="8"/>
            <color indexed="81"/>
            <rFont val="Tahoma"/>
            <family val="2"/>
          </rPr>
          <t xml:space="preserve">
 Forecasted 2007 figure as the data is not available for both 2007 &amp; 2008
</t>
        </r>
      </text>
    </comment>
    <comment ref="I23" authorId="0">
      <text>
        <r>
          <rPr>
            <b/>
            <sz val="8"/>
            <color indexed="81"/>
            <rFont val="Tahoma"/>
            <family val="2"/>
          </rPr>
          <t>sudheert:</t>
        </r>
        <r>
          <rPr>
            <sz val="8"/>
            <color indexed="81"/>
            <rFont val="Tahoma"/>
            <family val="2"/>
          </rPr>
          <t xml:space="preserve">
 Forecasted 2007 figure as the data is not available for both 2007 &amp; 2008
</t>
        </r>
      </text>
    </comment>
    <comment ref="J23" authorId="0">
      <text>
        <r>
          <rPr>
            <b/>
            <sz val="8"/>
            <color indexed="81"/>
            <rFont val="Tahoma"/>
            <family val="2"/>
          </rPr>
          <t>sudheert:</t>
        </r>
        <r>
          <rPr>
            <sz val="8"/>
            <color indexed="81"/>
            <rFont val="Tahoma"/>
            <family val="2"/>
          </rPr>
          <t xml:space="preserve">
 Forecasted 2007 figure as the data is not available for both 2007 &amp; 2008
</t>
        </r>
      </text>
    </comment>
    <comment ref="K23" authorId="0">
      <text>
        <r>
          <rPr>
            <b/>
            <sz val="8"/>
            <color indexed="81"/>
            <rFont val="Tahoma"/>
            <family val="2"/>
          </rPr>
          <t>sudheert:</t>
        </r>
        <r>
          <rPr>
            <sz val="8"/>
            <color indexed="81"/>
            <rFont val="Tahoma"/>
            <family val="2"/>
          </rPr>
          <t xml:space="preserve">
 Forecasted 2007 figure as the data is not available for both 2007 &amp; 2008
</t>
        </r>
      </text>
    </comment>
    <comment ref="AB25" authorId="0">
      <text>
        <r>
          <rPr>
            <b/>
            <sz val="8"/>
            <color indexed="81"/>
            <rFont val="Tahoma"/>
            <family val="2"/>
          </rPr>
          <t>sudheert:</t>
        </r>
        <r>
          <rPr>
            <sz val="8"/>
            <color indexed="81"/>
            <rFont val="Tahoma"/>
            <family val="2"/>
          </rPr>
          <t xml:space="preserve">
Europe region is the sum of European union,European Free Trade Association, European countries not EU nor EFTA</t>
        </r>
      </text>
    </comment>
    <comment ref="AB35" authorId="0">
      <text>
        <r>
          <rPr>
            <b/>
            <sz val="8"/>
            <color indexed="81"/>
            <rFont val="Tahoma"/>
            <family val="2"/>
          </rPr>
          <t>sudheert:</t>
        </r>
        <r>
          <rPr>
            <sz val="8"/>
            <color indexed="81"/>
            <rFont val="Tahoma"/>
            <family val="2"/>
          </rPr>
          <t xml:space="preserve">
took the sum of asia &amp; oceania &amp; benchmarked the percentage with norway
</t>
        </r>
      </text>
    </comment>
    <comment ref="AB37" authorId="0">
      <text>
        <r>
          <rPr>
            <b/>
            <sz val="8"/>
            <color indexed="81"/>
            <rFont val="Tahoma"/>
            <family val="2"/>
          </rPr>
          <t>sudheert:</t>
        </r>
        <r>
          <rPr>
            <sz val="8"/>
            <color indexed="81"/>
            <rFont val="Tahoma"/>
            <family val="2"/>
          </rPr>
          <t xml:space="preserve">
took the sum of asia &amp; oceania &amp; benchmarked the percentage with norway
</t>
        </r>
      </text>
    </comment>
    <comment ref="AB39" authorId="0">
      <text>
        <r>
          <rPr>
            <b/>
            <sz val="8"/>
            <color indexed="81"/>
            <rFont val="Tahoma"/>
            <family val="2"/>
          </rPr>
          <t>sudheert:</t>
        </r>
        <r>
          <rPr>
            <sz val="8"/>
            <color indexed="81"/>
            <rFont val="Tahoma"/>
            <family val="2"/>
          </rPr>
          <t xml:space="preserve">
took the sum of asia &amp; oceania &amp; benchmarked the percentage with norway
</t>
        </r>
      </text>
    </comment>
    <comment ref="AB41" authorId="0">
      <text>
        <r>
          <rPr>
            <b/>
            <sz val="8"/>
            <color indexed="81"/>
            <rFont val="Tahoma"/>
            <family val="2"/>
          </rPr>
          <t>sudheert:</t>
        </r>
        <r>
          <rPr>
            <sz val="8"/>
            <color indexed="81"/>
            <rFont val="Tahoma"/>
            <family val="2"/>
          </rPr>
          <t xml:space="preserve">
added 4 quarters </t>
        </r>
      </text>
    </comment>
    <comment ref="AB42" authorId="0">
      <text>
        <r>
          <rPr>
            <b/>
            <sz val="8"/>
            <color indexed="81"/>
            <rFont val="Tahoma"/>
            <family val="2"/>
          </rPr>
          <t>sudheert:</t>
        </r>
        <r>
          <rPr>
            <sz val="8"/>
            <color indexed="81"/>
            <rFont val="Tahoma"/>
            <family val="2"/>
          </rPr>
          <t xml:space="preserve">
benchmarked with norway
</t>
        </r>
      </text>
    </comment>
    <comment ref="U43" authorId="0">
      <text>
        <r>
          <rPr>
            <b/>
            <sz val="8"/>
            <color indexed="81"/>
            <rFont val="Tahoma"/>
            <family val="2"/>
          </rPr>
          <t>sudheert:</t>
        </r>
        <r>
          <rPr>
            <sz val="8"/>
            <color indexed="81"/>
            <rFont val="Tahoma"/>
            <family val="2"/>
          </rPr>
          <t xml:space="preserve">
benchmariking done in calculations sheet</t>
        </r>
      </text>
    </comment>
    <comment ref="V43" authorId="0">
      <text>
        <r>
          <rPr>
            <b/>
            <sz val="8"/>
            <color indexed="81"/>
            <rFont val="Tahoma"/>
            <family val="2"/>
          </rPr>
          <t>sudheert:</t>
        </r>
        <r>
          <rPr>
            <sz val="8"/>
            <color indexed="81"/>
            <rFont val="Tahoma"/>
            <family val="2"/>
          </rPr>
          <t xml:space="preserve">
benchmariking done in calculations sheet</t>
        </r>
      </text>
    </comment>
    <comment ref="W43" authorId="0">
      <text>
        <r>
          <rPr>
            <b/>
            <sz val="8"/>
            <color indexed="81"/>
            <rFont val="Tahoma"/>
            <family val="2"/>
          </rPr>
          <t>sudheert:</t>
        </r>
        <r>
          <rPr>
            <sz val="8"/>
            <color indexed="81"/>
            <rFont val="Tahoma"/>
            <family val="2"/>
          </rPr>
          <t xml:space="preserve">
benchmariking done in calculations sheet</t>
        </r>
      </text>
    </comment>
    <comment ref="X43" authorId="0">
      <text>
        <r>
          <rPr>
            <b/>
            <sz val="8"/>
            <color indexed="81"/>
            <rFont val="Tahoma"/>
            <family val="2"/>
          </rPr>
          <t>sudheert:</t>
        </r>
        <r>
          <rPr>
            <sz val="8"/>
            <color indexed="81"/>
            <rFont val="Tahoma"/>
            <family val="2"/>
          </rPr>
          <t xml:space="preserve">
benchmariking done in calculations sheet</t>
        </r>
      </text>
    </comment>
    <comment ref="Y43" authorId="0">
      <text>
        <r>
          <rPr>
            <b/>
            <sz val="8"/>
            <color indexed="81"/>
            <rFont val="Tahoma"/>
            <family val="2"/>
          </rPr>
          <t>sudheert:</t>
        </r>
        <r>
          <rPr>
            <sz val="8"/>
            <color indexed="81"/>
            <rFont val="Tahoma"/>
            <family val="2"/>
          </rPr>
          <t xml:space="preserve">
benchmariking done in calculations sheet</t>
        </r>
      </text>
    </comment>
    <comment ref="AB43" authorId="0">
      <text>
        <r>
          <rPr>
            <b/>
            <sz val="8"/>
            <color indexed="81"/>
            <rFont val="Tahoma"/>
            <family val="2"/>
          </rPr>
          <t>sudheert:</t>
        </r>
        <r>
          <rPr>
            <sz val="8"/>
            <color indexed="81"/>
            <rFont val="Tahoma"/>
            <family val="2"/>
          </rPr>
          <t xml:space="preserve">
benchmarked with Norway
</t>
        </r>
      </text>
    </comment>
  </commentList>
</comments>
</file>

<file path=xl/comments3.xml><?xml version="1.0" encoding="utf-8"?>
<comments xmlns="http://schemas.openxmlformats.org/spreadsheetml/2006/main">
  <authors>
    <author>aghosh</author>
  </authors>
  <commentList>
    <comment ref="E131" authorId="0">
      <text>
        <r>
          <rPr>
            <b/>
            <sz val="8"/>
            <color indexed="81"/>
            <rFont val="Tahoma"/>
            <family val="2"/>
          </rPr>
          <t>analyst's judgement</t>
        </r>
      </text>
    </comment>
    <comment ref="E133" authorId="0">
      <text>
        <r>
          <rPr>
            <b/>
            <sz val="8"/>
            <color indexed="81"/>
            <rFont val="Tahoma"/>
            <family val="2"/>
          </rPr>
          <t>analyst's judgement</t>
        </r>
      </text>
    </comment>
    <comment ref="E135" authorId="0">
      <text>
        <r>
          <rPr>
            <b/>
            <sz val="8"/>
            <color indexed="81"/>
            <rFont val="Tahoma"/>
            <family val="2"/>
          </rPr>
          <t>analyst's judgement</t>
        </r>
      </text>
    </comment>
    <comment ref="E156" authorId="0">
      <text>
        <r>
          <rPr>
            <b/>
            <sz val="8"/>
            <color indexed="81"/>
            <rFont val="Tahoma"/>
            <family val="2"/>
          </rPr>
          <t>analyst's judgement</t>
        </r>
        <r>
          <rPr>
            <sz val="8"/>
            <color indexed="81"/>
            <rFont val="Tahoma"/>
            <family val="2"/>
          </rPr>
          <t xml:space="preserve">
</t>
        </r>
      </text>
    </comment>
    <comment ref="E158" authorId="0">
      <text>
        <r>
          <rPr>
            <b/>
            <sz val="8"/>
            <color indexed="81"/>
            <rFont val="Tahoma"/>
            <family val="2"/>
          </rPr>
          <t>analyst's judgement</t>
        </r>
        <r>
          <rPr>
            <sz val="8"/>
            <color indexed="81"/>
            <rFont val="Tahoma"/>
            <family val="2"/>
          </rPr>
          <t xml:space="preserve">
</t>
        </r>
      </text>
    </comment>
    <comment ref="E160" authorId="0">
      <text>
        <r>
          <rPr>
            <b/>
            <sz val="8"/>
            <color indexed="81"/>
            <rFont val="Tahoma"/>
            <family val="2"/>
          </rPr>
          <t>analyst's judgement</t>
        </r>
        <r>
          <rPr>
            <sz val="8"/>
            <color indexed="81"/>
            <rFont val="Tahoma"/>
            <family val="2"/>
          </rPr>
          <t xml:space="preserve">
</t>
        </r>
      </text>
    </comment>
    <comment ref="E162" authorId="0">
      <text>
        <r>
          <rPr>
            <b/>
            <sz val="8"/>
            <color indexed="81"/>
            <rFont val="Tahoma"/>
            <family val="2"/>
          </rPr>
          <t>analyst's judgement</t>
        </r>
        <r>
          <rPr>
            <sz val="8"/>
            <color indexed="81"/>
            <rFont val="Tahoma"/>
            <family val="2"/>
          </rPr>
          <t xml:space="preserve">
</t>
        </r>
      </text>
    </comment>
    <comment ref="E164" authorId="0">
      <text>
        <r>
          <rPr>
            <b/>
            <sz val="8"/>
            <color indexed="81"/>
            <rFont val="Tahoma"/>
            <family val="2"/>
          </rPr>
          <t>analyst's judgement</t>
        </r>
        <r>
          <rPr>
            <sz val="8"/>
            <color indexed="81"/>
            <rFont val="Tahoma"/>
            <family val="2"/>
          </rPr>
          <t xml:space="preserve">
</t>
        </r>
      </text>
    </comment>
    <comment ref="E166" authorId="0">
      <text>
        <r>
          <rPr>
            <b/>
            <sz val="8"/>
            <color indexed="81"/>
            <rFont val="Tahoma"/>
            <family val="2"/>
          </rPr>
          <t>analyst's judgement</t>
        </r>
        <r>
          <rPr>
            <sz val="8"/>
            <color indexed="81"/>
            <rFont val="Tahoma"/>
            <family val="2"/>
          </rPr>
          <t xml:space="preserve">
</t>
        </r>
      </text>
    </comment>
    <comment ref="E188" authorId="0">
      <text>
        <r>
          <rPr>
            <b/>
            <sz val="8"/>
            <color indexed="81"/>
            <rFont val="Tahoma"/>
            <family val="2"/>
          </rPr>
          <t>analyst's judgement</t>
        </r>
        <r>
          <rPr>
            <sz val="8"/>
            <color indexed="81"/>
            <rFont val="Tahoma"/>
            <family val="2"/>
          </rPr>
          <t xml:space="preserve">
</t>
        </r>
      </text>
    </comment>
    <comment ref="E190" authorId="0">
      <text>
        <r>
          <rPr>
            <b/>
            <sz val="8"/>
            <color indexed="81"/>
            <rFont val="Tahoma"/>
            <family val="2"/>
          </rPr>
          <t>analyst's judgement</t>
        </r>
        <r>
          <rPr>
            <sz val="8"/>
            <color indexed="81"/>
            <rFont val="Tahoma"/>
            <family val="2"/>
          </rPr>
          <t xml:space="preserve">
</t>
        </r>
      </text>
    </comment>
    <comment ref="E192" authorId="0">
      <text>
        <r>
          <rPr>
            <b/>
            <sz val="8"/>
            <color indexed="81"/>
            <rFont val="Tahoma"/>
            <family val="2"/>
          </rPr>
          <t>analyst's judgement</t>
        </r>
        <r>
          <rPr>
            <sz val="8"/>
            <color indexed="81"/>
            <rFont val="Tahoma"/>
            <family val="2"/>
          </rPr>
          <t xml:space="preserve">
</t>
        </r>
      </text>
    </comment>
    <comment ref="E194" authorId="0">
      <text>
        <r>
          <rPr>
            <b/>
            <sz val="8"/>
            <color indexed="81"/>
            <rFont val="Tahoma"/>
            <family val="2"/>
          </rPr>
          <t>analyst's judgement</t>
        </r>
        <r>
          <rPr>
            <sz val="8"/>
            <color indexed="81"/>
            <rFont val="Tahoma"/>
            <family val="2"/>
          </rPr>
          <t xml:space="preserve">
</t>
        </r>
      </text>
    </comment>
    <comment ref="E196" authorId="0">
      <text>
        <r>
          <rPr>
            <b/>
            <sz val="8"/>
            <color indexed="81"/>
            <rFont val="Tahoma"/>
            <family val="2"/>
          </rPr>
          <t>analyst's judgement</t>
        </r>
        <r>
          <rPr>
            <sz val="8"/>
            <color indexed="81"/>
            <rFont val="Tahoma"/>
            <family val="2"/>
          </rPr>
          <t xml:space="preserve">
</t>
        </r>
      </text>
    </comment>
    <comment ref="E198" authorId="0">
      <text>
        <r>
          <rPr>
            <b/>
            <sz val="8"/>
            <color indexed="81"/>
            <rFont val="Tahoma"/>
            <family val="2"/>
          </rPr>
          <t>analyst's judgement</t>
        </r>
        <r>
          <rPr>
            <sz val="8"/>
            <color indexed="81"/>
            <rFont val="Tahoma"/>
            <family val="2"/>
          </rPr>
          <t xml:space="preserve">
</t>
        </r>
      </text>
    </comment>
    <comment ref="E204" authorId="0">
      <text>
        <r>
          <rPr>
            <b/>
            <sz val="8"/>
            <color indexed="81"/>
            <rFont val="Tahoma"/>
            <family val="2"/>
          </rPr>
          <t>analyst's judgement</t>
        </r>
        <r>
          <rPr>
            <sz val="8"/>
            <color indexed="81"/>
            <rFont val="Tahoma"/>
            <family val="2"/>
          </rPr>
          <t xml:space="preserve">
</t>
        </r>
      </text>
    </comment>
    <comment ref="E206" authorId="0">
      <text>
        <r>
          <rPr>
            <b/>
            <sz val="8"/>
            <color indexed="81"/>
            <rFont val="Tahoma"/>
            <family val="2"/>
          </rPr>
          <t>analyst's judgement</t>
        </r>
        <r>
          <rPr>
            <sz val="8"/>
            <color indexed="81"/>
            <rFont val="Tahoma"/>
            <family val="2"/>
          </rPr>
          <t xml:space="preserve">
</t>
        </r>
      </text>
    </comment>
    <comment ref="E208" authorId="0">
      <text>
        <r>
          <rPr>
            <b/>
            <sz val="8"/>
            <color indexed="81"/>
            <rFont val="Tahoma"/>
            <family val="2"/>
          </rPr>
          <t>analyst's judgement</t>
        </r>
        <r>
          <rPr>
            <sz val="8"/>
            <color indexed="81"/>
            <rFont val="Tahoma"/>
            <family val="2"/>
          </rPr>
          <t xml:space="preserve">
</t>
        </r>
      </text>
    </comment>
    <comment ref="E210" authorId="0">
      <text>
        <r>
          <rPr>
            <b/>
            <sz val="8"/>
            <color indexed="81"/>
            <rFont val="Tahoma"/>
            <family val="2"/>
          </rPr>
          <t>analyst's judgement</t>
        </r>
        <r>
          <rPr>
            <sz val="8"/>
            <color indexed="81"/>
            <rFont val="Tahoma"/>
            <family val="2"/>
          </rPr>
          <t xml:space="preserve">
</t>
        </r>
      </text>
    </comment>
    <comment ref="E212" authorId="0">
      <text>
        <r>
          <rPr>
            <b/>
            <sz val="8"/>
            <color indexed="81"/>
            <rFont val="Tahoma"/>
            <family val="2"/>
          </rPr>
          <t>analyst's judgement</t>
        </r>
        <r>
          <rPr>
            <sz val="8"/>
            <color indexed="81"/>
            <rFont val="Tahoma"/>
            <family val="2"/>
          </rPr>
          <t xml:space="preserve">
</t>
        </r>
      </text>
    </comment>
    <comment ref="E214" authorId="0">
      <text>
        <r>
          <rPr>
            <b/>
            <sz val="8"/>
            <color indexed="81"/>
            <rFont val="Tahoma"/>
            <family val="2"/>
          </rPr>
          <t>analyst's judgement</t>
        </r>
        <r>
          <rPr>
            <sz val="8"/>
            <color indexed="81"/>
            <rFont val="Tahoma"/>
            <family val="2"/>
          </rPr>
          <t xml:space="preserve">
</t>
        </r>
      </text>
    </comment>
    <comment ref="E220" authorId="0">
      <text>
        <r>
          <rPr>
            <b/>
            <sz val="8"/>
            <color indexed="81"/>
            <rFont val="Tahoma"/>
            <family val="2"/>
          </rPr>
          <t>analyst's judgement</t>
        </r>
        <r>
          <rPr>
            <sz val="8"/>
            <color indexed="81"/>
            <rFont val="Tahoma"/>
            <family val="2"/>
          </rPr>
          <t xml:space="preserve">
</t>
        </r>
      </text>
    </comment>
    <comment ref="E222" authorId="0">
      <text>
        <r>
          <rPr>
            <b/>
            <sz val="8"/>
            <color indexed="81"/>
            <rFont val="Tahoma"/>
            <family val="2"/>
          </rPr>
          <t>analyst's judgement</t>
        </r>
        <r>
          <rPr>
            <sz val="8"/>
            <color indexed="81"/>
            <rFont val="Tahoma"/>
            <family val="2"/>
          </rPr>
          <t xml:space="preserve">
</t>
        </r>
      </text>
    </comment>
    <comment ref="E224" authorId="0">
      <text>
        <r>
          <rPr>
            <b/>
            <sz val="8"/>
            <color indexed="81"/>
            <rFont val="Tahoma"/>
            <family val="2"/>
          </rPr>
          <t>analyst's judgement</t>
        </r>
        <r>
          <rPr>
            <sz val="8"/>
            <color indexed="81"/>
            <rFont val="Tahoma"/>
            <family val="2"/>
          </rPr>
          <t xml:space="preserve">
</t>
        </r>
      </text>
    </comment>
    <comment ref="E226" authorId="0">
      <text>
        <r>
          <rPr>
            <b/>
            <sz val="8"/>
            <color indexed="81"/>
            <rFont val="Tahoma"/>
            <family val="2"/>
          </rPr>
          <t>analyst's judgement</t>
        </r>
        <r>
          <rPr>
            <sz val="8"/>
            <color indexed="81"/>
            <rFont val="Tahoma"/>
            <family val="2"/>
          </rPr>
          <t xml:space="preserve">
</t>
        </r>
      </text>
    </comment>
    <comment ref="E228" authorId="0">
      <text>
        <r>
          <rPr>
            <b/>
            <sz val="8"/>
            <color indexed="81"/>
            <rFont val="Tahoma"/>
            <family val="2"/>
          </rPr>
          <t>analyst's judgement</t>
        </r>
        <r>
          <rPr>
            <sz val="8"/>
            <color indexed="81"/>
            <rFont val="Tahoma"/>
            <family val="2"/>
          </rPr>
          <t xml:space="preserve">
</t>
        </r>
      </text>
    </comment>
    <comment ref="E230" authorId="0">
      <text>
        <r>
          <rPr>
            <b/>
            <sz val="8"/>
            <color indexed="81"/>
            <rFont val="Tahoma"/>
            <family val="2"/>
          </rPr>
          <t>analyst's judgement</t>
        </r>
        <r>
          <rPr>
            <sz val="8"/>
            <color indexed="81"/>
            <rFont val="Tahoma"/>
            <family val="2"/>
          </rPr>
          <t xml:space="preserve">
</t>
        </r>
      </text>
    </comment>
    <comment ref="E236" authorId="0">
      <text>
        <r>
          <rPr>
            <b/>
            <sz val="8"/>
            <color indexed="81"/>
            <rFont val="Tahoma"/>
            <family val="2"/>
          </rPr>
          <t>analyst's judgement</t>
        </r>
        <r>
          <rPr>
            <sz val="8"/>
            <color indexed="81"/>
            <rFont val="Tahoma"/>
            <family val="2"/>
          </rPr>
          <t xml:space="preserve">
</t>
        </r>
      </text>
    </comment>
    <comment ref="E238" authorId="0">
      <text>
        <r>
          <rPr>
            <b/>
            <sz val="8"/>
            <color indexed="81"/>
            <rFont val="Tahoma"/>
            <family val="2"/>
          </rPr>
          <t>analyst's judgement</t>
        </r>
        <r>
          <rPr>
            <sz val="8"/>
            <color indexed="81"/>
            <rFont val="Tahoma"/>
            <family val="2"/>
          </rPr>
          <t xml:space="preserve">
</t>
        </r>
      </text>
    </comment>
    <comment ref="E240" authorId="0">
      <text>
        <r>
          <rPr>
            <b/>
            <sz val="8"/>
            <color indexed="81"/>
            <rFont val="Tahoma"/>
            <family val="2"/>
          </rPr>
          <t>analyst's judgement</t>
        </r>
        <r>
          <rPr>
            <sz val="8"/>
            <color indexed="81"/>
            <rFont val="Tahoma"/>
            <family val="2"/>
          </rPr>
          <t xml:space="preserve">
</t>
        </r>
      </text>
    </comment>
    <comment ref="E242" authorId="0">
      <text>
        <r>
          <rPr>
            <b/>
            <sz val="8"/>
            <color indexed="81"/>
            <rFont val="Tahoma"/>
            <family val="2"/>
          </rPr>
          <t>analyst's judgement</t>
        </r>
        <r>
          <rPr>
            <sz val="8"/>
            <color indexed="81"/>
            <rFont val="Tahoma"/>
            <family val="2"/>
          </rPr>
          <t xml:space="preserve">
</t>
        </r>
      </text>
    </comment>
    <comment ref="E244" authorId="0">
      <text>
        <r>
          <rPr>
            <b/>
            <sz val="8"/>
            <color indexed="81"/>
            <rFont val="Tahoma"/>
            <family val="2"/>
          </rPr>
          <t>analyst's judgement</t>
        </r>
        <r>
          <rPr>
            <sz val="8"/>
            <color indexed="81"/>
            <rFont val="Tahoma"/>
            <family val="2"/>
          </rPr>
          <t xml:space="preserve">
</t>
        </r>
      </text>
    </comment>
    <comment ref="E246" authorId="0">
      <text>
        <r>
          <rPr>
            <b/>
            <sz val="8"/>
            <color indexed="81"/>
            <rFont val="Tahoma"/>
            <family val="2"/>
          </rPr>
          <t>analyst's judgement</t>
        </r>
        <r>
          <rPr>
            <sz val="8"/>
            <color indexed="81"/>
            <rFont val="Tahoma"/>
            <family val="2"/>
          </rPr>
          <t xml:space="preserve">
</t>
        </r>
      </text>
    </comment>
  </commentList>
</comments>
</file>

<file path=xl/comments4.xml><?xml version="1.0" encoding="utf-8"?>
<comments xmlns="http://schemas.openxmlformats.org/spreadsheetml/2006/main">
  <authors>
    <author>mshajie</author>
  </authors>
  <commentList>
    <comment ref="B21" authorId="0">
      <text>
        <r>
          <rPr>
            <b/>
            <sz val="8"/>
            <color indexed="81"/>
            <rFont val="Tahoma"/>
            <family val="2"/>
          </rPr>
          <t>mshajie:</t>
        </r>
        <r>
          <rPr>
            <sz val="8"/>
            <color indexed="81"/>
            <rFont val="Tahoma"/>
            <family val="2"/>
          </rPr>
          <t xml:space="preserve">
checked</t>
        </r>
      </text>
    </comment>
    <comment ref="C21" authorId="0">
      <text>
        <r>
          <rPr>
            <b/>
            <sz val="8"/>
            <color indexed="81"/>
            <rFont val="Tahoma"/>
            <family val="2"/>
          </rPr>
          <t>mshajie:</t>
        </r>
        <r>
          <rPr>
            <sz val="8"/>
            <color indexed="81"/>
            <rFont val="Tahoma"/>
            <family val="2"/>
          </rPr>
          <t xml:space="preserve">
checked</t>
        </r>
      </text>
    </comment>
    <comment ref="D21" authorId="0">
      <text>
        <r>
          <rPr>
            <b/>
            <sz val="8"/>
            <color indexed="81"/>
            <rFont val="Tahoma"/>
            <family val="2"/>
          </rPr>
          <t>mshajie:</t>
        </r>
        <r>
          <rPr>
            <sz val="8"/>
            <color indexed="81"/>
            <rFont val="Tahoma"/>
            <family val="2"/>
          </rPr>
          <t xml:space="preserve">
checked</t>
        </r>
      </text>
    </comment>
    <comment ref="E21" authorId="0">
      <text>
        <r>
          <rPr>
            <b/>
            <sz val="8"/>
            <color indexed="81"/>
            <rFont val="Tahoma"/>
            <family val="2"/>
          </rPr>
          <t>mshajie:</t>
        </r>
        <r>
          <rPr>
            <sz val="8"/>
            <color indexed="81"/>
            <rFont val="Tahoma"/>
            <family val="2"/>
          </rPr>
          <t xml:space="preserve">
checked</t>
        </r>
      </text>
    </comment>
    <comment ref="F21" authorId="0">
      <text>
        <r>
          <rPr>
            <b/>
            <sz val="8"/>
            <color indexed="81"/>
            <rFont val="Tahoma"/>
            <family val="2"/>
          </rPr>
          <t>mshajie:</t>
        </r>
        <r>
          <rPr>
            <sz val="8"/>
            <color indexed="81"/>
            <rFont val="Tahoma"/>
            <family val="2"/>
          </rPr>
          <t xml:space="preserve">
checked</t>
        </r>
      </text>
    </comment>
    <comment ref="G21" authorId="0">
      <text>
        <r>
          <rPr>
            <b/>
            <sz val="8"/>
            <color indexed="81"/>
            <rFont val="Tahoma"/>
            <family val="2"/>
          </rPr>
          <t>mshajie:</t>
        </r>
        <r>
          <rPr>
            <sz val="8"/>
            <color indexed="81"/>
            <rFont val="Tahoma"/>
            <family val="2"/>
          </rPr>
          <t xml:space="preserve">
checked</t>
        </r>
      </text>
    </comment>
    <comment ref="H21" authorId="0">
      <text>
        <r>
          <rPr>
            <b/>
            <sz val="8"/>
            <color indexed="81"/>
            <rFont val="Tahoma"/>
            <family val="2"/>
          </rPr>
          <t>mshajie:</t>
        </r>
        <r>
          <rPr>
            <sz val="8"/>
            <color indexed="81"/>
            <rFont val="Tahoma"/>
            <family val="2"/>
          </rPr>
          <t xml:space="preserve">
checked</t>
        </r>
      </text>
    </comment>
    <comment ref="I21" authorId="0">
      <text>
        <r>
          <rPr>
            <b/>
            <sz val="8"/>
            <color indexed="81"/>
            <rFont val="Tahoma"/>
            <family val="2"/>
          </rPr>
          <t>mshajie:</t>
        </r>
        <r>
          <rPr>
            <sz val="8"/>
            <color indexed="81"/>
            <rFont val="Tahoma"/>
            <family val="2"/>
          </rPr>
          <t xml:space="preserve">
checked</t>
        </r>
      </text>
    </comment>
    <comment ref="J21" authorId="0">
      <text>
        <r>
          <rPr>
            <b/>
            <sz val="8"/>
            <color indexed="81"/>
            <rFont val="Tahoma"/>
            <family val="2"/>
          </rPr>
          <t>mshajie:</t>
        </r>
        <r>
          <rPr>
            <sz val="8"/>
            <color indexed="81"/>
            <rFont val="Tahoma"/>
            <family val="2"/>
          </rPr>
          <t xml:space="preserve">
checked</t>
        </r>
      </text>
    </comment>
    <comment ref="K21" authorId="0">
      <text>
        <r>
          <rPr>
            <b/>
            <sz val="8"/>
            <color indexed="81"/>
            <rFont val="Tahoma"/>
            <family val="2"/>
          </rPr>
          <t>mshajie:</t>
        </r>
        <r>
          <rPr>
            <sz val="8"/>
            <color indexed="81"/>
            <rFont val="Tahoma"/>
            <family val="2"/>
          </rPr>
          <t xml:space="preserve">
checked</t>
        </r>
      </text>
    </comment>
  </commentList>
</comments>
</file>

<file path=xl/comments5.xml><?xml version="1.0" encoding="utf-8"?>
<comments xmlns="http://schemas.openxmlformats.org/spreadsheetml/2006/main">
  <authors>
    <author>bsatish</author>
  </authors>
  <commentList>
    <comment ref="E62" authorId="0">
      <text>
        <r>
          <rPr>
            <b/>
            <sz val="8"/>
            <color indexed="81"/>
            <rFont val="Tahoma"/>
            <family val="2"/>
          </rPr>
          <t>bsatish:</t>
        </r>
        <r>
          <rPr>
            <sz val="8"/>
            <color indexed="81"/>
            <rFont val="Tahoma"/>
            <family val="2"/>
          </rPr>
          <t xml:space="preserve">
Analyst judgment</t>
        </r>
      </text>
    </comment>
    <comment ref="E64" authorId="0">
      <text>
        <r>
          <rPr>
            <b/>
            <sz val="8"/>
            <color indexed="81"/>
            <rFont val="Tahoma"/>
            <family val="2"/>
          </rPr>
          <t>bsatish:</t>
        </r>
        <r>
          <rPr>
            <sz val="8"/>
            <color indexed="81"/>
            <rFont val="Tahoma"/>
            <family val="2"/>
          </rPr>
          <t xml:space="preserve">
Analyst judgment</t>
        </r>
      </text>
    </comment>
    <comment ref="E66" authorId="0">
      <text>
        <r>
          <rPr>
            <b/>
            <sz val="8"/>
            <color indexed="81"/>
            <rFont val="Tahoma"/>
            <family val="2"/>
          </rPr>
          <t>bsatish:</t>
        </r>
        <r>
          <rPr>
            <sz val="8"/>
            <color indexed="81"/>
            <rFont val="Tahoma"/>
            <family val="2"/>
          </rPr>
          <t xml:space="preserve">
Analyst judgment</t>
        </r>
      </text>
    </comment>
    <comment ref="E68" authorId="0">
      <text>
        <r>
          <rPr>
            <b/>
            <sz val="8"/>
            <color indexed="81"/>
            <rFont val="Tahoma"/>
            <family val="2"/>
          </rPr>
          <t>bsatish:</t>
        </r>
        <r>
          <rPr>
            <sz val="8"/>
            <color indexed="81"/>
            <rFont val="Tahoma"/>
            <family val="2"/>
          </rPr>
          <t xml:space="preserve">
Analyst judgment</t>
        </r>
      </text>
    </comment>
  </commentList>
</comments>
</file>

<file path=xl/comments6.xml><?xml version="1.0" encoding="utf-8"?>
<comments xmlns="http://schemas.openxmlformats.org/spreadsheetml/2006/main">
  <authors>
    <author>bsatish</author>
  </authors>
  <commentList>
    <comment ref="C2" authorId="0">
      <text>
        <r>
          <rPr>
            <b/>
            <sz val="8"/>
            <color indexed="81"/>
            <rFont val="Tahoma"/>
            <family val="2"/>
          </rPr>
          <t>bsatish:</t>
        </r>
        <r>
          <rPr>
            <sz val="8"/>
            <color indexed="81"/>
            <rFont val="Tahoma"/>
            <family val="2"/>
          </rPr>
          <t xml:space="preserve">
Tweaked bit. According Euromonitor report:
In 2010, the car rental category showed unexpectedly strong growth rates, with sales of car rental operators growing by 8%. This high growth can be explained by the increase in domestic travel. The Swedish economy showed exceptionally strong growth rates in 2010 and this stimulated both domestic leisure and business travel.
http://www.euromonitor.com/car-rental-in-sweden/report</t>
        </r>
      </text>
    </comment>
  </commentList>
</comments>
</file>

<file path=xl/comments7.xml><?xml version="1.0" encoding="utf-8"?>
<comments xmlns="http://schemas.openxmlformats.org/spreadsheetml/2006/main">
  <authors>
    <author>dnijhawan</author>
  </authors>
  <commentList>
    <comment ref="E26" authorId="0">
      <text>
        <r>
          <rPr>
            <sz val="8"/>
            <color indexed="81"/>
            <rFont val="Tahoma"/>
            <family val="2"/>
          </rPr>
          <t xml:space="preserve">
Does this "other travel" includes car rental or not?
</t>
        </r>
      </text>
    </comment>
  </commentList>
</comments>
</file>

<file path=xl/comments8.xml><?xml version="1.0" encoding="utf-8"?>
<comments xmlns="http://schemas.openxmlformats.org/spreadsheetml/2006/main">
  <authors>
    <author>aghosh</author>
  </authors>
  <commentList>
    <comment ref="H27" authorId="0">
      <text>
        <r>
          <rPr>
            <b/>
            <sz val="8"/>
            <color indexed="81"/>
            <rFont val="Tahoma"/>
            <family val="2"/>
          </rPr>
          <t xml:space="preserve">Norway domestic expenditure </t>
        </r>
        <r>
          <rPr>
            <sz val="8"/>
            <color indexed="81"/>
            <rFont val="Tahoma"/>
            <family val="2"/>
          </rPr>
          <t xml:space="preserve">
</t>
        </r>
      </text>
    </comment>
    <comment ref="I27" authorId="0">
      <text>
        <r>
          <rPr>
            <b/>
            <sz val="8"/>
            <color indexed="81"/>
            <rFont val="Tahoma"/>
            <family val="2"/>
          </rPr>
          <t xml:space="preserve">Norway domestic expenditure </t>
        </r>
        <r>
          <rPr>
            <sz val="8"/>
            <color indexed="81"/>
            <rFont val="Tahoma"/>
            <family val="2"/>
          </rPr>
          <t xml:space="preserve">
</t>
        </r>
      </text>
    </comment>
    <comment ref="J27" authorId="0">
      <text>
        <r>
          <rPr>
            <b/>
            <sz val="8"/>
            <color indexed="81"/>
            <rFont val="Tahoma"/>
            <family val="2"/>
          </rPr>
          <t xml:space="preserve">Norway domestic expenditure </t>
        </r>
        <r>
          <rPr>
            <sz val="8"/>
            <color indexed="81"/>
            <rFont val="Tahoma"/>
            <family val="2"/>
          </rPr>
          <t xml:space="preserve">
</t>
        </r>
      </text>
    </comment>
    <comment ref="K27" authorId="0">
      <text>
        <r>
          <rPr>
            <b/>
            <sz val="8"/>
            <color indexed="81"/>
            <rFont val="Tahoma"/>
            <family val="2"/>
          </rPr>
          <t xml:space="preserve">Norway domestic expenditure </t>
        </r>
        <r>
          <rPr>
            <sz val="8"/>
            <color indexed="81"/>
            <rFont val="Tahoma"/>
            <family val="2"/>
          </rPr>
          <t xml:space="preserve">
</t>
        </r>
      </text>
    </comment>
    <comment ref="L27" authorId="0">
      <text>
        <r>
          <rPr>
            <b/>
            <sz val="8"/>
            <color indexed="81"/>
            <rFont val="Tahoma"/>
            <family val="2"/>
          </rPr>
          <t xml:space="preserve">Norway domestic expenditure </t>
        </r>
        <r>
          <rPr>
            <sz val="8"/>
            <color indexed="81"/>
            <rFont val="Tahoma"/>
            <family val="2"/>
          </rPr>
          <t xml:space="preserve">
</t>
        </r>
      </text>
    </comment>
    <comment ref="M27" authorId="0">
      <text>
        <r>
          <rPr>
            <b/>
            <sz val="8"/>
            <color indexed="81"/>
            <rFont val="Tahoma"/>
            <family val="2"/>
          </rPr>
          <t xml:space="preserve">Norway domestic expenditure </t>
        </r>
        <r>
          <rPr>
            <sz val="8"/>
            <color indexed="81"/>
            <rFont val="Tahoma"/>
            <family val="2"/>
          </rPr>
          <t xml:space="preserve">
</t>
        </r>
      </text>
    </comment>
    <comment ref="H29" authorId="0">
      <text>
        <r>
          <rPr>
            <b/>
            <sz val="8"/>
            <color indexed="81"/>
            <rFont val="Tahoma"/>
            <family val="2"/>
          </rPr>
          <t xml:space="preserve">Norway domestic expenditure </t>
        </r>
        <r>
          <rPr>
            <sz val="8"/>
            <color indexed="81"/>
            <rFont val="Tahoma"/>
            <family val="2"/>
          </rPr>
          <t xml:space="preserve">
</t>
        </r>
      </text>
    </comment>
    <comment ref="I29" authorId="0">
      <text>
        <r>
          <rPr>
            <b/>
            <sz val="8"/>
            <color indexed="81"/>
            <rFont val="Tahoma"/>
            <family val="2"/>
          </rPr>
          <t xml:space="preserve">Norway domestic expenditure </t>
        </r>
        <r>
          <rPr>
            <sz val="8"/>
            <color indexed="81"/>
            <rFont val="Tahoma"/>
            <family val="2"/>
          </rPr>
          <t xml:space="preserve">
</t>
        </r>
      </text>
    </comment>
    <comment ref="J29" authorId="0">
      <text>
        <r>
          <rPr>
            <b/>
            <sz val="8"/>
            <color indexed="81"/>
            <rFont val="Tahoma"/>
            <family val="2"/>
          </rPr>
          <t xml:space="preserve">Norway domestic expenditure </t>
        </r>
        <r>
          <rPr>
            <sz val="8"/>
            <color indexed="81"/>
            <rFont val="Tahoma"/>
            <family val="2"/>
          </rPr>
          <t xml:space="preserve">
</t>
        </r>
      </text>
    </comment>
    <comment ref="K29" authorId="0">
      <text>
        <r>
          <rPr>
            <b/>
            <sz val="8"/>
            <color indexed="81"/>
            <rFont val="Tahoma"/>
            <family val="2"/>
          </rPr>
          <t xml:space="preserve">Norway domestic expenditure </t>
        </r>
        <r>
          <rPr>
            <sz val="8"/>
            <color indexed="81"/>
            <rFont val="Tahoma"/>
            <family val="2"/>
          </rPr>
          <t xml:space="preserve">
</t>
        </r>
      </text>
    </comment>
    <comment ref="L29" authorId="0">
      <text>
        <r>
          <rPr>
            <b/>
            <sz val="8"/>
            <color indexed="81"/>
            <rFont val="Tahoma"/>
            <family val="2"/>
          </rPr>
          <t xml:space="preserve">Norway domestic expenditure </t>
        </r>
        <r>
          <rPr>
            <sz val="8"/>
            <color indexed="81"/>
            <rFont val="Tahoma"/>
            <family val="2"/>
          </rPr>
          <t xml:space="preserve">
</t>
        </r>
      </text>
    </comment>
    <comment ref="M29" authorId="0">
      <text>
        <r>
          <rPr>
            <b/>
            <sz val="8"/>
            <color indexed="81"/>
            <rFont val="Tahoma"/>
            <family val="2"/>
          </rPr>
          <t xml:space="preserve">Norway domestic expenditure </t>
        </r>
        <r>
          <rPr>
            <sz val="8"/>
            <color indexed="81"/>
            <rFont val="Tahoma"/>
            <family val="2"/>
          </rPr>
          <t xml:space="preserve">
</t>
        </r>
      </text>
    </comment>
    <comment ref="H31" authorId="0">
      <text>
        <r>
          <rPr>
            <b/>
            <sz val="8"/>
            <color indexed="81"/>
            <rFont val="Tahoma"/>
            <family val="2"/>
          </rPr>
          <t xml:space="preserve">Norway domestic expenditure </t>
        </r>
        <r>
          <rPr>
            <sz val="8"/>
            <color indexed="81"/>
            <rFont val="Tahoma"/>
            <family val="2"/>
          </rPr>
          <t xml:space="preserve">
</t>
        </r>
      </text>
    </comment>
    <comment ref="I31" authorId="0">
      <text>
        <r>
          <rPr>
            <b/>
            <sz val="8"/>
            <color indexed="81"/>
            <rFont val="Tahoma"/>
            <family val="2"/>
          </rPr>
          <t xml:space="preserve">Norway domestic expenditure </t>
        </r>
        <r>
          <rPr>
            <sz val="8"/>
            <color indexed="81"/>
            <rFont val="Tahoma"/>
            <family val="2"/>
          </rPr>
          <t xml:space="preserve">
</t>
        </r>
      </text>
    </comment>
    <comment ref="J31" authorId="0">
      <text>
        <r>
          <rPr>
            <b/>
            <sz val="8"/>
            <color indexed="81"/>
            <rFont val="Tahoma"/>
            <family val="2"/>
          </rPr>
          <t xml:space="preserve">Norway domestic expenditure </t>
        </r>
        <r>
          <rPr>
            <sz val="8"/>
            <color indexed="81"/>
            <rFont val="Tahoma"/>
            <family val="2"/>
          </rPr>
          <t xml:space="preserve">
</t>
        </r>
      </text>
    </comment>
    <comment ref="K31" authorId="0">
      <text>
        <r>
          <rPr>
            <b/>
            <sz val="8"/>
            <color indexed="81"/>
            <rFont val="Tahoma"/>
            <family val="2"/>
          </rPr>
          <t xml:space="preserve">Norway domestic expenditure </t>
        </r>
        <r>
          <rPr>
            <sz val="8"/>
            <color indexed="81"/>
            <rFont val="Tahoma"/>
            <family val="2"/>
          </rPr>
          <t xml:space="preserve">
</t>
        </r>
      </text>
    </comment>
    <comment ref="L31" authorId="0">
      <text>
        <r>
          <rPr>
            <b/>
            <sz val="8"/>
            <color indexed="81"/>
            <rFont val="Tahoma"/>
            <family val="2"/>
          </rPr>
          <t xml:space="preserve">Norway domestic expenditure </t>
        </r>
        <r>
          <rPr>
            <sz val="8"/>
            <color indexed="81"/>
            <rFont val="Tahoma"/>
            <family val="2"/>
          </rPr>
          <t xml:space="preserve">
</t>
        </r>
      </text>
    </comment>
    <comment ref="M31" authorId="0">
      <text>
        <r>
          <rPr>
            <b/>
            <sz val="8"/>
            <color indexed="81"/>
            <rFont val="Tahoma"/>
            <family val="2"/>
          </rPr>
          <t xml:space="preserve">Norway domestic expenditure </t>
        </r>
        <r>
          <rPr>
            <sz val="8"/>
            <color indexed="81"/>
            <rFont val="Tahoma"/>
            <family val="2"/>
          </rPr>
          <t xml:space="preserve">
</t>
        </r>
      </text>
    </comment>
    <comment ref="H33" authorId="0">
      <text>
        <r>
          <rPr>
            <b/>
            <sz val="8"/>
            <color indexed="81"/>
            <rFont val="Tahoma"/>
            <family val="2"/>
          </rPr>
          <t xml:space="preserve">Norway domestic expenditure </t>
        </r>
        <r>
          <rPr>
            <sz val="8"/>
            <color indexed="81"/>
            <rFont val="Tahoma"/>
            <family val="2"/>
          </rPr>
          <t xml:space="preserve">
</t>
        </r>
      </text>
    </comment>
    <comment ref="I33" authorId="0">
      <text>
        <r>
          <rPr>
            <b/>
            <sz val="8"/>
            <color indexed="81"/>
            <rFont val="Tahoma"/>
            <family val="2"/>
          </rPr>
          <t xml:space="preserve">Norway domestic expenditure </t>
        </r>
        <r>
          <rPr>
            <sz val="8"/>
            <color indexed="81"/>
            <rFont val="Tahoma"/>
            <family val="2"/>
          </rPr>
          <t xml:space="preserve">
</t>
        </r>
      </text>
    </comment>
    <comment ref="J33" authorId="0">
      <text>
        <r>
          <rPr>
            <b/>
            <sz val="8"/>
            <color indexed="81"/>
            <rFont val="Tahoma"/>
            <family val="2"/>
          </rPr>
          <t xml:space="preserve">Norway domestic expenditure </t>
        </r>
        <r>
          <rPr>
            <sz val="8"/>
            <color indexed="81"/>
            <rFont val="Tahoma"/>
            <family val="2"/>
          </rPr>
          <t xml:space="preserve">
</t>
        </r>
      </text>
    </comment>
    <comment ref="K33" authorId="0">
      <text>
        <r>
          <rPr>
            <b/>
            <sz val="8"/>
            <color indexed="81"/>
            <rFont val="Tahoma"/>
            <family val="2"/>
          </rPr>
          <t xml:space="preserve">Norway domestic expenditure </t>
        </r>
        <r>
          <rPr>
            <sz val="8"/>
            <color indexed="81"/>
            <rFont val="Tahoma"/>
            <family val="2"/>
          </rPr>
          <t xml:space="preserve">
</t>
        </r>
      </text>
    </comment>
    <comment ref="L33" authorId="0">
      <text>
        <r>
          <rPr>
            <b/>
            <sz val="8"/>
            <color indexed="81"/>
            <rFont val="Tahoma"/>
            <family val="2"/>
          </rPr>
          <t xml:space="preserve">Norway domestic expenditure </t>
        </r>
        <r>
          <rPr>
            <sz val="8"/>
            <color indexed="81"/>
            <rFont val="Tahoma"/>
            <family val="2"/>
          </rPr>
          <t xml:space="preserve">
</t>
        </r>
      </text>
    </comment>
    <comment ref="M33" authorId="0">
      <text>
        <r>
          <rPr>
            <b/>
            <sz val="8"/>
            <color indexed="81"/>
            <rFont val="Tahoma"/>
            <family val="2"/>
          </rPr>
          <t xml:space="preserve">Norway domestic expenditure </t>
        </r>
        <r>
          <rPr>
            <sz val="8"/>
            <color indexed="81"/>
            <rFont val="Tahoma"/>
            <family val="2"/>
          </rPr>
          <t xml:space="preserve">
</t>
        </r>
      </text>
    </comment>
    <comment ref="H35" authorId="0">
      <text>
        <r>
          <rPr>
            <b/>
            <sz val="8"/>
            <color indexed="81"/>
            <rFont val="Tahoma"/>
            <family val="2"/>
          </rPr>
          <t xml:space="preserve">Norway domestic expenditure </t>
        </r>
        <r>
          <rPr>
            <sz val="8"/>
            <color indexed="81"/>
            <rFont val="Tahoma"/>
            <family val="2"/>
          </rPr>
          <t xml:space="preserve">
</t>
        </r>
      </text>
    </comment>
    <comment ref="I35" authorId="0">
      <text>
        <r>
          <rPr>
            <b/>
            <sz val="8"/>
            <color indexed="81"/>
            <rFont val="Tahoma"/>
            <family val="2"/>
          </rPr>
          <t xml:space="preserve">Norway domestic expenditure </t>
        </r>
        <r>
          <rPr>
            <sz val="8"/>
            <color indexed="81"/>
            <rFont val="Tahoma"/>
            <family val="2"/>
          </rPr>
          <t xml:space="preserve">
</t>
        </r>
      </text>
    </comment>
    <comment ref="J35" authorId="0">
      <text>
        <r>
          <rPr>
            <b/>
            <sz val="8"/>
            <color indexed="81"/>
            <rFont val="Tahoma"/>
            <family val="2"/>
          </rPr>
          <t xml:space="preserve">Norway domestic expenditure </t>
        </r>
        <r>
          <rPr>
            <sz val="8"/>
            <color indexed="81"/>
            <rFont val="Tahoma"/>
            <family val="2"/>
          </rPr>
          <t xml:space="preserve">
</t>
        </r>
      </text>
    </comment>
    <comment ref="K35" authorId="0">
      <text>
        <r>
          <rPr>
            <b/>
            <sz val="8"/>
            <color indexed="81"/>
            <rFont val="Tahoma"/>
            <family val="2"/>
          </rPr>
          <t xml:space="preserve">Norway domestic expenditure </t>
        </r>
        <r>
          <rPr>
            <sz val="8"/>
            <color indexed="81"/>
            <rFont val="Tahoma"/>
            <family val="2"/>
          </rPr>
          <t xml:space="preserve">
</t>
        </r>
      </text>
    </comment>
    <comment ref="L35" authorId="0">
      <text>
        <r>
          <rPr>
            <b/>
            <sz val="8"/>
            <color indexed="81"/>
            <rFont val="Tahoma"/>
            <family val="2"/>
          </rPr>
          <t xml:space="preserve">Norway domestic expenditure </t>
        </r>
        <r>
          <rPr>
            <sz val="8"/>
            <color indexed="81"/>
            <rFont val="Tahoma"/>
            <family val="2"/>
          </rPr>
          <t xml:space="preserve">
</t>
        </r>
      </text>
    </comment>
    <comment ref="M35" authorId="0">
      <text>
        <r>
          <rPr>
            <b/>
            <sz val="8"/>
            <color indexed="81"/>
            <rFont val="Tahoma"/>
            <family val="2"/>
          </rPr>
          <t xml:space="preserve">Norway domestic expenditure </t>
        </r>
        <r>
          <rPr>
            <sz val="8"/>
            <color indexed="81"/>
            <rFont val="Tahoma"/>
            <family val="2"/>
          </rPr>
          <t xml:space="preserve">
</t>
        </r>
      </text>
    </comment>
    <comment ref="H37" authorId="0">
      <text>
        <r>
          <rPr>
            <b/>
            <sz val="8"/>
            <color indexed="81"/>
            <rFont val="Tahoma"/>
            <family val="2"/>
          </rPr>
          <t xml:space="preserve">Norway domestic expenditure </t>
        </r>
        <r>
          <rPr>
            <sz val="8"/>
            <color indexed="81"/>
            <rFont val="Tahoma"/>
            <family val="2"/>
          </rPr>
          <t xml:space="preserve">
</t>
        </r>
      </text>
    </comment>
    <comment ref="I37" authorId="0">
      <text>
        <r>
          <rPr>
            <b/>
            <sz val="8"/>
            <color indexed="81"/>
            <rFont val="Tahoma"/>
            <family val="2"/>
          </rPr>
          <t xml:space="preserve">Norway domestic expenditure </t>
        </r>
        <r>
          <rPr>
            <sz val="8"/>
            <color indexed="81"/>
            <rFont val="Tahoma"/>
            <family val="2"/>
          </rPr>
          <t xml:space="preserve">
</t>
        </r>
      </text>
    </comment>
    <comment ref="J37" authorId="0">
      <text>
        <r>
          <rPr>
            <b/>
            <sz val="8"/>
            <color indexed="81"/>
            <rFont val="Tahoma"/>
            <family val="2"/>
          </rPr>
          <t xml:space="preserve">Norway domestic expenditure </t>
        </r>
        <r>
          <rPr>
            <sz val="8"/>
            <color indexed="81"/>
            <rFont val="Tahoma"/>
            <family val="2"/>
          </rPr>
          <t xml:space="preserve">
</t>
        </r>
      </text>
    </comment>
    <comment ref="K37" authorId="0">
      <text>
        <r>
          <rPr>
            <b/>
            <sz val="8"/>
            <color indexed="81"/>
            <rFont val="Tahoma"/>
            <family val="2"/>
          </rPr>
          <t xml:space="preserve">Norway domestic expenditure </t>
        </r>
        <r>
          <rPr>
            <sz val="8"/>
            <color indexed="81"/>
            <rFont val="Tahoma"/>
            <family val="2"/>
          </rPr>
          <t xml:space="preserve">
</t>
        </r>
      </text>
    </comment>
    <comment ref="L37" authorId="0">
      <text>
        <r>
          <rPr>
            <b/>
            <sz val="8"/>
            <color indexed="81"/>
            <rFont val="Tahoma"/>
            <family val="2"/>
          </rPr>
          <t xml:space="preserve">Norway domestic expenditure </t>
        </r>
        <r>
          <rPr>
            <sz val="8"/>
            <color indexed="81"/>
            <rFont val="Tahoma"/>
            <family val="2"/>
          </rPr>
          <t xml:space="preserve">
</t>
        </r>
      </text>
    </comment>
    <comment ref="M37" authorId="0">
      <text>
        <r>
          <rPr>
            <b/>
            <sz val="8"/>
            <color indexed="81"/>
            <rFont val="Tahoma"/>
            <family val="2"/>
          </rPr>
          <t xml:space="preserve">Norway domestic expenditure </t>
        </r>
        <r>
          <rPr>
            <sz val="8"/>
            <color indexed="81"/>
            <rFont val="Tahoma"/>
            <family val="2"/>
          </rPr>
          <t xml:space="preserve">
</t>
        </r>
      </text>
    </comment>
    <comment ref="H39" authorId="0">
      <text>
        <r>
          <rPr>
            <b/>
            <sz val="8"/>
            <color indexed="81"/>
            <rFont val="Tahoma"/>
            <family val="2"/>
          </rPr>
          <t xml:space="preserve">Norway domestic expenditure </t>
        </r>
        <r>
          <rPr>
            <sz val="8"/>
            <color indexed="81"/>
            <rFont val="Tahoma"/>
            <family val="2"/>
          </rPr>
          <t xml:space="preserve">
</t>
        </r>
      </text>
    </comment>
    <comment ref="I39" authorId="0">
      <text>
        <r>
          <rPr>
            <b/>
            <sz val="8"/>
            <color indexed="81"/>
            <rFont val="Tahoma"/>
            <family val="2"/>
          </rPr>
          <t xml:space="preserve">Norway domestic expenditure </t>
        </r>
        <r>
          <rPr>
            <sz val="8"/>
            <color indexed="81"/>
            <rFont val="Tahoma"/>
            <family val="2"/>
          </rPr>
          <t xml:space="preserve">
</t>
        </r>
      </text>
    </comment>
    <comment ref="J39" authorId="0">
      <text>
        <r>
          <rPr>
            <b/>
            <sz val="8"/>
            <color indexed="81"/>
            <rFont val="Tahoma"/>
            <family val="2"/>
          </rPr>
          <t xml:space="preserve">Norway domestic expenditure </t>
        </r>
        <r>
          <rPr>
            <sz val="8"/>
            <color indexed="81"/>
            <rFont val="Tahoma"/>
            <family val="2"/>
          </rPr>
          <t xml:space="preserve">
</t>
        </r>
      </text>
    </comment>
    <comment ref="K39" authorId="0">
      <text>
        <r>
          <rPr>
            <b/>
            <sz val="8"/>
            <color indexed="81"/>
            <rFont val="Tahoma"/>
            <family val="2"/>
          </rPr>
          <t xml:space="preserve">Norway domestic expenditure </t>
        </r>
        <r>
          <rPr>
            <sz val="8"/>
            <color indexed="81"/>
            <rFont val="Tahoma"/>
            <family val="2"/>
          </rPr>
          <t xml:space="preserve">
</t>
        </r>
      </text>
    </comment>
    <comment ref="L39" authorId="0">
      <text>
        <r>
          <rPr>
            <b/>
            <sz val="8"/>
            <color indexed="81"/>
            <rFont val="Tahoma"/>
            <family val="2"/>
          </rPr>
          <t xml:space="preserve">Norway domestic expenditure </t>
        </r>
        <r>
          <rPr>
            <sz val="8"/>
            <color indexed="81"/>
            <rFont val="Tahoma"/>
            <family val="2"/>
          </rPr>
          <t xml:space="preserve">
</t>
        </r>
      </text>
    </comment>
    <comment ref="M39" authorId="0">
      <text>
        <r>
          <rPr>
            <b/>
            <sz val="8"/>
            <color indexed="81"/>
            <rFont val="Tahoma"/>
            <family val="2"/>
          </rPr>
          <t xml:space="preserve">Norway domestic expenditure </t>
        </r>
        <r>
          <rPr>
            <sz val="8"/>
            <color indexed="81"/>
            <rFont val="Tahoma"/>
            <family val="2"/>
          </rPr>
          <t xml:space="preserve">
</t>
        </r>
      </text>
    </comment>
    <comment ref="H44" authorId="0">
      <text>
        <r>
          <rPr>
            <b/>
            <sz val="8"/>
            <color indexed="81"/>
            <rFont val="Tahoma"/>
            <family val="2"/>
          </rPr>
          <t xml:space="preserve">Norway Inbound expenditure </t>
        </r>
        <r>
          <rPr>
            <sz val="8"/>
            <color indexed="81"/>
            <rFont val="Tahoma"/>
            <family val="2"/>
          </rPr>
          <t xml:space="preserve">
</t>
        </r>
      </text>
    </comment>
    <comment ref="I44" authorId="0">
      <text>
        <r>
          <rPr>
            <b/>
            <sz val="8"/>
            <color indexed="81"/>
            <rFont val="Tahoma"/>
            <family val="2"/>
          </rPr>
          <t xml:space="preserve">Norway Inbound expenditure </t>
        </r>
        <r>
          <rPr>
            <sz val="8"/>
            <color indexed="81"/>
            <rFont val="Tahoma"/>
            <family val="2"/>
          </rPr>
          <t xml:space="preserve">
</t>
        </r>
      </text>
    </comment>
    <comment ref="J44" authorId="0">
      <text>
        <r>
          <rPr>
            <b/>
            <sz val="8"/>
            <color indexed="81"/>
            <rFont val="Tahoma"/>
            <family val="2"/>
          </rPr>
          <t xml:space="preserve">Norway Inbound expenditure </t>
        </r>
        <r>
          <rPr>
            <sz val="8"/>
            <color indexed="81"/>
            <rFont val="Tahoma"/>
            <family val="2"/>
          </rPr>
          <t xml:space="preserve">
</t>
        </r>
      </text>
    </comment>
    <comment ref="K44" authorId="0">
      <text>
        <r>
          <rPr>
            <b/>
            <sz val="8"/>
            <color indexed="81"/>
            <rFont val="Tahoma"/>
            <family val="2"/>
          </rPr>
          <t xml:space="preserve">Norway Inbound expenditure </t>
        </r>
        <r>
          <rPr>
            <sz val="8"/>
            <color indexed="81"/>
            <rFont val="Tahoma"/>
            <family val="2"/>
          </rPr>
          <t xml:space="preserve">
</t>
        </r>
      </text>
    </comment>
    <comment ref="L44" authorId="0">
      <text>
        <r>
          <rPr>
            <b/>
            <sz val="8"/>
            <color indexed="81"/>
            <rFont val="Tahoma"/>
            <family val="2"/>
          </rPr>
          <t xml:space="preserve">Norway Inbound expenditure </t>
        </r>
        <r>
          <rPr>
            <sz val="8"/>
            <color indexed="81"/>
            <rFont val="Tahoma"/>
            <family val="2"/>
          </rPr>
          <t xml:space="preserve">
</t>
        </r>
      </text>
    </comment>
    <comment ref="M44" authorId="0">
      <text>
        <r>
          <rPr>
            <b/>
            <sz val="8"/>
            <color indexed="81"/>
            <rFont val="Tahoma"/>
            <family val="2"/>
          </rPr>
          <t xml:space="preserve">Norway Inbound expenditure </t>
        </r>
        <r>
          <rPr>
            <sz val="8"/>
            <color indexed="81"/>
            <rFont val="Tahoma"/>
            <family val="2"/>
          </rPr>
          <t xml:space="preserve">
</t>
        </r>
      </text>
    </comment>
    <comment ref="H46" authorId="0">
      <text>
        <r>
          <rPr>
            <b/>
            <sz val="8"/>
            <color indexed="81"/>
            <rFont val="Tahoma"/>
            <family val="2"/>
          </rPr>
          <t xml:space="preserve">Norway Inbound expenditure </t>
        </r>
        <r>
          <rPr>
            <sz val="8"/>
            <color indexed="81"/>
            <rFont val="Tahoma"/>
            <family val="2"/>
          </rPr>
          <t xml:space="preserve">
</t>
        </r>
      </text>
    </comment>
    <comment ref="I46" authorId="0">
      <text>
        <r>
          <rPr>
            <b/>
            <sz val="8"/>
            <color indexed="81"/>
            <rFont val="Tahoma"/>
            <family val="2"/>
          </rPr>
          <t xml:space="preserve">Norway Inbound expenditure </t>
        </r>
        <r>
          <rPr>
            <sz val="8"/>
            <color indexed="81"/>
            <rFont val="Tahoma"/>
            <family val="2"/>
          </rPr>
          <t xml:space="preserve">
</t>
        </r>
      </text>
    </comment>
    <comment ref="J46" authorId="0">
      <text>
        <r>
          <rPr>
            <b/>
            <sz val="8"/>
            <color indexed="81"/>
            <rFont val="Tahoma"/>
            <family val="2"/>
          </rPr>
          <t xml:space="preserve">Norway Inbound expenditure </t>
        </r>
        <r>
          <rPr>
            <sz val="8"/>
            <color indexed="81"/>
            <rFont val="Tahoma"/>
            <family val="2"/>
          </rPr>
          <t xml:space="preserve">
</t>
        </r>
      </text>
    </comment>
    <comment ref="K46" authorId="0">
      <text>
        <r>
          <rPr>
            <b/>
            <sz val="8"/>
            <color indexed="81"/>
            <rFont val="Tahoma"/>
            <family val="2"/>
          </rPr>
          <t xml:space="preserve">Norway Inbound expenditure </t>
        </r>
        <r>
          <rPr>
            <sz val="8"/>
            <color indexed="81"/>
            <rFont val="Tahoma"/>
            <family val="2"/>
          </rPr>
          <t xml:space="preserve">
</t>
        </r>
      </text>
    </comment>
    <comment ref="L46" authorId="0">
      <text>
        <r>
          <rPr>
            <b/>
            <sz val="8"/>
            <color indexed="81"/>
            <rFont val="Tahoma"/>
            <family val="2"/>
          </rPr>
          <t xml:space="preserve">Norway Inbound expenditure </t>
        </r>
        <r>
          <rPr>
            <sz val="8"/>
            <color indexed="81"/>
            <rFont val="Tahoma"/>
            <family val="2"/>
          </rPr>
          <t xml:space="preserve">
</t>
        </r>
      </text>
    </comment>
    <comment ref="M46" authorId="0">
      <text>
        <r>
          <rPr>
            <b/>
            <sz val="8"/>
            <color indexed="81"/>
            <rFont val="Tahoma"/>
            <family val="2"/>
          </rPr>
          <t xml:space="preserve">Norway Inbound expenditure </t>
        </r>
        <r>
          <rPr>
            <sz val="8"/>
            <color indexed="81"/>
            <rFont val="Tahoma"/>
            <family val="2"/>
          </rPr>
          <t xml:space="preserve">
</t>
        </r>
      </text>
    </comment>
    <comment ref="H48" authorId="0">
      <text>
        <r>
          <rPr>
            <b/>
            <sz val="8"/>
            <color indexed="81"/>
            <rFont val="Tahoma"/>
            <family val="2"/>
          </rPr>
          <t xml:space="preserve">Norway Inbound expenditure </t>
        </r>
        <r>
          <rPr>
            <sz val="8"/>
            <color indexed="81"/>
            <rFont val="Tahoma"/>
            <family val="2"/>
          </rPr>
          <t xml:space="preserve">
</t>
        </r>
      </text>
    </comment>
    <comment ref="I48" authorId="0">
      <text>
        <r>
          <rPr>
            <b/>
            <sz val="8"/>
            <color indexed="81"/>
            <rFont val="Tahoma"/>
            <family val="2"/>
          </rPr>
          <t xml:space="preserve">Norway Inbound expenditure </t>
        </r>
        <r>
          <rPr>
            <sz val="8"/>
            <color indexed="81"/>
            <rFont val="Tahoma"/>
            <family val="2"/>
          </rPr>
          <t xml:space="preserve">
</t>
        </r>
      </text>
    </comment>
    <comment ref="J48" authorId="0">
      <text>
        <r>
          <rPr>
            <b/>
            <sz val="8"/>
            <color indexed="81"/>
            <rFont val="Tahoma"/>
            <family val="2"/>
          </rPr>
          <t xml:space="preserve">Norway Inbound expenditure </t>
        </r>
        <r>
          <rPr>
            <sz val="8"/>
            <color indexed="81"/>
            <rFont val="Tahoma"/>
            <family val="2"/>
          </rPr>
          <t xml:space="preserve">
</t>
        </r>
      </text>
    </comment>
    <comment ref="K48" authorId="0">
      <text>
        <r>
          <rPr>
            <b/>
            <sz val="8"/>
            <color indexed="81"/>
            <rFont val="Tahoma"/>
            <family val="2"/>
          </rPr>
          <t xml:space="preserve">Norway Inbound expenditure </t>
        </r>
        <r>
          <rPr>
            <sz val="8"/>
            <color indexed="81"/>
            <rFont val="Tahoma"/>
            <family val="2"/>
          </rPr>
          <t xml:space="preserve">
</t>
        </r>
      </text>
    </comment>
    <comment ref="L48" authorId="0">
      <text>
        <r>
          <rPr>
            <b/>
            <sz val="8"/>
            <color indexed="81"/>
            <rFont val="Tahoma"/>
            <family val="2"/>
          </rPr>
          <t xml:space="preserve">Norway Inbound expenditure </t>
        </r>
        <r>
          <rPr>
            <sz val="8"/>
            <color indexed="81"/>
            <rFont val="Tahoma"/>
            <family val="2"/>
          </rPr>
          <t xml:space="preserve">
</t>
        </r>
      </text>
    </comment>
    <comment ref="M48" authorId="0">
      <text>
        <r>
          <rPr>
            <b/>
            <sz val="8"/>
            <color indexed="81"/>
            <rFont val="Tahoma"/>
            <family val="2"/>
          </rPr>
          <t xml:space="preserve">Norway Inbound expenditure </t>
        </r>
        <r>
          <rPr>
            <sz val="8"/>
            <color indexed="81"/>
            <rFont val="Tahoma"/>
            <family val="2"/>
          </rPr>
          <t xml:space="preserve">
</t>
        </r>
      </text>
    </comment>
    <comment ref="H50" authorId="0">
      <text>
        <r>
          <rPr>
            <b/>
            <sz val="8"/>
            <color indexed="81"/>
            <rFont val="Tahoma"/>
            <family val="2"/>
          </rPr>
          <t xml:space="preserve">Norway Inbound expenditure </t>
        </r>
        <r>
          <rPr>
            <sz val="8"/>
            <color indexed="81"/>
            <rFont val="Tahoma"/>
            <family val="2"/>
          </rPr>
          <t xml:space="preserve">
</t>
        </r>
      </text>
    </comment>
    <comment ref="I50" authorId="0">
      <text>
        <r>
          <rPr>
            <b/>
            <sz val="8"/>
            <color indexed="81"/>
            <rFont val="Tahoma"/>
            <family val="2"/>
          </rPr>
          <t xml:space="preserve">Norway Inbound expenditure </t>
        </r>
        <r>
          <rPr>
            <sz val="8"/>
            <color indexed="81"/>
            <rFont val="Tahoma"/>
            <family val="2"/>
          </rPr>
          <t xml:space="preserve">
</t>
        </r>
      </text>
    </comment>
    <comment ref="J50" authorId="0">
      <text>
        <r>
          <rPr>
            <b/>
            <sz val="8"/>
            <color indexed="81"/>
            <rFont val="Tahoma"/>
            <family val="2"/>
          </rPr>
          <t xml:space="preserve">Norway Inbound expenditure </t>
        </r>
        <r>
          <rPr>
            <sz val="8"/>
            <color indexed="81"/>
            <rFont val="Tahoma"/>
            <family val="2"/>
          </rPr>
          <t xml:space="preserve">
</t>
        </r>
      </text>
    </comment>
    <comment ref="K50" authorId="0">
      <text>
        <r>
          <rPr>
            <b/>
            <sz val="8"/>
            <color indexed="81"/>
            <rFont val="Tahoma"/>
            <family val="2"/>
          </rPr>
          <t xml:space="preserve">Norway Inbound expenditure </t>
        </r>
        <r>
          <rPr>
            <sz val="8"/>
            <color indexed="81"/>
            <rFont val="Tahoma"/>
            <family val="2"/>
          </rPr>
          <t xml:space="preserve">
</t>
        </r>
      </text>
    </comment>
    <comment ref="L50" authorId="0">
      <text>
        <r>
          <rPr>
            <b/>
            <sz val="8"/>
            <color indexed="81"/>
            <rFont val="Tahoma"/>
            <family val="2"/>
          </rPr>
          <t xml:space="preserve">Norway Inbound expenditure </t>
        </r>
        <r>
          <rPr>
            <sz val="8"/>
            <color indexed="81"/>
            <rFont val="Tahoma"/>
            <family val="2"/>
          </rPr>
          <t xml:space="preserve">
</t>
        </r>
      </text>
    </comment>
    <comment ref="M50" authorId="0">
      <text>
        <r>
          <rPr>
            <b/>
            <sz val="8"/>
            <color indexed="81"/>
            <rFont val="Tahoma"/>
            <family val="2"/>
          </rPr>
          <t xml:space="preserve">Norway Inbound expenditure </t>
        </r>
        <r>
          <rPr>
            <sz val="8"/>
            <color indexed="81"/>
            <rFont val="Tahoma"/>
            <family val="2"/>
          </rPr>
          <t xml:space="preserve">
</t>
        </r>
      </text>
    </comment>
    <comment ref="H52" authorId="0">
      <text>
        <r>
          <rPr>
            <b/>
            <sz val="8"/>
            <color indexed="81"/>
            <rFont val="Tahoma"/>
            <family val="2"/>
          </rPr>
          <t xml:space="preserve">Norway Inbound expenditure </t>
        </r>
        <r>
          <rPr>
            <sz val="8"/>
            <color indexed="81"/>
            <rFont val="Tahoma"/>
            <family val="2"/>
          </rPr>
          <t xml:space="preserve">
</t>
        </r>
      </text>
    </comment>
    <comment ref="I52" authorId="0">
      <text>
        <r>
          <rPr>
            <b/>
            <sz val="8"/>
            <color indexed="81"/>
            <rFont val="Tahoma"/>
            <family val="2"/>
          </rPr>
          <t xml:space="preserve">Norway Inbound expenditure </t>
        </r>
        <r>
          <rPr>
            <sz val="8"/>
            <color indexed="81"/>
            <rFont val="Tahoma"/>
            <family val="2"/>
          </rPr>
          <t xml:space="preserve">
</t>
        </r>
      </text>
    </comment>
    <comment ref="J52" authorId="0">
      <text>
        <r>
          <rPr>
            <b/>
            <sz val="8"/>
            <color indexed="81"/>
            <rFont val="Tahoma"/>
            <family val="2"/>
          </rPr>
          <t xml:space="preserve">Norway Inbound expenditure </t>
        </r>
        <r>
          <rPr>
            <sz val="8"/>
            <color indexed="81"/>
            <rFont val="Tahoma"/>
            <family val="2"/>
          </rPr>
          <t xml:space="preserve">
</t>
        </r>
      </text>
    </comment>
    <comment ref="K52" authorId="0">
      <text>
        <r>
          <rPr>
            <b/>
            <sz val="8"/>
            <color indexed="81"/>
            <rFont val="Tahoma"/>
            <family val="2"/>
          </rPr>
          <t xml:space="preserve">Norway Inbound expenditure </t>
        </r>
        <r>
          <rPr>
            <sz val="8"/>
            <color indexed="81"/>
            <rFont val="Tahoma"/>
            <family val="2"/>
          </rPr>
          <t xml:space="preserve">
</t>
        </r>
      </text>
    </comment>
    <comment ref="L52" authorId="0">
      <text>
        <r>
          <rPr>
            <b/>
            <sz val="8"/>
            <color indexed="81"/>
            <rFont val="Tahoma"/>
            <family val="2"/>
          </rPr>
          <t xml:space="preserve">Norway Inbound expenditure </t>
        </r>
        <r>
          <rPr>
            <sz val="8"/>
            <color indexed="81"/>
            <rFont val="Tahoma"/>
            <family val="2"/>
          </rPr>
          <t xml:space="preserve">
</t>
        </r>
      </text>
    </comment>
    <comment ref="M52" authorId="0">
      <text>
        <r>
          <rPr>
            <b/>
            <sz val="8"/>
            <color indexed="81"/>
            <rFont val="Tahoma"/>
            <family val="2"/>
          </rPr>
          <t xml:space="preserve">Norway Inbound expenditure </t>
        </r>
        <r>
          <rPr>
            <sz val="8"/>
            <color indexed="81"/>
            <rFont val="Tahoma"/>
            <family val="2"/>
          </rPr>
          <t xml:space="preserve">
</t>
        </r>
      </text>
    </comment>
    <comment ref="H54" authorId="0">
      <text>
        <r>
          <rPr>
            <b/>
            <sz val="8"/>
            <color indexed="81"/>
            <rFont val="Tahoma"/>
            <family val="2"/>
          </rPr>
          <t xml:space="preserve">Norway Inbound expenditure </t>
        </r>
        <r>
          <rPr>
            <sz val="8"/>
            <color indexed="81"/>
            <rFont val="Tahoma"/>
            <family val="2"/>
          </rPr>
          <t xml:space="preserve">
</t>
        </r>
      </text>
    </comment>
    <comment ref="I54" authorId="0">
      <text>
        <r>
          <rPr>
            <b/>
            <sz val="8"/>
            <color indexed="81"/>
            <rFont val="Tahoma"/>
            <family val="2"/>
          </rPr>
          <t xml:space="preserve">Norway Inbound expenditure </t>
        </r>
        <r>
          <rPr>
            <sz val="8"/>
            <color indexed="81"/>
            <rFont val="Tahoma"/>
            <family val="2"/>
          </rPr>
          <t xml:space="preserve">
</t>
        </r>
      </text>
    </comment>
    <comment ref="J54" authorId="0">
      <text>
        <r>
          <rPr>
            <b/>
            <sz val="8"/>
            <color indexed="81"/>
            <rFont val="Tahoma"/>
            <family val="2"/>
          </rPr>
          <t xml:space="preserve">Norway Inbound expenditure </t>
        </r>
        <r>
          <rPr>
            <sz val="8"/>
            <color indexed="81"/>
            <rFont val="Tahoma"/>
            <family val="2"/>
          </rPr>
          <t xml:space="preserve">
</t>
        </r>
      </text>
    </comment>
    <comment ref="K54" authorId="0">
      <text>
        <r>
          <rPr>
            <b/>
            <sz val="8"/>
            <color indexed="81"/>
            <rFont val="Tahoma"/>
            <family val="2"/>
          </rPr>
          <t xml:space="preserve">Norway Inbound expenditure </t>
        </r>
        <r>
          <rPr>
            <sz val="8"/>
            <color indexed="81"/>
            <rFont val="Tahoma"/>
            <family val="2"/>
          </rPr>
          <t xml:space="preserve">
</t>
        </r>
      </text>
    </comment>
    <comment ref="L54" authorId="0">
      <text>
        <r>
          <rPr>
            <b/>
            <sz val="8"/>
            <color indexed="81"/>
            <rFont val="Tahoma"/>
            <family val="2"/>
          </rPr>
          <t xml:space="preserve">Norway Inbound expenditure </t>
        </r>
        <r>
          <rPr>
            <sz val="8"/>
            <color indexed="81"/>
            <rFont val="Tahoma"/>
            <family val="2"/>
          </rPr>
          <t xml:space="preserve">
</t>
        </r>
      </text>
    </comment>
    <comment ref="M54" authorId="0">
      <text>
        <r>
          <rPr>
            <b/>
            <sz val="8"/>
            <color indexed="81"/>
            <rFont val="Tahoma"/>
            <family val="2"/>
          </rPr>
          <t xml:space="preserve">Norway Inbound expenditure </t>
        </r>
        <r>
          <rPr>
            <sz val="8"/>
            <color indexed="81"/>
            <rFont val="Tahoma"/>
            <family val="2"/>
          </rPr>
          <t xml:space="preserve">
</t>
        </r>
      </text>
    </comment>
    <comment ref="H56" authorId="0">
      <text>
        <r>
          <rPr>
            <b/>
            <sz val="8"/>
            <color indexed="81"/>
            <rFont val="Tahoma"/>
            <family val="2"/>
          </rPr>
          <t xml:space="preserve">Norway Inbound expenditure </t>
        </r>
        <r>
          <rPr>
            <sz val="8"/>
            <color indexed="81"/>
            <rFont val="Tahoma"/>
            <family val="2"/>
          </rPr>
          <t xml:space="preserve">
</t>
        </r>
      </text>
    </comment>
    <comment ref="I56" authorId="0">
      <text>
        <r>
          <rPr>
            <b/>
            <sz val="8"/>
            <color indexed="81"/>
            <rFont val="Tahoma"/>
            <family val="2"/>
          </rPr>
          <t xml:space="preserve">Norway Inbound expenditure </t>
        </r>
        <r>
          <rPr>
            <sz val="8"/>
            <color indexed="81"/>
            <rFont val="Tahoma"/>
            <family val="2"/>
          </rPr>
          <t xml:space="preserve">
</t>
        </r>
      </text>
    </comment>
    <comment ref="J56" authorId="0">
      <text>
        <r>
          <rPr>
            <b/>
            <sz val="8"/>
            <color indexed="81"/>
            <rFont val="Tahoma"/>
            <family val="2"/>
          </rPr>
          <t xml:space="preserve">Norway Inbound expenditure </t>
        </r>
        <r>
          <rPr>
            <sz val="8"/>
            <color indexed="81"/>
            <rFont val="Tahoma"/>
            <family val="2"/>
          </rPr>
          <t xml:space="preserve">
</t>
        </r>
      </text>
    </comment>
    <comment ref="K56" authorId="0">
      <text>
        <r>
          <rPr>
            <b/>
            <sz val="8"/>
            <color indexed="81"/>
            <rFont val="Tahoma"/>
            <family val="2"/>
          </rPr>
          <t xml:space="preserve">Norway Inbound expenditure </t>
        </r>
        <r>
          <rPr>
            <sz val="8"/>
            <color indexed="81"/>
            <rFont val="Tahoma"/>
            <family val="2"/>
          </rPr>
          <t xml:space="preserve">
</t>
        </r>
      </text>
    </comment>
    <comment ref="L56" authorId="0">
      <text>
        <r>
          <rPr>
            <b/>
            <sz val="8"/>
            <color indexed="81"/>
            <rFont val="Tahoma"/>
            <family val="2"/>
          </rPr>
          <t xml:space="preserve">Norway Inbound expenditure </t>
        </r>
        <r>
          <rPr>
            <sz val="8"/>
            <color indexed="81"/>
            <rFont val="Tahoma"/>
            <family val="2"/>
          </rPr>
          <t xml:space="preserve">
</t>
        </r>
      </text>
    </comment>
    <comment ref="M56" authorId="0">
      <text>
        <r>
          <rPr>
            <b/>
            <sz val="8"/>
            <color indexed="81"/>
            <rFont val="Tahoma"/>
            <family val="2"/>
          </rPr>
          <t xml:space="preserve">Norway Inbound expenditure </t>
        </r>
        <r>
          <rPr>
            <sz val="8"/>
            <color indexed="81"/>
            <rFont val="Tahoma"/>
            <family val="2"/>
          </rPr>
          <t xml:space="preserve">
</t>
        </r>
      </text>
    </comment>
    <comment ref="H61" authorId="0">
      <text>
        <r>
          <rPr>
            <b/>
            <sz val="8"/>
            <color indexed="81"/>
            <rFont val="Tahoma"/>
            <family val="2"/>
          </rPr>
          <t xml:space="preserve">Norway DP </t>
        </r>
        <r>
          <rPr>
            <sz val="8"/>
            <color indexed="81"/>
            <rFont val="Tahoma"/>
            <family val="2"/>
          </rPr>
          <t xml:space="preserve">
</t>
        </r>
      </text>
    </comment>
    <comment ref="I61" authorId="0">
      <text>
        <r>
          <rPr>
            <b/>
            <sz val="8"/>
            <color indexed="81"/>
            <rFont val="Tahoma"/>
            <family val="2"/>
          </rPr>
          <t xml:space="preserve">Norway DP </t>
        </r>
        <r>
          <rPr>
            <sz val="8"/>
            <color indexed="81"/>
            <rFont val="Tahoma"/>
            <family val="2"/>
          </rPr>
          <t xml:space="preserve">
</t>
        </r>
      </text>
    </comment>
    <comment ref="J61" authorId="0">
      <text>
        <r>
          <rPr>
            <b/>
            <sz val="8"/>
            <color indexed="81"/>
            <rFont val="Tahoma"/>
            <family val="2"/>
          </rPr>
          <t xml:space="preserve">Norway DP </t>
        </r>
        <r>
          <rPr>
            <sz val="8"/>
            <color indexed="81"/>
            <rFont val="Tahoma"/>
            <family val="2"/>
          </rPr>
          <t xml:space="preserve">
</t>
        </r>
      </text>
    </comment>
    <comment ref="K61" authorId="0">
      <text>
        <r>
          <rPr>
            <b/>
            <sz val="8"/>
            <color indexed="81"/>
            <rFont val="Tahoma"/>
            <family val="2"/>
          </rPr>
          <t xml:space="preserve">Norway DP </t>
        </r>
        <r>
          <rPr>
            <sz val="8"/>
            <color indexed="81"/>
            <rFont val="Tahoma"/>
            <family val="2"/>
          </rPr>
          <t xml:space="preserve">
</t>
        </r>
      </text>
    </comment>
    <comment ref="L61" authorId="0">
      <text>
        <r>
          <rPr>
            <b/>
            <sz val="8"/>
            <color indexed="81"/>
            <rFont val="Tahoma"/>
            <family val="2"/>
          </rPr>
          <t xml:space="preserve">Norway DP </t>
        </r>
        <r>
          <rPr>
            <sz val="8"/>
            <color indexed="81"/>
            <rFont val="Tahoma"/>
            <family val="2"/>
          </rPr>
          <t xml:space="preserve">
</t>
        </r>
      </text>
    </comment>
    <comment ref="M61" authorId="0">
      <text>
        <r>
          <rPr>
            <b/>
            <sz val="8"/>
            <color indexed="81"/>
            <rFont val="Tahoma"/>
            <family val="2"/>
          </rPr>
          <t xml:space="preserve">Norway DP </t>
        </r>
        <r>
          <rPr>
            <sz val="8"/>
            <color indexed="81"/>
            <rFont val="Tahoma"/>
            <family val="2"/>
          </rPr>
          <t xml:space="preserve">
</t>
        </r>
      </text>
    </comment>
    <comment ref="H63" authorId="0">
      <text>
        <r>
          <rPr>
            <b/>
            <sz val="8"/>
            <color indexed="81"/>
            <rFont val="Tahoma"/>
            <family val="2"/>
          </rPr>
          <t xml:space="preserve">Norway DP </t>
        </r>
        <r>
          <rPr>
            <sz val="8"/>
            <color indexed="81"/>
            <rFont val="Tahoma"/>
            <family val="2"/>
          </rPr>
          <t xml:space="preserve">
</t>
        </r>
      </text>
    </comment>
    <comment ref="I63" authorId="0">
      <text>
        <r>
          <rPr>
            <b/>
            <sz val="8"/>
            <color indexed="81"/>
            <rFont val="Tahoma"/>
            <family val="2"/>
          </rPr>
          <t xml:space="preserve">Norway DP </t>
        </r>
        <r>
          <rPr>
            <sz val="8"/>
            <color indexed="81"/>
            <rFont val="Tahoma"/>
            <family val="2"/>
          </rPr>
          <t xml:space="preserve">
</t>
        </r>
      </text>
    </comment>
    <comment ref="J63" authorId="0">
      <text>
        <r>
          <rPr>
            <b/>
            <sz val="8"/>
            <color indexed="81"/>
            <rFont val="Tahoma"/>
            <family val="2"/>
          </rPr>
          <t xml:space="preserve">Norway DP </t>
        </r>
        <r>
          <rPr>
            <sz val="8"/>
            <color indexed="81"/>
            <rFont val="Tahoma"/>
            <family val="2"/>
          </rPr>
          <t xml:space="preserve">
</t>
        </r>
      </text>
    </comment>
    <comment ref="K63" authorId="0">
      <text>
        <r>
          <rPr>
            <b/>
            <sz val="8"/>
            <color indexed="81"/>
            <rFont val="Tahoma"/>
            <family val="2"/>
          </rPr>
          <t xml:space="preserve">Norway DP </t>
        </r>
        <r>
          <rPr>
            <sz val="8"/>
            <color indexed="81"/>
            <rFont val="Tahoma"/>
            <family val="2"/>
          </rPr>
          <t xml:space="preserve">
</t>
        </r>
      </text>
    </comment>
    <comment ref="L63" authorId="0">
      <text>
        <r>
          <rPr>
            <b/>
            <sz val="8"/>
            <color indexed="81"/>
            <rFont val="Tahoma"/>
            <family val="2"/>
          </rPr>
          <t xml:space="preserve">Norway DP </t>
        </r>
        <r>
          <rPr>
            <sz val="8"/>
            <color indexed="81"/>
            <rFont val="Tahoma"/>
            <family val="2"/>
          </rPr>
          <t xml:space="preserve">
</t>
        </r>
      </text>
    </comment>
    <comment ref="M63" authorId="0">
      <text>
        <r>
          <rPr>
            <b/>
            <sz val="8"/>
            <color indexed="81"/>
            <rFont val="Tahoma"/>
            <family val="2"/>
          </rPr>
          <t xml:space="preserve">Norway DP </t>
        </r>
        <r>
          <rPr>
            <sz val="8"/>
            <color indexed="81"/>
            <rFont val="Tahoma"/>
            <family val="2"/>
          </rPr>
          <t xml:space="preserve">
</t>
        </r>
      </text>
    </comment>
    <comment ref="H65" authorId="0">
      <text>
        <r>
          <rPr>
            <b/>
            <sz val="8"/>
            <color indexed="81"/>
            <rFont val="Tahoma"/>
            <family val="2"/>
          </rPr>
          <t xml:space="preserve">Norway DP </t>
        </r>
        <r>
          <rPr>
            <sz val="8"/>
            <color indexed="81"/>
            <rFont val="Tahoma"/>
            <family val="2"/>
          </rPr>
          <t xml:space="preserve">
</t>
        </r>
      </text>
    </comment>
    <comment ref="I65" authorId="0">
      <text>
        <r>
          <rPr>
            <b/>
            <sz val="8"/>
            <color indexed="81"/>
            <rFont val="Tahoma"/>
            <family val="2"/>
          </rPr>
          <t xml:space="preserve">Norway DP </t>
        </r>
        <r>
          <rPr>
            <sz val="8"/>
            <color indexed="81"/>
            <rFont val="Tahoma"/>
            <family val="2"/>
          </rPr>
          <t xml:space="preserve">
</t>
        </r>
      </text>
    </comment>
    <comment ref="J65" authorId="0">
      <text>
        <r>
          <rPr>
            <b/>
            <sz val="8"/>
            <color indexed="81"/>
            <rFont val="Tahoma"/>
            <family val="2"/>
          </rPr>
          <t xml:space="preserve">Norway DP </t>
        </r>
        <r>
          <rPr>
            <sz val="8"/>
            <color indexed="81"/>
            <rFont val="Tahoma"/>
            <family val="2"/>
          </rPr>
          <t xml:space="preserve">
</t>
        </r>
      </text>
    </comment>
    <comment ref="K65" authorId="0">
      <text>
        <r>
          <rPr>
            <b/>
            <sz val="8"/>
            <color indexed="81"/>
            <rFont val="Tahoma"/>
            <family val="2"/>
          </rPr>
          <t xml:space="preserve">Norway DP </t>
        </r>
        <r>
          <rPr>
            <sz val="8"/>
            <color indexed="81"/>
            <rFont val="Tahoma"/>
            <family val="2"/>
          </rPr>
          <t xml:space="preserve">
</t>
        </r>
      </text>
    </comment>
    <comment ref="L65" authorId="0">
      <text>
        <r>
          <rPr>
            <b/>
            <sz val="8"/>
            <color indexed="81"/>
            <rFont val="Tahoma"/>
            <family val="2"/>
          </rPr>
          <t xml:space="preserve">Norway DP </t>
        </r>
        <r>
          <rPr>
            <sz val="8"/>
            <color indexed="81"/>
            <rFont val="Tahoma"/>
            <family val="2"/>
          </rPr>
          <t xml:space="preserve">
</t>
        </r>
      </text>
    </comment>
    <comment ref="M65" authorId="0">
      <text>
        <r>
          <rPr>
            <b/>
            <sz val="8"/>
            <color indexed="81"/>
            <rFont val="Tahoma"/>
            <family val="2"/>
          </rPr>
          <t xml:space="preserve">Norway DP </t>
        </r>
        <r>
          <rPr>
            <sz val="8"/>
            <color indexed="81"/>
            <rFont val="Tahoma"/>
            <family val="2"/>
          </rPr>
          <t xml:space="preserve">
</t>
        </r>
      </text>
    </comment>
    <comment ref="H67" authorId="0">
      <text>
        <r>
          <rPr>
            <b/>
            <sz val="8"/>
            <color indexed="81"/>
            <rFont val="Tahoma"/>
            <family val="2"/>
          </rPr>
          <t xml:space="preserve">Norway DP </t>
        </r>
        <r>
          <rPr>
            <sz val="8"/>
            <color indexed="81"/>
            <rFont val="Tahoma"/>
            <family val="2"/>
          </rPr>
          <t xml:space="preserve">
</t>
        </r>
      </text>
    </comment>
    <comment ref="I67" authorId="0">
      <text>
        <r>
          <rPr>
            <b/>
            <sz val="8"/>
            <color indexed="81"/>
            <rFont val="Tahoma"/>
            <family val="2"/>
          </rPr>
          <t xml:space="preserve">Norway DP </t>
        </r>
        <r>
          <rPr>
            <sz val="8"/>
            <color indexed="81"/>
            <rFont val="Tahoma"/>
            <family val="2"/>
          </rPr>
          <t xml:space="preserve">
</t>
        </r>
      </text>
    </comment>
    <comment ref="J67" authorId="0">
      <text>
        <r>
          <rPr>
            <b/>
            <sz val="8"/>
            <color indexed="81"/>
            <rFont val="Tahoma"/>
            <family val="2"/>
          </rPr>
          <t xml:space="preserve">Norway DP </t>
        </r>
        <r>
          <rPr>
            <sz val="8"/>
            <color indexed="81"/>
            <rFont val="Tahoma"/>
            <family val="2"/>
          </rPr>
          <t xml:space="preserve">
</t>
        </r>
      </text>
    </comment>
    <comment ref="K67" authorId="0">
      <text>
        <r>
          <rPr>
            <b/>
            <sz val="8"/>
            <color indexed="81"/>
            <rFont val="Tahoma"/>
            <family val="2"/>
          </rPr>
          <t xml:space="preserve">Norway DP </t>
        </r>
        <r>
          <rPr>
            <sz val="8"/>
            <color indexed="81"/>
            <rFont val="Tahoma"/>
            <family val="2"/>
          </rPr>
          <t xml:space="preserve">
</t>
        </r>
      </text>
    </comment>
    <comment ref="L67" authorId="0">
      <text>
        <r>
          <rPr>
            <b/>
            <sz val="8"/>
            <color indexed="81"/>
            <rFont val="Tahoma"/>
            <family val="2"/>
          </rPr>
          <t xml:space="preserve">Norway DP </t>
        </r>
        <r>
          <rPr>
            <sz val="8"/>
            <color indexed="81"/>
            <rFont val="Tahoma"/>
            <family val="2"/>
          </rPr>
          <t xml:space="preserve">
</t>
        </r>
      </text>
    </comment>
    <comment ref="M67" authorId="0">
      <text>
        <r>
          <rPr>
            <b/>
            <sz val="8"/>
            <color indexed="81"/>
            <rFont val="Tahoma"/>
            <family val="2"/>
          </rPr>
          <t xml:space="preserve">Norway DP </t>
        </r>
        <r>
          <rPr>
            <sz val="8"/>
            <color indexed="81"/>
            <rFont val="Tahoma"/>
            <family val="2"/>
          </rPr>
          <t xml:space="preserve">
</t>
        </r>
      </text>
    </comment>
    <comment ref="H69" authorId="0">
      <text>
        <r>
          <rPr>
            <b/>
            <sz val="8"/>
            <color indexed="81"/>
            <rFont val="Tahoma"/>
            <family val="2"/>
          </rPr>
          <t xml:space="preserve">Norway DP </t>
        </r>
        <r>
          <rPr>
            <sz val="8"/>
            <color indexed="81"/>
            <rFont val="Tahoma"/>
            <family val="2"/>
          </rPr>
          <t xml:space="preserve">
</t>
        </r>
      </text>
    </comment>
    <comment ref="I69" authorId="0">
      <text>
        <r>
          <rPr>
            <b/>
            <sz val="8"/>
            <color indexed="81"/>
            <rFont val="Tahoma"/>
            <family val="2"/>
          </rPr>
          <t xml:space="preserve">Norway DP </t>
        </r>
        <r>
          <rPr>
            <sz val="8"/>
            <color indexed="81"/>
            <rFont val="Tahoma"/>
            <family val="2"/>
          </rPr>
          <t xml:space="preserve">
</t>
        </r>
      </text>
    </comment>
    <comment ref="J69" authorId="0">
      <text>
        <r>
          <rPr>
            <b/>
            <sz val="8"/>
            <color indexed="81"/>
            <rFont val="Tahoma"/>
            <family val="2"/>
          </rPr>
          <t xml:space="preserve">Norway DP </t>
        </r>
        <r>
          <rPr>
            <sz val="8"/>
            <color indexed="81"/>
            <rFont val="Tahoma"/>
            <family val="2"/>
          </rPr>
          <t xml:space="preserve">
</t>
        </r>
      </text>
    </comment>
    <comment ref="K69" authorId="0">
      <text>
        <r>
          <rPr>
            <b/>
            <sz val="8"/>
            <color indexed="81"/>
            <rFont val="Tahoma"/>
            <family val="2"/>
          </rPr>
          <t xml:space="preserve">Norway DP </t>
        </r>
        <r>
          <rPr>
            <sz val="8"/>
            <color indexed="81"/>
            <rFont val="Tahoma"/>
            <family val="2"/>
          </rPr>
          <t xml:space="preserve">
</t>
        </r>
      </text>
    </comment>
    <comment ref="L69" authorId="0">
      <text>
        <r>
          <rPr>
            <b/>
            <sz val="8"/>
            <color indexed="81"/>
            <rFont val="Tahoma"/>
            <family val="2"/>
          </rPr>
          <t xml:space="preserve">Norway DP </t>
        </r>
        <r>
          <rPr>
            <sz val="8"/>
            <color indexed="81"/>
            <rFont val="Tahoma"/>
            <family val="2"/>
          </rPr>
          <t xml:space="preserve">
</t>
        </r>
      </text>
    </comment>
    <comment ref="M69" authorId="0">
      <text>
        <r>
          <rPr>
            <b/>
            <sz val="8"/>
            <color indexed="81"/>
            <rFont val="Tahoma"/>
            <family val="2"/>
          </rPr>
          <t xml:space="preserve">Norway DP </t>
        </r>
        <r>
          <rPr>
            <sz val="8"/>
            <color indexed="81"/>
            <rFont val="Tahoma"/>
            <family val="2"/>
          </rPr>
          <t xml:space="preserve">
</t>
        </r>
      </text>
    </comment>
    <comment ref="H71" authorId="0">
      <text>
        <r>
          <rPr>
            <b/>
            <sz val="8"/>
            <color indexed="81"/>
            <rFont val="Tahoma"/>
            <family val="2"/>
          </rPr>
          <t xml:space="preserve">Norway DP </t>
        </r>
        <r>
          <rPr>
            <sz val="8"/>
            <color indexed="81"/>
            <rFont val="Tahoma"/>
            <family val="2"/>
          </rPr>
          <t xml:space="preserve">
</t>
        </r>
      </text>
    </comment>
    <comment ref="I71" authorId="0">
      <text>
        <r>
          <rPr>
            <b/>
            <sz val="8"/>
            <color indexed="81"/>
            <rFont val="Tahoma"/>
            <family val="2"/>
          </rPr>
          <t xml:space="preserve">Norway DP </t>
        </r>
        <r>
          <rPr>
            <sz val="8"/>
            <color indexed="81"/>
            <rFont val="Tahoma"/>
            <family val="2"/>
          </rPr>
          <t xml:space="preserve">
</t>
        </r>
      </text>
    </comment>
    <comment ref="J71" authorId="0">
      <text>
        <r>
          <rPr>
            <b/>
            <sz val="8"/>
            <color indexed="81"/>
            <rFont val="Tahoma"/>
            <family val="2"/>
          </rPr>
          <t xml:space="preserve">Norway DP </t>
        </r>
        <r>
          <rPr>
            <sz val="8"/>
            <color indexed="81"/>
            <rFont val="Tahoma"/>
            <family val="2"/>
          </rPr>
          <t xml:space="preserve">
</t>
        </r>
      </text>
    </comment>
    <comment ref="K71" authorId="0">
      <text>
        <r>
          <rPr>
            <b/>
            <sz val="8"/>
            <color indexed="81"/>
            <rFont val="Tahoma"/>
            <family val="2"/>
          </rPr>
          <t xml:space="preserve">Norway DP </t>
        </r>
        <r>
          <rPr>
            <sz val="8"/>
            <color indexed="81"/>
            <rFont val="Tahoma"/>
            <family val="2"/>
          </rPr>
          <t xml:space="preserve">
</t>
        </r>
      </text>
    </comment>
    <comment ref="L71" authorId="0">
      <text>
        <r>
          <rPr>
            <b/>
            <sz val="8"/>
            <color indexed="81"/>
            <rFont val="Tahoma"/>
            <family val="2"/>
          </rPr>
          <t xml:space="preserve">Norway DP </t>
        </r>
        <r>
          <rPr>
            <sz val="8"/>
            <color indexed="81"/>
            <rFont val="Tahoma"/>
            <family val="2"/>
          </rPr>
          <t xml:space="preserve">
</t>
        </r>
      </text>
    </comment>
    <comment ref="M71" authorId="0">
      <text>
        <r>
          <rPr>
            <b/>
            <sz val="8"/>
            <color indexed="81"/>
            <rFont val="Tahoma"/>
            <family val="2"/>
          </rPr>
          <t xml:space="preserve">Norway DP </t>
        </r>
        <r>
          <rPr>
            <sz val="8"/>
            <color indexed="81"/>
            <rFont val="Tahoma"/>
            <family val="2"/>
          </rPr>
          <t xml:space="preserve">
</t>
        </r>
      </text>
    </comment>
    <comment ref="H73" authorId="0">
      <text>
        <r>
          <rPr>
            <b/>
            <sz val="8"/>
            <color indexed="81"/>
            <rFont val="Tahoma"/>
            <family val="2"/>
          </rPr>
          <t xml:space="preserve">Norway DP </t>
        </r>
        <r>
          <rPr>
            <sz val="8"/>
            <color indexed="81"/>
            <rFont val="Tahoma"/>
            <family val="2"/>
          </rPr>
          <t xml:space="preserve">
</t>
        </r>
      </text>
    </comment>
    <comment ref="I73" authorId="0">
      <text>
        <r>
          <rPr>
            <b/>
            <sz val="8"/>
            <color indexed="81"/>
            <rFont val="Tahoma"/>
            <family val="2"/>
          </rPr>
          <t xml:space="preserve">Norway DP </t>
        </r>
        <r>
          <rPr>
            <sz val="8"/>
            <color indexed="81"/>
            <rFont val="Tahoma"/>
            <family val="2"/>
          </rPr>
          <t xml:space="preserve">
</t>
        </r>
      </text>
    </comment>
    <comment ref="J73" authorId="0">
      <text>
        <r>
          <rPr>
            <b/>
            <sz val="8"/>
            <color indexed="81"/>
            <rFont val="Tahoma"/>
            <family val="2"/>
          </rPr>
          <t xml:space="preserve">Norway DP </t>
        </r>
        <r>
          <rPr>
            <sz val="8"/>
            <color indexed="81"/>
            <rFont val="Tahoma"/>
            <family val="2"/>
          </rPr>
          <t xml:space="preserve">
</t>
        </r>
      </text>
    </comment>
    <comment ref="K73" authorId="0">
      <text>
        <r>
          <rPr>
            <b/>
            <sz val="8"/>
            <color indexed="81"/>
            <rFont val="Tahoma"/>
            <family val="2"/>
          </rPr>
          <t xml:space="preserve">Norway DP </t>
        </r>
        <r>
          <rPr>
            <sz val="8"/>
            <color indexed="81"/>
            <rFont val="Tahoma"/>
            <family val="2"/>
          </rPr>
          <t xml:space="preserve">
</t>
        </r>
      </text>
    </comment>
    <comment ref="L73" authorId="0">
      <text>
        <r>
          <rPr>
            <b/>
            <sz val="8"/>
            <color indexed="81"/>
            <rFont val="Tahoma"/>
            <family val="2"/>
          </rPr>
          <t xml:space="preserve">Norway DP </t>
        </r>
        <r>
          <rPr>
            <sz val="8"/>
            <color indexed="81"/>
            <rFont val="Tahoma"/>
            <family val="2"/>
          </rPr>
          <t xml:space="preserve">
</t>
        </r>
      </text>
    </comment>
    <comment ref="M73" authorId="0">
      <text>
        <r>
          <rPr>
            <b/>
            <sz val="8"/>
            <color indexed="81"/>
            <rFont val="Tahoma"/>
            <family val="2"/>
          </rPr>
          <t xml:space="preserve">Norway DP </t>
        </r>
        <r>
          <rPr>
            <sz val="8"/>
            <color indexed="81"/>
            <rFont val="Tahoma"/>
            <family val="2"/>
          </rPr>
          <t xml:space="preserve">
</t>
        </r>
      </text>
    </comment>
    <comment ref="H78" authorId="0">
      <text>
        <r>
          <rPr>
            <b/>
            <sz val="8"/>
            <color indexed="81"/>
            <rFont val="Tahoma"/>
            <family val="2"/>
          </rPr>
          <t>Norway IP</t>
        </r>
        <r>
          <rPr>
            <sz val="8"/>
            <color indexed="81"/>
            <rFont val="Tahoma"/>
            <family val="2"/>
          </rPr>
          <t xml:space="preserve">
</t>
        </r>
      </text>
    </comment>
    <comment ref="I78" authorId="0">
      <text>
        <r>
          <rPr>
            <b/>
            <sz val="8"/>
            <color indexed="81"/>
            <rFont val="Tahoma"/>
            <family val="2"/>
          </rPr>
          <t>Norway IP</t>
        </r>
        <r>
          <rPr>
            <sz val="8"/>
            <color indexed="81"/>
            <rFont val="Tahoma"/>
            <family val="2"/>
          </rPr>
          <t xml:space="preserve">
</t>
        </r>
      </text>
    </comment>
    <comment ref="J78" authorId="0">
      <text>
        <r>
          <rPr>
            <b/>
            <sz val="8"/>
            <color indexed="81"/>
            <rFont val="Tahoma"/>
            <family val="2"/>
          </rPr>
          <t>Norway IP</t>
        </r>
        <r>
          <rPr>
            <sz val="8"/>
            <color indexed="81"/>
            <rFont val="Tahoma"/>
            <family val="2"/>
          </rPr>
          <t xml:space="preserve">
</t>
        </r>
      </text>
    </comment>
    <comment ref="K78" authorId="0">
      <text>
        <r>
          <rPr>
            <b/>
            <sz val="8"/>
            <color indexed="81"/>
            <rFont val="Tahoma"/>
            <family val="2"/>
          </rPr>
          <t>Norway IP</t>
        </r>
        <r>
          <rPr>
            <sz val="8"/>
            <color indexed="81"/>
            <rFont val="Tahoma"/>
            <family val="2"/>
          </rPr>
          <t xml:space="preserve">
</t>
        </r>
      </text>
    </comment>
    <comment ref="L78" authorId="0">
      <text>
        <r>
          <rPr>
            <b/>
            <sz val="8"/>
            <color indexed="81"/>
            <rFont val="Tahoma"/>
            <family val="2"/>
          </rPr>
          <t>Norway IP</t>
        </r>
        <r>
          <rPr>
            <sz val="8"/>
            <color indexed="81"/>
            <rFont val="Tahoma"/>
            <family val="2"/>
          </rPr>
          <t xml:space="preserve">
</t>
        </r>
      </text>
    </comment>
    <comment ref="M78" authorId="0">
      <text>
        <r>
          <rPr>
            <b/>
            <sz val="8"/>
            <color indexed="81"/>
            <rFont val="Tahoma"/>
            <family val="2"/>
          </rPr>
          <t>Norway IP</t>
        </r>
        <r>
          <rPr>
            <sz val="8"/>
            <color indexed="81"/>
            <rFont val="Tahoma"/>
            <family val="2"/>
          </rPr>
          <t xml:space="preserve">
</t>
        </r>
      </text>
    </comment>
    <comment ref="H80" authorId="0">
      <text>
        <r>
          <rPr>
            <b/>
            <sz val="8"/>
            <color indexed="81"/>
            <rFont val="Tahoma"/>
            <family val="2"/>
          </rPr>
          <t>Norway IP</t>
        </r>
        <r>
          <rPr>
            <sz val="8"/>
            <color indexed="81"/>
            <rFont val="Tahoma"/>
            <family val="2"/>
          </rPr>
          <t xml:space="preserve">
</t>
        </r>
      </text>
    </comment>
    <comment ref="I80" authorId="0">
      <text>
        <r>
          <rPr>
            <b/>
            <sz val="8"/>
            <color indexed="81"/>
            <rFont val="Tahoma"/>
            <family val="2"/>
          </rPr>
          <t>Norway IP</t>
        </r>
        <r>
          <rPr>
            <sz val="8"/>
            <color indexed="81"/>
            <rFont val="Tahoma"/>
            <family val="2"/>
          </rPr>
          <t xml:space="preserve">
</t>
        </r>
      </text>
    </comment>
    <comment ref="J80" authorId="0">
      <text>
        <r>
          <rPr>
            <b/>
            <sz val="8"/>
            <color indexed="81"/>
            <rFont val="Tahoma"/>
            <family val="2"/>
          </rPr>
          <t>Norway IP</t>
        </r>
        <r>
          <rPr>
            <sz val="8"/>
            <color indexed="81"/>
            <rFont val="Tahoma"/>
            <family val="2"/>
          </rPr>
          <t xml:space="preserve">
</t>
        </r>
      </text>
    </comment>
    <comment ref="K80" authorId="0">
      <text>
        <r>
          <rPr>
            <b/>
            <sz val="8"/>
            <color indexed="81"/>
            <rFont val="Tahoma"/>
            <family val="2"/>
          </rPr>
          <t>Norway IP</t>
        </r>
        <r>
          <rPr>
            <sz val="8"/>
            <color indexed="81"/>
            <rFont val="Tahoma"/>
            <family val="2"/>
          </rPr>
          <t xml:space="preserve">
</t>
        </r>
      </text>
    </comment>
    <comment ref="L80" authorId="0">
      <text>
        <r>
          <rPr>
            <b/>
            <sz val="8"/>
            <color indexed="81"/>
            <rFont val="Tahoma"/>
            <family val="2"/>
          </rPr>
          <t>Norway IP</t>
        </r>
        <r>
          <rPr>
            <sz val="8"/>
            <color indexed="81"/>
            <rFont val="Tahoma"/>
            <family val="2"/>
          </rPr>
          <t xml:space="preserve">
</t>
        </r>
      </text>
    </comment>
    <comment ref="M80" authorId="0">
      <text>
        <r>
          <rPr>
            <b/>
            <sz val="8"/>
            <color indexed="81"/>
            <rFont val="Tahoma"/>
            <family val="2"/>
          </rPr>
          <t>Norway IP</t>
        </r>
        <r>
          <rPr>
            <sz val="8"/>
            <color indexed="81"/>
            <rFont val="Tahoma"/>
            <family val="2"/>
          </rPr>
          <t xml:space="preserve">
</t>
        </r>
      </text>
    </comment>
    <comment ref="H82" authorId="0">
      <text>
        <r>
          <rPr>
            <b/>
            <sz val="8"/>
            <color indexed="81"/>
            <rFont val="Tahoma"/>
            <family val="2"/>
          </rPr>
          <t>Norway IP</t>
        </r>
        <r>
          <rPr>
            <sz val="8"/>
            <color indexed="81"/>
            <rFont val="Tahoma"/>
            <family val="2"/>
          </rPr>
          <t xml:space="preserve">
</t>
        </r>
      </text>
    </comment>
    <comment ref="I82" authorId="0">
      <text>
        <r>
          <rPr>
            <b/>
            <sz val="8"/>
            <color indexed="81"/>
            <rFont val="Tahoma"/>
            <family val="2"/>
          </rPr>
          <t>Norway IP</t>
        </r>
        <r>
          <rPr>
            <sz val="8"/>
            <color indexed="81"/>
            <rFont val="Tahoma"/>
            <family val="2"/>
          </rPr>
          <t xml:space="preserve">
</t>
        </r>
      </text>
    </comment>
    <comment ref="J82" authorId="0">
      <text>
        <r>
          <rPr>
            <b/>
            <sz val="8"/>
            <color indexed="81"/>
            <rFont val="Tahoma"/>
            <family val="2"/>
          </rPr>
          <t>Norway IP</t>
        </r>
        <r>
          <rPr>
            <sz val="8"/>
            <color indexed="81"/>
            <rFont val="Tahoma"/>
            <family val="2"/>
          </rPr>
          <t xml:space="preserve">
</t>
        </r>
      </text>
    </comment>
    <comment ref="K82" authorId="0">
      <text>
        <r>
          <rPr>
            <b/>
            <sz val="8"/>
            <color indexed="81"/>
            <rFont val="Tahoma"/>
            <family val="2"/>
          </rPr>
          <t>Norway IP</t>
        </r>
        <r>
          <rPr>
            <sz val="8"/>
            <color indexed="81"/>
            <rFont val="Tahoma"/>
            <family val="2"/>
          </rPr>
          <t xml:space="preserve">
</t>
        </r>
      </text>
    </comment>
    <comment ref="L82" authorId="0">
      <text>
        <r>
          <rPr>
            <b/>
            <sz val="8"/>
            <color indexed="81"/>
            <rFont val="Tahoma"/>
            <family val="2"/>
          </rPr>
          <t>Norway IP</t>
        </r>
        <r>
          <rPr>
            <sz val="8"/>
            <color indexed="81"/>
            <rFont val="Tahoma"/>
            <family val="2"/>
          </rPr>
          <t xml:space="preserve">
</t>
        </r>
      </text>
    </comment>
    <comment ref="M82" authorId="0">
      <text>
        <r>
          <rPr>
            <b/>
            <sz val="8"/>
            <color indexed="81"/>
            <rFont val="Tahoma"/>
            <family val="2"/>
          </rPr>
          <t>Norway IP</t>
        </r>
        <r>
          <rPr>
            <sz val="8"/>
            <color indexed="81"/>
            <rFont val="Tahoma"/>
            <family val="2"/>
          </rPr>
          <t xml:space="preserve">
</t>
        </r>
      </text>
    </comment>
    <comment ref="H84" authorId="0">
      <text>
        <r>
          <rPr>
            <b/>
            <sz val="8"/>
            <color indexed="81"/>
            <rFont val="Tahoma"/>
            <family val="2"/>
          </rPr>
          <t>Norway IP</t>
        </r>
        <r>
          <rPr>
            <sz val="8"/>
            <color indexed="81"/>
            <rFont val="Tahoma"/>
            <family val="2"/>
          </rPr>
          <t xml:space="preserve">
</t>
        </r>
      </text>
    </comment>
    <comment ref="I84" authorId="0">
      <text>
        <r>
          <rPr>
            <b/>
            <sz val="8"/>
            <color indexed="81"/>
            <rFont val="Tahoma"/>
            <family val="2"/>
          </rPr>
          <t>Norway IP</t>
        </r>
        <r>
          <rPr>
            <sz val="8"/>
            <color indexed="81"/>
            <rFont val="Tahoma"/>
            <family val="2"/>
          </rPr>
          <t xml:space="preserve">
</t>
        </r>
      </text>
    </comment>
    <comment ref="J84" authorId="0">
      <text>
        <r>
          <rPr>
            <b/>
            <sz val="8"/>
            <color indexed="81"/>
            <rFont val="Tahoma"/>
            <family val="2"/>
          </rPr>
          <t>Norway IP</t>
        </r>
        <r>
          <rPr>
            <sz val="8"/>
            <color indexed="81"/>
            <rFont val="Tahoma"/>
            <family val="2"/>
          </rPr>
          <t xml:space="preserve">
</t>
        </r>
      </text>
    </comment>
    <comment ref="K84" authorId="0">
      <text>
        <r>
          <rPr>
            <b/>
            <sz val="8"/>
            <color indexed="81"/>
            <rFont val="Tahoma"/>
            <family val="2"/>
          </rPr>
          <t>Norway IP</t>
        </r>
        <r>
          <rPr>
            <sz val="8"/>
            <color indexed="81"/>
            <rFont val="Tahoma"/>
            <family val="2"/>
          </rPr>
          <t xml:space="preserve">
</t>
        </r>
      </text>
    </comment>
    <comment ref="L84" authorId="0">
      <text>
        <r>
          <rPr>
            <b/>
            <sz val="8"/>
            <color indexed="81"/>
            <rFont val="Tahoma"/>
            <family val="2"/>
          </rPr>
          <t>Norway IP</t>
        </r>
        <r>
          <rPr>
            <sz val="8"/>
            <color indexed="81"/>
            <rFont val="Tahoma"/>
            <family val="2"/>
          </rPr>
          <t xml:space="preserve">
</t>
        </r>
      </text>
    </comment>
    <comment ref="M84" authorId="0">
      <text>
        <r>
          <rPr>
            <b/>
            <sz val="8"/>
            <color indexed="81"/>
            <rFont val="Tahoma"/>
            <family val="2"/>
          </rPr>
          <t>Norway IP</t>
        </r>
        <r>
          <rPr>
            <sz val="8"/>
            <color indexed="81"/>
            <rFont val="Tahoma"/>
            <family val="2"/>
          </rPr>
          <t xml:space="preserve">
</t>
        </r>
      </text>
    </comment>
    <comment ref="H86" authorId="0">
      <text>
        <r>
          <rPr>
            <b/>
            <sz val="8"/>
            <color indexed="81"/>
            <rFont val="Tahoma"/>
            <family val="2"/>
          </rPr>
          <t>Norway IP</t>
        </r>
        <r>
          <rPr>
            <sz val="8"/>
            <color indexed="81"/>
            <rFont val="Tahoma"/>
            <family val="2"/>
          </rPr>
          <t xml:space="preserve">
</t>
        </r>
      </text>
    </comment>
    <comment ref="I86" authorId="0">
      <text>
        <r>
          <rPr>
            <b/>
            <sz val="8"/>
            <color indexed="81"/>
            <rFont val="Tahoma"/>
            <family val="2"/>
          </rPr>
          <t>Norway IP</t>
        </r>
        <r>
          <rPr>
            <sz val="8"/>
            <color indexed="81"/>
            <rFont val="Tahoma"/>
            <family val="2"/>
          </rPr>
          <t xml:space="preserve">
</t>
        </r>
      </text>
    </comment>
    <comment ref="J86" authorId="0">
      <text>
        <r>
          <rPr>
            <b/>
            <sz val="8"/>
            <color indexed="81"/>
            <rFont val="Tahoma"/>
            <family val="2"/>
          </rPr>
          <t>Norway IP</t>
        </r>
        <r>
          <rPr>
            <sz val="8"/>
            <color indexed="81"/>
            <rFont val="Tahoma"/>
            <family val="2"/>
          </rPr>
          <t xml:space="preserve">
</t>
        </r>
      </text>
    </comment>
    <comment ref="K86" authorId="0">
      <text>
        <r>
          <rPr>
            <b/>
            <sz val="8"/>
            <color indexed="81"/>
            <rFont val="Tahoma"/>
            <family val="2"/>
          </rPr>
          <t>Norway IP</t>
        </r>
        <r>
          <rPr>
            <sz val="8"/>
            <color indexed="81"/>
            <rFont val="Tahoma"/>
            <family val="2"/>
          </rPr>
          <t xml:space="preserve">
</t>
        </r>
      </text>
    </comment>
    <comment ref="L86" authorId="0">
      <text>
        <r>
          <rPr>
            <b/>
            <sz val="8"/>
            <color indexed="81"/>
            <rFont val="Tahoma"/>
            <family val="2"/>
          </rPr>
          <t>Norway IP</t>
        </r>
        <r>
          <rPr>
            <sz val="8"/>
            <color indexed="81"/>
            <rFont val="Tahoma"/>
            <family val="2"/>
          </rPr>
          <t xml:space="preserve">
</t>
        </r>
      </text>
    </comment>
    <comment ref="M86" authorId="0">
      <text>
        <r>
          <rPr>
            <b/>
            <sz val="8"/>
            <color indexed="81"/>
            <rFont val="Tahoma"/>
            <family val="2"/>
          </rPr>
          <t>Norway IP</t>
        </r>
        <r>
          <rPr>
            <sz val="8"/>
            <color indexed="81"/>
            <rFont val="Tahoma"/>
            <family val="2"/>
          </rPr>
          <t xml:space="preserve">
</t>
        </r>
      </text>
    </comment>
    <comment ref="H88" authorId="0">
      <text>
        <r>
          <rPr>
            <b/>
            <sz val="8"/>
            <color indexed="81"/>
            <rFont val="Tahoma"/>
            <family val="2"/>
          </rPr>
          <t>Norway IP</t>
        </r>
        <r>
          <rPr>
            <sz val="8"/>
            <color indexed="81"/>
            <rFont val="Tahoma"/>
            <family val="2"/>
          </rPr>
          <t xml:space="preserve">
</t>
        </r>
      </text>
    </comment>
    <comment ref="I88" authorId="0">
      <text>
        <r>
          <rPr>
            <b/>
            <sz val="8"/>
            <color indexed="81"/>
            <rFont val="Tahoma"/>
            <family val="2"/>
          </rPr>
          <t>Norway IP</t>
        </r>
        <r>
          <rPr>
            <sz val="8"/>
            <color indexed="81"/>
            <rFont val="Tahoma"/>
            <family val="2"/>
          </rPr>
          <t xml:space="preserve">
</t>
        </r>
      </text>
    </comment>
    <comment ref="J88" authorId="0">
      <text>
        <r>
          <rPr>
            <b/>
            <sz val="8"/>
            <color indexed="81"/>
            <rFont val="Tahoma"/>
            <family val="2"/>
          </rPr>
          <t>Norway IP</t>
        </r>
        <r>
          <rPr>
            <sz val="8"/>
            <color indexed="81"/>
            <rFont val="Tahoma"/>
            <family val="2"/>
          </rPr>
          <t xml:space="preserve">
</t>
        </r>
      </text>
    </comment>
    <comment ref="K88" authorId="0">
      <text>
        <r>
          <rPr>
            <b/>
            <sz val="8"/>
            <color indexed="81"/>
            <rFont val="Tahoma"/>
            <family val="2"/>
          </rPr>
          <t>Norway IP</t>
        </r>
        <r>
          <rPr>
            <sz val="8"/>
            <color indexed="81"/>
            <rFont val="Tahoma"/>
            <family val="2"/>
          </rPr>
          <t xml:space="preserve">
</t>
        </r>
      </text>
    </comment>
    <comment ref="L88" authorId="0">
      <text>
        <r>
          <rPr>
            <b/>
            <sz val="8"/>
            <color indexed="81"/>
            <rFont val="Tahoma"/>
            <family val="2"/>
          </rPr>
          <t>Norway IP</t>
        </r>
        <r>
          <rPr>
            <sz val="8"/>
            <color indexed="81"/>
            <rFont val="Tahoma"/>
            <family val="2"/>
          </rPr>
          <t xml:space="preserve">
</t>
        </r>
      </text>
    </comment>
    <comment ref="M88" authorId="0">
      <text>
        <r>
          <rPr>
            <b/>
            <sz val="8"/>
            <color indexed="81"/>
            <rFont val="Tahoma"/>
            <family val="2"/>
          </rPr>
          <t>Norway IP</t>
        </r>
        <r>
          <rPr>
            <sz val="8"/>
            <color indexed="81"/>
            <rFont val="Tahoma"/>
            <family val="2"/>
          </rPr>
          <t xml:space="preserve">
</t>
        </r>
      </text>
    </comment>
    <comment ref="H90" authorId="0">
      <text>
        <r>
          <rPr>
            <b/>
            <sz val="8"/>
            <color indexed="81"/>
            <rFont val="Tahoma"/>
            <family val="2"/>
          </rPr>
          <t>Norway IP</t>
        </r>
        <r>
          <rPr>
            <sz val="8"/>
            <color indexed="81"/>
            <rFont val="Tahoma"/>
            <family val="2"/>
          </rPr>
          <t xml:space="preserve">
</t>
        </r>
      </text>
    </comment>
    <comment ref="I90" authorId="0">
      <text>
        <r>
          <rPr>
            <b/>
            <sz val="8"/>
            <color indexed="81"/>
            <rFont val="Tahoma"/>
            <family val="2"/>
          </rPr>
          <t>Norway IP</t>
        </r>
        <r>
          <rPr>
            <sz val="8"/>
            <color indexed="81"/>
            <rFont val="Tahoma"/>
            <family val="2"/>
          </rPr>
          <t xml:space="preserve">
</t>
        </r>
      </text>
    </comment>
    <comment ref="J90" authorId="0">
      <text>
        <r>
          <rPr>
            <b/>
            <sz val="8"/>
            <color indexed="81"/>
            <rFont val="Tahoma"/>
            <family val="2"/>
          </rPr>
          <t>Norway IP</t>
        </r>
        <r>
          <rPr>
            <sz val="8"/>
            <color indexed="81"/>
            <rFont val="Tahoma"/>
            <family val="2"/>
          </rPr>
          <t xml:space="preserve">
</t>
        </r>
      </text>
    </comment>
    <comment ref="K90" authorId="0">
      <text>
        <r>
          <rPr>
            <b/>
            <sz val="8"/>
            <color indexed="81"/>
            <rFont val="Tahoma"/>
            <family val="2"/>
          </rPr>
          <t>Norway IP</t>
        </r>
        <r>
          <rPr>
            <sz val="8"/>
            <color indexed="81"/>
            <rFont val="Tahoma"/>
            <family val="2"/>
          </rPr>
          <t xml:space="preserve">
</t>
        </r>
      </text>
    </comment>
    <comment ref="L90" authorId="0">
      <text>
        <r>
          <rPr>
            <b/>
            <sz val="8"/>
            <color indexed="81"/>
            <rFont val="Tahoma"/>
            <family val="2"/>
          </rPr>
          <t>Norway IP</t>
        </r>
        <r>
          <rPr>
            <sz val="8"/>
            <color indexed="81"/>
            <rFont val="Tahoma"/>
            <family val="2"/>
          </rPr>
          <t xml:space="preserve">
</t>
        </r>
      </text>
    </comment>
    <comment ref="M90" authorId="0">
      <text>
        <r>
          <rPr>
            <b/>
            <sz val="8"/>
            <color indexed="81"/>
            <rFont val="Tahoma"/>
            <family val="2"/>
          </rPr>
          <t>Norway IP</t>
        </r>
        <r>
          <rPr>
            <sz val="8"/>
            <color indexed="81"/>
            <rFont val="Tahoma"/>
            <family val="2"/>
          </rPr>
          <t xml:space="preserve">
</t>
        </r>
      </text>
    </comment>
  </commentList>
</comments>
</file>

<file path=xl/comments9.xml><?xml version="1.0" encoding="utf-8"?>
<comments xmlns="http://schemas.openxmlformats.org/spreadsheetml/2006/main">
  <authors>
    <author>dnijhawan</author>
  </authors>
  <commentList>
    <comment ref="C80" authorId="0">
      <text>
        <r>
          <rPr>
            <b/>
            <sz val="8"/>
            <color indexed="81"/>
            <rFont val="Tahoma"/>
            <family val="2"/>
          </rPr>
          <t>dnijhawan:</t>
        </r>
        <r>
          <rPr>
            <sz val="8"/>
            <color indexed="81"/>
            <rFont val="Tahoma"/>
            <family val="2"/>
          </rPr>
          <t xml:space="preserve">
inbound</t>
        </r>
      </text>
    </comment>
    <comment ref="C89" authorId="0">
      <text>
        <r>
          <rPr>
            <b/>
            <sz val="8"/>
            <color indexed="81"/>
            <rFont val="Tahoma"/>
            <family val="2"/>
          </rPr>
          <t>dnijhawan:</t>
        </r>
        <r>
          <rPr>
            <sz val="8"/>
            <color indexed="81"/>
            <rFont val="Tahoma"/>
            <family val="2"/>
          </rPr>
          <t xml:space="preserve">
Inbound</t>
        </r>
      </text>
    </comment>
  </commentList>
</comments>
</file>

<file path=xl/comments10.xml><?xml version="1.0" encoding="utf-8"?>
<comments xmlns="http://schemas.openxmlformats.org/spreadsheetml/2006/main">
  <authors>
    <author>mshajie</author>
    <author>aghosh</author>
    <author>dnijhawan</author>
  </authors>
  <commentList>
    <comment ref="E472" authorId="0">
      <text>
        <r>
          <rPr>
            <b/>
            <sz val="8"/>
            <color indexed="81"/>
            <rFont val="Tahoma"/>
            <family val="2"/>
          </rPr>
          <t>mshajie:</t>
        </r>
        <r>
          <rPr>
            <sz val="8"/>
            <color indexed="81"/>
            <rFont val="Tahoma"/>
            <family val="2"/>
          </rPr>
          <t xml:space="preserve">
http://www.imf.org/external/pubs/ft/weo/2011/02/weodata/weorept.aspx?sy=2007&amp;ey=2016&amp;scsm=1&amp;ssd=1&amp;sort=country&amp;ds=.&amp;br=1&amp;c=134&amp;s=NGDPD%2CPCPIPCH%2CLUR&amp;grp=0&amp;a=&amp;pr.x=62&amp;pr.y=10</t>
        </r>
      </text>
    </comment>
    <comment ref="J474" authorId="1">
      <text>
        <r>
          <rPr>
            <b/>
            <sz val="8"/>
            <color indexed="81"/>
            <rFont val="Tahoma"/>
            <family val="2"/>
          </rPr>
          <t>http://www.bct.gov.tn/bct/siteprod/english/indicateurs/comptes.jsp</t>
        </r>
        <r>
          <rPr>
            <sz val="8"/>
            <color indexed="81"/>
            <rFont val="Tahoma"/>
            <family val="2"/>
          </rPr>
          <t xml:space="preserve">
</t>
        </r>
      </text>
    </comment>
    <comment ref="K474" authorId="1">
      <text>
        <r>
          <rPr>
            <b/>
            <sz val="8"/>
            <color indexed="81"/>
            <rFont val="Tahoma"/>
            <family val="2"/>
          </rPr>
          <t>http://www.bct.gov.tn/bct/siteprod/english/indicateurs/comptes.jsp</t>
        </r>
        <r>
          <rPr>
            <sz val="8"/>
            <color indexed="81"/>
            <rFont val="Tahoma"/>
            <family val="2"/>
          </rPr>
          <t xml:space="preserve">
</t>
        </r>
      </text>
    </comment>
    <comment ref="L474" authorId="1">
      <text>
        <r>
          <rPr>
            <b/>
            <sz val="8"/>
            <color indexed="81"/>
            <rFont val="Tahoma"/>
            <family val="2"/>
          </rPr>
          <t>http://www.bct.gov.tn/bct/siteprod/english/indicateurs/comptes.jsp</t>
        </r>
        <r>
          <rPr>
            <sz val="8"/>
            <color indexed="81"/>
            <rFont val="Tahoma"/>
            <family val="2"/>
          </rPr>
          <t xml:space="preserve">
</t>
        </r>
      </text>
    </comment>
    <comment ref="F490" authorId="2">
      <text>
        <r>
          <rPr>
            <b/>
            <sz val="8"/>
            <color indexed="81"/>
            <rFont val="Tahoma"/>
            <family val="2"/>
          </rPr>
          <t>dnijhawan:</t>
        </r>
        <r>
          <rPr>
            <sz val="8"/>
            <color indexed="81"/>
            <rFont val="Tahoma"/>
            <family val="2"/>
          </rPr>
          <t xml:space="preserve">
Divide total visitors exports taken from WTTC by total arrivals</t>
        </r>
      </text>
    </comment>
    <comment ref="E519" authorId="0">
      <text>
        <r>
          <rPr>
            <b/>
            <sz val="8"/>
            <color indexed="81"/>
            <rFont val="Tahoma"/>
            <family val="2"/>
          </rPr>
          <t>mshajie:</t>
        </r>
        <r>
          <rPr>
            <sz val="8"/>
            <color indexed="81"/>
            <rFont val="Tahoma"/>
            <family val="2"/>
          </rPr>
          <t xml:space="preserve">
http://www.imf.org/external/pubs/ft/weo/2011/02/weodata/weorept.aspx?sy=2007&amp;ey=2016&amp;scsm=1&amp;ssd=1&amp;sort=country&amp;ds=.&amp;br=1&amp;c=122%2C124%2C138%2C128%2C184%2C132%2C144%2C146%2C136%2C112&amp;s=NGDPD&amp;grp=0&amp;a=&amp;pr.x=68&amp;pr.y=10</t>
        </r>
      </text>
    </comment>
    <comment ref="E520" authorId="0">
      <text>
        <r>
          <rPr>
            <b/>
            <sz val="8"/>
            <color indexed="81"/>
            <rFont val="Tahoma"/>
            <family val="2"/>
          </rPr>
          <t>mshajie:</t>
        </r>
        <r>
          <rPr>
            <sz val="8"/>
            <color indexed="81"/>
            <rFont val="Tahoma"/>
            <family val="2"/>
          </rPr>
          <t xml:space="preserve">
http://www.imf.org/external/pubs/ft/weo/2011/02/weodata/weorept.aspx?sy=2007&amp;ey=2016&amp;scsm=1&amp;ssd=1&amp;sort=country&amp;ds=.&amp;br=1&amp;c=122%2C124%2C138%2C128%2C184%2C132%2C144%2C146%2C136%2C112&amp;s=NGDPD&amp;grp=0&amp;a=&amp;pr.x=68&amp;pr.y=10</t>
        </r>
      </text>
    </comment>
    <comment ref="E521" authorId="0">
      <text>
        <r>
          <rPr>
            <b/>
            <sz val="8"/>
            <color indexed="81"/>
            <rFont val="Tahoma"/>
            <family val="2"/>
          </rPr>
          <t>mshajie:</t>
        </r>
        <r>
          <rPr>
            <sz val="8"/>
            <color indexed="81"/>
            <rFont val="Tahoma"/>
            <family val="2"/>
          </rPr>
          <t xml:space="preserve">
http://www.imf.org/external/pubs/ft/weo/2011/02/weodata/weorept.aspx?sy=2007&amp;ey=2016&amp;scsm=1&amp;ssd=1&amp;sort=country&amp;ds=.&amp;br=1&amp;c=122%2C124%2C138%2C128%2C184%2C132%2C144%2C146%2C136%2C112&amp;s=NGDPD&amp;grp=0&amp;a=&amp;pr.x=68&amp;pr.y=10</t>
        </r>
      </text>
    </comment>
    <comment ref="E522" authorId="0">
      <text>
        <r>
          <rPr>
            <b/>
            <sz val="8"/>
            <color indexed="81"/>
            <rFont val="Tahoma"/>
            <family val="2"/>
          </rPr>
          <t>mshajie:</t>
        </r>
        <r>
          <rPr>
            <sz val="8"/>
            <color indexed="81"/>
            <rFont val="Tahoma"/>
            <family val="2"/>
          </rPr>
          <t xml:space="preserve">
http://www.imf.org/external/pubs/ft/weo/2011/02/weodata/weorept.aspx?sy=2007&amp;ey=2016&amp;scsm=1&amp;ssd=1&amp;sort=country&amp;ds=.&amp;br=1&amp;c=122%2C124%2C138%2C128%2C184%2C132%2C144%2C146%2C136%2C112&amp;s=NGDPD&amp;grp=0&amp;a=&amp;pr.x=68&amp;pr.y=10</t>
        </r>
      </text>
    </comment>
    <comment ref="E523" authorId="0">
      <text>
        <r>
          <rPr>
            <b/>
            <sz val="8"/>
            <color indexed="81"/>
            <rFont val="Tahoma"/>
            <family val="2"/>
          </rPr>
          <t>mshajie:</t>
        </r>
        <r>
          <rPr>
            <sz val="8"/>
            <color indexed="81"/>
            <rFont val="Tahoma"/>
            <family val="2"/>
          </rPr>
          <t xml:space="preserve">
http://www.imf.org/external/pubs/ft/weo/2011/02/weodata/weorept.aspx?sy=2007&amp;ey=2016&amp;scsm=1&amp;ssd=1&amp;sort=country&amp;ds=.&amp;br=1&amp;c=122%2C124%2C138%2C128%2C184%2C132%2C144%2C146%2C136%2C112&amp;s=NGDPD&amp;grp=0&amp;a=&amp;pr.x=68&amp;pr.y=10</t>
        </r>
      </text>
    </comment>
    <comment ref="E524" authorId="0">
      <text>
        <r>
          <rPr>
            <b/>
            <sz val="8"/>
            <color indexed="81"/>
            <rFont val="Tahoma"/>
            <family val="2"/>
          </rPr>
          <t>mshajie:</t>
        </r>
        <r>
          <rPr>
            <sz val="8"/>
            <color indexed="81"/>
            <rFont val="Tahoma"/>
            <family val="2"/>
          </rPr>
          <t xml:space="preserve">
http://www.imf.org/external/pubs/ft/weo/2011/02/weodata/weorept.aspx?sy=2007&amp;ey=2016&amp;scsm=1&amp;ssd=1&amp;sort=country&amp;ds=.&amp;br=1&amp;c=122%2C124%2C138%2C128%2C184%2C132%2C144%2C146%2C136%2C112&amp;s=NGDPD&amp;grp=0&amp;a=&amp;pr.x=68&amp;pr.y=10</t>
        </r>
      </text>
    </comment>
    <comment ref="E525" authorId="0">
      <text>
        <r>
          <rPr>
            <b/>
            <sz val="8"/>
            <color indexed="81"/>
            <rFont val="Tahoma"/>
            <family val="2"/>
          </rPr>
          <t>mshajie:</t>
        </r>
        <r>
          <rPr>
            <sz val="8"/>
            <color indexed="81"/>
            <rFont val="Tahoma"/>
            <family val="2"/>
          </rPr>
          <t xml:space="preserve">
http://www.imf.org/external/pubs/ft/weo/2011/02/weodata/weorept.aspx?sy=2007&amp;ey=2016&amp;scsm=1&amp;ssd=1&amp;sort=country&amp;ds=.&amp;br=1&amp;c=122%2C124%2C138%2C128%2C184%2C132%2C144%2C146%2C136%2C112&amp;s=NGDPD&amp;grp=0&amp;a=&amp;pr.x=68&amp;pr.y=10</t>
        </r>
      </text>
    </comment>
    <comment ref="E526" authorId="0">
      <text>
        <r>
          <rPr>
            <b/>
            <sz val="8"/>
            <color indexed="81"/>
            <rFont val="Tahoma"/>
            <family val="2"/>
          </rPr>
          <t>mshajie:</t>
        </r>
        <r>
          <rPr>
            <sz val="8"/>
            <color indexed="81"/>
            <rFont val="Tahoma"/>
            <family val="2"/>
          </rPr>
          <t xml:space="preserve">
http://www.imf.org/external/pubs/ft/weo/2011/02/weodata/weorept.aspx?sy=2007&amp;ey=2016&amp;scsm=1&amp;ssd=1&amp;sort=country&amp;ds=.&amp;br=1&amp;c=122%2C124%2C138%2C128%2C184%2C132%2C144%2C146%2C136%2C112&amp;s=NGDPD&amp;grp=0&amp;a=&amp;pr.x=68&amp;pr.y=10</t>
        </r>
      </text>
    </comment>
    <comment ref="E527" authorId="0">
      <text>
        <r>
          <rPr>
            <b/>
            <sz val="8"/>
            <color indexed="81"/>
            <rFont val="Tahoma"/>
            <family val="2"/>
          </rPr>
          <t>mshajie:</t>
        </r>
        <r>
          <rPr>
            <sz val="8"/>
            <color indexed="81"/>
            <rFont val="Tahoma"/>
            <family val="2"/>
          </rPr>
          <t xml:space="preserve">
http://www.imf.org/external/pubs/ft/weo/2011/02/weodata/weorept.aspx?sy=2007&amp;ey=2016&amp;scsm=1&amp;ssd=1&amp;sort=country&amp;ds=.&amp;br=1&amp;c=122%2C124%2C138%2C128%2C184%2C132%2C144%2C146%2C136%2C112&amp;s=NGDPD&amp;grp=0&amp;a=&amp;pr.x=68&amp;pr.y=10</t>
        </r>
      </text>
    </comment>
    <comment ref="E528" authorId="0">
      <text>
        <r>
          <rPr>
            <b/>
            <sz val="8"/>
            <color indexed="81"/>
            <rFont val="Tahoma"/>
            <family val="2"/>
          </rPr>
          <t>mshajie:</t>
        </r>
        <r>
          <rPr>
            <sz val="8"/>
            <color indexed="81"/>
            <rFont val="Tahoma"/>
            <family val="2"/>
          </rPr>
          <t xml:space="preserve">
http://www.imf.org/external/pubs/ft/weo/2011/02/weodata/weorept.aspx?sy=2007&amp;ey=2016&amp;scsm=1&amp;ssd=1&amp;sort=country&amp;ds=.&amp;br=1&amp;c=122%2C124%2C138%2C128%2C184%2C132%2C144%2C146%2C136%2C112&amp;s=NGDPD&amp;grp=0&amp;a=&amp;pr.x=68&amp;pr.y=10</t>
        </r>
      </text>
    </comment>
    <comment ref="E531" authorId="0">
      <text>
        <r>
          <rPr>
            <b/>
            <sz val="8"/>
            <color indexed="81"/>
            <rFont val="Tahoma"/>
            <family val="2"/>
          </rPr>
          <t>mshajie:</t>
        </r>
        <r>
          <rPr>
            <sz val="8"/>
            <color indexed="81"/>
            <rFont val="Tahoma"/>
            <family val="2"/>
          </rPr>
          <t xml:space="preserve">
http://www.euromonitor.com/united-kingdom/country-factfile</t>
        </r>
      </text>
    </comment>
    <comment ref="E532" authorId="0">
      <text>
        <r>
          <rPr>
            <b/>
            <sz val="8"/>
            <color indexed="81"/>
            <rFont val="Tahoma"/>
            <family val="2"/>
          </rPr>
          <t>mshajie:</t>
        </r>
        <r>
          <rPr>
            <sz val="8"/>
            <color indexed="81"/>
            <rFont val="Tahoma"/>
            <family val="2"/>
          </rPr>
          <t xml:space="preserve">
http://www.euromonitor.com/united-kingdom/country-factfile</t>
        </r>
      </text>
    </comment>
    <comment ref="E533" authorId="0">
      <text>
        <r>
          <rPr>
            <b/>
            <sz val="8"/>
            <color indexed="81"/>
            <rFont val="Tahoma"/>
            <family val="2"/>
          </rPr>
          <t>mshajie:</t>
        </r>
        <r>
          <rPr>
            <sz val="8"/>
            <color indexed="81"/>
            <rFont val="Tahoma"/>
            <family val="2"/>
          </rPr>
          <t xml:space="preserve">
http://www.euromonitor.com/united-kingdom/country-factfile</t>
        </r>
      </text>
    </comment>
    <comment ref="E534" authorId="0">
      <text>
        <r>
          <rPr>
            <b/>
            <sz val="8"/>
            <color indexed="81"/>
            <rFont val="Tahoma"/>
            <family val="2"/>
          </rPr>
          <t>mshajie:</t>
        </r>
        <r>
          <rPr>
            <sz val="8"/>
            <color indexed="81"/>
            <rFont val="Tahoma"/>
            <family val="2"/>
          </rPr>
          <t xml:space="preserve">
http://www.euromonitor.com/united-kingdom/country-factfile</t>
        </r>
      </text>
    </comment>
    <comment ref="E535" authorId="0">
      <text>
        <r>
          <rPr>
            <b/>
            <sz val="8"/>
            <color indexed="81"/>
            <rFont val="Tahoma"/>
            <family val="2"/>
          </rPr>
          <t>mshajie:</t>
        </r>
        <r>
          <rPr>
            <sz val="8"/>
            <color indexed="81"/>
            <rFont val="Tahoma"/>
            <family val="2"/>
          </rPr>
          <t xml:space="preserve">
http://www.euromonitor.com/united-kingdom/country-factfile</t>
        </r>
      </text>
    </comment>
    <comment ref="E536" authorId="0">
      <text>
        <r>
          <rPr>
            <b/>
            <sz val="8"/>
            <color indexed="81"/>
            <rFont val="Tahoma"/>
            <family val="2"/>
          </rPr>
          <t>mshajie:</t>
        </r>
        <r>
          <rPr>
            <sz val="8"/>
            <color indexed="81"/>
            <rFont val="Tahoma"/>
            <family val="2"/>
          </rPr>
          <t xml:space="preserve">
http://www.euromonitor.com/united-kingdom/country-factfile</t>
        </r>
      </text>
    </comment>
    <comment ref="E537" authorId="0">
      <text>
        <r>
          <rPr>
            <b/>
            <sz val="8"/>
            <color indexed="81"/>
            <rFont val="Tahoma"/>
            <family val="2"/>
          </rPr>
          <t>mshajie:</t>
        </r>
        <r>
          <rPr>
            <sz val="8"/>
            <color indexed="81"/>
            <rFont val="Tahoma"/>
            <family val="2"/>
          </rPr>
          <t xml:space="preserve">
http://www.euromonitor.com/united-kingdom/country-factfile</t>
        </r>
      </text>
    </comment>
    <comment ref="E538" authorId="0">
      <text>
        <r>
          <rPr>
            <b/>
            <sz val="8"/>
            <color indexed="81"/>
            <rFont val="Tahoma"/>
            <family val="2"/>
          </rPr>
          <t>mshajie:</t>
        </r>
        <r>
          <rPr>
            <sz val="8"/>
            <color indexed="81"/>
            <rFont val="Tahoma"/>
            <family val="2"/>
          </rPr>
          <t xml:space="preserve">
http://www.euromonitor.com/united-kingdom/country-factfile</t>
        </r>
      </text>
    </comment>
    <comment ref="E539" authorId="0">
      <text>
        <r>
          <rPr>
            <b/>
            <sz val="8"/>
            <color indexed="81"/>
            <rFont val="Tahoma"/>
            <family val="2"/>
          </rPr>
          <t>mshajie:</t>
        </r>
        <r>
          <rPr>
            <sz val="8"/>
            <color indexed="81"/>
            <rFont val="Tahoma"/>
            <family val="2"/>
          </rPr>
          <t xml:space="preserve">
http://www.euromonitor.com/united-kingdom/country-factfile</t>
        </r>
      </text>
    </comment>
    <comment ref="E540" authorId="0">
      <text>
        <r>
          <rPr>
            <b/>
            <sz val="8"/>
            <color indexed="81"/>
            <rFont val="Tahoma"/>
            <family val="2"/>
          </rPr>
          <t>mshajie:</t>
        </r>
        <r>
          <rPr>
            <sz val="8"/>
            <color indexed="81"/>
            <rFont val="Tahoma"/>
            <family val="2"/>
          </rPr>
          <t xml:space="preserve">
http://www.euromonitor.com/united-kingdom/country-factfile</t>
        </r>
      </text>
    </comment>
  </commentList>
</comments>
</file>

<file path=xl/comments11.xml><?xml version="1.0" encoding="utf-8"?>
<comments xmlns="http://schemas.openxmlformats.org/spreadsheetml/2006/main">
  <authors>
    <author>aghosh</author>
  </authors>
  <commentList>
    <comment ref="M26" authorId="0">
      <text>
        <r>
          <rPr>
            <b/>
            <sz val="8"/>
            <color indexed="81"/>
            <rFont val="Tahoma"/>
            <family val="2"/>
          </rPr>
          <t>Ratio of domestic tourism expenditure excluding domestic providers to total domestic expenditure including domestic providers</t>
        </r>
        <r>
          <rPr>
            <sz val="8"/>
            <color indexed="81"/>
            <rFont val="Tahoma"/>
            <family val="2"/>
          </rPr>
          <t xml:space="preserve">
</t>
        </r>
      </text>
    </comment>
    <comment ref="N26" authorId="0">
      <text>
        <r>
          <rPr>
            <b/>
            <sz val="8"/>
            <color indexed="81"/>
            <rFont val="Tahoma"/>
            <family val="2"/>
          </rPr>
          <t>Ratio of domestic tourism expenditure excluding domestic providers to total domestic expenditure including domestic providers</t>
        </r>
        <r>
          <rPr>
            <sz val="8"/>
            <color indexed="81"/>
            <rFont val="Tahoma"/>
            <family val="2"/>
          </rPr>
          <t xml:space="preserve">
</t>
        </r>
      </text>
    </comment>
    <comment ref="O26" authorId="0">
      <text>
        <r>
          <rPr>
            <b/>
            <sz val="8"/>
            <color indexed="81"/>
            <rFont val="Tahoma"/>
            <family val="2"/>
          </rPr>
          <t>Ratio of domestic tourism expenditure excluding domestic providers to total domestic expenditure including domestic providers</t>
        </r>
        <r>
          <rPr>
            <sz val="8"/>
            <color indexed="81"/>
            <rFont val="Tahoma"/>
            <family val="2"/>
          </rPr>
          <t xml:space="preserve">
</t>
        </r>
      </text>
    </comment>
    <comment ref="P26" authorId="0">
      <text>
        <r>
          <rPr>
            <b/>
            <sz val="8"/>
            <color indexed="81"/>
            <rFont val="Tahoma"/>
            <family val="2"/>
          </rPr>
          <t>Ratio of domestic tourism expenditure excluding domestic providers to total domestic expenditure including domestic providers</t>
        </r>
        <r>
          <rPr>
            <sz val="8"/>
            <color indexed="81"/>
            <rFont val="Tahoma"/>
            <family val="2"/>
          </rPr>
          <t xml:space="preserve">
</t>
        </r>
      </text>
    </comment>
    <comment ref="Q26" authorId="0">
      <text>
        <r>
          <rPr>
            <b/>
            <sz val="8"/>
            <color indexed="81"/>
            <rFont val="Tahoma"/>
            <family val="2"/>
          </rPr>
          <t>Ratio of domestic tourism expenditure excluding domestic providers to total domestic expenditure including domestic providers</t>
        </r>
        <r>
          <rPr>
            <sz val="8"/>
            <color indexed="81"/>
            <rFont val="Tahoma"/>
            <family val="2"/>
          </rPr>
          <t xml:space="preserve">
</t>
        </r>
      </text>
    </comment>
    <comment ref="R26" authorId="0">
      <text>
        <r>
          <rPr>
            <b/>
            <sz val="8"/>
            <color indexed="81"/>
            <rFont val="Tahoma"/>
            <family val="2"/>
          </rPr>
          <t>Ratio of domestic tourism expenditure excluding domestic providers to total domestic expenditure including domestic providers</t>
        </r>
        <r>
          <rPr>
            <sz val="8"/>
            <color indexed="81"/>
            <rFont val="Tahoma"/>
            <family val="2"/>
          </rPr>
          <t xml:space="preserve">
</t>
        </r>
      </text>
    </comment>
    <comment ref="M27" authorId="0">
      <text>
        <r>
          <rPr>
            <b/>
            <sz val="8"/>
            <color indexed="81"/>
            <rFont val="Tahoma"/>
            <family val="2"/>
          </rPr>
          <t xml:space="preserve">Ratio of accommodation to domestic tourim expenditure
</t>
        </r>
        <r>
          <rPr>
            <sz val="8"/>
            <color indexed="81"/>
            <rFont val="Tahoma"/>
            <family val="2"/>
          </rPr>
          <t xml:space="preserve">
</t>
        </r>
      </text>
    </comment>
    <comment ref="N27" authorId="0">
      <text>
        <r>
          <rPr>
            <b/>
            <sz val="8"/>
            <color indexed="81"/>
            <rFont val="Tahoma"/>
            <family val="2"/>
          </rPr>
          <t xml:space="preserve">Ratio of accommodation to domestic tourim expenditure
</t>
        </r>
        <r>
          <rPr>
            <sz val="8"/>
            <color indexed="81"/>
            <rFont val="Tahoma"/>
            <family val="2"/>
          </rPr>
          <t xml:space="preserve">
</t>
        </r>
      </text>
    </comment>
    <comment ref="O27" authorId="0">
      <text>
        <r>
          <rPr>
            <b/>
            <sz val="8"/>
            <color indexed="81"/>
            <rFont val="Tahoma"/>
            <family val="2"/>
          </rPr>
          <t xml:space="preserve">Ratio of accommodation to domestic tourim expenditure
</t>
        </r>
        <r>
          <rPr>
            <sz val="8"/>
            <color indexed="81"/>
            <rFont val="Tahoma"/>
            <family val="2"/>
          </rPr>
          <t xml:space="preserve">
</t>
        </r>
      </text>
    </comment>
    <comment ref="P27" authorId="0">
      <text>
        <r>
          <rPr>
            <b/>
            <sz val="8"/>
            <color indexed="81"/>
            <rFont val="Tahoma"/>
            <family val="2"/>
          </rPr>
          <t xml:space="preserve">Ratio of accommodation to domestic tourim expenditure
</t>
        </r>
        <r>
          <rPr>
            <sz val="8"/>
            <color indexed="81"/>
            <rFont val="Tahoma"/>
            <family val="2"/>
          </rPr>
          <t xml:space="preserve">
</t>
        </r>
      </text>
    </comment>
    <comment ref="Q27" authorId="0">
      <text>
        <r>
          <rPr>
            <b/>
            <sz val="8"/>
            <color indexed="81"/>
            <rFont val="Tahoma"/>
            <family val="2"/>
          </rPr>
          <t xml:space="preserve">Ratio of accommodation to domestic tourim expenditure
</t>
        </r>
        <r>
          <rPr>
            <sz val="8"/>
            <color indexed="81"/>
            <rFont val="Tahoma"/>
            <family val="2"/>
          </rPr>
          <t xml:space="preserve">
</t>
        </r>
      </text>
    </comment>
    <comment ref="R27" authorId="0">
      <text>
        <r>
          <rPr>
            <b/>
            <sz val="8"/>
            <color indexed="81"/>
            <rFont val="Tahoma"/>
            <family val="2"/>
          </rPr>
          <t xml:space="preserve">Ratio of accommodation to domestic tourim expenditure
</t>
        </r>
        <r>
          <rPr>
            <sz val="8"/>
            <color indexed="81"/>
            <rFont val="Tahoma"/>
            <family val="2"/>
          </rPr>
          <t xml:space="preserve">
</t>
        </r>
      </text>
    </comment>
    <comment ref="M28" authorId="0">
      <text>
        <r>
          <rPr>
            <b/>
            <sz val="8"/>
            <color indexed="81"/>
            <rFont val="Tahoma"/>
            <family val="2"/>
          </rPr>
          <t xml:space="preserve">Ratio of entertainment &amp; sightseeing to domestic tourim expenditure
</t>
        </r>
        <r>
          <rPr>
            <sz val="8"/>
            <color indexed="81"/>
            <rFont val="Tahoma"/>
            <family val="2"/>
          </rPr>
          <t xml:space="preserve">
</t>
        </r>
      </text>
    </comment>
    <comment ref="N28" authorId="0">
      <text>
        <r>
          <rPr>
            <b/>
            <sz val="8"/>
            <color indexed="81"/>
            <rFont val="Tahoma"/>
            <family val="2"/>
          </rPr>
          <t xml:space="preserve">Ratio of entertainment &amp; sightseeing to domestic tourim expenditure
</t>
        </r>
        <r>
          <rPr>
            <sz val="8"/>
            <color indexed="81"/>
            <rFont val="Tahoma"/>
            <family val="2"/>
          </rPr>
          <t xml:space="preserve">
</t>
        </r>
      </text>
    </comment>
    <comment ref="O28" authorId="0">
      <text>
        <r>
          <rPr>
            <b/>
            <sz val="8"/>
            <color indexed="81"/>
            <rFont val="Tahoma"/>
            <family val="2"/>
          </rPr>
          <t xml:space="preserve">Ratio of entertainment &amp; sightseeing to domestic tourim expenditure
</t>
        </r>
        <r>
          <rPr>
            <sz val="8"/>
            <color indexed="81"/>
            <rFont val="Tahoma"/>
            <family val="2"/>
          </rPr>
          <t xml:space="preserve">
</t>
        </r>
      </text>
    </comment>
    <comment ref="P28" authorId="0">
      <text>
        <r>
          <rPr>
            <b/>
            <sz val="8"/>
            <color indexed="81"/>
            <rFont val="Tahoma"/>
            <family val="2"/>
          </rPr>
          <t xml:space="preserve">Ratio of entertainment &amp; sightseeing to domestic tourim expenditure
</t>
        </r>
        <r>
          <rPr>
            <sz val="8"/>
            <color indexed="81"/>
            <rFont val="Tahoma"/>
            <family val="2"/>
          </rPr>
          <t xml:space="preserve">
</t>
        </r>
      </text>
    </comment>
    <comment ref="Q28" authorId="0">
      <text>
        <r>
          <rPr>
            <b/>
            <sz val="8"/>
            <color indexed="81"/>
            <rFont val="Tahoma"/>
            <family val="2"/>
          </rPr>
          <t xml:space="preserve">Ratio of entertainment &amp; sightseeing to domestic tourim expenditure
</t>
        </r>
        <r>
          <rPr>
            <sz val="8"/>
            <color indexed="81"/>
            <rFont val="Tahoma"/>
            <family val="2"/>
          </rPr>
          <t xml:space="preserve">
</t>
        </r>
      </text>
    </comment>
    <comment ref="R28" authorId="0">
      <text>
        <r>
          <rPr>
            <b/>
            <sz val="8"/>
            <color indexed="81"/>
            <rFont val="Tahoma"/>
            <family val="2"/>
          </rPr>
          <t xml:space="preserve">Ratio of entertainment &amp; sightseeing to domestic tourim expenditure
</t>
        </r>
        <r>
          <rPr>
            <sz val="8"/>
            <color indexed="81"/>
            <rFont val="Tahoma"/>
            <family val="2"/>
          </rPr>
          <t xml:space="preserve">
</t>
        </r>
      </text>
    </comment>
    <comment ref="M29" authorId="0">
      <text>
        <r>
          <rPr>
            <b/>
            <sz val="8"/>
            <color indexed="81"/>
            <rFont val="Tahoma"/>
            <family val="2"/>
          </rPr>
          <t xml:space="preserve">Ratio of foodservice to domestic tourim expenditure
</t>
        </r>
        <r>
          <rPr>
            <sz val="8"/>
            <color indexed="81"/>
            <rFont val="Tahoma"/>
            <family val="2"/>
          </rPr>
          <t xml:space="preserve">
</t>
        </r>
      </text>
    </comment>
    <comment ref="N29" authorId="0">
      <text>
        <r>
          <rPr>
            <b/>
            <sz val="8"/>
            <color indexed="81"/>
            <rFont val="Tahoma"/>
            <family val="2"/>
          </rPr>
          <t xml:space="preserve">Ratio of foodservice to domestic tourim expenditure
</t>
        </r>
        <r>
          <rPr>
            <sz val="8"/>
            <color indexed="81"/>
            <rFont val="Tahoma"/>
            <family val="2"/>
          </rPr>
          <t xml:space="preserve">
</t>
        </r>
      </text>
    </comment>
    <comment ref="O29" authorId="0">
      <text>
        <r>
          <rPr>
            <b/>
            <sz val="8"/>
            <color indexed="81"/>
            <rFont val="Tahoma"/>
            <family val="2"/>
          </rPr>
          <t xml:space="preserve">Ratio of foodservice to domestic tourim expenditure
</t>
        </r>
        <r>
          <rPr>
            <sz val="8"/>
            <color indexed="81"/>
            <rFont val="Tahoma"/>
            <family val="2"/>
          </rPr>
          <t xml:space="preserve">
</t>
        </r>
      </text>
    </comment>
    <comment ref="P29" authorId="0">
      <text>
        <r>
          <rPr>
            <b/>
            <sz val="8"/>
            <color indexed="81"/>
            <rFont val="Tahoma"/>
            <family val="2"/>
          </rPr>
          <t xml:space="preserve">Ratio of foodservice to domestic tourim expenditure
</t>
        </r>
        <r>
          <rPr>
            <sz val="8"/>
            <color indexed="81"/>
            <rFont val="Tahoma"/>
            <family val="2"/>
          </rPr>
          <t xml:space="preserve">
</t>
        </r>
      </text>
    </comment>
    <comment ref="Q29" authorId="0">
      <text>
        <r>
          <rPr>
            <b/>
            <sz val="8"/>
            <color indexed="81"/>
            <rFont val="Tahoma"/>
            <family val="2"/>
          </rPr>
          <t xml:space="preserve">Ratio of foodservice to domestic tourim expenditure
</t>
        </r>
        <r>
          <rPr>
            <sz val="8"/>
            <color indexed="81"/>
            <rFont val="Tahoma"/>
            <family val="2"/>
          </rPr>
          <t xml:space="preserve">
</t>
        </r>
      </text>
    </comment>
    <comment ref="R29" authorId="0">
      <text>
        <r>
          <rPr>
            <b/>
            <sz val="8"/>
            <color indexed="81"/>
            <rFont val="Tahoma"/>
            <family val="2"/>
          </rPr>
          <t xml:space="preserve">Ratio of foodservice to domestic tourim expenditure
</t>
        </r>
        <r>
          <rPr>
            <sz val="8"/>
            <color indexed="81"/>
            <rFont val="Tahoma"/>
            <family val="2"/>
          </rPr>
          <t xml:space="preserve">
</t>
        </r>
      </text>
    </comment>
    <comment ref="M30" authorId="0">
      <text>
        <r>
          <rPr>
            <b/>
            <sz val="8"/>
            <color indexed="81"/>
            <rFont val="Tahoma"/>
            <family val="2"/>
          </rPr>
          <t xml:space="preserve">Ratio of retail to domestic tourim expenditure
</t>
        </r>
        <r>
          <rPr>
            <sz val="8"/>
            <color indexed="81"/>
            <rFont val="Tahoma"/>
            <family val="2"/>
          </rPr>
          <t xml:space="preserve">
</t>
        </r>
      </text>
    </comment>
    <comment ref="N30" authorId="0">
      <text>
        <r>
          <rPr>
            <b/>
            <sz val="8"/>
            <color indexed="81"/>
            <rFont val="Tahoma"/>
            <family val="2"/>
          </rPr>
          <t xml:space="preserve">Ratio of retail to domestic tourim expenditure
</t>
        </r>
        <r>
          <rPr>
            <sz val="8"/>
            <color indexed="81"/>
            <rFont val="Tahoma"/>
            <family val="2"/>
          </rPr>
          <t xml:space="preserve">
</t>
        </r>
      </text>
    </comment>
    <comment ref="O30" authorId="0">
      <text>
        <r>
          <rPr>
            <b/>
            <sz val="8"/>
            <color indexed="81"/>
            <rFont val="Tahoma"/>
            <family val="2"/>
          </rPr>
          <t xml:space="preserve">Ratio of retail to domestic tourim expenditure
</t>
        </r>
        <r>
          <rPr>
            <sz val="8"/>
            <color indexed="81"/>
            <rFont val="Tahoma"/>
            <family val="2"/>
          </rPr>
          <t xml:space="preserve">
</t>
        </r>
      </text>
    </comment>
    <comment ref="P30" authorId="0">
      <text>
        <r>
          <rPr>
            <b/>
            <sz val="8"/>
            <color indexed="81"/>
            <rFont val="Tahoma"/>
            <family val="2"/>
          </rPr>
          <t xml:space="preserve">Ratio of retail to domestic tourim expenditure
</t>
        </r>
        <r>
          <rPr>
            <sz val="8"/>
            <color indexed="81"/>
            <rFont val="Tahoma"/>
            <family val="2"/>
          </rPr>
          <t xml:space="preserve">
</t>
        </r>
      </text>
    </comment>
    <comment ref="Q30" authorId="0">
      <text>
        <r>
          <rPr>
            <b/>
            <sz val="8"/>
            <color indexed="81"/>
            <rFont val="Tahoma"/>
            <family val="2"/>
          </rPr>
          <t xml:space="preserve">Ratio of retail to domestic tourim expenditure
</t>
        </r>
        <r>
          <rPr>
            <sz val="8"/>
            <color indexed="81"/>
            <rFont val="Tahoma"/>
            <family val="2"/>
          </rPr>
          <t xml:space="preserve">
</t>
        </r>
      </text>
    </comment>
    <comment ref="R30" authorId="0">
      <text>
        <r>
          <rPr>
            <b/>
            <sz val="8"/>
            <color indexed="81"/>
            <rFont val="Tahoma"/>
            <family val="2"/>
          </rPr>
          <t xml:space="preserve">Ratio of retail to domestic tourim expenditure
</t>
        </r>
        <r>
          <rPr>
            <sz val="8"/>
            <color indexed="81"/>
            <rFont val="Tahoma"/>
            <family val="2"/>
          </rPr>
          <t xml:space="preserve">
</t>
        </r>
      </text>
    </comment>
    <comment ref="M31" authorId="0">
      <text>
        <r>
          <rPr>
            <b/>
            <sz val="8"/>
            <color indexed="81"/>
            <rFont val="Tahoma"/>
            <family val="2"/>
          </rPr>
          <t xml:space="preserve">Ratio of transportation to domestic tourim expenditure
</t>
        </r>
        <r>
          <rPr>
            <sz val="8"/>
            <color indexed="81"/>
            <rFont val="Tahoma"/>
            <family val="2"/>
          </rPr>
          <t xml:space="preserve">
</t>
        </r>
      </text>
    </comment>
    <comment ref="N31" authorId="0">
      <text>
        <r>
          <rPr>
            <b/>
            <sz val="8"/>
            <color indexed="81"/>
            <rFont val="Tahoma"/>
            <family val="2"/>
          </rPr>
          <t xml:space="preserve">Ratio of transportation to domestic tourim expenditure
</t>
        </r>
        <r>
          <rPr>
            <sz val="8"/>
            <color indexed="81"/>
            <rFont val="Tahoma"/>
            <family val="2"/>
          </rPr>
          <t xml:space="preserve">
</t>
        </r>
      </text>
    </comment>
    <comment ref="O31" authorId="0">
      <text>
        <r>
          <rPr>
            <b/>
            <sz val="8"/>
            <color indexed="81"/>
            <rFont val="Tahoma"/>
            <family val="2"/>
          </rPr>
          <t xml:space="preserve">Ratio of transportation to domestic tourim expenditure
</t>
        </r>
        <r>
          <rPr>
            <sz val="8"/>
            <color indexed="81"/>
            <rFont val="Tahoma"/>
            <family val="2"/>
          </rPr>
          <t xml:space="preserve">
</t>
        </r>
      </text>
    </comment>
    <comment ref="P31" authorId="0">
      <text>
        <r>
          <rPr>
            <b/>
            <sz val="8"/>
            <color indexed="81"/>
            <rFont val="Tahoma"/>
            <family val="2"/>
          </rPr>
          <t xml:space="preserve">Ratio of transportation to domestic tourim expenditure
</t>
        </r>
        <r>
          <rPr>
            <sz val="8"/>
            <color indexed="81"/>
            <rFont val="Tahoma"/>
            <family val="2"/>
          </rPr>
          <t xml:space="preserve">
</t>
        </r>
      </text>
    </comment>
    <comment ref="Q31" authorId="0">
      <text>
        <r>
          <rPr>
            <b/>
            <sz val="8"/>
            <color indexed="81"/>
            <rFont val="Tahoma"/>
            <family val="2"/>
          </rPr>
          <t xml:space="preserve">Ratio of transportation to domestic tourim expenditure
</t>
        </r>
        <r>
          <rPr>
            <sz val="8"/>
            <color indexed="81"/>
            <rFont val="Tahoma"/>
            <family val="2"/>
          </rPr>
          <t xml:space="preserve">
</t>
        </r>
      </text>
    </comment>
    <comment ref="R31" authorId="0">
      <text>
        <r>
          <rPr>
            <b/>
            <sz val="8"/>
            <color indexed="81"/>
            <rFont val="Tahoma"/>
            <family val="2"/>
          </rPr>
          <t xml:space="preserve">Ratio of transportation to domestic tourim expenditure
</t>
        </r>
        <r>
          <rPr>
            <sz val="8"/>
            <color indexed="81"/>
            <rFont val="Tahoma"/>
            <family val="2"/>
          </rPr>
          <t xml:space="preserve">
</t>
        </r>
      </text>
    </comment>
    <comment ref="M32" authorId="0">
      <text>
        <r>
          <rPr>
            <b/>
            <sz val="8"/>
            <color indexed="81"/>
            <rFont val="Tahoma"/>
            <family val="2"/>
          </rPr>
          <t xml:space="preserve">Ratio of travel intermediaries
 to domestic tourim expenditure
</t>
        </r>
        <r>
          <rPr>
            <sz val="8"/>
            <color indexed="81"/>
            <rFont val="Tahoma"/>
            <family val="2"/>
          </rPr>
          <t xml:space="preserve">
</t>
        </r>
      </text>
    </comment>
    <comment ref="N32" authorId="0">
      <text>
        <r>
          <rPr>
            <b/>
            <sz val="8"/>
            <color indexed="81"/>
            <rFont val="Tahoma"/>
            <family val="2"/>
          </rPr>
          <t xml:space="preserve">Ratio of travel intermediaries
 to domestic tourim expenditure
</t>
        </r>
        <r>
          <rPr>
            <sz val="8"/>
            <color indexed="81"/>
            <rFont val="Tahoma"/>
            <family val="2"/>
          </rPr>
          <t xml:space="preserve">
</t>
        </r>
      </text>
    </comment>
    <comment ref="O32" authorId="0">
      <text>
        <r>
          <rPr>
            <b/>
            <sz val="8"/>
            <color indexed="81"/>
            <rFont val="Tahoma"/>
            <family val="2"/>
          </rPr>
          <t xml:space="preserve">Ratio of travel intermediaries
 to domestic tourim expenditure
</t>
        </r>
        <r>
          <rPr>
            <sz val="8"/>
            <color indexed="81"/>
            <rFont val="Tahoma"/>
            <family val="2"/>
          </rPr>
          <t xml:space="preserve">
</t>
        </r>
      </text>
    </comment>
    <comment ref="P32" authorId="0">
      <text>
        <r>
          <rPr>
            <b/>
            <sz val="8"/>
            <color indexed="81"/>
            <rFont val="Tahoma"/>
            <family val="2"/>
          </rPr>
          <t xml:space="preserve">Ratio of travel intermediaries
 to domestic tourim expenditure
</t>
        </r>
        <r>
          <rPr>
            <sz val="8"/>
            <color indexed="81"/>
            <rFont val="Tahoma"/>
            <family val="2"/>
          </rPr>
          <t xml:space="preserve">
</t>
        </r>
      </text>
    </comment>
    <comment ref="Q32" authorId="0">
      <text>
        <r>
          <rPr>
            <b/>
            <sz val="8"/>
            <color indexed="81"/>
            <rFont val="Tahoma"/>
            <family val="2"/>
          </rPr>
          <t xml:space="preserve">Ratio of travel intermediaries
 to domestic tourim expenditure
</t>
        </r>
        <r>
          <rPr>
            <sz val="8"/>
            <color indexed="81"/>
            <rFont val="Tahoma"/>
            <family val="2"/>
          </rPr>
          <t xml:space="preserve">
</t>
        </r>
      </text>
    </comment>
    <comment ref="R32" authorId="0">
      <text>
        <r>
          <rPr>
            <b/>
            <sz val="8"/>
            <color indexed="81"/>
            <rFont val="Tahoma"/>
            <family val="2"/>
          </rPr>
          <t xml:space="preserve">Ratio of travel intermediaries
 to domestic tourim expenditure
</t>
        </r>
        <r>
          <rPr>
            <sz val="8"/>
            <color indexed="81"/>
            <rFont val="Tahoma"/>
            <family val="2"/>
          </rPr>
          <t xml:space="preserve">
</t>
        </r>
      </text>
    </comment>
    <comment ref="M33" authorId="0">
      <text>
        <r>
          <rPr>
            <b/>
            <sz val="8"/>
            <color indexed="81"/>
            <rFont val="Tahoma"/>
            <family val="2"/>
          </rPr>
          <t xml:space="preserve">Ratio of others to domestic tourim expenditure
</t>
        </r>
        <r>
          <rPr>
            <sz val="8"/>
            <color indexed="81"/>
            <rFont val="Tahoma"/>
            <family val="2"/>
          </rPr>
          <t xml:space="preserve">
</t>
        </r>
      </text>
    </comment>
    <comment ref="N33" authorId="0">
      <text>
        <r>
          <rPr>
            <b/>
            <sz val="8"/>
            <color indexed="81"/>
            <rFont val="Tahoma"/>
            <family val="2"/>
          </rPr>
          <t xml:space="preserve">Ratio of others to domestic tourim expenditure
</t>
        </r>
        <r>
          <rPr>
            <sz val="8"/>
            <color indexed="81"/>
            <rFont val="Tahoma"/>
            <family val="2"/>
          </rPr>
          <t xml:space="preserve">
</t>
        </r>
      </text>
    </comment>
    <comment ref="O33" authorId="0">
      <text>
        <r>
          <rPr>
            <b/>
            <sz val="8"/>
            <color indexed="81"/>
            <rFont val="Tahoma"/>
            <family val="2"/>
          </rPr>
          <t xml:space="preserve">Ratio of others to domestic tourim expenditure
</t>
        </r>
        <r>
          <rPr>
            <sz val="8"/>
            <color indexed="81"/>
            <rFont val="Tahoma"/>
            <family val="2"/>
          </rPr>
          <t xml:space="preserve">
</t>
        </r>
      </text>
    </comment>
    <comment ref="P33" authorId="0">
      <text>
        <r>
          <rPr>
            <b/>
            <sz val="8"/>
            <color indexed="81"/>
            <rFont val="Tahoma"/>
            <family val="2"/>
          </rPr>
          <t xml:space="preserve">Ratio of others to domestic tourim expenditure
</t>
        </r>
        <r>
          <rPr>
            <sz val="8"/>
            <color indexed="81"/>
            <rFont val="Tahoma"/>
            <family val="2"/>
          </rPr>
          <t xml:space="preserve">
</t>
        </r>
      </text>
    </comment>
    <comment ref="Q33" authorId="0">
      <text>
        <r>
          <rPr>
            <b/>
            <sz val="8"/>
            <color indexed="81"/>
            <rFont val="Tahoma"/>
            <family val="2"/>
          </rPr>
          <t xml:space="preserve">Ratio of others to domestic tourim expenditure
</t>
        </r>
        <r>
          <rPr>
            <sz val="8"/>
            <color indexed="81"/>
            <rFont val="Tahoma"/>
            <family val="2"/>
          </rPr>
          <t xml:space="preserve">
</t>
        </r>
      </text>
    </comment>
    <comment ref="R33" authorId="0">
      <text>
        <r>
          <rPr>
            <b/>
            <sz val="8"/>
            <color indexed="81"/>
            <rFont val="Tahoma"/>
            <family val="2"/>
          </rPr>
          <t xml:space="preserve">Ratio of others to domestic tourim expenditure
</t>
        </r>
        <r>
          <rPr>
            <sz val="8"/>
            <color indexed="81"/>
            <rFont val="Tahoma"/>
            <family val="2"/>
          </rPr>
          <t xml:space="preserve">
</t>
        </r>
      </text>
    </comment>
    <comment ref="M35" authorId="0">
      <text>
        <r>
          <rPr>
            <b/>
            <sz val="8"/>
            <color indexed="81"/>
            <rFont val="Tahoma"/>
            <family val="2"/>
          </rPr>
          <t xml:space="preserve">Ratio of accommodation to inbound tourim expenditure
</t>
        </r>
        <r>
          <rPr>
            <sz val="8"/>
            <color indexed="81"/>
            <rFont val="Tahoma"/>
            <family val="2"/>
          </rPr>
          <t xml:space="preserve">
</t>
        </r>
      </text>
    </comment>
    <comment ref="N35" authorId="0">
      <text>
        <r>
          <rPr>
            <b/>
            <sz val="8"/>
            <color indexed="81"/>
            <rFont val="Tahoma"/>
            <family val="2"/>
          </rPr>
          <t xml:space="preserve">Ratio of accommodation to inbound tourim expenditure
</t>
        </r>
        <r>
          <rPr>
            <sz val="8"/>
            <color indexed="81"/>
            <rFont val="Tahoma"/>
            <family val="2"/>
          </rPr>
          <t xml:space="preserve">
</t>
        </r>
      </text>
    </comment>
    <comment ref="O35" authorId="0">
      <text>
        <r>
          <rPr>
            <b/>
            <sz val="8"/>
            <color indexed="81"/>
            <rFont val="Tahoma"/>
            <family val="2"/>
          </rPr>
          <t xml:space="preserve">Ratio of accommodation to inbound tourim expenditure
</t>
        </r>
        <r>
          <rPr>
            <sz val="8"/>
            <color indexed="81"/>
            <rFont val="Tahoma"/>
            <family val="2"/>
          </rPr>
          <t xml:space="preserve">
</t>
        </r>
      </text>
    </comment>
    <comment ref="P35" authorId="0">
      <text>
        <r>
          <rPr>
            <b/>
            <sz val="8"/>
            <color indexed="81"/>
            <rFont val="Tahoma"/>
            <family val="2"/>
          </rPr>
          <t xml:space="preserve">Ratio of accommodation to inbound tourim expenditure
</t>
        </r>
        <r>
          <rPr>
            <sz val="8"/>
            <color indexed="81"/>
            <rFont val="Tahoma"/>
            <family val="2"/>
          </rPr>
          <t xml:space="preserve">
</t>
        </r>
      </text>
    </comment>
    <comment ref="Q35" authorId="0">
      <text>
        <r>
          <rPr>
            <b/>
            <sz val="8"/>
            <color indexed="81"/>
            <rFont val="Tahoma"/>
            <family val="2"/>
          </rPr>
          <t xml:space="preserve">Ratio of accommodation to inbound tourim expenditure
</t>
        </r>
        <r>
          <rPr>
            <sz val="8"/>
            <color indexed="81"/>
            <rFont val="Tahoma"/>
            <family val="2"/>
          </rPr>
          <t xml:space="preserve">
</t>
        </r>
      </text>
    </comment>
    <comment ref="R35" authorId="0">
      <text>
        <r>
          <rPr>
            <b/>
            <sz val="8"/>
            <color indexed="81"/>
            <rFont val="Tahoma"/>
            <family val="2"/>
          </rPr>
          <t xml:space="preserve">Ratio of accommodation to inbound tourim expenditure
</t>
        </r>
        <r>
          <rPr>
            <sz val="8"/>
            <color indexed="81"/>
            <rFont val="Tahoma"/>
            <family val="2"/>
          </rPr>
          <t xml:space="preserve">
</t>
        </r>
      </text>
    </comment>
    <comment ref="M36" authorId="0">
      <text>
        <r>
          <rPr>
            <b/>
            <sz val="8"/>
            <color indexed="81"/>
            <rFont val="Tahoma"/>
            <family val="2"/>
          </rPr>
          <t xml:space="preserve">Ratio of entertainment &amp; sightseeing to inbound tourim expenditure
</t>
        </r>
        <r>
          <rPr>
            <sz val="8"/>
            <color indexed="81"/>
            <rFont val="Tahoma"/>
            <family val="2"/>
          </rPr>
          <t xml:space="preserve">
</t>
        </r>
      </text>
    </comment>
    <comment ref="N36" authorId="0">
      <text>
        <r>
          <rPr>
            <b/>
            <sz val="8"/>
            <color indexed="81"/>
            <rFont val="Tahoma"/>
            <family val="2"/>
          </rPr>
          <t xml:space="preserve">Ratio of entertainment &amp; sightseeing to inbound tourim expenditure
</t>
        </r>
        <r>
          <rPr>
            <sz val="8"/>
            <color indexed="81"/>
            <rFont val="Tahoma"/>
            <family val="2"/>
          </rPr>
          <t xml:space="preserve">
</t>
        </r>
      </text>
    </comment>
    <comment ref="O36" authorId="0">
      <text>
        <r>
          <rPr>
            <b/>
            <sz val="8"/>
            <color indexed="81"/>
            <rFont val="Tahoma"/>
            <family val="2"/>
          </rPr>
          <t xml:space="preserve">Ratio of entertainment &amp; sightseeing to inbound tourim expenditure
</t>
        </r>
        <r>
          <rPr>
            <sz val="8"/>
            <color indexed="81"/>
            <rFont val="Tahoma"/>
            <family val="2"/>
          </rPr>
          <t xml:space="preserve">
</t>
        </r>
      </text>
    </comment>
    <comment ref="P36" authorId="0">
      <text>
        <r>
          <rPr>
            <b/>
            <sz val="8"/>
            <color indexed="81"/>
            <rFont val="Tahoma"/>
            <family val="2"/>
          </rPr>
          <t xml:space="preserve">Ratio of entertainment &amp; sightseeing to inbound tourim expenditure
</t>
        </r>
        <r>
          <rPr>
            <sz val="8"/>
            <color indexed="81"/>
            <rFont val="Tahoma"/>
            <family val="2"/>
          </rPr>
          <t xml:space="preserve">
</t>
        </r>
      </text>
    </comment>
    <comment ref="Q36" authorId="0">
      <text>
        <r>
          <rPr>
            <b/>
            <sz val="8"/>
            <color indexed="81"/>
            <rFont val="Tahoma"/>
            <family val="2"/>
          </rPr>
          <t xml:space="preserve">Ratio of entertainment &amp; sightseeing to inbound tourim expenditure
</t>
        </r>
        <r>
          <rPr>
            <sz val="8"/>
            <color indexed="81"/>
            <rFont val="Tahoma"/>
            <family val="2"/>
          </rPr>
          <t xml:space="preserve">
</t>
        </r>
      </text>
    </comment>
    <comment ref="R36" authorId="0">
      <text>
        <r>
          <rPr>
            <b/>
            <sz val="8"/>
            <color indexed="81"/>
            <rFont val="Tahoma"/>
            <family val="2"/>
          </rPr>
          <t xml:space="preserve">Ratio of entertainment &amp; sightseeing to inbound tourim expenditure
</t>
        </r>
        <r>
          <rPr>
            <sz val="8"/>
            <color indexed="81"/>
            <rFont val="Tahoma"/>
            <family val="2"/>
          </rPr>
          <t xml:space="preserve">
</t>
        </r>
      </text>
    </comment>
    <comment ref="M37" authorId="0">
      <text>
        <r>
          <rPr>
            <b/>
            <sz val="8"/>
            <color indexed="81"/>
            <rFont val="Tahoma"/>
            <family val="2"/>
          </rPr>
          <t xml:space="preserve">Ratio of foodservice to inbound tourim expenditure
</t>
        </r>
        <r>
          <rPr>
            <sz val="8"/>
            <color indexed="81"/>
            <rFont val="Tahoma"/>
            <family val="2"/>
          </rPr>
          <t xml:space="preserve">
</t>
        </r>
      </text>
    </comment>
    <comment ref="N37" authorId="0">
      <text>
        <r>
          <rPr>
            <b/>
            <sz val="8"/>
            <color indexed="81"/>
            <rFont val="Tahoma"/>
            <family val="2"/>
          </rPr>
          <t xml:space="preserve">Ratio of foodservice to inbound tourim expenditure
</t>
        </r>
        <r>
          <rPr>
            <sz val="8"/>
            <color indexed="81"/>
            <rFont val="Tahoma"/>
            <family val="2"/>
          </rPr>
          <t xml:space="preserve">
</t>
        </r>
      </text>
    </comment>
    <comment ref="O37" authorId="0">
      <text>
        <r>
          <rPr>
            <b/>
            <sz val="8"/>
            <color indexed="81"/>
            <rFont val="Tahoma"/>
            <family val="2"/>
          </rPr>
          <t xml:space="preserve">Ratio of foodservice to inbound tourim expenditure
</t>
        </r>
        <r>
          <rPr>
            <sz val="8"/>
            <color indexed="81"/>
            <rFont val="Tahoma"/>
            <family val="2"/>
          </rPr>
          <t xml:space="preserve">
</t>
        </r>
      </text>
    </comment>
    <comment ref="P37" authorId="0">
      <text>
        <r>
          <rPr>
            <b/>
            <sz val="8"/>
            <color indexed="81"/>
            <rFont val="Tahoma"/>
            <family val="2"/>
          </rPr>
          <t xml:space="preserve">Ratio of foodservice to inbound tourim expenditure
</t>
        </r>
        <r>
          <rPr>
            <sz val="8"/>
            <color indexed="81"/>
            <rFont val="Tahoma"/>
            <family val="2"/>
          </rPr>
          <t xml:space="preserve">
</t>
        </r>
      </text>
    </comment>
    <comment ref="Q37" authorId="0">
      <text>
        <r>
          <rPr>
            <b/>
            <sz val="8"/>
            <color indexed="81"/>
            <rFont val="Tahoma"/>
            <family val="2"/>
          </rPr>
          <t xml:space="preserve">Ratio of foodservice to inbound tourim expenditure
</t>
        </r>
        <r>
          <rPr>
            <sz val="8"/>
            <color indexed="81"/>
            <rFont val="Tahoma"/>
            <family val="2"/>
          </rPr>
          <t xml:space="preserve">
</t>
        </r>
      </text>
    </comment>
    <comment ref="R37" authorId="0">
      <text>
        <r>
          <rPr>
            <b/>
            <sz val="8"/>
            <color indexed="81"/>
            <rFont val="Tahoma"/>
            <family val="2"/>
          </rPr>
          <t xml:space="preserve">Ratio of foodservice to inbound tourim expenditure
</t>
        </r>
        <r>
          <rPr>
            <sz val="8"/>
            <color indexed="81"/>
            <rFont val="Tahoma"/>
            <family val="2"/>
          </rPr>
          <t xml:space="preserve">
</t>
        </r>
      </text>
    </comment>
    <comment ref="M38" authorId="0">
      <text>
        <r>
          <rPr>
            <b/>
            <sz val="8"/>
            <color indexed="81"/>
            <rFont val="Tahoma"/>
            <family val="2"/>
          </rPr>
          <t xml:space="preserve">Ratio of retail to inbound tourim expenditure
</t>
        </r>
        <r>
          <rPr>
            <sz val="8"/>
            <color indexed="81"/>
            <rFont val="Tahoma"/>
            <family val="2"/>
          </rPr>
          <t xml:space="preserve">
</t>
        </r>
      </text>
    </comment>
    <comment ref="N38" authorId="0">
      <text>
        <r>
          <rPr>
            <b/>
            <sz val="8"/>
            <color indexed="81"/>
            <rFont val="Tahoma"/>
            <family val="2"/>
          </rPr>
          <t xml:space="preserve">Ratio of retail to inbound tourim expenditure
</t>
        </r>
        <r>
          <rPr>
            <sz val="8"/>
            <color indexed="81"/>
            <rFont val="Tahoma"/>
            <family val="2"/>
          </rPr>
          <t xml:space="preserve">
</t>
        </r>
      </text>
    </comment>
    <comment ref="O38" authorId="0">
      <text>
        <r>
          <rPr>
            <b/>
            <sz val="8"/>
            <color indexed="81"/>
            <rFont val="Tahoma"/>
            <family val="2"/>
          </rPr>
          <t xml:space="preserve">Ratio of retail to inbound tourim expenditure
</t>
        </r>
        <r>
          <rPr>
            <sz val="8"/>
            <color indexed="81"/>
            <rFont val="Tahoma"/>
            <family val="2"/>
          </rPr>
          <t xml:space="preserve">
</t>
        </r>
      </text>
    </comment>
    <comment ref="P38" authorId="0">
      <text>
        <r>
          <rPr>
            <b/>
            <sz val="8"/>
            <color indexed="81"/>
            <rFont val="Tahoma"/>
            <family val="2"/>
          </rPr>
          <t xml:space="preserve">Ratio of retail to inbound tourim expenditure
</t>
        </r>
        <r>
          <rPr>
            <sz val="8"/>
            <color indexed="81"/>
            <rFont val="Tahoma"/>
            <family val="2"/>
          </rPr>
          <t xml:space="preserve">
</t>
        </r>
      </text>
    </comment>
    <comment ref="Q38" authorId="0">
      <text>
        <r>
          <rPr>
            <b/>
            <sz val="8"/>
            <color indexed="81"/>
            <rFont val="Tahoma"/>
            <family val="2"/>
          </rPr>
          <t xml:space="preserve">Ratio of retail to inbound tourim expenditure
</t>
        </r>
        <r>
          <rPr>
            <sz val="8"/>
            <color indexed="81"/>
            <rFont val="Tahoma"/>
            <family val="2"/>
          </rPr>
          <t xml:space="preserve">
</t>
        </r>
      </text>
    </comment>
    <comment ref="R38" authorId="0">
      <text>
        <r>
          <rPr>
            <b/>
            <sz val="8"/>
            <color indexed="81"/>
            <rFont val="Tahoma"/>
            <family val="2"/>
          </rPr>
          <t xml:space="preserve">Ratio of retail to inbound tourim expenditure
</t>
        </r>
        <r>
          <rPr>
            <sz val="8"/>
            <color indexed="81"/>
            <rFont val="Tahoma"/>
            <family val="2"/>
          </rPr>
          <t xml:space="preserve">
</t>
        </r>
      </text>
    </comment>
    <comment ref="M39" authorId="0">
      <text>
        <r>
          <rPr>
            <b/>
            <sz val="8"/>
            <color indexed="81"/>
            <rFont val="Tahoma"/>
            <family val="2"/>
          </rPr>
          <t xml:space="preserve">Ratio of transportation to inbound tourim expenditure
</t>
        </r>
        <r>
          <rPr>
            <sz val="8"/>
            <color indexed="81"/>
            <rFont val="Tahoma"/>
            <family val="2"/>
          </rPr>
          <t xml:space="preserve">
</t>
        </r>
      </text>
    </comment>
    <comment ref="N39" authorId="0">
      <text>
        <r>
          <rPr>
            <b/>
            <sz val="8"/>
            <color indexed="81"/>
            <rFont val="Tahoma"/>
            <family val="2"/>
          </rPr>
          <t xml:space="preserve">Ratio of transportation to inbound tourim expenditure
</t>
        </r>
        <r>
          <rPr>
            <sz val="8"/>
            <color indexed="81"/>
            <rFont val="Tahoma"/>
            <family val="2"/>
          </rPr>
          <t xml:space="preserve">
</t>
        </r>
      </text>
    </comment>
    <comment ref="O39" authorId="0">
      <text>
        <r>
          <rPr>
            <b/>
            <sz val="8"/>
            <color indexed="81"/>
            <rFont val="Tahoma"/>
            <family val="2"/>
          </rPr>
          <t xml:space="preserve">Ratio of transportation to inbound tourim expenditure
</t>
        </r>
        <r>
          <rPr>
            <sz val="8"/>
            <color indexed="81"/>
            <rFont val="Tahoma"/>
            <family val="2"/>
          </rPr>
          <t xml:space="preserve">
</t>
        </r>
      </text>
    </comment>
    <comment ref="P39" authorId="0">
      <text>
        <r>
          <rPr>
            <b/>
            <sz val="8"/>
            <color indexed="81"/>
            <rFont val="Tahoma"/>
            <family val="2"/>
          </rPr>
          <t xml:space="preserve">Ratio of transportation to inbound tourim expenditure
</t>
        </r>
        <r>
          <rPr>
            <sz val="8"/>
            <color indexed="81"/>
            <rFont val="Tahoma"/>
            <family val="2"/>
          </rPr>
          <t xml:space="preserve">
</t>
        </r>
      </text>
    </comment>
    <comment ref="Q39" authorId="0">
      <text>
        <r>
          <rPr>
            <b/>
            <sz val="8"/>
            <color indexed="81"/>
            <rFont val="Tahoma"/>
            <family val="2"/>
          </rPr>
          <t xml:space="preserve">Ratio of transportation to inbound tourim expenditure
</t>
        </r>
        <r>
          <rPr>
            <sz val="8"/>
            <color indexed="81"/>
            <rFont val="Tahoma"/>
            <family val="2"/>
          </rPr>
          <t xml:space="preserve">
</t>
        </r>
      </text>
    </comment>
    <comment ref="R39" authorId="0">
      <text>
        <r>
          <rPr>
            <b/>
            <sz val="8"/>
            <color indexed="81"/>
            <rFont val="Tahoma"/>
            <family val="2"/>
          </rPr>
          <t xml:space="preserve">Ratio of transportation to inbound tourim expenditure
</t>
        </r>
        <r>
          <rPr>
            <sz val="8"/>
            <color indexed="81"/>
            <rFont val="Tahoma"/>
            <family val="2"/>
          </rPr>
          <t xml:space="preserve">
</t>
        </r>
      </text>
    </comment>
    <comment ref="M40" authorId="0">
      <text>
        <r>
          <rPr>
            <b/>
            <sz val="8"/>
            <color indexed="81"/>
            <rFont val="Tahoma"/>
            <family val="2"/>
          </rPr>
          <t xml:space="preserve">Ratio of travel intermediaries
to inbound tourim expenditure
</t>
        </r>
        <r>
          <rPr>
            <sz val="8"/>
            <color indexed="81"/>
            <rFont val="Tahoma"/>
            <family val="2"/>
          </rPr>
          <t xml:space="preserve">
</t>
        </r>
      </text>
    </comment>
    <comment ref="N40" authorId="0">
      <text>
        <r>
          <rPr>
            <b/>
            <sz val="8"/>
            <color indexed="81"/>
            <rFont val="Tahoma"/>
            <family val="2"/>
          </rPr>
          <t xml:space="preserve">Ratio of travel intermediaries
to inbound tourim expenditure
</t>
        </r>
        <r>
          <rPr>
            <sz val="8"/>
            <color indexed="81"/>
            <rFont val="Tahoma"/>
            <family val="2"/>
          </rPr>
          <t xml:space="preserve">
</t>
        </r>
      </text>
    </comment>
    <comment ref="O40" authorId="0">
      <text>
        <r>
          <rPr>
            <b/>
            <sz val="8"/>
            <color indexed="81"/>
            <rFont val="Tahoma"/>
            <family val="2"/>
          </rPr>
          <t xml:space="preserve">Ratio of travel intermediaries
to inbound tourim expenditure
</t>
        </r>
        <r>
          <rPr>
            <sz val="8"/>
            <color indexed="81"/>
            <rFont val="Tahoma"/>
            <family val="2"/>
          </rPr>
          <t xml:space="preserve">
</t>
        </r>
      </text>
    </comment>
    <comment ref="P40" authorId="0">
      <text>
        <r>
          <rPr>
            <b/>
            <sz val="8"/>
            <color indexed="81"/>
            <rFont val="Tahoma"/>
            <family val="2"/>
          </rPr>
          <t xml:space="preserve">Ratio of travel intermediaries
to inbound tourim expenditure
</t>
        </r>
        <r>
          <rPr>
            <sz val="8"/>
            <color indexed="81"/>
            <rFont val="Tahoma"/>
            <family val="2"/>
          </rPr>
          <t xml:space="preserve">
</t>
        </r>
      </text>
    </comment>
    <comment ref="Q40" authorId="0">
      <text>
        <r>
          <rPr>
            <b/>
            <sz val="8"/>
            <color indexed="81"/>
            <rFont val="Tahoma"/>
            <family val="2"/>
          </rPr>
          <t xml:space="preserve">Ratio of travel intermediaries
to inbound tourim expenditure
</t>
        </r>
        <r>
          <rPr>
            <sz val="8"/>
            <color indexed="81"/>
            <rFont val="Tahoma"/>
            <family val="2"/>
          </rPr>
          <t xml:space="preserve">
</t>
        </r>
      </text>
    </comment>
    <comment ref="R40" authorId="0">
      <text>
        <r>
          <rPr>
            <b/>
            <sz val="8"/>
            <color indexed="81"/>
            <rFont val="Tahoma"/>
            <family val="2"/>
          </rPr>
          <t xml:space="preserve">Ratio of travel intermediaries
to inbound tourim expenditure
</t>
        </r>
        <r>
          <rPr>
            <sz val="8"/>
            <color indexed="81"/>
            <rFont val="Tahoma"/>
            <family val="2"/>
          </rPr>
          <t xml:space="preserve">
</t>
        </r>
      </text>
    </comment>
    <comment ref="M41" authorId="0">
      <text>
        <r>
          <rPr>
            <b/>
            <sz val="8"/>
            <color indexed="81"/>
            <rFont val="Tahoma"/>
            <family val="2"/>
          </rPr>
          <t xml:space="preserve">Ratio of others to inbound tourim expenditure
</t>
        </r>
        <r>
          <rPr>
            <sz val="8"/>
            <color indexed="81"/>
            <rFont val="Tahoma"/>
            <family val="2"/>
          </rPr>
          <t xml:space="preserve">
</t>
        </r>
      </text>
    </comment>
    <comment ref="N41" authorId="0">
      <text>
        <r>
          <rPr>
            <b/>
            <sz val="8"/>
            <color indexed="81"/>
            <rFont val="Tahoma"/>
            <family val="2"/>
          </rPr>
          <t xml:space="preserve">Ratio of others to inbound tourim expenditure
</t>
        </r>
        <r>
          <rPr>
            <sz val="8"/>
            <color indexed="81"/>
            <rFont val="Tahoma"/>
            <family val="2"/>
          </rPr>
          <t xml:space="preserve">
</t>
        </r>
      </text>
    </comment>
    <comment ref="O41" authorId="0">
      <text>
        <r>
          <rPr>
            <b/>
            <sz val="8"/>
            <color indexed="81"/>
            <rFont val="Tahoma"/>
            <family val="2"/>
          </rPr>
          <t xml:space="preserve">Ratio of others to inbound tourim expenditure
</t>
        </r>
        <r>
          <rPr>
            <sz val="8"/>
            <color indexed="81"/>
            <rFont val="Tahoma"/>
            <family val="2"/>
          </rPr>
          <t xml:space="preserve">
</t>
        </r>
      </text>
    </comment>
    <comment ref="P41" authorId="0">
      <text>
        <r>
          <rPr>
            <b/>
            <sz val="8"/>
            <color indexed="81"/>
            <rFont val="Tahoma"/>
            <family val="2"/>
          </rPr>
          <t xml:space="preserve">Ratio of others to inbound tourim expenditure
</t>
        </r>
        <r>
          <rPr>
            <sz val="8"/>
            <color indexed="81"/>
            <rFont val="Tahoma"/>
            <family val="2"/>
          </rPr>
          <t xml:space="preserve">
</t>
        </r>
      </text>
    </comment>
    <comment ref="Q41" authorId="0">
      <text>
        <r>
          <rPr>
            <b/>
            <sz val="8"/>
            <color indexed="81"/>
            <rFont val="Tahoma"/>
            <family val="2"/>
          </rPr>
          <t xml:space="preserve">Ratio of others to inbound tourim expenditure
</t>
        </r>
        <r>
          <rPr>
            <sz val="8"/>
            <color indexed="81"/>
            <rFont val="Tahoma"/>
            <family val="2"/>
          </rPr>
          <t xml:space="preserve">
</t>
        </r>
      </text>
    </comment>
    <comment ref="R41" authorId="0">
      <text>
        <r>
          <rPr>
            <b/>
            <sz val="8"/>
            <color indexed="81"/>
            <rFont val="Tahoma"/>
            <family val="2"/>
          </rPr>
          <t xml:space="preserve">Ratio of others to inbound tourim expenditure
</t>
        </r>
        <r>
          <rPr>
            <sz val="8"/>
            <color indexed="81"/>
            <rFont val="Tahoma"/>
            <family val="2"/>
          </rPr>
          <t xml:space="preserve">
</t>
        </r>
      </text>
    </comment>
    <comment ref="M43" authorId="0">
      <text>
        <r>
          <rPr>
            <b/>
            <sz val="8"/>
            <color indexed="81"/>
            <rFont val="Tahoma"/>
            <family val="2"/>
          </rPr>
          <t xml:space="preserve">Ratio of accommodation to outbound tourim expenditure
</t>
        </r>
        <r>
          <rPr>
            <sz val="8"/>
            <color indexed="81"/>
            <rFont val="Tahoma"/>
            <family val="2"/>
          </rPr>
          <t xml:space="preserve">
</t>
        </r>
      </text>
    </comment>
    <comment ref="N43" authorId="0">
      <text>
        <r>
          <rPr>
            <b/>
            <sz val="8"/>
            <color indexed="81"/>
            <rFont val="Tahoma"/>
            <family val="2"/>
          </rPr>
          <t xml:space="preserve">Ratio of accommodation to outbound tourim expenditure
</t>
        </r>
        <r>
          <rPr>
            <sz val="8"/>
            <color indexed="81"/>
            <rFont val="Tahoma"/>
            <family val="2"/>
          </rPr>
          <t xml:space="preserve">
</t>
        </r>
      </text>
    </comment>
    <comment ref="O43" authorId="0">
      <text>
        <r>
          <rPr>
            <b/>
            <sz val="8"/>
            <color indexed="81"/>
            <rFont val="Tahoma"/>
            <family val="2"/>
          </rPr>
          <t xml:space="preserve">Ratio of accommodation to outbound tourim expenditure
</t>
        </r>
        <r>
          <rPr>
            <sz val="8"/>
            <color indexed="81"/>
            <rFont val="Tahoma"/>
            <family val="2"/>
          </rPr>
          <t xml:space="preserve">
</t>
        </r>
      </text>
    </comment>
    <comment ref="P43" authorId="0">
      <text>
        <r>
          <rPr>
            <b/>
            <sz val="8"/>
            <color indexed="81"/>
            <rFont val="Tahoma"/>
            <family val="2"/>
          </rPr>
          <t xml:space="preserve">Ratio of accommodation to outbound tourim expenditure
</t>
        </r>
        <r>
          <rPr>
            <sz val="8"/>
            <color indexed="81"/>
            <rFont val="Tahoma"/>
            <family val="2"/>
          </rPr>
          <t xml:space="preserve">
</t>
        </r>
      </text>
    </comment>
    <comment ref="Q43" authorId="0">
      <text>
        <r>
          <rPr>
            <b/>
            <sz val="8"/>
            <color indexed="81"/>
            <rFont val="Tahoma"/>
            <family val="2"/>
          </rPr>
          <t xml:space="preserve">Ratio of accommodation to outbound tourim expenditure
</t>
        </r>
        <r>
          <rPr>
            <sz val="8"/>
            <color indexed="81"/>
            <rFont val="Tahoma"/>
            <family val="2"/>
          </rPr>
          <t xml:space="preserve">
</t>
        </r>
      </text>
    </comment>
    <comment ref="R43" authorId="0">
      <text>
        <r>
          <rPr>
            <b/>
            <sz val="8"/>
            <color indexed="81"/>
            <rFont val="Tahoma"/>
            <family val="2"/>
          </rPr>
          <t xml:space="preserve">Ratio of accommodation to outbound tourim expenditure
</t>
        </r>
        <r>
          <rPr>
            <sz val="8"/>
            <color indexed="81"/>
            <rFont val="Tahoma"/>
            <family val="2"/>
          </rPr>
          <t xml:space="preserve">
</t>
        </r>
      </text>
    </comment>
    <comment ref="M44" authorId="0">
      <text>
        <r>
          <rPr>
            <b/>
            <sz val="8"/>
            <color indexed="81"/>
            <rFont val="Tahoma"/>
            <family val="2"/>
          </rPr>
          <t xml:space="preserve">Ratio of entertainment &amp; sightseeing to outbound tourim expenditure
</t>
        </r>
        <r>
          <rPr>
            <sz val="8"/>
            <color indexed="81"/>
            <rFont val="Tahoma"/>
            <family val="2"/>
          </rPr>
          <t xml:space="preserve">
</t>
        </r>
      </text>
    </comment>
    <comment ref="N44" authorId="0">
      <text>
        <r>
          <rPr>
            <b/>
            <sz val="8"/>
            <color indexed="81"/>
            <rFont val="Tahoma"/>
            <family val="2"/>
          </rPr>
          <t xml:space="preserve">Ratio of entertainment &amp; sightseeing to outbound tourim expenditure
</t>
        </r>
        <r>
          <rPr>
            <sz val="8"/>
            <color indexed="81"/>
            <rFont val="Tahoma"/>
            <family val="2"/>
          </rPr>
          <t xml:space="preserve">
</t>
        </r>
      </text>
    </comment>
    <comment ref="O44" authorId="0">
      <text>
        <r>
          <rPr>
            <b/>
            <sz val="8"/>
            <color indexed="81"/>
            <rFont val="Tahoma"/>
            <family val="2"/>
          </rPr>
          <t xml:space="preserve">Ratio of entertainment &amp; sightseeing to outbound tourim expenditure
</t>
        </r>
        <r>
          <rPr>
            <sz val="8"/>
            <color indexed="81"/>
            <rFont val="Tahoma"/>
            <family val="2"/>
          </rPr>
          <t xml:space="preserve">
</t>
        </r>
      </text>
    </comment>
    <comment ref="P44" authorId="0">
      <text>
        <r>
          <rPr>
            <b/>
            <sz val="8"/>
            <color indexed="81"/>
            <rFont val="Tahoma"/>
            <family val="2"/>
          </rPr>
          <t xml:space="preserve">Ratio of entertainment &amp; sightseeing to outbound tourim expenditure
</t>
        </r>
        <r>
          <rPr>
            <sz val="8"/>
            <color indexed="81"/>
            <rFont val="Tahoma"/>
            <family val="2"/>
          </rPr>
          <t xml:space="preserve">
</t>
        </r>
      </text>
    </comment>
    <comment ref="Q44" authorId="0">
      <text>
        <r>
          <rPr>
            <b/>
            <sz val="8"/>
            <color indexed="81"/>
            <rFont val="Tahoma"/>
            <family val="2"/>
          </rPr>
          <t xml:space="preserve">Ratio of entertainment &amp; sightseeing to outbound tourim expenditure
</t>
        </r>
        <r>
          <rPr>
            <sz val="8"/>
            <color indexed="81"/>
            <rFont val="Tahoma"/>
            <family val="2"/>
          </rPr>
          <t xml:space="preserve">
</t>
        </r>
      </text>
    </comment>
    <comment ref="R44" authorId="0">
      <text>
        <r>
          <rPr>
            <b/>
            <sz val="8"/>
            <color indexed="81"/>
            <rFont val="Tahoma"/>
            <family val="2"/>
          </rPr>
          <t xml:space="preserve">Ratio of entertainment &amp; sightseeing to outbound tourim expenditure
</t>
        </r>
        <r>
          <rPr>
            <sz val="8"/>
            <color indexed="81"/>
            <rFont val="Tahoma"/>
            <family val="2"/>
          </rPr>
          <t xml:space="preserve">
</t>
        </r>
      </text>
    </comment>
    <comment ref="M45" authorId="0">
      <text>
        <r>
          <rPr>
            <b/>
            <sz val="8"/>
            <color indexed="81"/>
            <rFont val="Tahoma"/>
            <family val="2"/>
          </rPr>
          <t xml:space="preserve">Ratio of foodservice to outbound tourim expenditure
</t>
        </r>
        <r>
          <rPr>
            <sz val="8"/>
            <color indexed="81"/>
            <rFont val="Tahoma"/>
            <family val="2"/>
          </rPr>
          <t xml:space="preserve">
</t>
        </r>
      </text>
    </comment>
    <comment ref="N45" authorId="0">
      <text>
        <r>
          <rPr>
            <b/>
            <sz val="8"/>
            <color indexed="81"/>
            <rFont val="Tahoma"/>
            <family val="2"/>
          </rPr>
          <t xml:space="preserve">Ratio of foodservice to outbound tourim expenditure
</t>
        </r>
        <r>
          <rPr>
            <sz val="8"/>
            <color indexed="81"/>
            <rFont val="Tahoma"/>
            <family val="2"/>
          </rPr>
          <t xml:space="preserve">
</t>
        </r>
      </text>
    </comment>
    <comment ref="O45" authorId="0">
      <text>
        <r>
          <rPr>
            <b/>
            <sz val="8"/>
            <color indexed="81"/>
            <rFont val="Tahoma"/>
            <family val="2"/>
          </rPr>
          <t xml:space="preserve">Ratio of foodservice to outbound tourim expenditure
</t>
        </r>
        <r>
          <rPr>
            <sz val="8"/>
            <color indexed="81"/>
            <rFont val="Tahoma"/>
            <family val="2"/>
          </rPr>
          <t xml:space="preserve">
</t>
        </r>
      </text>
    </comment>
    <comment ref="P45" authorId="0">
      <text>
        <r>
          <rPr>
            <b/>
            <sz val="8"/>
            <color indexed="81"/>
            <rFont val="Tahoma"/>
            <family val="2"/>
          </rPr>
          <t xml:space="preserve">Ratio of foodservice to outbound tourim expenditure
</t>
        </r>
        <r>
          <rPr>
            <sz val="8"/>
            <color indexed="81"/>
            <rFont val="Tahoma"/>
            <family val="2"/>
          </rPr>
          <t xml:space="preserve">
</t>
        </r>
      </text>
    </comment>
    <comment ref="Q45" authorId="0">
      <text>
        <r>
          <rPr>
            <b/>
            <sz val="8"/>
            <color indexed="81"/>
            <rFont val="Tahoma"/>
            <family val="2"/>
          </rPr>
          <t xml:space="preserve">Ratio of foodservice to outbound tourim expenditure
</t>
        </r>
        <r>
          <rPr>
            <sz val="8"/>
            <color indexed="81"/>
            <rFont val="Tahoma"/>
            <family val="2"/>
          </rPr>
          <t xml:space="preserve">
</t>
        </r>
      </text>
    </comment>
    <comment ref="R45" authorId="0">
      <text>
        <r>
          <rPr>
            <b/>
            <sz val="8"/>
            <color indexed="81"/>
            <rFont val="Tahoma"/>
            <family val="2"/>
          </rPr>
          <t xml:space="preserve">Ratio of foodservice to outbound tourim expenditure
</t>
        </r>
        <r>
          <rPr>
            <sz val="8"/>
            <color indexed="81"/>
            <rFont val="Tahoma"/>
            <family val="2"/>
          </rPr>
          <t xml:space="preserve">
</t>
        </r>
      </text>
    </comment>
    <comment ref="M46" authorId="0">
      <text>
        <r>
          <rPr>
            <b/>
            <sz val="8"/>
            <color indexed="81"/>
            <rFont val="Tahoma"/>
            <family val="2"/>
          </rPr>
          <t xml:space="preserve">Ratio of retail to outbound tourim expenditure
</t>
        </r>
        <r>
          <rPr>
            <sz val="8"/>
            <color indexed="81"/>
            <rFont val="Tahoma"/>
            <family val="2"/>
          </rPr>
          <t xml:space="preserve">
</t>
        </r>
      </text>
    </comment>
    <comment ref="N46" authorId="0">
      <text>
        <r>
          <rPr>
            <b/>
            <sz val="8"/>
            <color indexed="81"/>
            <rFont val="Tahoma"/>
            <family val="2"/>
          </rPr>
          <t xml:space="preserve">Ratio of retail to outbound tourim expenditure
</t>
        </r>
        <r>
          <rPr>
            <sz val="8"/>
            <color indexed="81"/>
            <rFont val="Tahoma"/>
            <family val="2"/>
          </rPr>
          <t xml:space="preserve">
</t>
        </r>
      </text>
    </comment>
    <comment ref="O46" authorId="0">
      <text>
        <r>
          <rPr>
            <b/>
            <sz val="8"/>
            <color indexed="81"/>
            <rFont val="Tahoma"/>
            <family val="2"/>
          </rPr>
          <t xml:space="preserve">Ratio of retail to outbound tourim expenditure
</t>
        </r>
        <r>
          <rPr>
            <sz val="8"/>
            <color indexed="81"/>
            <rFont val="Tahoma"/>
            <family val="2"/>
          </rPr>
          <t xml:space="preserve">
</t>
        </r>
      </text>
    </comment>
    <comment ref="P46" authorId="0">
      <text>
        <r>
          <rPr>
            <b/>
            <sz val="8"/>
            <color indexed="81"/>
            <rFont val="Tahoma"/>
            <family val="2"/>
          </rPr>
          <t xml:space="preserve">Ratio of retail to outbound tourim expenditure
</t>
        </r>
        <r>
          <rPr>
            <sz val="8"/>
            <color indexed="81"/>
            <rFont val="Tahoma"/>
            <family val="2"/>
          </rPr>
          <t xml:space="preserve">
</t>
        </r>
      </text>
    </comment>
    <comment ref="Q46" authorId="0">
      <text>
        <r>
          <rPr>
            <b/>
            <sz val="8"/>
            <color indexed="81"/>
            <rFont val="Tahoma"/>
            <family val="2"/>
          </rPr>
          <t xml:space="preserve">Ratio of retail to outbound tourim expenditure
</t>
        </r>
        <r>
          <rPr>
            <sz val="8"/>
            <color indexed="81"/>
            <rFont val="Tahoma"/>
            <family val="2"/>
          </rPr>
          <t xml:space="preserve">
</t>
        </r>
      </text>
    </comment>
    <comment ref="R46" authorId="0">
      <text>
        <r>
          <rPr>
            <b/>
            <sz val="8"/>
            <color indexed="81"/>
            <rFont val="Tahoma"/>
            <family val="2"/>
          </rPr>
          <t xml:space="preserve">Ratio of retail to outbound tourim expenditure
</t>
        </r>
        <r>
          <rPr>
            <sz val="8"/>
            <color indexed="81"/>
            <rFont val="Tahoma"/>
            <family val="2"/>
          </rPr>
          <t xml:space="preserve">
</t>
        </r>
      </text>
    </comment>
    <comment ref="M47" authorId="0">
      <text>
        <r>
          <rPr>
            <b/>
            <sz val="8"/>
            <color indexed="81"/>
            <rFont val="Tahoma"/>
            <family val="2"/>
          </rPr>
          <t xml:space="preserve">Ratio of transportation to outbound tourim expenditure
</t>
        </r>
        <r>
          <rPr>
            <sz val="8"/>
            <color indexed="81"/>
            <rFont val="Tahoma"/>
            <family val="2"/>
          </rPr>
          <t xml:space="preserve">
</t>
        </r>
      </text>
    </comment>
    <comment ref="N47" authorId="0">
      <text>
        <r>
          <rPr>
            <b/>
            <sz val="8"/>
            <color indexed="81"/>
            <rFont val="Tahoma"/>
            <family val="2"/>
          </rPr>
          <t xml:space="preserve">Ratio of transportation to outbound tourim expenditure
</t>
        </r>
        <r>
          <rPr>
            <sz val="8"/>
            <color indexed="81"/>
            <rFont val="Tahoma"/>
            <family val="2"/>
          </rPr>
          <t xml:space="preserve">
</t>
        </r>
      </text>
    </comment>
    <comment ref="O47" authorId="0">
      <text>
        <r>
          <rPr>
            <b/>
            <sz val="8"/>
            <color indexed="81"/>
            <rFont val="Tahoma"/>
            <family val="2"/>
          </rPr>
          <t xml:space="preserve">Ratio of transportation to outbound tourim expenditure
</t>
        </r>
        <r>
          <rPr>
            <sz val="8"/>
            <color indexed="81"/>
            <rFont val="Tahoma"/>
            <family val="2"/>
          </rPr>
          <t xml:space="preserve">
</t>
        </r>
      </text>
    </comment>
    <comment ref="P47" authorId="0">
      <text>
        <r>
          <rPr>
            <b/>
            <sz val="8"/>
            <color indexed="81"/>
            <rFont val="Tahoma"/>
            <family val="2"/>
          </rPr>
          <t xml:space="preserve">Ratio of transportation to outbound tourim expenditure
</t>
        </r>
        <r>
          <rPr>
            <sz val="8"/>
            <color indexed="81"/>
            <rFont val="Tahoma"/>
            <family val="2"/>
          </rPr>
          <t xml:space="preserve">
</t>
        </r>
      </text>
    </comment>
    <comment ref="Q47" authorId="0">
      <text>
        <r>
          <rPr>
            <b/>
            <sz val="8"/>
            <color indexed="81"/>
            <rFont val="Tahoma"/>
            <family val="2"/>
          </rPr>
          <t xml:space="preserve">Ratio of transportation to outbound tourim expenditure
</t>
        </r>
        <r>
          <rPr>
            <sz val="8"/>
            <color indexed="81"/>
            <rFont val="Tahoma"/>
            <family val="2"/>
          </rPr>
          <t xml:space="preserve">
</t>
        </r>
      </text>
    </comment>
    <comment ref="R47" authorId="0">
      <text>
        <r>
          <rPr>
            <b/>
            <sz val="8"/>
            <color indexed="81"/>
            <rFont val="Tahoma"/>
            <family val="2"/>
          </rPr>
          <t xml:space="preserve">Ratio of transportation to outbound tourim expenditure
</t>
        </r>
        <r>
          <rPr>
            <sz val="8"/>
            <color indexed="81"/>
            <rFont val="Tahoma"/>
            <family val="2"/>
          </rPr>
          <t xml:space="preserve">
</t>
        </r>
      </text>
    </comment>
    <comment ref="M48" authorId="0">
      <text>
        <r>
          <rPr>
            <b/>
            <sz val="8"/>
            <color indexed="81"/>
            <rFont val="Tahoma"/>
            <family val="2"/>
          </rPr>
          <t xml:space="preserve">Ratio of travel intermediaries
to outbound tourim expenditure
</t>
        </r>
        <r>
          <rPr>
            <sz val="8"/>
            <color indexed="81"/>
            <rFont val="Tahoma"/>
            <family val="2"/>
          </rPr>
          <t xml:space="preserve">
</t>
        </r>
      </text>
    </comment>
    <comment ref="N48" authorId="0">
      <text>
        <r>
          <rPr>
            <b/>
            <sz val="8"/>
            <color indexed="81"/>
            <rFont val="Tahoma"/>
            <family val="2"/>
          </rPr>
          <t xml:space="preserve">Ratio of travel intermediaries
to outbound tourim expenditure
</t>
        </r>
        <r>
          <rPr>
            <sz val="8"/>
            <color indexed="81"/>
            <rFont val="Tahoma"/>
            <family val="2"/>
          </rPr>
          <t xml:space="preserve">
</t>
        </r>
      </text>
    </comment>
    <comment ref="O48" authorId="0">
      <text>
        <r>
          <rPr>
            <b/>
            <sz val="8"/>
            <color indexed="81"/>
            <rFont val="Tahoma"/>
            <family val="2"/>
          </rPr>
          <t xml:space="preserve">Ratio of travel intermediaries
to outbound tourim expenditure
</t>
        </r>
        <r>
          <rPr>
            <sz val="8"/>
            <color indexed="81"/>
            <rFont val="Tahoma"/>
            <family val="2"/>
          </rPr>
          <t xml:space="preserve">
</t>
        </r>
      </text>
    </comment>
    <comment ref="P48" authorId="0">
      <text>
        <r>
          <rPr>
            <b/>
            <sz val="8"/>
            <color indexed="81"/>
            <rFont val="Tahoma"/>
            <family val="2"/>
          </rPr>
          <t xml:space="preserve">Ratio of travel intermediaries
to outbound tourim expenditure
</t>
        </r>
        <r>
          <rPr>
            <sz val="8"/>
            <color indexed="81"/>
            <rFont val="Tahoma"/>
            <family val="2"/>
          </rPr>
          <t xml:space="preserve">
</t>
        </r>
      </text>
    </comment>
    <comment ref="Q48" authorId="0">
      <text>
        <r>
          <rPr>
            <b/>
            <sz val="8"/>
            <color indexed="81"/>
            <rFont val="Tahoma"/>
            <family val="2"/>
          </rPr>
          <t xml:space="preserve">Ratio of travel intermediaries
to outbound tourim expenditure
</t>
        </r>
        <r>
          <rPr>
            <sz val="8"/>
            <color indexed="81"/>
            <rFont val="Tahoma"/>
            <family val="2"/>
          </rPr>
          <t xml:space="preserve">
</t>
        </r>
      </text>
    </comment>
    <comment ref="R48" authorId="0">
      <text>
        <r>
          <rPr>
            <b/>
            <sz val="8"/>
            <color indexed="81"/>
            <rFont val="Tahoma"/>
            <family val="2"/>
          </rPr>
          <t xml:space="preserve">Ratio of travel intermediaries
to outbound tourim expenditure
</t>
        </r>
        <r>
          <rPr>
            <sz val="8"/>
            <color indexed="81"/>
            <rFont val="Tahoma"/>
            <family val="2"/>
          </rPr>
          <t xml:space="preserve">
</t>
        </r>
      </text>
    </comment>
    <comment ref="M49" authorId="0">
      <text>
        <r>
          <rPr>
            <b/>
            <sz val="8"/>
            <color indexed="81"/>
            <rFont val="Tahoma"/>
            <family val="2"/>
          </rPr>
          <t xml:space="preserve">Ratio of others to outbound tourim expenditure
</t>
        </r>
        <r>
          <rPr>
            <sz val="8"/>
            <color indexed="81"/>
            <rFont val="Tahoma"/>
            <family val="2"/>
          </rPr>
          <t xml:space="preserve">
</t>
        </r>
      </text>
    </comment>
    <comment ref="N49" authorId="0">
      <text>
        <r>
          <rPr>
            <b/>
            <sz val="8"/>
            <color indexed="81"/>
            <rFont val="Tahoma"/>
            <family val="2"/>
          </rPr>
          <t xml:space="preserve">Ratio of others to outbound tourim expenditure
</t>
        </r>
        <r>
          <rPr>
            <sz val="8"/>
            <color indexed="81"/>
            <rFont val="Tahoma"/>
            <family val="2"/>
          </rPr>
          <t xml:space="preserve">
</t>
        </r>
      </text>
    </comment>
    <comment ref="O49" authorId="0">
      <text>
        <r>
          <rPr>
            <b/>
            <sz val="8"/>
            <color indexed="81"/>
            <rFont val="Tahoma"/>
            <family val="2"/>
          </rPr>
          <t xml:space="preserve">Ratio of others to outbound tourim expenditure
</t>
        </r>
        <r>
          <rPr>
            <sz val="8"/>
            <color indexed="81"/>
            <rFont val="Tahoma"/>
            <family val="2"/>
          </rPr>
          <t xml:space="preserve">
</t>
        </r>
      </text>
    </comment>
    <comment ref="P49" authorId="0">
      <text>
        <r>
          <rPr>
            <b/>
            <sz val="8"/>
            <color indexed="81"/>
            <rFont val="Tahoma"/>
            <family val="2"/>
          </rPr>
          <t xml:space="preserve">Ratio of others to outbound tourim expenditure
</t>
        </r>
        <r>
          <rPr>
            <sz val="8"/>
            <color indexed="81"/>
            <rFont val="Tahoma"/>
            <family val="2"/>
          </rPr>
          <t xml:space="preserve">
</t>
        </r>
      </text>
    </comment>
    <comment ref="Q49" authorId="0">
      <text>
        <r>
          <rPr>
            <b/>
            <sz val="8"/>
            <color indexed="81"/>
            <rFont val="Tahoma"/>
            <family val="2"/>
          </rPr>
          <t xml:space="preserve">Ratio of others to outbound tourim expenditure
</t>
        </r>
        <r>
          <rPr>
            <sz val="8"/>
            <color indexed="81"/>
            <rFont val="Tahoma"/>
            <family val="2"/>
          </rPr>
          <t xml:space="preserve">
</t>
        </r>
      </text>
    </comment>
    <comment ref="R49" authorId="0">
      <text>
        <r>
          <rPr>
            <b/>
            <sz val="8"/>
            <color indexed="81"/>
            <rFont val="Tahoma"/>
            <family val="2"/>
          </rPr>
          <t xml:space="preserve">Ratio of others to outbound tourim expenditure
</t>
        </r>
        <r>
          <rPr>
            <sz val="8"/>
            <color indexed="81"/>
            <rFont val="Tahoma"/>
            <family val="2"/>
          </rPr>
          <t xml:space="preserve">
</t>
        </r>
      </text>
    </comment>
    <comment ref="M51" authorId="0">
      <text>
        <r>
          <rPr>
            <b/>
            <sz val="8"/>
            <color indexed="81"/>
            <rFont val="Tahoma"/>
            <family val="2"/>
          </rPr>
          <t xml:space="preserve">Ratio of accommodation to international providers 
</t>
        </r>
        <r>
          <rPr>
            <sz val="8"/>
            <color indexed="81"/>
            <rFont val="Tahoma"/>
            <family val="2"/>
          </rPr>
          <t xml:space="preserve">
</t>
        </r>
      </text>
    </comment>
    <comment ref="N51" authorId="0">
      <text>
        <r>
          <rPr>
            <b/>
            <sz val="8"/>
            <color indexed="81"/>
            <rFont val="Tahoma"/>
            <family val="2"/>
          </rPr>
          <t xml:space="preserve">Ratio of accommodation to international providers 
</t>
        </r>
        <r>
          <rPr>
            <sz val="8"/>
            <color indexed="81"/>
            <rFont val="Tahoma"/>
            <family val="2"/>
          </rPr>
          <t xml:space="preserve">
</t>
        </r>
      </text>
    </comment>
    <comment ref="O51" authorId="0">
      <text>
        <r>
          <rPr>
            <b/>
            <sz val="8"/>
            <color indexed="81"/>
            <rFont val="Tahoma"/>
            <family val="2"/>
          </rPr>
          <t xml:space="preserve">Ratio of accommodation to international providers 
</t>
        </r>
        <r>
          <rPr>
            <sz val="8"/>
            <color indexed="81"/>
            <rFont val="Tahoma"/>
            <family val="2"/>
          </rPr>
          <t xml:space="preserve">
</t>
        </r>
      </text>
    </comment>
    <comment ref="P51" authorId="0">
      <text>
        <r>
          <rPr>
            <b/>
            <sz val="8"/>
            <color indexed="81"/>
            <rFont val="Tahoma"/>
            <family val="2"/>
          </rPr>
          <t xml:space="preserve">Ratio of accommodation to international providers 
</t>
        </r>
        <r>
          <rPr>
            <sz val="8"/>
            <color indexed="81"/>
            <rFont val="Tahoma"/>
            <family val="2"/>
          </rPr>
          <t xml:space="preserve">
</t>
        </r>
      </text>
    </comment>
    <comment ref="Q51" authorId="0">
      <text>
        <r>
          <rPr>
            <b/>
            <sz val="8"/>
            <color indexed="81"/>
            <rFont val="Tahoma"/>
            <family val="2"/>
          </rPr>
          <t xml:space="preserve">Ratio of accommodation to international providers 
</t>
        </r>
        <r>
          <rPr>
            <sz val="8"/>
            <color indexed="81"/>
            <rFont val="Tahoma"/>
            <family val="2"/>
          </rPr>
          <t xml:space="preserve">
</t>
        </r>
      </text>
    </comment>
    <comment ref="R51" authorId="0">
      <text>
        <r>
          <rPr>
            <b/>
            <sz val="8"/>
            <color indexed="81"/>
            <rFont val="Tahoma"/>
            <family val="2"/>
          </rPr>
          <t xml:space="preserve">Ratio of accommodation to international providers 
</t>
        </r>
        <r>
          <rPr>
            <sz val="8"/>
            <color indexed="81"/>
            <rFont val="Tahoma"/>
            <family val="2"/>
          </rPr>
          <t xml:space="preserve">
</t>
        </r>
      </text>
    </comment>
    <comment ref="M52" authorId="0">
      <text>
        <r>
          <rPr>
            <b/>
            <sz val="8"/>
            <color indexed="81"/>
            <rFont val="Tahoma"/>
            <family val="2"/>
          </rPr>
          <t xml:space="preserve">Ratio of entertainment &amp; sightseeing to international providers tourim 
</t>
        </r>
        <r>
          <rPr>
            <sz val="8"/>
            <color indexed="81"/>
            <rFont val="Tahoma"/>
            <family val="2"/>
          </rPr>
          <t xml:space="preserve">
</t>
        </r>
      </text>
    </comment>
    <comment ref="N52" authorId="0">
      <text>
        <r>
          <rPr>
            <b/>
            <sz val="8"/>
            <color indexed="81"/>
            <rFont val="Tahoma"/>
            <family val="2"/>
          </rPr>
          <t xml:space="preserve">Ratio of entertainment &amp; sightseeing to international providers tourim 
</t>
        </r>
        <r>
          <rPr>
            <sz val="8"/>
            <color indexed="81"/>
            <rFont val="Tahoma"/>
            <family val="2"/>
          </rPr>
          <t xml:space="preserve">
</t>
        </r>
      </text>
    </comment>
    <comment ref="O52" authorId="0">
      <text>
        <r>
          <rPr>
            <b/>
            <sz val="8"/>
            <color indexed="81"/>
            <rFont val="Tahoma"/>
            <family val="2"/>
          </rPr>
          <t xml:space="preserve">Ratio of entertainment &amp; sightseeing to international providers tourim 
</t>
        </r>
        <r>
          <rPr>
            <sz val="8"/>
            <color indexed="81"/>
            <rFont val="Tahoma"/>
            <family val="2"/>
          </rPr>
          <t xml:space="preserve">
</t>
        </r>
      </text>
    </comment>
    <comment ref="P52" authorId="0">
      <text>
        <r>
          <rPr>
            <b/>
            <sz val="8"/>
            <color indexed="81"/>
            <rFont val="Tahoma"/>
            <family val="2"/>
          </rPr>
          <t xml:space="preserve">Ratio of entertainment &amp; sightseeing to international providers tourim 
</t>
        </r>
        <r>
          <rPr>
            <sz val="8"/>
            <color indexed="81"/>
            <rFont val="Tahoma"/>
            <family val="2"/>
          </rPr>
          <t xml:space="preserve">
</t>
        </r>
      </text>
    </comment>
    <comment ref="Q52" authorId="0">
      <text>
        <r>
          <rPr>
            <b/>
            <sz val="8"/>
            <color indexed="81"/>
            <rFont val="Tahoma"/>
            <family val="2"/>
          </rPr>
          <t xml:space="preserve">Ratio of entertainment &amp; sightseeing to international providers tourim 
</t>
        </r>
        <r>
          <rPr>
            <sz val="8"/>
            <color indexed="81"/>
            <rFont val="Tahoma"/>
            <family val="2"/>
          </rPr>
          <t xml:space="preserve">
</t>
        </r>
      </text>
    </comment>
    <comment ref="R52" authorId="0">
      <text>
        <r>
          <rPr>
            <b/>
            <sz val="8"/>
            <color indexed="81"/>
            <rFont val="Tahoma"/>
            <family val="2"/>
          </rPr>
          <t xml:space="preserve">Ratio of entertainment &amp; sightseeing to international providers tourim 
</t>
        </r>
        <r>
          <rPr>
            <sz val="8"/>
            <color indexed="81"/>
            <rFont val="Tahoma"/>
            <family val="2"/>
          </rPr>
          <t xml:space="preserve">
</t>
        </r>
      </text>
    </comment>
    <comment ref="M53" authorId="0">
      <text>
        <r>
          <rPr>
            <b/>
            <sz val="8"/>
            <color indexed="81"/>
            <rFont val="Tahoma"/>
            <family val="2"/>
          </rPr>
          <t>Ratio of foodservice to international providers</t>
        </r>
        <r>
          <rPr>
            <sz val="8"/>
            <color indexed="81"/>
            <rFont val="Tahoma"/>
            <family val="2"/>
          </rPr>
          <t xml:space="preserve">
</t>
        </r>
      </text>
    </comment>
    <comment ref="N53" authorId="0">
      <text>
        <r>
          <rPr>
            <b/>
            <sz val="8"/>
            <color indexed="81"/>
            <rFont val="Tahoma"/>
            <family val="2"/>
          </rPr>
          <t>Ratio of foodservice to international providers</t>
        </r>
        <r>
          <rPr>
            <sz val="8"/>
            <color indexed="81"/>
            <rFont val="Tahoma"/>
            <family val="2"/>
          </rPr>
          <t xml:space="preserve">
</t>
        </r>
      </text>
    </comment>
    <comment ref="O53" authorId="0">
      <text>
        <r>
          <rPr>
            <b/>
            <sz val="8"/>
            <color indexed="81"/>
            <rFont val="Tahoma"/>
            <family val="2"/>
          </rPr>
          <t>Ratio of foodservice to international providers</t>
        </r>
        <r>
          <rPr>
            <sz val="8"/>
            <color indexed="81"/>
            <rFont val="Tahoma"/>
            <family val="2"/>
          </rPr>
          <t xml:space="preserve">
</t>
        </r>
      </text>
    </comment>
    <comment ref="P53" authorId="0">
      <text>
        <r>
          <rPr>
            <b/>
            <sz val="8"/>
            <color indexed="81"/>
            <rFont val="Tahoma"/>
            <family val="2"/>
          </rPr>
          <t>Ratio of foodservice to international providers</t>
        </r>
        <r>
          <rPr>
            <sz val="8"/>
            <color indexed="81"/>
            <rFont val="Tahoma"/>
            <family val="2"/>
          </rPr>
          <t xml:space="preserve">
</t>
        </r>
      </text>
    </comment>
    <comment ref="Q53" authorId="0">
      <text>
        <r>
          <rPr>
            <b/>
            <sz val="8"/>
            <color indexed="81"/>
            <rFont val="Tahoma"/>
            <family val="2"/>
          </rPr>
          <t>Ratio of foodservice to international providers</t>
        </r>
        <r>
          <rPr>
            <sz val="8"/>
            <color indexed="81"/>
            <rFont val="Tahoma"/>
            <family val="2"/>
          </rPr>
          <t xml:space="preserve">
</t>
        </r>
      </text>
    </comment>
    <comment ref="R53" authorId="0">
      <text>
        <r>
          <rPr>
            <b/>
            <sz val="8"/>
            <color indexed="81"/>
            <rFont val="Tahoma"/>
            <family val="2"/>
          </rPr>
          <t>Ratio of foodservice to international providers</t>
        </r>
        <r>
          <rPr>
            <sz val="8"/>
            <color indexed="81"/>
            <rFont val="Tahoma"/>
            <family val="2"/>
          </rPr>
          <t xml:space="preserve">
</t>
        </r>
      </text>
    </comment>
    <comment ref="M54" authorId="0">
      <text>
        <r>
          <rPr>
            <b/>
            <sz val="8"/>
            <color indexed="81"/>
            <rFont val="Tahoma"/>
            <family val="2"/>
          </rPr>
          <t>Ratio of retail to international providers</t>
        </r>
        <r>
          <rPr>
            <sz val="8"/>
            <color indexed="81"/>
            <rFont val="Tahoma"/>
            <family val="2"/>
          </rPr>
          <t xml:space="preserve">
</t>
        </r>
      </text>
    </comment>
    <comment ref="N54" authorId="0">
      <text>
        <r>
          <rPr>
            <b/>
            <sz val="8"/>
            <color indexed="81"/>
            <rFont val="Tahoma"/>
            <family val="2"/>
          </rPr>
          <t>Ratio of retail to international providers</t>
        </r>
        <r>
          <rPr>
            <sz val="8"/>
            <color indexed="81"/>
            <rFont val="Tahoma"/>
            <family val="2"/>
          </rPr>
          <t xml:space="preserve">
</t>
        </r>
      </text>
    </comment>
    <comment ref="O54" authorId="0">
      <text>
        <r>
          <rPr>
            <b/>
            <sz val="8"/>
            <color indexed="81"/>
            <rFont val="Tahoma"/>
            <family val="2"/>
          </rPr>
          <t>Ratio of retail to international providers</t>
        </r>
        <r>
          <rPr>
            <sz val="8"/>
            <color indexed="81"/>
            <rFont val="Tahoma"/>
            <family val="2"/>
          </rPr>
          <t xml:space="preserve">
</t>
        </r>
      </text>
    </comment>
    <comment ref="P54" authorId="0">
      <text>
        <r>
          <rPr>
            <b/>
            <sz val="8"/>
            <color indexed="81"/>
            <rFont val="Tahoma"/>
            <family val="2"/>
          </rPr>
          <t>Ratio of retail to international providers</t>
        </r>
        <r>
          <rPr>
            <sz val="8"/>
            <color indexed="81"/>
            <rFont val="Tahoma"/>
            <family val="2"/>
          </rPr>
          <t xml:space="preserve">
</t>
        </r>
      </text>
    </comment>
    <comment ref="Q54" authorId="0">
      <text>
        <r>
          <rPr>
            <b/>
            <sz val="8"/>
            <color indexed="81"/>
            <rFont val="Tahoma"/>
            <family val="2"/>
          </rPr>
          <t>Ratio of retail to international providers</t>
        </r>
        <r>
          <rPr>
            <sz val="8"/>
            <color indexed="81"/>
            <rFont val="Tahoma"/>
            <family val="2"/>
          </rPr>
          <t xml:space="preserve">
</t>
        </r>
      </text>
    </comment>
    <comment ref="R54" authorId="0">
      <text>
        <r>
          <rPr>
            <b/>
            <sz val="8"/>
            <color indexed="81"/>
            <rFont val="Tahoma"/>
            <family val="2"/>
          </rPr>
          <t>Ratio of retail to international providers</t>
        </r>
        <r>
          <rPr>
            <sz val="8"/>
            <color indexed="81"/>
            <rFont val="Tahoma"/>
            <family val="2"/>
          </rPr>
          <t xml:space="preserve">
</t>
        </r>
      </text>
    </comment>
    <comment ref="M55" authorId="0">
      <text>
        <r>
          <rPr>
            <b/>
            <sz val="8"/>
            <color indexed="81"/>
            <rFont val="Tahoma"/>
            <family val="2"/>
          </rPr>
          <t>Ratio of transportation to international providers</t>
        </r>
        <r>
          <rPr>
            <sz val="8"/>
            <color indexed="81"/>
            <rFont val="Tahoma"/>
            <family val="2"/>
          </rPr>
          <t xml:space="preserve">
</t>
        </r>
      </text>
    </comment>
    <comment ref="N55" authorId="0">
      <text>
        <r>
          <rPr>
            <b/>
            <sz val="8"/>
            <color indexed="81"/>
            <rFont val="Tahoma"/>
            <family val="2"/>
          </rPr>
          <t>Ratio of transportation to international providers</t>
        </r>
        <r>
          <rPr>
            <sz val="8"/>
            <color indexed="81"/>
            <rFont val="Tahoma"/>
            <family val="2"/>
          </rPr>
          <t xml:space="preserve">
</t>
        </r>
      </text>
    </comment>
    <comment ref="O55" authorId="0">
      <text>
        <r>
          <rPr>
            <b/>
            <sz val="8"/>
            <color indexed="81"/>
            <rFont val="Tahoma"/>
            <family val="2"/>
          </rPr>
          <t>Ratio of transportation to international providers</t>
        </r>
        <r>
          <rPr>
            <sz val="8"/>
            <color indexed="81"/>
            <rFont val="Tahoma"/>
            <family val="2"/>
          </rPr>
          <t xml:space="preserve">
</t>
        </r>
      </text>
    </comment>
    <comment ref="P55" authorId="0">
      <text>
        <r>
          <rPr>
            <b/>
            <sz val="8"/>
            <color indexed="81"/>
            <rFont val="Tahoma"/>
            <family val="2"/>
          </rPr>
          <t>Ratio of transportation to international providers</t>
        </r>
        <r>
          <rPr>
            <sz val="8"/>
            <color indexed="81"/>
            <rFont val="Tahoma"/>
            <family val="2"/>
          </rPr>
          <t xml:space="preserve">
</t>
        </r>
      </text>
    </comment>
    <comment ref="Q55" authorId="0">
      <text>
        <r>
          <rPr>
            <b/>
            <sz val="8"/>
            <color indexed="81"/>
            <rFont val="Tahoma"/>
            <family val="2"/>
          </rPr>
          <t>Ratio of transportation to international providers</t>
        </r>
        <r>
          <rPr>
            <sz val="8"/>
            <color indexed="81"/>
            <rFont val="Tahoma"/>
            <family val="2"/>
          </rPr>
          <t xml:space="preserve">
</t>
        </r>
      </text>
    </comment>
    <comment ref="R55" authorId="0">
      <text>
        <r>
          <rPr>
            <b/>
            <sz val="8"/>
            <color indexed="81"/>
            <rFont val="Tahoma"/>
            <family val="2"/>
          </rPr>
          <t>Ratio of transportation to international providers</t>
        </r>
        <r>
          <rPr>
            <sz val="8"/>
            <color indexed="81"/>
            <rFont val="Tahoma"/>
            <family val="2"/>
          </rPr>
          <t xml:space="preserve">
</t>
        </r>
      </text>
    </comment>
    <comment ref="M56" authorId="0">
      <text>
        <r>
          <rPr>
            <b/>
            <sz val="8"/>
            <color indexed="81"/>
            <rFont val="Tahoma"/>
            <family val="2"/>
          </rPr>
          <t xml:space="preserve">Ratio of travel intermediaries
to international providers
</t>
        </r>
        <r>
          <rPr>
            <sz val="8"/>
            <color indexed="81"/>
            <rFont val="Tahoma"/>
            <family val="2"/>
          </rPr>
          <t xml:space="preserve">
</t>
        </r>
      </text>
    </comment>
    <comment ref="N56" authorId="0">
      <text>
        <r>
          <rPr>
            <b/>
            <sz val="8"/>
            <color indexed="81"/>
            <rFont val="Tahoma"/>
            <family val="2"/>
          </rPr>
          <t xml:space="preserve">Ratio of travel intermediaries
to international providers
</t>
        </r>
        <r>
          <rPr>
            <sz val="8"/>
            <color indexed="81"/>
            <rFont val="Tahoma"/>
            <family val="2"/>
          </rPr>
          <t xml:space="preserve">
</t>
        </r>
      </text>
    </comment>
    <comment ref="O56" authorId="0">
      <text>
        <r>
          <rPr>
            <b/>
            <sz val="8"/>
            <color indexed="81"/>
            <rFont val="Tahoma"/>
            <family val="2"/>
          </rPr>
          <t xml:space="preserve">Ratio of travel intermediaries
to international providers
</t>
        </r>
        <r>
          <rPr>
            <sz val="8"/>
            <color indexed="81"/>
            <rFont val="Tahoma"/>
            <family val="2"/>
          </rPr>
          <t xml:space="preserve">
</t>
        </r>
      </text>
    </comment>
    <comment ref="P56" authorId="0">
      <text>
        <r>
          <rPr>
            <b/>
            <sz val="8"/>
            <color indexed="81"/>
            <rFont val="Tahoma"/>
            <family val="2"/>
          </rPr>
          <t xml:space="preserve">Ratio of travel intermediaries
to international providers
</t>
        </r>
        <r>
          <rPr>
            <sz val="8"/>
            <color indexed="81"/>
            <rFont val="Tahoma"/>
            <family val="2"/>
          </rPr>
          <t xml:space="preserve">
</t>
        </r>
      </text>
    </comment>
    <comment ref="Q56" authorId="0">
      <text>
        <r>
          <rPr>
            <b/>
            <sz val="8"/>
            <color indexed="81"/>
            <rFont val="Tahoma"/>
            <family val="2"/>
          </rPr>
          <t xml:space="preserve">Ratio of travel intermediaries
to international providers
</t>
        </r>
        <r>
          <rPr>
            <sz val="8"/>
            <color indexed="81"/>
            <rFont val="Tahoma"/>
            <family val="2"/>
          </rPr>
          <t xml:space="preserve">
</t>
        </r>
      </text>
    </comment>
    <comment ref="R56" authorId="0">
      <text>
        <r>
          <rPr>
            <b/>
            <sz val="8"/>
            <color indexed="81"/>
            <rFont val="Tahoma"/>
            <family val="2"/>
          </rPr>
          <t xml:space="preserve">Ratio of travel intermediaries
to international providers
</t>
        </r>
        <r>
          <rPr>
            <sz val="8"/>
            <color indexed="81"/>
            <rFont val="Tahoma"/>
            <family val="2"/>
          </rPr>
          <t xml:space="preserve">
</t>
        </r>
      </text>
    </comment>
    <comment ref="M57" authorId="0">
      <text>
        <r>
          <rPr>
            <b/>
            <sz val="8"/>
            <color indexed="81"/>
            <rFont val="Tahoma"/>
            <family val="2"/>
          </rPr>
          <t>Ratio of others to international providers</t>
        </r>
        <r>
          <rPr>
            <sz val="8"/>
            <color indexed="81"/>
            <rFont val="Tahoma"/>
            <family val="2"/>
          </rPr>
          <t xml:space="preserve">
</t>
        </r>
      </text>
    </comment>
    <comment ref="N57" authorId="0">
      <text>
        <r>
          <rPr>
            <b/>
            <sz val="8"/>
            <color indexed="81"/>
            <rFont val="Tahoma"/>
            <family val="2"/>
          </rPr>
          <t>Ratio of others to international providers</t>
        </r>
        <r>
          <rPr>
            <sz val="8"/>
            <color indexed="81"/>
            <rFont val="Tahoma"/>
            <family val="2"/>
          </rPr>
          <t xml:space="preserve">
</t>
        </r>
      </text>
    </comment>
    <comment ref="O57" authorId="0">
      <text>
        <r>
          <rPr>
            <b/>
            <sz val="8"/>
            <color indexed="81"/>
            <rFont val="Tahoma"/>
            <family val="2"/>
          </rPr>
          <t>Ratio of others to international providers</t>
        </r>
        <r>
          <rPr>
            <sz val="8"/>
            <color indexed="81"/>
            <rFont val="Tahoma"/>
            <family val="2"/>
          </rPr>
          <t xml:space="preserve">
</t>
        </r>
      </text>
    </comment>
    <comment ref="P57" authorId="0">
      <text>
        <r>
          <rPr>
            <b/>
            <sz val="8"/>
            <color indexed="81"/>
            <rFont val="Tahoma"/>
            <family val="2"/>
          </rPr>
          <t>Ratio of others to international providers</t>
        </r>
        <r>
          <rPr>
            <sz val="8"/>
            <color indexed="81"/>
            <rFont val="Tahoma"/>
            <family val="2"/>
          </rPr>
          <t xml:space="preserve">
</t>
        </r>
      </text>
    </comment>
    <comment ref="Q57" authorId="0">
      <text>
        <r>
          <rPr>
            <b/>
            <sz val="8"/>
            <color indexed="81"/>
            <rFont val="Tahoma"/>
            <family val="2"/>
          </rPr>
          <t>Ratio of others to international providers</t>
        </r>
        <r>
          <rPr>
            <sz val="8"/>
            <color indexed="81"/>
            <rFont val="Tahoma"/>
            <family val="2"/>
          </rPr>
          <t xml:space="preserve">
</t>
        </r>
      </text>
    </comment>
    <comment ref="R57" authorId="0">
      <text>
        <r>
          <rPr>
            <b/>
            <sz val="8"/>
            <color indexed="81"/>
            <rFont val="Tahoma"/>
            <family val="2"/>
          </rPr>
          <t>Ratio of others to international providers</t>
        </r>
        <r>
          <rPr>
            <sz val="8"/>
            <color indexed="81"/>
            <rFont val="Tahoma"/>
            <family val="2"/>
          </rPr>
          <t xml:space="preserve">
</t>
        </r>
      </text>
    </comment>
    <comment ref="M59" authorId="0">
      <text>
        <r>
          <rPr>
            <b/>
            <sz val="8"/>
            <color indexed="81"/>
            <rFont val="Tahoma"/>
            <family val="2"/>
          </rPr>
          <t xml:space="preserve">Ratio of accommodation to domestic providers 
</t>
        </r>
        <r>
          <rPr>
            <sz val="8"/>
            <color indexed="81"/>
            <rFont val="Tahoma"/>
            <family val="2"/>
          </rPr>
          <t xml:space="preserve">
</t>
        </r>
      </text>
    </comment>
    <comment ref="N59" authorId="0">
      <text>
        <r>
          <rPr>
            <b/>
            <sz val="8"/>
            <color indexed="81"/>
            <rFont val="Tahoma"/>
            <family val="2"/>
          </rPr>
          <t xml:space="preserve">Ratio of accommodation to domestic providers 
</t>
        </r>
        <r>
          <rPr>
            <sz val="8"/>
            <color indexed="81"/>
            <rFont val="Tahoma"/>
            <family val="2"/>
          </rPr>
          <t xml:space="preserve">
</t>
        </r>
      </text>
    </comment>
    <comment ref="O59" authorId="0">
      <text>
        <r>
          <rPr>
            <b/>
            <sz val="8"/>
            <color indexed="81"/>
            <rFont val="Tahoma"/>
            <family val="2"/>
          </rPr>
          <t xml:space="preserve">Ratio of accommodation to domestic providers 
</t>
        </r>
        <r>
          <rPr>
            <sz val="8"/>
            <color indexed="81"/>
            <rFont val="Tahoma"/>
            <family val="2"/>
          </rPr>
          <t xml:space="preserve">
</t>
        </r>
      </text>
    </comment>
    <comment ref="P59" authorId="0">
      <text>
        <r>
          <rPr>
            <b/>
            <sz val="8"/>
            <color indexed="81"/>
            <rFont val="Tahoma"/>
            <family val="2"/>
          </rPr>
          <t xml:space="preserve">Ratio of accommodation to domestic providers 
</t>
        </r>
        <r>
          <rPr>
            <sz val="8"/>
            <color indexed="81"/>
            <rFont val="Tahoma"/>
            <family val="2"/>
          </rPr>
          <t xml:space="preserve">
</t>
        </r>
      </text>
    </comment>
    <comment ref="Q59" authorId="0">
      <text>
        <r>
          <rPr>
            <b/>
            <sz val="8"/>
            <color indexed="81"/>
            <rFont val="Tahoma"/>
            <family val="2"/>
          </rPr>
          <t xml:space="preserve">Ratio of accommodation to domestic providers 
</t>
        </r>
        <r>
          <rPr>
            <sz val="8"/>
            <color indexed="81"/>
            <rFont val="Tahoma"/>
            <family val="2"/>
          </rPr>
          <t xml:space="preserve">
</t>
        </r>
      </text>
    </comment>
    <comment ref="R59" authorId="0">
      <text>
        <r>
          <rPr>
            <b/>
            <sz val="8"/>
            <color indexed="81"/>
            <rFont val="Tahoma"/>
            <family val="2"/>
          </rPr>
          <t xml:space="preserve">Ratio of accommodation to domestic providers 
</t>
        </r>
        <r>
          <rPr>
            <sz val="8"/>
            <color indexed="81"/>
            <rFont val="Tahoma"/>
            <family val="2"/>
          </rPr>
          <t xml:space="preserve">
</t>
        </r>
      </text>
    </comment>
    <comment ref="M60" authorId="0">
      <text>
        <r>
          <rPr>
            <b/>
            <sz val="8"/>
            <color indexed="81"/>
            <rFont val="Tahoma"/>
            <family val="2"/>
          </rPr>
          <t xml:space="preserve">Ratio of entertainment &amp; sightseeing to domestic providers tourim 
</t>
        </r>
        <r>
          <rPr>
            <sz val="8"/>
            <color indexed="81"/>
            <rFont val="Tahoma"/>
            <family val="2"/>
          </rPr>
          <t xml:space="preserve">
</t>
        </r>
      </text>
    </comment>
    <comment ref="N60" authorId="0">
      <text>
        <r>
          <rPr>
            <b/>
            <sz val="8"/>
            <color indexed="81"/>
            <rFont val="Tahoma"/>
            <family val="2"/>
          </rPr>
          <t xml:space="preserve">Ratio of entertainment &amp; sightseeing to domestic providers tourim 
</t>
        </r>
        <r>
          <rPr>
            <sz val="8"/>
            <color indexed="81"/>
            <rFont val="Tahoma"/>
            <family val="2"/>
          </rPr>
          <t xml:space="preserve">
</t>
        </r>
      </text>
    </comment>
    <comment ref="O60" authorId="0">
      <text>
        <r>
          <rPr>
            <b/>
            <sz val="8"/>
            <color indexed="81"/>
            <rFont val="Tahoma"/>
            <family val="2"/>
          </rPr>
          <t xml:space="preserve">Ratio of entertainment &amp; sightseeing to domestic providers tourim 
</t>
        </r>
        <r>
          <rPr>
            <sz val="8"/>
            <color indexed="81"/>
            <rFont val="Tahoma"/>
            <family val="2"/>
          </rPr>
          <t xml:space="preserve">
</t>
        </r>
      </text>
    </comment>
    <comment ref="P60" authorId="0">
      <text>
        <r>
          <rPr>
            <b/>
            <sz val="8"/>
            <color indexed="81"/>
            <rFont val="Tahoma"/>
            <family val="2"/>
          </rPr>
          <t xml:space="preserve">Ratio of entertainment &amp; sightseeing to domestic providers tourim 
</t>
        </r>
        <r>
          <rPr>
            <sz val="8"/>
            <color indexed="81"/>
            <rFont val="Tahoma"/>
            <family val="2"/>
          </rPr>
          <t xml:space="preserve">
</t>
        </r>
      </text>
    </comment>
    <comment ref="Q60" authorId="0">
      <text>
        <r>
          <rPr>
            <b/>
            <sz val="8"/>
            <color indexed="81"/>
            <rFont val="Tahoma"/>
            <family val="2"/>
          </rPr>
          <t xml:space="preserve">Ratio of entertainment &amp; sightseeing to domestic providers tourim 
</t>
        </r>
        <r>
          <rPr>
            <sz val="8"/>
            <color indexed="81"/>
            <rFont val="Tahoma"/>
            <family val="2"/>
          </rPr>
          <t xml:space="preserve">
</t>
        </r>
      </text>
    </comment>
    <comment ref="R60" authorId="0">
      <text>
        <r>
          <rPr>
            <b/>
            <sz val="8"/>
            <color indexed="81"/>
            <rFont val="Tahoma"/>
            <family val="2"/>
          </rPr>
          <t xml:space="preserve">Ratio of entertainment &amp; sightseeing to domestic providers tourim 
</t>
        </r>
        <r>
          <rPr>
            <sz val="8"/>
            <color indexed="81"/>
            <rFont val="Tahoma"/>
            <family val="2"/>
          </rPr>
          <t xml:space="preserve">
</t>
        </r>
      </text>
    </comment>
    <comment ref="M61" authorId="0">
      <text>
        <r>
          <rPr>
            <b/>
            <sz val="8"/>
            <color indexed="81"/>
            <rFont val="Tahoma"/>
            <family val="2"/>
          </rPr>
          <t>Ratio of foodservice to domestic providers</t>
        </r>
        <r>
          <rPr>
            <sz val="8"/>
            <color indexed="81"/>
            <rFont val="Tahoma"/>
            <family val="2"/>
          </rPr>
          <t xml:space="preserve">
</t>
        </r>
      </text>
    </comment>
    <comment ref="N61" authorId="0">
      <text>
        <r>
          <rPr>
            <b/>
            <sz val="8"/>
            <color indexed="81"/>
            <rFont val="Tahoma"/>
            <family val="2"/>
          </rPr>
          <t>Ratio of foodservice to domestic providers</t>
        </r>
        <r>
          <rPr>
            <sz val="8"/>
            <color indexed="81"/>
            <rFont val="Tahoma"/>
            <family val="2"/>
          </rPr>
          <t xml:space="preserve">
</t>
        </r>
      </text>
    </comment>
    <comment ref="O61" authorId="0">
      <text>
        <r>
          <rPr>
            <b/>
            <sz val="8"/>
            <color indexed="81"/>
            <rFont val="Tahoma"/>
            <family val="2"/>
          </rPr>
          <t>Ratio of foodservice to domestic providers</t>
        </r>
        <r>
          <rPr>
            <sz val="8"/>
            <color indexed="81"/>
            <rFont val="Tahoma"/>
            <family val="2"/>
          </rPr>
          <t xml:space="preserve">
</t>
        </r>
      </text>
    </comment>
    <comment ref="P61" authorId="0">
      <text>
        <r>
          <rPr>
            <b/>
            <sz val="8"/>
            <color indexed="81"/>
            <rFont val="Tahoma"/>
            <family val="2"/>
          </rPr>
          <t>Ratio of foodservice to domestic providers</t>
        </r>
        <r>
          <rPr>
            <sz val="8"/>
            <color indexed="81"/>
            <rFont val="Tahoma"/>
            <family val="2"/>
          </rPr>
          <t xml:space="preserve">
</t>
        </r>
      </text>
    </comment>
    <comment ref="Q61" authorId="0">
      <text>
        <r>
          <rPr>
            <b/>
            <sz val="8"/>
            <color indexed="81"/>
            <rFont val="Tahoma"/>
            <family val="2"/>
          </rPr>
          <t>Ratio of foodservice to domestic providers</t>
        </r>
        <r>
          <rPr>
            <sz val="8"/>
            <color indexed="81"/>
            <rFont val="Tahoma"/>
            <family val="2"/>
          </rPr>
          <t xml:space="preserve">
</t>
        </r>
      </text>
    </comment>
    <comment ref="R61" authorId="0">
      <text>
        <r>
          <rPr>
            <b/>
            <sz val="8"/>
            <color indexed="81"/>
            <rFont val="Tahoma"/>
            <family val="2"/>
          </rPr>
          <t>Ratio of foodservice to domestic providers</t>
        </r>
        <r>
          <rPr>
            <sz val="8"/>
            <color indexed="81"/>
            <rFont val="Tahoma"/>
            <family val="2"/>
          </rPr>
          <t xml:space="preserve">
</t>
        </r>
      </text>
    </comment>
    <comment ref="M62" authorId="0">
      <text>
        <r>
          <rPr>
            <b/>
            <sz val="8"/>
            <color indexed="81"/>
            <rFont val="Tahoma"/>
            <family val="2"/>
          </rPr>
          <t>Ratio of retail to domestic providers</t>
        </r>
        <r>
          <rPr>
            <sz val="8"/>
            <color indexed="81"/>
            <rFont val="Tahoma"/>
            <family val="2"/>
          </rPr>
          <t xml:space="preserve">
</t>
        </r>
      </text>
    </comment>
    <comment ref="N62" authorId="0">
      <text>
        <r>
          <rPr>
            <b/>
            <sz val="8"/>
            <color indexed="81"/>
            <rFont val="Tahoma"/>
            <family val="2"/>
          </rPr>
          <t>Ratio of retail to domestic providers</t>
        </r>
        <r>
          <rPr>
            <sz val="8"/>
            <color indexed="81"/>
            <rFont val="Tahoma"/>
            <family val="2"/>
          </rPr>
          <t xml:space="preserve">
</t>
        </r>
      </text>
    </comment>
    <comment ref="O62" authorId="0">
      <text>
        <r>
          <rPr>
            <b/>
            <sz val="8"/>
            <color indexed="81"/>
            <rFont val="Tahoma"/>
            <family val="2"/>
          </rPr>
          <t>Ratio of retail to domestic providers</t>
        </r>
        <r>
          <rPr>
            <sz val="8"/>
            <color indexed="81"/>
            <rFont val="Tahoma"/>
            <family val="2"/>
          </rPr>
          <t xml:space="preserve">
</t>
        </r>
      </text>
    </comment>
    <comment ref="P62" authorId="0">
      <text>
        <r>
          <rPr>
            <b/>
            <sz val="8"/>
            <color indexed="81"/>
            <rFont val="Tahoma"/>
            <family val="2"/>
          </rPr>
          <t>Ratio of retail to domestic providers</t>
        </r>
        <r>
          <rPr>
            <sz val="8"/>
            <color indexed="81"/>
            <rFont val="Tahoma"/>
            <family val="2"/>
          </rPr>
          <t xml:space="preserve">
</t>
        </r>
      </text>
    </comment>
    <comment ref="Q62" authorId="0">
      <text>
        <r>
          <rPr>
            <b/>
            <sz val="8"/>
            <color indexed="81"/>
            <rFont val="Tahoma"/>
            <family val="2"/>
          </rPr>
          <t>Ratio of retail to domestic providers</t>
        </r>
        <r>
          <rPr>
            <sz val="8"/>
            <color indexed="81"/>
            <rFont val="Tahoma"/>
            <family val="2"/>
          </rPr>
          <t xml:space="preserve">
</t>
        </r>
      </text>
    </comment>
    <comment ref="R62" authorId="0">
      <text>
        <r>
          <rPr>
            <b/>
            <sz val="8"/>
            <color indexed="81"/>
            <rFont val="Tahoma"/>
            <family val="2"/>
          </rPr>
          <t>Ratio of retail to domestic providers</t>
        </r>
        <r>
          <rPr>
            <sz val="8"/>
            <color indexed="81"/>
            <rFont val="Tahoma"/>
            <family val="2"/>
          </rPr>
          <t xml:space="preserve">
</t>
        </r>
      </text>
    </comment>
    <comment ref="M63" authorId="0">
      <text>
        <r>
          <rPr>
            <b/>
            <sz val="8"/>
            <color indexed="81"/>
            <rFont val="Tahoma"/>
            <family val="2"/>
          </rPr>
          <t>Ratio of transportation to domestic providers</t>
        </r>
        <r>
          <rPr>
            <sz val="8"/>
            <color indexed="81"/>
            <rFont val="Tahoma"/>
            <family val="2"/>
          </rPr>
          <t xml:space="preserve">
</t>
        </r>
      </text>
    </comment>
    <comment ref="N63" authorId="0">
      <text>
        <r>
          <rPr>
            <b/>
            <sz val="8"/>
            <color indexed="81"/>
            <rFont val="Tahoma"/>
            <family val="2"/>
          </rPr>
          <t>Ratio of transportation to domestic providers</t>
        </r>
        <r>
          <rPr>
            <sz val="8"/>
            <color indexed="81"/>
            <rFont val="Tahoma"/>
            <family val="2"/>
          </rPr>
          <t xml:space="preserve">
</t>
        </r>
      </text>
    </comment>
    <comment ref="O63" authorId="0">
      <text>
        <r>
          <rPr>
            <b/>
            <sz val="8"/>
            <color indexed="81"/>
            <rFont val="Tahoma"/>
            <family val="2"/>
          </rPr>
          <t>Ratio of transportation to domestic providers</t>
        </r>
        <r>
          <rPr>
            <sz val="8"/>
            <color indexed="81"/>
            <rFont val="Tahoma"/>
            <family val="2"/>
          </rPr>
          <t xml:space="preserve">
</t>
        </r>
      </text>
    </comment>
    <comment ref="P63" authorId="0">
      <text>
        <r>
          <rPr>
            <b/>
            <sz val="8"/>
            <color indexed="81"/>
            <rFont val="Tahoma"/>
            <family val="2"/>
          </rPr>
          <t>Ratio of transportation to domestic providers</t>
        </r>
        <r>
          <rPr>
            <sz val="8"/>
            <color indexed="81"/>
            <rFont val="Tahoma"/>
            <family val="2"/>
          </rPr>
          <t xml:space="preserve">
</t>
        </r>
      </text>
    </comment>
    <comment ref="Q63" authorId="0">
      <text>
        <r>
          <rPr>
            <b/>
            <sz val="8"/>
            <color indexed="81"/>
            <rFont val="Tahoma"/>
            <family val="2"/>
          </rPr>
          <t>Ratio of transportation to domestic providers</t>
        </r>
        <r>
          <rPr>
            <sz val="8"/>
            <color indexed="81"/>
            <rFont val="Tahoma"/>
            <family val="2"/>
          </rPr>
          <t xml:space="preserve">
</t>
        </r>
      </text>
    </comment>
    <comment ref="R63" authorId="0">
      <text>
        <r>
          <rPr>
            <b/>
            <sz val="8"/>
            <color indexed="81"/>
            <rFont val="Tahoma"/>
            <family val="2"/>
          </rPr>
          <t>Ratio of transportation to domestic providers</t>
        </r>
        <r>
          <rPr>
            <sz val="8"/>
            <color indexed="81"/>
            <rFont val="Tahoma"/>
            <family val="2"/>
          </rPr>
          <t xml:space="preserve">
</t>
        </r>
      </text>
    </comment>
    <comment ref="M64" authorId="0">
      <text>
        <r>
          <rPr>
            <b/>
            <sz val="8"/>
            <color indexed="81"/>
            <rFont val="Tahoma"/>
            <family val="2"/>
          </rPr>
          <t xml:space="preserve">Ratio of travel intermediaries
to domestic providers
</t>
        </r>
        <r>
          <rPr>
            <sz val="8"/>
            <color indexed="81"/>
            <rFont val="Tahoma"/>
            <family val="2"/>
          </rPr>
          <t xml:space="preserve">
</t>
        </r>
      </text>
    </comment>
    <comment ref="N64" authorId="0">
      <text>
        <r>
          <rPr>
            <b/>
            <sz val="8"/>
            <color indexed="81"/>
            <rFont val="Tahoma"/>
            <family val="2"/>
          </rPr>
          <t xml:space="preserve">Ratio of travel intermediaries
to domestic providers
</t>
        </r>
        <r>
          <rPr>
            <sz val="8"/>
            <color indexed="81"/>
            <rFont val="Tahoma"/>
            <family val="2"/>
          </rPr>
          <t xml:space="preserve">
</t>
        </r>
      </text>
    </comment>
    <comment ref="O64" authorId="0">
      <text>
        <r>
          <rPr>
            <b/>
            <sz val="8"/>
            <color indexed="81"/>
            <rFont val="Tahoma"/>
            <family val="2"/>
          </rPr>
          <t xml:space="preserve">Ratio of travel intermediaries
to domestic providers
</t>
        </r>
        <r>
          <rPr>
            <sz val="8"/>
            <color indexed="81"/>
            <rFont val="Tahoma"/>
            <family val="2"/>
          </rPr>
          <t xml:space="preserve">
</t>
        </r>
      </text>
    </comment>
    <comment ref="P64" authorId="0">
      <text>
        <r>
          <rPr>
            <b/>
            <sz val="8"/>
            <color indexed="81"/>
            <rFont val="Tahoma"/>
            <family val="2"/>
          </rPr>
          <t xml:space="preserve">Ratio of travel intermediaries
to domestic providers
</t>
        </r>
        <r>
          <rPr>
            <sz val="8"/>
            <color indexed="81"/>
            <rFont val="Tahoma"/>
            <family val="2"/>
          </rPr>
          <t xml:space="preserve">
</t>
        </r>
      </text>
    </comment>
    <comment ref="Q64" authorId="0">
      <text>
        <r>
          <rPr>
            <b/>
            <sz val="8"/>
            <color indexed="81"/>
            <rFont val="Tahoma"/>
            <family val="2"/>
          </rPr>
          <t xml:space="preserve">Ratio of travel intermediaries
to domestic providers
</t>
        </r>
        <r>
          <rPr>
            <sz val="8"/>
            <color indexed="81"/>
            <rFont val="Tahoma"/>
            <family val="2"/>
          </rPr>
          <t xml:space="preserve">
</t>
        </r>
      </text>
    </comment>
    <comment ref="R64" authorId="0">
      <text>
        <r>
          <rPr>
            <b/>
            <sz val="8"/>
            <color indexed="81"/>
            <rFont val="Tahoma"/>
            <family val="2"/>
          </rPr>
          <t xml:space="preserve">Ratio of travel intermediaries
to domestic providers
</t>
        </r>
        <r>
          <rPr>
            <sz val="8"/>
            <color indexed="81"/>
            <rFont val="Tahoma"/>
            <family val="2"/>
          </rPr>
          <t xml:space="preserve">
</t>
        </r>
      </text>
    </comment>
    <comment ref="M65" authorId="0">
      <text>
        <r>
          <rPr>
            <b/>
            <sz val="8"/>
            <color indexed="81"/>
            <rFont val="Tahoma"/>
            <family val="2"/>
          </rPr>
          <t>Ratio of others to domestic providers</t>
        </r>
        <r>
          <rPr>
            <sz val="8"/>
            <color indexed="81"/>
            <rFont val="Tahoma"/>
            <family val="2"/>
          </rPr>
          <t xml:space="preserve">
</t>
        </r>
      </text>
    </comment>
    <comment ref="N65" authorId="0">
      <text>
        <r>
          <rPr>
            <b/>
            <sz val="8"/>
            <color indexed="81"/>
            <rFont val="Tahoma"/>
            <family val="2"/>
          </rPr>
          <t>Ratio of others to domestic providers</t>
        </r>
        <r>
          <rPr>
            <sz val="8"/>
            <color indexed="81"/>
            <rFont val="Tahoma"/>
            <family val="2"/>
          </rPr>
          <t xml:space="preserve">
</t>
        </r>
      </text>
    </comment>
    <comment ref="O65" authorId="0">
      <text>
        <r>
          <rPr>
            <b/>
            <sz val="8"/>
            <color indexed="81"/>
            <rFont val="Tahoma"/>
            <family val="2"/>
          </rPr>
          <t>Ratio of others to domestic providers</t>
        </r>
        <r>
          <rPr>
            <sz val="8"/>
            <color indexed="81"/>
            <rFont val="Tahoma"/>
            <family val="2"/>
          </rPr>
          <t xml:space="preserve">
</t>
        </r>
      </text>
    </comment>
    <comment ref="P65" authorId="0">
      <text>
        <r>
          <rPr>
            <b/>
            <sz val="8"/>
            <color indexed="81"/>
            <rFont val="Tahoma"/>
            <family val="2"/>
          </rPr>
          <t>Ratio of others to domestic providers</t>
        </r>
        <r>
          <rPr>
            <sz val="8"/>
            <color indexed="81"/>
            <rFont val="Tahoma"/>
            <family val="2"/>
          </rPr>
          <t xml:space="preserve">
</t>
        </r>
      </text>
    </comment>
    <comment ref="Q65" authorId="0">
      <text>
        <r>
          <rPr>
            <b/>
            <sz val="8"/>
            <color indexed="81"/>
            <rFont val="Tahoma"/>
            <family val="2"/>
          </rPr>
          <t>Ratio of others to domestic providers</t>
        </r>
        <r>
          <rPr>
            <sz val="8"/>
            <color indexed="81"/>
            <rFont val="Tahoma"/>
            <family val="2"/>
          </rPr>
          <t xml:space="preserve">
</t>
        </r>
      </text>
    </comment>
    <comment ref="R65" authorId="0">
      <text>
        <r>
          <rPr>
            <b/>
            <sz val="8"/>
            <color indexed="81"/>
            <rFont val="Tahoma"/>
            <family val="2"/>
          </rPr>
          <t>Ratio of others to domestic providers</t>
        </r>
        <r>
          <rPr>
            <sz val="8"/>
            <color indexed="81"/>
            <rFont val="Tahoma"/>
            <family val="2"/>
          </rPr>
          <t xml:space="preserve">
</t>
        </r>
      </text>
    </comment>
    <comment ref="M67" authorId="0">
      <text>
        <r>
          <rPr>
            <b/>
            <sz val="8"/>
            <color indexed="81"/>
            <rFont val="Tahoma"/>
            <family val="2"/>
          </rPr>
          <t>Ratio of dome
stic providers to total domestic expenditure including domestic providers</t>
        </r>
        <r>
          <rPr>
            <sz val="8"/>
            <color indexed="81"/>
            <rFont val="Tahoma"/>
            <family val="2"/>
          </rPr>
          <t xml:space="preserve">
</t>
        </r>
      </text>
    </comment>
    <comment ref="N67" authorId="0">
      <text>
        <r>
          <rPr>
            <b/>
            <sz val="8"/>
            <color indexed="81"/>
            <rFont val="Tahoma"/>
            <family val="2"/>
          </rPr>
          <t>Ratio of dome
stic providers to total domestic expenditure including domestic providers</t>
        </r>
        <r>
          <rPr>
            <sz val="8"/>
            <color indexed="81"/>
            <rFont val="Tahoma"/>
            <family val="2"/>
          </rPr>
          <t xml:space="preserve">
</t>
        </r>
      </text>
    </comment>
    <comment ref="O67" authorId="0">
      <text>
        <r>
          <rPr>
            <b/>
            <sz val="8"/>
            <color indexed="81"/>
            <rFont val="Tahoma"/>
            <family val="2"/>
          </rPr>
          <t>Ratio of dome
stic providers to total domestic expenditure including domestic providers</t>
        </r>
        <r>
          <rPr>
            <sz val="8"/>
            <color indexed="81"/>
            <rFont val="Tahoma"/>
            <family val="2"/>
          </rPr>
          <t xml:space="preserve">
</t>
        </r>
      </text>
    </comment>
    <comment ref="P67" authorId="0">
      <text>
        <r>
          <rPr>
            <b/>
            <sz val="8"/>
            <color indexed="81"/>
            <rFont val="Tahoma"/>
            <family val="2"/>
          </rPr>
          <t>Ratio of dome
stic providers to total domestic expenditure including domestic providers</t>
        </r>
        <r>
          <rPr>
            <sz val="8"/>
            <color indexed="81"/>
            <rFont val="Tahoma"/>
            <family val="2"/>
          </rPr>
          <t xml:space="preserve">
</t>
        </r>
      </text>
    </comment>
    <comment ref="Q67" authorId="0">
      <text>
        <r>
          <rPr>
            <b/>
            <sz val="8"/>
            <color indexed="81"/>
            <rFont val="Tahoma"/>
            <family val="2"/>
          </rPr>
          <t>Ratio of dome
stic providers to total domestic expenditure including domestic providers</t>
        </r>
        <r>
          <rPr>
            <sz val="8"/>
            <color indexed="81"/>
            <rFont val="Tahoma"/>
            <family val="2"/>
          </rPr>
          <t xml:space="preserve">
</t>
        </r>
      </text>
    </comment>
    <comment ref="R67" authorId="0">
      <text>
        <r>
          <rPr>
            <b/>
            <sz val="8"/>
            <color indexed="81"/>
            <rFont val="Tahoma"/>
            <family val="2"/>
          </rPr>
          <t>Ratio of dome
stic providers to total domestic expenditure including domestic providers</t>
        </r>
        <r>
          <rPr>
            <sz val="8"/>
            <color indexed="81"/>
            <rFont val="Tahoma"/>
            <family val="2"/>
          </rPr>
          <t xml:space="preserve">
</t>
        </r>
      </text>
    </comment>
    <comment ref="M70" authorId="0">
      <text>
        <r>
          <rPr>
            <b/>
            <sz val="8"/>
            <color indexed="81"/>
            <rFont val="Tahoma"/>
            <family val="2"/>
          </rPr>
          <t xml:space="preserve">Ratio of accommodation to direct tourism output 
</t>
        </r>
        <r>
          <rPr>
            <sz val="8"/>
            <color indexed="81"/>
            <rFont val="Tahoma"/>
            <family val="2"/>
          </rPr>
          <t xml:space="preserve">
</t>
        </r>
      </text>
    </comment>
    <comment ref="N70" authorId="0">
      <text>
        <r>
          <rPr>
            <b/>
            <sz val="8"/>
            <color indexed="81"/>
            <rFont val="Tahoma"/>
            <family val="2"/>
          </rPr>
          <t xml:space="preserve">Ratio of accommodation to direct tourism output 
</t>
        </r>
        <r>
          <rPr>
            <sz val="8"/>
            <color indexed="81"/>
            <rFont val="Tahoma"/>
            <family val="2"/>
          </rPr>
          <t xml:space="preserve">
</t>
        </r>
      </text>
    </comment>
    <comment ref="O70" authorId="0">
      <text>
        <r>
          <rPr>
            <b/>
            <sz val="8"/>
            <color indexed="81"/>
            <rFont val="Tahoma"/>
            <family val="2"/>
          </rPr>
          <t xml:space="preserve">Ratio of accommodation to direct tourism output 
</t>
        </r>
        <r>
          <rPr>
            <sz val="8"/>
            <color indexed="81"/>
            <rFont val="Tahoma"/>
            <family val="2"/>
          </rPr>
          <t xml:space="preserve">
</t>
        </r>
      </text>
    </comment>
    <comment ref="P70" authorId="0">
      <text>
        <r>
          <rPr>
            <b/>
            <sz val="8"/>
            <color indexed="81"/>
            <rFont val="Tahoma"/>
            <family val="2"/>
          </rPr>
          <t xml:space="preserve">Ratio of accommodation to direct tourism output 
</t>
        </r>
        <r>
          <rPr>
            <sz val="8"/>
            <color indexed="81"/>
            <rFont val="Tahoma"/>
            <family val="2"/>
          </rPr>
          <t xml:space="preserve">
</t>
        </r>
      </text>
    </comment>
    <comment ref="Q70" authorId="0">
      <text>
        <r>
          <rPr>
            <b/>
            <sz val="8"/>
            <color indexed="81"/>
            <rFont val="Tahoma"/>
            <family val="2"/>
          </rPr>
          <t xml:space="preserve">Ratio of accommodation to direct tourism output 
</t>
        </r>
        <r>
          <rPr>
            <sz val="8"/>
            <color indexed="81"/>
            <rFont val="Tahoma"/>
            <family val="2"/>
          </rPr>
          <t xml:space="preserve">
</t>
        </r>
      </text>
    </comment>
    <comment ref="R70" authorId="0">
      <text>
        <r>
          <rPr>
            <b/>
            <sz val="8"/>
            <color indexed="81"/>
            <rFont val="Tahoma"/>
            <family val="2"/>
          </rPr>
          <t xml:space="preserve">Ratio of accommodation to direct tourism output 
</t>
        </r>
        <r>
          <rPr>
            <sz val="8"/>
            <color indexed="81"/>
            <rFont val="Tahoma"/>
            <family val="2"/>
          </rPr>
          <t xml:space="preserve">
</t>
        </r>
      </text>
    </comment>
    <comment ref="M71" authorId="0">
      <text>
        <r>
          <rPr>
            <b/>
            <sz val="8"/>
            <color indexed="81"/>
            <rFont val="Tahoma"/>
            <family val="2"/>
          </rPr>
          <t>Ratio of entertainment &amp; sightseeing to direct tourism output</t>
        </r>
        <r>
          <rPr>
            <sz val="8"/>
            <color indexed="81"/>
            <rFont val="Tahoma"/>
            <family val="2"/>
          </rPr>
          <t xml:space="preserve">
</t>
        </r>
      </text>
    </comment>
    <comment ref="N71" authorId="0">
      <text>
        <r>
          <rPr>
            <b/>
            <sz val="8"/>
            <color indexed="81"/>
            <rFont val="Tahoma"/>
            <family val="2"/>
          </rPr>
          <t>Ratio of entertainment &amp; sightseeing to direct tourism output</t>
        </r>
        <r>
          <rPr>
            <sz val="8"/>
            <color indexed="81"/>
            <rFont val="Tahoma"/>
            <family val="2"/>
          </rPr>
          <t xml:space="preserve">
</t>
        </r>
      </text>
    </comment>
    <comment ref="O71" authorId="0">
      <text>
        <r>
          <rPr>
            <b/>
            <sz val="8"/>
            <color indexed="81"/>
            <rFont val="Tahoma"/>
            <family val="2"/>
          </rPr>
          <t>Ratio of entertainment &amp; sightseeing to direct tourism output</t>
        </r>
        <r>
          <rPr>
            <sz val="8"/>
            <color indexed="81"/>
            <rFont val="Tahoma"/>
            <family val="2"/>
          </rPr>
          <t xml:space="preserve">
</t>
        </r>
      </text>
    </comment>
    <comment ref="P71" authorId="0">
      <text>
        <r>
          <rPr>
            <b/>
            <sz val="8"/>
            <color indexed="81"/>
            <rFont val="Tahoma"/>
            <family val="2"/>
          </rPr>
          <t>Ratio of entertainment &amp; sightseeing to direct tourism output</t>
        </r>
        <r>
          <rPr>
            <sz val="8"/>
            <color indexed="81"/>
            <rFont val="Tahoma"/>
            <family val="2"/>
          </rPr>
          <t xml:space="preserve">
</t>
        </r>
      </text>
    </comment>
    <comment ref="Q71" authorId="0">
      <text>
        <r>
          <rPr>
            <b/>
            <sz val="8"/>
            <color indexed="81"/>
            <rFont val="Tahoma"/>
            <family val="2"/>
          </rPr>
          <t>Ratio of entertainment &amp; sightseeing to direct tourism output</t>
        </r>
        <r>
          <rPr>
            <sz val="8"/>
            <color indexed="81"/>
            <rFont val="Tahoma"/>
            <family val="2"/>
          </rPr>
          <t xml:space="preserve">
</t>
        </r>
      </text>
    </comment>
    <comment ref="R71" authorId="0">
      <text>
        <r>
          <rPr>
            <b/>
            <sz val="8"/>
            <color indexed="81"/>
            <rFont val="Tahoma"/>
            <family val="2"/>
          </rPr>
          <t>Ratio of entertainment &amp; sightseeing to direct tourism output</t>
        </r>
        <r>
          <rPr>
            <sz val="8"/>
            <color indexed="81"/>
            <rFont val="Tahoma"/>
            <family val="2"/>
          </rPr>
          <t xml:space="preserve">
</t>
        </r>
      </text>
    </comment>
    <comment ref="M72" authorId="0">
      <text>
        <r>
          <rPr>
            <b/>
            <sz val="8"/>
            <color indexed="81"/>
            <rFont val="Tahoma"/>
            <family val="2"/>
          </rPr>
          <t>Ratio of foodservice to direct tourism output</t>
        </r>
      </text>
    </comment>
    <comment ref="N72" authorId="0">
      <text>
        <r>
          <rPr>
            <b/>
            <sz val="8"/>
            <color indexed="81"/>
            <rFont val="Tahoma"/>
            <family val="2"/>
          </rPr>
          <t>Ratio of foodservice to direct tourism output</t>
        </r>
      </text>
    </comment>
    <comment ref="O72" authorId="0">
      <text>
        <r>
          <rPr>
            <b/>
            <sz val="8"/>
            <color indexed="81"/>
            <rFont val="Tahoma"/>
            <family val="2"/>
          </rPr>
          <t>Ratio of foodservice to direct tourism output</t>
        </r>
      </text>
    </comment>
    <comment ref="P72" authorId="0">
      <text>
        <r>
          <rPr>
            <b/>
            <sz val="8"/>
            <color indexed="81"/>
            <rFont val="Tahoma"/>
            <family val="2"/>
          </rPr>
          <t>Ratio of foodservice to direct tourism output</t>
        </r>
      </text>
    </comment>
    <comment ref="Q72" authorId="0">
      <text>
        <r>
          <rPr>
            <b/>
            <sz val="8"/>
            <color indexed="81"/>
            <rFont val="Tahoma"/>
            <family val="2"/>
          </rPr>
          <t>Ratio of foodservice to direct tourism output</t>
        </r>
      </text>
    </comment>
    <comment ref="R72" authorId="0">
      <text>
        <r>
          <rPr>
            <b/>
            <sz val="8"/>
            <color indexed="81"/>
            <rFont val="Tahoma"/>
            <family val="2"/>
          </rPr>
          <t>Ratio of foodservice to direct tourism output</t>
        </r>
      </text>
    </comment>
    <comment ref="M73" authorId="0">
      <text>
        <r>
          <rPr>
            <b/>
            <sz val="8"/>
            <color indexed="81"/>
            <rFont val="Tahoma"/>
            <family val="2"/>
          </rPr>
          <t>Ratio of retail to direct tourism output</t>
        </r>
      </text>
    </comment>
    <comment ref="N73" authorId="0">
      <text>
        <r>
          <rPr>
            <b/>
            <sz val="8"/>
            <color indexed="81"/>
            <rFont val="Tahoma"/>
            <family val="2"/>
          </rPr>
          <t>Ratio of retail to direct tourism output</t>
        </r>
      </text>
    </comment>
    <comment ref="O73" authorId="0">
      <text>
        <r>
          <rPr>
            <b/>
            <sz val="8"/>
            <color indexed="81"/>
            <rFont val="Tahoma"/>
            <family val="2"/>
          </rPr>
          <t>Ratio of retail to direct tourism output</t>
        </r>
      </text>
    </comment>
    <comment ref="P73" authorId="0">
      <text>
        <r>
          <rPr>
            <b/>
            <sz val="8"/>
            <color indexed="81"/>
            <rFont val="Tahoma"/>
            <family val="2"/>
          </rPr>
          <t>Ratio of retail to direct tourism output</t>
        </r>
      </text>
    </comment>
    <comment ref="Q73" authorId="0">
      <text>
        <r>
          <rPr>
            <b/>
            <sz val="8"/>
            <color indexed="81"/>
            <rFont val="Tahoma"/>
            <family val="2"/>
          </rPr>
          <t>Ratio of retail to direct tourism output</t>
        </r>
      </text>
    </comment>
    <comment ref="R73" authorId="0">
      <text>
        <r>
          <rPr>
            <b/>
            <sz val="8"/>
            <color indexed="81"/>
            <rFont val="Tahoma"/>
            <family val="2"/>
          </rPr>
          <t>Ratio of retail to direct tourism output</t>
        </r>
      </text>
    </comment>
    <comment ref="M74" authorId="0">
      <text>
        <r>
          <rPr>
            <b/>
            <sz val="8"/>
            <color indexed="81"/>
            <rFont val="Tahoma"/>
            <family val="2"/>
          </rPr>
          <t>Ratio of transportation to direct tourism output</t>
        </r>
        <r>
          <rPr>
            <sz val="8"/>
            <color indexed="81"/>
            <rFont val="Tahoma"/>
            <family val="2"/>
          </rPr>
          <t xml:space="preserve">
</t>
        </r>
      </text>
    </comment>
    <comment ref="N74" authorId="0">
      <text>
        <r>
          <rPr>
            <b/>
            <sz val="8"/>
            <color indexed="81"/>
            <rFont val="Tahoma"/>
            <family val="2"/>
          </rPr>
          <t>Ratio of transportation to direct tourism output</t>
        </r>
        <r>
          <rPr>
            <sz val="8"/>
            <color indexed="81"/>
            <rFont val="Tahoma"/>
            <family val="2"/>
          </rPr>
          <t xml:space="preserve">
</t>
        </r>
      </text>
    </comment>
    <comment ref="O74" authorId="0">
      <text>
        <r>
          <rPr>
            <b/>
            <sz val="8"/>
            <color indexed="81"/>
            <rFont val="Tahoma"/>
            <family val="2"/>
          </rPr>
          <t>Ratio of transportation to direct tourism output</t>
        </r>
        <r>
          <rPr>
            <sz val="8"/>
            <color indexed="81"/>
            <rFont val="Tahoma"/>
            <family val="2"/>
          </rPr>
          <t xml:space="preserve">
</t>
        </r>
      </text>
    </comment>
    <comment ref="P74" authorId="0">
      <text>
        <r>
          <rPr>
            <b/>
            <sz val="8"/>
            <color indexed="81"/>
            <rFont val="Tahoma"/>
            <family val="2"/>
          </rPr>
          <t>Ratio of transportation to direct tourism output</t>
        </r>
        <r>
          <rPr>
            <sz val="8"/>
            <color indexed="81"/>
            <rFont val="Tahoma"/>
            <family val="2"/>
          </rPr>
          <t xml:space="preserve">
</t>
        </r>
      </text>
    </comment>
    <comment ref="Q74" authorId="0">
      <text>
        <r>
          <rPr>
            <b/>
            <sz val="8"/>
            <color indexed="81"/>
            <rFont val="Tahoma"/>
            <family val="2"/>
          </rPr>
          <t>Ratio of transportation to direct tourism output</t>
        </r>
        <r>
          <rPr>
            <sz val="8"/>
            <color indexed="81"/>
            <rFont val="Tahoma"/>
            <family val="2"/>
          </rPr>
          <t xml:space="preserve">
</t>
        </r>
      </text>
    </comment>
    <comment ref="R74" authorId="0">
      <text>
        <r>
          <rPr>
            <b/>
            <sz val="8"/>
            <color indexed="81"/>
            <rFont val="Tahoma"/>
            <family val="2"/>
          </rPr>
          <t>Ratio of transportation to direct tourism output</t>
        </r>
        <r>
          <rPr>
            <sz val="8"/>
            <color indexed="81"/>
            <rFont val="Tahoma"/>
            <family val="2"/>
          </rPr>
          <t xml:space="preserve">
</t>
        </r>
      </text>
    </comment>
    <comment ref="M75" authorId="0">
      <text>
        <r>
          <rPr>
            <b/>
            <sz val="8"/>
            <color indexed="81"/>
            <rFont val="Tahoma"/>
            <family val="2"/>
          </rPr>
          <t>Ratio of travel intermediaries
to direct tourism output</t>
        </r>
        <r>
          <rPr>
            <sz val="8"/>
            <color indexed="81"/>
            <rFont val="Tahoma"/>
            <family val="2"/>
          </rPr>
          <t xml:space="preserve">
</t>
        </r>
      </text>
    </comment>
    <comment ref="N75" authorId="0">
      <text>
        <r>
          <rPr>
            <b/>
            <sz val="8"/>
            <color indexed="81"/>
            <rFont val="Tahoma"/>
            <family val="2"/>
          </rPr>
          <t>Ratio of travel intermediaries
to direct tourism output</t>
        </r>
        <r>
          <rPr>
            <sz val="8"/>
            <color indexed="81"/>
            <rFont val="Tahoma"/>
            <family val="2"/>
          </rPr>
          <t xml:space="preserve">
</t>
        </r>
      </text>
    </comment>
    <comment ref="O75" authorId="0">
      <text>
        <r>
          <rPr>
            <b/>
            <sz val="8"/>
            <color indexed="81"/>
            <rFont val="Tahoma"/>
            <family val="2"/>
          </rPr>
          <t>Ratio of travel intermediaries
to direct tourism output</t>
        </r>
        <r>
          <rPr>
            <sz val="8"/>
            <color indexed="81"/>
            <rFont val="Tahoma"/>
            <family val="2"/>
          </rPr>
          <t xml:space="preserve">
</t>
        </r>
      </text>
    </comment>
    <comment ref="P75" authorId="0">
      <text>
        <r>
          <rPr>
            <b/>
            <sz val="8"/>
            <color indexed="81"/>
            <rFont val="Tahoma"/>
            <family val="2"/>
          </rPr>
          <t>Ratio of travel intermediaries
to direct tourism output</t>
        </r>
        <r>
          <rPr>
            <sz val="8"/>
            <color indexed="81"/>
            <rFont val="Tahoma"/>
            <family val="2"/>
          </rPr>
          <t xml:space="preserve">
</t>
        </r>
      </text>
    </comment>
    <comment ref="Q75" authorId="0">
      <text>
        <r>
          <rPr>
            <b/>
            <sz val="8"/>
            <color indexed="81"/>
            <rFont val="Tahoma"/>
            <family val="2"/>
          </rPr>
          <t>Ratio of travel intermediaries
to direct tourism output</t>
        </r>
        <r>
          <rPr>
            <sz val="8"/>
            <color indexed="81"/>
            <rFont val="Tahoma"/>
            <family val="2"/>
          </rPr>
          <t xml:space="preserve">
</t>
        </r>
      </text>
    </comment>
    <comment ref="R75" authorId="0">
      <text>
        <r>
          <rPr>
            <b/>
            <sz val="8"/>
            <color indexed="81"/>
            <rFont val="Tahoma"/>
            <family val="2"/>
          </rPr>
          <t>Ratio of travel intermediaries
to direct tourism output</t>
        </r>
        <r>
          <rPr>
            <sz val="8"/>
            <color indexed="81"/>
            <rFont val="Tahoma"/>
            <family val="2"/>
          </rPr>
          <t xml:space="preserve">
</t>
        </r>
      </text>
    </comment>
    <comment ref="M76" authorId="0">
      <text>
        <r>
          <rPr>
            <b/>
            <sz val="8"/>
            <color indexed="81"/>
            <rFont val="Tahoma"/>
            <family val="2"/>
          </rPr>
          <t>Ratio of others to direct tourism output</t>
        </r>
      </text>
    </comment>
    <comment ref="N76" authorId="0">
      <text>
        <r>
          <rPr>
            <b/>
            <sz val="8"/>
            <color indexed="81"/>
            <rFont val="Tahoma"/>
            <family val="2"/>
          </rPr>
          <t>Ratio of others to direct tourism output</t>
        </r>
      </text>
    </comment>
    <comment ref="O76" authorId="0">
      <text>
        <r>
          <rPr>
            <b/>
            <sz val="8"/>
            <color indexed="81"/>
            <rFont val="Tahoma"/>
            <family val="2"/>
          </rPr>
          <t>Ratio of others to direct tourism output</t>
        </r>
      </text>
    </comment>
    <comment ref="P76" authorId="0">
      <text>
        <r>
          <rPr>
            <b/>
            <sz val="8"/>
            <color indexed="81"/>
            <rFont val="Tahoma"/>
            <family val="2"/>
          </rPr>
          <t>Ratio of others to direct tourism output</t>
        </r>
      </text>
    </comment>
    <comment ref="Q76" authorId="0">
      <text>
        <r>
          <rPr>
            <b/>
            <sz val="8"/>
            <color indexed="81"/>
            <rFont val="Tahoma"/>
            <family val="2"/>
          </rPr>
          <t>Ratio of others to direct tourism output</t>
        </r>
      </text>
    </comment>
    <comment ref="R76" authorId="0">
      <text>
        <r>
          <rPr>
            <b/>
            <sz val="8"/>
            <color indexed="81"/>
            <rFont val="Tahoma"/>
            <family val="2"/>
          </rPr>
          <t>Ratio of others to direct tourism output</t>
        </r>
      </text>
    </comment>
    <comment ref="M77" authorId="0">
      <text>
        <r>
          <rPr>
            <b/>
            <sz val="8"/>
            <color indexed="81"/>
            <rFont val="Tahoma"/>
            <family val="2"/>
          </rPr>
          <t>Ratio of indirect tourism output to direct tourism output</t>
        </r>
        <r>
          <rPr>
            <sz val="8"/>
            <color indexed="81"/>
            <rFont val="Tahoma"/>
            <family val="2"/>
          </rPr>
          <t xml:space="preserve">
</t>
        </r>
      </text>
    </comment>
    <comment ref="N77" authorId="0">
      <text>
        <r>
          <rPr>
            <b/>
            <sz val="8"/>
            <color indexed="81"/>
            <rFont val="Tahoma"/>
            <family val="2"/>
          </rPr>
          <t>Ratio of indirect tourism output to direct tourism output</t>
        </r>
        <r>
          <rPr>
            <sz val="8"/>
            <color indexed="81"/>
            <rFont val="Tahoma"/>
            <family val="2"/>
          </rPr>
          <t xml:space="preserve">
</t>
        </r>
      </text>
    </comment>
    <comment ref="O77" authorId="0">
      <text>
        <r>
          <rPr>
            <b/>
            <sz val="8"/>
            <color indexed="81"/>
            <rFont val="Tahoma"/>
            <family val="2"/>
          </rPr>
          <t>Ratio of indirect tourism output to direct tourism output</t>
        </r>
        <r>
          <rPr>
            <sz val="8"/>
            <color indexed="81"/>
            <rFont val="Tahoma"/>
            <family val="2"/>
          </rPr>
          <t xml:space="preserve">
</t>
        </r>
      </text>
    </comment>
    <comment ref="P77" authorId="0">
      <text>
        <r>
          <rPr>
            <b/>
            <sz val="8"/>
            <color indexed="81"/>
            <rFont val="Tahoma"/>
            <family val="2"/>
          </rPr>
          <t>Ratio of indirect tourism output to direct tourism output</t>
        </r>
        <r>
          <rPr>
            <sz val="8"/>
            <color indexed="81"/>
            <rFont val="Tahoma"/>
            <family val="2"/>
          </rPr>
          <t xml:space="preserve">
</t>
        </r>
      </text>
    </comment>
    <comment ref="Q77" authorId="0">
      <text>
        <r>
          <rPr>
            <b/>
            <sz val="8"/>
            <color indexed="81"/>
            <rFont val="Tahoma"/>
            <family val="2"/>
          </rPr>
          <t>Ratio of indirect tourism output to direct tourism output</t>
        </r>
        <r>
          <rPr>
            <sz val="8"/>
            <color indexed="81"/>
            <rFont val="Tahoma"/>
            <family val="2"/>
          </rPr>
          <t xml:space="preserve">
</t>
        </r>
      </text>
    </comment>
    <comment ref="R77" authorId="0">
      <text>
        <r>
          <rPr>
            <b/>
            <sz val="8"/>
            <color indexed="81"/>
            <rFont val="Tahoma"/>
            <family val="2"/>
          </rPr>
          <t>Ratio of indirect tourism output to direct tourism output</t>
        </r>
        <r>
          <rPr>
            <sz val="8"/>
            <color indexed="81"/>
            <rFont val="Tahoma"/>
            <family val="2"/>
          </rPr>
          <t xml:space="preserve">
</t>
        </r>
      </text>
    </comment>
    <comment ref="M78" authorId="0">
      <text>
        <r>
          <rPr>
            <b/>
            <sz val="8"/>
            <color indexed="81"/>
            <rFont val="Tahoma"/>
            <family val="2"/>
          </rPr>
          <t xml:space="preserve">Ratio of accommodation to indirect tourism output 
</t>
        </r>
        <r>
          <rPr>
            <sz val="8"/>
            <color indexed="81"/>
            <rFont val="Tahoma"/>
            <family val="2"/>
          </rPr>
          <t xml:space="preserve">
</t>
        </r>
      </text>
    </comment>
    <comment ref="N78" authorId="0">
      <text>
        <r>
          <rPr>
            <b/>
            <sz val="8"/>
            <color indexed="81"/>
            <rFont val="Tahoma"/>
            <family val="2"/>
          </rPr>
          <t xml:space="preserve">Ratio of accommodation to indirect tourism output 
</t>
        </r>
        <r>
          <rPr>
            <sz val="8"/>
            <color indexed="81"/>
            <rFont val="Tahoma"/>
            <family val="2"/>
          </rPr>
          <t xml:space="preserve">
</t>
        </r>
      </text>
    </comment>
    <comment ref="O78" authorId="0">
      <text>
        <r>
          <rPr>
            <b/>
            <sz val="8"/>
            <color indexed="81"/>
            <rFont val="Tahoma"/>
            <family val="2"/>
          </rPr>
          <t xml:space="preserve">Ratio of accommodation to indirect tourism output 
</t>
        </r>
        <r>
          <rPr>
            <sz val="8"/>
            <color indexed="81"/>
            <rFont val="Tahoma"/>
            <family val="2"/>
          </rPr>
          <t xml:space="preserve">
</t>
        </r>
      </text>
    </comment>
    <comment ref="P78" authorId="0">
      <text>
        <r>
          <rPr>
            <b/>
            <sz val="8"/>
            <color indexed="81"/>
            <rFont val="Tahoma"/>
            <family val="2"/>
          </rPr>
          <t xml:space="preserve">Ratio of accommodation to indirect tourism output 
</t>
        </r>
        <r>
          <rPr>
            <sz val="8"/>
            <color indexed="81"/>
            <rFont val="Tahoma"/>
            <family val="2"/>
          </rPr>
          <t xml:space="preserve">
</t>
        </r>
      </text>
    </comment>
    <comment ref="Q78" authorId="0">
      <text>
        <r>
          <rPr>
            <b/>
            <sz val="8"/>
            <color indexed="81"/>
            <rFont val="Tahoma"/>
            <family val="2"/>
          </rPr>
          <t xml:space="preserve">Ratio of accommodation to indirect tourism output 
</t>
        </r>
        <r>
          <rPr>
            <sz val="8"/>
            <color indexed="81"/>
            <rFont val="Tahoma"/>
            <family val="2"/>
          </rPr>
          <t xml:space="preserve">
</t>
        </r>
      </text>
    </comment>
    <comment ref="R78" authorId="0">
      <text>
        <r>
          <rPr>
            <b/>
            <sz val="8"/>
            <color indexed="81"/>
            <rFont val="Tahoma"/>
            <family val="2"/>
          </rPr>
          <t xml:space="preserve">Ratio of accommodation to indirect tourism output 
</t>
        </r>
        <r>
          <rPr>
            <sz val="8"/>
            <color indexed="81"/>
            <rFont val="Tahoma"/>
            <family val="2"/>
          </rPr>
          <t xml:space="preserve">
</t>
        </r>
      </text>
    </comment>
    <comment ref="M79" authorId="0">
      <text>
        <r>
          <rPr>
            <b/>
            <sz val="8"/>
            <color indexed="81"/>
            <rFont val="Tahoma"/>
            <family val="2"/>
          </rPr>
          <t>Ratio of entertainment &amp; sightseeing to indirect tourism output</t>
        </r>
        <r>
          <rPr>
            <sz val="8"/>
            <color indexed="81"/>
            <rFont val="Tahoma"/>
            <family val="2"/>
          </rPr>
          <t xml:space="preserve">
</t>
        </r>
      </text>
    </comment>
    <comment ref="N79" authorId="0">
      <text>
        <r>
          <rPr>
            <b/>
            <sz val="8"/>
            <color indexed="81"/>
            <rFont val="Tahoma"/>
            <family val="2"/>
          </rPr>
          <t>Ratio of entertainment &amp; sightseeing to indirect tourism output</t>
        </r>
        <r>
          <rPr>
            <sz val="8"/>
            <color indexed="81"/>
            <rFont val="Tahoma"/>
            <family val="2"/>
          </rPr>
          <t xml:space="preserve">
</t>
        </r>
      </text>
    </comment>
    <comment ref="O79" authorId="0">
      <text>
        <r>
          <rPr>
            <b/>
            <sz val="8"/>
            <color indexed="81"/>
            <rFont val="Tahoma"/>
            <family val="2"/>
          </rPr>
          <t>Ratio of entertainment &amp; sightseeing to indirect tourism output</t>
        </r>
        <r>
          <rPr>
            <sz val="8"/>
            <color indexed="81"/>
            <rFont val="Tahoma"/>
            <family val="2"/>
          </rPr>
          <t xml:space="preserve">
</t>
        </r>
      </text>
    </comment>
    <comment ref="P79" authorId="0">
      <text>
        <r>
          <rPr>
            <b/>
            <sz val="8"/>
            <color indexed="81"/>
            <rFont val="Tahoma"/>
            <family val="2"/>
          </rPr>
          <t>Ratio of entertainment &amp; sightseeing to indirect tourism output</t>
        </r>
        <r>
          <rPr>
            <sz val="8"/>
            <color indexed="81"/>
            <rFont val="Tahoma"/>
            <family val="2"/>
          </rPr>
          <t xml:space="preserve">
</t>
        </r>
      </text>
    </comment>
    <comment ref="Q79" authorId="0">
      <text>
        <r>
          <rPr>
            <b/>
            <sz val="8"/>
            <color indexed="81"/>
            <rFont val="Tahoma"/>
            <family val="2"/>
          </rPr>
          <t>Ratio of entertainment &amp; sightseeing to indirect tourism output</t>
        </r>
        <r>
          <rPr>
            <sz val="8"/>
            <color indexed="81"/>
            <rFont val="Tahoma"/>
            <family val="2"/>
          </rPr>
          <t xml:space="preserve">
</t>
        </r>
      </text>
    </comment>
    <comment ref="R79" authorId="0">
      <text>
        <r>
          <rPr>
            <b/>
            <sz val="8"/>
            <color indexed="81"/>
            <rFont val="Tahoma"/>
            <family val="2"/>
          </rPr>
          <t>Ratio of entertainment &amp; sightseeing to indirect tourism output</t>
        </r>
        <r>
          <rPr>
            <sz val="8"/>
            <color indexed="81"/>
            <rFont val="Tahoma"/>
            <family val="2"/>
          </rPr>
          <t xml:space="preserve">
</t>
        </r>
      </text>
    </comment>
    <comment ref="M80" authorId="0">
      <text>
        <r>
          <rPr>
            <b/>
            <sz val="8"/>
            <color indexed="81"/>
            <rFont val="Tahoma"/>
            <family val="2"/>
          </rPr>
          <t>Ratio of foodservice to indirect tourism output</t>
        </r>
      </text>
    </comment>
    <comment ref="N80" authorId="0">
      <text>
        <r>
          <rPr>
            <b/>
            <sz val="8"/>
            <color indexed="81"/>
            <rFont val="Tahoma"/>
            <family val="2"/>
          </rPr>
          <t>Ratio of foodservice to indirect tourism output</t>
        </r>
      </text>
    </comment>
    <comment ref="O80" authorId="0">
      <text>
        <r>
          <rPr>
            <b/>
            <sz val="8"/>
            <color indexed="81"/>
            <rFont val="Tahoma"/>
            <family val="2"/>
          </rPr>
          <t>Ratio of foodservice to indirect tourism output</t>
        </r>
      </text>
    </comment>
    <comment ref="P80" authorId="0">
      <text>
        <r>
          <rPr>
            <b/>
            <sz val="8"/>
            <color indexed="81"/>
            <rFont val="Tahoma"/>
            <family val="2"/>
          </rPr>
          <t>Ratio of foodservice to indirect tourism output</t>
        </r>
      </text>
    </comment>
    <comment ref="Q80" authorId="0">
      <text>
        <r>
          <rPr>
            <b/>
            <sz val="8"/>
            <color indexed="81"/>
            <rFont val="Tahoma"/>
            <family val="2"/>
          </rPr>
          <t>Ratio of foodservice to indirect tourism output</t>
        </r>
      </text>
    </comment>
    <comment ref="R80" authorId="0">
      <text>
        <r>
          <rPr>
            <b/>
            <sz val="8"/>
            <color indexed="81"/>
            <rFont val="Tahoma"/>
            <family val="2"/>
          </rPr>
          <t>Ratio of foodservice to indirect tourism output</t>
        </r>
      </text>
    </comment>
    <comment ref="M81" authorId="0">
      <text>
        <r>
          <rPr>
            <b/>
            <sz val="8"/>
            <color indexed="81"/>
            <rFont val="Tahoma"/>
            <family val="2"/>
          </rPr>
          <t>Ratio of retail to indirect tourism output</t>
        </r>
      </text>
    </comment>
    <comment ref="N81" authorId="0">
      <text>
        <r>
          <rPr>
            <b/>
            <sz val="8"/>
            <color indexed="81"/>
            <rFont val="Tahoma"/>
            <family val="2"/>
          </rPr>
          <t>Ratio of retail to indirect tourism output</t>
        </r>
      </text>
    </comment>
    <comment ref="O81" authorId="0">
      <text>
        <r>
          <rPr>
            <b/>
            <sz val="8"/>
            <color indexed="81"/>
            <rFont val="Tahoma"/>
            <family val="2"/>
          </rPr>
          <t>Ratio of retail to indirect tourism output</t>
        </r>
      </text>
    </comment>
    <comment ref="P81" authorId="0">
      <text>
        <r>
          <rPr>
            <b/>
            <sz val="8"/>
            <color indexed="81"/>
            <rFont val="Tahoma"/>
            <family val="2"/>
          </rPr>
          <t>Ratio of retail to indirect tourism output</t>
        </r>
      </text>
    </comment>
    <comment ref="Q81" authorId="0">
      <text>
        <r>
          <rPr>
            <b/>
            <sz val="8"/>
            <color indexed="81"/>
            <rFont val="Tahoma"/>
            <family val="2"/>
          </rPr>
          <t>Ratio of retail to indirect tourism output</t>
        </r>
      </text>
    </comment>
    <comment ref="R81" authorId="0">
      <text>
        <r>
          <rPr>
            <b/>
            <sz val="8"/>
            <color indexed="81"/>
            <rFont val="Tahoma"/>
            <family val="2"/>
          </rPr>
          <t>Ratio of retail to indirect tourism output</t>
        </r>
      </text>
    </comment>
    <comment ref="M82" authorId="0">
      <text>
        <r>
          <rPr>
            <b/>
            <sz val="8"/>
            <color indexed="81"/>
            <rFont val="Tahoma"/>
            <family val="2"/>
          </rPr>
          <t>Ratio of transportation to indirect tourism output</t>
        </r>
        <r>
          <rPr>
            <sz val="8"/>
            <color indexed="81"/>
            <rFont val="Tahoma"/>
            <family val="2"/>
          </rPr>
          <t xml:space="preserve">
</t>
        </r>
      </text>
    </comment>
    <comment ref="N82" authorId="0">
      <text>
        <r>
          <rPr>
            <b/>
            <sz val="8"/>
            <color indexed="81"/>
            <rFont val="Tahoma"/>
            <family val="2"/>
          </rPr>
          <t>Ratio of transportation to indirect tourism output</t>
        </r>
        <r>
          <rPr>
            <sz val="8"/>
            <color indexed="81"/>
            <rFont val="Tahoma"/>
            <family val="2"/>
          </rPr>
          <t xml:space="preserve">
</t>
        </r>
      </text>
    </comment>
    <comment ref="O82" authorId="0">
      <text>
        <r>
          <rPr>
            <b/>
            <sz val="8"/>
            <color indexed="81"/>
            <rFont val="Tahoma"/>
            <family val="2"/>
          </rPr>
          <t>Ratio of transportation to indirect tourism output</t>
        </r>
        <r>
          <rPr>
            <sz val="8"/>
            <color indexed="81"/>
            <rFont val="Tahoma"/>
            <family val="2"/>
          </rPr>
          <t xml:space="preserve">
</t>
        </r>
      </text>
    </comment>
    <comment ref="P82" authorId="0">
      <text>
        <r>
          <rPr>
            <b/>
            <sz val="8"/>
            <color indexed="81"/>
            <rFont val="Tahoma"/>
            <family val="2"/>
          </rPr>
          <t>Ratio of transportation to indirect tourism output</t>
        </r>
        <r>
          <rPr>
            <sz val="8"/>
            <color indexed="81"/>
            <rFont val="Tahoma"/>
            <family val="2"/>
          </rPr>
          <t xml:space="preserve">
</t>
        </r>
      </text>
    </comment>
    <comment ref="Q82" authorId="0">
      <text>
        <r>
          <rPr>
            <b/>
            <sz val="8"/>
            <color indexed="81"/>
            <rFont val="Tahoma"/>
            <family val="2"/>
          </rPr>
          <t>Ratio of transportation to indirect tourism output</t>
        </r>
        <r>
          <rPr>
            <sz val="8"/>
            <color indexed="81"/>
            <rFont val="Tahoma"/>
            <family val="2"/>
          </rPr>
          <t xml:space="preserve">
</t>
        </r>
      </text>
    </comment>
    <comment ref="R82" authorId="0">
      <text>
        <r>
          <rPr>
            <b/>
            <sz val="8"/>
            <color indexed="81"/>
            <rFont val="Tahoma"/>
            <family val="2"/>
          </rPr>
          <t>Ratio of transportation to indirect tourism output</t>
        </r>
        <r>
          <rPr>
            <sz val="8"/>
            <color indexed="81"/>
            <rFont val="Tahoma"/>
            <family val="2"/>
          </rPr>
          <t xml:space="preserve">
</t>
        </r>
      </text>
    </comment>
    <comment ref="M83" authorId="0">
      <text>
        <r>
          <rPr>
            <b/>
            <sz val="8"/>
            <color indexed="81"/>
            <rFont val="Tahoma"/>
            <family val="2"/>
          </rPr>
          <t>Ratio of travel intermediaries
to indirect tourism output</t>
        </r>
        <r>
          <rPr>
            <sz val="8"/>
            <color indexed="81"/>
            <rFont val="Tahoma"/>
            <family val="2"/>
          </rPr>
          <t xml:space="preserve">
</t>
        </r>
      </text>
    </comment>
    <comment ref="N83" authorId="0">
      <text>
        <r>
          <rPr>
            <b/>
            <sz val="8"/>
            <color indexed="81"/>
            <rFont val="Tahoma"/>
            <family val="2"/>
          </rPr>
          <t>Ratio of travel intermediaries
to indirect tourism output</t>
        </r>
        <r>
          <rPr>
            <sz val="8"/>
            <color indexed="81"/>
            <rFont val="Tahoma"/>
            <family val="2"/>
          </rPr>
          <t xml:space="preserve">
</t>
        </r>
      </text>
    </comment>
    <comment ref="O83" authorId="0">
      <text>
        <r>
          <rPr>
            <b/>
            <sz val="8"/>
            <color indexed="81"/>
            <rFont val="Tahoma"/>
            <family val="2"/>
          </rPr>
          <t>Ratio of travel intermediaries
to indirect tourism output</t>
        </r>
        <r>
          <rPr>
            <sz val="8"/>
            <color indexed="81"/>
            <rFont val="Tahoma"/>
            <family val="2"/>
          </rPr>
          <t xml:space="preserve">
</t>
        </r>
      </text>
    </comment>
    <comment ref="P83" authorId="0">
      <text>
        <r>
          <rPr>
            <b/>
            <sz val="8"/>
            <color indexed="81"/>
            <rFont val="Tahoma"/>
            <family val="2"/>
          </rPr>
          <t>Ratio of travel intermediaries
to indirect tourism output</t>
        </r>
        <r>
          <rPr>
            <sz val="8"/>
            <color indexed="81"/>
            <rFont val="Tahoma"/>
            <family val="2"/>
          </rPr>
          <t xml:space="preserve">
</t>
        </r>
      </text>
    </comment>
    <comment ref="Q83" authorId="0">
      <text>
        <r>
          <rPr>
            <b/>
            <sz val="8"/>
            <color indexed="81"/>
            <rFont val="Tahoma"/>
            <family val="2"/>
          </rPr>
          <t>Ratio of travel intermediaries
to indirect tourism output</t>
        </r>
        <r>
          <rPr>
            <sz val="8"/>
            <color indexed="81"/>
            <rFont val="Tahoma"/>
            <family val="2"/>
          </rPr>
          <t xml:space="preserve">
</t>
        </r>
      </text>
    </comment>
    <comment ref="R83" authorId="0">
      <text>
        <r>
          <rPr>
            <b/>
            <sz val="8"/>
            <color indexed="81"/>
            <rFont val="Tahoma"/>
            <family val="2"/>
          </rPr>
          <t>Ratio of travel intermediaries
to indirect tourism output</t>
        </r>
        <r>
          <rPr>
            <sz val="8"/>
            <color indexed="81"/>
            <rFont val="Tahoma"/>
            <family val="2"/>
          </rPr>
          <t xml:space="preserve">
</t>
        </r>
      </text>
    </comment>
    <comment ref="M84" authorId="0">
      <text>
        <r>
          <rPr>
            <b/>
            <sz val="8"/>
            <color indexed="81"/>
            <rFont val="Tahoma"/>
            <family val="2"/>
          </rPr>
          <t>Ratio of others to indirect tourism output</t>
        </r>
      </text>
    </comment>
    <comment ref="N84" authorId="0">
      <text>
        <r>
          <rPr>
            <b/>
            <sz val="8"/>
            <color indexed="81"/>
            <rFont val="Tahoma"/>
            <family val="2"/>
          </rPr>
          <t>Ratio of others to indirect tourism output</t>
        </r>
      </text>
    </comment>
    <comment ref="O84" authorId="0">
      <text>
        <r>
          <rPr>
            <b/>
            <sz val="8"/>
            <color indexed="81"/>
            <rFont val="Tahoma"/>
            <family val="2"/>
          </rPr>
          <t>Ratio of others to indirect tourism output</t>
        </r>
      </text>
    </comment>
    <comment ref="P84" authorId="0">
      <text>
        <r>
          <rPr>
            <b/>
            <sz val="8"/>
            <color indexed="81"/>
            <rFont val="Tahoma"/>
            <family val="2"/>
          </rPr>
          <t>Ratio of others to indirect tourism output</t>
        </r>
      </text>
    </comment>
    <comment ref="Q84" authorId="0">
      <text>
        <r>
          <rPr>
            <b/>
            <sz val="8"/>
            <color indexed="81"/>
            <rFont val="Tahoma"/>
            <family val="2"/>
          </rPr>
          <t>Ratio of others to indirect tourism output</t>
        </r>
      </text>
    </comment>
    <comment ref="R84" authorId="0">
      <text>
        <r>
          <rPr>
            <b/>
            <sz val="8"/>
            <color indexed="81"/>
            <rFont val="Tahoma"/>
            <family val="2"/>
          </rPr>
          <t>Ratio of others to indirect tourism output</t>
        </r>
      </text>
    </comment>
    <comment ref="M87" authorId="0">
      <text>
        <r>
          <rPr>
            <b/>
            <sz val="8"/>
            <color indexed="81"/>
            <rFont val="Tahoma"/>
            <family val="2"/>
          </rPr>
          <t xml:space="preserve">Ratio of accommodation to direct tourism employment
</t>
        </r>
        <r>
          <rPr>
            <sz val="8"/>
            <color indexed="81"/>
            <rFont val="Tahoma"/>
            <family val="2"/>
          </rPr>
          <t xml:space="preserve">
</t>
        </r>
      </text>
    </comment>
    <comment ref="N87" authorId="0">
      <text>
        <r>
          <rPr>
            <b/>
            <sz val="8"/>
            <color indexed="81"/>
            <rFont val="Tahoma"/>
            <family val="2"/>
          </rPr>
          <t xml:space="preserve">Ratio of accommodation to direct tourism employment
</t>
        </r>
        <r>
          <rPr>
            <sz val="8"/>
            <color indexed="81"/>
            <rFont val="Tahoma"/>
            <family val="2"/>
          </rPr>
          <t xml:space="preserve">
</t>
        </r>
      </text>
    </comment>
    <comment ref="O87" authorId="0">
      <text>
        <r>
          <rPr>
            <b/>
            <sz val="8"/>
            <color indexed="81"/>
            <rFont val="Tahoma"/>
            <family val="2"/>
          </rPr>
          <t xml:space="preserve">Ratio of accommodation to direct tourism employment
</t>
        </r>
        <r>
          <rPr>
            <sz val="8"/>
            <color indexed="81"/>
            <rFont val="Tahoma"/>
            <family val="2"/>
          </rPr>
          <t xml:space="preserve">
</t>
        </r>
      </text>
    </comment>
    <comment ref="P87" authorId="0">
      <text>
        <r>
          <rPr>
            <b/>
            <sz val="8"/>
            <color indexed="81"/>
            <rFont val="Tahoma"/>
            <family val="2"/>
          </rPr>
          <t xml:space="preserve">Ratio of accommodation to direct tourism employment
</t>
        </r>
        <r>
          <rPr>
            <sz val="8"/>
            <color indexed="81"/>
            <rFont val="Tahoma"/>
            <family val="2"/>
          </rPr>
          <t xml:space="preserve">
</t>
        </r>
      </text>
    </comment>
    <comment ref="Q87" authorId="0">
      <text>
        <r>
          <rPr>
            <b/>
            <sz val="8"/>
            <color indexed="81"/>
            <rFont val="Tahoma"/>
            <family val="2"/>
          </rPr>
          <t xml:space="preserve">Ratio of accommodation to direct tourism employment
</t>
        </r>
        <r>
          <rPr>
            <sz val="8"/>
            <color indexed="81"/>
            <rFont val="Tahoma"/>
            <family val="2"/>
          </rPr>
          <t xml:space="preserve">
</t>
        </r>
      </text>
    </comment>
    <comment ref="R87" authorId="0">
      <text>
        <r>
          <rPr>
            <b/>
            <sz val="8"/>
            <color indexed="81"/>
            <rFont val="Tahoma"/>
            <family val="2"/>
          </rPr>
          <t xml:space="preserve">Ratio of accommodation to direct tourism employment
</t>
        </r>
        <r>
          <rPr>
            <sz val="8"/>
            <color indexed="81"/>
            <rFont val="Tahoma"/>
            <family val="2"/>
          </rPr>
          <t xml:space="preserve">
</t>
        </r>
      </text>
    </comment>
    <comment ref="M88" authorId="0">
      <text>
        <r>
          <rPr>
            <b/>
            <sz val="8"/>
            <color indexed="81"/>
            <rFont val="Tahoma"/>
            <family val="2"/>
          </rPr>
          <t>Ratio of entertainment &amp; sightseeing to direct tourism employment</t>
        </r>
        <r>
          <rPr>
            <sz val="8"/>
            <color indexed="81"/>
            <rFont val="Tahoma"/>
            <family val="2"/>
          </rPr>
          <t xml:space="preserve">
</t>
        </r>
      </text>
    </comment>
    <comment ref="N88" authorId="0">
      <text>
        <r>
          <rPr>
            <b/>
            <sz val="8"/>
            <color indexed="81"/>
            <rFont val="Tahoma"/>
            <family val="2"/>
          </rPr>
          <t>Ratio of entertainment &amp; sightseeing to direct tourism employment</t>
        </r>
        <r>
          <rPr>
            <sz val="8"/>
            <color indexed="81"/>
            <rFont val="Tahoma"/>
            <family val="2"/>
          </rPr>
          <t xml:space="preserve">
</t>
        </r>
      </text>
    </comment>
    <comment ref="O88" authorId="0">
      <text>
        <r>
          <rPr>
            <b/>
            <sz val="8"/>
            <color indexed="81"/>
            <rFont val="Tahoma"/>
            <family val="2"/>
          </rPr>
          <t>Ratio of entertainment &amp; sightseeing to direct tourism employment</t>
        </r>
        <r>
          <rPr>
            <sz val="8"/>
            <color indexed="81"/>
            <rFont val="Tahoma"/>
            <family val="2"/>
          </rPr>
          <t xml:space="preserve">
</t>
        </r>
      </text>
    </comment>
    <comment ref="P88" authorId="0">
      <text>
        <r>
          <rPr>
            <b/>
            <sz val="8"/>
            <color indexed="81"/>
            <rFont val="Tahoma"/>
            <family val="2"/>
          </rPr>
          <t>Ratio of entertainment &amp; sightseeing to direct tourism employment</t>
        </r>
        <r>
          <rPr>
            <sz val="8"/>
            <color indexed="81"/>
            <rFont val="Tahoma"/>
            <family val="2"/>
          </rPr>
          <t xml:space="preserve">
</t>
        </r>
      </text>
    </comment>
    <comment ref="Q88" authorId="0">
      <text>
        <r>
          <rPr>
            <b/>
            <sz val="8"/>
            <color indexed="81"/>
            <rFont val="Tahoma"/>
            <family val="2"/>
          </rPr>
          <t>Ratio of entertainment &amp; sightseeing to direct tourism employment</t>
        </r>
        <r>
          <rPr>
            <sz val="8"/>
            <color indexed="81"/>
            <rFont val="Tahoma"/>
            <family val="2"/>
          </rPr>
          <t xml:space="preserve">
</t>
        </r>
      </text>
    </comment>
    <comment ref="R88" authorId="0">
      <text>
        <r>
          <rPr>
            <b/>
            <sz val="8"/>
            <color indexed="81"/>
            <rFont val="Tahoma"/>
            <family val="2"/>
          </rPr>
          <t>Ratio of entertainment &amp; sightseeing to direct tourism employment</t>
        </r>
        <r>
          <rPr>
            <sz val="8"/>
            <color indexed="81"/>
            <rFont val="Tahoma"/>
            <family val="2"/>
          </rPr>
          <t xml:space="preserve">
</t>
        </r>
      </text>
    </comment>
    <comment ref="M89" authorId="0">
      <text>
        <r>
          <rPr>
            <b/>
            <sz val="8"/>
            <color indexed="81"/>
            <rFont val="Tahoma"/>
            <family val="2"/>
          </rPr>
          <t>Ratio of foodservice to direct tourism employment</t>
        </r>
      </text>
    </comment>
    <comment ref="N89" authorId="0">
      <text>
        <r>
          <rPr>
            <b/>
            <sz val="8"/>
            <color indexed="81"/>
            <rFont val="Tahoma"/>
            <family val="2"/>
          </rPr>
          <t>Ratio of foodservice to direct tourism employment</t>
        </r>
      </text>
    </comment>
    <comment ref="O89" authorId="0">
      <text>
        <r>
          <rPr>
            <b/>
            <sz val="8"/>
            <color indexed="81"/>
            <rFont val="Tahoma"/>
            <family val="2"/>
          </rPr>
          <t>Ratio of foodservice to direct tourism employment</t>
        </r>
      </text>
    </comment>
    <comment ref="P89" authorId="0">
      <text>
        <r>
          <rPr>
            <b/>
            <sz val="8"/>
            <color indexed="81"/>
            <rFont val="Tahoma"/>
            <family val="2"/>
          </rPr>
          <t>Ratio of foodservice to direct tourism employment</t>
        </r>
      </text>
    </comment>
    <comment ref="Q89" authorId="0">
      <text>
        <r>
          <rPr>
            <b/>
            <sz val="8"/>
            <color indexed="81"/>
            <rFont val="Tahoma"/>
            <family val="2"/>
          </rPr>
          <t>Ratio of foodservice to direct tourism employment</t>
        </r>
      </text>
    </comment>
    <comment ref="R89" authorId="0">
      <text>
        <r>
          <rPr>
            <b/>
            <sz val="8"/>
            <color indexed="81"/>
            <rFont val="Tahoma"/>
            <family val="2"/>
          </rPr>
          <t>Ratio of foodservice to direct tourism employment</t>
        </r>
      </text>
    </comment>
    <comment ref="M90" authorId="0">
      <text>
        <r>
          <rPr>
            <b/>
            <sz val="8"/>
            <color indexed="81"/>
            <rFont val="Tahoma"/>
            <family val="2"/>
          </rPr>
          <t>Ratio of retail to direct tourism employment</t>
        </r>
      </text>
    </comment>
    <comment ref="N90" authorId="0">
      <text>
        <r>
          <rPr>
            <b/>
            <sz val="8"/>
            <color indexed="81"/>
            <rFont val="Tahoma"/>
            <family val="2"/>
          </rPr>
          <t>Ratio of retail to direct tourism employment</t>
        </r>
      </text>
    </comment>
    <comment ref="O90" authorId="0">
      <text>
        <r>
          <rPr>
            <b/>
            <sz val="8"/>
            <color indexed="81"/>
            <rFont val="Tahoma"/>
            <family val="2"/>
          </rPr>
          <t>Ratio of retail to direct tourism employment</t>
        </r>
      </text>
    </comment>
    <comment ref="P90" authorId="0">
      <text>
        <r>
          <rPr>
            <b/>
            <sz val="8"/>
            <color indexed="81"/>
            <rFont val="Tahoma"/>
            <family val="2"/>
          </rPr>
          <t>Ratio of retail to direct tourism employment</t>
        </r>
      </text>
    </comment>
    <comment ref="Q90" authorId="0">
      <text>
        <r>
          <rPr>
            <b/>
            <sz val="8"/>
            <color indexed="81"/>
            <rFont val="Tahoma"/>
            <family val="2"/>
          </rPr>
          <t>Ratio of retail to direct tourism employment</t>
        </r>
      </text>
    </comment>
    <comment ref="R90" authorId="0">
      <text>
        <r>
          <rPr>
            <b/>
            <sz val="8"/>
            <color indexed="81"/>
            <rFont val="Tahoma"/>
            <family val="2"/>
          </rPr>
          <t>Ratio of retail to direct tourism employment</t>
        </r>
      </text>
    </comment>
    <comment ref="M91" authorId="0">
      <text>
        <r>
          <rPr>
            <b/>
            <sz val="8"/>
            <color indexed="81"/>
            <rFont val="Tahoma"/>
            <family val="2"/>
          </rPr>
          <t>Ratio of transportation to direct tourism employment</t>
        </r>
        <r>
          <rPr>
            <sz val="8"/>
            <color indexed="81"/>
            <rFont val="Tahoma"/>
            <family val="2"/>
          </rPr>
          <t xml:space="preserve">
</t>
        </r>
      </text>
    </comment>
    <comment ref="N91" authorId="0">
      <text>
        <r>
          <rPr>
            <b/>
            <sz val="8"/>
            <color indexed="81"/>
            <rFont val="Tahoma"/>
            <family val="2"/>
          </rPr>
          <t>Ratio of transportation to direct tourism employment</t>
        </r>
        <r>
          <rPr>
            <sz val="8"/>
            <color indexed="81"/>
            <rFont val="Tahoma"/>
            <family val="2"/>
          </rPr>
          <t xml:space="preserve">
</t>
        </r>
      </text>
    </comment>
    <comment ref="O91" authorId="0">
      <text>
        <r>
          <rPr>
            <b/>
            <sz val="8"/>
            <color indexed="81"/>
            <rFont val="Tahoma"/>
            <family val="2"/>
          </rPr>
          <t>Ratio of transportation to direct tourism employment</t>
        </r>
        <r>
          <rPr>
            <sz val="8"/>
            <color indexed="81"/>
            <rFont val="Tahoma"/>
            <family val="2"/>
          </rPr>
          <t xml:space="preserve">
</t>
        </r>
      </text>
    </comment>
    <comment ref="P91" authorId="0">
      <text>
        <r>
          <rPr>
            <b/>
            <sz val="8"/>
            <color indexed="81"/>
            <rFont val="Tahoma"/>
            <family val="2"/>
          </rPr>
          <t>Ratio of transportation to direct tourism employment</t>
        </r>
        <r>
          <rPr>
            <sz val="8"/>
            <color indexed="81"/>
            <rFont val="Tahoma"/>
            <family val="2"/>
          </rPr>
          <t xml:space="preserve">
</t>
        </r>
      </text>
    </comment>
    <comment ref="Q91" authorId="0">
      <text>
        <r>
          <rPr>
            <b/>
            <sz val="8"/>
            <color indexed="81"/>
            <rFont val="Tahoma"/>
            <family val="2"/>
          </rPr>
          <t>Ratio of transportation to direct tourism employment</t>
        </r>
        <r>
          <rPr>
            <sz val="8"/>
            <color indexed="81"/>
            <rFont val="Tahoma"/>
            <family val="2"/>
          </rPr>
          <t xml:space="preserve">
</t>
        </r>
      </text>
    </comment>
    <comment ref="R91" authorId="0">
      <text>
        <r>
          <rPr>
            <b/>
            <sz val="8"/>
            <color indexed="81"/>
            <rFont val="Tahoma"/>
            <family val="2"/>
          </rPr>
          <t>Ratio of transportation to direct tourism employment</t>
        </r>
        <r>
          <rPr>
            <sz val="8"/>
            <color indexed="81"/>
            <rFont val="Tahoma"/>
            <family val="2"/>
          </rPr>
          <t xml:space="preserve">
</t>
        </r>
      </text>
    </comment>
    <comment ref="M92" authorId="0">
      <text>
        <r>
          <rPr>
            <b/>
            <sz val="8"/>
            <color indexed="81"/>
            <rFont val="Tahoma"/>
            <family val="2"/>
          </rPr>
          <t>Ratio of travel intermediaries
to direct tourism employment</t>
        </r>
        <r>
          <rPr>
            <sz val="8"/>
            <color indexed="81"/>
            <rFont val="Tahoma"/>
            <family val="2"/>
          </rPr>
          <t xml:space="preserve">
</t>
        </r>
      </text>
    </comment>
    <comment ref="N92" authorId="0">
      <text>
        <r>
          <rPr>
            <b/>
            <sz val="8"/>
            <color indexed="81"/>
            <rFont val="Tahoma"/>
            <family val="2"/>
          </rPr>
          <t>Ratio of travel intermediaries
to direct tourism employment</t>
        </r>
        <r>
          <rPr>
            <sz val="8"/>
            <color indexed="81"/>
            <rFont val="Tahoma"/>
            <family val="2"/>
          </rPr>
          <t xml:space="preserve">
</t>
        </r>
      </text>
    </comment>
    <comment ref="O92" authorId="0">
      <text>
        <r>
          <rPr>
            <b/>
            <sz val="8"/>
            <color indexed="81"/>
            <rFont val="Tahoma"/>
            <family val="2"/>
          </rPr>
          <t>Ratio of travel intermediaries
to direct tourism employment</t>
        </r>
        <r>
          <rPr>
            <sz val="8"/>
            <color indexed="81"/>
            <rFont val="Tahoma"/>
            <family val="2"/>
          </rPr>
          <t xml:space="preserve">
</t>
        </r>
      </text>
    </comment>
    <comment ref="P92" authorId="0">
      <text>
        <r>
          <rPr>
            <b/>
            <sz val="8"/>
            <color indexed="81"/>
            <rFont val="Tahoma"/>
            <family val="2"/>
          </rPr>
          <t>Ratio of travel intermediaries
to direct tourism employment</t>
        </r>
        <r>
          <rPr>
            <sz val="8"/>
            <color indexed="81"/>
            <rFont val="Tahoma"/>
            <family val="2"/>
          </rPr>
          <t xml:space="preserve">
</t>
        </r>
      </text>
    </comment>
    <comment ref="Q92" authorId="0">
      <text>
        <r>
          <rPr>
            <b/>
            <sz val="8"/>
            <color indexed="81"/>
            <rFont val="Tahoma"/>
            <family val="2"/>
          </rPr>
          <t>Ratio of travel intermediaries
to direct tourism employment</t>
        </r>
        <r>
          <rPr>
            <sz val="8"/>
            <color indexed="81"/>
            <rFont val="Tahoma"/>
            <family val="2"/>
          </rPr>
          <t xml:space="preserve">
</t>
        </r>
      </text>
    </comment>
    <comment ref="R92" authorId="0">
      <text>
        <r>
          <rPr>
            <b/>
            <sz val="8"/>
            <color indexed="81"/>
            <rFont val="Tahoma"/>
            <family val="2"/>
          </rPr>
          <t>Ratio of travel intermediaries
to direct tourism employment</t>
        </r>
        <r>
          <rPr>
            <sz val="8"/>
            <color indexed="81"/>
            <rFont val="Tahoma"/>
            <family val="2"/>
          </rPr>
          <t xml:space="preserve">
</t>
        </r>
      </text>
    </comment>
    <comment ref="M93" authorId="0">
      <text>
        <r>
          <rPr>
            <b/>
            <sz val="8"/>
            <color indexed="81"/>
            <rFont val="Tahoma"/>
            <family val="2"/>
          </rPr>
          <t>Ratio of others to direct tourism employment</t>
        </r>
      </text>
    </comment>
    <comment ref="N93" authorId="0">
      <text>
        <r>
          <rPr>
            <b/>
            <sz val="8"/>
            <color indexed="81"/>
            <rFont val="Tahoma"/>
            <family val="2"/>
          </rPr>
          <t>Ratio of others to direct tourism employment</t>
        </r>
      </text>
    </comment>
    <comment ref="O93" authorId="0">
      <text>
        <r>
          <rPr>
            <b/>
            <sz val="8"/>
            <color indexed="81"/>
            <rFont val="Tahoma"/>
            <family val="2"/>
          </rPr>
          <t>Ratio of others to direct tourism employment</t>
        </r>
      </text>
    </comment>
    <comment ref="P93" authorId="0">
      <text>
        <r>
          <rPr>
            <b/>
            <sz val="8"/>
            <color indexed="81"/>
            <rFont val="Tahoma"/>
            <family val="2"/>
          </rPr>
          <t>Ratio of others to direct tourism employment</t>
        </r>
      </text>
    </comment>
    <comment ref="Q93" authorId="0">
      <text>
        <r>
          <rPr>
            <b/>
            <sz val="8"/>
            <color indexed="81"/>
            <rFont val="Tahoma"/>
            <family val="2"/>
          </rPr>
          <t>Ratio of others to direct tourism employment</t>
        </r>
      </text>
    </comment>
    <comment ref="R93" authorId="0">
      <text>
        <r>
          <rPr>
            <b/>
            <sz val="8"/>
            <color indexed="81"/>
            <rFont val="Tahoma"/>
            <family val="2"/>
          </rPr>
          <t>Ratio of others to direct tourism employment</t>
        </r>
      </text>
    </comment>
    <comment ref="M94" authorId="0">
      <text>
        <r>
          <rPr>
            <b/>
            <sz val="8"/>
            <color indexed="81"/>
            <rFont val="Tahoma"/>
            <family val="2"/>
          </rPr>
          <t>Ratio of indirect tourism employment to direct tourism employment</t>
        </r>
        <r>
          <rPr>
            <sz val="8"/>
            <color indexed="81"/>
            <rFont val="Tahoma"/>
            <family val="2"/>
          </rPr>
          <t xml:space="preserve">
</t>
        </r>
      </text>
    </comment>
    <comment ref="N94" authorId="0">
      <text>
        <r>
          <rPr>
            <b/>
            <sz val="8"/>
            <color indexed="81"/>
            <rFont val="Tahoma"/>
            <family val="2"/>
          </rPr>
          <t>Ratio of indirect tourism employment to direct tourism employment</t>
        </r>
        <r>
          <rPr>
            <sz val="8"/>
            <color indexed="81"/>
            <rFont val="Tahoma"/>
            <family val="2"/>
          </rPr>
          <t xml:space="preserve">
</t>
        </r>
      </text>
    </comment>
    <comment ref="O94" authorId="0">
      <text>
        <r>
          <rPr>
            <b/>
            <sz val="8"/>
            <color indexed="81"/>
            <rFont val="Tahoma"/>
            <family val="2"/>
          </rPr>
          <t>Ratio of indirect tourism employment to direct tourism employment</t>
        </r>
        <r>
          <rPr>
            <sz val="8"/>
            <color indexed="81"/>
            <rFont val="Tahoma"/>
            <family val="2"/>
          </rPr>
          <t xml:space="preserve">
</t>
        </r>
      </text>
    </comment>
    <comment ref="P94" authorId="0">
      <text>
        <r>
          <rPr>
            <b/>
            <sz val="8"/>
            <color indexed="81"/>
            <rFont val="Tahoma"/>
            <family val="2"/>
          </rPr>
          <t>Ratio of indirect tourism employment to direct tourism employment</t>
        </r>
        <r>
          <rPr>
            <sz val="8"/>
            <color indexed="81"/>
            <rFont val="Tahoma"/>
            <family val="2"/>
          </rPr>
          <t xml:space="preserve">
</t>
        </r>
      </text>
    </comment>
    <comment ref="Q94" authorId="0">
      <text>
        <r>
          <rPr>
            <b/>
            <sz val="8"/>
            <color indexed="81"/>
            <rFont val="Tahoma"/>
            <family val="2"/>
          </rPr>
          <t>Ratio of indirect tourism employment to direct tourism employment</t>
        </r>
        <r>
          <rPr>
            <sz val="8"/>
            <color indexed="81"/>
            <rFont val="Tahoma"/>
            <family val="2"/>
          </rPr>
          <t xml:space="preserve">
</t>
        </r>
      </text>
    </comment>
    <comment ref="R94" authorId="0">
      <text>
        <r>
          <rPr>
            <b/>
            <sz val="8"/>
            <color indexed="81"/>
            <rFont val="Tahoma"/>
            <family val="2"/>
          </rPr>
          <t>Ratio of indirect tourism employment to direct tourism employment</t>
        </r>
        <r>
          <rPr>
            <sz val="8"/>
            <color indexed="81"/>
            <rFont val="Tahoma"/>
            <family val="2"/>
          </rPr>
          <t xml:space="preserve">
</t>
        </r>
      </text>
    </comment>
    <comment ref="M95" authorId="0">
      <text>
        <r>
          <rPr>
            <b/>
            <sz val="8"/>
            <color indexed="81"/>
            <rFont val="Tahoma"/>
            <family val="2"/>
          </rPr>
          <t xml:space="preserve">Ratio of accommodation to indirect tourism employment 
</t>
        </r>
        <r>
          <rPr>
            <sz val="8"/>
            <color indexed="81"/>
            <rFont val="Tahoma"/>
            <family val="2"/>
          </rPr>
          <t xml:space="preserve">
</t>
        </r>
      </text>
    </comment>
    <comment ref="N95" authorId="0">
      <text>
        <r>
          <rPr>
            <b/>
            <sz val="8"/>
            <color indexed="81"/>
            <rFont val="Tahoma"/>
            <family val="2"/>
          </rPr>
          <t xml:space="preserve">Ratio of accommodation to indirect tourism employment 
</t>
        </r>
        <r>
          <rPr>
            <sz val="8"/>
            <color indexed="81"/>
            <rFont val="Tahoma"/>
            <family val="2"/>
          </rPr>
          <t xml:space="preserve">
</t>
        </r>
      </text>
    </comment>
    <comment ref="O95" authorId="0">
      <text>
        <r>
          <rPr>
            <b/>
            <sz val="8"/>
            <color indexed="81"/>
            <rFont val="Tahoma"/>
            <family val="2"/>
          </rPr>
          <t xml:space="preserve">Ratio of accommodation to indirect tourism employment 
</t>
        </r>
        <r>
          <rPr>
            <sz val="8"/>
            <color indexed="81"/>
            <rFont val="Tahoma"/>
            <family val="2"/>
          </rPr>
          <t xml:space="preserve">
</t>
        </r>
      </text>
    </comment>
    <comment ref="P95" authorId="0">
      <text>
        <r>
          <rPr>
            <b/>
            <sz val="8"/>
            <color indexed="81"/>
            <rFont val="Tahoma"/>
            <family val="2"/>
          </rPr>
          <t xml:space="preserve">Ratio of accommodation to indirect tourism employment 
</t>
        </r>
        <r>
          <rPr>
            <sz val="8"/>
            <color indexed="81"/>
            <rFont val="Tahoma"/>
            <family val="2"/>
          </rPr>
          <t xml:space="preserve">
</t>
        </r>
      </text>
    </comment>
    <comment ref="Q95" authorId="0">
      <text>
        <r>
          <rPr>
            <b/>
            <sz val="8"/>
            <color indexed="81"/>
            <rFont val="Tahoma"/>
            <family val="2"/>
          </rPr>
          <t xml:space="preserve">Ratio of accommodation to indirect tourism employment 
</t>
        </r>
        <r>
          <rPr>
            <sz val="8"/>
            <color indexed="81"/>
            <rFont val="Tahoma"/>
            <family val="2"/>
          </rPr>
          <t xml:space="preserve">
</t>
        </r>
      </text>
    </comment>
    <comment ref="R95" authorId="0">
      <text>
        <r>
          <rPr>
            <b/>
            <sz val="8"/>
            <color indexed="81"/>
            <rFont val="Tahoma"/>
            <family val="2"/>
          </rPr>
          <t xml:space="preserve">Ratio of accommodation to indirect tourism employment 
</t>
        </r>
        <r>
          <rPr>
            <sz val="8"/>
            <color indexed="81"/>
            <rFont val="Tahoma"/>
            <family val="2"/>
          </rPr>
          <t xml:space="preserve">
</t>
        </r>
      </text>
    </comment>
    <comment ref="M96" authorId="0">
      <text>
        <r>
          <rPr>
            <b/>
            <sz val="8"/>
            <color indexed="81"/>
            <rFont val="Tahoma"/>
            <family val="2"/>
          </rPr>
          <t>Ratio of entertainment &amp; sightseeing to indirect tourism employment</t>
        </r>
        <r>
          <rPr>
            <sz val="8"/>
            <color indexed="81"/>
            <rFont val="Tahoma"/>
            <family val="2"/>
          </rPr>
          <t xml:space="preserve">
</t>
        </r>
      </text>
    </comment>
    <comment ref="N96" authorId="0">
      <text>
        <r>
          <rPr>
            <b/>
            <sz val="8"/>
            <color indexed="81"/>
            <rFont val="Tahoma"/>
            <family val="2"/>
          </rPr>
          <t>Ratio of entertainment &amp; sightseeing to indirect tourism employment</t>
        </r>
        <r>
          <rPr>
            <sz val="8"/>
            <color indexed="81"/>
            <rFont val="Tahoma"/>
            <family val="2"/>
          </rPr>
          <t xml:space="preserve">
</t>
        </r>
      </text>
    </comment>
    <comment ref="O96" authorId="0">
      <text>
        <r>
          <rPr>
            <b/>
            <sz val="8"/>
            <color indexed="81"/>
            <rFont val="Tahoma"/>
            <family val="2"/>
          </rPr>
          <t>Ratio of entertainment &amp; sightseeing to indirect tourism employment</t>
        </r>
        <r>
          <rPr>
            <sz val="8"/>
            <color indexed="81"/>
            <rFont val="Tahoma"/>
            <family val="2"/>
          </rPr>
          <t xml:space="preserve">
</t>
        </r>
      </text>
    </comment>
    <comment ref="P96" authorId="0">
      <text>
        <r>
          <rPr>
            <b/>
            <sz val="8"/>
            <color indexed="81"/>
            <rFont val="Tahoma"/>
            <family val="2"/>
          </rPr>
          <t>Ratio of entertainment &amp; sightseeing to indirect tourism employment</t>
        </r>
        <r>
          <rPr>
            <sz val="8"/>
            <color indexed="81"/>
            <rFont val="Tahoma"/>
            <family val="2"/>
          </rPr>
          <t xml:space="preserve">
</t>
        </r>
      </text>
    </comment>
    <comment ref="Q96" authorId="0">
      <text>
        <r>
          <rPr>
            <b/>
            <sz val="8"/>
            <color indexed="81"/>
            <rFont val="Tahoma"/>
            <family val="2"/>
          </rPr>
          <t>Ratio of entertainment &amp; sightseeing to indirect tourism employment</t>
        </r>
        <r>
          <rPr>
            <sz val="8"/>
            <color indexed="81"/>
            <rFont val="Tahoma"/>
            <family val="2"/>
          </rPr>
          <t xml:space="preserve">
</t>
        </r>
      </text>
    </comment>
    <comment ref="R96" authorId="0">
      <text>
        <r>
          <rPr>
            <b/>
            <sz val="8"/>
            <color indexed="81"/>
            <rFont val="Tahoma"/>
            <family val="2"/>
          </rPr>
          <t>Ratio of entertainment &amp; sightseeing to indirect tourism employment</t>
        </r>
        <r>
          <rPr>
            <sz val="8"/>
            <color indexed="81"/>
            <rFont val="Tahoma"/>
            <family val="2"/>
          </rPr>
          <t xml:space="preserve">
</t>
        </r>
      </text>
    </comment>
    <comment ref="M97" authorId="0">
      <text>
        <r>
          <rPr>
            <b/>
            <sz val="8"/>
            <color indexed="81"/>
            <rFont val="Tahoma"/>
            <family val="2"/>
          </rPr>
          <t>Ratio of foodservice to indirect tourism employment</t>
        </r>
      </text>
    </comment>
    <comment ref="N97" authorId="0">
      <text>
        <r>
          <rPr>
            <b/>
            <sz val="8"/>
            <color indexed="81"/>
            <rFont val="Tahoma"/>
            <family val="2"/>
          </rPr>
          <t>Ratio of foodservice to indirect tourism employment</t>
        </r>
      </text>
    </comment>
    <comment ref="O97" authorId="0">
      <text>
        <r>
          <rPr>
            <b/>
            <sz val="8"/>
            <color indexed="81"/>
            <rFont val="Tahoma"/>
            <family val="2"/>
          </rPr>
          <t>Ratio of foodservice to indirect tourism employment</t>
        </r>
      </text>
    </comment>
    <comment ref="P97" authorId="0">
      <text>
        <r>
          <rPr>
            <b/>
            <sz val="8"/>
            <color indexed="81"/>
            <rFont val="Tahoma"/>
            <family val="2"/>
          </rPr>
          <t>Ratio of foodservice to indirect tourism employment</t>
        </r>
      </text>
    </comment>
    <comment ref="Q97" authorId="0">
      <text>
        <r>
          <rPr>
            <b/>
            <sz val="8"/>
            <color indexed="81"/>
            <rFont val="Tahoma"/>
            <family val="2"/>
          </rPr>
          <t>Ratio of foodservice to indirect tourism employment</t>
        </r>
      </text>
    </comment>
    <comment ref="R97" authorId="0">
      <text>
        <r>
          <rPr>
            <b/>
            <sz val="8"/>
            <color indexed="81"/>
            <rFont val="Tahoma"/>
            <family val="2"/>
          </rPr>
          <t>Ratio of foodservice to indirect tourism employment</t>
        </r>
      </text>
    </comment>
    <comment ref="M98" authorId="0">
      <text>
        <r>
          <rPr>
            <b/>
            <sz val="8"/>
            <color indexed="81"/>
            <rFont val="Tahoma"/>
            <family val="2"/>
          </rPr>
          <t>Ratio of retail to indirect tourism employment</t>
        </r>
      </text>
    </comment>
    <comment ref="N98" authorId="0">
      <text>
        <r>
          <rPr>
            <b/>
            <sz val="8"/>
            <color indexed="81"/>
            <rFont val="Tahoma"/>
            <family val="2"/>
          </rPr>
          <t>Ratio of retail to indirect tourism employment</t>
        </r>
      </text>
    </comment>
    <comment ref="O98" authorId="0">
      <text>
        <r>
          <rPr>
            <b/>
            <sz val="8"/>
            <color indexed="81"/>
            <rFont val="Tahoma"/>
            <family val="2"/>
          </rPr>
          <t>Ratio of retail to indirect tourism employment</t>
        </r>
      </text>
    </comment>
    <comment ref="P98" authorId="0">
      <text>
        <r>
          <rPr>
            <b/>
            <sz val="8"/>
            <color indexed="81"/>
            <rFont val="Tahoma"/>
            <family val="2"/>
          </rPr>
          <t>Ratio of retail to indirect tourism employment</t>
        </r>
      </text>
    </comment>
    <comment ref="Q98" authorId="0">
      <text>
        <r>
          <rPr>
            <b/>
            <sz val="8"/>
            <color indexed="81"/>
            <rFont val="Tahoma"/>
            <family val="2"/>
          </rPr>
          <t>Ratio of retail to indirect tourism employment</t>
        </r>
      </text>
    </comment>
    <comment ref="R98" authorId="0">
      <text>
        <r>
          <rPr>
            <b/>
            <sz val="8"/>
            <color indexed="81"/>
            <rFont val="Tahoma"/>
            <family val="2"/>
          </rPr>
          <t>Ratio of retail to indirect tourism employment</t>
        </r>
      </text>
    </comment>
    <comment ref="M99" authorId="0">
      <text>
        <r>
          <rPr>
            <b/>
            <sz val="8"/>
            <color indexed="81"/>
            <rFont val="Tahoma"/>
            <family val="2"/>
          </rPr>
          <t>Ratio of transportation to indirect tourism employment</t>
        </r>
        <r>
          <rPr>
            <sz val="8"/>
            <color indexed="81"/>
            <rFont val="Tahoma"/>
            <family val="2"/>
          </rPr>
          <t xml:space="preserve">
</t>
        </r>
      </text>
    </comment>
    <comment ref="N99" authorId="0">
      <text>
        <r>
          <rPr>
            <b/>
            <sz val="8"/>
            <color indexed="81"/>
            <rFont val="Tahoma"/>
            <family val="2"/>
          </rPr>
          <t>Ratio of transportation to indirect tourism employment</t>
        </r>
        <r>
          <rPr>
            <sz val="8"/>
            <color indexed="81"/>
            <rFont val="Tahoma"/>
            <family val="2"/>
          </rPr>
          <t xml:space="preserve">
</t>
        </r>
      </text>
    </comment>
    <comment ref="O99" authorId="0">
      <text>
        <r>
          <rPr>
            <b/>
            <sz val="8"/>
            <color indexed="81"/>
            <rFont val="Tahoma"/>
            <family val="2"/>
          </rPr>
          <t>Ratio of transportation to indirect tourism employment</t>
        </r>
        <r>
          <rPr>
            <sz val="8"/>
            <color indexed="81"/>
            <rFont val="Tahoma"/>
            <family val="2"/>
          </rPr>
          <t xml:space="preserve">
</t>
        </r>
      </text>
    </comment>
    <comment ref="P99" authorId="0">
      <text>
        <r>
          <rPr>
            <b/>
            <sz val="8"/>
            <color indexed="81"/>
            <rFont val="Tahoma"/>
            <family val="2"/>
          </rPr>
          <t>Ratio of transportation to indirect tourism employment</t>
        </r>
        <r>
          <rPr>
            <sz val="8"/>
            <color indexed="81"/>
            <rFont val="Tahoma"/>
            <family val="2"/>
          </rPr>
          <t xml:space="preserve">
</t>
        </r>
      </text>
    </comment>
    <comment ref="Q99" authorId="0">
      <text>
        <r>
          <rPr>
            <b/>
            <sz val="8"/>
            <color indexed="81"/>
            <rFont val="Tahoma"/>
            <family val="2"/>
          </rPr>
          <t>Ratio of transportation to indirect tourism employment</t>
        </r>
        <r>
          <rPr>
            <sz val="8"/>
            <color indexed="81"/>
            <rFont val="Tahoma"/>
            <family val="2"/>
          </rPr>
          <t xml:space="preserve">
</t>
        </r>
      </text>
    </comment>
    <comment ref="R99" authorId="0">
      <text>
        <r>
          <rPr>
            <b/>
            <sz val="8"/>
            <color indexed="81"/>
            <rFont val="Tahoma"/>
            <family val="2"/>
          </rPr>
          <t>Ratio of transportation to indirect tourism employment</t>
        </r>
        <r>
          <rPr>
            <sz val="8"/>
            <color indexed="81"/>
            <rFont val="Tahoma"/>
            <family val="2"/>
          </rPr>
          <t xml:space="preserve">
</t>
        </r>
      </text>
    </comment>
    <comment ref="M100" authorId="0">
      <text>
        <r>
          <rPr>
            <b/>
            <sz val="8"/>
            <color indexed="81"/>
            <rFont val="Tahoma"/>
            <family val="2"/>
          </rPr>
          <t>Ratio of travel intermediaries
to indirect tourism employment</t>
        </r>
        <r>
          <rPr>
            <sz val="8"/>
            <color indexed="81"/>
            <rFont val="Tahoma"/>
            <family val="2"/>
          </rPr>
          <t xml:space="preserve">
</t>
        </r>
      </text>
    </comment>
    <comment ref="N100" authorId="0">
      <text>
        <r>
          <rPr>
            <b/>
            <sz val="8"/>
            <color indexed="81"/>
            <rFont val="Tahoma"/>
            <family val="2"/>
          </rPr>
          <t>Ratio of travel intermediaries
to indirect tourism employment</t>
        </r>
        <r>
          <rPr>
            <sz val="8"/>
            <color indexed="81"/>
            <rFont val="Tahoma"/>
            <family val="2"/>
          </rPr>
          <t xml:space="preserve">
</t>
        </r>
      </text>
    </comment>
    <comment ref="O100" authorId="0">
      <text>
        <r>
          <rPr>
            <b/>
            <sz val="8"/>
            <color indexed="81"/>
            <rFont val="Tahoma"/>
            <family val="2"/>
          </rPr>
          <t>Ratio of travel intermediaries
to indirect tourism employment</t>
        </r>
        <r>
          <rPr>
            <sz val="8"/>
            <color indexed="81"/>
            <rFont val="Tahoma"/>
            <family val="2"/>
          </rPr>
          <t xml:space="preserve">
</t>
        </r>
      </text>
    </comment>
    <comment ref="P100" authorId="0">
      <text>
        <r>
          <rPr>
            <b/>
            <sz val="8"/>
            <color indexed="81"/>
            <rFont val="Tahoma"/>
            <family val="2"/>
          </rPr>
          <t>Ratio of travel intermediaries
to indirect tourism employment</t>
        </r>
        <r>
          <rPr>
            <sz val="8"/>
            <color indexed="81"/>
            <rFont val="Tahoma"/>
            <family val="2"/>
          </rPr>
          <t xml:space="preserve">
</t>
        </r>
      </text>
    </comment>
    <comment ref="Q100" authorId="0">
      <text>
        <r>
          <rPr>
            <b/>
            <sz val="8"/>
            <color indexed="81"/>
            <rFont val="Tahoma"/>
            <family val="2"/>
          </rPr>
          <t>Ratio of travel intermediaries
to indirect tourism employment</t>
        </r>
        <r>
          <rPr>
            <sz val="8"/>
            <color indexed="81"/>
            <rFont val="Tahoma"/>
            <family val="2"/>
          </rPr>
          <t xml:space="preserve">
</t>
        </r>
      </text>
    </comment>
    <comment ref="R100" authorId="0">
      <text>
        <r>
          <rPr>
            <b/>
            <sz val="8"/>
            <color indexed="81"/>
            <rFont val="Tahoma"/>
            <family val="2"/>
          </rPr>
          <t>Ratio of travel intermediaries
to indirect tourism employment</t>
        </r>
        <r>
          <rPr>
            <sz val="8"/>
            <color indexed="81"/>
            <rFont val="Tahoma"/>
            <family val="2"/>
          </rPr>
          <t xml:space="preserve">
</t>
        </r>
      </text>
    </comment>
    <comment ref="M101" authorId="0">
      <text>
        <r>
          <rPr>
            <b/>
            <sz val="8"/>
            <color indexed="81"/>
            <rFont val="Tahoma"/>
            <family val="2"/>
          </rPr>
          <t>Ratio of others to indirect tourism employment</t>
        </r>
      </text>
    </comment>
    <comment ref="N101" authorId="0">
      <text>
        <r>
          <rPr>
            <b/>
            <sz val="8"/>
            <color indexed="81"/>
            <rFont val="Tahoma"/>
            <family val="2"/>
          </rPr>
          <t>Ratio of others to indirect tourism employment</t>
        </r>
      </text>
    </comment>
    <comment ref="O101" authorId="0">
      <text>
        <r>
          <rPr>
            <b/>
            <sz val="8"/>
            <color indexed="81"/>
            <rFont val="Tahoma"/>
            <family val="2"/>
          </rPr>
          <t>Ratio of others to indirect tourism employment</t>
        </r>
      </text>
    </comment>
    <comment ref="P101" authorId="0">
      <text>
        <r>
          <rPr>
            <b/>
            <sz val="8"/>
            <color indexed="81"/>
            <rFont val="Tahoma"/>
            <family val="2"/>
          </rPr>
          <t>Ratio of others to indirect tourism employment</t>
        </r>
      </text>
    </comment>
    <comment ref="Q101" authorId="0">
      <text>
        <r>
          <rPr>
            <b/>
            <sz val="8"/>
            <color indexed="81"/>
            <rFont val="Tahoma"/>
            <family val="2"/>
          </rPr>
          <t>Ratio of others to indirect tourism employment</t>
        </r>
      </text>
    </comment>
    <comment ref="R101" authorId="0">
      <text>
        <r>
          <rPr>
            <b/>
            <sz val="8"/>
            <color indexed="81"/>
            <rFont val="Tahoma"/>
            <family val="2"/>
          </rPr>
          <t>Ratio of others to indirect tourism employment</t>
        </r>
      </text>
    </comment>
    <comment ref="M104" authorId="0">
      <text>
        <r>
          <rPr>
            <b/>
            <sz val="8"/>
            <color indexed="81"/>
            <rFont val="Tahoma"/>
            <family val="2"/>
          </rPr>
          <t>ratio of accommodation to transportation</t>
        </r>
        <r>
          <rPr>
            <sz val="8"/>
            <color indexed="81"/>
            <rFont val="Tahoma"/>
            <family val="2"/>
          </rPr>
          <t xml:space="preserve">
</t>
        </r>
      </text>
    </comment>
    <comment ref="N104" authorId="0">
      <text>
        <r>
          <rPr>
            <b/>
            <sz val="8"/>
            <color indexed="81"/>
            <rFont val="Tahoma"/>
            <family val="2"/>
          </rPr>
          <t>ratio of accommodation to transportation</t>
        </r>
        <r>
          <rPr>
            <sz val="8"/>
            <color indexed="81"/>
            <rFont val="Tahoma"/>
            <family val="2"/>
          </rPr>
          <t xml:space="preserve">
</t>
        </r>
      </text>
    </comment>
    <comment ref="O104" authorId="0">
      <text>
        <r>
          <rPr>
            <b/>
            <sz val="8"/>
            <color indexed="81"/>
            <rFont val="Tahoma"/>
            <family val="2"/>
          </rPr>
          <t>ratio of accommodation to transportation</t>
        </r>
        <r>
          <rPr>
            <sz val="8"/>
            <color indexed="81"/>
            <rFont val="Tahoma"/>
            <family val="2"/>
          </rPr>
          <t xml:space="preserve">
</t>
        </r>
      </text>
    </comment>
    <comment ref="P104" authorId="0">
      <text>
        <r>
          <rPr>
            <b/>
            <sz val="8"/>
            <color indexed="81"/>
            <rFont val="Tahoma"/>
            <family val="2"/>
          </rPr>
          <t>ratio of accommodation to transportation</t>
        </r>
        <r>
          <rPr>
            <sz val="8"/>
            <color indexed="81"/>
            <rFont val="Tahoma"/>
            <family val="2"/>
          </rPr>
          <t xml:space="preserve">
</t>
        </r>
      </text>
    </comment>
    <comment ref="Q104" authorId="0">
      <text>
        <r>
          <rPr>
            <b/>
            <sz val="8"/>
            <color indexed="81"/>
            <rFont val="Tahoma"/>
            <family val="2"/>
          </rPr>
          <t>ratio of accommodation to transportation</t>
        </r>
        <r>
          <rPr>
            <sz val="8"/>
            <color indexed="81"/>
            <rFont val="Tahoma"/>
            <family val="2"/>
          </rPr>
          <t xml:space="preserve">
</t>
        </r>
      </text>
    </comment>
    <comment ref="R104" authorId="0">
      <text>
        <r>
          <rPr>
            <b/>
            <sz val="8"/>
            <color indexed="81"/>
            <rFont val="Tahoma"/>
            <family val="2"/>
          </rPr>
          <t>ratio of accommodation to transportation</t>
        </r>
        <r>
          <rPr>
            <sz val="8"/>
            <color indexed="81"/>
            <rFont val="Tahoma"/>
            <family val="2"/>
          </rPr>
          <t xml:space="preserve">
</t>
        </r>
      </text>
    </comment>
    <comment ref="M105" authorId="0">
      <text>
        <r>
          <rPr>
            <b/>
            <sz val="8"/>
            <color indexed="81"/>
            <rFont val="Tahoma"/>
            <family val="2"/>
          </rPr>
          <t>ratio of entertainment &amp; sightseeing to transportation</t>
        </r>
        <r>
          <rPr>
            <sz val="8"/>
            <color indexed="81"/>
            <rFont val="Tahoma"/>
            <family val="2"/>
          </rPr>
          <t xml:space="preserve">
</t>
        </r>
      </text>
    </comment>
    <comment ref="N105" authorId="0">
      <text>
        <r>
          <rPr>
            <b/>
            <sz val="8"/>
            <color indexed="81"/>
            <rFont val="Tahoma"/>
            <family val="2"/>
          </rPr>
          <t>ratio of entertainment &amp; sightseeing to transportation</t>
        </r>
        <r>
          <rPr>
            <sz val="8"/>
            <color indexed="81"/>
            <rFont val="Tahoma"/>
            <family val="2"/>
          </rPr>
          <t xml:space="preserve">
</t>
        </r>
      </text>
    </comment>
    <comment ref="O105" authorId="0">
      <text>
        <r>
          <rPr>
            <b/>
            <sz val="8"/>
            <color indexed="81"/>
            <rFont val="Tahoma"/>
            <family val="2"/>
          </rPr>
          <t>ratio of entertainment &amp; sightseeing to transportation</t>
        </r>
        <r>
          <rPr>
            <sz val="8"/>
            <color indexed="81"/>
            <rFont val="Tahoma"/>
            <family val="2"/>
          </rPr>
          <t xml:space="preserve">
</t>
        </r>
      </text>
    </comment>
    <comment ref="P105" authorId="0">
      <text>
        <r>
          <rPr>
            <b/>
            <sz val="8"/>
            <color indexed="81"/>
            <rFont val="Tahoma"/>
            <family val="2"/>
          </rPr>
          <t>ratio of entertainment &amp; sightseeing to transportation</t>
        </r>
        <r>
          <rPr>
            <sz val="8"/>
            <color indexed="81"/>
            <rFont val="Tahoma"/>
            <family val="2"/>
          </rPr>
          <t xml:space="preserve">
</t>
        </r>
      </text>
    </comment>
    <comment ref="Q105" authorId="0">
      <text>
        <r>
          <rPr>
            <b/>
            <sz val="8"/>
            <color indexed="81"/>
            <rFont val="Tahoma"/>
            <family val="2"/>
          </rPr>
          <t>ratio of entertainment &amp; sightseeing to transportation</t>
        </r>
        <r>
          <rPr>
            <sz val="8"/>
            <color indexed="81"/>
            <rFont val="Tahoma"/>
            <family val="2"/>
          </rPr>
          <t xml:space="preserve">
</t>
        </r>
      </text>
    </comment>
    <comment ref="R105" authorId="0">
      <text>
        <r>
          <rPr>
            <b/>
            <sz val="8"/>
            <color indexed="81"/>
            <rFont val="Tahoma"/>
            <family val="2"/>
          </rPr>
          <t>ratio of entertainment &amp; sightseeing to transportation</t>
        </r>
        <r>
          <rPr>
            <sz val="8"/>
            <color indexed="81"/>
            <rFont val="Tahoma"/>
            <family val="2"/>
          </rPr>
          <t xml:space="preserve">
</t>
        </r>
      </text>
    </comment>
    <comment ref="M106" authorId="0">
      <text>
        <r>
          <rPr>
            <b/>
            <sz val="8"/>
            <color indexed="81"/>
            <rFont val="Tahoma"/>
            <family val="2"/>
          </rPr>
          <t>ratio of foodservice to transportation</t>
        </r>
        <r>
          <rPr>
            <sz val="8"/>
            <color indexed="81"/>
            <rFont val="Tahoma"/>
            <family val="2"/>
          </rPr>
          <t xml:space="preserve">
</t>
        </r>
      </text>
    </comment>
    <comment ref="N106" authorId="0">
      <text>
        <r>
          <rPr>
            <b/>
            <sz val="8"/>
            <color indexed="81"/>
            <rFont val="Tahoma"/>
            <family val="2"/>
          </rPr>
          <t>ratio of foodservice to transportation</t>
        </r>
        <r>
          <rPr>
            <sz val="8"/>
            <color indexed="81"/>
            <rFont val="Tahoma"/>
            <family val="2"/>
          </rPr>
          <t xml:space="preserve">
</t>
        </r>
      </text>
    </comment>
    <comment ref="O106" authorId="0">
      <text>
        <r>
          <rPr>
            <b/>
            <sz val="8"/>
            <color indexed="81"/>
            <rFont val="Tahoma"/>
            <family val="2"/>
          </rPr>
          <t>ratio of foodservice to transportation</t>
        </r>
        <r>
          <rPr>
            <sz val="8"/>
            <color indexed="81"/>
            <rFont val="Tahoma"/>
            <family val="2"/>
          </rPr>
          <t xml:space="preserve">
</t>
        </r>
      </text>
    </comment>
    <comment ref="P106" authorId="0">
      <text>
        <r>
          <rPr>
            <b/>
            <sz val="8"/>
            <color indexed="81"/>
            <rFont val="Tahoma"/>
            <family val="2"/>
          </rPr>
          <t>ratio of foodservice to transportation</t>
        </r>
        <r>
          <rPr>
            <sz val="8"/>
            <color indexed="81"/>
            <rFont val="Tahoma"/>
            <family val="2"/>
          </rPr>
          <t xml:space="preserve">
</t>
        </r>
      </text>
    </comment>
    <comment ref="Q106" authorId="0">
      <text>
        <r>
          <rPr>
            <b/>
            <sz val="8"/>
            <color indexed="81"/>
            <rFont val="Tahoma"/>
            <family val="2"/>
          </rPr>
          <t>ratio of foodservice to transportation</t>
        </r>
        <r>
          <rPr>
            <sz val="8"/>
            <color indexed="81"/>
            <rFont val="Tahoma"/>
            <family val="2"/>
          </rPr>
          <t xml:space="preserve">
</t>
        </r>
      </text>
    </comment>
    <comment ref="R106" authorId="0">
      <text>
        <r>
          <rPr>
            <b/>
            <sz val="8"/>
            <color indexed="81"/>
            <rFont val="Tahoma"/>
            <family val="2"/>
          </rPr>
          <t>ratio of foodservice to transportation</t>
        </r>
        <r>
          <rPr>
            <sz val="8"/>
            <color indexed="81"/>
            <rFont val="Tahoma"/>
            <family val="2"/>
          </rPr>
          <t xml:space="preserve">
</t>
        </r>
      </text>
    </comment>
    <comment ref="M107" authorId="0">
      <text>
        <r>
          <rPr>
            <b/>
            <sz val="8"/>
            <color indexed="81"/>
            <rFont val="Tahoma"/>
            <family val="2"/>
          </rPr>
          <t>ratio of retail to transportation</t>
        </r>
        <r>
          <rPr>
            <sz val="8"/>
            <color indexed="81"/>
            <rFont val="Tahoma"/>
            <family val="2"/>
          </rPr>
          <t xml:space="preserve">
</t>
        </r>
      </text>
    </comment>
    <comment ref="N107" authorId="0">
      <text>
        <r>
          <rPr>
            <b/>
            <sz val="8"/>
            <color indexed="81"/>
            <rFont val="Tahoma"/>
            <family val="2"/>
          </rPr>
          <t>ratio of retail to transportation</t>
        </r>
        <r>
          <rPr>
            <sz val="8"/>
            <color indexed="81"/>
            <rFont val="Tahoma"/>
            <family val="2"/>
          </rPr>
          <t xml:space="preserve">
</t>
        </r>
      </text>
    </comment>
    <comment ref="O107" authorId="0">
      <text>
        <r>
          <rPr>
            <b/>
            <sz val="8"/>
            <color indexed="81"/>
            <rFont val="Tahoma"/>
            <family val="2"/>
          </rPr>
          <t>ratio of retail to transportation</t>
        </r>
        <r>
          <rPr>
            <sz val="8"/>
            <color indexed="81"/>
            <rFont val="Tahoma"/>
            <family val="2"/>
          </rPr>
          <t xml:space="preserve">
</t>
        </r>
      </text>
    </comment>
    <comment ref="P107" authorId="0">
      <text>
        <r>
          <rPr>
            <b/>
            <sz val="8"/>
            <color indexed="81"/>
            <rFont val="Tahoma"/>
            <family val="2"/>
          </rPr>
          <t>ratio of retail to transportation</t>
        </r>
        <r>
          <rPr>
            <sz val="8"/>
            <color indexed="81"/>
            <rFont val="Tahoma"/>
            <family val="2"/>
          </rPr>
          <t xml:space="preserve">
</t>
        </r>
      </text>
    </comment>
    <comment ref="Q107" authorId="0">
      <text>
        <r>
          <rPr>
            <b/>
            <sz val="8"/>
            <color indexed="81"/>
            <rFont val="Tahoma"/>
            <family val="2"/>
          </rPr>
          <t>ratio of retail to transportation</t>
        </r>
        <r>
          <rPr>
            <sz val="8"/>
            <color indexed="81"/>
            <rFont val="Tahoma"/>
            <family val="2"/>
          </rPr>
          <t xml:space="preserve">
</t>
        </r>
      </text>
    </comment>
    <comment ref="R107" authorId="0">
      <text>
        <r>
          <rPr>
            <b/>
            <sz val="8"/>
            <color indexed="81"/>
            <rFont val="Tahoma"/>
            <family val="2"/>
          </rPr>
          <t>ratio of retail to transportation</t>
        </r>
        <r>
          <rPr>
            <sz val="8"/>
            <color indexed="81"/>
            <rFont val="Tahoma"/>
            <family val="2"/>
          </rPr>
          <t xml:space="preserve">
</t>
        </r>
      </text>
    </comment>
    <comment ref="M108" authorId="0">
      <text>
        <r>
          <rPr>
            <b/>
            <sz val="8"/>
            <color indexed="81"/>
            <rFont val="Tahoma"/>
            <family val="2"/>
          </rPr>
          <t>Salaries for transportation is usually available from national statistics, labour authority or ILO, acroos countries. So, it is assumed that the same should be available for the country to be benchmarked and is considered as the base for benchmarking the ratio of the salaries of any other category to the salary of transportation in the benchmarking countries.</t>
        </r>
        <r>
          <rPr>
            <sz val="8"/>
            <color indexed="81"/>
            <rFont val="Tahoma"/>
            <family val="2"/>
          </rPr>
          <t xml:space="preserve">
</t>
        </r>
      </text>
    </comment>
    <comment ref="N108" authorId="0">
      <text>
        <r>
          <rPr>
            <b/>
            <sz val="8"/>
            <color indexed="81"/>
            <rFont val="Tahoma"/>
            <family val="2"/>
          </rPr>
          <t>Salaries for transportation is usually available from national statistics, labour authority or ILO, acroos countries. So, it is assumed that the same should be available for the country to be benchmarked and is considered as the base for benchmarking the ratio of the salaries of any other category to the salary of transportation in the benchmarking countries.</t>
        </r>
        <r>
          <rPr>
            <sz val="8"/>
            <color indexed="81"/>
            <rFont val="Tahoma"/>
            <family val="2"/>
          </rPr>
          <t xml:space="preserve">
</t>
        </r>
      </text>
    </comment>
    <comment ref="O108" authorId="0">
      <text>
        <r>
          <rPr>
            <b/>
            <sz val="8"/>
            <color indexed="81"/>
            <rFont val="Tahoma"/>
            <family val="2"/>
          </rPr>
          <t>Salaries for transportation is usually available from national statistics, labour authority or ILO, acroos countries. So, it is assumed that the same should be available for the country to be benchmarked and is considered as the base for benchmarking the ratio of the salaries of any other category to the salary of transportation in the benchmarking countries.</t>
        </r>
        <r>
          <rPr>
            <sz val="8"/>
            <color indexed="81"/>
            <rFont val="Tahoma"/>
            <family val="2"/>
          </rPr>
          <t xml:space="preserve">
</t>
        </r>
      </text>
    </comment>
    <comment ref="P108" authorId="0">
      <text>
        <r>
          <rPr>
            <b/>
            <sz val="8"/>
            <color indexed="81"/>
            <rFont val="Tahoma"/>
            <family val="2"/>
          </rPr>
          <t>Salaries for transportation is usually available from national statistics, labour authority or ILO, acroos countries. So, it is assumed that the same should be available for the country to be benchmarked and is considered as the base for benchmarking the ratio of the salaries of any other category to the salary of transportation in the benchmarking countries.</t>
        </r>
        <r>
          <rPr>
            <sz val="8"/>
            <color indexed="81"/>
            <rFont val="Tahoma"/>
            <family val="2"/>
          </rPr>
          <t xml:space="preserve">
</t>
        </r>
      </text>
    </comment>
    <comment ref="Q108" authorId="0">
      <text>
        <r>
          <rPr>
            <b/>
            <sz val="8"/>
            <color indexed="81"/>
            <rFont val="Tahoma"/>
            <family val="2"/>
          </rPr>
          <t>Salaries for transportation is usually available from national statistics, labour authority or ILO, acroos countries. So, it is assumed that the same should be available for the country to be benchmarked and is considered as the base for benchmarking the ratio of the salaries of any other category to the salary of transportation in the benchmarking countries.</t>
        </r>
        <r>
          <rPr>
            <sz val="8"/>
            <color indexed="81"/>
            <rFont val="Tahoma"/>
            <family val="2"/>
          </rPr>
          <t xml:space="preserve">
</t>
        </r>
      </text>
    </comment>
    <comment ref="R108" authorId="0">
      <text>
        <r>
          <rPr>
            <b/>
            <sz val="8"/>
            <color indexed="81"/>
            <rFont val="Tahoma"/>
            <family val="2"/>
          </rPr>
          <t>Salaries for transportation is usually available from national statistics, labour authority or ILO, acroos countries. So, it is assumed that the same should be available for the country to be benchmarked and is considered as the base for benchmarking the ratio of the salaries of any other category to the salary of transportation in the benchmarking countries.</t>
        </r>
        <r>
          <rPr>
            <sz val="8"/>
            <color indexed="81"/>
            <rFont val="Tahoma"/>
            <family val="2"/>
          </rPr>
          <t xml:space="preserve">
</t>
        </r>
      </text>
    </comment>
    <comment ref="M109" authorId="0">
      <text>
        <r>
          <rPr>
            <b/>
            <sz val="8"/>
            <color indexed="81"/>
            <rFont val="Tahoma"/>
            <family val="2"/>
          </rPr>
          <t>ratio of travel intermediaries to transportation</t>
        </r>
        <r>
          <rPr>
            <sz val="8"/>
            <color indexed="81"/>
            <rFont val="Tahoma"/>
            <family val="2"/>
          </rPr>
          <t xml:space="preserve">
</t>
        </r>
      </text>
    </comment>
    <comment ref="N109" authorId="0">
      <text>
        <r>
          <rPr>
            <b/>
            <sz val="8"/>
            <color indexed="81"/>
            <rFont val="Tahoma"/>
            <family val="2"/>
          </rPr>
          <t>ratio of travel intermediaries to transportation</t>
        </r>
        <r>
          <rPr>
            <sz val="8"/>
            <color indexed="81"/>
            <rFont val="Tahoma"/>
            <family val="2"/>
          </rPr>
          <t xml:space="preserve">
</t>
        </r>
      </text>
    </comment>
    <comment ref="O109" authorId="0">
      <text>
        <r>
          <rPr>
            <b/>
            <sz val="8"/>
            <color indexed="81"/>
            <rFont val="Tahoma"/>
            <family val="2"/>
          </rPr>
          <t>ratio of travel intermediaries to transportation</t>
        </r>
        <r>
          <rPr>
            <sz val="8"/>
            <color indexed="81"/>
            <rFont val="Tahoma"/>
            <family val="2"/>
          </rPr>
          <t xml:space="preserve">
</t>
        </r>
      </text>
    </comment>
    <comment ref="P109" authorId="0">
      <text>
        <r>
          <rPr>
            <b/>
            <sz val="8"/>
            <color indexed="81"/>
            <rFont val="Tahoma"/>
            <family val="2"/>
          </rPr>
          <t>ratio of travel intermediaries to transportation</t>
        </r>
        <r>
          <rPr>
            <sz val="8"/>
            <color indexed="81"/>
            <rFont val="Tahoma"/>
            <family val="2"/>
          </rPr>
          <t xml:space="preserve">
</t>
        </r>
      </text>
    </comment>
    <comment ref="Q109" authorId="0">
      <text>
        <r>
          <rPr>
            <b/>
            <sz val="8"/>
            <color indexed="81"/>
            <rFont val="Tahoma"/>
            <family val="2"/>
          </rPr>
          <t>ratio of travel intermediaries to transportation</t>
        </r>
        <r>
          <rPr>
            <sz val="8"/>
            <color indexed="81"/>
            <rFont val="Tahoma"/>
            <family val="2"/>
          </rPr>
          <t xml:space="preserve">
</t>
        </r>
      </text>
    </comment>
    <comment ref="R109" authorId="0">
      <text>
        <r>
          <rPr>
            <b/>
            <sz val="8"/>
            <color indexed="81"/>
            <rFont val="Tahoma"/>
            <family val="2"/>
          </rPr>
          <t>ratio of travel intermediaries to transportation</t>
        </r>
        <r>
          <rPr>
            <sz val="8"/>
            <color indexed="81"/>
            <rFont val="Tahoma"/>
            <family val="2"/>
          </rPr>
          <t xml:space="preserve">
</t>
        </r>
      </text>
    </comment>
    <comment ref="M110" authorId="0">
      <text>
        <r>
          <rPr>
            <b/>
            <sz val="8"/>
            <color indexed="81"/>
            <rFont val="Tahoma"/>
            <family val="2"/>
          </rPr>
          <t>ratio of others to transportation</t>
        </r>
        <r>
          <rPr>
            <sz val="8"/>
            <color indexed="81"/>
            <rFont val="Tahoma"/>
            <family val="2"/>
          </rPr>
          <t xml:space="preserve">
</t>
        </r>
      </text>
    </comment>
    <comment ref="N110" authorId="0">
      <text>
        <r>
          <rPr>
            <b/>
            <sz val="8"/>
            <color indexed="81"/>
            <rFont val="Tahoma"/>
            <family val="2"/>
          </rPr>
          <t>ratio of others to transportation</t>
        </r>
        <r>
          <rPr>
            <sz val="8"/>
            <color indexed="81"/>
            <rFont val="Tahoma"/>
            <family val="2"/>
          </rPr>
          <t xml:space="preserve">
</t>
        </r>
      </text>
    </comment>
    <comment ref="O110" authorId="0">
      <text>
        <r>
          <rPr>
            <b/>
            <sz val="8"/>
            <color indexed="81"/>
            <rFont val="Tahoma"/>
            <family val="2"/>
          </rPr>
          <t>ratio of others to transportation</t>
        </r>
        <r>
          <rPr>
            <sz val="8"/>
            <color indexed="81"/>
            <rFont val="Tahoma"/>
            <family val="2"/>
          </rPr>
          <t xml:space="preserve">
</t>
        </r>
      </text>
    </comment>
    <comment ref="P110" authorId="0">
      <text>
        <r>
          <rPr>
            <b/>
            <sz val="8"/>
            <color indexed="81"/>
            <rFont val="Tahoma"/>
            <family val="2"/>
          </rPr>
          <t>ratio of others to transportation</t>
        </r>
        <r>
          <rPr>
            <sz val="8"/>
            <color indexed="81"/>
            <rFont val="Tahoma"/>
            <family val="2"/>
          </rPr>
          <t xml:space="preserve">
</t>
        </r>
      </text>
    </comment>
    <comment ref="Q110" authorId="0">
      <text>
        <r>
          <rPr>
            <b/>
            <sz val="8"/>
            <color indexed="81"/>
            <rFont val="Tahoma"/>
            <family val="2"/>
          </rPr>
          <t>ratio of others to transportation</t>
        </r>
        <r>
          <rPr>
            <sz val="8"/>
            <color indexed="81"/>
            <rFont val="Tahoma"/>
            <family val="2"/>
          </rPr>
          <t xml:space="preserve">
</t>
        </r>
      </text>
    </comment>
    <comment ref="R110" authorId="0">
      <text>
        <r>
          <rPr>
            <b/>
            <sz val="8"/>
            <color indexed="81"/>
            <rFont val="Tahoma"/>
            <family val="2"/>
          </rPr>
          <t>ratio of others to transportation</t>
        </r>
        <r>
          <rPr>
            <sz val="8"/>
            <color indexed="81"/>
            <rFont val="Tahoma"/>
            <family val="2"/>
          </rPr>
          <t xml:space="preserve">
</t>
        </r>
      </text>
    </comment>
    <comment ref="M112" authorId="0">
      <text>
        <r>
          <rPr>
            <b/>
            <sz val="8"/>
            <color indexed="81"/>
            <rFont val="Tahoma"/>
            <family val="2"/>
          </rPr>
          <t>Ratio of domestic tourism expenditure excluding domestic providers to total domestic expenditure including domestic providers</t>
        </r>
        <r>
          <rPr>
            <sz val="8"/>
            <color indexed="81"/>
            <rFont val="Tahoma"/>
            <family val="2"/>
          </rPr>
          <t xml:space="preserve">
</t>
        </r>
      </text>
    </comment>
    <comment ref="N112" authorId="0">
      <text>
        <r>
          <rPr>
            <b/>
            <sz val="8"/>
            <color indexed="81"/>
            <rFont val="Tahoma"/>
            <family val="2"/>
          </rPr>
          <t>Ratio of domestic tourism expenditure excluding domestic providers to total domestic expenditure including domestic providers</t>
        </r>
        <r>
          <rPr>
            <sz val="8"/>
            <color indexed="81"/>
            <rFont val="Tahoma"/>
            <family val="2"/>
          </rPr>
          <t xml:space="preserve">
</t>
        </r>
      </text>
    </comment>
    <comment ref="O112" authorId="0">
      <text>
        <r>
          <rPr>
            <b/>
            <sz val="8"/>
            <color indexed="81"/>
            <rFont val="Tahoma"/>
            <family val="2"/>
          </rPr>
          <t>Ratio of domestic tourism expenditure excluding domestic providers to total domestic expenditure including domestic providers</t>
        </r>
        <r>
          <rPr>
            <sz val="8"/>
            <color indexed="81"/>
            <rFont val="Tahoma"/>
            <family val="2"/>
          </rPr>
          <t xml:space="preserve">
</t>
        </r>
      </text>
    </comment>
    <comment ref="P112" authorId="0">
      <text>
        <r>
          <rPr>
            <b/>
            <sz val="8"/>
            <color indexed="81"/>
            <rFont val="Tahoma"/>
            <family val="2"/>
          </rPr>
          <t>Ratio of domestic tourism expenditure excluding domestic providers to total domestic expenditure including domestic providers</t>
        </r>
        <r>
          <rPr>
            <sz val="8"/>
            <color indexed="81"/>
            <rFont val="Tahoma"/>
            <family val="2"/>
          </rPr>
          <t xml:space="preserve">
</t>
        </r>
      </text>
    </comment>
    <comment ref="Q112" authorId="0">
      <text>
        <r>
          <rPr>
            <b/>
            <sz val="8"/>
            <color indexed="81"/>
            <rFont val="Tahoma"/>
            <family val="2"/>
          </rPr>
          <t>Ratio of domestic tourism expenditure excluding domestic providers to total domestic expenditure including domestic providers</t>
        </r>
        <r>
          <rPr>
            <sz val="8"/>
            <color indexed="81"/>
            <rFont val="Tahoma"/>
            <family val="2"/>
          </rPr>
          <t xml:space="preserve">
</t>
        </r>
      </text>
    </comment>
    <comment ref="R112" authorId="0">
      <text>
        <r>
          <rPr>
            <b/>
            <sz val="8"/>
            <color indexed="81"/>
            <rFont val="Tahoma"/>
            <family val="2"/>
          </rPr>
          <t>Ratio of domestic tourism expenditure excluding domestic providers to total domestic expenditure including domestic providers</t>
        </r>
        <r>
          <rPr>
            <sz val="8"/>
            <color indexed="81"/>
            <rFont val="Tahoma"/>
            <family val="2"/>
          </rPr>
          <t xml:space="preserve">
</t>
        </r>
      </text>
    </comment>
    <comment ref="M113" authorId="0">
      <text>
        <r>
          <rPr>
            <b/>
            <sz val="8"/>
            <color indexed="81"/>
            <rFont val="Tahoma"/>
            <family val="2"/>
          </rPr>
          <t xml:space="preserve">Ratio of accommodation to domestic tourim expenditure
</t>
        </r>
        <r>
          <rPr>
            <sz val="8"/>
            <color indexed="81"/>
            <rFont val="Tahoma"/>
            <family val="2"/>
          </rPr>
          <t xml:space="preserve">
</t>
        </r>
      </text>
    </comment>
    <comment ref="N113" authorId="0">
      <text>
        <r>
          <rPr>
            <b/>
            <sz val="8"/>
            <color indexed="81"/>
            <rFont val="Tahoma"/>
            <family val="2"/>
          </rPr>
          <t xml:space="preserve">Ratio of accommodation to domestic tourim expenditure
</t>
        </r>
        <r>
          <rPr>
            <sz val="8"/>
            <color indexed="81"/>
            <rFont val="Tahoma"/>
            <family val="2"/>
          </rPr>
          <t xml:space="preserve">
</t>
        </r>
      </text>
    </comment>
    <comment ref="O113" authorId="0">
      <text>
        <r>
          <rPr>
            <b/>
            <sz val="8"/>
            <color indexed="81"/>
            <rFont val="Tahoma"/>
            <family val="2"/>
          </rPr>
          <t xml:space="preserve">Ratio of accommodation to domestic tourim expenditure
</t>
        </r>
        <r>
          <rPr>
            <sz val="8"/>
            <color indexed="81"/>
            <rFont val="Tahoma"/>
            <family val="2"/>
          </rPr>
          <t xml:space="preserve">
</t>
        </r>
      </text>
    </comment>
    <comment ref="P113" authorId="0">
      <text>
        <r>
          <rPr>
            <b/>
            <sz val="8"/>
            <color indexed="81"/>
            <rFont val="Tahoma"/>
            <family val="2"/>
          </rPr>
          <t xml:space="preserve">Ratio of accommodation to domestic tourim expenditure
</t>
        </r>
        <r>
          <rPr>
            <sz val="8"/>
            <color indexed="81"/>
            <rFont val="Tahoma"/>
            <family val="2"/>
          </rPr>
          <t xml:space="preserve">
</t>
        </r>
      </text>
    </comment>
    <comment ref="Q113" authorId="0">
      <text>
        <r>
          <rPr>
            <b/>
            <sz val="8"/>
            <color indexed="81"/>
            <rFont val="Tahoma"/>
            <family val="2"/>
          </rPr>
          <t xml:space="preserve">Ratio of accommodation to domestic tourim expenditure
</t>
        </r>
        <r>
          <rPr>
            <sz val="8"/>
            <color indexed="81"/>
            <rFont val="Tahoma"/>
            <family val="2"/>
          </rPr>
          <t xml:space="preserve">
</t>
        </r>
      </text>
    </comment>
    <comment ref="R113" authorId="0">
      <text>
        <r>
          <rPr>
            <b/>
            <sz val="8"/>
            <color indexed="81"/>
            <rFont val="Tahoma"/>
            <family val="2"/>
          </rPr>
          <t xml:space="preserve">Ratio of accommodation to domestic tourim expenditure
</t>
        </r>
        <r>
          <rPr>
            <sz val="8"/>
            <color indexed="81"/>
            <rFont val="Tahoma"/>
            <family val="2"/>
          </rPr>
          <t xml:space="preserve">
</t>
        </r>
      </text>
    </comment>
    <comment ref="M114" authorId="0">
      <text>
        <r>
          <rPr>
            <b/>
            <sz val="8"/>
            <color indexed="81"/>
            <rFont val="Tahoma"/>
            <family val="2"/>
          </rPr>
          <t xml:space="preserve">Ratio of entertainment &amp; sightseeing to domestic tourim expenditure
</t>
        </r>
        <r>
          <rPr>
            <sz val="8"/>
            <color indexed="81"/>
            <rFont val="Tahoma"/>
            <family val="2"/>
          </rPr>
          <t xml:space="preserve">
</t>
        </r>
      </text>
    </comment>
    <comment ref="N114" authorId="0">
      <text>
        <r>
          <rPr>
            <b/>
            <sz val="8"/>
            <color indexed="81"/>
            <rFont val="Tahoma"/>
            <family val="2"/>
          </rPr>
          <t xml:space="preserve">Ratio of entertainment &amp; sightseeing to domestic tourim expenditure
</t>
        </r>
        <r>
          <rPr>
            <sz val="8"/>
            <color indexed="81"/>
            <rFont val="Tahoma"/>
            <family val="2"/>
          </rPr>
          <t xml:space="preserve">
</t>
        </r>
      </text>
    </comment>
    <comment ref="O114" authorId="0">
      <text>
        <r>
          <rPr>
            <b/>
            <sz val="8"/>
            <color indexed="81"/>
            <rFont val="Tahoma"/>
            <family val="2"/>
          </rPr>
          <t xml:space="preserve">Ratio of entertainment &amp; sightseeing to domestic tourim expenditure
</t>
        </r>
        <r>
          <rPr>
            <sz val="8"/>
            <color indexed="81"/>
            <rFont val="Tahoma"/>
            <family val="2"/>
          </rPr>
          <t xml:space="preserve">
</t>
        </r>
      </text>
    </comment>
    <comment ref="P114" authorId="0">
      <text>
        <r>
          <rPr>
            <b/>
            <sz val="8"/>
            <color indexed="81"/>
            <rFont val="Tahoma"/>
            <family val="2"/>
          </rPr>
          <t xml:space="preserve">Ratio of entertainment &amp; sightseeing to domestic tourim expenditure
</t>
        </r>
        <r>
          <rPr>
            <sz val="8"/>
            <color indexed="81"/>
            <rFont val="Tahoma"/>
            <family val="2"/>
          </rPr>
          <t xml:space="preserve">
</t>
        </r>
      </text>
    </comment>
    <comment ref="Q114" authorId="0">
      <text>
        <r>
          <rPr>
            <b/>
            <sz val="8"/>
            <color indexed="81"/>
            <rFont val="Tahoma"/>
            <family val="2"/>
          </rPr>
          <t xml:space="preserve">Ratio of entertainment &amp; sightseeing to domestic tourim expenditure
</t>
        </r>
        <r>
          <rPr>
            <sz val="8"/>
            <color indexed="81"/>
            <rFont val="Tahoma"/>
            <family val="2"/>
          </rPr>
          <t xml:space="preserve">
</t>
        </r>
      </text>
    </comment>
    <comment ref="R114" authorId="0">
      <text>
        <r>
          <rPr>
            <b/>
            <sz val="8"/>
            <color indexed="81"/>
            <rFont val="Tahoma"/>
            <family val="2"/>
          </rPr>
          <t xml:space="preserve">Ratio of entertainment &amp; sightseeing to domestic tourim expenditure
</t>
        </r>
        <r>
          <rPr>
            <sz val="8"/>
            <color indexed="81"/>
            <rFont val="Tahoma"/>
            <family val="2"/>
          </rPr>
          <t xml:space="preserve">
</t>
        </r>
      </text>
    </comment>
    <comment ref="M115" authorId="0">
      <text>
        <r>
          <rPr>
            <b/>
            <sz val="8"/>
            <color indexed="81"/>
            <rFont val="Tahoma"/>
            <family val="2"/>
          </rPr>
          <t xml:space="preserve">Ratio of foodservice to domestic tourim expenditure
</t>
        </r>
        <r>
          <rPr>
            <sz val="8"/>
            <color indexed="81"/>
            <rFont val="Tahoma"/>
            <family val="2"/>
          </rPr>
          <t xml:space="preserve">
</t>
        </r>
      </text>
    </comment>
    <comment ref="N115" authorId="0">
      <text>
        <r>
          <rPr>
            <b/>
            <sz val="8"/>
            <color indexed="81"/>
            <rFont val="Tahoma"/>
            <family val="2"/>
          </rPr>
          <t xml:space="preserve">Ratio of foodservice to domestic tourim expenditure
</t>
        </r>
        <r>
          <rPr>
            <sz val="8"/>
            <color indexed="81"/>
            <rFont val="Tahoma"/>
            <family val="2"/>
          </rPr>
          <t xml:space="preserve">
</t>
        </r>
      </text>
    </comment>
    <comment ref="O115" authorId="0">
      <text>
        <r>
          <rPr>
            <b/>
            <sz val="8"/>
            <color indexed="81"/>
            <rFont val="Tahoma"/>
            <family val="2"/>
          </rPr>
          <t xml:space="preserve">Ratio of foodservice to domestic tourim expenditure
</t>
        </r>
        <r>
          <rPr>
            <sz val="8"/>
            <color indexed="81"/>
            <rFont val="Tahoma"/>
            <family val="2"/>
          </rPr>
          <t xml:space="preserve">
</t>
        </r>
      </text>
    </comment>
    <comment ref="P115" authorId="0">
      <text>
        <r>
          <rPr>
            <b/>
            <sz val="8"/>
            <color indexed="81"/>
            <rFont val="Tahoma"/>
            <family val="2"/>
          </rPr>
          <t xml:space="preserve">Ratio of foodservice to domestic tourim expenditure
</t>
        </r>
        <r>
          <rPr>
            <sz val="8"/>
            <color indexed="81"/>
            <rFont val="Tahoma"/>
            <family val="2"/>
          </rPr>
          <t xml:space="preserve">
</t>
        </r>
      </text>
    </comment>
    <comment ref="Q115" authorId="0">
      <text>
        <r>
          <rPr>
            <b/>
            <sz val="8"/>
            <color indexed="81"/>
            <rFont val="Tahoma"/>
            <family val="2"/>
          </rPr>
          <t xml:space="preserve">Ratio of foodservice to domestic tourim expenditure
</t>
        </r>
        <r>
          <rPr>
            <sz val="8"/>
            <color indexed="81"/>
            <rFont val="Tahoma"/>
            <family val="2"/>
          </rPr>
          <t xml:space="preserve">
</t>
        </r>
      </text>
    </comment>
    <comment ref="R115" authorId="0">
      <text>
        <r>
          <rPr>
            <b/>
            <sz val="8"/>
            <color indexed="81"/>
            <rFont val="Tahoma"/>
            <family val="2"/>
          </rPr>
          <t xml:space="preserve">Ratio of foodservice to domestic tourim expenditure
</t>
        </r>
        <r>
          <rPr>
            <sz val="8"/>
            <color indexed="81"/>
            <rFont val="Tahoma"/>
            <family val="2"/>
          </rPr>
          <t xml:space="preserve">
</t>
        </r>
      </text>
    </comment>
    <comment ref="M116" authorId="0">
      <text>
        <r>
          <rPr>
            <b/>
            <sz val="8"/>
            <color indexed="81"/>
            <rFont val="Tahoma"/>
            <family val="2"/>
          </rPr>
          <t xml:space="preserve">Ratio of retail to domestic tourim expenditure
</t>
        </r>
        <r>
          <rPr>
            <sz val="8"/>
            <color indexed="81"/>
            <rFont val="Tahoma"/>
            <family val="2"/>
          </rPr>
          <t xml:space="preserve">
</t>
        </r>
      </text>
    </comment>
    <comment ref="N116" authorId="0">
      <text>
        <r>
          <rPr>
            <b/>
            <sz val="8"/>
            <color indexed="81"/>
            <rFont val="Tahoma"/>
            <family val="2"/>
          </rPr>
          <t xml:space="preserve">Ratio of retail to domestic tourim expenditure
</t>
        </r>
        <r>
          <rPr>
            <sz val="8"/>
            <color indexed="81"/>
            <rFont val="Tahoma"/>
            <family val="2"/>
          </rPr>
          <t xml:space="preserve">
</t>
        </r>
      </text>
    </comment>
    <comment ref="O116" authorId="0">
      <text>
        <r>
          <rPr>
            <b/>
            <sz val="8"/>
            <color indexed="81"/>
            <rFont val="Tahoma"/>
            <family val="2"/>
          </rPr>
          <t xml:space="preserve">Ratio of retail to domestic tourim expenditure
</t>
        </r>
        <r>
          <rPr>
            <sz val="8"/>
            <color indexed="81"/>
            <rFont val="Tahoma"/>
            <family val="2"/>
          </rPr>
          <t xml:space="preserve">
</t>
        </r>
      </text>
    </comment>
    <comment ref="P116" authorId="0">
      <text>
        <r>
          <rPr>
            <b/>
            <sz val="8"/>
            <color indexed="81"/>
            <rFont val="Tahoma"/>
            <family val="2"/>
          </rPr>
          <t xml:space="preserve">Ratio of retail to domestic tourim expenditure
</t>
        </r>
        <r>
          <rPr>
            <sz val="8"/>
            <color indexed="81"/>
            <rFont val="Tahoma"/>
            <family val="2"/>
          </rPr>
          <t xml:space="preserve">
</t>
        </r>
      </text>
    </comment>
    <comment ref="Q116" authorId="0">
      <text>
        <r>
          <rPr>
            <b/>
            <sz val="8"/>
            <color indexed="81"/>
            <rFont val="Tahoma"/>
            <family val="2"/>
          </rPr>
          <t xml:space="preserve">Ratio of retail to domestic tourim expenditure
</t>
        </r>
        <r>
          <rPr>
            <sz val="8"/>
            <color indexed="81"/>
            <rFont val="Tahoma"/>
            <family val="2"/>
          </rPr>
          <t xml:space="preserve">
</t>
        </r>
      </text>
    </comment>
    <comment ref="R116" authorId="0">
      <text>
        <r>
          <rPr>
            <b/>
            <sz val="8"/>
            <color indexed="81"/>
            <rFont val="Tahoma"/>
            <family val="2"/>
          </rPr>
          <t xml:space="preserve">Ratio of retail to domestic tourim expenditure
</t>
        </r>
        <r>
          <rPr>
            <sz val="8"/>
            <color indexed="81"/>
            <rFont val="Tahoma"/>
            <family val="2"/>
          </rPr>
          <t xml:space="preserve">
</t>
        </r>
      </text>
    </comment>
    <comment ref="M117" authorId="0">
      <text>
        <r>
          <rPr>
            <b/>
            <sz val="8"/>
            <color indexed="81"/>
            <rFont val="Tahoma"/>
            <family val="2"/>
          </rPr>
          <t xml:space="preserve">Ratio of transportation to domestic tourim expenditure
</t>
        </r>
        <r>
          <rPr>
            <sz val="8"/>
            <color indexed="81"/>
            <rFont val="Tahoma"/>
            <family val="2"/>
          </rPr>
          <t xml:space="preserve">
</t>
        </r>
      </text>
    </comment>
    <comment ref="N117" authorId="0">
      <text>
        <r>
          <rPr>
            <b/>
            <sz val="8"/>
            <color indexed="81"/>
            <rFont val="Tahoma"/>
            <family val="2"/>
          </rPr>
          <t xml:space="preserve">Ratio of transportation to domestic tourim expenditure
</t>
        </r>
        <r>
          <rPr>
            <sz val="8"/>
            <color indexed="81"/>
            <rFont val="Tahoma"/>
            <family val="2"/>
          </rPr>
          <t xml:space="preserve">
</t>
        </r>
      </text>
    </comment>
    <comment ref="O117" authorId="0">
      <text>
        <r>
          <rPr>
            <b/>
            <sz val="8"/>
            <color indexed="81"/>
            <rFont val="Tahoma"/>
            <family val="2"/>
          </rPr>
          <t xml:space="preserve">Ratio of transportation to domestic tourim expenditure
</t>
        </r>
        <r>
          <rPr>
            <sz val="8"/>
            <color indexed="81"/>
            <rFont val="Tahoma"/>
            <family val="2"/>
          </rPr>
          <t xml:space="preserve">
</t>
        </r>
      </text>
    </comment>
    <comment ref="P117" authorId="0">
      <text>
        <r>
          <rPr>
            <b/>
            <sz val="8"/>
            <color indexed="81"/>
            <rFont val="Tahoma"/>
            <family val="2"/>
          </rPr>
          <t xml:space="preserve">Ratio of transportation to domestic tourim expenditure
</t>
        </r>
        <r>
          <rPr>
            <sz val="8"/>
            <color indexed="81"/>
            <rFont val="Tahoma"/>
            <family val="2"/>
          </rPr>
          <t xml:space="preserve">
</t>
        </r>
      </text>
    </comment>
    <comment ref="Q117" authorId="0">
      <text>
        <r>
          <rPr>
            <b/>
            <sz val="8"/>
            <color indexed="81"/>
            <rFont val="Tahoma"/>
            <family val="2"/>
          </rPr>
          <t xml:space="preserve">Ratio of transportation to domestic tourim expenditure
</t>
        </r>
        <r>
          <rPr>
            <sz val="8"/>
            <color indexed="81"/>
            <rFont val="Tahoma"/>
            <family val="2"/>
          </rPr>
          <t xml:space="preserve">
</t>
        </r>
      </text>
    </comment>
    <comment ref="R117" authorId="0">
      <text>
        <r>
          <rPr>
            <b/>
            <sz val="8"/>
            <color indexed="81"/>
            <rFont val="Tahoma"/>
            <family val="2"/>
          </rPr>
          <t xml:space="preserve">Ratio of transportation to domestic tourim expenditure
</t>
        </r>
        <r>
          <rPr>
            <sz val="8"/>
            <color indexed="81"/>
            <rFont val="Tahoma"/>
            <family val="2"/>
          </rPr>
          <t xml:space="preserve">
</t>
        </r>
      </text>
    </comment>
    <comment ref="M118" authorId="0">
      <text>
        <r>
          <rPr>
            <b/>
            <sz val="8"/>
            <color indexed="81"/>
            <rFont val="Tahoma"/>
            <family val="2"/>
          </rPr>
          <t xml:space="preserve">Ratio of travel intermediaries
 to domestic tourim expenditure
</t>
        </r>
        <r>
          <rPr>
            <sz val="8"/>
            <color indexed="81"/>
            <rFont val="Tahoma"/>
            <family val="2"/>
          </rPr>
          <t xml:space="preserve">
</t>
        </r>
      </text>
    </comment>
    <comment ref="N118" authorId="0">
      <text>
        <r>
          <rPr>
            <b/>
            <sz val="8"/>
            <color indexed="81"/>
            <rFont val="Tahoma"/>
            <family val="2"/>
          </rPr>
          <t xml:space="preserve">Ratio of travel intermediaries
 to domestic tourim expenditure
</t>
        </r>
        <r>
          <rPr>
            <sz val="8"/>
            <color indexed="81"/>
            <rFont val="Tahoma"/>
            <family val="2"/>
          </rPr>
          <t xml:space="preserve">
</t>
        </r>
      </text>
    </comment>
    <comment ref="O118" authorId="0">
      <text>
        <r>
          <rPr>
            <b/>
            <sz val="8"/>
            <color indexed="81"/>
            <rFont val="Tahoma"/>
            <family val="2"/>
          </rPr>
          <t xml:space="preserve">Ratio of travel intermediaries
 to domestic tourim expenditure
</t>
        </r>
        <r>
          <rPr>
            <sz val="8"/>
            <color indexed="81"/>
            <rFont val="Tahoma"/>
            <family val="2"/>
          </rPr>
          <t xml:space="preserve">
</t>
        </r>
      </text>
    </comment>
    <comment ref="P118" authorId="0">
      <text>
        <r>
          <rPr>
            <b/>
            <sz val="8"/>
            <color indexed="81"/>
            <rFont val="Tahoma"/>
            <family val="2"/>
          </rPr>
          <t xml:space="preserve">Ratio of travel intermediaries
 to domestic tourim expenditure
</t>
        </r>
        <r>
          <rPr>
            <sz val="8"/>
            <color indexed="81"/>
            <rFont val="Tahoma"/>
            <family val="2"/>
          </rPr>
          <t xml:space="preserve">
</t>
        </r>
      </text>
    </comment>
    <comment ref="Q118" authorId="0">
      <text>
        <r>
          <rPr>
            <b/>
            <sz val="8"/>
            <color indexed="81"/>
            <rFont val="Tahoma"/>
            <family val="2"/>
          </rPr>
          <t xml:space="preserve">Ratio of travel intermediaries
 to domestic tourim expenditure
</t>
        </r>
        <r>
          <rPr>
            <sz val="8"/>
            <color indexed="81"/>
            <rFont val="Tahoma"/>
            <family val="2"/>
          </rPr>
          <t xml:space="preserve">
</t>
        </r>
      </text>
    </comment>
    <comment ref="R118" authorId="0">
      <text>
        <r>
          <rPr>
            <b/>
            <sz val="8"/>
            <color indexed="81"/>
            <rFont val="Tahoma"/>
            <family val="2"/>
          </rPr>
          <t xml:space="preserve">Ratio of travel intermediaries
 to domestic tourim expenditure
</t>
        </r>
        <r>
          <rPr>
            <sz val="8"/>
            <color indexed="81"/>
            <rFont val="Tahoma"/>
            <family val="2"/>
          </rPr>
          <t xml:space="preserve">
</t>
        </r>
      </text>
    </comment>
    <comment ref="M119" authorId="0">
      <text>
        <r>
          <rPr>
            <b/>
            <sz val="8"/>
            <color indexed="81"/>
            <rFont val="Tahoma"/>
            <family val="2"/>
          </rPr>
          <t xml:space="preserve">Ratio of others to domestic tourim expenditure
</t>
        </r>
        <r>
          <rPr>
            <sz val="8"/>
            <color indexed="81"/>
            <rFont val="Tahoma"/>
            <family val="2"/>
          </rPr>
          <t xml:space="preserve">
</t>
        </r>
      </text>
    </comment>
    <comment ref="N119" authorId="0">
      <text>
        <r>
          <rPr>
            <b/>
            <sz val="8"/>
            <color indexed="81"/>
            <rFont val="Tahoma"/>
            <family val="2"/>
          </rPr>
          <t xml:space="preserve">Ratio of others to domestic tourim expenditure
</t>
        </r>
        <r>
          <rPr>
            <sz val="8"/>
            <color indexed="81"/>
            <rFont val="Tahoma"/>
            <family val="2"/>
          </rPr>
          <t xml:space="preserve">
</t>
        </r>
      </text>
    </comment>
    <comment ref="O119" authorId="0">
      <text>
        <r>
          <rPr>
            <b/>
            <sz val="8"/>
            <color indexed="81"/>
            <rFont val="Tahoma"/>
            <family val="2"/>
          </rPr>
          <t xml:space="preserve">Ratio of others to domestic tourim expenditure
</t>
        </r>
        <r>
          <rPr>
            <sz val="8"/>
            <color indexed="81"/>
            <rFont val="Tahoma"/>
            <family val="2"/>
          </rPr>
          <t xml:space="preserve">
</t>
        </r>
      </text>
    </comment>
    <comment ref="P119" authorId="0">
      <text>
        <r>
          <rPr>
            <b/>
            <sz val="8"/>
            <color indexed="81"/>
            <rFont val="Tahoma"/>
            <family val="2"/>
          </rPr>
          <t xml:space="preserve">Ratio of others to domestic tourim expenditure
</t>
        </r>
        <r>
          <rPr>
            <sz val="8"/>
            <color indexed="81"/>
            <rFont val="Tahoma"/>
            <family val="2"/>
          </rPr>
          <t xml:space="preserve">
</t>
        </r>
      </text>
    </comment>
    <comment ref="Q119" authorId="0">
      <text>
        <r>
          <rPr>
            <b/>
            <sz val="8"/>
            <color indexed="81"/>
            <rFont val="Tahoma"/>
            <family val="2"/>
          </rPr>
          <t xml:space="preserve">Ratio of others to domestic tourim expenditure
</t>
        </r>
        <r>
          <rPr>
            <sz val="8"/>
            <color indexed="81"/>
            <rFont val="Tahoma"/>
            <family val="2"/>
          </rPr>
          <t xml:space="preserve">
</t>
        </r>
      </text>
    </comment>
    <comment ref="R119" authorId="0">
      <text>
        <r>
          <rPr>
            <b/>
            <sz val="8"/>
            <color indexed="81"/>
            <rFont val="Tahoma"/>
            <family val="2"/>
          </rPr>
          <t xml:space="preserve">Ratio of others to domestic tourim expenditure
</t>
        </r>
        <r>
          <rPr>
            <sz val="8"/>
            <color indexed="81"/>
            <rFont val="Tahoma"/>
            <family val="2"/>
          </rPr>
          <t xml:space="preserve">
</t>
        </r>
      </text>
    </comment>
    <comment ref="M121" authorId="0">
      <text>
        <r>
          <rPr>
            <b/>
            <sz val="8"/>
            <color indexed="81"/>
            <rFont val="Tahoma"/>
            <family val="2"/>
          </rPr>
          <t xml:space="preserve">Ratio of accommodation to inbound tourim expenditure
</t>
        </r>
        <r>
          <rPr>
            <sz val="8"/>
            <color indexed="81"/>
            <rFont val="Tahoma"/>
            <family val="2"/>
          </rPr>
          <t xml:space="preserve">
</t>
        </r>
      </text>
    </comment>
    <comment ref="N121" authorId="0">
      <text>
        <r>
          <rPr>
            <b/>
            <sz val="8"/>
            <color indexed="81"/>
            <rFont val="Tahoma"/>
            <family val="2"/>
          </rPr>
          <t xml:space="preserve">Ratio of accommodation to inbound tourim expenditure
</t>
        </r>
        <r>
          <rPr>
            <sz val="8"/>
            <color indexed="81"/>
            <rFont val="Tahoma"/>
            <family val="2"/>
          </rPr>
          <t xml:space="preserve">
</t>
        </r>
      </text>
    </comment>
    <comment ref="O121" authorId="0">
      <text>
        <r>
          <rPr>
            <b/>
            <sz val="8"/>
            <color indexed="81"/>
            <rFont val="Tahoma"/>
            <family val="2"/>
          </rPr>
          <t xml:space="preserve">Ratio of accommodation to inbound tourim expenditure
</t>
        </r>
        <r>
          <rPr>
            <sz val="8"/>
            <color indexed="81"/>
            <rFont val="Tahoma"/>
            <family val="2"/>
          </rPr>
          <t xml:space="preserve">
</t>
        </r>
      </text>
    </comment>
    <comment ref="P121" authorId="0">
      <text>
        <r>
          <rPr>
            <b/>
            <sz val="8"/>
            <color indexed="81"/>
            <rFont val="Tahoma"/>
            <family val="2"/>
          </rPr>
          <t xml:space="preserve">Ratio of accommodation to inbound tourim expenditure
</t>
        </r>
        <r>
          <rPr>
            <sz val="8"/>
            <color indexed="81"/>
            <rFont val="Tahoma"/>
            <family val="2"/>
          </rPr>
          <t xml:space="preserve">
</t>
        </r>
      </text>
    </comment>
    <comment ref="Q121" authorId="0">
      <text>
        <r>
          <rPr>
            <b/>
            <sz val="8"/>
            <color indexed="81"/>
            <rFont val="Tahoma"/>
            <family val="2"/>
          </rPr>
          <t xml:space="preserve">Ratio of accommodation to inbound tourim expenditure
</t>
        </r>
        <r>
          <rPr>
            <sz val="8"/>
            <color indexed="81"/>
            <rFont val="Tahoma"/>
            <family val="2"/>
          </rPr>
          <t xml:space="preserve">
</t>
        </r>
      </text>
    </comment>
    <comment ref="R121" authorId="0">
      <text>
        <r>
          <rPr>
            <b/>
            <sz val="8"/>
            <color indexed="81"/>
            <rFont val="Tahoma"/>
            <family val="2"/>
          </rPr>
          <t xml:space="preserve">Ratio of accommodation to inbound tourim expenditure
</t>
        </r>
        <r>
          <rPr>
            <sz val="8"/>
            <color indexed="81"/>
            <rFont val="Tahoma"/>
            <family val="2"/>
          </rPr>
          <t xml:space="preserve">
</t>
        </r>
      </text>
    </comment>
    <comment ref="M122" authorId="0">
      <text>
        <r>
          <rPr>
            <b/>
            <sz val="8"/>
            <color indexed="81"/>
            <rFont val="Tahoma"/>
            <family val="2"/>
          </rPr>
          <t xml:space="preserve">Ratio of entertainment &amp; sightseeing to inbound tourim expenditure
</t>
        </r>
        <r>
          <rPr>
            <sz val="8"/>
            <color indexed="81"/>
            <rFont val="Tahoma"/>
            <family val="2"/>
          </rPr>
          <t xml:space="preserve">
</t>
        </r>
      </text>
    </comment>
    <comment ref="N122" authorId="0">
      <text>
        <r>
          <rPr>
            <b/>
            <sz val="8"/>
            <color indexed="81"/>
            <rFont val="Tahoma"/>
            <family val="2"/>
          </rPr>
          <t xml:space="preserve">Ratio of entertainment &amp; sightseeing to inbound tourim expenditure
</t>
        </r>
        <r>
          <rPr>
            <sz val="8"/>
            <color indexed="81"/>
            <rFont val="Tahoma"/>
            <family val="2"/>
          </rPr>
          <t xml:space="preserve">
</t>
        </r>
      </text>
    </comment>
    <comment ref="O122" authorId="0">
      <text>
        <r>
          <rPr>
            <b/>
            <sz val="8"/>
            <color indexed="81"/>
            <rFont val="Tahoma"/>
            <family val="2"/>
          </rPr>
          <t xml:space="preserve">Ratio of entertainment &amp; sightseeing to inbound tourim expenditure
</t>
        </r>
        <r>
          <rPr>
            <sz val="8"/>
            <color indexed="81"/>
            <rFont val="Tahoma"/>
            <family val="2"/>
          </rPr>
          <t xml:space="preserve">
</t>
        </r>
      </text>
    </comment>
    <comment ref="P122" authorId="0">
      <text>
        <r>
          <rPr>
            <b/>
            <sz val="8"/>
            <color indexed="81"/>
            <rFont val="Tahoma"/>
            <family val="2"/>
          </rPr>
          <t xml:space="preserve">Ratio of entertainment &amp; sightseeing to inbound tourim expenditure
</t>
        </r>
        <r>
          <rPr>
            <sz val="8"/>
            <color indexed="81"/>
            <rFont val="Tahoma"/>
            <family val="2"/>
          </rPr>
          <t xml:space="preserve">
</t>
        </r>
      </text>
    </comment>
    <comment ref="Q122" authorId="0">
      <text>
        <r>
          <rPr>
            <b/>
            <sz val="8"/>
            <color indexed="81"/>
            <rFont val="Tahoma"/>
            <family val="2"/>
          </rPr>
          <t xml:space="preserve">Ratio of entertainment &amp; sightseeing to inbound tourim expenditure
</t>
        </r>
        <r>
          <rPr>
            <sz val="8"/>
            <color indexed="81"/>
            <rFont val="Tahoma"/>
            <family val="2"/>
          </rPr>
          <t xml:space="preserve">
</t>
        </r>
      </text>
    </comment>
    <comment ref="R122" authorId="0">
      <text>
        <r>
          <rPr>
            <b/>
            <sz val="8"/>
            <color indexed="81"/>
            <rFont val="Tahoma"/>
            <family val="2"/>
          </rPr>
          <t xml:space="preserve">Ratio of entertainment &amp; sightseeing to inbound tourim expenditure
</t>
        </r>
        <r>
          <rPr>
            <sz val="8"/>
            <color indexed="81"/>
            <rFont val="Tahoma"/>
            <family val="2"/>
          </rPr>
          <t xml:space="preserve">
</t>
        </r>
      </text>
    </comment>
    <comment ref="M123" authorId="0">
      <text>
        <r>
          <rPr>
            <b/>
            <sz val="8"/>
            <color indexed="81"/>
            <rFont val="Tahoma"/>
            <family val="2"/>
          </rPr>
          <t xml:space="preserve">Ratio of foodservice to inbound tourim expenditure
</t>
        </r>
        <r>
          <rPr>
            <sz val="8"/>
            <color indexed="81"/>
            <rFont val="Tahoma"/>
            <family val="2"/>
          </rPr>
          <t xml:space="preserve">
</t>
        </r>
      </text>
    </comment>
    <comment ref="N123" authorId="0">
      <text>
        <r>
          <rPr>
            <b/>
            <sz val="8"/>
            <color indexed="81"/>
            <rFont val="Tahoma"/>
            <family val="2"/>
          </rPr>
          <t xml:space="preserve">Ratio of foodservice to inbound tourim expenditure
</t>
        </r>
        <r>
          <rPr>
            <sz val="8"/>
            <color indexed="81"/>
            <rFont val="Tahoma"/>
            <family val="2"/>
          </rPr>
          <t xml:space="preserve">
</t>
        </r>
      </text>
    </comment>
    <comment ref="O123" authorId="0">
      <text>
        <r>
          <rPr>
            <b/>
            <sz val="8"/>
            <color indexed="81"/>
            <rFont val="Tahoma"/>
            <family val="2"/>
          </rPr>
          <t xml:space="preserve">Ratio of foodservice to inbound tourim expenditure
</t>
        </r>
        <r>
          <rPr>
            <sz val="8"/>
            <color indexed="81"/>
            <rFont val="Tahoma"/>
            <family val="2"/>
          </rPr>
          <t xml:space="preserve">
</t>
        </r>
      </text>
    </comment>
    <comment ref="P123" authorId="0">
      <text>
        <r>
          <rPr>
            <b/>
            <sz val="8"/>
            <color indexed="81"/>
            <rFont val="Tahoma"/>
            <family val="2"/>
          </rPr>
          <t xml:space="preserve">Ratio of foodservice to inbound tourim expenditure
</t>
        </r>
        <r>
          <rPr>
            <sz val="8"/>
            <color indexed="81"/>
            <rFont val="Tahoma"/>
            <family val="2"/>
          </rPr>
          <t xml:space="preserve">
</t>
        </r>
      </text>
    </comment>
    <comment ref="Q123" authorId="0">
      <text>
        <r>
          <rPr>
            <b/>
            <sz val="8"/>
            <color indexed="81"/>
            <rFont val="Tahoma"/>
            <family val="2"/>
          </rPr>
          <t xml:space="preserve">Ratio of foodservice to inbound tourim expenditure
</t>
        </r>
        <r>
          <rPr>
            <sz val="8"/>
            <color indexed="81"/>
            <rFont val="Tahoma"/>
            <family val="2"/>
          </rPr>
          <t xml:space="preserve">
</t>
        </r>
      </text>
    </comment>
    <comment ref="R123" authorId="0">
      <text>
        <r>
          <rPr>
            <b/>
            <sz val="8"/>
            <color indexed="81"/>
            <rFont val="Tahoma"/>
            <family val="2"/>
          </rPr>
          <t xml:space="preserve">Ratio of foodservice to inbound tourim expenditure
</t>
        </r>
        <r>
          <rPr>
            <sz val="8"/>
            <color indexed="81"/>
            <rFont val="Tahoma"/>
            <family val="2"/>
          </rPr>
          <t xml:space="preserve">
</t>
        </r>
      </text>
    </comment>
    <comment ref="M124" authorId="0">
      <text>
        <r>
          <rPr>
            <b/>
            <sz val="8"/>
            <color indexed="81"/>
            <rFont val="Tahoma"/>
            <family val="2"/>
          </rPr>
          <t xml:space="preserve">Ratio of retail to inbound tourim expenditure
</t>
        </r>
        <r>
          <rPr>
            <sz val="8"/>
            <color indexed="81"/>
            <rFont val="Tahoma"/>
            <family val="2"/>
          </rPr>
          <t xml:space="preserve">
</t>
        </r>
      </text>
    </comment>
    <comment ref="N124" authorId="0">
      <text>
        <r>
          <rPr>
            <b/>
            <sz val="8"/>
            <color indexed="81"/>
            <rFont val="Tahoma"/>
            <family val="2"/>
          </rPr>
          <t xml:space="preserve">Ratio of retail to inbound tourim expenditure
</t>
        </r>
        <r>
          <rPr>
            <sz val="8"/>
            <color indexed="81"/>
            <rFont val="Tahoma"/>
            <family val="2"/>
          </rPr>
          <t xml:space="preserve">
</t>
        </r>
      </text>
    </comment>
    <comment ref="O124" authorId="0">
      <text>
        <r>
          <rPr>
            <b/>
            <sz val="8"/>
            <color indexed="81"/>
            <rFont val="Tahoma"/>
            <family val="2"/>
          </rPr>
          <t xml:space="preserve">Ratio of retail to inbound tourim expenditure
</t>
        </r>
        <r>
          <rPr>
            <sz val="8"/>
            <color indexed="81"/>
            <rFont val="Tahoma"/>
            <family val="2"/>
          </rPr>
          <t xml:space="preserve">
</t>
        </r>
      </text>
    </comment>
    <comment ref="P124" authorId="0">
      <text>
        <r>
          <rPr>
            <b/>
            <sz val="8"/>
            <color indexed="81"/>
            <rFont val="Tahoma"/>
            <family val="2"/>
          </rPr>
          <t xml:space="preserve">Ratio of retail to inbound tourim expenditure
</t>
        </r>
        <r>
          <rPr>
            <sz val="8"/>
            <color indexed="81"/>
            <rFont val="Tahoma"/>
            <family val="2"/>
          </rPr>
          <t xml:space="preserve">
</t>
        </r>
      </text>
    </comment>
    <comment ref="Q124" authorId="0">
      <text>
        <r>
          <rPr>
            <b/>
            <sz val="8"/>
            <color indexed="81"/>
            <rFont val="Tahoma"/>
            <family val="2"/>
          </rPr>
          <t xml:space="preserve">Ratio of retail to inbound tourim expenditure
</t>
        </r>
        <r>
          <rPr>
            <sz val="8"/>
            <color indexed="81"/>
            <rFont val="Tahoma"/>
            <family val="2"/>
          </rPr>
          <t xml:space="preserve">
</t>
        </r>
      </text>
    </comment>
    <comment ref="R124" authorId="0">
      <text>
        <r>
          <rPr>
            <b/>
            <sz val="8"/>
            <color indexed="81"/>
            <rFont val="Tahoma"/>
            <family val="2"/>
          </rPr>
          <t xml:space="preserve">Ratio of retail to inbound tourim expenditure
</t>
        </r>
        <r>
          <rPr>
            <sz val="8"/>
            <color indexed="81"/>
            <rFont val="Tahoma"/>
            <family val="2"/>
          </rPr>
          <t xml:space="preserve">
</t>
        </r>
      </text>
    </comment>
    <comment ref="M125" authorId="0">
      <text>
        <r>
          <rPr>
            <b/>
            <sz val="8"/>
            <color indexed="81"/>
            <rFont val="Tahoma"/>
            <family val="2"/>
          </rPr>
          <t xml:space="preserve">Ratio of transportation to inbound tourim expenditure
</t>
        </r>
        <r>
          <rPr>
            <sz val="8"/>
            <color indexed="81"/>
            <rFont val="Tahoma"/>
            <family val="2"/>
          </rPr>
          <t xml:space="preserve">
</t>
        </r>
      </text>
    </comment>
    <comment ref="N125" authorId="0">
      <text>
        <r>
          <rPr>
            <b/>
            <sz val="8"/>
            <color indexed="81"/>
            <rFont val="Tahoma"/>
            <family val="2"/>
          </rPr>
          <t xml:space="preserve">Ratio of transportation to inbound tourim expenditure
</t>
        </r>
        <r>
          <rPr>
            <sz val="8"/>
            <color indexed="81"/>
            <rFont val="Tahoma"/>
            <family val="2"/>
          </rPr>
          <t xml:space="preserve">
</t>
        </r>
      </text>
    </comment>
    <comment ref="O125" authorId="0">
      <text>
        <r>
          <rPr>
            <b/>
            <sz val="8"/>
            <color indexed="81"/>
            <rFont val="Tahoma"/>
            <family val="2"/>
          </rPr>
          <t xml:space="preserve">Ratio of transportation to inbound tourim expenditure
</t>
        </r>
        <r>
          <rPr>
            <sz val="8"/>
            <color indexed="81"/>
            <rFont val="Tahoma"/>
            <family val="2"/>
          </rPr>
          <t xml:space="preserve">
</t>
        </r>
      </text>
    </comment>
    <comment ref="P125" authorId="0">
      <text>
        <r>
          <rPr>
            <b/>
            <sz val="8"/>
            <color indexed="81"/>
            <rFont val="Tahoma"/>
            <family val="2"/>
          </rPr>
          <t xml:space="preserve">Ratio of transportation to inbound tourim expenditure
</t>
        </r>
        <r>
          <rPr>
            <sz val="8"/>
            <color indexed="81"/>
            <rFont val="Tahoma"/>
            <family val="2"/>
          </rPr>
          <t xml:space="preserve">
</t>
        </r>
      </text>
    </comment>
    <comment ref="Q125" authorId="0">
      <text>
        <r>
          <rPr>
            <b/>
            <sz val="8"/>
            <color indexed="81"/>
            <rFont val="Tahoma"/>
            <family val="2"/>
          </rPr>
          <t xml:space="preserve">Ratio of transportation to inbound tourim expenditure
</t>
        </r>
        <r>
          <rPr>
            <sz val="8"/>
            <color indexed="81"/>
            <rFont val="Tahoma"/>
            <family val="2"/>
          </rPr>
          <t xml:space="preserve">
</t>
        </r>
      </text>
    </comment>
    <comment ref="R125" authorId="0">
      <text>
        <r>
          <rPr>
            <b/>
            <sz val="8"/>
            <color indexed="81"/>
            <rFont val="Tahoma"/>
            <family val="2"/>
          </rPr>
          <t xml:space="preserve">Ratio of transportation to inbound tourim expenditure
</t>
        </r>
        <r>
          <rPr>
            <sz val="8"/>
            <color indexed="81"/>
            <rFont val="Tahoma"/>
            <family val="2"/>
          </rPr>
          <t xml:space="preserve">
</t>
        </r>
      </text>
    </comment>
    <comment ref="M126" authorId="0">
      <text>
        <r>
          <rPr>
            <b/>
            <sz val="8"/>
            <color indexed="81"/>
            <rFont val="Tahoma"/>
            <family val="2"/>
          </rPr>
          <t xml:space="preserve">Ratio of travel intermediaries
to inbound tourim expenditure
</t>
        </r>
        <r>
          <rPr>
            <sz val="8"/>
            <color indexed="81"/>
            <rFont val="Tahoma"/>
            <family val="2"/>
          </rPr>
          <t xml:space="preserve">
</t>
        </r>
      </text>
    </comment>
    <comment ref="N126" authorId="0">
      <text>
        <r>
          <rPr>
            <b/>
            <sz val="8"/>
            <color indexed="81"/>
            <rFont val="Tahoma"/>
            <family val="2"/>
          </rPr>
          <t xml:space="preserve">Ratio of travel intermediaries
to inbound tourim expenditure
</t>
        </r>
        <r>
          <rPr>
            <sz val="8"/>
            <color indexed="81"/>
            <rFont val="Tahoma"/>
            <family val="2"/>
          </rPr>
          <t xml:space="preserve">
</t>
        </r>
      </text>
    </comment>
    <comment ref="O126" authorId="0">
      <text>
        <r>
          <rPr>
            <b/>
            <sz val="8"/>
            <color indexed="81"/>
            <rFont val="Tahoma"/>
            <family val="2"/>
          </rPr>
          <t xml:space="preserve">Ratio of travel intermediaries
to inbound tourim expenditure
</t>
        </r>
        <r>
          <rPr>
            <sz val="8"/>
            <color indexed="81"/>
            <rFont val="Tahoma"/>
            <family val="2"/>
          </rPr>
          <t xml:space="preserve">
</t>
        </r>
      </text>
    </comment>
    <comment ref="P126" authorId="0">
      <text>
        <r>
          <rPr>
            <b/>
            <sz val="8"/>
            <color indexed="81"/>
            <rFont val="Tahoma"/>
            <family val="2"/>
          </rPr>
          <t xml:space="preserve">Ratio of travel intermediaries
to inbound tourim expenditure
</t>
        </r>
        <r>
          <rPr>
            <sz val="8"/>
            <color indexed="81"/>
            <rFont val="Tahoma"/>
            <family val="2"/>
          </rPr>
          <t xml:space="preserve">
</t>
        </r>
      </text>
    </comment>
    <comment ref="Q126" authorId="0">
      <text>
        <r>
          <rPr>
            <b/>
            <sz val="8"/>
            <color indexed="81"/>
            <rFont val="Tahoma"/>
            <family val="2"/>
          </rPr>
          <t xml:space="preserve">Ratio of travel intermediaries
to inbound tourim expenditure
</t>
        </r>
        <r>
          <rPr>
            <sz val="8"/>
            <color indexed="81"/>
            <rFont val="Tahoma"/>
            <family val="2"/>
          </rPr>
          <t xml:space="preserve">
</t>
        </r>
      </text>
    </comment>
    <comment ref="R126" authorId="0">
      <text>
        <r>
          <rPr>
            <b/>
            <sz val="8"/>
            <color indexed="81"/>
            <rFont val="Tahoma"/>
            <family val="2"/>
          </rPr>
          <t xml:space="preserve">Ratio of travel intermediaries
to inbound tourim expenditure
</t>
        </r>
        <r>
          <rPr>
            <sz val="8"/>
            <color indexed="81"/>
            <rFont val="Tahoma"/>
            <family val="2"/>
          </rPr>
          <t xml:space="preserve">
</t>
        </r>
      </text>
    </comment>
    <comment ref="M127" authorId="0">
      <text>
        <r>
          <rPr>
            <b/>
            <sz val="8"/>
            <color indexed="81"/>
            <rFont val="Tahoma"/>
            <family val="2"/>
          </rPr>
          <t xml:space="preserve">Ratio of others to inbound tourim expenditure
</t>
        </r>
        <r>
          <rPr>
            <sz val="8"/>
            <color indexed="81"/>
            <rFont val="Tahoma"/>
            <family val="2"/>
          </rPr>
          <t xml:space="preserve">
</t>
        </r>
      </text>
    </comment>
    <comment ref="N127" authorId="0">
      <text>
        <r>
          <rPr>
            <b/>
            <sz val="8"/>
            <color indexed="81"/>
            <rFont val="Tahoma"/>
            <family val="2"/>
          </rPr>
          <t xml:space="preserve">Ratio of others to inbound tourim expenditure
</t>
        </r>
        <r>
          <rPr>
            <sz val="8"/>
            <color indexed="81"/>
            <rFont val="Tahoma"/>
            <family val="2"/>
          </rPr>
          <t xml:space="preserve">
</t>
        </r>
      </text>
    </comment>
    <comment ref="O127" authorId="0">
      <text>
        <r>
          <rPr>
            <b/>
            <sz val="8"/>
            <color indexed="81"/>
            <rFont val="Tahoma"/>
            <family val="2"/>
          </rPr>
          <t xml:space="preserve">Ratio of others to inbound tourim expenditure
</t>
        </r>
        <r>
          <rPr>
            <sz val="8"/>
            <color indexed="81"/>
            <rFont val="Tahoma"/>
            <family val="2"/>
          </rPr>
          <t xml:space="preserve">
</t>
        </r>
      </text>
    </comment>
    <comment ref="P127" authorId="0">
      <text>
        <r>
          <rPr>
            <b/>
            <sz val="8"/>
            <color indexed="81"/>
            <rFont val="Tahoma"/>
            <family val="2"/>
          </rPr>
          <t xml:space="preserve">Ratio of others to inbound tourim expenditure
</t>
        </r>
        <r>
          <rPr>
            <sz val="8"/>
            <color indexed="81"/>
            <rFont val="Tahoma"/>
            <family val="2"/>
          </rPr>
          <t xml:space="preserve">
</t>
        </r>
      </text>
    </comment>
    <comment ref="Q127" authorId="0">
      <text>
        <r>
          <rPr>
            <b/>
            <sz val="8"/>
            <color indexed="81"/>
            <rFont val="Tahoma"/>
            <family val="2"/>
          </rPr>
          <t xml:space="preserve">Ratio of others to inbound tourim expenditure
</t>
        </r>
        <r>
          <rPr>
            <sz val="8"/>
            <color indexed="81"/>
            <rFont val="Tahoma"/>
            <family val="2"/>
          </rPr>
          <t xml:space="preserve">
</t>
        </r>
      </text>
    </comment>
    <comment ref="R127" authorId="0">
      <text>
        <r>
          <rPr>
            <b/>
            <sz val="8"/>
            <color indexed="81"/>
            <rFont val="Tahoma"/>
            <family val="2"/>
          </rPr>
          <t xml:space="preserve">Ratio of others to inbound tourim expenditure
</t>
        </r>
        <r>
          <rPr>
            <sz val="8"/>
            <color indexed="81"/>
            <rFont val="Tahoma"/>
            <family val="2"/>
          </rPr>
          <t xml:space="preserve">
</t>
        </r>
      </text>
    </comment>
    <comment ref="M129" authorId="0">
      <text>
        <r>
          <rPr>
            <b/>
            <sz val="8"/>
            <color indexed="81"/>
            <rFont val="Tahoma"/>
            <family val="2"/>
          </rPr>
          <t xml:space="preserve">Ratio of accommodation to outbound tourim expenditure
</t>
        </r>
        <r>
          <rPr>
            <sz val="8"/>
            <color indexed="81"/>
            <rFont val="Tahoma"/>
            <family val="2"/>
          </rPr>
          <t xml:space="preserve">
</t>
        </r>
      </text>
    </comment>
    <comment ref="N129" authorId="0">
      <text>
        <r>
          <rPr>
            <b/>
            <sz val="8"/>
            <color indexed="81"/>
            <rFont val="Tahoma"/>
            <family val="2"/>
          </rPr>
          <t xml:space="preserve">Ratio of accommodation to outbound tourim expenditure
</t>
        </r>
        <r>
          <rPr>
            <sz val="8"/>
            <color indexed="81"/>
            <rFont val="Tahoma"/>
            <family val="2"/>
          </rPr>
          <t xml:space="preserve">
</t>
        </r>
      </text>
    </comment>
    <comment ref="O129" authorId="0">
      <text>
        <r>
          <rPr>
            <b/>
            <sz val="8"/>
            <color indexed="81"/>
            <rFont val="Tahoma"/>
            <family val="2"/>
          </rPr>
          <t xml:space="preserve">Ratio of accommodation to outbound tourim expenditure
</t>
        </r>
        <r>
          <rPr>
            <sz val="8"/>
            <color indexed="81"/>
            <rFont val="Tahoma"/>
            <family val="2"/>
          </rPr>
          <t xml:space="preserve">
</t>
        </r>
      </text>
    </comment>
    <comment ref="P129" authorId="0">
      <text>
        <r>
          <rPr>
            <b/>
            <sz val="8"/>
            <color indexed="81"/>
            <rFont val="Tahoma"/>
            <family val="2"/>
          </rPr>
          <t xml:space="preserve">Ratio of accommodation to outbound tourim expenditure
</t>
        </r>
        <r>
          <rPr>
            <sz val="8"/>
            <color indexed="81"/>
            <rFont val="Tahoma"/>
            <family val="2"/>
          </rPr>
          <t xml:space="preserve">
</t>
        </r>
      </text>
    </comment>
    <comment ref="Q129" authorId="0">
      <text>
        <r>
          <rPr>
            <b/>
            <sz val="8"/>
            <color indexed="81"/>
            <rFont val="Tahoma"/>
            <family val="2"/>
          </rPr>
          <t xml:space="preserve">Ratio of accommodation to outbound tourim expenditure
</t>
        </r>
        <r>
          <rPr>
            <sz val="8"/>
            <color indexed="81"/>
            <rFont val="Tahoma"/>
            <family val="2"/>
          </rPr>
          <t xml:space="preserve">
</t>
        </r>
      </text>
    </comment>
    <comment ref="R129" authorId="0">
      <text>
        <r>
          <rPr>
            <b/>
            <sz val="8"/>
            <color indexed="81"/>
            <rFont val="Tahoma"/>
            <family val="2"/>
          </rPr>
          <t xml:space="preserve">Ratio of accommodation to outbound tourim expenditure
</t>
        </r>
        <r>
          <rPr>
            <sz val="8"/>
            <color indexed="81"/>
            <rFont val="Tahoma"/>
            <family val="2"/>
          </rPr>
          <t xml:space="preserve">
</t>
        </r>
      </text>
    </comment>
    <comment ref="M130" authorId="0">
      <text>
        <r>
          <rPr>
            <b/>
            <sz val="8"/>
            <color indexed="81"/>
            <rFont val="Tahoma"/>
            <family val="2"/>
          </rPr>
          <t xml:space="preserve">Ratio of entertainment &amp; sightseeing to outbound tourim expenditure
</t>
        </r>
        <r>
          <rPr>
            <sz val="8"/>
            <color indexed="81"/>
            <rFont val="Tahoma"/>
            <family val="2"/>
          </rPr>
          <t xml:space="preserve">
</t>
        </r>
      </text>
    </comment>
    <comment ref="N130" authorId="0">
      <text>
        <r>
          <rPr>
            <b/>
            <sz val="8"/>
            <color indexed="81"/>
            <rFont val="Tahoma"/>
            <family val="2"/>
          </rPr>
          <t xml:space="preserve">Ratio of entertainment &amp; sightseeing to outbound tourim expenditure
</t>
        </r>
        <r>
          <rPr>
            <sz val="8"/>
            <color indexed="81"/>
            <rFont val="Tahoma"/>
            <family val="2"/>
          </rPr>
          <t xml:space="preserve">
</t>
        </r>
      </text>
    </comment>
    <comment ref="O130" authorId="0">
      <text>
        <r>
          <rPr>
            <b/>
            <sz val="8"/>
            <color indexed="81"/>
            <rFont val="Tahoma"/>
            <family val="2"/>
          </rPr>
          <t xml:space="preserve">Ratio of entertainment &amp; sightseeing to outbound tourim expenditure
</t>
        </r>
        <r>
          <rPr>
            <sz val="8"/>
            <color indexed="81"/>
            <rFont val="Tahoma"/>
            <family val="2"/>
          </rPr>
          <t xml:space="preserve">
</t>
        </r>
      </text>
    </comment>
    <comment ref="P130" authorId="0">
      <text>
        <r>
          <rPr>
            <b/>
            <sz val="8"/>
            <color indexed="81"/>
            <rFont val="Tahoma"/>
            <family val="2"/>
          </rPr>
          <t xml:space="preserve">Ratio of entertainment &amp; sightseeing to outbound tourim expenditure
</t>
        </r>
        <r>
          <rPr>
            <sz val="8"/>
            <color indexed="81"/>
            <rFont val="Tahoma"/>
            <family val="2"/>
          </rPr>
          <t xml:space="preserve">
</t>
        </r>
      </text>
    </comment>
    <comment ref="Q130" authorId="0">
      <text>
        <r>
          <rPr>
            <b/>
            <sz val="8"/>
            <color indexed="81"/>
            <rFont val="Tahoma"/>
            <family val="2"/>
          </rPr>
          <t xml:space="preserve">Ratio of entertainment &amp; sightseeing to outbound tourim expenditure
</t>
        </r>
        <r>
          <rPr>
            <sz val="8"/>
            <color indexed="81"/>
            <rFont val="Tahoma"/>
            <family val="2"/>
          </rPr>
          <t xml:space="preserve">
</t>
        </r>
      </text>
    </comment>
    <comment ref="R130" authorId="0">
      <text>
        <r>
          <rPr>
            <b/>
            <sz val="8"/>
            <color indexed="81"/>
            <rFont val="Tahoma"/>
            <family val="2"/>
          </rPr>
          <t xml:space="preserve">Ratio of entertainment &amp; sightseeing to outbound tourim expenditure
</t>
        </r>
        <r>
          <rPr>
            <sz val="8"/>
            <color indexed="81"/>
            <rFont val="Tahoma"/>
            <family val="2"/>
          </rPr>
          <t xml:space="preserve">
</t>
        </r>
      </text>
    </comment>
    <comment ref="M131" authorId="0">
      <text>
        <r>
          <rPr>
            <b/>
            <sz val="8"/>
            <color indexed="81"/>
            <rFont val="Tahoma"/>
            <family val="2"/>
          </rPr>
          <t xml:space="preserve">Ratio of foodservice to outbound tourim expenditure
</t>
        </r>
        <r>
          <rPr>
            <sz val="8"/>
            <color indexed="81"/>
            <rFont val="Tahoma"/>
            <family val="2"/>
          </rPr>
          <t xml:space="preserve">
</t>
        </r>
      </text>
    </comment>
    <comment ref="N131" authorId="0">
      <text>
        <r>
          <rPr>
            <b/>
            <sz val="8"/>
            <color indexed="81"/>
            <rFont val="Tahoma"/>
            <family val="2"/>
          </rPr>
          <t xml:space="preserve">Ratio of foodservice to outbound tourim expenditure
</t>
        </r>
        <r>
          <rPr>
            <sz val="8"/>
            <color indexed="81"/>
            <rFont val="Tahoma"/>
            <family val="2"/>
          </rPr>
          <t xml:space="preserve">
</t>
        </r>
      </text>
    </comment>
    <comment ref="O131" authorId="0">
      <text>
        <r>
          <rPr>
            <b/>
            <sz val="8"/>
            <color indexed="81"/>
            <rFont val="Tahoma"/>
            <family val="2"/>
          </rPr>
          <t xml:space="preserve">Ratio of foodservice to outbound tourim expenditure
</t>
        </r>
        <r>
          <rPr>
            <sz val="8"/>
            <color indexed="81"/>
            <rFont val="Tahoma"/>
            <family val="2"/>
          </rPr>
          <t xml:space="preserve">
</t>
        </r>
      </text>
    </comment>
    <comment ref="P131" authorId="0">
      <text>
        <r>
          <rPr>
            <b/>
            <sz val="8"/>
            <color indexed="81"/>
            <rFont val="Tahoma"/>
            <family val="2"/>
          </rPr>
          <t xml:space="preserve">Ratio of foodservice to outbound tourim expenditure
</t>
        </r>
        <r>
          <rPr>
            <sz val="8"/>
            <color indexed="81"/>
            <rFont val="Tahoma"/>
            <family val="2"/>
          </rPr>
          <t xml:space="preserve">
</t>
        </r>
      </text>
    </comment>
    <comment ref="Q131" authorId="0">
      <text>
        <r>
          <rPr>
            <b/>
            <sz val="8"/>
            <color indexed="81"/>
            <rFont val="Tahoma"/>
            <family val="2"/>
          </rPr>
          <t xml:space="preserve">Ratio of foodservice to outbound tourim expenditure
</t>
        </r>
        <r>
          <rPr>
            <sz val="8"/>
            <color indexed="81"/>
            <rFont val="Tahoma"/>
            <family val="2"/>
          </rPr>
          <t xml:space="preserve">
</t>
        </r>
      </text>
    </comment>
    <comment ref="R131" authorId="0">
      <text>
        <r>
          <rPr>
            <b/>
            <sz val="8"/>
            <color indexed="81"/>
            <rFont val="Tahoma"/>
            <family val="2"/>
          </rPr>
          <t xml:space="preserve">Ratio of foodservice to outbound tourim expenditure
</t>
        </r>
        <r>
          <rPr>
            <sz val="8"/>
            <color indexed="81"/>
            <rFont val="Tahoma"/>
            <family val="2"/>
          </rPr>
          <t xml:space="preserve">
</t>
        </r>
      </text>
    </comment>
    <comment ref="M132" authorId="0">
      <text>
        <r>
          <rPr>
            <b/>
            <sz val="8"/>
            <color indexed="81"/>
            <rFont val="Tahoma"/>
            <family val="2"/>
          </rPr>
          <t xml:space="preserve">Ratio of retail to outbound tourim expenditure
</t>
        </r>
        <r>
          <rPr>
            <sz val="8"/>
            <color indexed="81"/>
            <rFont val="Tahoma"/>
            <family val="2"/>
          </rPr>
          <t xml:space="preserve">
</t>
        </r>
      </text>
    </comment>
    <comment ref="N132" authorId="0">
      <text>
        <r>
          <rPr>
            <b/>
            <sz val="8"/>
            <color indexed="81"/>
            <rFont val="Tahoma"/>
            <family val="2"/>
          </rPr>
          <t xml:space="preserve">Ratio of retail to outbound tourim expenditure
</t>
        </r>
        <r>
          <rPr>
            <sz val="8"/>
            <color indexed="81"/>
            <rFont val="Tahoma"/>
            <family val="2"/>
          </rPr>
          <t xml:space="preserve">
</t>
        </r>
      </text>
    </comment>
    <comment ref="O132" authorId="0">
      <text>
        <r>
          <rPr>
            <b/>
            <sz val="8"/>
            <color indexed="81"/>
            <rFont val="Tahoma"/>
            <family val="2"/>
          </rPr>
          <t xml:space="preserve">Ratio of retail to outbound tourim expenditure
</t>
        </r>
        <r>
          <rPr>
            <sz val="8"/>
            <color indexed="81"/>
            <rFont val="Tahoma"/>
            <family val="2"/>
          </rPr>
          <t xml:space="preserve">
</t>
        </r>
      </text>
    </comment>
    <comment ref="P132" authorId="0">
      <text>
        <r>
          <rPr>
            <b/>
            <sz val="8"/>
            <color indexed="81"/>
            <rFont val="Tahoma"/>
            <family val="2"/>
          </rPr>
          <t xml:space="preserve">Ratio of retail to outbound tourim expenditure
</t>
        </r>
        <r>
          <rPr>
            <sz val="8"/>
            <color indexed="81"/>
            <rFont val="Tahoma"/>
            <family val="2"/>
          </rPr>
          <t xml:space="preserve">
</t>
        </r>
      </text>
    </comment>
    <comment ref="Q132" authorId="0">
      <text>
        <r>
          <rPr>
            <b/>
            <sz val="8"/>
            <color indexed="81"/>
            <rFont val="Tahoma"/>
            <family val="2"/>
          </rPr>
          <t xml:space="preserve">Ratio of retail to outbound tourim expenditure
</t>
        </r>
        <r>
          <rPr>
            <sz val="8"/>
            <color indexed="81"/>
            <rFont val="Tahoma"/>
            <family val="2"/>
          </rPr>
          <t xml:space="preserve">
</t>
        </r>
      </text>
    </comment>
    <comment ref="R132" authorId="0">
      <text>
        <r>
          <rPr>
            <b/>
            <sz val="8"/>
            <color indexed="81"/>
            <rFont val="Tahoma"/>
            <family val="2"/>
          </rPr>
          <t xml:space="preserve">Ratio of retail to outbound tourim expenditure
</t>
        </r>
        <r>
          <rPr>
            <sz val="8"/>
            <color indexed="81"/>
            <rFont val="Tahoma"/>
            <family val="2"/>
          </rPr>
          <t xml:space="preserve">
</t>
        </r>
      </text>
    </comment>
    <comment ref="M133" authorId="0">
      <text>
        <r>
          <rPr>
            <b/>
            <sz val="8"/>
            <color indexed="81"/>
            <rFont val="Tahoma"/>
            <family val="2"/>
          </rPr>
          <t xml:space="preserve">Ratio of transportation to outbound tourim expenditure
</t>
        </r>
        <r>
          <rPr>
            <sz val="8"/>
            <color indexed="81"/>
            <rFont val="Tahoma"/>
            <family val="2"/>
          </rPr>
          <t xml:space="preserve">
</t>
        </r>
      </text>
    </comment>
    <comment ref="N133" authorId="0">
      <text>
        <r>
          <rPr>
            <b/>
            <sz val="8"/>
            <color indexed="81"/>
            <rFont val="Tahoma"/>
            <family val="2"/>
          </rPr>
          <t xml:space="preserve">Ratio of transportation to outbound tourim expenditure
</t>
        </r>
        <r>
          <rPr>
            <sz val="8"/>
            <color indexed="81"/>
            <rFont val="Tahoma"/>
            <family val="2"/>
          </rPr>
          <t xml:space="preserve">
</t>
        </r>
      </text>
    </comment>
    <comment ref="O133" authorId="0">
      <text>
        <r>
          <rPr>
            <b/>
            <sz val="8"/>
            <color indexed="81"/>
            <rFont val="Tahoma"/>
            <family val="2"/>
          </rPr>
          <t xml:space="preserve">Ratio of transportation to outbound tourim expenditure
</t>
        </r>
        <r>
          <rPr>
            <sz val="8"/>
            <color indexed="81"/>
            <rFont val="Tahoma"/>
            <family val="2"/>
          </rPr>
          <t xml:space="preserve">
</t>
        </r>
      </text>
    </comment>
    <comment ref="P133" authorId="0">
      <text>
        <r>
          <rPr>
            <b/>
            <sz val="8"/>
            <color indexed="81"/>
            <rFont val="Tahoma"/>
            <family val="2"/>
          </rPr>
          <t xml:space="preserve">Ratio of transportation to outbound tourim expenditure
</t>
        </r>
        <r>
          <rPr>
            <sz val="8"/>
            <color indexed="81"/>
            <rFont val="Tahoma"/>
            <family val="2"/>
          </rPr>
          <t xml:space="preserve">
</t>
        </r>
      </text>
    </comment>
    <comment ref="Q133" authorId="0">
      <text>
        <r>
          <rPr>
            <b/>
            <sz val="8"/>
            <color indexed="81"/>
            <rFont val="Tahoma"/>
            <family val="2"/>
          </rPr>
          <t xml:space="preserve">Ratio of transportation to outbound tourim expenditure
</t>
        </r>
        <r>
          <rPr>
            <sz val="8"/>
            <color indexed="81"/>
            <rFont val="Tahoma"/>
            <family val="2"/>
          </rPr>
          <t xml:space="preserve">
</t>
        </r>
      </text>
    </comment>
    <comment ref="R133" authorId="0">
      <text>
        <r>
          <rPr>
            <b/>
            <sz val="8"/>
            <color indexed="81"/>
            <rFont val="Tahoma"/>
            <family val="2"/>
          </rPr>
          <t xml:space="preserve">Ratio of transportation to outbound tourim expenditure
</t>
        </r>
        <r>
          <rPr>
            <sz val="8"/>
            <color indexed="81"/>
            <rFont val="Tahoma"/>
            <family val="2"/>
          </rPr>
          <t xml:space="preserve">
</t>
        </r>
      </text>
    </comment>
    <comment ref="M134" authorId="0">
      <text>
        <r>
          <rPr>
            <b/>
            <sz val="8"/>
            <color indexed="81"/>
            <rFont val="Tahoma"/>
            <family val="2"/>
          </rPr>
          <t xml:space="preserve">Ratio of travel intermediaries
to outbound tourim expenditure
</t>
        </r>
        <r>
          <rPr>
            <sz val="8"/>
            <color indexed="81"/>
            <rFont val="Tahoma"/>
            <family val="2"/>
          </rPr>
          <t xml:space="preserve">
</t>
        </r>
      </text>
    </comment>
    <comment ref="N134" authorId="0">
      <text>
        <r>
          <rPr>
            <b/>
            <sz val="8"/>
            <color indexed="81"/>
            <rFont val="Tahoma"/>
            <family val="2"/>
          </rPr>
          <t xml:space="preserve">Ratio of travel intermediaries
to outbound tourim expenditure
</t>
        </r>
        <r>
          <rPr>
            <sz val="8"/>
            <color indexed="81"/>
            <rFont val="Tahoma"/>
            <family val="2"/>
          </rPr>
          <t xml:space="preserve">
</t>
        </r>
      </text>
    </comment>
    <comment ref="O134" authorId="0">
      <text>
        <r>
          <rPr>
            <b/>
            <sz val="8"/>
            <color indexed="81"/>
            <rFont val="Tahoma"/>
            <family val="2"/>
          </rPr>
          <t xml:space="preserve">Ratio of travel intermediaries
to outbound tourim expenditure
</t>
        </r>
        <r>
          <rPr>
            <sz val="8"/>
            <color indexed="81"/>
            <rFont val="Tahoma"/>
            <family val="2"/>
          </rPr>
          <t xml:space="preserve">
</t>
        </r>
      </text>
    </comment>
    <comment ref="P134" authorId="0">
      <text>
        <r>
          <rPr>
            <b/>
            <sz val="8"/>
            <color indexed="81"/>
            <rFont val="Tahoma"/>
            <family val="2"/>
          </rPr>
          <t xml:space="preserve">Ratio of travel intermediaries
to outbound tourim expenditure
</t>
        </r>
        <r>
          <rPr>
            <sz val="8"/>
            <color indexed="81"/>
            <rFont val="Tahoma"/>
            <family val="2"/>
          </rPr>
          <t xml:space="preserve">
</t>
        </r>
      </text>
    </comment>
    <comment ref="Q134" authorId="0">
      <text>
        <r>
          <rPr>
            <b/>
            <sz val="8"/>
            <color indexed="81"/>
            <rFont val="Tahoma"/>
            <family val="2"/>
          </rPr>
          <t xml:space="preserve">Ratio of travel intermediaries
to outbound tourim expenditure
</t>
        </r>
        <r>
          <rPr>
            <sz val="8"/>
            <color indexed="81"/>
            <rFont val="Tahoma"/>
            <family val="2"/>
          </rPr>
          <t xml:space="preserve">
</t>
        </r>
      </text>
    </comment>
    <comment ref="R134" authorId="0">
      <text>
        <r>
          <rPr>
            <b/>
            <sz val="8"/>
            <color indexed="81"/>
            <rFont val="Tahoma"/>
            <family val="2"/>
          </rPr>
          <t xml:space="preserve">Ratio of travel intermediaries
to outbound tourim expenditure
</t>
        </r>
        <r>
          <rPr>
            <sz val="8"/>
            <color indexed="81"/>
            <rFont val="Tahoma"/>
            <family val="2"/>
          </rPr>
          <t xml:space="preserve">
</t>
        </r>
      </text>
    </comment>
    <comment ref="M135" authorId="0">
      <text>
        <r>
          <rPr>
            <b/>
            <sz val="8"/>
            <color indexed="81"/>
            <rFont val="Tahoma"/>
            <family val="2"/>
          </rPr>
          <t xml:space="preserve">Ratio of others to outbound tourim expenditure
</t>
        </r>
        <r>
          <rPr>
            <sz val="8"/>
            <color indexed="81"/>
            <rFont val="Tahoma"/>
            <family val="2"/>
          </rPr>
          <t xml:space="preserve">
</t>
        </r>
      </text>
    </comment>
    <comment ref="N135" authorId="0">
      <text>
        <r>
          <rPr>
            <b/>
            <sz val="8"/>
            <color indexed="81"/>
            <rFont val="Tahoma"/>
            <family val="2"/>
          </rPr>
          <t xml:space="preserve">Ratio of others to outbound tourim expenditure
</t>
        </r>
        <r>
          <rPr>
            <sz val="8"/>
            <color indexed="81"/>
            <rFont val="Tahoma"/>
            <family val="2"/>
          </rPr>
          <t xml:space="preserve">
</t>
        </r>
      </text>
    </comment>
    <comment ref="O135" authorId="0">
      <text>
        <r>
          <rPr>
            <b/>
            <sz val="8"/>
            <color indexed="81"/>
            <rFont val="Tahoma"/>
            <family val="2"/>
          </rPr>
          <t xml:space="preserve">Ratio of others to outbound tourim expenditure
</t>
        </r>
        <r>
          <rPr>
            <sz val="8"/>
            <color indexed="81"/>
            <rFont val="Tahoma"/>
            <family val="2"/>
          </rPr>
          <t xml:space="preserve">
</t>
        </r>
      </text>
    </comment>
    <comment ref="P135" authorId="0">
      <text>
        <r>
          <rPr>
            <b/>
            <sz val="8"/>
            <color indexed="81"/>
            <rFont val="Tahoma"/>
            <family val="2"/>
          </rPr>
          <t xml:space="preserve">Ratio of others to outbound tourim expenditure
</t>
        </r>
        <r>
          <rPr>
            <sz val="8"/>
            <color indexed="81"/>
            <rFont val="Tahoma"/>
            <family val="2"/>
          </rPr>
          <t xml:space="preserve">
</t>
        </r>
      </text>
    </comment>
    <comment ref="Q135" authorId="0">
      <text>
        <r>
          <rPr>
            <b/>
            <sz val="8"/>
            <color indexed="81"/>
            <rFont val="Tahoma"/>
            <family val="2"/>
          </rPr>
          <t xml:space="preserve">Ratio of others to outbound tourim expenditure
</t>
        </r>
        <r>
          <rPr>
            <sz val="8"/>
            <color indexed="81"/>
            <rFont val="Tahoma"/>
            <family val="2"/>
          </rPr>
          <t xml:space="preserve">
</t>
        </r>
      </text>
    </comment>
    <comment ref="R135" authorId="0">
      <text>
        <r>
          <rPr>
            <b/>
            <sz val="8"/>
            <color indexed="81"/>
            <rFont val="Tahoma"/>
            <family val="2"/>
          </rPr>
          <t xml:space="preserve">Ratio of others to outbound tourim expenditure
</t>
        </r>
        <r>
          <rPr>
            <sz val="8"/>
            <color indexed="81"/>
            <rFont val="Tahoma"/>
            <family val="2"/>
          </rPr>
          <t xml:space="preserve">
</t>
        </r>
      </text>
    </comment>
    <comment ref="M137" authorId="0">
      <text>
        <r>
          <rPr>
            <b/>
            <sz val="8"/>
            <color indexed="81"/>
            <rFont val="Tahoma"/>
            <family val="2"/>
          </rPr>
          <t xml:space="preserve">Ratio of accommodation to international providers 
</t>
        </r>
        <r>
          <rPr>
            <sz val="8"/>
            <color indexed="81"/>
            <rFont val="Tahoma"/>
            <family val="2"/>
          </rPr>
          <t xml:space="preserve">
</t>
        </r>
      </text>
    </comment>
    <comment ref="N137" authorId="0">
      <text>
        <r>
          <rPr>
            <b/>
            <sz val="8"/>
            <color indexed="81"/>
            <rFont val="Tahoma"/>
            <family val="2"/>
          </rPr>
          <t xml:space="preserve">Ratio of accommodation to international providers 
</t>
        </r>
        <r>
          <rPr>
            <sz val="8"/>
            <color indexed="81"/>
            <rFont val="Tahoma"/>
            <family val="2"/>
          </rPr>
          <t xml:space="preserve">
</t>
        </r>
      </text>
    </comment>
    <comment ref="O137" authorId="0">
      <text>
        <r>
          <rPr>
            <b/>
            <sz val="8"/>
            <color indexed="81"/>
            <rFont val="Tahoma"/>
            <family val="2"/>
          </rPr>
          <t xml:space="preserve">Ratio of accommodation to international providers 
</t>
        </r>
        <r>
          <rPr>
            <sz val="8"/>
            <color indexed="81"/>
            <rFont val="Tahoma"/>
            <family val="2"/>
          </rPr>
          <t xml:space="preserve">
</t>
        </r>
      </text>
    </comment>
    <comment ref="P137" authorId="0">
      <text>
        <r>
          <rPr>
            <b/>
            <sz val="8"/>
            <color indexed="81"/>
            <rFont val="Tahoma"/>
            <family val="2"/>
          </rPr>
          <t xml:space="preserve">Ratio of accommodation to international providers 
</t>
        </r>
        <r>
          <rPr>
            <sz val="8"/>
            <color indexed="81"/>
            <rFont val="Tahoma"/>
            <family val="2"/>
          </rPr>
          <t xml:space="preserve">
</t>
        </r>
      </text>
    </comment>
    <comment ref="Q137" authorId="0">
      <text>
        <r>
          <rPr>
            <b/>
            <sz val="8"/>
            <color indexed="81"/>
            <rFont val="Tahoma"/>
            <family val="2"/>
          </rPr>
          <t xml:space="preserve">Ratio of accommodation to international providers 
</t>
        </r>
        <r>
          <rPr>
            <sz val="8"/>
            <color indexed="81"/>
            <rFont val="Tahoma"/>
            <family val="2"/>
          </rPr>
          <t xml:space="preserve">
</t>
        </r>
      </text>
    </comment>
    <comment ref="R137" authorId="0">
      <text>
        <r>
          <rPr>
            <b/>
            <sz val="8"/>
            <color indexed="81"/>
            <rFont val="Tahoma"/>
            <family val="2"/>
          </rPr>
          <t xml:space="preserve">Ratio of accommodation to international providers 
</t>
        </r>
        <r>
          <rPr>
            <sz val="8"/>
            <color indexed="81"/>
            <rFont val="Tahoma"/>
            <family val="2"/>
          </rPr>
          <t xml:space="preserve">
</t>
        </r>
      </text>
    </comment>
    <comment ref="M138" authorId="0">
      <text>
        <r>
          <rPr>
            <b/>
            <sz val="8"/>
            <color indexed="81"/>
            <rFont val="Tahoma"/>
            <family val="2"/>
          </rPr>
          <t xml:space="preserve">Ratio of entertainment &amp; sightseeing to international providers tourim 
</t>
        </r>
        <r>
          <rPr>
            <sz val="8"/>
            <color indexed="81"/>
            <rFont val="Tahoma"/>
            <family val="2"/>
          </rPr>
          <t xml:space="preserve">
</t>
        </r>
      </text>
    </comment>
    <comment ref="N138" authorId="0">
      <text>
        <r>
          <rPr>
            <b/>
            <sz val="8"/>
            <color indexed="81"/>
            <rFont val="Tahoma"/>
            <family val="2"/>
          </rPr>
          <t xml:space="preserve">Ratio of entertainment &amp; sightseeing to international providers tourim 
</t>
        </r>
        <r>
          <rPr>
            <sz val="8"/>
            <color indexed="81"/>
            <rFont val="Tahoma"/>
            <family val="2"/>
          </rPr>
          <t xml:space="preserve">
</t>
        </r>
      </text>
    </comment>
    <comment ref="O138" authorId="0">
      <text>
        <r>
          <rPr>
            <b/>
            <sz val="8"/>
            <color indexed="81"/>
            <rFont val="Tahoma"/>
            <family val="2"/>
          </rPr>
          <t xml:space="preserve">Ratio of entertainment &amp; sightseeing to international providers tourim 
</t>
        </r>
        <r>
          <rPr>
            <sz val="8"/>
            <color indexed="81"/>
            <rFont val="Tahoma"/>
            <family val="2"/>
          </rPr>
          <t xml:space="preserve">
</t>
        </r>
      </text>
    </comment>
    <comment ref="P138" authorId="0">
      <text>
        <r>
          <rPr>
            <b/>
            <sz val="8"/>
            <color indexed="81"/>
            <rFont val="Tahoma"/>
            <family val="2"/>
          </rPr>
          <t xml:space="preserve">Ratio of entertainment &amp; sightseeing to international providers tourim 
</t>
        </r>
        <r>
          <rPr>
            <sz val="8"/>
            <color indexed="81"/>
            <rFont val="Tahoma"/>
            <family val="2"/>
          </rPr>
          <t xml:space="preserve">
</t>
        </r>
      </text>
    </comment>
    <comment ref="Q138" authorId="0">
      <text>
        <r>
          <rPr>
            <b/>
            <sz val="8"/>
            <color indexed="81"/>
            <rFont val="Tahoma"/>
            <family val="2"/>
          </rPr>
          <t xml:space="preserve">Ratio of entertainment &amp; sightseeing to international providers tourim 
</t>
        </r>
        <r>
          <rPr>
            <sz val="8"/>
            <color indexed="81"/>
            <rFont val="Tahoma"/>
            <family val="2"/>
          </rPr>
          <t xml:space="preserve">
</t>
        </r>
      </text>
    </comment>
    <comment ref="R138" authorId="0">
      <text>
        <r>
          <rPr>
            <b/>
            <sz val="8"/>
            <color indexed="81"/>
            <rFont val="Tahoma"/>
            <family val="2"/>
          </rPr>
          <t xml:space="preserve">Ratio of entertainment &amp; sightseeing to international providers tourim 
</t>
        </r>
        <r>
          <rPr>
            <sz val="8"/>
            <color indexed="81"/>
            <rFont val="Tahoma"/>
            <family val="2"/>
          </rPr>
          <t xml:space="preserve">
</t>
        </r>
      </text>
    </comment>
    <comment ref="M139" authorId="0">
      <text>
        <r>
          <rPr>
            <b/>
            <sz val="8"/>
            <color indexed="81"/>
            <rFont val="Tahoma"/>
            <family val="2"/>
          </rPr>
          <t>Ratio of foodservice to international providers</t>
        </r>
        <r>
          <rPr>
            <sz val="8"/>
            <color indexed="81"/>
            <rFont val="Tahoma"/>
            <family val="2"/>
          </rPr>
          <t xml:space="preserve">
</t>
        </r>
      </text>
    </comment>
    <comment ref="N139" authorId="0">
      <text>
        <r>
          <rPr>
            <b/>
            <sz val="8"/>
            <color indexed="81"/>
            <rFont val="Tahoma"/>
            <family val="2"/>
          </rPr>
          <t>Ratio of foodservice to international providers</t>
        </r>
        <r>
          <rPr>
            <sz val="8"/>
            <color indexed="81"/>
            <rFont val="Tahoma"/>
            <family val="2"/>
          </rPr>
          <t xml:space="preserve">
</t>
        </r>
      </text>
    </comment>
    <comment ref="O139" authorId="0">
      <text>
        <r>
          <rPr>
            <b/>
            <sz val="8"/>
            <color indexed="81"/>
            <rFont val="Tahoma"/>
            <family val="2"/>
          </rPr>
          <t>Ratio of foodservice to international providers</t>
        </r>
        <r>
          <rPr>
            <sz val="8"/>
            <color indexed="81"/>
            <rFont val="Tahoma"/>
            <family val="2"/>
          </rPr>
          <t xml:space="preserve">
</t>
        </r>
      </text>
    </comment>
    <comment ref="P139" authorId="0">
      <text>
        <r>
          <rPr>
            <b/>
            <sz val="8"/>
            <color indexed="81"/>
            <rFont val="Tahoma"/>
            <family val="2"/>
          </rPr>
          <t>Ratio of foodservice to international providers</t>
        </r>
        <r>
          <rPr>
            <sz val="8"/>
            <color indexed="81"/>
            <rFont val="Tahoma"/>
            <family val="2"/>
          </rPr>
          <t xml:space="preserve">
</t>
        </r>
      </text>
    </comment>
    <comment ref="Q139" authorId="0">
      <text>
        <r>
          <rPr>
            <b/>
            <sz val="8"/>
            <color indexed="81"/>
            <rFont val="Tahoma"/>
            <family val="2"/>
          </rPr>
          <t>Ratio of foodservice to international providers</t>
        </r>
        <r>
          <rPr>
            <sz val="8"/>
            <color indexed="81"/>
            <rFont val="Tahoma"/>
            <family val="2"/>
          </rPr>
          <t xml:space="preserve">
</t>
        </r>
      </text>
    </comment>
    <comment ref="R139" authorId="0">
      <text>
        <r>
          <rPr>
            <b/>
            <sz val="8"/>
            <color indexed="81"/>
            <rFont val="Tahoma"/>
            <family val="2"/>
          </rPr>
          <t>Ratio of foodservice to international providers</t>
        </r>
        <r>
          <rPr>
            <sz val="8"/>
            <color indexed="81"/>
            <rFont val="Tahoma"/>
            <family val="2"/>
          </rPr>
          <t xml:space="preserve">
</t>
        </r>
      </text>
    </comment>
    <comment ref="M140" authorId="0">
      <text>
        <r>
          <rPr>
            <b/>
            <sz val="8"/>
            <color indexed="81"/>
            <rFont val="Tahoma"/>
            <family val="2"/>
          </rPr>
          <t>Ratio of retail to international providers</t>
        </r>
        <r>
          <rPr>
            <sz val="8"/>
            <color indexed="81"/>
            <rFont val="Tahoma"/>
            <family val="2"/>
          </rPr>
          <t xml:space="preserve">
</t>
        </r>
      </text>
    </comment>
    <comment ref="N140" authorId="0">
      <text>
        <r>
          <rPr>
            <b/>
            <sz val="8"/>
            <color indexed="81"/>
            <rFont val="Tahoma"/>
            <family val="2"/>
          </rPr>
          <t>Ratio of retail to international providers</t>
        </r>
        <r>
          <rPr>
            <sz val="8"/>
            <color indexed="81"/>
            <rFont val="Tahoma"/>
            <family val="2"/>
          </rPr>
          <t xml:space="preserve">
</t>
        </r>
      </text>
    </comment>
    <comment ref="O140" authorId="0">
      <text>
        <r>
          <rPr>
            <b/>
            <sz val="8"/>
            <color indexed="81"/>
            <rFont val="Tahoma"/>
            <family val="2"/>
          </rPr>
          <t>Ratio of retail to international providers</t>
        </r>
        <r>
          <rPr>
            <sz val="8"/>
            <color indexed="81"/>
            <rFont val="Tahoma"/>
            <family val="2"/>
          </rPr>
          <t xml:space="preserve">
</t>
        </r>
      </text>
    </comment>
    <comment ref="P140" authorId="0">
      <text>
        <r>
          <rPr>
            <b/>
            <sz val="8"/>
            <color indexed="81"/>
            <rFont val="Tahoma"/>
            <family val="2"/>
          </rPr>
          <t>Ratio of retail to international providers</t>
        </r>
        <r>
          <rPr>
            <sz val="8"/>
            <color indexed="81"/>
            <rFont val="Tahoma"/>
            <family val="2"/>
          </rPr>
          <t xml:space="preserve">
</t>
        </r>
      </text>
    </comment>
    <comment ref="Q140" authorId="0">
      <text>
        <r>
          <rPr>
            <b/>
            <sz val="8"/>
            <color indexed="81"/>
            <rFont val="Tahoma"/>
            <family val="2"/>
          </rPr>
          <t>Ratio of retail to international providers</t>
        </r>
        <r>
          <rPr>
            <sz val="8"/>
            <color indexed="81"/>
            <rFont val="Tahoma"/>
            <family val="2"/>
          </rPr>
          <t xml:space="preserve">
</t>
        </r>
      </text>
    </comment>
    <comment ref="R140" authorId="0">
      <text>
        <r>
          <rPr>
            <b/>
            <sz val="8"/>
            <color indexed="81"/>
            <rFont val="Tahoma"/>
            <family val="2"/>
          </rPr>
          <t>Ratio of retail to international providers</t>
        </r>
        <r>
          <rPr>
            <sz val="8"/>
            <color indexed="81"/>
            <rFont val="Tahoma"/>
            <family val="2"/>
          </rPr>
          <t xml:space="preserve">
</t>
        </r>
      </text>
    </comment>
    <comment ref="M141" authorId="0">
      <text>
        <r>
          <rPr>
            <b/>
            <sz val="8"/>
            <color indexed="81"/>
            <rFont val="Tahoma"/>
            <family val="2"/>
          </rPr>
          <t>Ratio of transportation to international providers</t>
        </r>
        <r>
          <rPr>
            <sz val="8"/>
            <color indexed="81"/>
            <rFont val="Tahoma"/>
            <family val="2"/>
          </rPr>
          <t xml:space="preserve">
</t>
        </r>
      </text>
    </comment>
    <comment ref="N141" authorId="0">
      <text>
        <r>
          <rPr>
            <b/>
            <sz val="8"/>
            <color indexed="81"/>
            <rFont val="Tahoma"/>
            <family val="2"/>
          </rPr>
          <t>Ratio of transportation to international providers</t>
        </r>
        <r>
          <rPr>
            <sz val="8"/>
            <color indexed="81"/>
            <rFont val="Tahoma"/>
            <family val="2"/>
          </rPr>
          <t xml:space="preserve">
</t>
        </r>
      </text>
    </comment>
    <comment ref="O141" authorId="0">
      <text>
        <r>
          <rPr>
            <b/>
            <sz val="8"/>
            <color indexed="81"/>
            <rFont val="Tahoma"/>
            <family val="2"/>
          </rPr>
          <t>Ratio of transportation to international providers</t>
        </r>
        <r>
          <rPr>
            <sz val="8"/>
            <color indexed="81"/>
            <rFont val="Tahoma"/>
            <family val="2"/>
          </rPr>
          <t xml:space="preserve">
</t>
        </r>
      </text>
    </comment>
    <comment ref="P141" authorId="0">
      <text>
        <r>
          <rPr>
            <b/>
            <sz val="8"/>
            <color indexed="81"/>
            <rFont val="Tahoma"/>
            <family val="2"/>
          </rPr>
          <t>Ratio of transportation to international providers</t>
        </r>
        <r>
          <rPr>
            <sz val="8"/>
            <color indexed="81"/>
            <rFont val="Tahoma"/>
            <family val="2"/>
          </rPr>
          <t xml:space="preserve">
</t>
        </r>
      </text>
    </comment>
    <comment ref="Q141" authorId="0">
      <text>
        <r>
          <rPr>
            <b/>
            <sz val="8"/>
            <color indexed="81"/>
            <rFont val="Tahoma"/>
            <family val="2"/>
          </rPr>
          <t>Ratio of transportation to international providers</t>
        </r>
        <r>
          <rPr>
            <sz val="8"/>
            <color indexed="81"/>
            <rFont val="Tahoma"/>
            <family val="2"/>
          </rPr>
          <t xml:space="preserve">
</t>
        </r>
      </text>
    </comment>
    <comment ref="R141" authorId="0">
      <text>
        <r>
          <rPr>
            <b/>
            <sz val="8"/>
            <color indexed="81"/>
            <rFont val="Tahoma"/>
            <family val="2"/>
          </rPr>
          <t>Ratio of transportation to international providers</t>
        </r>
        <r>
          <rPr>
            <sz val="8"/>
            <color indexed="81"/>
            <rFont val="Tahoma"/>
            <family val="2"/>
          </rPr>
          <t xml:space="preserve">
</t>
        </r>
      </text>
    </comment>
    <comment ref="M142" authorId="0">
      <text>
        <r>
          <rPr>
            <b/>
            <sz val="8"/>
            <color indexed="81"/>
            <rFont val="Tahoma"/>
            <family val="2"/>
          </rPr>
          <t xml:space="preserve">Ratio of travel intermediaries
to international providers
</t>
        </r>
        <r>
          <rPr>
            <sz val="8"/>
            <color indexed="81"/>
            <rFont val="Tahoma"/>
            <family val="2"/>
          </rPr>
          <t xml:space="preserve">
</t>
        </r>
      </text>
    </comment>
    <comment ref="N142" authorId="0">
      <text>
        <r>
          <rPr>
            <b/>
            <sz val="8"/>
            <color indexed="81"/>
            <rFont val="Tahoma"/>
            <family val="2"/>
          </rPr>
          <t xml:space="preserve">Ratio of travel intermediaries
to international providers
</t>
        </r>
        <r>
          <rPr>
            <sz val="8"/>
            <color indexed="81"/>
            <rFont val="Tahoma"/>
            <family val="2"/>
          </rPr>
          <t xml:space="preserve">
</t>
        </r>
      </text>
    </comment>
    <comment ref="O142" authorId="0">
      <text>
        <r>
          <rPr>
            <b/>
            <sz val="8"/>
            <color indexed="81"/>
            <rFont val="Tahoma"/>
            <family val="2"/>
          </rPr>
          <t xml:space="preserve">Ratio of travel intermediaries
to international providers
</t>
        </r>
        <r>
          <rPr>
            <sz val="8"/>
            <color indexed="81"/>
            <rFont val="Tahoma"/>
            <family val="2"/>
          </rPr>
          <t xml:space="preserve">
</t>
        </r>
      </text>
    </comment>
    <comment ref="P142" authorId="0">
      <text>
        <r>
          <rPr>
            <b/>
            <sz val="8"/>
            <color indexed="81"/>
            <rFont val="Tahoma"/>
            <family val="2"/>
          </rPr>
          <t xml:space="preserve">Ratio of travel intermediaries
to international providers
</t>
        </r>
        <r>
          <rPr>
            <sz val="8"/>
            <color indexed="81"/>
            <rFont val="Tahoma"/>
            <family val="2"/>
          </rPr>
          <t xml:space="preserve">
</t>
        </r>
      </text>
    </comment>
    <comment ref="Q142" authorId="0">
      <text>
        <r>
          <rPr>
            <b/>
            <sz val="8"/>
            <color indexed="81"/>
            <rFont val="Tahoma"/>
            <family val="2"/>
          </rPr>
          <t xml:space="preserve">Ratio of travel intermediaries
to international providers
</t>
        </r>
        <r>
          <rPr>
            <sz val="8"/>
            <color indexed="81"/>
            <rFont val="Tahoma"/>
            <family val="2"/>
          </rPr>
          <t xml:space="preserve">
</t>
        </r>
      </text>
    </comment>
    <comment ref="R142" authorId="0">
      <text>
        <r>
          <rPr>
            <b/>
            <sz val="8"/>
            <color indexed="81"/>
            <rFont val="Tahoma"/>
            <family val="2"/>
          </rPr>
          <t xml:space="preserve">Ratio of travel intermediaries
to international providers
</t>
        </r>
        <r>
          <rPr>
            <sz val="8"/>
            <color indexed="81"/>
            <rFont val="Tahoma"/>
            <family val="2"/>
          </rPr>
          <t xml:space="preserve">
</t>
        </r>
      </text>
    </comment>
    <comment ref="M143" authorId="0">
      <text>
        <r>
          <rPr>
            <b/>
            <sz val="8"/>
            <color indexed="81"/>
            <rFont val="Tahoma"/>
            <family val="2"/>
          </rPr>
          <t>Ratio of others to international providers</t>
        </r>
        <r>
          <rPr>
            <sz val="8"/>
            <color indexed="81"/>
            <rFont val="Tahoma"/>
            <family val="2"/>
          </rPr>
          <t xml:space="preserve">
</t>
        </r>
      </text>
    </comment>
    <comment ref="N143" authorId="0">
      <text>
        <r>
          <rPr>
            <b/>
            <sz val="8"/>
            <color indexed="81"/>
            <rFont val="Tahoma"/>
            <family val="2"/>
          </rPr>
          <t>Ratio of others to international providers</t>
        </r>
        <r>
          <rPr>
            <sz val="8"/>
            <color indexed="81"/>
            <rFont val="Tahoma"/>
            <family val="2"/>
          </rPr>
          <t xml:space="preserve">
</t>
        </r>
      </text>
    </comment>
    <comment ref="O143" authorId="0">
      <text>
        <r>
          <rPr>
            <b/>
            <sz val="8"/>
            <color indexed="81"/>
            <rFont val="Tahoma"/>
            <family val="2"/>
          </rPr>
          <t>Ratio of others to international providers</t>
        </r>
        <r>
          <rPr>
            <sz val="8"/>
            <color indexed="81"/>
            <rFont val="Tahoma"/>
            <family val="2"/>
          </rPr>
          <t xml:space="preserve">
</t>
        </r>
      </text>
    </comment>
    <comment ref="P143" authorId="0">
      <text>
        <r>
          <rPr>
            <b/>
            <sz val="8"/>
            <color indexed="81"/>
            <rFont val="Tahoma"/>
            <family val="2"/>
          </rPr>
          <t>Ratio of others to international providers</t>
        </r>
        <r>
          <rPr>
            <sz val="8"/>
            <color indexed="81"/>
            <rFont val="Tahoma"/>
            <family val="2"/>
          </rPr>
          <t xml:space="preserve">
</t>
        </r>
      </text>
    </comment>
    <comment ref="Q143" authorId="0">
      <text>
        <r>
          <rPr>
            <b/>
            <sz val="8"/>
            <color indexed="81"/>
            <rFont val="Tahoma"/>
            <family val="2"/>
          </rPr>
          <t>Ratio of others to international providers</t>
        </r>
        <r>
          <rPr>
            <sz val="8"/>
            <color indexed="81"/>
            <rFont val="Tahoma"/>
            <family val="2"/>
          </rPr>
          <t xml:space="preserve">
</t>
        </r>
      </text>
    </comment>
    <comment ref="R143" authorId="0">
      <text>
        <r>
          <rPr>
            <b/>
            <sz val="8"/>
            <color indexed="81"/>
            <rFont val="Tahoma"/>
            <family val="2"/>
          </rPr>
          <t>Ratio of others to international providers</t>
        </r>
        <r>
          <rPr>
            <sz val="8"/>
            <color indexed="81"/>
            <rFont val="Tahoma"/>
            <family val="2"/>
          </rPr>
          <t xml:space="preserve">
</t>
        </r>
      </text>
    </comment>
    <comment ref="M145" authorId="0">
      <text>
        <r>
          <rPr>
            <b/>
            <sz val="8"/>
            <color indexed="81"/>
            <rFont val="Tahoma"/>
            <family val="2"/>
          </rPr>
          <t xml:space="preserve">Ratio of accommodation to domestic providers 
</t>
        </r>
        <r>
          <rPr>
            <sz val="8"/>
            <color indexed="81"/>
            <rFont val="Tahoma"/>
            <family val="2"/>
          </rPr>
          <t xml:space="preserve">
</t>
        </r>
      </text>
    </comment>
    <comment ref="N145" authorId="0">
      <text>
        <r>
          <rPr>
            <b/>
            <sz val="8"/>
            <color indexed="81"/>
            <rFont val="Tahoma"/>
            <family val="2"/>
          </rPr>
          <t xml:space="preserve">Ratio of accommodation to domestic providers 
</t>
        </r>
        <r>
          <rPr>
            <sz val="8"/>
            <color indexed="81"/>
            <rFont val="Tahoma"/>
            <family val="2"/>
          </rPr>
          <t xml:space="preserve">
</t>
        </r>
      </text>
    </comment>
    <comment ref="O145" authorId="0">
      <text>
        <r>
          <rPr>
            <b/>
            <sz val="8"/>
            <color indexed="81"/>
            <rFont val="Tahoma"/>
            <family val="2"/>
          </rPr>
          <t xml:space="preserve">Ratio of accommodation to domestic providers 
</t>
        </r>
        <r>
          <rPr>
            <sz val="8"/>
            <color indexed="81"/>
            <rFont val="Tahoma"/>
            <family val="2"/>
          </rPr>
          <t xml:space="preserve">
</t>
        </r>
      </text>
    </comment>
    <comment ref="P145" authorId="0">
      <text>
        <r>
          <rPr>
            <b/>
            <sz val="8"/>
            <color indexed="81"/>
            <rFont val="Tahoma"/>
            <family val="2"/>
          </rPr>
          <t xml:space="preserve">Ratio of accommodation to domestic providers 
</t>
        </r>
        <r>
          <rPr>
            <sz val="8"/>
            <color indexed="81"/>
            <rFont val="Tahoma"/>
            <family val="2"/>
          </rPr>
          <t xml:space="preserve">
</t>
        </r>
      </text>
    </comment>
    <comment ref="Q145" authorId="0">
      <text>
        <r>
          <rPr>
            <b/>
            <sz val="8"/>
            <color indexed="81"/>
            <rFont val="Tahoma"/>
            <family val="2"/>
          </rPr>
          <t xml:space="preserve">Ratio of accommodation to domestic providers 
</t>
        </r>
        <r>
          <rPr>
            <sz val="8"/>
            <color indexed="81"/>
            <rFont val="Tahoma"/>
            <family val="2"/>
          </rPr>
          <t xml:space="preserve">
</t>
        </r>
      </text>
    </comment>
    <comment ref="R145" authorId="0">
      <text>
        <r>
          <rPr>
            <b/>
            <sz val="8"/>
            <color indexed="81"/>
            <rFont val="Tahoma"/>
            <family val="2"/>
          </rPr>
          <t xml:space="preserve">Ratio of accommodation to domestic providers 
</t>
        </r>
        <r>
          <rPr>
            <sz val="8"/>
            <color indexed="81"/>
            <rFont val="Tahoma"/>
            <family val="2"/>
          </rPr>
          <t xml:space="preserve">
</t>
        </r>
      </text>
    </comment>
    <comment ref="M146" authorId="0">
      <text>
        <r>
          <rPr>
            <b/>
            <sz val="8"/>
            <color indexed="81"/>
            <rFont val="Tahoma"/>
            <family val="2"/>
          </rPr>
          <t xml:space="preserve">Ratio of entertainment &amp; sightseeing to domestic providers tourim 
</t>
        </r>
        <r>
          <rPr>
            <sz val="8"/>
            <color indexed="81"/>
            <rFont val="Tahoma"/>
            <family val="2"/>
          </rPr>
          <t xml:space="preserve">
</t>
        </r>
      </text>
    </comment>
    <comment ref="N146" authorId="0">
      <text>
        <r>
          <rPr>
            <b/>
            <sz val="8"/>
            <color indexed="81"/>
            <rFont val="Tahoma"/>
            <family val="2"/>
          </rPr>
          <t xml:space="preserve">Ratio of entertainment &amp; sightseeing to domestic providers tourim 
</t>
        </r>
        <r>
          <rPr>
            <sz val="8"/>
            <color indexed="81"/>
            <rFont val="Tahoma"/>
            <family val="2"/>
          </rPr>
          <t xml:space="preserve">
</t>
        </r>
      </text>
    </comment>
    <comment ref="O146" authorId="0">
      <text>
        <r>
          <rPr>
            <b/>
            <sz val="8"/>
            <color indexed="81"/>
            <rFont val="Tahoma"/>
            <family val="2"/>
          </rPr>
          <t xml:space="preserve">Ratio of entertainment &amp; sightseeing to domestic providers tourim 
</t>
        </r>
        <r>
          <rPr>
            <sz val="8"/>
            <color indexed="81"/>
            <rFont val="Tahoma"/>
            <family val="2"/>
          </rPr>
          <t xml:space="preserve">
</t>
        </r>
      </text>
    </comment>
    <comment ref="P146" authorId="0">
      <text>
        <r>
          <rPr>
            <b/>
            <sz val="8"/>
            <color indexed="81"/>
            <rFont val="Tahoma"/>
            <family val="2"/>
          </rPr>
          <t xml:space="preserve">Ratio of entertainment &amp; sightseeing to domestic providers tourim 
</t>
        </r>
        <r>
          <rPr>
            <sz val="8"/>
            <color indexed="81"/>
            <rFont val="Tahoma"/>
            <family val="2"/>
          </rPr>
          <t xml:space="preserve">
</t>
        </r>
      </text>
    </comment>
    <comment ref="Q146" authorId="0">
      <text>
        <r>
          <rPr>
            <b/>
            <sz val="8"/>
            <color indexed="81"/>
            <rFont val="Tahoma"/>
            <family val="2"/>
          </rPr>
          <t xml:space="preserve">Ratio of entertainment &amp; sightseeing to domestic providers tourim 
</t>
        </r>
        <r>
          <rPr>
            <sz val="8"/>
            <color indexed="81"/>
            <rFont val="Tahoma"/>
            <family val="2"/>
          </rPr>
          <t xml:space="preserve">
</t>
        </r>
      </text>
    </comment>
    <comment ref="R146" authorId="0">
      <text>
        <r>
          <rPr>
            <b/>
            <sz val="8"/>
            <color indexed="81"/>
            <rFont val="Tahoma"/>
            <family val="2"/>
          </rPr>
          <t xml:space="preserve">Ratio of entertainment &amp; sightseeing to domestic providers tourim 
</t>
        </r>
        <r>
          <rPr>
            <sz val="8"/>
            <color indexed="81"/>
            <rFont val="Tahoma"/>
            <family val="2"/>
          </rPr>
          <t xml:space="preserve">
</t>
        </r>
      </text>
    </comment>
    <comment ref="M147" authorId="0">
      <text>
        <r>
          <rPr>
            <b/>
            <sz val="8"/>
            <color indexed="81"/>
            <rFont val="Tahoma"/>
            <family val="2"/>
          </rPr>
          <t>Ratio of foodservice to domestic providers</t>
        </r>
        <r>
          <rPr>
            <sz val="8"/>
            <color indexed="81"/>
            <rFont val="Tahoma"/>
            <family val="2"/>
          </rPr>
          <t xml:space="preserve">
</t>
        </r>
      </text>
    </comment>
    <comment ref="N147" authorId="0">
      <text>
        <r>
          <rPr>
            <b/>
            <sz val="8"/>
            <color indexed="81"/>
            <rFont val="Tahoma"/>
            <family val="2"/>
          </rPr>
          <t>Ratio of foodservice to domestic providers</t>
        </r>
        <r>
          <rPr>
            <sz val="8"/>
            <color indexed="81"/>
            <rFont val="Tahoma"/>
            <family val="2"/>
          </rPr>
          <t xml:space="preserve">
</t>
        </r>
      </text>
    </comment>
    <comment ref="O147" authorId="0">
      <text>
        <r>
          <rPr>
            <b/>
            <sz val="8"/>
            <color indexed="81"/>
            <rFont val="Tahoma"/>
            <family val="2"/>
          </rPr>
          <t>Ratio of foodservice to domestic providers</t>
        </r>
        <r>
          <rPr>
            <sz val="8"/>
            <color indexed="81"/>
            <rFont val="Tahoma"/>
            <family val="2"/>
          </rPr>
          <t xml:space="preserve">
</t>
        </r>
      </text>
    </comment>
    <comment ref="P147" authorId="0">
      <text>
        <r>
          <rPr>
            <b/>
            <sz val="8"/>
            <color indexed="81"/>
            <rFont val="Tahoma"/>
            <family val="2"/>
          </rPr>
          <t>Ratio of foodservice to domestic providers</t>
        </r>
        <r>
          <rPr>
            <sz val="8"/>
            <color indexed="81"/>
            <rFont val="Tahoma"/>
            <family val="2"/>
          </rPr>
          <t xml:space="preserve">
</t>
        </r>
      </text>
    </comment>
    <comment ref="Q147" authorId="0">
      <text>
        <r>
          <rPr>
            <b/>
            <sz val="8"/>
            <color indexed="81"/>
            <rFont val="Tahoma"/>
            <family val="2"/>
          </rPr>
          <t>Ratio of foodservice to domestic providers</t>
        </r>
        <r>
          <rPr>
            <sz val="8"/>
            <color indexed="81"/>
            <rFont val="Tahoma"/>
            <family val="2"/>
          </rPr>
          <t xml:space="preserve">
</t>
        </r>
      </text>
    </comment>
    <comment ref="R147" authorId="0">
      <text>
        <r>
          <rPr>
            <b/>
            <sz val="8"/>
            <color indexed="81"/>
            <rFont val="Tahoma"/>
            <family val="2"/>
          </rPr>
          <t>Ratio of foodservice to domestic providers</t>
        </r>
        <r>
          <rPr>
            <sz val="8"/>
            <color indexed="81"/>
            <rFont val="Tahoma"/>
            <family val="2"/>
          </rPr>
          <t xml:space="preserve">
</t>
        </r>
      </text>
    </comment>
    <comment ref="M148" authorId="0">
      <text>
        <r>
          <rPr>
            <b/>
            <sz val="8"/>
            <color indexed="81"/>
            <rFont val="Tahoma"/>
            <family val="2"/>
          </rPr>
          <t>Ratio of retail to domestic providers</t>
        </r>
        <r>
          <rPr>
            <sz val="8"/>
            <color indexed="81"/>
            <rFont val="Tahoma"/>
            <family val="2"/>
          </rPr>
          <t xml:space="preserve">
</t>
        </r>
      </text>
    </comment>
    <comment ref="N148" authorId="0">
      <text>
        <r>
          <rPr>
            <b/>
            <sz val="8"/>
            <color indexed="81"/>
            <rFont val="Tahoma"/>
            <family val="2"/>
          </rPr>
          <t>Ratio of retail to domestic providers</t>
        </r>
        <r>
          <rPr>
            <sz val="8"/>
            <color indexed="81"/>
            <rFont val="Tahoma"/>
            <family val="2"/>
          </rPr>
          <t xml:space="preserve">
</t>
        </r>
      </text>
    </comment>
    <comment ref="O148" authorId="0">
      <text>
        <r>
          <rPr>
            <b/>
            <sz val="8"/>
            <color indexed="81"/>
            <rFont val="Tahoma"/>
            <family val="2"/>
          </rPr>
          <t>Ratio of retail to domestic providers</t>
        </r>
        <r>
          <rPr>
            <sz val="8"/>
            <color indexed="81"/>
            <rFont val="Tahoma"/>
            <family val="2"/>
          </rPr>
          <t xml:space="preserve">
</t>
        </r>
      </text>
    </comment>
    <comment ref="P148" authorId="0">
      <text>
        <r>
          <rPr>
            <b/>
            <sz val="8"/>
            <color indexed="81"/>
            <rFont val="Tahoma"/>
            <family val="2"/>
          </rPr>
          <t>Ratio of retail to domestic providers</t>
        </r>
        <r>
          <rPr>
            <sz val="8"/>
            <color indexed="81"/>
            <rFont val="Tahoma"/>
            <family val="2"/>
          </rPr>
          <t xml:space="preserve">
</t>
        </r>
      </text>
    </comment>
    <comment ref="Q148" authorId="0">
      <text>
        <r>
          <rPr>
            <b/>
            <sz val="8"/>
            <color indexed="81"/>
            <rFont val="Tahoma"/>
            <family val="2"/>
          </rPr>
          <t>Ratio of retail to domestic providers</t>
        </r>
        <r>
          <rPr>
            <sz val="8"/>
            <color indexed="81"/>
            <rFont val="Tahoma"/>
            <family val="2"/>
          </rPr>
          <t xml:space="preserve">
</t>
        </r>
      </text>
    </comment>
    <comment ref="R148" authorId="0">
      <text>
        <r>
          <rPr>
            <b/>
            <sz val="8"/>
            <color indexed="81"/>
            <rFont val="Tahoma"/>
            <family val="2"/>
          </rPr>
          <t>Ratio of retail to domestic providers</t>
        </r>
        <r>
          <rPr>
            <sz val="8"/>
            <color indexed="81"/>
            <rFont val="Tahoma"/>
            <family val="2"/>
          </rPr>
          <t xml:space="preserve">
</t>
        </r>
      </text>
    </comment>
    <comment ref="M149" authorId="0">
      <text>
        <r>
          <rPr>
            <b/>
            <sz val="8"/>
            <color indexed="81"/>
            <rFont val="Tahoma"/>
            <family val="2"/>
          </rPr>
          <t>Ratio of transportation to domestic providers</t>
        </r>
        <r>
          <rPr>
            <sz val="8"/>
            <color indexed="81"/>
            <rFont val="Tahoma"/>
            <family val="2"/>
          </rPr>
          <t xml:space="preserve">
</t>
        </r>
      </text>
    </comment>
    <comment ref="N149" authorId="0">
      <text>
        <r>
          <rPr>
            <b/>
            <sz val="8"/>
            <color indexed="81"/>
            <rFont val="Tahoma"/>
            <family val="2"/>
          </rPr>
          <t>Ratio of transportation to domestic providers</t>
        </r>
        <r>
          <rPr>
            <sz val="8"/>
            <color indexed="81"/>
            <rFont val="Tahoma"/>
            <family val="2"/>
          </rPr>
          <t xml:space="preserve">
</t>
        </r>
      </text>
    </comment>
    <comment ref="O149" authorId="0">
      <text>
        <r>
          <rPr>
            <b/>
            <sz val="8"/>
            <color indexed="81"/>
            <rFont val="Tahoma"/>
            <family val="2"/>
          </rPr>
          <t>Ratio of transportation to domestic providers</t>
        </r>
        <r>
          <rPr>
            <sz val="8"/>
            <color indexed="81"/>
            <rFont val="Tahoma"/>
            <family val="2"/>
          </rPr>
          <t xml:space="preserve">
</t>
        </r>
      </text>
    </comment>
    <comment ref="P149" authorId="0">
      <text>
        <r>
          <rPr>
            <b/>
            <sz val="8"/>
            <color indexed="81"/>
            <rFont val="Tahoma"/>
            <family val="2"/>
          </rPr>
          <t>Ratio of transportation to domestic providers</t>
        </r>
        <r>
          <rPr>
            <sz val="8"/>
            <color indexed="81"/>
            <rFont val="Tahoma"/>
            <family val="2"/>
          </rPr>
          <t xml:space="preserve">
</t>
        </r>
      </text>
    </comment>
    <comment ref="Q149" authorId="0">
      <text>
        <r>
          <rPr>
            <b/>
            <sz val="8"/>
            <color indexed="81"/>
            <rFont val="Tahoma"/>
            <family val="2"/>
          </rPr>
          <t>Ratio of transportation to domestic providers</t>
        </r>
        <r>
          <rPr>
            <sz val="8"/>
            <color indexed="81"/>
            <rFont val="Tahoma"/>
            <family val="2"/>
          </rPr>
          <t xml:space="preserve">
</t>
        </r>
      </text>
    </comment>
    <comment ref="R149" authorId="0">
      <text>
        <r>
          <rPr>
            <b/>
            <sz val="8"/>
            <color indexed="81"/>
            <rFont val="Tahoma"/>
            <family val="2"/>
          </rPr>
          <t>Ratio of transportation to domestic providers</t>
        </r>
        <r>
          <rPr>
            <sz val="8"/>
            <color indexed="81"/>
            <rFont val="Tahoma"/>
            <family val="2"/>
          </rPr>
          <t xml:space="preserve">
</t>
        </r>
      </text>
    </comment>
    <comment ref="M150" authorId="0">
      <text>
        <r>
          <rPr>
            <b/>
            <sz val="8"/>
            <color indexed="81"/>
            <rFont val="Tahoma"/>
            <family val="2"/>
          </rPr>
          <t xml:space="preserve">Ratio of travel intermediaries
to domestic providers
</t>
        </r>
        <r>
          <rPr>
            <sz val="8"/>
            <color indexed="81"/>
            <rFont val="Tahoma"/>
            <family val="2"/>
          </rPr>
          <t xml:space="preserve">
</t>
        </r>
      </text>
    </comment>
    <comment ref="N150" authorId="0">
      <text>
        <r>
          <rPr>
            <b/>
            <sz val="8"/>
            <color indexed="81"/>
            <rFont val="Tahoma"/>
            <family val="2"/>
          </rPr>
          <t xml:space="preserve">Ratio of travel intermediaries
to domestic providers
</t>
        </r>
        <r>
          <rPr>
            <sz val="8"/>
            <color indexed="81"/>
            <rFont val="Tahoma"/>
            <family val="2"/>
          </rPr>
          <t xml:space="preserve">
</t>
        </r>
      </text>
    </comment>
    <comment ref="O150" authorId="0">
      <text>
        <r>
          <rPr>
            <b/>
            <sz val="8"/>
            <color indexed="81"/>
            <rFont val="Tahoma"/>
            <family val="2"/>
          </rPr>
          <t xml:space="preserve">Ratio of travel intermediaries
to domestic providers
</t>
        </r>
        <r>
          <rPr>
            <sz val="8"/>
            <color indexed="81"/>
            <rFont val="Tahoma"/>
            <family val="2"/>
          </rPr>
          <t xml:space="preserve">
</t>
        </r>
      </text>
    </comment>
    <comment ref="P150" authorId="0">
      <text>
        <r>
          <rPr>
            <b/>
            <sz val="8"/>
            <color indexed="81"/>
            <rFont val="Tahoma"/>
            <family val="2"/>
          </rPr>
          <t xml:space="preserve">Ratio of travel intermediaries
to domestic providers
</t>
        </r>
        <r>
          <rPr>
            <sz val="8"/>
            <color indexed="81"/>
            <rFont val="Tahoma"/>
            <family val="2"/>
          </rPr>
          <t xml:space="preserve">
</t>
        </r>
      </text>
    </comment>
    <comment ref="Q150" authorId="0">
      <text>
        <r>
          <rPr>
            <b/>
            <sz val="8"/>
            <color indexed="81"/>
            <rFont val="Tahoma"/>
            <family val="2"/>
          </rPr>
          <t xml:space="preserve">Ratio of travel intermediaries
to domestic providers
</t>
        </r>
        <r>
          <rPr>
            <sz val="8"/>
            <color indexed="81"/>
            <rFont val="Tahoma"/>
            <family val="2"/>
          </rPr>
          <t xml:space="preserve">
</t>
        </r>
      </text>
    </comment>
    <comment ref="R150" authorId="0">
      <text>
        <r>
          <rPr>
            <b/>
            <sz val="8"/>
            <color indexed="81"/>
            <rFont val="Tahoma"/>
            <family val="2"/>
          </rPr>
          <t xml:space="preserve">Ratio of travel intermediaries
to domestic providers
</t>
        </r>
        <r>
          <rPr>
            <sz val="8"/>
            <color indexed="81"/>
            <rFont val="Tahoma"/>
            <family val="2"/>
          </rPr>
          <t xml:space="preserve">
</t>
        </r>
      </text>
    </comment>
    <comment ref="M151" authorId="0">
      <text>
        <r>
          <rPr>
            <b/>
            <sz val="8"/>
            <color indexed="81"/>
            <rFont val="Tahoma"/>
            <family val="2"/>
          </rPr>
          <t>Ratio of others to domestic providers</t>
        </r>
        <r>
          <rPr>
            <sz val="8"/>
            <color indexed="81"/>
            <rFont val="Tahoma"/>
            <family val="2"/>
          </rPr>
          <t xml:space="preserve">
</t>
        </r>
      </text>
    </comment>
    <comment ref="N151" authorId="0">
      <text>
        <r>
          <rPr>
            <b/>
            <sz val="8"/>
            <color indexed="81"/>
            <rFont val="Tahoma"/>
            <family val="2"/>
          </rPr>
          <t>Ratio of others to domestic providers</t>
        </r>
        <r>
          <rPr>
            <sz val="8"/>
            <color indexed="81"/>
            <rFont val="Tahoma"/>
            <family val="2"/>
          </rPr>
          <t xml:space="preserve">
</t>
        </r>
      </text>
    </comment>
    <comment ref="O151" authorId="0">
      <text>
        <r>
          <rPr>
            <b/>
            <sz val="8"/>
            <color indexed="81"/>
            <rFont val="Tahoma"/>
            <family val="2"/>
          </rPr>
          <t>Ratio of others to domestic providers</t>
        </r>
        <r>
          <rPr>
            <sz val="8"/>
            <color indexed="81"/>
            <rFont val="Tahoma"/>
            <family val="2"/>
          </rPr>
          <t xml:space="preserve">
</t>
        </r>
      </text>
    </comment>
    <comment ref="P151" authorId="0">
      <text>
        <r>
          <rPr>
            <b/>
            <sz val="8"/>
            <color indexed="81"/>
            <rFont val="Tahoma"/>
            <family val="2"/>
          </rPr>
          <t>Ratio of others to domestic providers</t>
        </r>
        <r>
          <rPr>
            <sz val="8"/>
            <color indexed="81"/>
            <rFont val="Tahoma"/>
            <family val="2"/>
          </rPr>
          <t xml:space="preserve">
</t>
        </r>
      </text>
    </comment>
    <comment ref="Q151" authorId="0">
      <text>
        <r>
          <rPr>
            <b/>
            <sz val="8"/>
            <color indexed="81"/>
            <rFont val="Tahoma"/>
            <family val="2"/>
          </rPr>
          <t>Ratio of others to domestic providers</t>
        </r>
        <r>
          <rPr>
            <sz val="8"/>
            <color indexed="81"/>
            <rFont val="Tahoma"/>
            <family val="2"/>
          </rPr>
          <t xml:space="preserve">
</t>
        </r>
      </text>
    </comment>
    <comment ref="R151" authorId="0">
      <text>
        <r>
          <rPr>
            <b/>
            <sz val="8"/>
            <color indexed="81"/>
            <rFont val="Tahoma"/>
            <family val="2"/>
          </rPr>
          <t>Ratio of others to domestic providers</t>
        </r>
        <r>
          <rPr>
            <sz val="8"/>
            <color indexed="81"/>
            <rFont val="Tahoma"/>
            <family val="2"/>
          </rPr>
          <t xml:space="preserve">
</t>
        </r>
      </text>
    </comment>
    <comment ref="M153" authorId="0">
      <text>
        <r>
          <rPr>
            <b/>
            <sz val="8"/>
            <color indexed="81"/>
            <rFont val="Tahoma"/>
            <family val="2"/>
          </rPr>
          <t>Ratio of dome
stic providers to total domestic expenditure including domestic providers</t>
        </r>
        <r>
          <rPr>
            <sz val="8"/>
            <color indexed="81"/>
            <rFont val="Tahoma"/>
            <family val="2"/>
          </rPr>
          <t xml:space="preserve">
</t>
        </r>
      </text>
    </comment>
    <comment ref="N153" authorId="0">
      <text>
        <r>
          <rPr>
            <b/>
            <sz val="8"/>
            <color indexed="81"/>
            <rFont val="Tahoma"/>
            <family val="2"/>
          </rPr>
          <t>Ratio of dome
stic providers to total domestic expenditure including domestic providers</t>
        </r>
        <r>
          <rPr>
            <sz val="8"/>
            <color indexed="81"/>
            <rFont val="Tahoma"/>
            <family val="2"/>
          </rPr>
          <t xml:space="preserve">
</t>
        </r>
      </text>
    </comment>
    <comment ref="O153" authorId="0">
      <text>
        <r>
          <rPr>
            <b/>
            <sz val="8"/>
            <color indexed="81"/>
            <rFont val="Tahoma"/>
            <family val="2"/>
          </rPr>
          <t>Ratio of dome
stic providers to total domestic expenditure including domestic providers</t>
        </r>
        <r>
          <rPr>
            <sz val="8"/>
            <color indexed="81"/>
            <rFont val="Tahoma"/>
            <family val="2"/>
          </rPr>
          <t xml:space="preserve">
</t>
        </r>
      </text>
    </comment>
    <comment ref="P153" authorId="0">
      <text>
        <r>
          <rPr>
            <b/>
            <sz val="8"/>
            <color indexed="81"/>
            <rFont val="Tahoma"/>
            <family val="2"/>
          </rPr>
          <t>Ratio of dome
stic providers to total domestic expenditure including domestic providers</t>
        </r>
        <r>
          <rPr>
            <sz val="8"/>
            <color indexed="81"/>
            <rFont val="Tahoma"/>
            <family val="2"/>
          </rPr>
          <t xml:space="preserve">
</t>
        </r>
      </text>
    </comment>
    <comment ref="Q153" authorId="0">
      <text>
        <r>
          <rPr>
            <b/>
            <sz val="8"/>
            <color indexed="81"/>
            <rFont val="Tahoma"/>
            <family val="2"/>
          </rPr>
          <t>Ratio of dome
stic providers to total domestic expenditure including domestic providers</t>
        </r>
        <r>
          <rPr>
            <sz val="8"/>
            <color indexed="81"/>
            <rFont val="Tahoma"/>
            <family val="2"/>
          </rPr>
          <t xml:space="preserve">
</t>
        </r>
      </text>
    </comment>
    <comment ref="R153" authorId="0">
      <text>
        <r>
          <rPr>
            <b/>
            <sz val="8"/>
            <color indexed="81"/>
            <rFont val="Tahoma"/>
            <family val="2"/>
          </rPr>
          <t>Ratio of dome
stic providers to total domestic expenditure including domestic providers</t>
        </r>
        <r>
          <rPr>
            <sz val="8"/>
            <color indexed="81"/>
            <rFont val="Tahoma"/>
            <family val="2"/>
          </rPr>
          <t xml:space="preserve">
</t>
        </r>
      </text>
    </comment>
    <comment ref="M156" authorId="0">
      <text>
        <r>
          <rPr>
            <b/>
            <sz val="8"/>
            <color indexed="81"/>
            <rFont val="Tahoma"/>
            <family val="2"/>
          </rPr>
          <t xml:space="preserve">Ratio of accommodation to direct tourism output 
</t>
        </r>
        <r>
          <rPr>
            <sz val="8"/>
            <color indexed="81"/>
            <rFont val="Tahoma"/>
            <family val="2"/>
          </rPr>
          <t xml:space="preserve">
</t>
        </r>
      </text>
    </comment>
    <comment ref="N156" authorId="0">
      <text>
        <r>
          <rPr>
            <b/>
            <sz val="8"/>
            <color indexed="81"/>
            <rFont val="Tahoma"/>
            <family val="2"/>
          </rPr>
          <t xml:space="preserve">Ratio of accommodation to direct tourism output 
</t>
        </r>
        <r>
          <rPr>
            <sz val="8"/>
            <color indexed="81"/>
            <rFont val="Tahoma"/>
            <family val="2"/>
          </rPr>
          <t xml:space="preserve">
</t>
        </r>
      </text>
    </comment>
    <comment ref="O156" authorId="0">
      <text>
        <r>
          <rPr>
            <b/>
            <sz val="8"/>
            <color indexed="81"/>
            <rFont val="Tahoma"/>
            <family val="2"/>
          </rPr>
          <t xml:space="preserve">Ratio of accommodation to direct tourism output 
</t>
        </r>
        <r>
          <rPr>
            <sz val="8"/>
            <color indexed="81"/>
            <rFont val="Tahoma"/>
            <family val="2"/>
          </rPr>
          <t xml:space="preserve">
</t>
        </r>
      </text>
    </comment>
    <comment ref="P156" authorId="0">
      <text>
        <r>
          <rPr>
            <b/>
            <sz val="8"/>
            <color indexed="81"/>
            <rFont val="Tahoma"/>
            <family val="2"/>
          </rPr>
          <t xml:space="preserve">Ratio of accommodation to direct tourism output 
</t>
        </r>
        <r>
          <rPr>
            <sz val="8"/>
            <color indexed="81"/>
            <rFont val="Tahoma"/>
            <family val="2"/>
          </rPr>
          <t xml:space="preserve">
</t>
        </r>
      </text>
    </comment>
    <comment ref="Q156" authorId="0">
      <text>
        <r>
          <rPr>
            <b/>
            <sz val="8"/>
            <color indexed="81"/>
            <rFont val="Tahoma"/>
            <family val="2"/>
          </rPr>
          <t xml:space="preserve">Ratio of accommodation to direct tourism output 
</t>
        </r>
        <r>
          <rPr>
            <sz val="8"/>
            <color indexed="81"/>
            <rFont val="Tahoma"/>
            <family val="2"/>
          </rPr>
          <t xml:space="preserve">
</t>
        </r>
      </text>
    </comment>
    <comment ref="R156" authorId="0">
      <text>
        <r>
          <rPr>
            <b/>
            <sz val="8"/>
            <color indexed="81"/>
            <rFont val="Tahoma"/>
            <family val="2"/>
          </rPr>
          <t xml:space="preserve">Ratio of accommodation to direct tourism output 
</t>
        </r>
        <r>
          <rPr>
            <sz val="8"/>
            <color indexed="81"/>
            <rFont val="Tahoma"/>
            <family val="2"/>
          </rPr>
          <t xml:space="preserve">
</t>
        </r>
      </text>
    </comment>
    <comment ref="M157" authorId="0">
      <text>
        <r>
          <rPr>
            <b/>
            <sz val="8"/>
            <color indexed="81"/>
            <rFont val="Tahoma"/>
            <family val="2"/>
          </rPr>
          <t>Ratio of entertainment &amp; sightseeing to direct tourism output</t>
        </r>
        <r>
          <rPr>
            <sz val="8"/>
            <color indexed="81"/>
            <rFont val="Tahoma"/>
            <family val="2"/>
          </rPr>
          <t xml:space="preserve">
</t>
        </r>
      </text>
    </comment>
    <comment ref="N157" authorId="0">
      <text>
        <r>
          <rPr>
            <b/>
            <sz val="8"/>
            <color indexed="81"/>
            <rFont val="Tahoma"/>
            <family val="2"/>
          </rPr>
          <t>Ratio of entertainment &amp; sightseeing to direct tourism output</t>
        </r>
        <r>
          <rPr>
            <sz val="8"/>
            <color indexed="81"/>
            <rFont val="Tahoma"/>
            <family val="2"/>
          </rPr>
          <t xml:space="preserve">
</t>
        </r>
      </text>
    </comment>
    <comment ref="O157" authorId="0">
      <text>
        <r>
          <rPr>
            <b/>
            <sz val="8"/>
            <color indexed="81"/>
            <rFont val="Tahoma"/>
            <family val="2"/>
          </rPr>
          <t>Ratio of entertainment &amp; sightseeing to direct tourism output</t>
        </r>
        <r>
          <rPr>
            <sz val="8"/>
            <color indexed="81"/>
            <rFont val="Tahoma"/>
            <family val="2"/>
          </rPr>
          <t xml:space="preserve">
</t>
        </r>
      </text>
    </comment>
    <comment ref="P157" authorId="0">
      <text>
        <r>
          <rPr>
            <b/>
            <sz val="8"/>
            <color indexed="81"/>
            <rFont val="Tahoma"/>
            <family val="2"/>
          </rPr>
          <t>Ratio of entertainment &amp; sightseeing to direct tourism output</t>
        </r>
        <r>
          <rPr>
            <sz val="8"/>
            <color indexed="81"/>
            <rFont val="Tahoma"/>
            <family val="2"/>
          </rPr>
          <t xml:space="preserve">
</t>
        </r>
      </text>
    </comment>
    <comment ref="Q157" authorId="0">
      <text>
        <r>
          <rPr>
            <b/>
            <sz val="8"/>
            <color indexed="81"/>
            <rFont val="Tahoma"/>
            <family val="2"/>
          </rPr>
          <t>Ratio of entertainment &amp; sightseeing to direct tourism output</t>
        </r>
        <r>
          <rPr>
            <sz val="8"/>
            <color indexed="81"/>
            <rFont val="Tahoma"/>
            <family val="2"/>
          </rPr>
          <t xml:space="preserve">
</t>
        </r>
      </text>
    </comment>
    <comment ref="R157" authorId="0">
      <text>
        <r>
          <rPr>
            <b/>
            <sz val="8"/>
            <color indexed="81"/>
            <rFont val="Tahoma"/>
            <family val="2"/>
          </rPr>
          <t>Ratio of entertainment &amp; sightseeing to direct tourism output</t>
        </r>
        <r>
          <rPr>
            <sz val="8"/>
            <color indexed="81"/>
            <rFont val="Tahoma"/>
            <family val="2"/>
          </rPr>
          <t xml:space="preserve">
</t>
        </r>
      </text>
    </comment>
    <comment ref="M158" authorId="0">
      <text>
        <r>
          <rPr>
            <b/>
            <sz val="8"/>
            <color indexed="81"/>
            <rFont val="Tahoma"/>
            <family val="2"/>
          </rPr>
          <t>Ratio of foodservice to direct tourism output</t>
        </r>
      </text>
    </comment>
    <comment ref="N158" authorId="0">
      <text>
        <r>
          <rPr>
            <b/>
            <sz val="8"/>
            <color indexed="81"/>
            <rFont val="Tahoma"/>
            <family val="2"/>
          </rPr>
          <t>Ratio of foodservice to direct tourism output</t>
        </r>
      </text>
    </comment>
    <comment ref="O158" authorId="0">
      <text>
        <r>
          <rPr>
            <b/>
            <sz val="8"/>
            <color indexed="81"/>
            <rFont val="Tahoma"/>
            <family val="2"/>
          </rPr>
          <t>Ratio of foodservice to direct tourism output</t>
        </r>
      </text>
    </comment>
    <comment ref="P158" authorId="0">
      <text>
        <r>
          <rPr>
            <b/>
            <sz val="8"/>
            <color indexed="81"/>
            <rFont val="Tahoma"/>
            <family val="2"/>
          </rPr>
          <t>Ratio of foodservice to direct tourism output</t>
        </r>
      </text>
    </comment>
    <comment ref="Q158" authorId="0">
      <text>
        <r>
          <rPr>
            <b/>
            <sz val="8"/>
            <color indexed="81"/>
            <rFont val="Tahoma"/>
            <family val="2"/>
          </rPr>
          <t>Ratio of foodservice to direct tourism output</t>
        </r>
      </text>
    </comment>
    <comment ref="R158" authorId="0">
      <text>
        <r>
          <rPr>
            <b/>
            <sz val="8"/>
            <color indexed="81"/>
            <rFont val="Tahoma"/>
            <family val="2"/>
          </rPr>
          <t>Ratio of foodservice to direct tourism output</t>
        </r>
      </text>
    </comment>
    <comment ref="M159" authorId="0">
      <text>
        <r>
          <rPr>
            <b/>
            <sz val="8"/>
            <color indexed="81"/>
            <rFont val="Tahoma"/>
            <family val="2"/>
          </rPr>
          <t>Ratio of retail to direct tourism output</t>
        </r>
      </text>
    </comment>
    <comment ref="N159" authorId="0">
      <text>
        <r>
          <rPr>
            <b/>
            <sz val="8"/>
            <color indexed="81"/>
            <rFont val="Tahoma"/>
            <family val="2"/>
          </rPr>
          <t>Ratio of retail to direct tourism output</t>
        </r>
      </text>
    </comment>
    <comment ref="O159" authorId="0">
      <text>
        <r>
          <rPr>
            <b/>
            <sz val="8"/>
            <color indexed="81"/>
            <rFont val="Tahoma"/>
            <family val="2"/>
          </rPr>
          <t>Ratio of retail to direct tourism output</t>
        </r>
      </text>
    </comment>
    <comment ref="P159" authorId="0">
      <text>
        <r>
          <rPr>
            <b/>
            <sz val="8"/>
            <color indexed="81"/>
            <rFont val="Tahoma"/>
            <family val="2"/>
          </rPr>
          <t>Ratio of retail to direct tourism output</t>
        </r>
      </text>
    </comment>
    <comment ref="Q159" authorId="0">
      <text>
        <r>
          <rPr>
            <b/>
            <sz val="8"/>
            <color indexed="81"/>
            <rFont val="Tahoma"/>
            <family val="2"/>
          </rPr>
          <t>Ratio of retail to direct tourism output</t>
        </r>
      </text>
    </comment>
    <comment ref="R159" authorId="0">
      <text>
        <r>
          <rPr>
            <b/>
            <sz val="8"/>
            <color indexed="81"/>
            <rFont val="Tahoma"/>
            <family val="2"/>
          </rPr>
          <t>Ratio of retail to direct tourism output</t>
        </r>
      </text>
    </comment>
    <comment ref="M160" authorId="0">
      <text>
        <r>
          <rPr>
            <b/>
            <sz val="8"/>
            <color indexed="81"/>
            <rFont val="Tahoma"/>
            <family val="2"/>
          </rPr>
          <t>Ratio of transportation to direct tourism output</t>
        </r>
        <r>
          <rPr>
            <sz val="8"/>
            <color indexed="81"/>
            <rFont val="Tahoma"/>
            <family val="2"/>
          </rPr>
          <t xml:space="preserve">
</t>
        </r>
      </text>
    </comment>
    <comment ref="N160" authorId="0">
      <text>
        <r>
          <rPr>
            <b/>
            <sz val="8"/>
            <color indexed="81"/>
            <rFont val="Tahoma"/>
            <family val="2"/>
          </rPr>
          <t>Ratio of transportation to direct tourism output</t>
        </r>
        <r>
          <rPr>
            <sz val="8"/>
            <color indexed="81"/>
            <rFont val="Tahoma"/>
            <family val="2"/>
          </rPr>
          <t xml:space="preserve">
</t>
        </r>
      </text>
    </comment>
    <comment ref="O160" authorId="0">
      <text>
        <r>
          <rPr>
            <b/>
            <sz val="8"/>
            <color indexed="81"/>
            <rFont val="Tahoma"/>
            <family val="2"/>
          </rPr>
          <t>Ratio of transportation to direct tourism output</t>
        </r>
        <r>
          <rPr>
            <sz val="8"/>
            <color indexed="81"/>
            <rFont val="Tahoma"/>
            <family val="2"/>
          </rPr>
          <t xml:space="preserve">
</t>
        </r>
      </text>
    </comment>
    <comment ref="P160" authorId="0">
      <text>
        <r>
          <rPr>
            <b/>
            <sz val="8"/>
            <color indexed="81"/>
            <rFont val="Tahoma"/>
            <family val="2"/>
          </rPr>
          <t>Ratio of transportation to direct tourism output</t>
        </r>
        <r>
          <rPr>
            <sz val="8"/>
            <color indexed="81"/>
            <rFont val="Tahoma"/>
            <family val="2"/>
          </rPr>
          <t xml:space="preserve">
</t>
        </r>
      </text>
    </comment>
    <comment ref="Q160" authorId="0">
      <text>
        <r>
          <rPr>
            <b/>
            <sz val="8"/>
            <color indexed="81"/>
            <rFont val="Tahoma"/>
            <family val="2"/>
          </rPr>
          <t>Ratio of transportation to direct tourism output</t>
        </r>
        <r>
          <rPr>
            <sz val="8"/>
            <color indexed="81"/>
            <rFont val="Tahoma"/>
            <family val="2"/>
          </rPr>
          <t xml:space="preserve">
</t>
        </r>
      </text>
    </comment>
    <comment ref="R160" authorId="0">
      <text>
        <r>
          <rPr>
            <b/>
            <sz val="8"/>
            <color indexed="81"/>
            <rFont val="Tahoma"/>
            <family val="2"/>
          </rPr>
          <t>Ratio of transportation to direct tourism output</t>
        </r>
        <r>
          <rPr>
            <sz val="8"/>
            <color indexed="81"/>
            <rFont val="Tahoma"/>
            <family val="2"/>
          </rPr>
          <t xml:space="preserve">
</t>
        </r>
      </text>
    </comment>
    <comment ref="M161" authorId="0">
      <text>
        <r>
          <rPr>
            <b/>
            <sz val="8"/>
            <color indexed="81"/>
            <rFont val="Tahoma"/>
            <family val="2"/>
          </rPr>
          <t>Ratio of travel intermediaries
to direct tourism output</t>
        </r>
        <r>
          <rPr>
            <sz val="8"/>
            <color indexed="81"/>
            <rFont val="Tahoma"/>
            <family val="2"/>
          </rPr>
          <t xml:space="preserve">
</t>
        </r>
      </text>
    </comment>
    <comment ref="N161" authorId="0">
      <text>
        <r>
          <rPr>
            <b/>
            <sz val="8"/>
            <color indexed="81"/>
            <rFont val="Tahoma"/>
            <family val="2"/>
          </rPr>
          <t>Ratio of travel intermediaries
to direct tourism output</t>
        </r>
        <r>
          <rPr>
            <sz val="8"/>
            <color indexed="81"/>
            <rFont val="Tahoma"/>
            <family val="2"/>
          </rPr>
          <t xml:space="preserve">
</t>
        </r>
      </text>
    </comment>
    <comment ref="O161" authorId="0">
      <text>
        <r>
          <rPr>
            <b/>
            <sz val="8"/>
            <color indexed="81"/>
            <rFont val="Tahoma"/>
            <family val="2"/>
          </rPr>
          <t>Ratio of travel intermediaries
to direct tourism output</t>
        </r>
        <r>
          <rPr>
            <sz val="8"/>
            <color indexed="81"/>
            <rFont val="Tahoma"/>
            <family val="2"/>
          </rPr>
          <t xml:space="preserve">
</t>
        </r>
      </text>
    </comment>
    <comment ref="P161" authorId="0">
      <text>
        <r>
          <rPr>
            <b/>
            <sz val="8"/>
            <color indexed="81"/>
            <rFont val="Tahoma"/>
            <family val="2"/>
          </rPr>
          <t>Ratio of travel intermediaries
to direct tourism output</t>
        </r>
        <r>
          <rPr>
            <sz val="8"/>
            <color indexed="81"/>
            <rFont val="Tahoma"/>
            <family val="2"/>
          </rPr>
          <t xml:space="preserve">
</t>
        </r>
      </text>
    </comment>
    <comment ref="Q161" authorId="0">
      <text>
        <r>
          <rPr>
            <b/>
            <sz val="8"/>
            <color indexed="81"/>
            <rFont val="Tahoma"/>
            <family val="2"/>
          </rPr>
          <t>Ratio of travel intermediaries
to direct tourism output</t>
        </r>
        <r>
          <rPr>
            <sz val="8"/>
            <color indexed="81"/>
            <rFont val="Tahoma"/>
            <family val="2"/>
          </rPr>
          <t xml:space="preserve">
</t>
        </r>
      </text>
    </comment>
    <comment ref="R161" authorId="0">
      <text>
        <r>
          <rPr>
            <b/>
            <sz val="8"/>
            <color indexed="81"/>
            <rFont val="Tahoma"/>
            <family val="2"/>
          </rPr>
          <t>Ratio of travel intermediaries
to direct tourism output</t>
        </r>
        <r>
          <rPr>
            <sz val="8"/>
            <color indexed="81"/>
            <rFont val="Tahoma"/>
            <family val="2"/>
          </rPr>
          <t xml:space="preserve">
</t>
        </r>
      </text>
    </comment>
    <comment ref="M162" authorId="0">
      <text>
        <r>
          <rPr>
            <b/>
            <sz val="8"/>
            <color indexed="81"/>
            <rFont val="Tahoma"/>
            <family val="2"/>
          </rPr>
          <t>Ratio of others to direct tourism output</t>
        </r>
      </text>
    </comment>
    <comment ref="N162" authorId="0">
      <text>
        <r>
          <rPr>
            <b/>
            <sz val="8"/>
            <color indexed="81"/>
            <rFont val="Tahoma"/>
            <family val="2"/>
          </rPr>
          <t>Ratio of others to direct tourism output</t>
        </r>
      </text>
    </comment>
    <comment ref="O162" authorId="0">
      <text>
        <r>
          <rPr>
            <b/>
            <sz val="8"/>
            <color indexed="81"/>
            <rFont val="Tahoma"/>
            <family val="2"/>
          </rPr>
          <t>Ratio of others to direct tourism output</t>
        </r>
      </text>
    </comment>
    <comment ref="P162" authorId="0">
      <text>
        <r>
          <rPr>
            <b/>
            <sz val="8"/>
            <color indexed="81"/>
            <rFont val="Tahoma"/>
            <family val="2"/>
          </rPr>
          <t>Ratio of others to direct tourism output</t>
        </r>
      </text>
    </comment>
    <comment ref="Q162" authorId="0">
      <text>
        <r>
          <rPr>
            <b/>
            <sz val="8"/>
            <color indexed="81"/>
            <rFont val="Tahoma"/>
            <family val="2"/>
          </rPr>
          <t>Ratio of others to direct tourism output</t>
        </r>
      </text>
    </comment>
    <comment ref="R162" authorId="0">
      <text>
        <r>
          <rPr>
            <b/>
            <sz val="8"/>
            <color indexed="81"/>
            <rFont val="Tahoma"/>
            <family val="2"/>
          </rPr>
          <t>Ratio of others to direct tourism output</t>
        </r>
      </text>
    </comment>
    <comment ref="M163" authorId="0">
      <text>
        <r>
          <rPr>
            <b/>
            <sz val="8"/>
            <color indexed="81"/>
            <rFont val="Tahoma"/>
            <family val="2"/>
          </rPr>
          <t>Ratio of indirect tourism output to direct tourism output</t>
        </r>
        <r>
          <rPr>
            <sz val="8"/>
            <color indexed="81"/>
            <rFont val="Tahoma"/>
            <family val="2"/>
          </rPr>
          <t xml:space="preserve">
</t>
        </r>
      </text>
    </comment>
    <comment ref="N163" authorId="0">
      <text>
        <r>
          <rPr>
            <b/>
            <sz val="8"/>
            <color indexed="81"/>
            <rFont val="Tahoma"/>
            <family val="2"/>
          </rPr>
          <t>Ratio of indirect tourism output to direct tourism output</t>
        </r>
        <r>
          <rPr>
            <sz val="8"/>
            <color indexed="81"/>
            <rFont val="Tahoma"/>
            <family val="2"/>
          </rPr>
          <t xml:space="preserve">
</t>
        </r>
      </text>
    </comment>
    <comment ref="O163" authorId="0">
      <text>
        <r>
          <rPr>
            <b/>
            <sz val="8"/>
            <color indexed="81"/>
            <rFont val="Tahoma"/>
            <family val="2"/>
          </rPr>
          <t>Ratio of indirect tourism output to direct tourism output</t>
        </r>
        <r>
          <rPr>
            <sz val="8"/>
            <color indexed="81"/>
            <rFont val="Tahoma"/>
            <family val="2"/>
          </rPr>
          <t xml:space="preserve">
</t>
        </r>
      </text>
    </comment>
    <comment ref="P163" authorId="0">
      <text>
        <r>
          <rPr>
            <b/>
            <sz val="8"/>
            <color indexed="81"/>
            <rFont val="Tahoma"/>
            <family val="2"/>
          </rPr>
          <t>Ratio of indirect tourism output to direct tourism output</t>
        </r>
        <r>
          <rPr>
            <sz val="8"/>
            <color indexed="81"/>
            <rFont val="Tahoma"/>
            <family val="2"/>
          </rPr>
          <t xml:space="preserve">
</t>
        </r>
      </text>
    </comment>
    <comment ref="Q163" authorId="0">
      <text>
        <r>
          <rPr>
            <b/>
            <sz val="8"/>
            <color indexed="81"/>
            <rFont val="Tahoma"/>
            <family val="2"/>
          </rPr>
          <t>Ratio of indirect tourism output to direct tourism output</t>
        </r>
        <r>
          <rPr>
            <sz val="8"/>
            <color indexed="81"/>
            <rFont val="Tahoma"/>
            <family val="2"/>
          </rPr>
          <t xml:space="preserve">
</t>
        </r>
      </text>
    </comment>
    <comment ref="R163" authorId="0">
      <text>
        <r>
          <rPr>
            <b/>
            <sz val="8"/>
            <color indexed="81"/>
            <rFont val="Tahoma"/>
            <family val="2"/>
          </rPr>
          <t>Ratio of indirect tourism output to direct tourism output</t>
        </r>
        <r>
          <rPr>
            <sz val="8"/>
            <color indexed="81"/>
            <rFont val="Tahoma"/>
            <family val="2"/>
          </rPr>
          <t xml:space="preserve">
</t>
        </r>
      </text>
    </comment>
    <comment ref="M164" authorId="0">
      <text>
        <r>
          <rPr>
            <b/>
            <sz val="8"/>
            <color indexed="81"/>
            <rFont val="Tahoma"/>
            <family val="2"/>
          </rPr>
          <t xml:space="preserve">Ratio of accommodation to indirect tourism output 
</t>
        </r>
        <r>
          <rPr>
            <sz val="8"/>
            <color indexed="81"/>
            <rFont val="Tahoma"/>
            <family val="2"/>
          </rPr>
          <t xml:space="preserve">
</t>
        </r>
      </text>
    </comment>
    <comment ref="N164" authorId="0">
      <text>
        <r>
          <rPr>
            <b/>
            <sz val="8"/>
            <color indexed="81"/>
            <rFont val="Tahoma"/>
            <family val="2"/>
          </rPr>
          <t xml:space="preserve">Ratio of accommodation to indirect tourism output 
</t>
        </r>
        <r>
          <rPr>
            <sz val="8"/>
            <color indexed="81"/>
            <rFont val="Tahoma"/>
            <family val="2"/>
          </rPr>
          <t xml:space="preserve">
</t>
        </r>
      </text>
    </comment>
    <comment ref="O164" authorId="0">
      <text>
        <r>
          <rPr>
            <b/>
            <sz val="8"/>
            <color indexed="81"/>
            <rFont val="Tahoma"/>
            <family val="2"/>
          </rPr>
          <t xml:space="preserve">Ratio of accommodation to indirect tourism output 
</t>
        </r>
        <r>
          <rPr>
            <sz val="8"/>
            <color indexed="81"/>
            <rFont val="Tahoma"/>
            <family val="2"/>
          </rPr>
          <t xml:space="preserve">
</t>
        </r>
      </text>
    </comment>
    <comment ref="P164" authorId="0">
      <text>
        <r>
          <rPr>
            <b/>
            <sz val="8"/>
            <color indexed="81"/>
            <rFont val="Tahoma"/>
            <family val="2"/>
          </rPr>
          <t xml:space="preserve">Ratio of accommodation to indirect tourism output 
</t>
        </r>
        <r>
          <rPr>
            <sz val="8"/>
            <color indexed="81"/>
            <rFont val="Tahoma"/>
            <family val="2"/>
          </rPr>
          <t xml:space="preserve">
</t>
        </r>
      </text>
    </comment>
    <comment ref="Q164" authorId="0">
      <text>
        <r>
          <rPr>
            <b/>
            <sz val="8"/>
            <color indexed="81"/>
            <rFont val="Tahoma"/>
            <family val="2"/>
          </rPr>
          <t xml:space="preserve">Ratio of accommodation to indirect tourism output 
</t>
        </r>
        <r>
          <rPr>
            <sz val="8"/>
            <color indexed="81"/>
            <rFont val="Tahoma"/>
            <family val="2"/>
          </rPr>
          <t xml:space="preserve">
</t>
        </r>
      </text>
    </comment>
    <comment ref="R164" authorId="0">
      <text>
        <r>
          <rPr>
            <b/>
            <sz val="8"/>
            <color indexed="81"/>
            <rFont val="Tahoma"/>
            <family val="2"/>
          </rPr>
          <t xml:space="preserve">Ratio of accommodation to indirect tourism output 
</t>
        </r>
        <r>
          <rPr>
            <sz val="8"/>
            <color indexed="81"/>
            <rFont val="Tahoma"/>
            <family val="2"/>
          </rPr>
          <t xml:space="preserve">
</t>
        </r>
      </text>
    </comment>
    <comment ref="M165" authorId="0">
      <text>
        <r>
          <rPr>
            <b/>
            <sz val="8"/>
            <color indexed="81"/>
            <rFont val="Tahoma"/>
            <family val="2"/>
          </rPr>
          <t>Ratio of entertainment &amp; sightseeing to indirect tourism output</t>
        </r>
        <r>
          <rPr>
            <sz val="8"/>
            <color indexed="81"/>
            <rFont val="Tahoma"/>
            <family val="2"/>
          </rPr>
          <t xml:space="preserve">
</t>
        </r>
      </text>
    </comment>
    <comment ref="N165" authorId="0">
      <text>
        <r>
          <rPr>
            <b/>
            <sz val="8"/>
            <color indexed="81"/>
            <rFont val="Tahoma"/>
            <family val="2"/>
          </rPr>
          <t>Ratio of entertainment &amp; sightseeing to indirect tourism output</t>
        </r>
        <r>
          <rPr>
            <sz val="8"/>
            <color indexed="81"/>
            <rFont val="Tahoma"/>
            <family val="2"/>
          </rPr>
          <t xml:space="preserve">
</t>
        </r>
      </text>
    </comment>
    <comment ref="O165" authorId="0">
      <text>
        <r>
          <rPr>
            <b/>
            <sz val="8"/>
            <color indexed="81"/>
            <rFont val="Tahoma"/>
            <family val="2"/>
          </rPr>
          <t>Ratio of entertainment &amp; sightseeing to indirect tourism output</t>
        </r>
        <r>
          <rPr>
            <sz val="8"/>
            <color indexed="81"/>
            <rFont val="Tahoma"/>
            <family val="2"/>
          </rPr>
          <t xml:space="preserve">
</t>
        </r>
      </text>
    </comment>
    <comment ref="P165" authorId="0">
      <text>
        <r>
          <rPr>
            <b/>
            <sz val="8"/>
            <color indexed="81"/>
            <rFont val="Tahoma"/>
            <family val="2"/>
          </rPr>
          <t>Ratio of entertainment &amp; sightseeing to indirect tourism output</t>
        </r>
        <r>
          <rPr>
            <sz val="8"/>
            <color indexed="81"/>
            <rFont val="Tahoma"/>
            <family val="2"/>
          </rPr>
          <t xml:space="preserve">
</t>
        </r>
      </text>
    </comment>
    <comment ref="Q165" authorId="0">
      <text>
        <r>
          <rPr>
            <b/>
            <sz val="8"/>
            <color indexed="81"/>
            <rFont val="Tahoma"/>
            <family val="2"/>
          </rPr>
          <t>Ratio of entertainment &amp; sightseeing to indirect tourism output</t>
        </r>
        <r>
          <rPr>
            <sz val="8"/>
            <color indexed="81"/>
            <rFont val="Tahoma"/>
            <family val="2"/>
          </rPr>
          <t xml:space="preserve">
</t>
        </r>
      </text>
    </comment>
    <comment ref="R165" authorId="0">
      <text>
        <r>
          <rPr>
            <b/>
            <sz val="8"/>
            <color indexed="81"/>
            <rFont val="Tahoma"/>
            <family val="2"/>
          </rPr>
          <t>Ratio of entertainment &amp; sightseeing to indirect tourism output</t>
        </r>
        <r>
          <rPr>
            <sz val="8"/>
            <color indexed="81"/>
            <rFont val="Tahoma"/>
            <family val="2"/>
          </rPr>
          <t xml:space="preserve">
</t>
        </r>
      </text>
    </comment>
    <comment ref="M166" authorId="0">
      <text>
        <r>
          <rPr>
            <b/>
            <sz val="8"/>
            <color indexed="81"/>
            <rFont val="Tahoma"/>
            <family val="2"/>
          </rPr>
          <t>Ratio of foodservice to indirect tourism output</t>
        </r>
      </text>
    </comment>
    <comment ref="N166" authorId="0">
      <text>
        <r>
          <rPr>
            <b/>
            <sz val="8"/>
            <color indexed="81"/>
            <rFont val="Tahoma"/>
            <family val="2"/>
          </rPr>
          <t>Ratio of foodservice to indirect tourism output</t>
        </r>
      </text>
    </comment>
    <comment ref="O166" authorId="0">
      <text>
        <r>
          <rPr>
            <b/>
            <sz val="8"/>
            <color indexed="81"/>
            <rFont val="Tahoma"/>
            <family val="2"/>
          </rPr>
          <t>Ratio of foodservice to indirect tourism output</t>
        </r>
      </text>
    </comment>
    <comment ref="P166" authorId="0">
      <text>
        <r>
          <rPr>
            <b/>
            <sz val="8"/>
            <color indexed="81"/>
            <rFont val="Tahoma"/>
            <family val="2"/>
          </rPr>
          <t>Ratio of foodservice to indirect tourism output</t>
        </r>
      </text>
    </comment>
    <comment ref="Q166" authorId="0">
      <text>
        <r>
          <rPr>
            <b/>
            <sz val="8"/>
            <color indexed="81"/>
            <rFont val="Tahoma"/>
            <family val="2"/>
          </rPr>
          <t>Ratio of foodservice to indirect tourism output</t>
        </r>
      </text>
    </comment>
    <comment ref="R166" authorId="0">
      <text>
        <r>
          <rPr>
            <b/>
            <sz val="8"/>
            <color indexed="81"/>
            <rFont val="Tahoma"/>
            <family val="2"/>
          </rPr>
          <t>Ratio of foodservice to indirect tourism output</t>
        </r>
      </text>
    </comment>
    <comment ref="M167" authorId="0">
      <text>
        <r>
          <rPr>
            <b/>
            <sz val="8"/>
            <color indexed="81"/>
            <rFont val="Tahoma"/>
            <family val="2"/>
          </rPr>
          <t>Ratio of retail to indirect tourism output</t>
        </r>
      </text>
    </comment>
    <comment ref="N167" authorId="0">
      <text>
        <r>
          <rPr>
            <b/>
            <sz val="8"/>
            <color indexed="81"/>
            <rFont val="Tahoma"/>
            <family val="2"/>
          </rPr>
          <t>Ratio of retail to indirect tourism output</t>
        </r>
      </text>
    </comment>
    <comment ref="O167" authorId="0">
      <text>
        <r>
          <rPr>
            <b/>
            <sz val="8"/>
            <color indexed="81"/>
            <rFont val="Tahoma"/>
            <family val="2"/>
          </rPr>
          <t>Ratio of retail to indirect tourism output</t>
        </r>
      </text>
    </comment>
    <comment ref="P167" authorId="0">
      <text>
        <r>
          <rPr>
            <b/>
            <sz val="8"/>
            <color indexed="81"/>
            <rFont val="Tahoma"/>
            <family val="2"/>
          </rPr>
          <t>Ratio of retail to indirect tourism output</t>
        </r>
      </text>
    </comment>
    <comment ref="Q167" authorId="0">
      <text>
        <r>
          <rPr>
            <b/>
            <sz val="8"/>
            <color indexed="81"/>
            <rFont val="Tahoma"/>
            <family val="2"/>
          </rPr>
          <t>Ratio of retail to indirect tourism output</t>
        </r>
      </text>
    </comment>
    <comment ref="R167" authorId="0">
      <text>
        <r>
          <rPr>
            <b/>
            <sz val="8"/>
            <color indexed="81"/>
            <rFont val="Tahoma"/>
            <family val="2"/>
          </rPr>
          <t>Ratio of retail to indirect tourism output</t>
        </r>
      </text>
    </comment>
    <comment ref="M168" authorId="0">
      <text>
        <r>
          <rPr>
            <b/>
            <sz val="8"/>
            <color indexed="81"/>
            <rFont val="Tahoma"/>
            <family val="2"/>
          </rPr>
          <t>Ratio of transportation to indirect tourism output</t>
        </r>
        <r>
          <rPr>
            <sz val="8"/>
            <color indexed="81"/>
            <rFont val="Tahoma"/>
            <family val="2"/>
          </rPr>
          <t xml:space="preserve">
</t>
        </r>
      </text>
    </comment>
    <comment ref="N168" authorId="0">
      <text>
        <r>
          <rPr>
            <b/>
            <sz val="8"/>
            <color indexed="81"/>
            <rFont val="Tahoma"/>
            <family val="2"/>
          </rPr>
          <t>Ratio of transportation to indirect tourism output</t>
        </r>
        <r>
          <rPr>
            <sz val="8"/>
            <color indexed="81"/>
            <rFont val="Tahoma"/>
            <family val="2"/>
          </rPr>
          <t xml:space="preserve">
</t>
        </r>
      </text>
    </comment>
    <comment ref="O168" authorId="0">
      <text>
        <r>
          <rPr>
            <b/>
            <sz val="8"/>
            <color indexed="81"/>
            <rFont val="Tahoma"/>
            <family val="2"/>
          </rPr>
          <t>Ratio of transportation to indirect tourism output</t>
        </r>
        <r>
          <rPr>
            <sz val="8"/>
            <color indexed="81"/>
            <rFont val="Tahoma"/>
            <family val="2"/>
          </rPr>
          <t xml:space="preserve">
</t>
        </r>
      </text>
    </comment>
    <comment ref="P168" authorId="0">
      <text>
        <r>
          <rPr>
            <b/>
            <sz val="8"/>
            <color indexed="81"/>
            <rFont val="Tahoma"/>
            <family val="2"/>
          </rPr>
          <t>Ratio of transportation to indirect tourism output</t>
        </r>
        <r>
          <rPr>
            <sz val="8"/>
            <color indexed="81"/>
            <rFont val="Tahoma"/>
            <family val="2"/>
          </rPr>
          <t xml:space="preserve">
</t>
        </r>
      </text>
    </comment>
    <comment ref="Q168" authorId="0">
      <text>
        <r>
          <rPr>
            <b/>
            <sz val="8"/>
            <color indexed="81"/>
            <rFont val="Tahoma"/>
            <family val="2"/>
          </rPr>
          <t>Ratio of transportation to indirect tourism output</t>
        </r>
        <r>
          <rPr>
            <sz val="8"/>
            <color indexed="81"/>
            <rFont val="Tahoma"/>
            <family val="2"/>
          </rPr>
          <t xml:space="preserve">
</t>
        </r>
      </text>
    </comment>
    <comment ref="R168" authorId="0">
      <text>
        <r>
          <rPr>
            <b/>
            <sz val="8"/>
            <color indexed="81"/>
            <rFont val="Tahoma"/>
            <family val="2"/>
          </rPr>
          <t>Ratio of transportation to indirect tourism output</t>
        </r>
        <r>
          <rPr>
            <sz val="8"/>
            <color indexed="81"/>
            <rFont val="Tahoma"/>
            <family val="2"/>
          </rPr>
          <t xml:space="preserve">
</t>
        </r>
      </text>
    </comment>
    <comment ref="M169" authorId="0">
      <text>
        <r>
          <rPr>
            <b/>
            <sz val="8"/>
            <color indexed="81"/>
            <rFont val="Tahoma"/>
            <family val="2"/>
          </rPr>
          <t>Ratio of travel intermediaries
to indirect tourism output</t>
        </r>
        <r>
          <rPr>
            <sz val="8"/>
            <color indexed="81"/>
            <rFont val="Tahoma"/>
            <family val="2"/>
          </rPr>
          <t xml:space="preserve">
</t>
        </r>
      </text>
    </comment>
    <comment ref="N169" authorId="0">
      <text>
        <r>
          <rPr>
            <b/>
            <sz val="8"/>
            <color indexed="81"/>
            <rFont val="Tahoma"/>
            <family val="2"/>
          </rPr>
          <t>Ratio of travel intermediaries
to indirect tourism output</t>
        </r>
        <r>
          <rPr>
            <sz val="8"/>
            <color indexed="81"/>
            <rFont val="Tahoma"/>
            <family val="2"/>
          </rPr>
          <t xml:space="preserve">
</t>
        </r>
      </text>
    </comment>
    <comment ref="O169" authorId="0">
      <text>
        <r>
          <rPr>
            <b/>
            <sz val="8"/>
            <color indexed="81"/>
            <rFont val="Tahoma"/>
            <family val="2"/>
          </rPr>
          <t>Ratio of travel intermediaries
to indirect tourism output</t>
        </r>
        <r>
          <rPr>
            <sz val="8"/>
            <color indexed="81"/>
            <rFont val="Tahoma"/>
            <family val="2"/>
          </rPr>
          <t xml:space="preserve">
</t>
        </r>
      </text>
    </comment>
    <comment ref="P169" authorId="0">
      <text>
        <r>
          <rPr>
            <b/>
            <sz val="8"/>
            <color indexed="81"/>
            <rFont val="Tahoma"/>
            <family val="2"/>
          </rPr>
          <t>Ratio of travel intermediaries
to indirect tourism output</t>
        </r>
        <r>
          <rPr>
            <sz val="8"/>
            <color indexed="81"/>
            <rFont val="Tahoma"/>
            <family val="2"/>
          </rPr>
          <t xml:space="preserve">
</t>
        </r>
      </text>
    </comment>
    <comment ref="Q169" authorId="0">
      <text>
        <r>
          <rPr>
            <b/>
            <sz val="8"/>
            <color indexed="81"/>
            <rFont val="Tahoma"/>
            <family val="2"/>
          </rPr>
          <t>Ratio of travel intermediaries
to indirect tourism output</t>
        </r>
        <r>
          <rPr>
            <sz val="8"/>
            <color indexed="81"/>
            <rFont val="Tahoma"/>
            <family val="2"/>
          </rPr>
          <t xml:space="preserve">
</t>
        </r>
      </text>
    </comment>
    <comment ref="R169" authorId="0">
      <text>
        <r>
          <rPr>
            <b/>
            <sz val="8"/>
            <color indexed="81"/>
            <rFont val="Tahoma"/>
            <family val="2"/>
          </rPr>
          <t>Ratio of travel intermediaries
to indirect tourism output</t>
        </r>
        <r>
          <rPr>
            <sz val="8"/>
            <color indexed="81"/>
            <rFont val="Tahoma"/>
            <family val="2"/>
          </rPr>
          <t xml:space="preserve">
</t>
        </r>
      </text>
    </comment>
    <comment ref="M170" authorId="0">
      <text>
        <r>
          <rPr>
            <b/>
            <sz val="8"/>
            <color indexed="81"/>
            <rFont val="Tahoma"/>
            <family val="2"/>
          </rPr>
          <t>Ratio of others to indirect tourism output</t>
        </r>
      </text>
    </comment>
    <comment ref="N170" authorId="0">
      <text>
        <r>
          <rPr>
            <b/>
            <sz val="8"/>
            <color indexed="81"/>
            <rFont val="Tahoma"/>
            <family val="2"/>
          </rPr>
          <t>Ratio of others to indirect tourism output</t>
        </r>
      </text>
    </comment>
    <comment ref="O170" authorId="0">
      <text>
        <r>
          <rPr>
            <b/>
            <sz val="8"/>
            <color indexed="81"/>
            <rFont val="Tahoma"/>
            <family val="2"/>
          </rPr>
          <t>Ratio of others to indirect tourism output</t>
        </r>
      </text>
    </comment>
    <comment ref="P170" authorId="0">
      <text>
        <r>
          <rPr>
            <b/>
            <sz val="8"/>
            <color indexed="81"/>
            <rFont val="Tahoma"/>
            <family val="2"/>
          </rPr>
          <t>Ratio of others to indirect tourism output</t>
        </r>
      </text>
    </comment>
    <comment ref="Q170" authorId="0">
      <text>
        <r>
          <rPr>
            <b/>
            <sz val="8"/>
            <color indexed="81"/>
            <rFont val="Tahoma"/>
            <family val="2"/>
          </rPr>
          <t>Ratio of others to indirect tourism output</t>
        </r>
      </text>
    </comment>
    <comment ref="R170" authorId="0">
      <text>
        <r>
          <rPr>
            <b/>
            <sz val="8"/>
            <color indexed="81"/>
            <rFont val="Tahoma"/>
            <family val="2"/>
          </rPr>
          <t>Ratio of others to indirect tourism output</t>
        </r>
      </text>
    </comment>
    <comment ref="M173" authorId="0">
      <text>
        <r>
          <rPr>
            <b/>
            <sz val="8"/>
            <color indexed="81"/>
            <rFont val="Tahoma"/>
            <family val="2"/>
          </rPr>
          <t xml:space="preserve">Ratio of accommodation to direct tourism employment
</t>
        </r>
        <r>
          <rPr>
            <sz val="8"/>
            <color indexed="81"/>
            <rFont val="Tahoma"/>
            <family val="2"/>
          </rPr>
          <t xml:space="preserve">
</t>
        </r>
      </text>
    </comment>
    <comment ref="N173" authorId="0">
      <text>
        <r>
          <rPr>
            <b/>
            <sz val="8"/>
            <color indexed="81"/>
            <rFont val="Tahoma"/>
            <family val="2"/>
          </rPr>
          <t xml:space="preserve">Ratio of accommodation to direct tourism employment
</t>
        </r>
        <r>
          <rPr>
            <sz val="8"/>
            <color indexed="81"/>
            <rFont val="Tahoma"/>
            <family val="2"/>
          </rPr>
          <t xml:space="preserve">
</t>
        </r>
      </text>
    </comment>
    <comment ref="O173" authorId="0">
      <text>
        <r>
          <rPr>
            <b/>
            <sz val="8"/>
            <color indexed="81"/>
            <rFont val="Tahoma"/>
            <family val="2"/>
          </rPr>
          <t xml:space="preserve">Ratio of accommodation to direct tourism employment
</t>
        </r>
        <r>
          <rPr>
            <sz val="8"/>
            <color indexed="81"/>
            <rFont val="Tahoma"/>
            <family val="2"/>
          </rPr>
          <t xml:space="preserve">
</t>
        </r>
      </text>
    </comment>
    <comment ref="P173" authorId="0">
      <text>
        <r>
          <rPr>
            <b/>
            <sz val="8"/>
            <color indexed="81"/>
            <rFont val="Tahoma"/>
            <family val="2"/>
          </rPr>
          <t xml:space="preserve">Ratio of accommodation to direct tourism employment
</t>
        </r>
        <r>
          <rPr>
            <sz val="8"/>
            <color indexed="81"/>
            <rFont val="Tahoma"/>
            <family val="2"/>
          </rPr>
          <t xml:space="preserve">
</t>
        </r>
      </text>
    </comment>
    <comment ref="Q173" authorId="0">
      <text>
        <r>
          <rPr>
            <b/>
            <sz val="8"/>
            <color indexed="81"/>
            <rFont val="Tahoma"/>
            <family val="2"/>
          </rPr>
          <t xml:space="preserve">Ratio of accommodation to direct tourism employment
</t>
        </r>
        <r>
          <rPr>
            <sz val="8"/>
            <color indexed="81"/>
            <rFont val="Tahoma"/>
            <family val="2"/>
          </rPr>
          <t xml:space="preserve">
</t>
        </r>
      </text>
    </comment>
    <comment ref="R173" authorId="0">
      <text>
        <r>
          <rPr>
            <b/>
            <sz val="8"/>
            <color indexed="81"/>
            <rFont val="Tahoma"/>
            <family val="2"/>
          </rPr>
          <t xml:space="preserve">Ratio of accommodation to direct tourism employment
</t>
        </r>
        <r>
          <rPr>
            <sz val="8"/>
            <color indexed="81"/>
            <rFont val="Tahoma"/>
            <family val="2"/>
          </rPr>
          <t xml:space="preserve">
</t>
        </r>
      </text>
    </comment>
    <comment ref="M174" authorId="0">
      <text>
        <r>
          <rPr>
            <b/>
            <sz val="8"/>
            <color indexed="81"/>
            <rFont val="Tahoma"/>
            <family val="2"/>
          </rPr>
          <t>Ratio of entertainment &amp; sightseeing to direct tourism employment</t>
        </r>
        <r>
          <rPr>
            <sz val="8"/>
            <color indexed="81"/>
            <rFont val="Tahoma"/>
            <family val="2"/>
          </rPr>
          <t xml:space="preserve">
</t>
        </r>
      </text>
    </comment>
    <comment ref="N174" authorId="0">
      <text>
        <r>
          <rPr>
            <b/>
            <sz val="8"/>
            <color indexed="81"/>
            <rFont val="Tahoma"/>
            <family val="2"/>
          </rPr>
          <t>Ratio of entertainment &amp; sightseeing to direct tourism employment</t>
        </r>
        <r>
          <rPr>
            <sz val="8"/>
            <color indexed="81"/>
            <rFont val="Tahoma"/>
            <family val="2"/>
          </rPr>
          <t xml:space="preserve">
</t>
        </r>
      </text>
    </comment>
    <comment ref="O174" authorId="0">
      <text>
        <r>
          <rPr>
            <b/>
            <sz val="8"/>
            <color indexed="81"/>
            <rFont val="Tahoma"/>
            <family val="2"/>
          </rPr>
          <t>Ratio of entertainment &amp; sightseeing to direct tourism employment</t>
        </r>
        <r>
          <rPr>
            <sz val="8"/>
            <color indexed="81"/>
            <rFont val="Tahoma"/>
            <family val="2"/>
          </rPr>
          <t xml:space="preserve">
</t>
        </r>
      </text>
    </comment>
    <comment ref="P174" authorId="0">
      <text>
        <r>
          <rPr>
            <b/>
            <sz val="8"/>
            <color indexed="81"/>
            <rFont val="Tahoma"/>
            <family val="2"/>
          </rPr>
          <t>Ratio of entertainment &amp; sightseeing to direct tourism employment</t>
        </r>
        <r>
          <rPr>
            <sz val="8"/>
            <color indexed="81"/>
            <rFont val="Tahoma"/>
            <family val="2"/>
          </rPr>
          <t xml:space="preserve">
</t>
        </r>
      </text>
    </comment>
    <comment ref="Q174" authorId="0">
      <text>
        <r>
          <rPr>
            <b/>
            <sz val="8"/>
            <color indexed="81"/>
            <rFont val="Tahoma"/>
            <family val="2"/>
          </rPr>
          <t>Ratio of entertainment &amp; sightseeing to direct tourism employment</t>
        </r>
        <r>
          <rPr>
            <sz val="8"/>
            <color indexed="81"/>
            <rFont val="Tahoma"/>
            <family val="2"/>
          </rPr>
          <t xml:space="preserve">
</t>
        </r>
      </text>
    </comment>
    <comment ref="R174" authorId="0">
      <text>
        <r>
          <rPr>
            <b/>
            <sz val="8"/>
            <color indexed="81"/>
            <rFont val="Tahoma"/>
            <family val="2"/>
          </rPr>
          <t>Ratio of entertainment &amp; sightseeing to direct tourism employment</t>
        </r>
        <r>
          <rPr>
            <sz val="8"/>
            <color indexed="81"/>
            <rFont val="Tahoma"/>
            <family val="2"/>
          </rPr>
          <t xml:space="preserve">
</t>
        </r>
      </text>
    </comment>
    <comment ref="M175" authorId="0">
      <text>
        <r>
          <rPr>
            <b/>
            <sz val="8"/>
            <color indexed="81"/>
            <rFont val="Tahoma"/>
            <family val="2"/>
          </rPr>
          <t>Ratio of foodservice to direct tourism employment</t>
        </r>
      </text>
    </comment>
    <comment ref="N175" authorId="0">
      <text>
        <r>
          <rPr>
            <b/>
            <sz val="8"/>
            <color indexed="81"/>
            <rFont val="Tahoma"/>
            <family val="2"/>
          </rPr>
          <t>Ratio of foodservice to direct tourism employment</t>
        </r>
      </text>
    </comment>
    <comment ref="O175" authorId="0">
      <text>
        <r>
          <rPr>
            <b/>
            <sz val="8"/>
            <color indexed="81"/>
            <rFont val="Tahoma"/>
            <family val="2"/>
          </rPr>
          <t>Ratio of foodservice to direct tourism employment</t>
        </r>
      </text>
    </comment>
    <comment ref="P175" authorId="0">
      <text>
        <r>
          <rPr>
            <b/>
            <sz val="8"/>
            <color indexed="81"/>
            <rFont val="Tahoma"/>
            <family val="2"/>
          </rPr>
          <t>Ratio of foodservice to direct tourism employment</t>
        </r>
      </text>
    </comment>
    <comment ref="Q175" authorId="0">
      <text>
        <r>
          <rPr>
            <b/>
            <sz val="8"/>
            <color indexed="81"/>
            <rFont val="Tahoma"/>
            <family val="2"/>
          </rPr>
          <t>Ratio of foodservice to direct tourism employment</t>
        </r>
      </text>
    </comment>
    <comment ref="R175" authorId="0">
      <text>
        <r>
          <rPr>
            <b/>
            <sz val="8"/>
            <color indexed="81"/>
            <rFont val="Tahoma"/>
            <family val="2"/>
          </rPr>
          <t>Ratio of foodservice to direct tourism employment</t>
        </r>
      </text>
    </comment>
    <comment ref="M176" authorId="0">
      <text>
        <r>
          <rPr>
            <b/>
            <sz val="8"/>
            <color indexed="81"/>
            <rFont val="Tahoma"/>
            <family val="2"/>
          </rPr>
          <t>Ratio of retail to direct tourism employment</t>
        </r>
      </text>
    </comment>
    <comment ref="N176" authorId="0">
      <text>
        <r>
          <rPr>
            <b/>
            <sz val="8"/>
            <color indexed="81"/>
            <rFont val="Tahoma"/>
            <family val="2"/>
          </rPr>
          <t>Ratio of retail to direct tourism employment</t>
        </r>
      </text>
    </comment>
    <comment ref="O176" authorId="0">
      <text>
        <r>
          <rPr>
            <b/>
            <sz val="8"/>
            <color indexed="81"/>
            <rFont val="Tahoma"/>
            <family val="2"/>
          </rPr>
          <t>Ratio of retail to direct tourism employment</t>
        </r>
      </text>
    </comment>
    <comment ref="P176" authorId="0">
      <text>
        <r>
          <rPr>
            <b/>
            <sz val="8"/>
            <color indexed="81"/>
            <rFont val="Tahoma"/>
            <family val="2"/>
          </rPr>
          <t>Ratio of retail to direct tourism employment</t>
        </r>
      </text>
    </comment>
    <comment ref="Q176" authorId="0">
      <text>
        <r>
          <rPr>
            <b/>
            <sz val="8"/>
            <color indexed="81"/>
            <rFont val="Tahoma"/>
            <family val="2"/>
          </rPr>
          <t>Ratio of retail to direct tourism employment</t>
        </r>
      </text>
    </comment>
    <comment ref="R176" authorId="0">
      <text>
        <r>
          <rPr>
            <b/>
            <sz val="8"/>
            <color indexed="81"/>
            <rFont val="Tahoma"/>
            <family val="2"/>
          </rPr>
          <t>Ratio of retail to direct tourism employment</t>
        </r>
      </text>
    </comment>
    <comment ref="M177" authorId="0">
      <text>
        <r>
          <rPr>
            <b/>
            <sz val="8"/>
            <color indexed="81"/>
            <rFont val="Tahoma"/>
            <family val="2"/>
          </rPr>
          <t>Ratio of transportation to direct tourism employment</t>
        </r>
        <r>
          <rPr>
            <sz val="8"/>
            <color indexed="81"/>
            <rFont val="Tahoma"/>
            <family val="2"/>
          </rPr>
          <t xml:space="preserve">
</t>
        </r>
      </text>
    </comment>
    <comment ref="N177" authorId="0">
      <text>
        <r>
          <rPr>
            <b/>
            <sz val="8"/>
            <color indexed="81"/>
            <rFont val="Tahoma"/>
            <family val="2"/>
          </rPr>
          <t>Ratio of transportation to direct tourism employment</t>
        </r>
        <r>
          <rPr>
            <sz val="8"/>
            <color indexed="81"/>
            <rFont val="Tahoma"/>
            <family val="2"/>
          </rPr>
          <t xml:space="preserve">
</t>
        </r>
      </text>
    </comment>
    <comment ref="O177" authorId="0">
      <text>
        <r>
          <rPr>
            <b/>
            <sz val="8"/>
            <color indexed="81"/>
            <rFont val="Tahoma"/>
            <family val="2"/>
          </rPr>
          <t>Ratio of transportation to direct tourism employment</t>
        </r>
        <r>
          <rPr>
            <sz val="8"/>
            <color indexed="81"/>
            <rFont val="Tahoma"/>
            <family val="2"/>
          </rPr>
          <t xml:space="preserve">
</t>
        </r>
      </text>
    </comment>
    <comment ref="P177" authorId="0">
      <text>
        <r>
          <rPr>
            <b/>
            <sz val="8"/>
            <color indexed="81"/>
            <rFont val="Tahoma"/>
            <family val="2"/>
          </rPr>
          <t>Ratio of transportation to direct tourism employment</t>
        </r>
        <r>
          <rPr>
            <sz val="8"/>
            <color indexed="81"/>
            <rFont val="Tahoma"/>
            <family val="2"/>
          </rPr>
          <t xml:space="preserve">
</t>
        </r>
      </text>
    </comment>
    <comment ref="Q177" authorId="0">
      <text>
        <r>
          <rPr>
            <b/>
            <sz val="8"/>
            <color indexed="81"/>
            <rFont val="Tahoma"/>
            <family val="2"/>
          </rPr>
          <t>Ratio of transportation to direct tourism employment</t>
        </r>
        <r>
          <rPr>
            <sz val="8"/>
            <color indexed="81"/>
            <rFont val="Tahoma"/>
            <family val="2"/>
          </rPr>
          <t xml:space="preserve">
</t>
        </r>
      </text>
    </comment>
    <comment ref="R177" authorId="0">
      <text>
        <r>
          <rPr>
            <b/>
            <sz val="8"/>
            <color indexed="81"/>
            <rFont val="Tahoma"/>
            <family val="2"/>
          </rPr>
          <t>Ratio of transportation to direct tourism employment</t>
        </r>
        <r>
          <rPr>
            <sz val="8"/>
            <color indexed="81"/>
            <rFont val="Tahoma"/>
            <family val="2"/>
          </rPr>
          <t xml:space="preserve">
</t>
        </r>
      </text>
    </comment>
    <comment ref="M178" authorId="0">
      <text>
        <r>
          <rPr>
            <b/>
            <sz val="8"/>
            <color indexed="81"/>
            <rFont val="Tahoma"/>
            <family val="2"/>
          </rPr>
          <t>Ratio of travel intermediaries
to direct tourism employment</t>
        </r>
        <r>
          <rPr>
            <sz val="8"/>
            <color indexed="81"/>
            <rFont val="Tahoma"/>
            <family val="2"/>
          </rPr>
          <t xml:space="preserve">
</t>
        </r>
      </text>
    </comment>
    <comment ref="N178" authorId="0">
      <text>
        <r>
          <rPr>
            <b/>
            <sz val="8"/>
            <color indexed="81"/>
            <rFont val="Tahoma"/>
            <family val="2"/>
          </rPr>
          <t>Ratio of travel intermediaries
to direct tourism employment</t>
        </r>
        <r>
          <rPr>
            <sz val="8"/>
            <color indexed="81"/>
            <rFont val="Tahoma"/>
            <family val="2"/>
          </rPr>
          <t xml:space="preserve">
</t>
        </r>
      </text>
    </comment>
    <comment ref="O178" authorId="0">
      <text>
        <r>
          <rPr>
            <b/>
            <sz val="8"/>
            <color indexed="81"/>
            <rFont val="Tahoma"/>
            <family val="2"/>
          </rPr>
          <t>Ratio of travel intermediaries
to direct tourism employment</t>
        </r>
        <r>
          <rPr>
            <sz val="8"/>
            <color indexed="81"/>
            <rFont val="Tahoma"/>
            <family val="2"/>
          </rPr>
          <t xml:space="preserve">
</t>
        </r>
      </text>
    </comment>
    <comment ref="P178" authorId="0">
      <text>
        <r>
          <rPr>
            <b/>
            <sz val="8"/>
            <color indexed="81"/>
            <rFont val="Tahoma"/>
            <family val="2"/>
          </rPr>
          <t>Ratio of travel intermediaries
to direct tourism employment</t>
        </r>
        <r>
          <rPr>
            <sz val="8"/>
            <color indexed="81"/>
            <rFont val="Tahoma"/>
            <family val="2"/>
          </rPr>
          <t xml:space="preserve">
</t>
        </r>
      </text>
    </comment>
    <comment ref="Q178" authorId="0">
      <text>
        <r>
          <rPr>
            <b/>
            <sz val="8"/>
            <color indexed="81"/>
            <rFont val="Tahoma"/>
            <family val="2"/>
          </rPr>
          <t>Ratio of travel intermediaries
to direct tourism employment</t>
        </r>
        <r>
          <rPr>
            <sz val="8"/>
            <color indexed="81"/>
            <rFont val="Tahoma"/>
            <family val="2"/>
          </rPr>
          <t xml:space="preserve">
</t>
        </r>
      </text>
    </comment>
    <comment ref="R178" authorId="0">
      <text>
        <r>
          <rPr>
            <b/>
            <sz val="8"/>
            <color indexed="81"/>
            <rFont val="Tahoma"/>
            <family val="2"/>
          </rPr>
          <t>Ratio of travel intermediaries
to direct tourism employment</t>
        </r>
        <r>
          <rPr>
            <sz val="8"/>
            <color indexed="81"/>
            <rFont val="Tahoma"/>
            <family val="2"/>
          </rPr>
          <t xml:space="preserve">
</t>
        </r>
      </text>
    </comment>
    <comment ref="M179" authorId="0">
      <text>
        <r>
          <rPr>
            <b/>
            <sz val="8"/>
            <color indexed="81"/>
            <rFont val="Tahoma"/>
            <family val="2"/>
          </rPr>
          <t>Ratio of others to direct tourism employment</t>
        </r>
      </text>
    </comment>
    <comment ref="N179" authorId="0">
      <text>
        <r>
          <rPr>
            <b/>
            <sz val="8"/>
            <color indexed="81"/>
            <rFont val="Tahoma"/>
            <family val="2"/>
          </rPr>
          <t>Ratio of others to direct tourism employment</t>
        </r>
      </text>
    </comment>
    <comment ref="O179" authorId="0">
      <text>
        <r>
          <rPr>
            <b/>
            <sz val="8"/>
            <color indexed="81"/>
            <rFont val="Tahoma"/>
            <family val="2"/>
          </rPr>
          <t>Ratio of others to direct tourism employment</t>
        </r>
      </text>
    </comment>
    <comment ref="P179" authorId="0">
      <text>
        <r>
          <rPr>
            <b/>
            <sz val="8"/>
            <color indexed="81"/>
            <rFont val="Tahoma"/>
            <family val="2"/>
          </rPr>
          <t>Ratio of others to direct tourism employment</t>
        </r>
      </text>
    </comment>
    <comment ref="Q179" authorId="0">
      <text>
        <r>
          <rPr>
            <b/>
            <sz val="8"/>
            <color indexed="81"/>
            <rFont val="Tahoma"/>
            <family val="2"/>
          </rPr>
          <t>Ratio of others to direct tourism employment</t>
        </r>
      </text>
    </comment>
    <comment ref="R179" authorId="0">
      <text>
        <r>
          <rPr>
            <b/>
            <sz val="8"/>
            <color indexed="81"/>
            <rFont val="Tahoma"/>
            <family val="2"/>
          </rPr>
          <t>Ratio of others to direct tourism employment</t>
        </r>
      </text>
    </comment>
    <comment ref="M180" authorId="0">
      <text>
        <r>
          <rPr>
            <b/>
            <sz val="8"/>
            <color indexed="81"/>
            <rFont val="Tahoma"/>
            <family val="2"/>
          </rPr>
          <t>Ratio of indirect tourism employment to direct tourism employment</t>
        </r>
        <r>
          <rPr>
            <sz val="8"/>
            <color indexed="81"/>
            <rFont val="Tahoma"/>
            <family val="2"/>
          </rPr>
          <t xml:space="preserve">
</t>
        </r>
      </text>
    </comment>
    <comment ref="N180" authorId="0">
      <text>
        <r>
          <rPr>
            <b/>
            <sz val="8"/>
            <color indexed="81"/>
            <rFont val="Tahoma"/>
            <family val="2"/>
          </rPr>
          <t>Ratio of indirect tourism employment to direct tourism employment</t>
        </r>
        <r>
          <rPr>
            <sz val="8"/>
            <color indexed="81"/>
            <rFont val="Tahoma"/>
            <family val="2"/>
          </rPr>
          <t xml:space="preserve">
</t>
        </r>
      </text>
    </comment>
    <comment ref="O180" authorId="0">
      <text>
        <r>
          <rPr>
            <b/>
            <sz val="8"/>
            <color indexed="81"/>
            <rFont val="Tahoma"/>
            <family val="2"/>
          </rPr>
          <t>Ratio of indirect tourism employment to direct tourism employment</t>
        </r>
        <r>
          <rPr>
            <sz val="8"/>
            <color indexed="81"/>
            <rFont val="Tahoma"/>
            <family val="2"/>
          </rPr>
          <t xml:space="preserve">
</t>
        </r>
      </text>
    </comment>
    <comment ref="P180" authorId="0">
      <text>
        <r>
          <rPr>
            <b/>
            <sz val="8"/>
            <color indexed="81"/>
            <rFont val="Tahoma"/>
            <family val="2"/>
          </rPr>
          <t>Ratio of indirect tourism employment to direct tourism employment</t>
        </r>
        <r>
          <rPr>
            <sz val="8"/>
            <color indexed="81"/>
            <rFont val="Tahoma"/>
            <family val="2"/>
          </rPr>
          <t xml:space="preserve">
</t>
        </r>
      </text>
    </comment>
    <comment ref="Q180" authorId="0">
      <text>
        <r>
          <rPr>
            <b/>
            <sz val="8"/>
            <color indexed="81"/>
            <rFont val="Tahoma"/>
            <family val="2"/>
          </rPr>
          <t>Ratio of indirect tourism employment to direct tourism employment</t>
        </r>
        <r>
          <rPr>
            <sz val="8"/>
            <color indexed="81"/>
            <rFont val="Tahoma"/>
            <family val="2"/>
          </rPr>
          <t xml:space="preserve">
</t>
        </r>
      </text>
    </comment>
    <comment ref="R180" authorId="0">
      <text>
        <r>
          <rPr>
            <b/>
            <sz val="8"/>
            <color indexed="81"/>
            <rFont val="Tahoma"/>
            <family val="2"/>
          </rPr>
          <t>Ratio of indirect tourism employment to direct tourism employment</t>
        </r>
        <r>
          <rPr>
            <sz val="8"/>
            <color indexed="81"/>
            <rFont val="Tahoma"/>
            <family val="2"/>
          </rPr>
          <t xml:space="preserve">
</t>
        </r>
      </text>
    </comment>
    <comment ref="M181" authorId="0">
      <text>
        <r>
          <rPr>
            <b/>
            <sz val="8"/>
            <color indexed="81"/>
            <rFont val="Tahoma"/>
            <family val="2"/>
          </rPr>
          <t xml:space="preserve">Ratio of accommodation to indirect tourism employment 
</t>
        </r>
        <r>
          <rPr>
            <sz val="8"/>
            <color indexed="81"/>
            <rFont val="Tahoma"/>
            <family val="2"/>
          </rPr>
          <t xml:space="preserve">
</t>
        </r>
      </text>
    </comment>
    <comment ref="N181" authorId="0">
      <text>
        <r>
          <rPr>
            <b/>
            <sz val="8"/>
            <color indexed="81"/>
            <rFont val="Tahoma"/>
            <family val="2"/>
          </rPr>
          <t xml:space="preserve">Ratio of accommodation to indirect tourism employment 
</t>
        </r>
        <r>
          <rPr>
            <sz val="8"/>
            <color indexed="81"/>
            <rFont val="Tahoma"/>
            <family val="2"/>
          </rPr>
          <t xml:space="preserve">
</t>
        </r>
      </text>
    </comment>
    <comment ref="O181" authorId="0">
      <text>
        <r>
          <rPr>
            <b/>
            <sz val="8"/>
            <color indexed="81"/>
            <rFont val="Tahoma"/>
            <family val="2"/>
          </rPr>
          <t xml:space="preserve">Ratio of accommodation to indirect tourism employment 
</t>
        </r>
        <r>
          <rPr>
            <sz val="8"/>
            <color indexed="81"/>
            <rFont val="Tahoma"/>
            <family val="2"/>
          </rPr>
          <t xml:space="preserve">
</t>
        </r>
      </text>
    </comment>
    <comment ref="P181" authorId="0">
      <text>
        <r>
          <rPr>
            <b/>
            <sz val="8"/>
            <color indexed="81"/>
            <rFont val="Tahoma"/>
            <family val="2"/>
          </rPr>
          <t xml:space="preserve">Ratio of accommodation to indirect tourism employment 
</t>
        </r>
        <r>
          <rPr>
            <sz val="8"/>
            <color indexed="81"/>
            <rFont val="Tahoma"/>
            <family val="2"/>
          </rPr>
          <t xml:space="preserve">
</t>
        </r>
      </text>
    </comment>
    <comment ref="Q181" authorId="0">
      <text>
        <r>
          <rPr>
            <b/>
            <sz val="8"/>
            <color indexed="81"/>
            <rFont val="Tahoma"/>
            <family val="2"/>
          </rPr>
          <t xml:space="preserve">Ratio of accommodation to indirect tourism employment 
</t>
        </r>
        <r>
          <rPr>
            <sz val="8"/>
            <color indexed="81"/>
            <rFont val="Tahoma"/>
            <family val="2"/>
          </rPr>
          <t xml:space="preserve">
</t>
        </r>
      </text>
    </comment>
    <comment ref="R181" authorId="0">
      <text>
        <r>
          <rPr>
            <b/>
            <sz val="8"/>
            <color indexed="81"/>
            <rFont val="Tahoma"/>
            <family val="2"/>
          </rPr>
          <t xml:space="preserve">Ratio of accommodation to indirect tourism employment 
</t>
        </r>
        <r>
          <rPr>
            <sz val="8"/>
            <color indexed="81"/>
            <rFont val="Tahoma"/>
            <family val="2"/>
          </rPr>
          <t xml:space="preserve">
</t>
        </r>
      </text>
    </comment>
    <comment ref="M182" authorId="0">
      <text>
        <r>
          <rPr>
            <b/>
            <sz val="8"/>
            <color indexed="81"/>
            <rFont val="Tahoma"/>
            <family val="2"/>
          </rPr>
          <t>Ratio of entertainment &amp; sightseeing to indirect tourism employment</t>
        </r>
        <r>
          <rPr>
            <sz val="8"/>
            <color indexed="81"/>
            <rFont val="Tahoma"/>
            <family val="2"/>
          </rPr>
          <t xml:space="preserve">
</t>
        </r>
      </text>
    </comment>
    <comment ref="N182" authorId="0">
      <text>
        <r>
          <rPr>
            <b/>
            <sz val="8"/>
            <color indexed="81"/>
            <rFont val="Tahoma"/>
            <family val="2"/>
          </rPr>
          <t>Ratio of entertainment &amp; sightseeing to indirect tourism employment</t>
        </r>
        <r>
          <rPr>
            <sz val="8"/>
            <color indexed="81"/>
            <rFont val="Tahoma"/>
            <family val="2"/>
          </rPr>
          <t xml:space="preserve">
</t>
        </r>
      </text>
    </comment>
    <comment ref="O182" authorId="0">
      <text>
        <r>
          <rPr>
            <b/>
            <sz val="8"/>
            <color indexed="81"/>
            <rFont val="Tahoma"/>
            <family val="2"/>
          </rPr>
          <t>Ratio of entertainment &amp; sightseeing to indirect tourism employment</t>
        </r>
        <r>
          <rPr>
            <sz val="8"/>
            <color indexed="81"/>
            <rFont val="Tahoma"/>
            <family val="2"/>
          </rPr>
          <t xml:space="preserve">
</t>
        </r>
      </text>
    </comment>
    <comment ref="P182" authorId="0">
      <text>
        <r>
          <rPr>
            <b/>
            <sz val="8"/>
            <color indexed="81"/>
            <rFont val="Tahoma"/>
            <family val="2"/>
          </rPr>
          <t>Ratio of entertainment &amp; sightseeing to indirect tourism employment</t>
        </r>
        <r>
          <rPr>
            <sz val="8"/>
            <color indexed="81"/>
            <rFont val="Tahoma"/>
            <family val="2"/>
          </rPr>
          <t xml:space="preserve">
</t>
        </r>
      </text>
    </comment>
    <comment ref="Q182" authorId="0">
      <text>
        <r>
          <rPr>
            <b/>
            <sz val="8"/>
            <color indexed="81"/>
            <rFont val="Tahoma"/>
            <family val="2"/>
          </rPr>
          <t>Ratio of entertainment &amp; sightseeing to indirect tourism employment</t>
        </r>
        <r>
          <rPr>
            <sz val="8"/>
            <color indexed="81"/>
            <rFont val="Tahoma"/>
            <family val="2"/>
          </rPr>
          <t xml:space="preserve">
</t>
        </r>
      </text>
    </comment>
    <comment ref="R182" authorId="0">
      <text>
        <r>
          <rPr>
            <b/>
            <sz val="8"/>
            <color indexed="81"/>
            <rFont val="Tahoma"/>
            <family val="2"/>
          </rPr>
          <t>Ratio of entertainment &amp; sightseeing to indirect tourism employment</t>
        </r>
        <r>
          <rPr>
            <sz val="8"/>
            <color indexed="81"/>
            <rFont val="Tahoma"/>
            <family val="2"/>
          </rPr>
          <t xml:space="preserve">
</t>
        </r>
      </text>
    </comment>
    <comment ref="M183" authorId="0">
      <text>
        <r>
          <rPr>
            <b/>
            <sz val="8"/>
            <color indexed="81"/>
            <rFont val="Tahoma"/>
            <family val="2"/>
          </rPr>
          <t>Ratio of foodservice to indirect tourism employment</t>
        </r>
      </text>
    </comment>
    <comment ref="N183" authorId="0">
      <text>
        <r>
          <rPr>
            <b/>
            <sz val="8"/>
            <color indexed="81"/>
            <rFont val="Tahoma"/>
            <family val="2"/>
          </rPr>
          <t>Ratio of foodservice to indirect tourism employment</t>
        </r>
      </text>
    </comment>
    <comment ref="O183" authorId="0">
      <text>
        <r>
          <rPr>
            <b/>
            <sz val="8"/>
            <color indexed="81"/>
            <rFont val="Tahoma"/>
            <family val="2"/>
          </rPr>
          <t>Ratio of foodservice to indirect tourism employment</t>
        </r>
      </text>
    </comment>
    <comment ref="P183" authorId="0">
      <text>
        <r>
          <rPr>
            <b/>
            <sz val="8"/>
            <color indexed="81"/>
            <rFont val="Tahoma"/>
            <family val="2"/>
          </rPr>
          <t>Ratio of foodservice to indirect tourism employment</t>
        </r>
      </text>
    </comment>
    <comment ref="Q183" authorId="0">
      <text>
        <r>
          <rPr>
            <b/>
            <sz val="8"/>
            <color indexed="81"/>
            <rFont val="Tahoma"/>
            <family val="2"/>
          </rPr>
          <t>Ratio of foodservice to indirect tourism employment</t>
        </r>
      </text>
    </comment>
    <comment ref="R183" authorId="0">
      <text>
        <r>
          <rPr>
            <b/>
            <sz val="8"/>
            <color indexed="81"/>
            <rFont val="Tahoma"/>
            <family val="2"/>
          </rPr>
          <t>Ratio of foodservice to indirect tourism employment</t>
        </r>
      </text>
    </comment>
    <comment ref="M184" authorId="0">
      <text>
        <r>
          <rPr>
            <b/>
            <sz val="8"/>
            <color indexed="81"/>
            <rFont val="Tahoma"/>
            <family val="2"/>
          </rPr>
          <t>Ratio of retail to indirect tourism employment</t>
        </r>
      </text>
    </comment>
    <comment ref="N184" authorId="0">
      <text>
        <r>
          <rPr>
            <b/>
            <sz val="8"/>
            <color indexed="81"/>
            <rFont val="Tahoma"/>
            <family val="2"/>
          </rPr>
          <t>Ratio of retail to indirect tourism employment</t>
        </r>
      </text>
    </comment>
    <comment ref="O184" authorId="0">
      <text>
        <r>
          <rPr>
            <b/>
            <sz val="8"/>
            <color indexed="81"/>
            <rFont val="Tahoma"/>
            <family val="2"/>
          </rPr>
          <t>Ratio of retail to indirect tourism employment</t>
        </r>
      </text>
    </comment>
    <comment ref="P184" authorId="0">
      <text>
        <r>
          <rPr>
            <b/>
            <sz val="8"/>
            <color indexed="81"/>
            <rFont val="Tahoma"/>
            <family val="2"/>
          </rPr>
          <t>Ratio of retail to indirect tourism employment</t>
        </r>
      </text>
    </comment>
    <comment ref="Q184" authorId="0">
      <text>
        <r>
          <rPr>
            <b/>
            <sz val="8"/>
            <color indexed="81"/>
            <rFont val="Tahoma"/>
            <family val="2"/>
          </rPr>
          <t>Ratio of retail to indirect tourism employment</t>
        </r>
      </text>
    </comment>
    <comment ref="R184" authorId="0">
      <text>
        <r>
          <rPr>
            <b/>
            <sz val="8"/>
            <color indexed="81"/>
            <rFont val="Tahoma"/>
            <family val="2"/>
          </rPr>
          <t>Ratio of retail to indirect tourism employment</t>
        </r>
      </text>
    </comment>
    <comment ref="M185" authorId="0">
      <text>
        <r>
          <rPr>
            <b/>
            <sz val="8"/>
            <color indexed="81"/>
            <rFont val="Tahoma"/>
            <family val="2"/>
          </rPr>
          <t>Ratio of transportation to indirect tourism employment</t>
        </r>
        <r>
          <rPr>
            <sz val="8"/>
            <color indexed="81"/>
            <rFont val="Tahoma"/>
            <family val="2"/>
          </rPr>
          <t xml:space="preserve">
</t>
        </r>
      </text>
    </comment>
    <comment ref="N185" authorId="0">
      <text>
        <r>
          <rPr>
            <b/>
            <sz val="8"/>
            <color indexed="81"/>
            <rFont val="Tahoma"/>
            <family val="2"/>
          </rPr>
          <t>Ratio of transportation to indirect tourism employment</t>
        </r>
        <r>
          <rPr>
            <sz val="8"/>
            <color indexed="81"/>
            <rFont val="Tahoma"/>
            <family val="2"/>
          </rPr>
          <t xml:space="preserve">
</t>
        </r>
      </text>
    </comment>
    <comment ref="O185" authorId="0">
      <text>
        <r>
          <rPr>
            <b/>
            <sz val="8"/>
            <color indexed="81"/>
            <rFont val="Tahoma"/>
            <family val="2"/>
          </rPr>
          <t>Ratio of transportation to indirect tourism employment</t>
        </r>
        <r>
          <rPr>
            <sz val="8"/>
            <color indexed="81"/>
            <rFont val="Tahoma"/>
            <family val="2"/>
          </rPr>
          <t xml:space="preserve">
</t>
        </r>
      </text>
    </comment>
    <comment ref="P185" authorId="0">
      <text>
        <r>
          <rPr>
            <b/>
            <sz val="8"/>
            <color indexed="81"/>
            <rFont val="Tahoma"/>
            <family val="2"/>
          </rPr>
          <t>Ratio of transportation to indirect tourism employment</t>
        </r>
        <r>
          <rPr>
            <sz val="8"/>
            <color indexed="81"/>
            <rFont val="Tahoma"/>
            <family val="2"/>
          </rPr>
          <t xml:space="preserve">
</t>
        </r>
      </text>
    </comment>
    <comment ref="Q185" authorId="0">
      <text>
        <r>
          <rPr>
            <b/>
            <sz val="8"/>
            <color indexed="81"/>
            <rFont val="Tahoma"/>
            <family val="2"/>
          </rPr>
          <t>Ratio of transportation to indirect tourism employment</t>
        </r>
        <r>
          <rPr>
            <sz val="8"/>
            <color indexed="81"/>
            <rFont val="Tahoma"/>
            <family val="2"/>
          </rPr>
          <t xml:space="preserve">
</t>
        </r>
      </text>
    </comment>
    <comment ref="R185" authorId="0">
      <text>
        <r>
          <rPr>
            <b/>
            <sz val="8"/>
            <color indexed="81"/>
            <rFont val="Tahoma"/>
            <family val="2"/>
          </rPr>
          <t>Ratio of transportation to indirect tourism employment</t>
        </r>
        <r>
          <rPr>
            <sz val="8"/>
            <color indexed="81"/>
            <rFont val="Tahoma"/>
            <family val="2"/>
          </rPr>
          <t xml:space="preserve">
</t>
        </r>
      </text>
    </comment>
    <comment ref="M186" authorId="0">
      <text>
        <r>
          <rPr>
            <b/>
            <sz val="8"/>
            <color indexed="81"/>
            <rFont val="Tahoma"/>
            <family val="2"/>
          </rPr>
          <t>Ratio of travel intermediaries
to indirect tourism employment</t>
        </r>
        <r>
          <rPr>
            <sz val="8"/>
            <color indexed="81"/>
            <rFont val="Tahoma"/>
            <family val="2"/>
          </rPr>
          <t xml:space="preserve">
</t>
        </r>
      </text>
    </comment>
    <comment ref="N186" authorId="0">
      <text>
        <r>
          <rPr>
            <b/>
            <sz val="8"/>
            <color indexed="81"/>
            <rFont val="Tahoma"/>
            <family val="2"/>
          </rPr>
          <t>Ratio of travel intermediaries
to indirect tourism employment</t>
        </r>
        <r>
          <rPr>
            <sz val="8"/>
            <color indexed="81"/>
            <rFont val="Tahoma"/>
            <family val="2"/>
          </rPr>
          <t xml:space="preserve">
</t>
        </r>
      </text>
    </comment>
    <comment ref="O186" authorId="0">
      <text>
        <r>
          <rPr>
            <b/>
            <sz val="8"/>
            <color indexed="81"/>
            <rFont val="Tahoma"/>
            <family val="2"/>
          </rPr>
          <t>Ratio of travel intermediaries
to indirect tourism employment</t>
        </r>
        <r>
          <rPr>
            <sz val="8"/>
            <color indexed="81"/>
            <rFont val="Tahoma"/>
            <family val="2"/>
          </rPr>
          <t xml:space="preserve">
</t>
        </r>
      </text>
    </comment>
    <comment ref="P186" authorId="0">
      <text>
        <r>
          <rPr>
            <b/>
            <sz val="8"/>
            <color indexed="81"/>
            <rFont val="Tahoma"/>
            <family val="2"/>
          </rPr>
          <t>Ratio of travel intermediaries
to indirect tourism employment</t>
        </r>
        <r>
          <rPr>
            <sz val="8"/>
            <color indexed="81"/>
            <rFont val="Tahoma"/>
            <family val="2"/>
          </rPr>
          <t xml:space="preserve">
</t>
        </r>
      </text>
    </comment>
    <comment ref="Q186" authorId="0">
      <text>
        <r>
          <rPr>
            <b/>
            <sz val="8"/>
            <color indexed="81"/>
            <rFont val="Tahoma"/>
            <family val="2"/>
          </rPr>
          <t>Ratio of travel intermediaries
to indirect tourism employment</t>
        </r>
        <r>
          <rPr>
            <sz val="8"/>
            <color indexed="81"/>
            <rFont val="Tahoma"/>
            <family val="2"/>
          </rPr>
          <t xml:space="preserve">
</t>
        </r>
      </text>
    </comment>
    <comment ref="R186" authorId="0">
      <text>
        <r>
          <rPr>
            <b/>
            <sz val="8"/>
            <color indexed="81"/>
            <rFont val="Tahoma"/>
            <family val="2"/>
          </rPr>
          <t>Ratio of travel intermediaries
to indirect tourism employment</t>
        </r>
        <r>
          <rPr>
            <sz val="8"/>
            <color indexed="81"/>
            <rFont val="Tahoma"/>
            <family val="2"/>
          </rPr>
          <t xml:space="preserve">
</t>
        </r>
      </text>
    </comment>
    <comment ref="M187" authorId="0">
      <text>
        <r>
          <rPr>
            <b/>
            <sz val="8"/>
            <color indexed="81"/>
            <rFont val="Tahoma"/>
            <family val="2"/>
          </rPr>
          <t>Ratio of others to indirect tourism employment</t>
        </r>
      </text>
    </comment>
    <comment ref="N187" authorId="0">
      <text>
        <r>
          <rPr>
            <b/>
            <sz val="8"/>
            <color indexed="81"/>
            <rFont val="Tahoma"/>
            <family val="2"/>
          </rPr>
          <t>Ratio of others to indirect tourism employment</t>
        </r>
      </text>
    </comment>
    <comment ref="O187" authorId="0">
      <text>
        <r>
          <rPr>
            <b/>
            <sz val="8"/>
            <color indexed="81"/>
            <rFont val="Tahoma"/>
            <family val="2"/>
          </rPr>
          <t>Ratio of others to indirect tourism employment</t>
        </r>
      </text>
    </comment>
    <comment ref="P187" authorId="0">
      <text>
        <r>
          <rPr>
            <b/>
            <sz val="8"/>
            <color indexed="81"/>
            <rFont val="Tahoma"/>
            <family val="2"/>
          </rPr>
          <t>Ratio of others to indirect tourism employment</t>
        </r>
      </text>
    </comment>
    <comment ref="Q187" authorId="0">
      <text>
        <r>
          <rPr>
            <b/>
            <sz val="8"/>
            <color indexed="81"/>
            <rFont val="Tahoma"/>
            <family val="2"/>
          </rPr>
          <t>Ratio of others to indirect tourism employment</t>
        </r>
      </text>
    </comment>
    <comment ref="R187" authorId="0">
      <text>
        <r>
          <rPr>
            <b/>
            <sz val="8"/>
            <color indexed="81"/>
            <rFont val="Tahoma"/>
            <family val="2"/>
          </rPr>
          <t>Ratio of others to indirect tourism employment</t>
        </r>
      </text>
    </comment>
    <comment ref="M190" authorId="0">
      <text>
        <r>
          <rPr>
            <b/>
            <sz val="8"/>
            <color indexed="81"/>
            <rFont val="Tahoma"/>
            <family val="2"/>
          </rPr>
          <t>ratio of accommodation to transportation</t>
        </r>
        <r>
          <rPr>
            <sz val="8"/>
            <color indexed="81"/>
            <rFont val="Tahoma"/>
            <family val="2"/>
          </rPr>
          <t xml:space="preserve">
</t>
        </r>
      </text>
    </comment>
    <comment ref="N190" authorId="0">
      <text>
        <r>
          <rPr>
            <b/>
            <sz val="8"/>
            <color indexed="81"/>
            <rFont val="Tahoma"/>
            <family val="2"/>
          </rPr>
          <t>ratio of accommodation to transportation</t>
        </r>
        <r>
          <rPr>
            <sz val="8"/>
            <color indexed="81"/>
            <rFont val="Tahoma"/>
            <family val="2"/>
          </rPr>
          <t xml:space="preserve">
</t>
        </r>
      </text>
    </comment>
    <comment ref="O190" authorId="0">
      <text>
        <r>
          <rPr>
            <b/>
            <sz val="8"/>
            <color indexed="81"/>
            <rFont val="Tahoma"/>
            <family val="2"/>
          </rPr>
          <t>ratio of accommodation to transportation</t>
        </r>
        <r>
          <rPr>
            <sz val="8"/>
            <color indexed="81"/>
            <rFont val="Tahoma"/>
            <family val="2"/>
          </rPr>
          <t xml:space="preserve">
</t>
        </r>
      </text>
    </comment>
    <comment ref="P190" authorId="0">
      <text>
        <r>
          <rPr>
            <b/>
            <sz val="8"/>
            <color indexed="81"/>
            <rFont val="Tahoma"/>
            <family val="2"/>
          </rPr>
          <t>ratio of accommodation to transportation</t>
        </r>
        <r>
          <rPr>
            <sz val="8"/>
            <color indexed="81"/>
            <rFont val="Tahoma"/>
            <family val="2"/>
          </rPr>
          <t xml:space="preserve">
</t>
        </r>
      </text>
    </comment>
    <comment ref="Q190" authorId="0">
      <text>
        <r>
          <rPr>
            <b/>
            <sz val="8"/>
            <color indexed="81"/>
            <rFont val="Tahoma"/>
            <family val="2"/>
          </rPr>
          <t>ratio of accommodation to transportation</t>
        </r>
        <r>
          <rPr>
            <sz val="8"/>
            <color indexed="81"/>
            <rFont val="Tahoma"/>
            <family val="2"/>
          </rPr>
          <t xml:space="preserve">
</t>
        </r>
      </text>
    </comment>
    <comment ref="R190" authorId="0">
      <text>
        <r>
          <rPr>
            <b/>
            <sz val="8"/>
            <color indexed="81"/>
            <rFont val="Tahoma"/>
            <family val="2"/>
          </rPr>
          <t>ratio of accommodation to transportation</t>
        </r>
        <r>
          <rPr>
            <sz val="8"/>
            <color indexed="81"/>
            <rFont val="Tahoma"/>
            <family val="2"/>
          </rPr>
          <t xml:space="preserve">
</t>
        </r>
      </text>
    </comment>
    <comment ref="M191" authorId="0">
      <text>
        <r>
          <rPr>
            <b/>
            <sz val="8"/>
            <color indexed="81"/>
            <rFont val="Tahoma"/>
            <family val="2"/>
          </rPr>
          <t>ratio of entertainment &amp; sightseeing to transportation</t>
        </r>
        <r>
          <rPr>
            <sz val="8"/>
            <color indexed="81"/>
            <rFont val="Tahoma"/>
            <family val="2"/>
          </rPr>
          <t xml:space="preserve">
</t>
        </r>
      </text>
    </comment>
    <comment ref="N191" authorId="0">
      <text>
        <r>
          <rPr>
            <b/>
            <sz val="8"/>
            <color indexed="81"/>
            <rFont val="Tahoma"/>
            <family val="2"/>
          </rPr>
          <t>ratio of entertainment &amp; sightseeing to transportation</t>
        </r>
        <r>
          <rPr>
            <sz val="8"/>
            <color indexed="81"/>
            <rFont val="Tahoma"/>
            <family val="2"/>
          </rPr>
          <t xml:space="preserve">
</t>
        </r>
      </text>
    </comment>
    <comment ref="O191" authorId="0">
      <text>
        <r>
          <rPr>
            <b/>
            <sz val="8"/>
            <color indexed="81"/>
            <rFont val="Tahoma"/>
            <family val="2"/>
          </rPr>
          <t>ratio of entertainment &amp; sightseeing to transportation</t>
        </r>
        <r>
          <rPr>
            <sz val="8"/>
            <color indexed="81"/>
            <rFont val="Tahoma"/>
            <family val="2"/>
          </rPr>
          <t xml:space="preserve">
</t>
        </r>
      </text>
    </comment>
    <comment ref="P191" authorId="0">
      <text>
        <r>
          <rPr>
            <b/>
            <sz val="8"/>
            <color indexed="81"/>
            <rFont val="Tahoma"/>
            <family val="2"/>
          </rPr>
          <t>ratio of entertainment &amp; sightseeing to transportation</t>
        </r>
        <r>
          <rPr>
            <sz val="8"/>
            <color indexed="81"/>
            <rFont val="Tahoma"/>
            <family val="2"/>
          </rPr>
          <t xml:space="preserve">
</t>
        </r>
      </text>
    </comment>
    <comment ref="Q191" authorId="0">
      <text>
        <r>
          <rPr>
            <b/>
            <sz val="8"/>
            <color indexed="81"/>
            <rFont val="Tahoma"/>
            <family val="2"/>
          </rPr>
          <t>ratio of entertainment &amp; sightseeing to transportation</t>
        </r>
        <r>
          <rPr>
            <sz val="8"/>
            <color indexed="81"/>
            <rFont val="Tahoma"/>
            <family val="2"/>
          </rPr>
          <t xml:space="preserve">
</t>
        </r>
      </text>
    </comment>
    <comment ref="R191" authorId="0">
      <text>
        <r>
          <rPr>
            <b/>
            <sz val="8"/>
            <color indexed="81"/>
            <rFont val="Tahoma"/>
            <family val="2"/>
          </rPr>
          <t>ratio of entertainment &amp; sightseeing to transportation</t>
        </r>
        <r>
          <rPr>
            <sz val="8"/>
            <color indexed="81"/>
            <rFont val="Tahoma"/>
            <family val="2"/>
          </rPr>
          <t xml:space="preserve">
</t>
        </r>
      </text>
    </comment>
    <comment ref="M192" authorId="0">
      <text>
        <r>
          <rPr>
            <b/>
            <sz val="8"/>
            <color indexed="81"/>
            <rFont val="Tahoma"/>
            <family val="2"/>
          </rPr>
          <t>ratio of foodservice to transportation</t>
        </r>
        <r>
          <rPr>
            <sz val="8"/>
            <color indexed="81"/>
            <rFont val="Tahoma"/>
            <family val="2"/>
          </rPr>
          <t xml:space="preserve">
</t>
        </r>
      </text>
    </comment>
    <comment ref="N192" authorId="0">
      <text>
        <r>
          <rPr>
            <b/>
            <sz val="8"/>
            <color indexed="81"/>
            <rFont val="Tahoma"/>
            <family val="2"/>
          </rPr>
          <t>ratio of foodservice to transportation</t>
        </r>
        <r>
          <rPr>
            <sz val="8"/>
            <color indexed="81"/>
            <rFont val="Tahoma"/>
            <family val="2"/>
          </rPr>
          <t xml:space="preserve">
</t>
        </r>
      </text>
    </comment>
    <comment ref="O192" authorId="0">
      <text>
        <r>
          <rPr>
            <b/>
            <sz val="8"/>
            <color indexed="81"/>
            <rFont val="Tahoma"/>
            <family val="2"/>
          </rPr>
          <t>ratio of foodservice to transportation</t>
        </r>
        <r>
          <rPr>
            <sz val="8"/>
            <color indexed="81"/>
            <rFont val="Tahoma"/>
            <family val="2"/>
          </rPr>
          <t xml:space="preserve">
</t>
        </r>
      </text>
    </comment>
    <comment ref="P192" authorId="0">
      <text>
        <r>
          <rPr>
            <b/>
            <sz val="8"/>
            <color indexed="81"/>
            <rFont val="Tahoma"/>
            <family val="2"/>
          </rPr>
          <t>ratio of foodservice to transportation</t>
        </r>
        <r>
          <rPr>
            <sz val="8"/>
            <color indexed="81"/>
            <rFont val="Tahoma"/>
            <family val="2"/>
          </rPr>
          <t xml:space="preserve">
</t>
        </r>
      </text>
    </comment>
    <comment ref="Q192" authorId="0">
      <text>
        <r>
          <rPr>
            <b/>
            <sz val="8"/>
            <color indexed="81"/>
            <rFont val="Tahoma"/>
            <family val="2"/>
          </rPr>
          <t>ratio of foodservice to transportation</t>
        </r>
        <r>
          <rPr>
            <sz val="8"/>
            <color indexed="81"/>
            <rFont val="Tahoma"/>
            <family val="2"/>
          </rPr>
          <t xml:space="preserve">
</t>
        </r>
      </text>
    </comment>
    <comment ref="R192" authorId="0">
      <text>
        <r>
          <rPr>
            <b/>
            <sz val="8"/>
            <color indexed="81"/>
            <rFont val="Tahoma"/>
            <family val="2"/>
          </rPr>
          <t>ratio of foodservice to transportation</t>
        </r>
        <r>
          <rPr>
            <sz val="8"/>
            <color indexed="81"/>
            <rFont val="Tahoma"/>
            <family val="2"/>
          </rPr>
          <t xml:space="preserve">
</t>
        </r>
      </text>
    </comment>
    <comment ref="M193" authorId="0">
      <text>
        <r>
          <rPr>
            <b/>
            <sz val="8"/>
            <color indexed="81"/>
            <rFont val="Tahoma"/>
            <family val="2"/>
          </rPr>
          <t>ratio of retail to transportation</t>
        </r>
        <r>
          <rPr>
            <sz val="8"/>
            <color indexed="81"/>
            <rFont val="Tahoma"/>
            <family val="2"/>
          </rPr>
          <t xml:space="preserve">
</t>
        </r>
      </text>
    </comment>
    <comment ref="N193" authorId="0">
      <text>
        <r>
          <rPr>
            <b/>
            <sz val="8"/>
            <color indexed="81"/>
            <rFont val="Tahoma"/>
            <family val="2"/>
          </rPr>
          <t>ratio of retail to transportation</t>
        </r>
        <r>
          <rPr>
            <sz val="8"/>
            <color indexed="81"/>
            <rFont val="Tahoma"/>
            <family val="2"/>
          </rPr>
          <t xml:space="preserve">
</t>
        </r>
      </text>
    </comment>
    <comment ref="O193" authorId="0">
      <text>
        <r>
          <rPr>
            <b/>
            <sz val="8"/>
            <color indexed="81"/>
            <rFont val="Tahoma"/>
            <family val="2"/>
          </rPr>
          <t>ratio of retail to transportation</t>
        </r>
        <r>
          <rPr>
            <sz val="8"/>
            <color indexed="81"/>
            <rFont val="Tahoma"/>
            <family val="2"/>
          </rPr>
          <t xml:space="preserve">
</t>
        </r>
      </text>
    </comment>
    <comment ref="P193" authorId="0">
      <text>
        <r>
          <rPr>
            <b/>
            <sz val="8"/>
            <color indexed="81"/>
            <rFont val="Tahoma"/>
            <family val="2"/>
          </rPr>
          <t>ratio of retail to transportation</t>
        </r>
        <r>
          <rPr>
            <sz val="8"/>
            <color indexed="81"/>
            <rFont val="Tahoma"/>
            <family val="2"/>
          </rPr>
          <t xml:space="preserve">
</t>
        </r>
      </text>
    </comment>
    <comment ref="Q193" authorId="0">
      <text>
        <r>
          <rPr>
            <b/>
            <sz val="8"/>
            <color indexed="81"/>
            <rFont val="Tahoma"/>
            <family val="2"/>
          </rPr>
          <t>ratio of retail to transportation</t>
        </r>
        <r>
          <rPr>
            <sz val="8"/>
            <color indexed="81"/>
            <rFont val="Tahoma"/>
            <family val="2"/>
          </rPr>
          <t xml:space="preserve">
</t>
        </r>
      </text>
    </comment>
    <comment ref="R193" authorId="0">
      <text>
        <r>
          <rPr>
            <b/>
            <sz val="8"/>
            <color indexed="81"/>
            <rFont val="Tahoma"/>
            <family val="2"/>
          </rPr>
          <t>ratio of retail to transportation</t>
        </r>
        <r>
          <rPr>
            <sz val="8"/>
            <color indexed="81"/>
            <rFont val="Tahoma"/>
            <family val="2"/>
          </rPr>
          <t xml:space="preserve">
</t>
        </r>
      </text>
    </comment>
    <comment ref="M194" authorId="0">
      <text>
        <r>
          <rPr>
            <b/>
            <sz val="8"/>
            <color indexed="81"/>
            <rFont val="Tahoma"/>
            <family val="2"/>
          </rPr>
          <t>Salaries for transportation is usually available from national statistics, labour authority or ILO, acroos countries. So, it is assumed that the same should be available for the country to be benchmarked and is considered as the base for benchmarking the ratio of the salaries of any other category to the salary of transportation in the benchmarking countries.</t>
        </r>
        <r>
          <rPr>
            <sz val="8"/>
            <color indexed="81"/>
            <rFont val="Tahoma"/>
            <family val="2"/>
          </rPr>
          <t xml:space="preserve">
</t>
        </r>
      </text>
    </comment>
    <comment ref="N194" authorId="0">
      <text>
        <r>
          <rPr>
            <b/>
            <sz val="8"/>
            <color indexed="81"/>
            <rFont val="Tahoma"/>
            <family val="2"/>
          </rPr>
          <t>Salaries for transportation is usually available from national statistics, labour authority or ILO, acroos countries. So, it is assumed that the same should be available for the country to be benchmarked and is considered as the base for benchmarking the ratio of the salaries of any other category to the salary of transportation in the benchmarking countries.</t>
        </r>
        <r>
          <rPr>
            <sz val="8"/>
            <color indexed="81"/>
            <rFont val="Tahoma"/>
            <family val="2"/>
          </rPr>
          <t xml:space="preserve">
</t>
        </r>
      </text>
    </comment>
    <comment ref="O194" authorId="0">
      <text>
        <r>
          <rPr>
            <b/>
            <sz val="8"/>
            <color indexed="81"/>
            <rFont val="Tahoma"/>
            <family val="2"/>
          </rPr>
          <t>Salaries for transportation is usually available from national statistics, labour authority or ILO, acroos countries. So, it is assumed that the same should be available for the country to be benchmarked and is considered as the base for benchmarking the ratio of the salaries of any other category to the salary of transportation in the benchmarking countries.</t>
        </r>
        <r>
          <rPr>
            <sz val="8"/>
            <color indexed="81"/>
            <rFont val="Tahoma"/>
            <family val="2"/>
          </rPr>
          <t xml:space="preserve">
</t>
        </r>
      </text>
    </comment>
    <comment ref="P194" authorId="0">
      <text>
        <r>
          <rPr>
            <b/>
            <sz val="8"/>
            <color indexed="81"/>
            <rFont val="Tahoma"/>
            <family val="2"/>
          </rPr>
          <t>Salaries for transportation is usually available from national statistics, labour authority or ILO, acroos countries. So, it is assumed that the same should be available for the country to be benchmarked and is considered as the base for benchmarking the ratio of the salaries of any other category to the salary of transportation in the benchmarking countries.</t>
        </r>
        <r>
          <rPr>
            <sz val="8"/>
            <color indexed="81"/>
            <rFont val="Tahoma"/>
            <family val="2"/>
          </rPr>
          <t xml:space="preserve">
</t>
        </r>
      </text>
    </comment>
    <comment ref="Q194" authorId="0">
      <text>
        <r>
          <rPr>
            <b/>
            <sz val="8"/>
            <color indexed="81"/>
            <rFont val="Tahoma"/>
            <family val="2"/>
          </rPr>
          <t>Salaries for transportation is usually available from national statistics, labour authority or ILO, acroos countries. So, it is assumed that the same should be available for the country to be benchmarked and is considered as the base for benchmarking the ratio of the salaries of any other category to the salary of transportation in the benchmarking countries.</t>
        </r>
        <r>
          <rPr>
            <sz val="8"/>
            <color indexed="81"/>
            <rFont val="Tahoma"/>
            <family val="2"/>
          </rPr>
          <t xml:space="preserve">
</t>
        </r>
      </text>
    </comment>
    <comment ref="R194" authorId="0">
      <text>
        <r>
          <rPr>
            <b/>
            <sz val="8"/>
            <color indexed="81"/>
            <rFont val="Tahoma"/>
            <family val="2"/>
          </rPr>
          <t>Salaries for transportation is usually available from national statistics, labour authority or ILO, acroos countries. So, it is assumed that the same should be available for the country to be benchmarked and is considered as the base for benchmarking the ratio of the salaries of any other category to the salary of transportation in the benchmarking countries.</t>
        </r>
        <r>
          <rPr>
            <sz val="8"/>
            <color indexed="81"/>
            <rFont val="Tahoma"/>
            <family val="2"/>
          </rPr>
          <t xml:space="preserve">
</t>
        </r>
      </text>
    </comment>
    <comment ref="M195" authorId="0">
      <text>
        <r>
          <rPr>
            <b/>
            <sz val="8"/>
            <color indexed="81"/>
            <rFont val="Tahoma"/>
            <family val="2"/>
          </rPr>
          <t>ratio of travel intermediaries to transportation</t>
        </r>
        <r>
          <rPr>
            <sz val="8"/>
            <color indexed="81"/>
            <rFont val="Tahoma"/>
            <family val="2"/>
          </rPr>
          <t xml:space="preserve">
</t>
        </r>
      </text>
    </comment>
    <comment ref="N195" authorId="0">
      <text>
        <r>
          <rPr>
            <b/>
            <sz val="8"/>
            <color indexed="81"/>
            <rFont val="Tahoma"/>
            <family val="2"/>
          </rPr>
          <t>ratio of travel intermediaries to transportation</t>
        </r>
        <r>
          <rPr>
            <sz val="8"/>
            <color indexed="81"/>
            <rFont val="Tahoma"/>
            <family val="2"/>
          </rPr>
          <t xml:space="preserve">
</t>
        </r>
      </text>
    </comment>
    <comment ref="O195" authorId="0">
      <text>
        <r>
          <rPr>
            <b/>
            <sz val="8"/>
            <color indexed="81"/>
            <rFont val="Tahoma"/>
            <family val="2"/>
          </rPr>
          <t>ratio of travel intermediaries to transportation</t>
        </r>
        <r>
          <rPr>
            <sz val="8"/>
            <color indexed="81"/>
            <rFont val="Tahoma"/>
            <family val="2"/>
          </rPr>
          <t xml:space="preserve">
</t>
        </r>
      </text>
    </comment>
    <comment ref="P195" authorId="0">
      <text>
        <r>
          <rPr>
            <b/>
            <sz val="8"/>
            <color indexed="81"/>
            <rFont val="Tahoma"/>
            <family val="2"/>
          </rPr>
          <t>ratio of travel intermediaries to transportation</t>
        </r>
        <r>
          <rPr>
            <sz val="8"/>
            <color indexed="81"/>
            <rFont val="Tahoma"/>
            <family val="2"/>
          </rPr>
          <t xml:space="preserve">
</t>
        </r>
      </text>
    </comment>
    <comment ref="Q195" authorId="0">
      <text>
        <r>
          <rPr>
            <b/>
            <sz val="8"/>
            <color indexed="81"/>
            <rFont val="Tahoma"/>
            <family val="2"/>
          </rPr>
          <t>ratio of travel intermediaries to transportation</t>
        </r>
        <r>
          <rPr>
            <sz val="8"/>
            <color indexed="81"/>
            <rFont val="Tahoma"/>
            <family val="2"/>
          </rPr>
          <t xml:space="preserve">
</t>
        </r>
      </text>
    </comment>
    <comment ref="R195" authorId="0">
      <text>
        <r>
          <rPr>
            <b/>
            <sz val="8"/>
            <color indexed="81"/>
            <rFont val="Tahoma"/>
            <family val="2"/>
          </rPr>
          <t>ratio of travel intermediaries to transportation</t>
        </r>
        <r>
          <rPr>
            <sz val="8"/>
            <color indexed="81"/>
            <rFont val="Tahoma"/>
            <family val="2"/>
          </rPr>
          <t xml:space="preserve">
</t>
        </r>
      </text>
    </comment>
    <comment ref="M196" authorId="0">
      <text>
        <r>
          <rPr>
            <b/>
            <sz val="8"/>
            <color indexed="81"/>
            <rFont val="Tahoma"/>
            <family val="2"/>
          </rPr>
          <t>ratio of others to transportation</t>
        </r>
        <r>
          <rPr>
            <sz val="8"/>
            <color indexed="81"/>
            <rFont val="Tahoma"/>
            <family val="2"/>
          </rPr>
          <t xml:space="preserve">
</t>
        </r>
      </text>
    </comment>
    <comment ref="N196" authorId="0">
      <text>
        <r>
          <rPr>
            <b/>
            <sz val="8"/>
            <color indexed="81"/>
            <rFont val="Tahoma"/>
            <family val="2"/>
          </rPr>
          <t>ratio of others to transportation</t>
        </r>
        <r>
          <rPr>
            <sz val="8"/>
            <color indexed="81"/>
            <rFont val="Tahoma"/>
            <family val="2"/>
          </rPr>
          <t xml:space="preserve">
</t>
        </r>
      </text>
    </comment>
    <comment ref="O196" authorId="0">
      <text>
        <r>
          <rPr>
            <b/>
            <sz val="8"/>
            <color indexed="81"/>
            <rFont val="Tahoma"/>
            <family val="2"/>
          </rPr>
          <t>ratio of others to transportation</t>
        </r>
        <r>
          <rPr>
            <sz val="8"/>
            <color indexed="81"/>
            <rFont val="Tahoma"/>
            <family val="2"/>
          </rPr>
          <t xml:space="preserve">
</t>
        </r>
      </text>
    </comment>
    <comment ref="P196" authorId="0">
      <text>
        <r>
          <rPr>
            <b/>
            <sz val="8"/>
            <color indexed="81"/>
            <rFont val="Tahoma"/>
            <family val="2"/>
          </rPr>
          <t>ratio of others to transportation</t>
        </r>
        <r>
          <rPr>
            <sz val="8"/>
            <color indexed="81"/>
            <rFont val="Tahoma"/>
            <family val="2"/>
          </rPr>
          <t xml:space="preserve">
</t>
        </r>
      </text>
    </comment>
    <comment ref="Q196" authorId="0">
      <text>
        <r>
          <rPr>
            <b/>
            <sz val="8"/>
            <color indexed="81"/>
            <rFont val="Tahoma"/>
            <family val="2"/>
          </rPr>
          <t>ratio of others to transportation</t>
        </r>
        <r>
          <rPr>
            <sz val="8"/>
            <color indexed="81"/>
            <rFont val="Tahoma"/>
            <family val="2"/>
          </rPr>
          <t xml:space="preserve">
</t>
        </r>
      </text>
    </comment>
    <comment ref="R196" authorId="0">
      <text>
        <r>
          <rPr>
            <b/>
            <sz val="8"/>
            <color indexed="81"/>
            <rFont val="Tahoma"/>
            <family val="2"/>
          </rPr>
          <t>ratio of others to transportation</t>
        </r>
        <r>
          <rPr>
            <sz val="8"/>
            <color indexed="81"/>
            <rFont val="Tahoma"/>
            <family val="2"/>
          </rPr>
          <t xml:space="preserve">
</t>
        </r>
      </text>
    </comment>
    <comment ref="F198" authorId="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G198" authorId="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H198" authorId="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I198" authorId="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J198" authorId="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K198" authorId="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F199" authorId="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G199" authorId="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H199" authorId="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I199" authorId="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J199" authorId="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K199" authorId="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F200" authorId="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G200" authorId="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H200" authorId="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I200" authorId="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J200" authorId="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K200" authorId="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F201" authorId="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G201" authorId="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H201" authorId="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I201" authorId="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J201" authorId="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K201" authorId="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F202" authorId="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G202" authorId="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H202" authorId="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I202" authorId="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J202" authorId="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K202" authorId="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F203" authorId="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G203" authorId="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H203" authorId="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I203" authorId="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J203" authorId="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K203" authorId="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F204" authorId="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G204" authorId="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H204" authorId="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I204" authorId="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J204" authorId="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K204" authorId="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F205" authorId="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G205" authorId="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H205" authorId="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I205" authorId="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J205" authorId="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K205" authorId="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F207" authorId="0">
      <text>
        <r>
          <rPr>
            <b/>
            <sz val="8"/>
            <color indexed="81"/>
            <rFont val="Tahoma"/>
            <family val="2"/>
          </rPr>
          <t xml:space="preserve">Average ratio of accommodation to inbound tourim expenditure
</t>
        </r>
        <r>
          <rPr>
            <sz val="8"/>
            <color indexed="81"/>
            <rFont val="Tahoma"/>
            <family val="2"/>
          </rPr>
          <t xml:space="preserve">
</t>
        </r>
      </text>
    </comment>
    <comment ref="G207" authorId="0">
      <text>
        <r>
          <rPr>
            <b/>
            <sz val="8"/>
            <color indexed="81"/>
            <rFont val="Tahoma"/>
            <family val="2"/>
          </rPr>
          <t xml:space="preserve">Average ratio of accommodation to inbound tourim expenditure
</t>
        </r>
        <r>
          <rPr>
            <sz val="8"/>
            <color indexed="81"/>
            <rFont val="Tahoma"/>
            <family val="2"/>
          </rPr>
          <t xml:space="preserve">
</t>
        </r>
      </text>
    </comment>
    <comment ref="H207" authorId="0">
      <text>
        <r>
          <rPr>
            <b/>
            <sz val="8"/>
            <color indexed="81"/>
            <rFont val="Tahoma"/>
            <family val="2"/>
          </rPr>
          <t xml:space="preserve">Average ratio of accommodation to inbound tourim expenditure
</t>
        </r>
        <r>
          <rPr>
            <sz val="8"/>
            <color indexed="81"/>
            <rFont val="Tahoma"/>
            <family val="2"/>
          </rPr>
          <t xml:space="preserve">
</t>
        </r>
      </text>
    </comment>
    <comment ref="I207" authorId="0">
      <text>
        <r>
          <rPr>
            <b/>
            <sz val="8"/>
            <color indexed="81"/>
            <rFont val="Tahoma"/>
            <family val="2"/>
          </rPr>
          <t xml:space="preserve">Average ratio of accommodation to inbound tourim expenditure
</t>
        </r>
        <r>
          <rPr>
            <sz val="8"/>
            <color indexed="81"/>
            <rFont val="Tahoma"/>
            <family val="2"/>
          </rPr>
          <t xml:space="preserve">
</t>
        </r>
      </text>
    </comment>
    <comment ref="J207" authorId="0">
      <text>
        <r>
          <rPr>
            <b/>
            <sz val="8"/>
            <color indexed="81"/>
            <rFont val="Tahoma"/>
            <family val="2"/>
          </rPr>
          <t xml:space="preserve">Average ratio of accommodation to inbound tourim expenditure
</t>
        </r>
        <r>
          <rPr>
            <sz val="8"/>
            <color indexed="81"/>
            <rFont val="Tahoma"/>
            <family val="2"/>
          </rPr>
          <t xml:space="preserve">
</t>
        </r>
      </text>
    </comment>
    <comment ref="K207" authorId="0">
      <text>
        <r>
          <rPr>
            <b/>
            <sz val="8"/>
            <color indexed="81"/>
            <rFont val="Tahoma"/>
            <family val="2"/>
          </rPr>
          <t xml:space="preserve">Average ratio of accommodation to inbound tourim expenditure
</t>
        </r>
        <r>
          <rPr>
            <sz val="8"/>
            <color indexed="81"/>
            <rFont val="Tahoma"/>
            <family val="2"/>
          </rPr>
          <t xml:space="preserve">
</t>
        </r>
      </text>
    </comment>
    <comment ref="F208" authorId="0">
      <text>
        <r>
          <rPr>
            <b/>
            <sz val="8"/>
            <color indexed="81"/>
            <rFont val="Tahoma"/>
            <family val="2"/>
          </rPr>
          <t xml:space="preserve">Average ratio of accommodation to inbound tourim expenditure
</t>
        </r>
        <r>
          <rPr>
            <sz val="8"/>
            <color indexed="81"/>
            <rFont val="Tahoma"/>
            <family val="2"/>
          </rPr>
          <t xml:space="preserve">
</t>
        </r>
      </text>
    </comment>
    <comment ref="G208" authorId="0">
      <text>
        <r>
          <rPr>
            <b/>
            <sz val="8"/>
            <color indexed="81"/>
            <rFont val="Tahoma"/>
            <family val="2"/>
          </rPr>
          <t xml:space="preserve">Average ratio of accommodation to inbound tourim expenditure
</t>
        </r>
        <r>
          <rPr>
            <sz val="8"/>
            <color indexed="81"/>
            <rFont val="Tahoma"/>
            <family val="2"/>
          </rPr>
          <t xml:space="preserve">
</t>
        </r>
      </text>
    </comment>
    <comment ref="H208" authorId="0">
      <text>
        <r>
          <rPr>
            <b/>
            <sz val="8"/>
            <color indexed="81"/>
            <rFont val="Tahoma"/>
            <family val="2"/>
          </rPr>
          <t xml:space="preserve">Average ratio of accommodation to inbound tourim expenditure
</t>
        </r>
        <r>
          <rPr>
            <sz val="8"/>
            <color indexed="81"/>
            <rFont val="Tahoma"/>
            <family val="2"/>
          </rPr>
          <t xml:space="preserve">
</t>
        </r>
      </text>
    </comment>
    <comment ref="I208" authorId="0">
      <text>
        <r>
          <rPr>
            <b/>
            <sz val="8"/>
            <color indexed="81"/>
            <rFont val="Tahoma"/>
            <family val="2"/>
          </rPr>
          <t xml:space="preserve">Average ratio of accommodation to inbound tourim expenditure
</t>
        </r>
        <r>
          <rPr>
            <sz val="8"/>
            <color indexed="81"/>
            <rFont val="Tahoma"/>
            <family val="2"/>
          </rPr>
          <t xml:space="preserve">
</t>
        </r>
      </text>
    </comment>
    <comment ref="J208" authorId="0">
      <text>
        <r>
          <rPr>
            <b/>
            <sz val="8"/>
            <color indexed="81"/>
            <rFont val="Tahoma"/>
            <family val="2"/>
          </rPr>
          <t xml:space="preserve">Average ratio of accommodation to inbound tourim expenditure
</t>
        </r>
        <r>
          <rPr>
            <sz val="8"/>
            <color indexed="81"/>
            <rFont val="Tahoma"/>
            <family val="2"/>
          </rPr>
          <t xml:space="preserve">
</t>
        </r>
      </text>
    </comment>
    <comment ref="K208" authorId="0">
      <text>
        <r>
          <rPr>
            <b/>
            <sz val="8"/>
            <color indexed="81"/>
            <rFont val="Tahoma"/>
            <family val="2"/>
          </rPr>
          <t xml:space="preserve">Average ratio of accommodation to inbound tourim expenditure
</t>
        </r>
        <r>
          <rPr>
            <sz val="8"/>
            <color indexed="81"/>
            <rFont val="Tahoma"/>
            <family val="2"/>
          </rPr>
          <t xml:space="preserve">
</t>
        </r>
      </text>
    </comment>
    <comment ref="F209" authorId="0">
      <text>
        <r>
          <rPr>
            <b/>
            <sz val="8"/>
            <color indexed="81"/>
            <rFont val="Tahoma"/>
            <family val="2"/>
          </rPr>
          <t xml:space="preserve">Average ratio of accommodation to inbound tourim expenditure
</t>
        </r>
        <r>
          <rPr>
            <sz val="8"/>
            <color indexed="81"/>
            <rFont val="Tahoma"/>
            <family val="2"/>
          </rPr>
          <t xml:space="preserve">
</t>
        </r>
      </text>
    </comment>
    <comment ref="G209" authorId="0">
      <text>
        <r>
          <rPr>
            <b/>
            <sz val="8"/>
            <color indexed="81"/>
            <rFont val="Tahoma"/>
            <family val="2"/>
          </rPr>
          <t xml:space="preserve">Average ratio of accommodation to inbound tourim expenditure
</t>
        </r>
        <r>
          <rPr>
            <sz val="8"/>
            <color indexed="81"/>
            <rFont val="Tahoma"/>
            <family val="2"/>
          </rPr>
          <t xml:space="preserve">
</t>
        </r>
      </text>
    </comment>
    <comment ref="H209" authorId="0">
      <text>
        <r>
          <rPr>
            <b/>
            <sz val="8"/>
            <color indexed="81"/>
            <rFont val="Tahoma"/>
            <family val="2"/>
          </rPr>
          <t xml:space="preserve">Average ratio of accommodation to inbound tourim expenditure
</t>
        </r>
        <r>
          <rPr>
            <sz val="8"/>
            <color indexed="81"/>
            <rFont val="Tahoma"/>
            <family val="2"/>
          </rPr>
          <t xml:space="preserve">
</t>
        </r>
      </text>
    </comment>
    <comment ref="I209" authorId="0">
      <text>
        <r>
          <rPr>
            <b/>
            <sz val="8"/>
            <color indexed="81"/>
            <rFont val="Tahoma"/>
            <family val="2"/>
          </rPr>
          <t xml:space="preserve">Average ratio of accommodation to inbound tourim expenditure
</t>
        </r>
        <r>
          <rPr>
            <sz val="8"/>
            <color indexed="81"/>
            <rFont val="Tahoma"/>
            <family val="2"/>
          </rPr>
          <t xml:space="preserve">
</t>
        </r>
      </text>
    </comment>
    <comment ref="J209" authorId="0">
      <text>
        <r>
          <rPr>
            <b/>
            <sz val="8"/>
            <color indexed="81"/>
            <rFont val="Tahoma"/>
            <family val="2"/>
          </rPr>
          <t xml:space="preserve">Average ratio of accommodation to inbound tourim expenditure
</t>
        </r>
        <r>
          <rPr>
            <sz val="8"/>
            <color indexed="81"/>
            <rFont val="Tahoma"/>
            <family val="2"/>
          </rPr>
          <t xml:space="preserve">
</t>
        </r>
      </text>
    </comment>
    <comment ref="K209" authorId="0">
      <text>
        <r>
          <rPr>
            <b/>
            <sz val="8"/>
            <color indexed="81"/>
            <rFont val="Tahoma"/>
            <family val="2"/>
          </rPr>
          <t xml:space="preserve">Average ratio of accommodation to inbound tourim expenditure
</t>
        </r>
        <r>
          <rPr>
            <sz val="8"/>
            <color indexed="81"/>
            <rFont val="Tahoma"/>
            <family val="2"/>
          </rPr>
          <t xml:space="preserve">
</t>
        </r>
      </text>
    </comment>
    <comment ref="F210" authorId="0">
      <text>
        <r>
          <rPr>
            <b/>
            <sz val="8"/>
            <color indexed="81"/>
            <rFont val="Tahoma"/>
            <family val="2"/>
          </rPr>
          <t xml:space="preserve">Average ratio of accommodation to inbound tourim expenditure
</t>
        </r>
        <r>
          <rPr>
            <sz val="8"/>
            <color indexed="81"/>
            <rFont val="Tahoma"/>
            <family val="2"/>
          </rPr>
          <t xml:space="preserve">
</t>
        </r>
      </text>
    </comment>
    <comment ref="G210" authorId="0">
      <text>
        <r>
          <rPr>
            <b/>
            <sz val="8"/>
            <color indexed="81"/>
            <rFont val="Tahoma"/>
            <family val="2"/>
          </rPr>
          <t xml:space="preserve">Average ratio of accommodation to inbound tourim expenditure
</t>
        </r>
        <r>
          <rPr>
            <sz val="8"/>
            <color indexed="81"/>
            <rFont val="Tahoma"/>
            <family val="2"/>
          </rPr>
          <t xml:space="preserve">
</t>
        </r>
      </text>
    </comment>
    <comment ref="H210" authorId="0">
      <text>
        <r>
          <rPr>
            <b/>
            <sz val="8"/>
            <color indexed="81"/>
            <rFont val="Tahoma"/>
            <family val="2"/>
          </rPr>
          <t xml:space="preserve">Average ratio of accommodation to inbound tourim expenditure
</t>
        </r>
        <r>
          <rPr>
            <sz val="8"/>
            <color indexed="81"/>
            <rFont val="Tahoma"/>
            <family val="2"/>
          </rPr>
          <t xml:space="preserve">
</t>
        </r>
      </text>
    </comment>
    <comment ref="I210" authorId="0">
      <text>
        <r>
          <rPr>
            <b/>
            <sz val="8"/>
            <color indexed="81"/>
            <rFont val="Tahoma"/>
            <family val="2"/>
          </rPr>
          <t xml:space="preserve">Average ratio of accommodation to inbound tourim expenditure
</t>
        </r>
        <r>
          <rPr>
            <sz val="8"/>
            <color indexed="81"/>
            <rFont val="Tahoma"/>
            <family val="2"/>
          </rPr>
          <t xml:space="preserve">
</t>
        </r>
      </text>
    </comment>
    <comment ref="J210" authorId="0">
      <text>
        <r>
          <rPr>
            <b/>
            <sz val="8"/>
            <color indexed="81"/>
            <rFont val="Tahoma"/>
            <family val="2"/>
          </rPr>
          <t xml:space="preserve">Average ratio of accommodation to inbound tourim expenditure
</t>
        </r>
        <r>
          <rPr>
            <sz val="8"/>
            <color indexed="81"/>
            <rFont val="Tahoma"/>
            <family val="2"/>
          </rPr>
          <t xml:space="preserve">
</t>
        </r>
      </text>
    </comment>
    <comment ref="K210" authorId="0">
      <text>
        <r>
          <rPr>
            <b/>
            <sz val="8"/>
            <color indexed="81"/>
            <rFont val="Tahoma"/>
            <family val="2"/>
          </rPr>
          <t xml:space="preserve">Average ratio of accommodation to inbound tourim expenditure
</t>
        </r>
        <r>
          <rPr>
            <sz val="8"/>
            <color indexed="81"/>
            <rFont val="Tahoma"/>
            <family val="2"/>
          </rPr>
          <t xml:space="preserve">
</t>
        </r>
      </text>
    </comment>
    <comment ref="F211" authorId="0">
      <text>
        <r>
          <rPr>
            <b/>
            <sz val="8"/>
            <color indexed="81"/>
            <rFont val="Tahoma"/>
            <family val="2"/>
          </rPr>
          <t xml:space="preserve">Average ratio of accommodation to inbound tourim expenditure
</t>
        </r>
        <r>
          <rPr>
            <sz val="8"/>
            <color indexed="81"/>
            <rFont val="Tahoma"/>
            <family val="2"/>
          </rPr>
          <t xml:space="preserve">
</t>
        </r>
      </text>
    </comment>
    <comment ref="G211" authorId="0">
      <text>
        <r>
          <rPr>
            <b/>
            <sz val="8"/>
            <color indexed="81"/>
            <rFont val="Tahoma"/>
            <family val="2"/>
          </rPr>
          <t xml:space="preserve">Average ratio of accommodation to inbound tourim expenditure
</t>
        </r>
        <r>
          <rPr>
            <sz val="8"/>
            <color indexed="81"/>
            <rFont val="Tahoma"/>
            <family val="2"/>
          </rPr>
          <t xml:space="preserve">
</t>
        </r>
      </text>
    </comment>
    <comment ref="H211" authorId="0">
      <text>
        <r>
          <rPr>
            <b/>
            <sz val="8"/>
            <color indexed="81"/>
            <rFont val="Tahoma"/>
            <family val="2"/>
          </rPr>
          <t xml:space="preserve">Average ratio of accommodation to inbound tourim expenditure
</t>
        </r>
        <r>
          <rPr>
            <sz val="8"/>
            <color indexed="81"/>
            <rFont val="Tahoma"/>
            <family val="2"/>
          </rPr>
          <t xml:space="preserve">
</t>
        </r>
      </text>
    </comment>
    <comment ref="I211" authorId="0">
      <text>
        <r>
          <rPr>
            <b/>
            <sz val="8"/>
            <color indexed="81"/>
            <rFont val="Tahoma"/>
            <family val="2"/>
          </rPr>
          <t xml:space="preserve">Average ratio of accommodation to inbound tourim expenditure
</t>
        </r>
        <r>
          <rPr>
            <sz val="8"/>
            <color indexed="81"/>
            <rFont val="Tahoma"/>
            <family val="2"/>
          </rPr>
          <t xml:space="preserve">
</t>
        </r>
      </text>
    </comment>
    <comment ref="J211" authorId="0">
      <text>
        <r>
          <rPr>
            <b/>
            <sz val="8"/>
            <color indexed="81"/>
            <rFont val="Tahoma"/>
            <family val="2"/>
          </rPr>
          <t xml:space="preserve">Average ratio of accommodation to inbound tourim expenditure
</t>
        </r>
        <r>
          <rPr>
            <sz val="8"/>
            <color indexed="81"/>
            <rFont val="Tahoma"/>
            <family val="2"/>
          </rPr>
          <t xml:space="preserve">
</t>
        </r>
      </text>
    </comment>
    <comment ref="K211" authorId="0">
      <text>
        <r>
          <rPr>
            <b/>
            <sz val="8"/>
            <color indexed="81"/>
            <rFont val="Tahoma"/>
            <family val="2"/>
          </rPr>
          <t xml:space="preserve">Average ratio of accommodation to inbound tourim expenditure
</t>
        </r>
        <r>
          <rPr>
            <sz val="8"/>
            <color indexed="81"/>
            <rFont val="Tahoma"/>
            <family val="2"/>
          </rPr>
          <t xml:space="preserve">
</t>
        </r>
      </text>
    </comment>
    <comment ref="F212" authorId="0">
      <text>
        <r>
          <rPr>
            <b/>
            <sz val="8"/>
            <color indexed="81"/>
            <rFont val="Tahoma"/>
            <family val="2"/>
          </rPr>
          <t xml:space="preserve">Average ratio of accommodation to inbound tourim expenditure
</t>
        </r>
        <r>
          <rPr>
            <sz val="8"/>
            <color indexed="81"/>
            <rFont val="Tahoma"/>
            <family val="2"/>
          </rPr>
          <t xml:space="preserve">
</t>
        </r>
      </text>
    </comment>
    <comment ref="G212" authorId="0">
      <text>
        <r>
          <rPr>
            <b/>
            <sz val="8"/>
            <color indexed="81"/>
            <rFont val="Tahoma"/>
            <family val="2"/>
          </rPr>
          <t xml:space="preserve">Average ratio of accommodation to inbound tourim expenditure
</t>
        </r>
        <r>
          <rPr>
            <sz val="8"/>
            <color indexed="81"/>
            <rFont val="Tahoma"/>
            <family val="2"/>
          </rPr>
          <t xml:space="preserve">
</t>
        </r>
      </text>
    </comment>
    <comment ref="H212" authorId="0">
      <text>
        <r>
          <rPr>
            <b/>
            <sz val="8"/>
            <color indexed="81"/>
            <rFont val="Tahoma"/>
            <family val="2"/>
          </rPr>
          <t xml:space="preserve">Average ratio of accommodation to inbound tourim expenditure
</t>
        </r>
        <r>
          <rPr>
            <sz val="8"/>
            <color indexed="81"/>
            <rFont val="Tahoma"/>
            <family val="2"/>
          </rPr>
          <t xml:space="preserve">
</t>
        </r>
      </text>
    </comment>
    <comment ref="I212" authorId="0">
      <text>
        <r>
          <rPr>
            <b/>
            <sz val="8"/>
            <color indexed="81"/>
            <rFont val="Tahoma"/>
            <family val="2"/>
          </rPr>
          <t xml:space="preserve">Average ratio of accommodation to inbound tourim expenditure
</t>
        </r>
        <r>
          <rPr>
            <sz val="8"/>
            <color indexed="81"/>
            <rFont val="Tahoma"/>
            <family val="2"/>
          </rPr>
          <t xml:space="preserve">
</t>
        </r>
      </text>
    </comment>
    <comment ref="J212" authorId="0">
      <text>
        <r>
          <rPr>
            <b/>
            <sz val="8"/>
            <color indexed="81"/>
            <rFont val="Tahoma"/>
            <family val="2"/>
          </rPr>
          <t xml:space="preserve">Average ratio of accommodation to inbound tourim expenditure
</t>
        </r>
        <r>
          <rPr>
            <sz val="8"/>
            <color indexed="81"/>
            <rFont val="Tahoma"/>
            <family val="2"/>
          </rPr>
          <t xml:space="preserve">
</t>
        </r>
      </text>
    </comment>
    <comment ref="K212" authorId="0">
      <text>
        <r>
          <rPr>
            <b/>
            <sz val="8"/>
            <color indexed="81"/>
            <rFont val="Tahoma"/>
            <family val="2"/>
          </rPr>
          <t xml:space="preserve">Average ratio of accommodation to inbound tourim expenditure
</t>
        </r>
        <r>
          <rPr>
            <sz val="8"/>
            <color indexed="81"/>
            <rFont val="Tahoma"/>
            <family val="2"/>
          </rPr>
          <t xml:space="preserve">
</t>
        </r>
      </text>
    </comment>
    <comment ref="F213" authorId="0">
      <text>
        <r>
          <rPr>
            <b/>
            <sz val="8"/>
            <color indexed="81"/>
            <rFont val="Tahoma"/>
            <family val="2"/>
          </rPr>
          <t xml:space="preserve">Average ratio of accommodation to inbound tourim expenditure
</t>
        </r>
        <r>
          <rPr>
            <sz val="8"/>
            <color indexed="81"/>
            <rFont val="Tahoma"/>
            <family val="2"/>
          </rPr>
          <t xml:space="preserve">
</t>
        </r>
      </text>
    </comment>
    <comment ref="G213" authorId="0">
      <text>
        <r>
          <rPr>
            <b/>
            <sz val="8"/>
            <color indexed="81"/>
            <rFont val="Tahoma"/>
            <family val="2"/>
          </rPr>
          <t xml:space="preserve">Average ratio of accommodation to inbound tourim expenditure
</t>
        </r>
        <r>
          <rPr>
            <sz val="8"/>
            <color indexed="81"/>
            <rFont val="Tahoma"/>
            <family val="2"/>
          </rPr>
          <t xml:space="preserve">
</t>
        </r>
      </text>
    </comment>
    <comment ref="H213" authorId="0">
      <text>
        <r>
          <rPr>
            <b/>
            <sz val="8"/>
            <color indexed="81"/>
            <rFont val="Tahoma"/>
            <family val="2"/>
          </rPr>
          <t xml:space="preserve">Average ratio of accommodation to inbound tourim expenditure
</t>
        </r>
        <r>
          <rPr>
            <sz val="8"/>
            <color indexed="81"/>
            <rFont val="Tahoma"/>
            <family val="2"/>
          </rPr>
          <t xml:space="preserve">
</t>
        </r>
      </text>
    </comment>
    <comment ref="I213" authorId="0">
      <text>
        <r>
          <rPr>
            <b/>
            <sz val="8"/>
            <color indexed="81"/>
            <rFont val="Tahoma"/>
            <family val="2"/>
          </rPr>
          <t xml:space="preserve">Average ratio of accommodation to inbound tourim expenditure
</t>
        </r>
        <r>
          <rPr>
            <sz val="8"/>
            <color indexed="81"/>
            <rFont val="Tahoma"/>
            <family val="2"/>
          </rPr>
          <t xml:space="preserve">
</t>
        </r>
      </text>
    </comment>
    <comment ref="J213" authorId="0">
      <text>
        <r>
          <rPr>
            <b/>
            <sz val="8"/>
            <color indexed="81"/>
            <rFont val="Tahoma"/>
            <family val="2"/>
          </rPr>
          <t xml:space="preserve">Average ratio of accommodation to inbound tourim expenditure
</t>
        </r>
        <r>
          <rPr>
            <sz val="8"/>
            <color indexed="81"/>
            <rFont val="Tahoma"/>
            <family val="2"/>
          </rPr>
          <t xml:space="preserve">
</t>
        </r>
      </text>
    </comment>
    <comment ref="K213" authorId="0">
      <text>
        <r>
          <rPr>
            <b/>
            <sz val="8"/>
            <color indexed="81"/>
            <rFont val="Tahoma"/>
            <family val="2"/>
          </rPr>
          <t xml:space="preserve">Average ratio of accommodation to inbound tourim expenditure
</t>
        </r>
        <r>
          <rPr>
            <sz val="8"/>
            <color indexed="81"/>
            <rFont val="Tahoma"/>
            <family val="2"/>
          </rPr>
          <t xml:space="preserve">
</t>
        </r>
      </text>
    </comment>
    <comment ref="F215" authorId="0">
      <text>
        <r>
          <rPr>
            <b/>
            <sz val="8"/>
            <color indexed="81"/>
            <rFont val="Tahoma"/>
            <family val="2"/>
          </rPr>
          <t xml:space="preserve">Average ratio of accommodation to outbound tourim expenditure
</t>
        </r>
        <r>
          <rPr>
            <sz val="8"/>
            <color indexed="81"/>
            <rFont val="Tahoma"/>
            <family val="2"/>
          </rPr>
          <t xml:space="preserve">
</t>
        </r>
      </text>
    </comment>
    <comment ref="G215" authorId="0">
      <text>
        <r>
          <rPr>
            <b/>
            <sz val="8"/>
            <color indexed="81"/>
            <rFont val="Tahoma"/>
            <family val="2"/>
          </rPr>
          <t xml:space="preserve">Average ratio of accommodation to outbound tourim expenditure
</t>
        </r>
        <r>
          <rPr>
            <sz val="8"/>
            <color indexed="81"/>
            <rFont val="Tahoma"/>
            <family val="2"/>
          </rPr>
          <t xml:space="preserve">
</t>
        </r>
      </text>
    </comment>
    <comment ref="H215" authorId="0">
      <text>
        <r>
          <rPr>
            <b/>
            <sz val="8"/>
            <color indexed="81"/>
            <rFont val="Tahoma"/>
            <family val="2"/>
          </rPr>
          <t xml:space="preserve">Average ratio of accommodation to outbound tourim expenditure
</t>
        </r>
        <r>
          <rPr>
            <sz val="8"/>
            <color indexed="81"/>
            <rFont val="Tahoma"/>
            <family val="2"/>
          </rPr>
          <t xml:space="preserve">
</t>
        </r>
      </text>
    </comment>
    <comment ref="I215" authorId="0">
      <text>
        <r>
          <rPr>
            <b/>
            <sz val="8"/>
            <color indexed="81"/>
            <rFont val="Tahoma"/>
            <family val="2"/>
          </rPr>
          <t xml:space="preserve">Average ratio of accommodation to outbound tourim expenditure
</t>
        </r>
        <r>
          <rPr>
            <sz val="8"/>
            <color indexed="81"/>
            <rFont val="Tahoma"/>
            <family val="2"/>
          </rPr>
          <t xml:space="preserve">
</t>
        </r>
      </text>
    </comment>
    <comment ref="J215" authorId="0">
      <text>
        <r>
          <rPr>
            <b/>
            <sz val="8"/>
            <color indexed="81"/>
            <rFont val="Tahoma"/>
            <family val="2"/>
          </rPr>
          <t xml:space="preserve">Average ratio of accommodation to outbound tourim expenditure
</t>
        </r>
        <r>
          <rPr>
            <sz val="8"/>
            <color indexed="81"/>
            <rFont val="Tahoma"/>
            <family val="2"/>
          </rPr>
          <t xml:space="preserve">
</t>
        </r>
      </text>
    </comment>
    <comment ref="K215" authorId="0">
      <text>
        <r>
          <rPr>
            <b/>
            <sz val="8"/>
            <color indexed="81"/>
            <rFont val="Tahoma"/>
            <family val="2"/>
          </rPr>
          <t xml:space="preserve">Average ratio of accommodation to outbound tourim expenditure
</t>
        </r>
        <r>
          <rPr>
            <sz val="8"/>
            <color indexed="81"/>
            <rFont val="Tahoma"/>
            <family val="2"/>
          </rPr>
          <t xml:space="preserve">
</t>
        </r>
      </text>
    </comment>
    <comment ref="F216" authorId="0">
      <text>
        <r>
          <rPr>
            <b/>
            <sz val="8"/>
            <color indexed="81"/>
            <rFont val="Tahoma"/>
            <family val="2"/>
          </rPr>
          <t xml:space="preserve">Average ratio of accommodation to outbound tourim expenditure
</t>
        </r>
        <r>
          <rPr>
            <sz val="8"/>
            <color indexed="81"/>
            <rFont val="Tahoma"/>
            <family val="2"/>
          </rPr>
          <t xml:space="preserve">
</t>
        </r>
      </text>
    </comment>
    <comment ref="G216" authorId="0">
      <text>
        <r>
          <rPr>
            <b/>
            <sz val="8"/>
            <color indexed="81"/>
            <rFont val="Tahoma"/>
            <family val="2"/>
          </rPr>
          <t xml:space="preserve">Average ratio of accommodation to outbound tourim expenditure
</t>
        </r>
        <r>
          <rPr>
            <sz val="8"/>
            <color indexed="81"/>
            <rFont val="Tahoma"/>
            <family val="2"/>
          </rPr>
          <t xml:space="preserve">
</t>
        </r>
      </text>
    </comment>
    <comment ref="H216" authorId="0">
      <text>
        <r>
          <rPr>
            <b/>
            <sz val="8"/>
            <color indexed="81"/>
            <rFont val="Tahoma"/>
            <family val="2"/>
          </rPr>
          <t xml:space="preserve">Average ratio of accommodation to outbound tourim expenditure
</t>
        </r>
        <r>
          <rPr>
            <sz val="8"/>
            <color indexed="81"/>
            <rFont val="Tahoma"/>
            <family val="2"/>
          </rPr>
          <t xml:space="preserve">
</t>
        </r>
      </text>
    </comment>
    <comment ref="I216" authorId="0">
      <text>
        <r>
          <rPr>
            <b/>
            <sz val="8"/>
            <color indexed="81"/>
            <rFont val="Tahoma"/>
            <family val="2"/>
          </rPr>
          <t xml:space="preserve">Average ratio of accommodation to outbound tourim expenditure
</t>
        </r>
        <r>
          <rPr>
            <sz val="8"/>
            <color indexed="81"/>
            <rFont val="Tahoma"/>
            <family val="2"/>
          </rPr>
          <t xml:space="preserve">
</t>
        </r>
      </text>
    </comment>
    <comment ref="J216" authorId="0">
      <text>
        <r>
          <rPr>
            <b/>
            <sz val="8"/>
            <color indexed="81"/>
            <rFont val="Tahoma"/>
            <family val="2"/>
          </rPr>
          <t xml:space="preserve">Average ratio of accommodation to outbound tourim expenditure
</t>
        </r>
        <r>
          <rPr>
            <sz val="8"/>
            <color indexed="81"/>
            <rFont val="Tahoma"/>
            <family val="2"/>
          </rPr>
          <t xml:space="preserve">
</t>
        </r>
      </text>
    </comment>
    <comment ref="K216" authorId="0">
      <text>
        <r>
          <rPr>
            <b/>
            <sz val="8"/>
            <color indexed="81"/>
            <rFont val="Tahoma"/>
            <family val="2"/>
          </rPr>
          <t xml:space="preserve">Average ratio of accommodation to outbound tourim expenditure
</t>
        </r>
        <r>
          <rPr>
            <sz val="8"/>
            <color indexed="81"/>
            <rFont val="Tahoma"/>
            <family val="2"/>
          </rPr>
          <t xml:space="preserve">
</t>
        </r>
      </text>
    </comment>
    <comment ref="F217" authorId="0">
      <text>
        <r>
          <rPr>
            <b/>
            <sz val="8"/>
            <color indexed="81"/>
            <rFont val="Tahoma"/>
            <family val="2"/>
          </rPr>
          <t xml:space="preserve">Average ratio of accommodation to outbound tourim expenditure
</t>
        </r>
        <r>
          <rPr>
            <sz val="8"/>
            <color indexed="81"/>
            <rFont val="Tahoma"/>
            <family val="2"/>
          </rPr>
          <t xml:space="preserve">
</t>
        </r>
      </text>
    </comment>
    <comment ref="G217" authorId="0">
      <text>
        <r>
          <rPr>
            <b/>
            <sz val="8"/>
            <color indexed="81"/>
            <rFont val="Tahoma"/>
            <family val="2"/>
          </rPr>
          <t xml:space="preserve">Average ratio of accommodation to outbound tourim expenditure
</t>
        </r>
        <r>
          <rPr>
            <sz val="8"/>
            <color indexed="81"/>
            <rFont val="Tahoma"/>
            <family val="2"/>
          </rPr>
          <t xml:space="preserve">
</t>
        </r>
      </text>
    </comment>
    <comment ref="H217" authorId="0">
      <text>
        <r>
          <rPr>
            <b/>
            <sz val="8"/>
            <color indexed="81"/>
            <rFont val="Tahoma"/>
            <family val="2"/>
          </rPr>
          <t xml:space="preserve">Average ratio of accommodation to outbound tourim expenditure
</t>
        </r>
        <r>
          <rPr>
            <sz val="8"/>
            <color indexed="81"/>
            <rFont val="Tahoma"/>
            <family val="2"/>
          </rPr>
          <t xml:space="preserve">
</t>
        </r>
      </text>
    </comment>
    <comment ref="I217" authorId="0">
      <text>
        <r>
          <rPr>
            <b/>
            <sz val="8"/>
            <color indexed="81"/>
            <rFont val="Tahoma"/>
            <family val="2"/>
          </rPr>
          <t xml:space="preserve">Average ratio of accommodation to outbound tourim expenditure
</t>
        </r>
        <r>
          <rPr>
            <sz val="8"/>
            <color indexed="81"/>
            <rFont val="Tahoma"/>
            <family val="2"/>
          </rPr>
          <t xml:space="preserve">
</t>
        </r>
      </text>
    </comment>
    <comment ref="J217" authorId="0">
      <text>
        <r>
          <rPr>
            <b/>
            <sz val="8"/>
            <color indexed="81"/>
            <rFont val="Tahoma"/>
            <family val="2"/>
          </rPr>
          <t xml:space="preserve">Average ratio of accommodation to outbound tourim expenditure
</t>
        </r>
        <r>
          <rPr>
            <sz val="8"/>
            <color indexed="81"/>
            <rFont val="Tahoma"/>
            <family val="2"/>
          </rPr>
          <t xml:space="preserve">
</t>
        </r>
      </text>
    </comment>
    <comment ref="K217" authorId="0">
      <text>
        <r>
          <rPr>
            <b/>
            <sz val="8"/>
            <color indexed="81"/>
            <rFont val="Tahoma"/>
            <family val="2"/>
          </rPr>
          <t xml:space="preserve">Average ratio of accommodation to outbound tourim expenditure
</t>
        </r>
        <r>
          <rPr>
            <sz val="8"/>
            <color indexed="81"/>
            <rFont val="Tahoma"/>
            <family val="2"/>
          </rPr>
          <t xml:space="preserve">
</t>
        </r>
      </text>
    </comment>
    <comment ref="F218" authorId="0">
      <text>
        <r>
          <rPr>
            <b/>
            <sz val="8"/>
            <color indexed="81"/>
            <rFont val="Tahoma"/>
            <family val="2"/>
          </rPr>
          <t xml:space="preserve">Average ratio of accommodation to outbound tourim expenditure
</t>
        </r>
        <r>
          <rPr>
            <sz val="8"/>
            <color indexed="81"/>
            <rFont val="Tahoma"/>
            <family val="2"/>
          </rPr>
          <t xml:space="preserve">
</t>
        </r>
      </text>
    </comment>
    <comment ref="G218" authorId="0">
      <text>
        <r>
          <rPr>
            <b/>
            <sz val="8"/>
            <color indexed="81"/>
            <rFont val="Tahoma"/>
            <family val="2"/>
          </rPr>
          <t xml:space="preserve">Average ratio of accommodation to outbound tourim expenditure
</t>
        </r>
        <r>
          <rPr>
            <sz val="8"/>
            <color indexed="81"/>
            <rFont val="Tahoma"/>
            <family val="2"/>
          </rPr>
          <t xml:space="preserve">
</t>
        </r>
      </text>
    </comment>
    <comment ref="H218" authorId="0">
      <text>
        <r>
          <rPr>
            <b/>
            <sz val="8"/>
            <color indexed="81"/>
            <rFont val="Tahoma"/>
            <family val="2"/>
          </rPr>
          <t xml:space="preserve">Average ratio of accommodation to outbound tourim expenditure
</t>
        </r>
        <r>
          <rPr>
            <sz val="8"/>
            <color indexed="81"/>
            <rFont val="Tahoma"/>
            <family val="2"/>
          </rPr>
          <t xml:space="preserve">
</t>
        </r>
      </text>
    </comment>
    <comment ref="I218" authorId="0">
      <text>
        <r>
          <rPr>
            <b/>
            <sz val="8"/>
            <color indexed="81"/>
            <rFont val="Tahoma"/>
            <family val="2"/>
          </rPr>
          <t xml:space="preserve">Average ratio of accommodation to outbound tourim expenditure
</t>
        </r>
        <r>
          <rPr>
            <sz val="8"/>
            <color indexed="81"/>
            <rFont val="Tahoma"/>
            <family val="2"/>
          </rPr>
          <t xml:space="preserve">
</t>
        </r>
      </text>
    </comment>
    <comment ref="J218" authorId="0">
      <text>
        <r>
          <rPr>
            <b/>
            <sz val="8"/>
            <color indexed="81"/>
            <rFont val="Tahoma"/>
            <family val="2"/>
          </rPr>
          <t xml:space="preserve">Average ratio of accommodation to outbound tourim expenditure
</t>
        </r>
        <r>
          <rPr>
            <sz val="8"/>
            <color indexed="81"/>
            <rFont val="Tahoma"/>
            <family val="2"/>
          </rPr>
          <t xml:space="preserve">
</t>
        </r>
      </text>
    </comment>
    <comment ref="K218" authorId="0">
      <text>
        <r>
          <rPr>
            <b/>
            <sz val="8"/>
            <color indexed="81"/>
            <rFont val="Tahoma"/>
            <family val="2"/>
          </rPr>
          <t xml:space="preserve">Average ratio of accommodation to outbound tourim expenditure
</t>
        </r>
        <r>
          <rPr>
            <sz val="8"/>
            <color indexed="81"/>
            <rFont val="Tahoma"/>
            <family val="2"/>
          </rPr>
          <t xml:space="preserve">
</t>
        </r>
      </text>
    </comment>
    <comment ref="F219" authorId="0">
      <text>
        <r>
          <rPr>
            <b/>
            <sz val="8"/>
            <color indexed="81"/>
            <rFont val="Tahoma"/>
            <family val="2"/>
          </rPr>
          <t xml:space="preserve">Average ratio of accommodation to outbound tourim expenditure
</t>
        </r>
        <r>
          <rPr>
            <sz val="8"/>
            <color indexed="81"/>
            <rFont val="Tahoma"/>
            <family val="2"/>
          </rPr>
          <t xml:space="preserve">
</t>
        </r>
      </text>
    </comment>
    <comment ref="G219" authorId="0">
      <text>
        <r>
          <rPr>
            <b/>
            <sz val="8"/>
            <color indexed="81"/>
            <rFont val="Tahoma"/>
            <family val="2"/>
          </rPr>
          <t xml:space="preserve">Average ratio of accommodation to outbound tourim expenditure
</t>
        </r>
        <r>
          <rPr>
            <sz val="8"/>
            <color indexed="81"/>
            <rFont val="Tahoma"/>
            <family val="2"/>
          </rPr>
          <t xml:space="preserve">
</t>
        </r>
      </text>
    </comment>
    <comment ref="H219" authorId="0">
      <text>
        <r>
          <rPr>
            <b/>
            <sz val="8"/>
            <color indexed="81"/>
            <rFont val="Tahoma"/>
            <family val="2"/>
          </rPr>
          <t xml:space="preserve">Average ratio of accommodation to outbound tourim expenditure
</t>
        </r>
        <r>
          <rPr>
            <sz val="8"/>
            <color indexed="81"/>
            <rFont val="Tahoma"/>
            <family val="2"/>
          </rPr>
          <t xml:space="preserve">
</t>
        </r>
      </text>
    </comment>
    <comment ref="I219" authorId="0">
      <text>
        <r>
          <rPr>
            <b/>
            <sz val="8"/>
            <color indexed="81"/>
            <rFont val="Tahoma"/>
            <family val="2"/>
          </rPr>
          <t xml:space="preserve">Average ratio of accommodation to outbound tourim expenditure
</t>
        </r>
        <r>
          <rPr>
            <sz val="8"/>
            <color indexed="81"/>
            <rFont val="Tahoma"/>
            <family val="2"/>
          </rPr>
          <t xml:space="preserve">
</t>
        </r>
      </text>
    </comment>
    <comment ref="J219" authorId="0">
      <text>
        <r>
          <rPr>
            <b/>
            <sz val="8"/>
            <color indexed="81"/>
            <rFont val="Tahoma"/>
            <family val="2"/>
          </rPr>
          <t xml:space="preserve">Average ratio of accommodation to outbound tourim expenditure
</t>
        </r>
        <r>
          <rPr>
            <sz val="8"/>
            <color indexed="81"/>
            <rFont val="Tahoma"/>
            <family val="2"/>
          </rPr>
          <t xml:space="preserve">
</t>
        </r>
      </text>
    </comment>
    <comment ref="K219" authorId="0">
      <text>
        <r>
          <rPr>
            <b/>
            <sz val="8"/>
            <color indexed="81"/>
            <rFont val="Tahoma"/>
            <family val="2"/>
          </rPr>
          <t xml:space="preserve">Average ratio of accommodation to outbound tourim expenditure
</t>
        </r>
        <r>
          <rPr>
            <sz val="8"/>
            <color indexed="81"/>
            <rFont val="Tahoma"/>
            <family val="2"/>
          </rPr>
          <t xml:space="preserve">
</t>
        </r>
      </text>
    </comment>
    <comment ref="F220" authorId="0">
      <text>
        <r>
          <rPr>
            <b/>
            <sz val="8"/>
            <color indexed="81"/>
            <rFont val="Tahoma"/>
            <family val="2"/>
          </rPr>
          <t xml:space="preserve">Average ratio of accommodation to outbound tourim expenditure
</t>
        </r>
        <r>
          <rPr>
            <sz val="8"/>
            <color indexed="81"/>
            <rFont val="Tahoma"/>
            <family val="2"/>
          </rPr>
          <t xml:space="preserve">
</t>
        </r>
      </text>
    </comment>
    <comment ref="G220" authorId="0">
      <text>
        <r>
          <rPr>
            <b/>
            <sz val="8"/>
            <color indexed="81"/>
            <rFont val="Tahoma"/>
            <family val="2"/>
          </rPr>
          <t xml:space="preserve">Average ratio of accommodation to outbound tourim expenditure
</t>
        </r>
        <r>
          <rPr>
            <sz val="8"/>
            <color indexed="81"/>
            <rFont val="Tahoma"/>
            <family val="2"/>
          </rPr>
          <t xml:space="preserve">
</t>
        </r>
      </text>
    </comment>
    <comment ref="H220" authorId="0">
      <text>
        <r>
          <rPr>
            <b/>
            <sz val="8"/>
            <color indexed="81"/>
            <rFont val="Tahoma"/>
            <family val="2"/>
          </rPr>
          <t xml:space="preserve">Average ratio of accommodation to outbound tourim expenditure
</t>
        </r>
        <r>
          <rPr>
            <sz val="8"/>
            <color indexed="81"/>
            <rFont val="Tahoma"/>
            <family val="2"/>
          </rPr>
          <t xml:space="preserve">
</t>
        </r>
      </text>
    </comment>
    <comment ref="I220" authorId="0">
      <text>
        <r>
          <rPr>
            <b/>
            <sz val="8"/>
            <color indexed="81"/>
            <rFont val="Tahoma"/>
            <family val="2"/>
          </rPr>
          <t xml:space="preserve">Average ratio of accommodation to outbound tourim expenditure
</t>
        </r>
        <r>
          <rPr>
            <sz val="8"/>
            <color indexed="81"/>
            <rFont val="Tahoma"/>
            <family val="2"/>
          </rPr>
          <t xml:space="preserve">
</t>
        </r>
      </text>
    </comment>
    <comment ref="J220" authorId="0">
      <text>
        <r>
          <rPr>
            <b/>
            <sz val="8"/>
            <color indexed="81"/>
            <rFont val="Tahoma"/>
            <family val="2"/>
          </rPr>
          <t xml:space="preserve">Average ratio of accommodation to outbound tourim expenditure
</t>
        </r>
        <r>
          <rPr>
            <sz val="8"/>
            <color indexed="81"/>
            <rFont val="Tahoma"/>
            <family val="2"/>
          </rPr>
          <t xml:space="preserve">
</t>
        </r>
      </text>
    </comment>
    <comment ref="K220" authorId="0">
      <text>
        <r>
          <rPr>
            <b/>
            <sz val="8"/>
            <color indexed="81"/>
            <rFont val="Tahoma"/>
            <family val="2"/>
          </rPr>
          <t xml:space="preserve">Average ratio of accommodation to outbound tourim expenditure
</t>
        </r>
        <r>
          <rPr>
            <sz val="8"/>
            <color indexed="81"/>
            <rFont val="Tahoma"/>
            <family val="2"/>
          </rPr>
          <t xml:space="preserve">
</t>
        </r>
      </text>
    </comment>
    <comment ref="F221" authorId="0">
      <text>
        <r>
          <rPr>
            <b/>
            <sz val="8"/>
            <color indexed="81"/>
            <rFont val="Tahoma"/>
            <family val="2"/>
          </rPr>
          <t xml:space="preserve">Average ratio of accommodation to outbound tourim expenditure
</t>
        </r>
        <r>
          <rPr>
            <sz val="8"/>
            <color indexed="81"/>
            <rFont val="Tahoma"/>
            <family val="2"/>
          </rPr>
          <t xml:space="preserve">
</t>
        </r>
      </text>
    </comment>
    <comment ref="G221" authorId="0">
      <text>
        <r>
          <rPr>
            <b/>
            <sz val="8"/>
            <color indexed="81"/>
            <rFont val="Tahoma"/>
            <family val="2"/>
          </rPr>
          <t xml:space="preserve">Average ratio of accommodation to outbound tourim expenditure
</t>
        </r>
        <r>
          <rPr>
            <sz val="8"/>
            <color indexed="81"/>
            <rFont val="Tahoma"/>
            <family val="2"/>
          </rPr>
          <t xml:space="preserve">
</t>
        </r>
      </text>
    </comment>
    <comment ref="H221" authorId="0">
      <text>
        <r>
          <rPr>
            <b/>
            <sz val="8"/>
            <color indexed="81"/>
            <rFont val="Tahoma"/>
            <family val="2"/>
          </rPr>
          <t xml:space="preserve">Average ratio of accommodation to outbound tourim expenditure
</t>
        </r>
        <r>
          <rPr>
            <sz val="8"/>
            <color indexed="81"/>
            <rFont val="Tahoma"/>
            <family val="2"/>
          </rPr>
          <t xml:space="preserve">
</t>
        </r>
      </text>
    </comment>
    <comment ref="I221" authorId="0">
      <text>
        <r>
          <rPr>
            <b/>
            <sz val="8"/>
            <color indexed="81"/>
            <rFont val="Tahoma"/>
            <family val="2"/>
          </rPr>
          <t xml:space="preserve">Average ratio of accommodation to outbound tourim expenditure
</t>
        </r>
        <r>
          <rPr>
            <sz val="8"/>
            <color indexed="81"/>
            <rFont val="Tahoma"/>
            <family val="2"/>
          </rPr>
          <t xml:space="preserve">
</t>
        </r>
      </text>
    </comment>
    <comment ref="J221" authorId="0">
      <text>
        <r>
          <rPr>
            <b/>
            <sz val="8"/>
            <color indexed="81"/>
            <rFont val="Tahoma"/>
            <family val="2"/>
          </rPr>
          <t xml:space="preserve">Average ratio of accommodation to outbound tourim expenditure
</t>
        </r>
        <r>
          <rPr>
            <sz val="8"/>
            <color indexed="81"/>
            <rFont val="Tahoma"/>
            <family val="2"/>
          </rPr>
          <t xml:space="preserve">
</t>
        </r>
      </text>
    </comment>
    <comment ref="K221" authorId="0">
      <text>
        <r>
          <rPr>
            <b/>
            <sz val="8"/>
            <color indexed="81"/>
            <rFont val="Tahoma"/>
            <family val="2"/>
          </rPr>
          <t xml:space="preserve">Average ratio of accommodation to outbound tourim expenditure
</t>
        </r>
        <r>
          <rPr>
            <sz val="8"/>
            <color indexed="81"/>
            <rFont val="Tahoma"/>
            <family val="2"/>
          </rPr>
          <t xml:space="preserve">
</t>
        </r>
      </text>
    </comment>
    <comment ref="F223" authorId="0">
      <text>
        <r>
          <rPr>
            <b/>
            <sz val="8"/>
            <color indexed="81"/>
            <rFont val="Tahoma"/>
            <family val="2"/>
          </rPr>
          <t xml:space="preserve">Average ratio of accommodation to international providers 
</t>
        </r>
        <r>
          <rPr>
            <sz val="8"/>
            <color indexed="81"/>
            <rFont val="Tahoma"/>
            <family val="2"/>
          </rPr>
          <t xml:space="preserve">
</t>
        </r>
      </text>
    </comment>
    <comment ref="G223" authorId="0">
      <text>
        <r>
          <rPr>
            <b/>
            <sz val="8"/>
            <color indexed="81"/>
            <rFont val="Tahoma"/>
            <family val="2"/>
          </rPr>
          <t xml:space="preserve">Average ratio of accommodation to international providers 
</t>
        </r>
        <r>
          <rPr>
            <sz val="8"/>
            <color indexed="81"/>
            <rFont val="Tahoma"/>
            <family val="2"/>
          </rPr>
          <t xml:space="preserve">
</t>
        </r>
      </text>
    </comment>
    <comment ref="H223" authorId="0">
      <text>
        <r>
          <rPr>
            <b/>
            <sz val="8"/>
            <color indexed="81"/>
            <rFont val="Tahoma"/>
            <family val="2"/>
          </rPr>
          <t xml:space="preserve">Average ratio of accommodation to international providers 
</t>
        </r>
        <r>
          <rPr>
            <sz val="8"/>
            <color indexed="81"/>
            <rFont val="Tahoma"/>
            <family val="2"/>
          </rPr>
          <t xml:space="preserve">
</t>
        </r>
      </text>
    </comment>
    <comment ref="I223" authorId="0">
      <text>
        <r>
          <rPr>
            <b/>
            <sz val="8"/>
            <color indexed="81"/>
            <rFont val="Tahoma"/>
            <family val="2"/>
          </rPr>
          <t xml:space="preserve">Average ratio of accommodation to international providers 
</t>
        </r>
        <r>
          <rPr>
            <sz val="8"/>
            <color indexed="81"/>
            <rFont val="Tahoma"/>
            <family val="2"/>
          </rPr>
          <t xml:space="preserve">
</t>
        </r>
      </text>
    </comment>
    <comment ref="J223" authorId="0">
      <text>
        <r>
          <rPr>
            <b/>
            <sz val="8"/>
            <color indexed="81"/>
            <rFont val="Tahoma"/>
            <family val="2"/>
          </rPr>
          <t xml:space="preserve">Average ratio of accommodation to international providers 
</t>
        </r>
        <r>
          <rPr>
            <sz val="8"/>
            <color indexed="81"/>
            <rFont val="Tahoma"/>
            <family val="2"/>
          </rPr>
          <t xml:space="preserve">
</t>
        </r>
      </text>
    </comment>
    <comment ref="K223" authorId="0">
      <text>
        <r>
          <rPr>
            <b/>
            <sz val="8"/>
            <color indexed="81"/>
            <rFont val="Tahoma"/>
            <family val="2"/>
          </rPr>
          <t xml:space="preserve">Average ratio of accommodation to international providers 
</t>
        </r>
        <r>
          <rPr>
            <sz val="8"/>
            <color indexed="81"/>
            <rFont val="Tahoma"/>
            <family val="2"/>
          </rPr>
          <t xml:space="preserve">
</t>
        </r>
      </text>
    </comment>
    <comment ref="F224" authorId="0">
      <text>
        <r>
          <rPr>
            <b/>
            <sz val="8"/>
            <color indexed="81"/>
            <rFont val="Tahoma"/>
            <family val="2"/>
          </rPr>
          <t xml:space="preserve">Average ratio of accommodation to international providers 
</t>
        </r>
        <r>
          <rPr>
            <sz val="8"/>
            <color indexed="81"/>
            <rFont val="Tahoma"/>
            <family val="2"/>
          </rPr>
          <t xml:space="preserve">
</t>
        </r>
      </text>
    </comment>
    <comment ref="G224" authorId="0">
      <text>
        <r>
          <rPr>
            <b/>
            <sz val="8"/>
            <color indexed="81"/>
            <rFont val="Tahoma"/>
            <family val="2"/>
          </rPr>
          <t xml:space="preserve">Average ratio of accommodation to international providers 
</t>
        </r>
        <r>
          <rPr>
            <sz val="8"/>
            <color indexed="81"/>
            <rFont val="Tahoma"/>
            <family val="2"/>
          </rPr>
          <t xml:space="preserve">
</t>
        </r>
      </text>
    </comment>
    <comment ref="H224" authorId="0">
      <text>
        <r>
          <rPr>
            <b/>
            <sz val="8"/>
            <color indexed="81"/>
            <rFont val="Tahoma"/>
            <family val="2"/>
          </rPr>
          <t xml:space="preserve">Average ratio of accommodation to international providers 
</t>
        </r>
        <r>
          <rPr>
            <sz val="8"/>
            <color indexed="81"/>
            <rFont val="Tahoma"/>
            <family val="2"/>
          </rPr>
          <t xml:space="preserve">
</t>
        </r>
      </text>
    </comment>
    <comment ref="I224" authorId="0">
      <text>
        <r>
          <rPr>
            <b/>
            <sz val="8"/>
            <color indexed="81"/>
            <rFont val="Tahoma"/>
            <family val="2"/>
          </rPr>
          <t xml:space="preserve">Average ratio of accommodation to international providers 
</t>
        </r>
        <r>
          <rPr>
            <sz val="8"/>
            <color indexed="81"/>
            <rFont val="Tahoma"/>
            <family val="2"/>
          </rPr>
          <t xml:space="preserve">
</t>
        </r>
      </text>
    </comment>
    <comment ref="J224" authorId="0">
      <text>
        <r>
          <rPr>
            <b/>
            <sz val="8"/>
            <color indexed="81"/>
            <rFont val="Tahoma"/>
            <family val="2"/>
          </rPr>
          <t xml:space="preserve">Average ratio of accommodation to international providers 
</t>
        </r>
        <r>
          <rPr>
            <sz val="8"/>
            <color indexed="81"/>
            <rFont val="Tahoma"/>
            <family val="2"/>
          </rPr>
          <t xml:space="preserve">
</t>
        </r>
      </text>
    </comment>
    <comment ref="K224" authorId="0">
      <text>
        <r>
          <rPr>
            <b/>
            <sz val="8"/>
            <color indexed="81"/>
            <rFont val="Tahoma"/>
            <family val="2"/>
          </rPr>
          <t xml:space="preserve">Average ratio of accommodation to international providers 
</t>
        </r>
        <r>
          <rPr>
            <sz val="8"/>
            <color indexed="81"/>
            <rFont val="Tahoma"/>
            <family val="2"/>
          </rPr>
          <t xml:space="preserve">
</t>
        </r>
      </text>
    </comment>
    <comment ref="F225" authorId="0">
      <text>
        <r>
          <rPr>
            <b/>
            <sz val="8"/>
            <color indexed="81"/>
            <rFont val="Tahoma"/>
            <family val="2"/>
          </rPr>
          <t xml:space="preserve">Average ratio of accommodation to international providers 
</t>
        </r>
        <r>
          <rPr>
            <sz val="8"/>
            <color indexed="81"/>
            <rFont val="Tahoma"/>
            <family val="2"/>
          </rPr>
          <t xml:space="preserve">
</t>
        </r>
      </text>
    </comment>
    <comment ref="G225" authorId="0">
      <text>
        <r>
          <rPr>
            <b/>
            <sz val="8"/>
            <color indexed="81"/>
            <rFont val="Tahoma"/>
            <family val="2"/>
          </rPr>
          <t xml:space="preserve">Average ratio of accommodation to international providers 
</t>
        </r>
        <r>
          <rPr>
            <sz val="8"/>
            <color indexed="81"/>
            <rFont val="Tahoma"/>
            <family val="2"/>
          </rPr>
          <t xml:space="preserve">
</t>
        </r>
      </text>
    </comment>
    <comment ref="H225" authorId="0">
      <text>
        <r>
          <rPr>
            <b/>
            <sz val="8"/>
            <color indexed="81"/>
            <rFont val="Tahoma"/>
            <family val="2"/>
          </rPr>
          <t xml:space="preserve">Average ratio of accommodation to international providers 
</t>
        </r>
        <r>
          <rPr>
            <sz val="8"/>
            <color indexed="81"/>
            <rFont val="Tahoma"/>
            <family val="2"/>
          </rPr>
          <t xml:space="preserve">
</t>
        </r>
      </text>
    </comment>
    <comment ref="I225" authorId="0">
      <text>
        <r>
          <rPr>
            <b/>
            <sz val="8"/>
            <color indexed="81"/>
            <rFont val="Tahoma"/>
            <family val="2"/>
          </rPr>
          <t xml:space="preserve">Average ratio of accommodation to international providers 
</t>
        </r>
        <r>
          <rPr>
            <sz val="8"/>
            <color indexed="81"/>
            <rFont val="Tahoma"/>
            <family val="2"/>
          </rPr>
          <t xml:space="preserve">
</t>
        </r>
      </text>
    </comment>
    <comment ref="J225" authorId="0">
      <text>
        <r>
          <rPr>
            <b/>
            <sz val="8"/>
            <color indexed="81"/>
            <rFont val="Tahoma"/>
            <family val="2"/>
          </rPr>
          <t xml:space="preserve">Average ratio of accommodation to international providers 
</t>
        </r>
        <r>
          <rPr>
            <sz val="8"/>
            <color indexed="81"/>
            <rFont val="Tahoma"/>
            <family val="2"/>
          </rPr>
          <t xml:space="preserve">
</t>
        </r>
      </text>
    </comment>
    <comment ref="K225" authorId="0">
      <text>
        <r>
          <rPr>
            <b/>
            <sz val="8"/>
            <color indexed="81"/>
            <rFont val="Tahoma"/>
            <family val="2"/>
          </rPr>
          <t xml:space="preserve">Average ratio of accommodation to international providers 
</t>
        </r>
        <r>
          <rPr>
            <sz val="8"/>
            <color indexed="81"/>
            <rFont val="Tahoma"/>
            <family val="2"/>
          </rPr>
          <t xml:space="preserve">
</t>
        </r>
      </text>
    </comment>
    <comment ref="F226" authorId="0">
      <text>
        <r>
          <rPr>
            <b/>
            <sz val="8"/>
            <color indexed="81"/>
            <rFont val="Tahoma"/>
            <family val="2"/>
          </rPr>
          <t xml:space="preserve">Average ratio of accommodation to international providers 
</t>
        </r>
        <r>
          <rPr>
            <sz val="8"/>
            <color indexed="81"/>
            <rFont val="Tahoma"/>
            <family val="2"/>
          </rPr>
          <t xml:space="preserve">
</t>
        </r>
      </text>
    </comment>
    <comment ref="G226" authorId="0">
      <text>
        <r>
          <rPr>
            <b/>
            <sz val="8"/>
            <color indexed="81"/>
            <rFont val="Tahoma"/>
            <family val="2"/>
          </rPr>
          <t xml:space="preserve">Average ratio of accommodation to international providers 
</t>
        </r>
        <r>
          <rPr>
            <sz val="8"/>
            <color indexed="81"/>
            <rFont val="Tahoma"/>
            <family val="2"/>
          </rPr>
          <t xml:space="preserve">
</t>
        </r>
      </text>
    </comment>
    <comment ref="H226" authorId="0">
      <text>
        <r>
          <rPr>
            <b/>
            <sz val="8"/>
            <color indexed="81"/>
            <rFont val="Tahoma"/>
            <family val="2"/>
          </rPr>
          <t xml:space="preserve">Average ratio of accommodation to international providers 
</t>
        </r>
        <r>
          <rPr>
            <sz val="8"/>
            <color indexed="81"/>
            <rFont val="Tahoma"/>
            <family val="2"/>
          </rPr>
          <t xml:space="preserve">
</t>
        </r>
      </text>
    </comment>
    <comment ref="I226" authorId="0">
      <text>
        <r>
          <rPr>
            <b/>
            <sz val="8"/>
            <color indexed="81"/>
            <rFont val="Tahoma"/>
            <family val="2"/>
          </rPr>
          <t xml:space="preserve">Average ratio of accommodation to international providers 
</t>
        </r>
        <r>
          <rPr>
            <sz val="8"/>
            <color indexed="81"/>
            <rFont val="Tahoma"/>
            <family val="2"/>
          </rPr>
          <t xml:space="preserve">
</t>
        </r>
      </text>
    </comment>
    <comment ref="J226" authorId="0">
      <text>
        <r>
          <rPr>
            <b/>
            <sz val="8"/>
            <color indexed="81"/>
            <rFont val="Tahoma"/>
            <family val="2"/>
          </rPr>
          <t xml:space="preserve">Average ratio of accommodation to international providers 
</t>
        </r>
        <r>
          <rPr>
            <sz val="8"/>
            <color indexed="81"/>
            <rFont val="Tahoma"/>
            <family val="2"/>
          </rPr>
          <t xml:space="preserve">
</t>
        </r>
      </text>
    </comment>
    <comment ref="K226" authorId="0">
      <text>
        <r>
          <rPr>
            <b/>
            <sz val="8"/>
            <color indexed="81"/>
            <rFont val="Tahoma"/>
            <family val="2"/>
          </rPr>
          <t xml:space="preserve">Average ratio of accommodation to international providers 
</t>
        </r>
        <r>
          <rPr>
            <sz val="8"/>
            <color indexed="81"/>
            <rFont val="Tahoma"/>
            <family val="2"/>
          </rPr>
          <t xml:space="preserve">
</t>
        </r>
      </text>
    </comment>
    <comment ref="F227" authorId="0">
      <text>
        <r>
          <rPr>
            <b/>
            <sz val="8"/>
            <color indexed="81"/>
            <rFont val="Tahoma"/>
            <family val="2"/>
          </rPr>
          <t xml:space="preserve">Average ratio of accommodation to international providers 
</t>
        </r>
        <r>
          <rPr>
            <sz val="8"/>
            <color indexed="81"/>
            <rFont val="Tahoma"/>
            <family val="2"/>
          </rPr>
          <t xml:space="preserve">
</t>
        </r>
      </text>
    </comment>
    <comment ref="G227" authorId="0">
      <text>
        <r>
          <rPr>
            <b/>
            <sz val="8"/>
            <color indexed="81"/>
            <rFont val="Tahoma"/>
            <family val="2"/>
          </rPr>
          <t xml:space="preserve">Average ratio of accommodation to international providers 
</t>
        </r>
        <r>
          <rPr>
            <sz val="8"/>
            <color indexed="81"/>
            <rFont val="Tahoma"/>
            <family val="2"/>
          </rPr>
          <t xml:space="preserve">
</t>
        </r>
      </text>
    </comment>
    <comment ref="H227" authorId="0">
      <text>
        <r>
          <rPr>
            <b/>
            <sz val="8"/>
            <color indexed="81"/>
            <rFont val="Tahoma"/>
            <family val="2"/>
          </rPr>
          <t xml:space="preserve">Average ratio of accommodation to international providers 
</t>
        </r>
        <r>
          <rPr>
            <sz val="8"/>
            <color indexed="81"/>
            <rFont val="Tahoma"/>
            <family val="2"/>
          </rPr>
          <t xml:space="preserve">
</t>
        </r>
      </text>
    </comment>
    <comment ref="I227" authorId="0">
      <text>
        <r>
          <rPr>
            <b/>
            <sz val="8"/>
            <color indexed="81"/>
            <rFont val="Tahoma"/>
            <family val="2"/>
          </rPr>
          <t xml:space="preserve">Average ratio of accommodation to international providers 
</t>
        </r>
        <r>
          <rPr>
            <sz val="8"/>
            <color indexed="81"/>
            <rFont val="Tahoma"/>
            <family val="2"/>
          </rPr>
          <t xml:space="preserve">
</t>
        </r>
      </text>
    </comment>
    <comment ref="J227" authorId="0">
      <text>
        <r>
          <rPr>
            <b/>
            <sz val="8"/>
            <color indexed="81"/>
            <rFont val="Tahoma"/>
            <family val="2"/>
          </rPr>
          <t xml:space="preserve">Average ratio of accommodation to international providers 
</t>
        </r>
        <r>
          <rPr>
            <sz val="8"/>
            <color indexed="81"/>
            <rFont val="Tahoma"/>
            <family val="2"/>
          </rPr>
          <t xml:space="preserve">
</t>
        </r>
      </text>
    </comment>
    <comment ref="K227" authorId="0">
      <text>
        <r>
          <rPr>
            <b/>
            <sz val="8"/>
            <color indexed="81"/>
            <rFont val="Tahoma"/>
            <family val="2"/>
          </rPr>
          <t xml:space="preserve">Average ratio of accommodation to international providers 
</t>
        </r>
        <r>
          <rPr>
            <sz val="8"/>
            <color indexed="81"/>
            <rFont val="Tahoma"/>
            <family val="2"/>
          </rPr>
          <t xml:space="preserve">
</t>
        </r>
      </text>
    </comment>
    <comment ref="F228" authorId="0">
      <text>
        <r>
          <rPr>
            <b/>
            <sz val="8"/>
            <color indexed="81"/>
            <rFont val="Tahoma"/>
            <family val="2"/>
          </rPr>
          <t xml:space="preserve">Average ratio of accommodation to international providers 
</t>
        </r>
        <r>
          <rPr>
            <sz val="8"/>
            <color indexed="81"/>
            <rFont val="Tahoma"/>
            <family val="2"/>
          </rPr>
          <t xml:space="preserve">
</t>
        </r>
      </text>
    </comment>
    <comment ref="G228" authorId="0">
      <text>
        <r>
          <rPr>
            <b/>
            <sz val="8"/>
            <color indexed="81"/>
            <rFont val="Tahoma"/>
            <family val="2"/>
          </rPr>
          <t xml:space="preserve">Average ratio of accommodation to international providers 
</t>
        </r>
        <r>
          <rPr>
            <sz val="8"/>
            <color indexed="81"/>
            <rFont val="Tahoma"/>
            <family val="2"/>
          </rPr>
          <t xml:space="preserve">
</t>
        </r>
      </text>
    </comment>
    <comment ref="H228" authorId="0">
      <text>
        <r>
          <rPr>
            <b/>
            <sz val="8"/>
            <color indexed="81"/>
            <rFont val="Tahoma"/>
            <family val="2"/>
          </rPr>
          <t xml:space="preserve">Average ratio of accommodation to international providers 
</t>
        </r>
        <r>
          <rPr>
            <sz val="8"/>
            <color indexed="81"/>
            <rFont val="Tahoma"/>
            <family val="2"/>
          </rPr>
          <t xml:space="preserve">
</t>
        </r>
      </text>
    </comment>
    <comment ref="I228" authorId="0">
      <text>
        <r>
          <rPr>
            <b/>
            <sz val="8"/>
            <color indexed="81"/>
            <rFont val="Tahoma"/>
            <family val="2"/>
          </rPr>
          <t xml:space="preserve">Average ratio of accommodation to international providers 
</t>
        </r>
        <r>
          <rPr>
            <sz val="8"/>
            <color indexed="81"/>
            <rFont val="Tahoma"/>
            <family val="2"/>
          </rPr>
          <t xml:space="preserve">
</t>
        </r>
      </text>
    </comment>
    <comment ref="J228" authorId="0">
      <text>
        <r>
          <rPr>
            <b/>
            <sz val="8"/>
            <color indexed="81"/>
            <rFont val="Tahoma"/>
            <family val="2"/>
          </rPr>
          <t xml:space="preserve">Average ratio of accommodation to international providers 
</t>
        </r>
        <r>
          <rPr>
            <sz val="8"/>
            <color indexed="81"/>
            <rFont val="Tahoma"/>
            <family val="2"/>
          </rPr>
          <t xml:space="preserve">
</t>
        </r>
      </text>
    </comment>
    <comment ref="K228" authorId="0">
      <text>
        <r>
          <rPr>
            <b/>
            <sz val="8"/>
            <color indexed="81"/>
            <rFont val="Tahoma"/>
            <family val="2"/>
          </rPr>
          <t xml:space="preserve">Average ratio of accommodation to international providers 
</t>
        </r>
        <r>
          <rPr>
            <sz val="8"/>
            <color indexed="81"/>
            <rFont val="Tahoma"/>
            <family val="2"/>
          </rPr>
          <t xml:space="preserve">
</t>
        </r>
      </text>
    </comment>
    <comment ref="F229" authorId="0">
      <text>
        <r>
          <rPr>
            <b/>
            <sz val="8"/>
            <color indexed="81"/>
            <rFont val="Tahoma"/>
            <family val="2"/>
          </rPr>
          <t xml:space="preserve">Average ratio of accommodation to international providers 
</t>
        </r>
        <r>
          <rPr>
            <sz val="8"/>
            <color indexed="81"/>
            <rFont val="Tahoma"/>
            <family val="2"/>
          </rPr>
          <t xml:space="preserve">
</t>
        </r>
      </text>
    </comment>
    <comment ref="G229" authorId="0">
      <text>
        <r>
          <rPr>
            <b/>
            <sz val="8"/>
            <color indexed="81"/>
            <rFont val="Tahoma"/>
            <family val="2"/>
          </rPr>
          <t xml:space="preserve">Average ratio of accommodation to international providers 
</t>
        </r>
        <r>
          <rPr>
            <sz val="8"/>
            <color indexed="81"/>
            <rFont val="Tahoma"/>
            <family val="2"/>
          </rPr>
          <t xml:space="preserve">
</t>
        </r>
      </text>
    </comment>
    <comment ref="H229" authorId="0">
      <text>
        <r>
          <rPr>
            <b/>
            <sz val="8"/>
            <color indexed="81"/>
            <rFont val="Tahoma"/>
            <family val="2"/>
          </rPr>
          <t xml:space="preserve">Average ratio of accommodation to international providers 
</t>
        </r>
        <r>
          <rPr>
            <sz val="8"/>
            <color indexed="81"/>
            <rFont val="Tahoma"/>
            <family val="2"/>
          </rPr>
          <t xml:space="preserve">
</t>
        </r>
      </text>
    </comment>
    <comment ref="I229" authorId="0">
      <text>
        <r>
          <rPr>
            <b/>
            <sz val="8"/>
            <color indexed="81"/>
            <rFont val="Tahoma"/>
            <family val="2"/>
          </rPr>
          <t xml:space="preserve">Average ratio of accommodation to international providers 
</t>
        </r>
        <r>
          <rPr>
            <sz val="8"/>
            <color indexed="81"/>
            <rFont val="Tahoma"/>
            <family val="2"/>
          </rPr>
          <t xml:space="preserve">
</t>
        </r>
      </text>
    </comment>
    <comment ref="J229" authorId="0">
      <text>
        <r>
          <rPr>
            <b/>
            <sz val="8"/>
            <color indexed="81"/>
            <rFont val="Tahoma"/>
            <family val="2"/>
          </rPr>
          <t xml:space="preserve">Average ratio of accommodation to international providers 
</t>
        </r>
        <r>
          <rPr>
            <sz val="8"/>
            <color indexed="81"/>
            <rFont val="Tahoma"/>
            <family val="2"/>
          </rPr>
          <t xml:space="preserve">
</t>
        </r>
      </text>
    </comment>
    <comment ref="K229" authorId="0">
      <text>
        <r>
          <rPr>
            <b/>
            <sz val="8"/>
            <color indexed="81"/>
            <rFont val="Tahoma"/>
            <family val="2"/>
          </rPr>
          <t xml:space="preserve">Average ratio of accommodation to international providers 
</t>
        </r>
        <r>
          <rPr>
            <sz val="8"/>
            <color indexed="81"/>
            <rFont val="Tahoma"/>
            <family val="2"/>
          </rPr>
          <t xml:space="preserve">
</t>
        </r>
      </text>
    </comment>
    <comment ref="F231" authorId="0">
      <text>
        <r>
          <rPr>
            <b/>
            <sz val="8"/>
            <color indexed="81"/>
            <rFont val="Tahoma"/>
            <family val="2"/>
          </rPr>
          <t xml:space="preserve">Average ratio of accommodation to domestic providers 
</t>
        </r>
        <r>
          <rPr>
            <sz val="8"/>
            <color indexed="81"/>
            <rFont val="Tahoma"/>
            <family val="2"/>
          </rPr>
          <t xml:space="preserve">
</t>
        </r>
      </text>
    </comment>
    <comment ref="G231" authorId="0">
      <text>
        <r>
          <rPr>
            <b/>
            <sz val="8"/>
            <color indexed="81"/>
            <rFont val="Tahoma"/>
            <family val="2"/>
          </rPr>
          <t xml:space="preserve">Average ratio of accommodation to domestic providers 
</t>
        </r>
        <r>
          <rPr>
            <sz val="8"/>
            <color indexed="81"/>
            <rFont val="Tahoma"/>
            <family val="2"/>
          </rPr>
          <t xml:space="preserve">
</t>
        </r>
      </text>
    </comment>
    <comment ref="H231" authorId="0">
      <text>
        <r>
          <rPr>
            <b/>
            <sz val="8"/>
            <color indexed="81"/>
            <rFont val="Tahoma"/>
            <family val="2"/>
          </rPr>
          <t xml:space="preserve">Average ratio of accommodation to domestic providers 
</t>
        </r>
        <r>
          <rPr>
            <sz val="8"/>
            <color indexed="81"/>
            <rFont val="Tahoma"/>
            <family val="2"/>
          </rPr>
          <t xml:space="preserve">
</t>
        </r>
      </text>
    </comment>
    <comment ref="I231" authorId="0">
      <text>
        <r>
          <rPr>
            <b/>
            <sz val="8"/>
            <color indexed="81"/>
            <rFont val="Tahoma"/>
            <family val="2"/>
          </rPr>
          <t xml:space="preserve">Average ratio of accommodation to domestic providers 
</t>
        </r>
        <r>
          <rPr>
            <sz val="8"/>
            <color indexed="81"/>
            <rFont val="Tahoma"/>
            <family val="2"/>
          </rPr>
          <t xml:space="preserve">
</t>
        </r>
      </text>
    </comment>
    <comment ref="J231" authorId="0">
      <text>
        <r>
          <rPr>
            <b/>
            <sz val="8"/>
            <color indexed="81"/>
            <rFont val="Tahoma"/>
            <family val="2"/>
          </rPr>
          <t xml:space="preserve">Average ratio of accommodation to domestic providers 
</t>
        </r>
        <r>
          <rPr>
            <sz val="8"/>
            <color indexed="81"/>
            <rFont val="Tahoma"/>
            <family val="2"/>
          </rPr>
          <t xml:space="preserve">
</t>
        </r>
      </text>
    </comment>
    <comment ref="K231" authorId="0">
      <text>
        <r>
          <rPr>
            <b/>
            <sz val="8"/>
            <color indexed="81"/>
            <rFont val="Tahoma"/>
            <family val="2"/>
          </rPr>
          <t xml:space="preserve">Average ratio of accommodation to domestic providers 
</t>
        </r>
        <r>
          <rPr>
            <sz val="8"/>
            <color indexed="81"/>
            <rFont val="Tahoma"/>
            <family val="2"/>
          </rPr>
          <t xml:space="preserve">
</t>
        </r>
      </text>
    </comment>
    <comment ref="F232" authorId="0">
      <text>
        <r>
          <rPr>
            <b/>
            <sz val="8"/>
            <color indexed="81"/>
            <rFont val="Tahoma"/>
            <family val="2"/>
          </rPr>
          <t xml:space="preserve">Average ratio of accommodation to domestic providers 
</t>
        </r>
        <r>
          <rPr>
            <sz val="8"/>
            <color indexed="81"/>
            <rFont val="Tahoma"/>
            <family val="2"/>
          </rPr>
          <t xml:space="preserve">
</t>
        </r>
      </text>
    </comment>
    <comment ref="G232" authorId="0">
      <text>
        <r>
          <rPr>
            <b/>
            <sz val="8"/>
            <color indexed="81"/>
            <rFont val="Tahoma"/>
            <family val="2"/>
          </rPr>
          <t xml:space="preserve">Average ratio of accommodation to domestic providers 
</t>
        </r>
        <r>
          <rPr>
            <sz val="8"/>
            <color indexed="81"/>
            <rFont val="Tahoma"/>
            <family val="2"/>
          </rPr>
          <t xml:space="preserve">
</t>
        </r>
      </text>
    </comment>
    <comment ref="H232" authorId="0">
      <text>
        <r>
          <rPr>
            <b/>
            <sz val="8"/>
            <color indexed="81"/>
            <rFont val="Tahoma"/>
            <family val="2"/>
          </rPr>
          <t xml:space="preserve">Average ratio of accommodation to domestic providers 
</t>
        </r>
        <r>
          <rPr>
            <sz val="8"/>
            <color indexed="81"/>
            <rFont val="Tahoma"/>
            <family val="2"/>
          </rPr>
          <t xml:space="preserve">
</t>
        </r>
      </text>
    </comment>
    <comment ref="I232" authorId="0">
      <text>
        <r>
          <rPr>
            <b/>
            <sz val="8"/>
            <color indexed="81"/>
            <rFont val="Tahoma"/>
            <family val="2"/>
          </rPr>
          <t xml:space="preserve">Average ratio of accommodation to domestic providers 
</t>
        </r>
        <r>
          <rPr>
            <sz val="8"/>
            <color indexed="81"/>
            <rFont val="Tahoma"/>
            <family val="2"/>
          </rPr>
          <t xml:space="preserve">
</t>
        </r>
      </text>
    </comment>
    <comment ref="J232" authorId="0">
      <text>
        <r>
          <rPr>
            <b/>
            <sz val="8"/>
            <color indexed="81"/>
            <rFont val="Tahoma"/>
            <family val="2"/>
          </rPr>
          <t xml:space="preserve">Average ratio of accommodation to domestic providers 
</t>
        </r>
        <r>
          <rPr>
            <sz val="8"/>
            <color indexed="81"/>
            <rFont val="Tahoma"/>
            <family val="2"/>
          </rPr>
          <t xml:space="preserve">
</t>
        </r>
      </text>
    </comment>
    <comment ref="K232" authorId="0">
      <text>
        <r>
          <rPr>
            <b/>
            <sz val="8"/>
            <color indexed="81"/>
            <rFont val="Tahoma"/>
            <family val="2"/>
          </rPr>
          <t xml:space="preserve">Average ratio of accommodation to domestic providers 
</t>
        </r>
        <r>
          <rPr>
            <sz val="8"/>
            <color indexed="81"/>
            <rFont val="Tahoma"/>
            <family val="2"/>
          </rPr>
          <t xml:space="preserve">
</t>
        </r>
      </text>
    </comment>
    <comment ref="F233" authorId="0">
      <text>
        <r>
          <rPr>
            <b/>
            <sz val="8"/>
            <color indexed="81"/>
            <rFont val="Tahoma"/>
            <family val="2"/>
          </rPr>
          <t xml:space="preserve">Average ratio of accommodation to domestic providers 
</t>
        </r>
        <r>
          <rPr>
            <sz val="8"/>
            <color indexed="81"/>
            <rFont val="Tahoma"/>
            <family val="2"/>
          </rPr>
          <t xml:space="preserve">
</t>
        </r>
      </text>
    </comment>
    <comment ref="G233" authorId="0">
      <text>
        <r>
          <rPr>
            <b/>
            <sz val="8"/>
            <color indexed="81"/>
            <rFont val="Tahoma"/>
            <family val="2"/>
          </rPr>
          <t xml:space="preserve">Average ratio of accommodation to domestic providers 
</t>
        </r>
        <r>
          <rPr>
            <sz val="8"/>
            <color indexed="81"/>
            <rFont val="Tahoma"/>
            <family val="2"/>
          </rPr>
          <t xml:space="preserve">
</t>
        </r>
      </text>
    </comment>
    <comment ref="H233" authorId="0">
      <text>
        <r>
          <rPr>
            <b/>
            <sz val="8"/>
            <color indexed="81"/>
            <rFont val="Tahoma"/>
            <family val="2"/>
          </rPr>
          <t xml:space="preserve">Average ratio of accommodation to domestic providers 
</t>
        </r>
        <r>
          <rPr>
            <sz val="8"/>
            <color indexed="81"/>
            <rFont val="Tahoma"/>
            <family val="2"/>
          </rPr>
          <t xml:space="preserve">
</t>
        </r>
      </text>
    </comment>
    <comment ref="I233" authorId="0">
      <text>
        <r>
          <rPr>
            <b/>
            <sz val="8"/>
            <color indexed="81"/>
            <rFont val="Tahoma"/>
            <family val="2"/>
          </rPr>
          <t xml:space="preserve">Average ratio of accommodation to domestic providers 
</t>
        </r>
        <r>
          <rPr>
            <sz val="8"/>
            <color indexed="81"/>
            <rFont val="Tahoma"/>
            <family val="2"/>
          </rPr>
          <t xml:space="preserve">
</t>
        </r>
      </text>
    </comment>
    <comment ref="J233" authorId="0">
      <text>
        <r>
          <rPr>
            <b/>
            <sz val="8"/>
            <color indexed="81"/>
            <rFont val="Tahoma"/>
            <family val="2"/>
          </rPr>
          <t xml:space="preserve">Average ratio of accommodation to domestic providers 
</t>
        </r>
        <r>
          <rPr>
            <sz val="8"/>
            <color indexed="81"/>
            <rFont val="Tahoma"/>
            <family val="2"/>
          </rPr>
          <t xml:space="preserve">
</t>
        </r>
      </text>
    </comment>
    <comment ref="K233" authorId="0">
      <text>
        <r>
          <rPr>
            <b/>
            <sz val="8"/>
            <color indexed="81"/>
            <rFont val="Tahoma"/>
            <family val="2"/>
          </rPr>
          <t xml:space="preserve">Average ratio of accommodation to domestic providers 
</t>
        </r>
        <r>
          <rPr>
            <sz val="8"/>
            <color indexed="81"/>
            <rFont val="Tahoma"/>
            <family val="2"/>
          </rPr>
          <t xml:space="preserve">
</t>
        </r>
      </text>
    </comment>
    <comment ref="F234" authorId="0">
      <text>
        <r>
          <rPr>
            <b/>
            <sz val="8"/>
            <color indexed="81"/>
            <rFont val="Tahoma"/>
            <family val="2"/>
          </rPr>
          <t xml:space="preserve">Average ratio of accommodation to domestic providers 
</t>
        </r>
        <r>
          <rPr>
            <sz val="8"/>
            <color indexed="81"/>
            <rFont val="Tahoma"/>
            <family val="2"/>
          </rPr>
          <t xml:space="preserve">
</t>
        </r>
      </text>
    </comment>
    <comment ref="G234" authorId="0">
      <text>
        <r>
          <rPr>
            <b/>
            <sz val="8"/>
            <color indexed="81"/>
            <rFont val="Tahoma"/>
            <family val="2"/>
          </rPr>
          <t xml:space="preserve">Average ratio of accommodation to domestic providers 
</t>
        </r>
        <r>
          <rPr>
            <sz val="8"/>
            <color indexed="81"/>
            <rFont val="Tahoma"/>
            <family val="2"/>
          </rPr>
          <t xml:space="preserve">
</t>
        </r>
      </text>
    </comment>
    <comment ref="H234" authorId="0">
      <text>
        <r>
          <rPr>
            <b/>
            <sz val="8"/>
            <color indexed="81"/>
            <rFont val="Tahoma"/>
            <family val="2"/>
          </rPr>
          <t xml:space="preserve">Average ratio of accommodation to domestic providers 
</t>
        </r>
        <r>
          <rPr>
            <sz val="8"/>
            <color indexed="81"/>
            <rFont val="Tahoma"/>
            <family val="2"/>
          </rPr>
          <t xml:space="preserve">
</t>
        </r>
      </text>
    </comment>
    <comment ref="I234" authorId="0">
      <text>
        <r>
          <rPr>
            <b/>
            <sz val="8"/>
            <color indexed="81"/>
            <rFont val="Tahoma"/>
            <family val="2"/>
          </rPr>
          <t xml:space="preserve">Average ratio of accommodation to domestic providers 
</t>
        </r>
        <r>
          <rPr>
            <sz val="8"/>
            <color indexed="81"/>
            <rFont val="Tahoma"/>
            <family val="2"/>
          </rPr>
          <t xml:space="preserve">
</t>
        </r>
      </text>
    </comment>
    <comment ref="J234" authorId="0">
      <text>
        <r>
          <rPr>
            <b/>
            <sz val="8"/>
            <color indexed="81"/>
            <rFont val="Tahoma"/>
            <family val="2"/>
          </rPr>
          <t xml:space="preserve">Average ratio of accommodation to domestic providers 
</t>
        </r>
        <r>
          <rPr>
            <sz val="8"/>
            <color indexed="81"/>
            <rFont val="Tahoma"/>
            <family val="2"/>
          </rPr>
          <t xml:space="preserve">
</t>
        </r>
      </text>
    </comment>
    <comment ref="K234" authorId="0">
      <text>
        <r>
          <rPr>
            <b/>
            <sz val="8"/>
            <color indexed="81"/>
            <rFont val="Tahoma"/>
            <family val="2"/>
          </rPr>
          <t xml:space="preserve">Average ratio of accommodation to domestic providers 
</t>
        </r>
        <r>
          <rPr>
            <sz val="8"/>
            <color indexed="81"/>
            <rFont val="Tahoma"/>
            <family val="2"/>
          </rPr>
          <t xml:space="preserve">
</t>
        </r>
      </text>
    </comment>
    <comment ref="F235" authorId="0">
      <text>
        <r>
          <rPr>
            <b/>
            <sz val="8"/>
            <color indexed="81"/>
            <rFont val="Tahoma"/>
            <family val="2"/>
          </rPr>
          <t xml:space="preserve">Average ratio of accommodation to domestic providers 
</t>
        </r>
        <r>
          <rPr>
            <sz val="8"/>
            <color indexed="81"/>
            <rFont val="Tahoma"/>
            <family val="2"/>
          </rPr>
          <t xml:space="preserve">
</t>
        </r>
      </text>
    </comment>
    <comment ref="G235" authorId="0">
      <text>
        <r>
          <rPr>
            <b/>
            <sz val="8"/>
            <color indexed="81"/>
            <rFont val="Tahoma"/>
            <family val="2"/>
          </rPr>
          <t xml:space="preserve">Average ratio of accommodation to domestic providers 
</t>
        </r>
        <r>
          <rPr>
            <sz val="8"/>
            <color indexed="81"/>
            <rFont val="Tahoma"/>
            <family val="2"/>
          </rPr>
          <t xml:space="preserve">
</t>
        </r>
      </text>
    </comment>
    <comment ref="H235" authorId="0">
      <text>
        <r>
          <rPr>
            <b/>
            <sz val="8"/>
            <color indexed="81"/>
            <rFont val="Tahoma"/>
            <family val="2"/>
          </rPr>
          <t xml:space="preserve">Average ratio of accommodation to domestic providers 
</t>
        </r>
        <r>
          <rPr>
            <sz val="8"/>
            <color indexed="81"/>
            <rFont val="Tahoma"/>
            <family val="2"/>
          </rPr>
          <t xml:space="preserve">
</t>
        </r>
      </text>
    </comment>
    <comment ref="I235" authorId="0">
      <text>
        <r>
          <rPr>
            <b/>
            <sz val="8"/>
            <color indexed="81"/>
            <rFont val="Tahoma"/>
            <family val="2"/>
          </rPr>
          <t xml:space="preserve">Average ratio of accommodation to domestic providers 
</t>
        </r>
        <r>
          <rPr>
            <sz val="8"/>
            <color indexed="81"/>
            <rFont val="Tahoma"/>
            <family val="2"/>
          </rPr>
          <t xml:space="preserve">
</t>
        </r>
      </text>
    </comment>
    <comment ref="J235" authorId="0">
      <text>
        <r>
          <rPr>
            <b/>
            <sz val="8"/>
            <color indexed="81"/>
            <rFont val="Tahoma"/>
            <family val="2"/>
          </rPr>
          <t xml:space="preserve">Average ratio of accommodation to domestic providers 
</t>
        </r>
        <r>
          <rPr>
            <sz val="8"/>
            <color indexed="81"/>
            <rFont val="Tahoma"/>
            <family val="2"/>
          </rPr>
          <t xml:space="preserve">
</t>
        </r>
      </text>
    </comment>
    <comment ref="K235" authorId="0">
      <text>
        <r>
          <rPr>
            <b/>
            <sz val="8"/>
            <color indexed="81"/>
            <rFont val="Tahoma"/>
            <family val="2"/>
          </rPr>
          <t xml:space="preserve">Average ratio of accommodation to domestic providers 
</t>
        </r>
        <r>
          <rPr>
            <sz val="8"/>
            <color indexed="81"/>
            <rFont val="Tahoma"/>
            <family val="2"/>
          </rPr>
          <t xml:space="preserve">
</t>
        </r>
      </text>
    </comment>
    <comment ref="F236" authorId="0">
      <text>
        <r>
          <rPr>
            <b/>
            <sz val="8"/>
            <color indexed="81"/>
            <rFont val="Tahoma"/>
            <family val="2"/>
          </rPr>
          <t xml:space="preserve">Average ratio of accommodation to domestic providers 
</t>
        </r>
        <r>
          <rPr>
            <sz val="8"/>
            <color indexed="81"/>
            <rFont val="Tahoma"/>
            <family val="2"/>
          </rPr>
          <t xml:space="preserve">
</t>
        </r>
      </text>
    </comment>
    <comment ref="G236" authorId="0">
      <text>
        <r>
          <rPr>
            <b/>
            <sz val="8"/>
            <color indexed="81"/>
            <rFont val="Tahoma"/>
            <family val="2"/>
          </rPr>
          <t xml:space="preserve">Average ratio of accommodation to domestic providers 
</t>
        </r>
        <r>
          <rPr>
            <sz val="8"/>
            <color indexed="81"/>
            <rFont val="Tahoma"/>
            <family val="2"/>
          </rPr>
          <t xml:space="preserve">
</t>
        </r>
      </text>
    </comment>
    <comment ref="H236" authorId="0">
      <text>
        <r>
          <rPr>
            <b/>
            <sz val="8"/>
            <color indexed="81"/>
            <rFont val="Tahoma"/>
            <family val="2"/>
          </rPr>
          <t xml:space="preserve">Average ratio of accommodation to domestic providers 
</t>
        </r>
        <r>
          <rPr>
            <sz val="8"/>
            <color indexed="81"/>
            <rFont val="Tahoma"/>
            <family val="2"/>
          </rPr>
          <t xml:space="preserve">
</t>
        </r>
      </text>
    </comment>
    <comment ref="I236" authorId="0">
      <text>
        <r>
          <rPr>
            <b/>
            <sz val="8"/>
            <color indexed="81"/>
            <rFont val="Tahoma"/>
            <family val="2"/>
          </rPr>
          <t xml:space="preserve">Average ratio of accommodation to domestic providers 
</t>
        </r>
        <r>
          <rPr>
            <sz val="8"/>
            <color indexed="81"/>
            <rFont val="Tahoma"/>
            <family val="2"/>
          </rPr>
          <t xml:space="preserve">
</t>
        </r>
      </text>
    </comment>
    <comment ref="J236" authorId="0">
      <text>
        <r>
          <rPr>
            <b/>
            <sz val="8"/>
            <color indexed="81"/>
            <rFont val="Tahoma"/>
            <family val="2"/>
          </rPr>
          <t xml:space="preserve">Average ratio of accommodation to domestic providers 
</t>
        </r>
        <r>
          <rPr>
            <sz val="8"/>
            <color indexed="81"/>
            <rFont val="Tahoma"/>
            <family val="2"/>
          </rPr>
          <t xml:space="preserve">
</t>
        </r>
      </text>
    </comment>
    <comment ref="K236" authorId="0">
      <text>
        <r>
          <rPr>
            <b/>
            <sz val="8"/>
            <color indexed="81"/>
            <rFont val="Tahoma"/>
            <family val="2"/>
          </rPr>
          <t xml:space="preserve">Average ratio of accommodation to domestic providers 
</t>
        </r>
        <r>
          <rPr>
            <sz val="8"/>
            <color indexed="81"/>
            <rFont val="Tahoma"/>
            <family val="2"/>
          </rPr>
          <t xml:space="preserve">
</t>
        </r>
      </text>
    </comment>
    <comment ref="F237" authorId="0">
      <text>
        <r>
          <rPr>
            <b/>
            <sz val="8"/>
            <color indexed="81"/>
            <rFont val="Tahoma"/>
            <family val="2"/>
          </rPr>
          <t xml:space="preserve">Average ratio of accommodation to domestic providers 
</t>
        </r>
        <r>
          <rPr>
            <sz val="8"/>
            <color indexed="81"/>
            <rFont val="Tahoma"/>
            <family val="2"/>
          </rPr>
          <t xml:space="preserve">
</t>
        </r>
      </text>
    </comment>
    <comment ref="G237" authorId="0">
      <text>
        <r>
          <rPr>
            <b/>
            <sz val="8"/>
            <color indexed="81"/>
            <rFont val="Tahoma"/>
            <family val="2"/>
          </rPr>
          <t xml:space="preserve">Average ratio of accommodation to domestic providers 
</t>
        </r>
        <r>
          <rPr>
            <sz val="8"/>
            <color indexed="81"/>
            <rFont val="Tahoma"/>
            <family val="2"/>
          </rPr>
          <t xml:space="preserve">
</t>
        </r>
      </text>
    </comment>
    <comment ref="H237" authorId="0">
      <text>
        <r>
          <rPr>
            <b/>
            <sz val="8"/>
            <color indexed="81"/>
            <rFont val="Tahoma"/>
            <family val="2"/>
          </rPr>
          <t xml:space="preserve">Average ratio of accommodation to domestic providers 
</t>
        </r>
        <r>
          <rPr>
            <sz val="8"/>
            <color indexed="81"/>
            <rFont val="Tahoma"/>
            <family val="2"/>
          </rPr>
          <t xml:space="preserve">
</t>
        </r>
      </text>
    </comment>
    <comment ref="I237" authorId="0">
      <text>
        <r>
          <rPr>
            <b/>
            <sz val="8"/>
            <color indexed="81"/>
            <rFont val="Tahoma"/>
            <family val="2"/>
          </rPr>
          <t xml:space="preserve">Average ratio of accommodation to domestic providers 
</t>
        </r>
        <r>
          <rPr>
            <sz val="8"/>
            <color indexed="81"/>
            <rFont val="Tahoma"/>
            <family val="2"/>
          </rPr>
          <t xml:space="preserve">
</t>
        </r>
      </text>
    </comment>
    <comment ref="J237" authorId="0">
      <text>
        <r>
          <rPr>
            <b/>
            <sz val="8"/>
            <color indexed="81"/>
            <rFont val="Tahoma"/>
            <family val="2"/>
          </rPr>
          <t xml:space="preserve">Average ratio of accommodation to domestic providers 
</t>
        </r>
        <r>
          <rPr>
            <sz val="8"/>
            <color indexed="81"/>
            <rFont val="Tahoma"/>
            <family val="2"/>
          </rPr>
          <t xml:space="preserve">
</t>
        </r>
      </text>
    </comment>
    <comment ref="K237" authorId="0">
      <text>
        <r>
          <rPr>
            <b/>
            <sz val="8"/>
            <color indexed="81"/>
            <rFont val="Tahoma"/>
            <family val="2"/>
          </rPr>
          <t xml:space="preserve">Average ratio of accommodation to domestic providers 
</t>
        </r>
        <r>
          <rPr>
            <sz val="8"/>
            <color indexed="81"/>
            <rFont val="Tahoma"/>
            <family val="2"/>
          </rPr>
          <t xml:space="preserve">
</t>
        </r>
      </text>
    </comment>
    <comment ref="F239" authorId="0">
      <text>
        <r>
          <rPr>
            <b/>
            <sz val="8"/>
            <color indexed="81"/>
            <rFont val="Tahoma"/>
            <family val="2"/>
          </rPr>
          <t>Average ratio of dome
stic providers to total domestic expenditure including domestic providers</t>
        </r>
        <r>
          <rPr>
            <sz val="8"/>
            <color indexed="81"/>
            <rFont val="Tahoma"/>
            <family val="2"/>
          </rPr>
          <t xml:space="preserve">
</t>
        </r>
      </text>
    </comment>
    <comment ref="G239" authorId="0">
      <text>
        <r>
          <rPr>
            <b/>
            <sz val="8"/>
            <color indexed="81"/>
            <rFont val="Tahoma"/>
            <family val="2"/>
          </rPr>
          <t>Average ratio of dome
stic providers to total domestic expenditure including domestic providers</t>
        </r>
        <r>
          <rPr>
            <sz val="8"/>
            <color indexed="81"/>
            <rFont val="Tahoma"/>
            <family val="2"/>
          </rPr>
          <t xml:space="preserve">
</t>
        </r>
      </text>
    </comment>
    <comment ref="H239" authorId="0">
      <text>
        <r>
          <rPr>
            <b/>
            <sz val="8"/>
            <color indexed="81"/>
            <rFont val="Tahoma"/>
            <family val="2"/>
          </rPr>
          <t>Average ratio of dome
stic providers to total domestic expenditure including domestic providers</t>
        </r>
        <r>
          <rPr>
            <sz val="8"/>
            <color indexed="81"/>
            <rFont val="Tahoma"/>
            <family val="2"/>
          </rPr>
          <t xml:space="preserve">
</t>
        </r>
      </text>
    </comment>
    <comment ref="I239" authorId="0">
      <text>
        <r>
          <rPr>
            <b/>
            <sz val="8"/>
            <color indexed="81"/>
            <rFont val="Tahoma"/>
            <family val="2"/>
          </rPr>
          <t>Average ratio of dome
stic providers to total domestic expenditure including domestic providers</t>
        </r>
        <r>
          <rPr>
            <sz val="8"/>
            <color indexed="81"/>
            <rFont val="Tahoma"/>
            <family val="2"/>
          </rPr>
          <t xml:space="preserve">
</t>
        </r>
      </text>
    </comment>
    <comment ref="J239" authorId="0">
      <text>
        <r>
          <rPr>
            <b/>
            <sz val="8"/>
            <color indexed="81"/>
            <rFont val="Tahoma"/>
            <family val="2"/>
          </rPr>
          <t>Average ratio of dome
stic providers to total domestic expenditure including domestic providers</t>
        </r>
        <r>
          <rPr>
            <sz val="8"/>
            <color indexed="81"/>
            <rFont val="Tahoma"/>
            <family val="2"/>
          </rPr>
          <t xml:space="preserve">
</t>
        </r>
      </text>
    </comment>
    <comment ref="K239" authorId="0">
      <text>
        <r>
          <rPr>
            <b/>
            <sz val="8"/>
            <color indexed="81"/>
            <rFont val="Tahoma"/>
            <family val="2"/>
          </rPr>
          <t>Average ratio of dome
stic providers to total domestic expenditure including domestic providers</t>
        </r>
        <r>
          <rPr>
            <sz val="8"/>
            <color indexed="81"/>
            <rFont val="Tahoma"/>
            <family val="2"/>
          </rPr>
          <t xml:space="preserve">
</t>
        </r>
      </text>
    </comment>
    <comment ref="F242" authorId="0">
      <text>
        <r>
          <rPr>
            <b/>
            <sz val="8"/>
            <color indexed="81"/>
            <rFont val="Tahoma"/>
            <family val="2"/>
          </rPr>
          <t xml:space="preserve">Average ratio of accommodation to direct tourism output 
</t>
        </r>
        <r>
          <rPr>
            <sz val="8"/>
            <color indexed="81"/>
            <rFont val="Tahoma"/>
            <family val="2"/>
          </rPr>
          <t xml:space="preserve">
</t>
        </r>
      </text>
    </comment>
    <comment ref="G242" authorId="0">
      <text>
        <r>
          <rPr>
            <b/>
            <sz val="8"/>
            <color indexed="81"/>
            <rFont val="Tahoma"/>
            <family val="2"/>
          </rPr>
          <t xml:space="preserve">Average ratio of accommodation to direct tourism output 
</t>
        </r>
        <r>
          <rPr>
            <sz val="8"/>
            <color indexed="81"/>
            <rFont val="Tahoma"/>
            <family val="2"/>
          </rPr>
          <t xml:space="preserve">
</t>
        </r>
      </text>
    </comment>
    <comment ref="H242" authorId="0">
      <text>
        <r>
          <rPr>
            <b/>
            <sz val="8"/>
            <color indexed="81"/>
            <rFont val="Tahoma"/>
            <family val="2"/>
          </rPr>
          <t xml:space="preserve">Average ratio of accommodation to direct tourism output 
</t>
        </r>
        <r>
          <rPr>
            <sz val="8"/>
            <color indexed="81"/>
            <rFont val="Tahoma"/>
            <family val="2"/>
          </rPr>
          <t xml:space="preserve">
</t>
        </r>
      </text>
    </comment>
    <comment ref="I242" authorId="0">
      <text>
        <r>
          <rPr>
            <b/>
            <sz val="8"/>
            <color indexed="81"/>
            <rFont val="Tahoma"/>
            <family val="2"/>
          </rPr>
          <t xml:space="preserve">Average ratio of accommodation to direct tourism output 
</t>
        </r>
        <r>
          <rPr>
            <sz val="8"/>
            <color indexed="81"/>
            <rFont val="Tahoma"/>
            <family val="2"/>
          </rPr>
          <t xml:space="preserve">
</t>
        </r>
      </text>
    </comment>
    <comment ref="J242" authorId="0">
      <text>
        <r>
          <rPr>
            <b/>
            <sz val="8"/>
            <color indexed="81"/>
            <rFont val="Tahoma"/>
            <family val="2"/>
          </rPr>
          <t xml:space="preserve">Average ratio of accommodation to direct tourism output 
</t>
        </r>
        <r>
          <rPr>
            <sz val="8"/>
            <color indexed="81"/>
            <rFont val="Tahoma"/>
            <family val="2"/>
          </rPr>
          <t xml:space="preserve">
</t>
        </r>
      </text>
    </comment>
    <comment ref="K242" authorId="0">
      <text>
        <r>
          <rPr>
            <b/>
            <sz val="8"/>
            <color indexed="81"/>
            <rFont val="Tahoma"/>
            <family val="2"/>
          </rPr>
          <t xml:space="preserve">Average ratio of accommodation to direct tourism output 
</t>
        </r>
        <r>
          <rPr>
            <sz val="8"/>
            <color indexed="81"/>
            <rFont val="Tahoma"/>
            <family val="2"/>
          </rPr>
          <t xml:space="preserve">
</t>
        </r>
      </text>
    </comment>
    <comment ref="F243" authorId="0">
      <text>
        <r>
          <rPr>
            <b/>
            <sz val="8"/>
            <color indexed="81"/>
            <rFont val="Tahoma"/>
            <family val="2"/>
          </rPr>
          <t xml:space="preserve">Average ratio of accommodation to direct tourism output 
</t>
        </r>
        <r>
          <rPr>
            <sz val="8"/>
            <color indexed="81"/>
            <rFont val="Tahoma"/>
            <family val="2"/>
          </rPr>
          <t xml:space="preserve">
</t>
        </r>
      </text>
    </comment>
    <comment ref="G243" authorId="0">
      <text>
        <r>
          <rPr>
            <b/>
            <sz val="8"/>
            <color indexed="81"/>
            <rFont val="Tahoma"/>
            <family val="2"/>
          </rPr>
          <t xml:space="preserve">Average ratio of accommodation to direct tourism output 
</t>
        </r>
        <r>
          <rPr>
            <sz val="8"/>
            <color indexed="81"/>
            <rFont val="Tahoma"/>
            <family val="2"/>
          </rPr>
          <t xml:space="preserve">
</t>
        </r>
      </text>
    </comment>
    <comment ref="H243" authorId="0">
      <text>
        <r>
          <rPr>
            <b/>
            <sz val="8"/>
            <color indexed="81"/>
            <rFont val="Tahoma"/>
            <family val="2"/>
          </rPr>
          <t xml:space="preserve">Average ratio of accommodation to direct tourism output 
</t>
        </r>
        <r>
          <rPr>
            <sz val="8"/>
            <color indexed="81"/>
            <rFont val="Tahoma"/>
            <family val="2"/>
          </rPr>
          <t xml:space="preserve">
</t>
        </r>
      </text>
    </comment>
    <comment ref="I243" authorId="0">
      <text>
        <r>
          <rPr>
            <b/>
            <sz val="8"/>
            <color indexed="81"/>
            <rFont val="Tahoma"/>
            <family val="2"/>
          </rPr>
          <t xml:space="preserve">Average ratio of accommodation to direct tourism output 
</t>
        </r>
        <r>
          <rPr>
            <sz val="8"/>
            <color indexed="81"/>
            <rFont val="Tahoma"/>
            <family val="2"/>
          </rPr>
          <t xml:space="preserve">
</t>
        </r>
      </text>
    </comment>
    <comment ref="J243" authorId="0">
      <text>
        <r>
          <rPr>
            <b/>
            <sz val="8"/>
            <color indexed="81"/>
            <rFont val="Tahoma"/>
            <family val="2"/>
          </rPr>
          <t xml:space="preserve">Average ratio of accommodation to direct tourism output 
</t>
        </r>
        <r>
          <rPr>
            <sz val="8"/>
            <color indexed="81"/>
            <rFont val="Tahoma"/>
            <family val="2"/>
          </rPr>
          <t xml:space="preserve">
</t>
        </r>
      </text>
    </comment>
    <comment ref="K243" authorId="0">
      <text>
        <r>
          <rPr>
            <b/>
            <sz val="8"/>
            <color indexed="81"/>
            <rFont val="Tahoma"/>
            <family val="2"/>
          </rPr>
          <t xml:space="preserve">Average ratio of accommodation to direct tourism output 
</t>
        </r>
        <r>
          <rPr>
            <sz val="8"/>
            <color indexed="81"/>
            <rFont val="Tahoma"/>
            <family val="2"/>
          </rPr>
          <t xml:space="preserve">
</t>
        </r>
      </text>
    </comment>
    <comment ref="F244" authorId="0">
      <text>
        <r>
          <rPr>
            <b/>
            <sz val="8"/>
            <color indexed="81"/>
            <rFont val="Tahoma"/>
            <family val="2"/>
          </rPr>
          <t xml:space="preserve">Average ratio of accommodation to direct tourism output 
</t>
        </r>
        <r>
          <rPr>
            <sz val="8"/>
            <color indexed="81"/>
            <rFont val="Tahoma"/>
            <family val="2"/>
          </rPr>
          <t xml:space="preserve">
</t>
        </r>
      </text>
    </comment>
    <comment ref="G244" authorId="0">
      <text>
        <r>
          <rPr>
            <b/>
            <sz val="8"/>
            <color indexed="81"/>
            <rFont val="Tahoma"/>
            <family val="2"/>
          </rPr>
          <t xml:space="preserve">Average ratio of accommodation to direct tourism output 
</t>
        </r>
        <r>
          <rPr>
            <sz val="8"/>
            <color indexed="81"/>
            <rFont val="Tahoma"/>
            <family val="2"/>
          </rPr>
          <t xml:space="preserve">
</t>
        </r>
      </text>
    </comment>
    <comment ref="H244" authorId="0">
      <text>
        <r>
          <rPr>
            <b/>
            <sz val="8"/>
            <color indexed="81"/>
            <rFont val="Tahoma"/>
            <family val="2"/>
          </rPr>
          <t xml:space="preserve">Average ratio of accommodation to direct tourism output 
</t>
        </r>
        <r>
          <rPr>
            <sz val="8"/>
            <color indexed="81"/>
            <rFont val="Tahoma"/>
            <family val="2"/>
          </rPr>
          <t xml:space="preserve">
</t>
        </r>
      </text>
    </comment>
    <comment ref="I244" authorId="0">
      <text>
        <r>
          <rPr>
            <b/>
            <sz val="8"/>
            <color indexed="81"/>
            <rFont val="Tahoma"/>
            <family val="2"/>
          </rPr>
          <t xml:space="preserve">Average ratio of accommodation to direct tourism output 
</t>
        </r>
        <r>
          <rPr>
            <sz val="8"/>
            <color indexed="81"/>
            <rFont val="Tahoma"/>
            <family val="2"/>
          </rPr>
          <t xml:space="preserve">
</t>
        </r>
      </text>
    </comment>
    <comment ref="J244" authorId="0">
      <text>
        <r>
          <rPr>
            <b/>
            <sz val="8"/>
            <color indexed="81"/>
            <rFont val="Tahoma"/>
            <family val="2"/>
          </rPr>
          <t xml:space="preserve">Average ratio of accommodation to direct tourism output 
</t>
        </r>
        <r>
          <rPr>
            <sz val="8"/>
            <color indexed="81"/>
            <rFont val="Tahoma"/>
            <family val="2"/>
          </rPr>
          <t xml:space="preserve">
</t>
        </r>
      </text>
    </comment>
    <comment ref="K244" authorId="0">
      <text>
        <r>
          <rPr>
            <b/>
            <sz val="8"/>
            <color indexed="81"/>
            <rFont val="Tahoma"/>
            <family val="2"/>
          </rPr>
          <t xml:space="preserve">Average ratio of accommodation to direct tourism output 
</t>
        </r>
        <r>
          <rPr>
            <sz val="8"/>
            <color indexed="81"/>
            <rFont val="Tahoma"/>
            <family val="2"/>
          </rPr>
          <t xml:space="preserve">
</t>
        </r>
      </text>
    </comment>
    <comment ref="F245" authorId="0">
      <text>
        <r>
          <rPr>
            <b/>
            <sz val="8"/>
            <color indexed="81"/>
            <rFont val="Tahoma"/>
            <family val="2"/>
          </rPr>
          <t xml:space="preserve">Average ratio of accommodation to direct tourism output 
</t>
        </r>
        <r>
          <rPr>
            <sz val="8"/>
            <color indexed="81"/>
            <rFont val="Tahoma"/>
            <family val="2"/>
          </rPr>
          <t xml:space="preserve">
</t>
        </r>
      </text>
    </comment>
    <comment ref="G245" authorId="0">
      <text>
        <r>
          <rPr>
            <b/>
            <sz val="8"/>
            <color indexed="81"/>
            <rFont val="Tahoma"/>
            <family val="2"/>
          </rPr>
          <t xml:space="preserve">Average ratio of accommodation to direct tourism output 
</t>
        </r>
        <r>
          <rPr>
            <sz val="8"/>
            <color indexed="81"/>
            <rFont val="Tahoma"/>
            <family val="2"/>
          </rPr>
          <t xml:space="preserve">
</t>
        </r>
      </text>
    </comment>
    <comment ref="H245" authorId="0">
      <text>
        <r>
          <rPr>
            <b/>
            <sz val="8"/>
            <color indexed="81"/>
            <rFont val="Tahoma"/>
            <family val="2"/>
          </rPr>
          <t xml:space="preserve">Average ratio of accommodation to direct tourism output 
</t>
        </r>
        <r>
          <rPr>
            <sz val="8"/>
            <color indexed="81"/>
            <rFont val="Tahoma"/>
            <family val="2"/>
          </rPr>
          <t xml:space="preserve">
</t>
        </r>
      </text>
    </comment>
    <comment ref="I245" authorId="0">
      <text>
        <r>
          <rPr>
            <b/>
            <sz val="8"/>
            <color indexed="81"/>
            <rFont val="Tahoma"/>
            <family val="2"/>
          </rPr>
          <t xml:space="preserve">Average ratio of accommodation to direct tourism output 
</t>
        </r>
        <r>
          <rPr>
            <sz val="8"/>
            <color indexed="81"/>
            <rFont val="Tahoma"/>
            <family val="2"/>
          </rPr>
          <t xml:space="preserve">
</t>
        </r>
      </text>
    </comment>
    <comment ref="J245" authorId="0">
      <text>
        <r>
          <rPr>
            <b/>
            <sz val="8"/>
            <color indexed="81"/>
            <rFont val="Tahoma"/>
            <family val="2"/>
          </rPr>
          <t xml:space="preserve">Average ratio of accommodation to direct tourism output 
</t>
        </r>
        <r>
          <rPr>
            <sz val="8"/>
            <color indexed="81"/>
            <rFont val="Tahoma"/>
            <family val="2"/>
          </rPr>
          <t xml:space="preserve">
</t>
        </r>
      </text>
    </comment>
    <comment ref="K245" authorId="0">
      <text>
        <r>
          <rPr>
            <b/>
            <sz val="8"/>
            <color indexed="81"/>
            <rFont val="Tahoma"/>
            <family val="2"/>
          </rPr>
          <t xml:space="preserve">Average ratio of accommodation to direct tourism output 
</t>
        </r>
        <r>
          <rPr>
            <sz val="8"/>
            <color indexed="81"/>
            <rFont val="Tahoma"/>
            <family val="2"/>
          </rPr>
          <t xml:space="preserve">
</t>
        </r>
      </text>
    </comment>
    <comment ref="F246" authorId="0">
      <text>
        <r>
          <rPr>
            <b/>
            <sz val="8"/>
            <color indexed="81"/>
            <rFont val="Tahoma"/>
            <family val="2"/>
          </rPr>
          <t xml:space="preserve">Average ratio of accommodation to direct tourism output 
</t>
        </r>
        <r>
          <rPr>
            <sz val="8"/>
            <color indexed="81"/>
            <rFont val="Tahoma"/>
            <family val="2"/>
          </rPr>
          <t xml:space="preserve">
</t>
        </r>
      </text>
    </comment>
    <comment ref="G246" authorId="0">
      <text>
        <r>
          <rPr>
            <b/>
            <sz val="8"/>
            <color indexed="81"/>
            <rFont val="Tahoma"/>
            <family val="2"/>
          </rPr>
          <t xml:space="preserve">Average ratio of accommodation to direct tourism output 
</t>
        </r>
        <r>
          <rPr>
            <sz val="8"/>
            <color indexed="81"/>
            <rFont val="Tahoma"/>
            <family val="2"/>
          </rPr>
          <t xml:space="preserve">
</t>
        </r>
      </text>
    </comment>
    <comment ref="H246" authorId="0">
      <text>
        <r>
          <rPr>
            <b/>
            <sz val="8"/>
            <color indexed="81"/>
            <rFont val="Tahoma"/>
            <family val="2"/>
          </rPr>
          <t xml:space="preserve">Average ratio of accommodation to direct tourism output 
</t>
        </r>
        <r>
          <rPr>
            <sz val="8"/>
            <color indexed="81"/>
            <rFont val="Tahoma"/>
            <family val="2"/>
          </rPr>
          <t xml:space="preserve">
</t>
        </r>
      </text>
    </comment>
    <comment ref="I246" authorId="0">
      <text>
        <r>
          <rPr>
            <b/>
            <sz val="8"/>
            <color indexed="81"/>
            <rFont val="Tahoma"/>
            <family val="2"/>
          </rPr>
          <t xml:space="preserve">Average ratio of accommodation to direct tourism output 
</t>
        </r>
        <r>
          <rPr>
            <sz val="8"/>
            <color indexed="81"/>
            <rFont val="Tahoma"/>
            <family val="2"/>
          </rPr>
          <t xml:space="preserve">
</t>
        </r>
      </text>
    </comment>
    <comment ref="J246" authorId="0">
      <text>
        <r>
          <rPr>
            <b/>
            <sz val="8"/>
            <color indexed="81"/>
            <rFont val="Tahoma"/>
            <family val="2"/>
          </rPr>
          <t xml:space="preserve">Average ratio of accommodation to direct tourism output 
</t>
        </r>
        <r>
          <rPr>
            <sz val="8"/>
            <color indexed="81"/>
            <rFont val="Tahoma"/>
            <family val="2"/>
          </rPr>
          <t xml:space="preserve">
</t>
        </r>
      </text>
    </comment>
    <comment ref="K246" authorId="0">
      <text>
        <r>
          <rPr>
            <b/>
            <sz val="8"/>
            <color indexed="81"/>
            <rFont val="Tahoma"/>
            <family val="2"/>
          </rPr>
          <t xml:space="preserve">Average ratio of accommodation to direct tourism output 
</t>
        </r>
        <r>
          <rPr>
            <sz val="8"/>
            <color indexed="81"/>
            <rFont val="Tahoma"/>
            <family val="2"/>
          </rPr>
          <t xml:space="preserve">
</t>
        </r>
      </text>
    </comment>
    <comment ref="F247" authorId="0">
      <text>
        <r>
          <rPr>
            <b/>
            <sz val="8"/>
            <color indexed="81"/>
            <rFont val="Tahoma"/>
            <family val="2"/>
          </rPr>
          <t xml:space="preserve">Average ratio of accommodation to direct tourism output 
</t>
        </r>
        <r>
          <rPr>
            <sz val="8"/>
            <color indexed="81"/>
            <rFont val="Tahoma"/>
            <family val="2"/>
          </rPr>
          <t xml:space="preserve">
</t>
        </r>
      </text>
    </comment>
    <comment ref="G247" authorId="0">
      <text>
        <r>
          <rPr>
            <b/>
            <sz val="8"/>
            <color indexed="81"/>
            <rFont val="Tahoma"/>
            <family val="2"/>
          </rPr>
          <t xml:space="preserve">Average ratio of accommodation to direct tourism output 
</t>
        </r>
        <r>
          <rPr>
            <sz val="8"/>
            <color indexed="81"/>
            <rFont val="Tahoma"/>
            <family val="2"/>
          </rPr>
          <t xml:space="preserve">
</t>
        </r>
      </text>
    </comment>
    <comment ref="H247" authorId="0">
      <text>
        <r>
          <rPr>
            <b/>
            <sz val="8"/>
            <color indexed="81"/>
            <rFont val="Tahoma"/>
            <family val="2"/>
          </rPr>
          <t xml:space="preserve">Average ratio of accommodation to direct tourism output 
</t>
        </r>
        <r>
          <rPr>
            <sz val="8"/>
            <color indexed="81"/>
            <rFont val="Tahoma"/>
            <family val="2"/>
          </rPr>
          <t xml:space="preserve">
</t>
        </r>
      </text>
    </comment>
    <comment ref="I247" authorId="0">
      <text>
        <r>
          <rPr>
            <b/>
            <sz val="8"/>
            <color indexed="81"/>
            <rFont val="Tahoma"/>
            <family val="2"/>
          </rPr>
          <t xml:space="preserve">Average ratio of accommodation to direct tourism output 
</t>
        </r>
        <r>
          <rPr>
            <sz val="8"/>
            <color indexed="81"/>
            <rFont val="Tahoma"/>
            <family val="2"/>
          </rPr>
          <t xml:space="preserve">
</t>
        </r>
      </text>
    </comment>
    <comment ref="J247" authorId="0">
      <text>
        <r>
          <rPr>
            <b/>
            <sz val="8"/>
            <color indexed="81"/>
            <rFont val="Tahoma"/>
            <family val="2"/>
          </rPr>
          <t xml:space="preserve">Average ratio of accommodation to direct tourism output 
</t>
        </r>
        <r>
          <rPr>
            <sz val="8"/>
            <color indexed="81"/>
            <rFont val="Tahoma"/>
            <family val="2"/>
          </rPr>
          <t xml:space="preserve">
</t>
        </r>
      </text>
    </comment>
    <comment ref="K247" authorId="0">
      <text>
        <r>
          <rPr>
            <b/>
            <sz val="8"/>
            <color indexed="81"/>
            <rFont val="Tahoma"/>
            <family val="2"/>
          </rPr>
          <t xml:space="preserve">Average ratio of accommodation to direct tourism output 
</t>
        </r>
        <r>
          <rPr>
            <sz val="8"/>
            <color indexed="81"/>
            <rFont val="Tahoma"/>
            <family val="2"/>
          </rPr>
          <t xml:space="preserve">
</t>
        </r>
      </text>
    </comment>
    <comment ref="F248" authorId="0">
      <text>
        <r>
          <rPr>
            <b/>
            <sz val="8"/>
            <color indexed="81"/>
            <rFont val="Tahoma"/>
            <family val="2"/>
          </rPr>
          <t xml:space="preserve">Average ratio of accommodation to direct tourism output 
</t>
        </r>
        <r>
          <rPr>
            <sz val="8"/>
            <color indexed="81"/>
            <rFont val="Tahoma"/>
            <family val="2"/>
          </rPr>
          <t xml:space="preserve">
</t>
        </r>
      </text>
    </comment>
    <comment ref="G248" authorId="0">
      <text>
        <r>
          <rPr>
            <b/>
            <sz val="8"/>
            <color indexed="81"/>
            <rFont val="Tahoma"/>
            <family val="2"/>
          </rPr>
          <t xml:space="preserve">Average ratio of accommodation to direct tourism output 
</t>
        </r>
        <r>
          <rPr>
            <sz val="8"/>
            <color indexed="81"/>
            <rFont val="Tahoma"/>
            <family val="2"/>
          </rPr>
          <t xml:space="preserve">
</t>
        </r>
      </text>
    </comment>
    <comment ref="H248" authorId="0">
      <text>
        <r>
          <rPr>
            <b/>
            <sz val="8"/>
            <color indexed="81"/>
            <rFont val="Tahoma"/>
            <family val="2"/>
          </rPr>
          <t xml:space="preserve">Average ratio of accommodation to direct tourism output 
</t>
        </r>
        <r>
          <rPr>
            <sz val="8"/>
            <color indexed="81"/>
            <rFont val="Tahoma"/>
            <family val="2"/>
          </rPr>
          <t xml:space="preserve">
</t>
        </r>
      </text>
    </comment>
    <comment ref="I248" authorId="0">
      <text>
        <r>
          <rPr>
            <b/>
            <sz val="8"/>
            <color indexed="81"/>
            <rFont val="Tahoma"/>
            <family val="2"/>
          </rPr>
          <t xml:space="preserve">Average ratio of accommodation to direct tourism output 
</t>
        </r>
        <r>
          <rPr>
            <sz val="8"/>
            <color indexed="81"/>
            <rFont val="Tahoma"/>
            <family val="2"/>
          </rPr>
          <t xml:space="preserve">
</t>
        </r>
      </text>
    </comment>
    <comment ref="J248" authorId="0">
      <text>
        <r>
          <rPr>
            <b/>
            <sz val="8"/>
            <color indexed="81"/>
            <rFont val="Tahoma"/>
            <family val="2"/>
          </rPr>
          <t xml:space="preserve">Average ratio of accommodation to direct tourism output 
</t>
        </r>
        <r>
          <rPr>
            <sz val="8"/>
            <color indexed="81"/>
            <rFont val="Tahoma"/>
            <family val="2"/>
          </rPr>
          <t xml:space="preserve">
</t>
        </r>
      </text>
    </comment>
    <comment ref="K248" authorId="0">
      <text>
        <r>
          <rPr>
            <b/>
            <sz val="8"/>
            <color indexed="81"/>
            <rFont val="Tahoma"/>
            <family val="2"/>
          </rPr>
          <t xml:space="preserve">Average ratio of accommodation to direct tourism output 
</t>
        </r>
        <r>
          <rPr>
            <sz val="8"/>
            <color indexed="81"/>
            <rFont val="Tahoma"/>
            <family val="2"/>
          </rPr>
          <t xml:space="preserve">
</t>
        </r>
      </text>
    </comment>
    <comment ref="F249" authorId="0">
      <text>
        <r>
          <rPr>
            <b/>
            <sz val="8"/>
            <color indexed="81"/>
            <rFont val="Tahoma"/>
            <family val="2"/>
          </rPr>
          <t>Average ratio of indirect tourism output to direct tourism output</t>
        </r>
        <r>
          <rPr>
            <sz val="8"/>
            <color indexed="81"/>
            <rFont val="Tahoma"/>
            <family val="2"/>
          </rPr>
          <t xml:space="preserve">
</t>
        </r>
      </text>
    </comment>
    <comment ref="G249" authorId="0">
      <text>
        <r>
          <rPr>
            <b/>
            <sz val="8"/>
            <color indexed="81"/>
            <rFont val="Tahoma"/>
            <family val="2"/>
          </rPr>
          <t>Average ratio of indirect tourism output to direct tourism output</t>
        </r>
        <r>
          <rPr>
            <sz val="8"/>
            <color indexed="81"/>
            <rFont val="Tahoma"/>
            <family val="2"/>
          </rPr>
          <t xml:space="preserve">
</t>
        </r>
      </text>
    </comment>
    <comment ref="H249" authorId="0">
      <text>
        <r>
          <rPr>
            <b/>
            <sz val="8"/>
            <color indexed="81"/>
            <rFont val="Tahoma"/>
            <family val="2"/>
          </rPr>
          <t>Average ratio of indirect tourism output to direct tourism output</t>
        </r>
        <r>
          <rPr>
            <sz val="8"/>
            <color indexed="81"/>
            <rFont val="Tahoma"/>
            <family val="2"/>
          </rPr>
          <t xml:space="preserve">
</t>
        </r>
      </text>
    </comment>
    <comment ref="I249" authorId="0">
      <text>
        <r>
          <rPr>
            <b/>
            <sz val="8"/>
            <color indexed="81"/>
            <rFont val="Tahoma"/>
            <family val="2"/>
          </rPr>
          <t>Average ratio of indirect tourism output to direct tourism output</t>
        </r>
        <r>
          <rPr>
            <sz val="8"/>
            <color indexed="81"/>
            <rFont val="Tahoma"/>
            <family val="2"/>
          </rPr>
          <t xml:space="preserve">
</t>
        </r>
      </text>
    </comment>
    <comment ref="J249" authorId="0">
      <text>
        <r>
          <rPr>
            <b/>
            <sz val="8"/>
            <color indexed="81"/>
            <rFont val="Tahoma"/>
            <family val="2"/>
          </rPr>
          <t>Average ratio of indirect tourism output to direct tourism output</t>
        </r>
        <r>
          <rPr>
            <sz val="8"/>
            <color indexed="81"/>
            <rFont val="Tahoma"/>
            <family val="2"/>
          </rPr>
          <t xml:space="preserve">
</t>
        </r>
      </text>
    </comment>
    <comment ref="K249" authorId="0">
      <text>
        <r>
          <rPr>
            <b/>
            <sz val="8"/>
            <color indexed="81"/>
            <rFont val="Tahoma"/>
            <family val="2"/>
          </rPr>
          <t>Average ratio of indirect tourism output to direct tourism output</t>
        </r>
        <r>
          <rPr>
            <sz val="8"/>
            <color indexed="81"/>
            <rFont val="Tahoma"/>
            <family val="2"/>
          </rPr>
          <t xml:space="preserve">
</t>
        </r>
      </text>
    </comment>
    <comment ref="F250" authorId="0">
      <text>
        <r>
          <rPr>
            <b/>
            <sz val="8"/>
            <color indexed="81"/>
            <rFont val="Tahoma"/>
            <family val="2"/>
          </rPr>
          <t xml:space="preserve">Average ratio of accommodation to indirect tourism output 
</t>
        </r>
        <r>
          <rPr>
            <sz val="8"/>
            <color indexed="81"/>
            <rFont val="Tahoma"/>
            <family val="2"/>
          </rPr>
          <t xml:space="preserve">
</t>
        </r>
      </text>
    </comment>
    <comment ref="G250" authorId="0">
      <text>
        <r>
          <rPr>
            <b/>
            <sz val="8"/>
            <color indexed="81"/>
            <rFont val="Tahoma"/>
            <family val="2"/>
          </rPr>
          <t xml:space="preserve">Average ratio of accommodation to indirect tourism output 
</t>
        </r>
        <r>
          <rPr>
            <sz val="8"/>
            <color indexed="81"/>
            <rFont val="Tahoma"/>
            <family val="2"/>
          </rPr>
          <t xml:space="preserve">
</t>
        </r>
      </text>
    </comment>
    <comment ref="H250" authorId="0">
      <text>
        <r>
          <rPr>
            <b/>
            <sz val="8"/>
            <color indexed="81"/>
            <rFont val="Tahoma"/>
            <family val="2"/>
          </rPr>
          <t xml:space="preserve">Average ratio of accommodation to indirect tourism output 
</t>
        </r>
        <r>
          <rPr>
            <sz val="8"/>
            <color indexed="81"/>
            <rFont val="Tahoma"/>
            <family val="2"/>
          </rPr>
          <t xml:space="preserve">
</t>
        </r>
      </text>
    </comment>
    <comment ref="I250" authorId="0">
      <text>
        <r>
          <rPr>
            <b/>
            <sz val="8"/>
            <color indexed="81"/>
            <rFont val="Tahoma"/>
            <family val="2"/>
          </rPr>
          <t xml:space="preserve">Average ratio of accommodation to indirect tourism output 
</t>
        </r>
        <r>
          <rPr>
            <sz val="8"/>
            <color indexed="81"/>
            <rFont val="Tahoma"/>
            <family val="2"/>
          </rPr>
          <t xml:space="preserve">
</t>
        </r>
      </text>
    </comment>
    <comment ref="J250" authorId="0">
      <text>
        <r>
          <rPr>
            <b/>
            <sz val="8"/>
            <color indexed="81"/>
            <rFont val="Tahoma"/>
            <family val="2"/>
          </rPr>
          <t xml:space="preserve">Average ratio of accommodation to indirect tourism output 
</t>
        </r>
        <r>
          <rPr>
            <sz val="8"/>
            <color indexed="81"/>
            <rFont val="Tahoma"/>
            <family val="2"/>
          </rPr>
          <t xml:space="preserve">
</t>
        </r>
      </text>
    </comment>
    <comment ref="K250" authorId="0">
      <text>
        <r>
          <rPr>
            <b/>
            <sz val="8"/>
            <color indexed="81"/>
            <rFont val="Tahoma"/>
            <family val="2"/>
          </rPr>
          <t xml:space="preserve">Average ratio of accommodation to indirect tourism output 
</t>
        </r>
        <r>
          <rPr>
            <sz val="8"/>
            <color indexed="81"/>
            <rFont val="Tahoma"/>
            <family val="2"/>
          </rPr>
          <t xml:space="preserve">
</t>
        </r>
      </text>
    </comment>
    <comment ref="F251" authorId="0">
      <text>
        <r>
          <rPr>
            <b/>
            <sz val="8"/>
            <color indexed="81"/>
            <rFont val="Tahoma"/>
            <family val="2"/>
          </rPr>
          <t xml:space="preserve">Average ratio of accommodation to indirect tourism output 
</t>
        </r>
        <r>
          <rPr>
            <sz val="8"/>
            <color indexed="81"/>
            <rFont val="Tahoma"/>
            <family val="2"/>
          </rPr>
          <t xml:space="preserve">
</t>
        </r>
      </text>
    </comment>
    <comment ref="G251" authorId="0">
      <text>
        <r>
          <rPr>
            <b/>
            <sz val="8"/>
            <color indexed="81"/>
            <rFont val="Tahoma"/>
            <family val="2"/>
          </rPr>
          <t xml:space="preserve">Average ratio of accommodation to indirect tourism output 
</t>
        </r>
        <r>
          <rPr>
            <sz val="8"/>
            <color indexed="81"/>
            <rFont val="Tahoma"/>
            <family val="2"/>
          </rPr>
          <t xml:space="preserve">
</t>
        </r>
      </text>
    </comment>
    <comment ref="H251" authorId="0">
      <text>
        <r>
          <rPr>
            <b/>
            <sz val="8"/>
            <color indexed="81"/>
            <rFont val="Tahoma"/>
            <family val="2"/>
          </rPr>
          <t xml:space="preserve">Average ratio of accommodation to indirect tourism output 
</t>
        </r>
        <r>
          <rPr>
            <sz val="8"/>
            <color indexed="81"/>
            <rFont val="Tahoma"/>
            <family val="2"/>
          </rPr>
          <t xml:space="preserve">
</t>
        </r>
      </text>
    </comment>
    <comment ref="I251" authorId="0">
      <text>
        <r>
          <rPr>
            <b/>
            <sz val="8"/>
            <color indexed="81"/>
            <rFont val="Tahoma"/>
            <family val="2"/>
          </rPr>
          <t xml:space="preserve">Average ratio of accommodation to indirect tourism output 
</t>
        </r>
        <r>
          <rPr>
            <sz val="8"/>
            <color indexed="81"/>
            <rFont val="Tahoma"/>
            <family val="2"/>
          </rPr>
          <t xml:space="preserve">
</t>
        </r>
      </text>
    </comment>
    <comment ref="J251" authorId="0">
      <text>
        <r>
          <rPr>
            <b/>
            <sz val="8"/>
            <color indexed="81"/>
            <rFont val="Tahoma"/>
            <family val="2"/>
          </rPr>
          <t xml:space="preserve">Average ratio of accommodation to indirect tourism output 
</t>
        </r>
        <r>
          <rPr>
            <sz val="8"/>
            <color indexed="81"/>
            <rFont val="Tahoma"/>
            <family val="2"/>
          </rPr>
          <t xml:space="preserve">
</t>
        </r>
      </text>
    </comment>
    <comment ref="K251" authorId="0">
      <text>
        <r>
          <rPr>
            <b/>
            <sz val="8"/>
            <color indexed="81"/>
            <rFont val="Tahoma"/>
            <family val="2"/>
          </rPr>
          <t xml:space="preserve">Average ratio of accommodation to indirect tourism output 
</t>
        </r>
        <r>
          <rPr>
            <sz val="8"/>
            <color indexed="81"/>
            <rFont val="Tahoma"/>
            <family val="2"/>
          </rPr>
          <t xml:space="preserve">
</t>
        </r>
      </text>
    </comment>
    <comment ref="F252" authorId="0">
      <text>
        <r>
          <rPr>
            <b/>
            <sz val="8"/>
            <color indexed="81"/>
            <rFont val="Tahoma"/>
            <family val="2"/>
          </rPr>
          <t xml:space="preserve">Average ratio of accommodation to indirect tourism output 
</t>
        </r>
        <r>
          <rPr>
            <sz val="8"/>
            <color indexed="81"/>
            <rFont val="Tahoma"/>
            <family val="2"/>
          </rPr>
          <t xml:space="preserve">
</t>
        </r>
      </text>
    </comment>
    <comment ref="G252" authorId="0">
      <text>
        <r>
          <rPr>
            <b/>
            <sz val="8"/>
            <color indexed="81"/>
            <rFont val="Tahoma"/>
            <family val="2"/>
          </rPr>
          <t xml:space="preserve">Average ratio of accommodation to indirect tourism output 
</t>
        </r>
        <r>
          <rPr>
            <sz val="8"/>
            <color indexed="81"/>
            <rFont val="Tahoma"/>
            <family val="2"/>
          </rPr>
          <t xml:space="preserve">
</t>
        </r>
      </text>
    </comment>
    <comment ref="H252" authorId="0">
      <text>
        <r>
          <rPr>
            <b/>
            <sz val="8"/>
            <color indexed="81"/>
            <rFont val="Tahoma"/>
            <family val="2"/>
          </rPr>
          <t xml:space="preserve">Average ratio of accommodation to indirect tourism output 
</t>
        </r>
        <r>
          <rPr>
            <sz val="8"/>
            <color indexed="81"/>
            <rFont val="Tahoma"/>
            <family val="2"/>
          </rPr>
          <t xml:space="preserve">
</t>
        </r>
      </text>
    </comment>
    <comment ref="I252" authorId="0">
      <text>
        <r>
          <rPr>
            <b/>
            <sz val="8"/>
            <color indexed="81"/>
            <rFont val="Tahoma"/>
            <family val="2"/>
          </rPr>
          <t xml:space="preserve">Average ratio of accommodation to indirect tourism output 
</t>
        </r>
        <r>
          <rPr>
            <sz val="8"/>
            <color indexed="81"/>
            <rFont val="Tahoma"/>
            <family val="2"/>
          </rPr>
          <t xml:space="preserve">
</t>
        </r>
      </text>
    </comment>
    <comment ref="J252" authorId="0">
      <text>
        <r>
          <rPr>
            <b/>
            <sz val="8"/>
            <color indexed="81"/>
            <rFont val="Tahoma"/>
            <family val="2"/>
          </rPr>
          <t xml:space="preserve">Average ratio of accommodation to indirect tourism output 
</t>
        </r>
        <r>
          <rPr>
            <sz val="8"/>
            <color indexed="81"/>
            <rFont val="Tahoma"/>
            <family val="2"/>
          </rPr>
          <t xml:space="preserve">
</t>
        </r>
      </text>
    </comment>
    <comment ref="K252" authorId="0">
      <text>
        <r>
          <rPr>
            <b/>
            <sz val="8"/>
            <color indexed="81"/>
            <rFont val="Tahoma"/>
            <family val="2"/>
          </rPr>
          <t xml:space="preserve">Average ratio of accommodation to indirect tourism output 
</t>
        </r>
        <r>
          <rPr>
            <sz val="8"/>
            <color indexed="81"/>
            <rFont val="Tahoma"/>
            <family val="2"/>
          </rPr>
          <t xml:space="preserve">
</t>
        </r>
      </text>
    </comment>
    <comment ref="F253" authorId="0">
      <text>
        <r>
          <rPr>
            <b/>
            <sz val="8"/>
            <color indexed="81"/>
            <rFont val="Tahoma"/>
            <family val="2"/>
          </rPr>
          <t xml:space="preserve">Average ratio of accommodation to indirect tourism output 
</t>
        </r>
        <r>
          <rPr>
            <sz val="8"/>
            <color indexed="81"/>
            <rFont val="Tahoma"/>
            <family val="2"/>
          </rPr>
          <t xml:space="preserve">
</t>
        </r>
      </text>
    </comment>
    <comment ref="G253" authorId="0">
      <text>
        <r>
          <rPr>
            <b/>
            <sz val="8"/>
            <color indexed="81"/>
            <rFont val="Tahoma"/>
            <family val="2"/>
          </rPr>
          <t xml:space="preserve">Average ratio of accommodation to indirect tourism output 
</t>
        </r>
        <r>
          <rPr>
            <sz val="8"/>
            <color indexed="81"/>
            <rFont val="Tahoma"/>
            <family val="2"/>
          </rPr>
          <t xml:space="preserve">
</t>
        </r>
      </text>
    </comment>
    <comment ref="H253" authorId="0">
      <text>
        <r>
          <rPr>
            <b/>
            <sz val="8"/>
            <color indexed="81"/>
            <rFont val="Tahoma"/>
            <family val="2"/>
          </rPr>
          <t xml:space="preserve">Average ratio of accommodation to indirect tourism output 
</t>
        </r>
        <r>
          <rPr>
            <sz val="8"/>
            <color indexed="81"/>
            <rFont val="Tahoma"/>
            <family val="2"/>
          </rPr>
          <t xml:space="preserve">
</t>
        </r>
      </text>
    </comment>
    <comment ref="I253" authorId="0">
      <text>
        <r>
          <rPr>
            <b/>
            <sz val="8"/>
            <color indexed="81"/>
            <rFont val="Tahoma"/>
            <family val="2"/>
          </rPr>
          <t xml:space="preserve">Average ratio of accommodation to indirect tourism output 
</t>
        </r>
        <r>
          <rPr>
            <sz val="8"/>
            <color indexed="81"/>
            <rFont val="Tahoma"/>
            <family val="2"/>
          </rPr>
          <t xml:space="preserve">
</t>
        </r>
      </text>
    </comment>
    <comment ref="J253" authorId="0">
      <text>
        <r>
          <rPr>
            <b/>
            <sz val="8"/>
            <color indexed="81"/>
            <rFont val="Tahoma"/>
            <family val="2"/>
          </rPr>
          <t xml:space="preserve">Average ratio of accommodation to indirect tourism output 
</t>
        </r>
        <r>
          <rPr>
            <sz val="8"/>
            <color indexed="81"/>
            <rFont val="Tahoma"/>
            <family val="2"/>
          </rPr>
          <t xml:space="preserve">
</t>
        </r>
      </text>
    </comment>
    <comment ref="K253" authorId="0">
      <text>
        <r>
          <rPr>
            <b/>
            <sz val="8"/>
            <color indexed="81"/>
            <rFont val="Tahoma"/>
            <family val="2"/>
          </rPr>
          <t xml:space="preserve">Average ratio of accommodation to indirect tourism output 
</t>
        </r>
        <r>
          <rPr>
            <sz val="8"/>
            <color indexed="81"/>
            <rFont val="Tahoma"/>
            <family val="2"/>
          </rPr>
          <t xml:space="preserve">
</t>
        </r>
      </text>
    </comment>
    <comment ref="F254" authorId="0">
      <text>
        <r>
          <rPr>
            <b/>
            <sz val="8"/>
            <color indexed="81"/>
            <rFont val="Tahoma"/>
            <family val="2"/>
          </rPr>
          <t xml:space="preserve">Average ratio of accommodation to indirect tourism output 
</t>
        </r>
        <r>
          <rPr>
            <sz val="8"/>
            <color indexed="81"/>
            <rFont val="Tahoma"/>
            <family val="2"/>
          </rPr>
          <t xml:space="preserve">
</t>
        </r>
      </text>
    </comment>
    <comment ref="G254" authorId="0">
      <text>
        <r>
          <rPr>
            <b/>
            <sz val="8"/>
            <color indexed="81"/>
            <rFont val="Tahoma"/>
            <family val="2"/>
          </rPr>
          <t xml:space="preserve">Average ratio of accommodation to indirect tourism output 
</t>
        </r>
        <r>
          <rPr>
            <sz val="8"/>
            <color indexed="81"/>
            <rFont val="Tahoma"/>
            <family val="2"/>
          </rPr>
          <t xml:space="preserve">
</t>
        </r>
      </text>
    </comment>
    <comment ref="H254" authorId="0">
      <text>
        <r>
          <rPr>
            <b/>
            <sz val="8"/>
            <color indexed="81"/>
            <rFont val="Tahoma"/>
            <family val="2"/>
          </rPr>
          <t xml:space="preserve">Average ratio of accommodation to indirect tourism output 
</t>
        </r>
        <r>
          <rPr>
            <sz val="8"/>
            <color indexed="81"/>
            <rFont val="Tahoma"/>
            <family val="2"/>
          </rPr>
          <t xml:space="preserve">
</t>
        </r>
      </text>
    </comment>
    <comment ref="I254" authorId="0">
      <text>
        <r>
          <rPr>
            <b/>
            <sz val="8"/>
            <color indexed="81"/>
            <rFont val="Tahoma"/>
            <family val="2"/>
          </rPr>
          <t xml:space="preserve">Average ratio of accommodation to indirect tourism output 
</t>
        </r>
        <r>
          <rPr>
            <sz val="8"/>
            <color indexed="81"/>
            <rFont val="Tahoma"/>
            <family val="2"/>
          </rPr>
          <t xml:space="preserve">
</t>
        </r>
      </text>
    </comment>
    <comment ref="J254" authorId="0">
      <text>
        <r>
          <rPr>
            <b/>
            <sz val="8"/>
            <color indexed="81"/>
            <rFont val="Tahoma"/>
            <family val="2"/>
          </rPr>
          <t xml:space="preserve">Average ratio of accommodation to indirect tourism output 
</t>
        </r>
        <r>
          <rPr>
            <sz val="8"/>
            <color indexed="81"/>
            <rFont val="Tahoma"/>
            <family val="2"/>
          </rPr>
          <t xml:space="preserve">
</t>
        </r>
      </text>
    </comment>
    <comment ref="K254" authorId="0">
      <text>
        <r>
          <rPr>
            <b/>
            <sz val="8"/>
            <color indexed="81"/>
            <rFont val="Tahoma"/>
            <family val="2"/>
          </rPr>
          <t xml:space="preserve">Average ratio of accommodation to indirect tourism output 
</t>
        </r>
        <r>
          <rPr>
            <sz val="8"/>
            <color indexed="81"/>
            <rFont val="Tahoma"/>
            <family val="2"/>
          </rPr>
          <t xml:space="preserve">
</t>
        </r>
      </text>
    </comment>
    <comment ref="F255" authorId="0">
      <text>
        <r>
          <rPr>
            <b/>
            <sz val="8"/>
            <color indexed="81"/>
            <rFont val="Tahoma"/>
            <family val="2"/>
          </rPr>
          <t xml:space="preserve">Average ratio of accommodation to indirect tourism output 
</t>
        </r>
        <r>
          <rPr>
            <sz val="8"/>
            <color indexed="81"/>
            <rFont val="Tahoma"/>
            <family val="2"/>
          </rPr>
          <t xml:space="preserve">
</t>
        </r>
      </text>
    </comment>
    <comment ref="G255" authorId="0">
      <text>
        <r>
          <rPr>
            <b/>
            <sz val="8"/>
            <color indexed="81"/>
            <rFont val="Tahoma"/>
            <family val="2"/>
          </rPr>
          <t xml:space="preserve">Average ratio of accommodation to indirect tourism output 
</t>
        </r>
        <r>
          <rPr>
            <sz val="8"/>
            <color indexed="81"/>
            <rFont val="Tahoma"/>
            <family val="2"/>
          </rPr>
          <t xml:space="preserve">
</t>
        </r>
      </text>
    </comment>
    <comment ref="H255" authorId="0">
      <text>
        <r>
          <rPr>
            <b/>
            <sz val="8"/>
            <color indexed="81"/>
            <rFont val="Tahoma"/>
            <family val="2"/>
          </rPr>
          <t xml:space="preserve">Average ratio of accommodation to indirect tourism output 
</t>
        </r>
        <r>
          <rPr>
            <sz val="8"/>
            <color indexed="81"/>
            <rFont val="Tahoma"/>
            <family val="2"/>
          </rPr>
          <t xml:space="preserve">
</t>
        </r>
      </text>
    </comment>
    <comment ref="I255" authorId="0">
      <text>
        <r>
          <rPr>
            <b/>
            <sz val="8"/>
            <color indexed="81"/>
            <rFont val="Tahoma"/>
            <family val="2"/>
          </rPr>
          <t xml:space="preserve">Average ratio of accommodation to indirect tourism output 
</t>
        </r>
        <r>
          <rPr>
            <sz val="8"/>
            <color indexed="81"/>
            <rFont val="Tahoma"/>
            <family val="2"/>
          </rPr>
          <t xml:space="preserve">
</t>
        </r>
      </text>
    </comment>
    <comment ref="J255" authorId="0">
      <text>
        <r>
          <rPr>
            <b/>
            <sz val="8"/>
            <color indexed="81"/>
            <rFont val="Tahoma"/>
            <family val="2"/>
          </rPr>
          <t xml:space="preserve">Average ratio of accommodation to indirect tourism output 
</t>
        </r>
        <r>
          <rPr>
            <sz val="8"/>
            <color indexed="81"/>
            <rFont val="Tahoma"/>
            <family val="2"/>
          </rPr>
          <t xml:space="preserve">
</t>
        </r>
      </text>
    </comment>
    <comment ref="K255" authorId="0">
      <text>
        <r>
          <rPr>
            <b/>
            <sz val="8"/>
            <color indexed="81"/>
            <rFont val="Tahoma"/>
            <family val="2"/>
          </rPr>
          <t xml:space="preserve">Average ratio of accommodation to indirect tourism output 
</t>
        </r>
        <r>
          <rPr>
            <sz val="8"/>
            <color indexed="81"/>
            <rFont val="Tahoma"/>
            <family val="2"/>
          </rPr>
          <t xml:space="preserve">
</t>
        </r>
      </text>
    </comment>
    <comment ref="F256" authorId="0">
      <text>
        <r>
          <rPr>
            <b/>
            <sz val="8"/>
            <color indexed="81"/>
            <rFont val="Tahoma"/>
            <family val="2"/>
          </rPr>
          <t xml:space="preserve">Average ratio of accommodation to indirect tourism output 
</t>
        </r>
        <r>
          <rPr>
            <sz val="8"/>
            <color indexed="81"/>
            <rFont val="Tahoma"/>
            <family val="2"/>
          </rPr>
          <t xml:space="preserve">
</t>
        </r>
      </text>
    </comment>
    <comment ref="G256" authorId="0">
      <text>
        <r>
          <rPr>
            <b/>
            <sz val="8"/>
            <color indexed="81"/>
            <rFont val="Tahoma"/>
            <family val="2"/>
          </rPr>
          <t xml:space="preserve">Average ratio of accommodation to indirect tourism output 
</t>
        </r>
        <r>
          <rPr>
            <sz val="8"/>
            <color indexed="81"/>
            <rFont val="Tahoma"/>
            <family val="2"/>
          </rPr>
          <t xml:space="preserve">
</t>
        </r>
      </text>
    </comment>
    <comment ref="H256" authorId="0">
      <text>
        <r>
          <rPr>
            <b/>
            <sz val="8"/>
            <color indexed="81"/>
            <rFont val="Tahoma"/>
            <family val="2"/>
          </rPr>
          <t xml:space="preserve">Average ratio of accommodation to indirect tourism output 
</t>
        </r>
        <r>
          <rPr>
            <sz val="8"/>
            <color indexed="81"/>
            <rFont val="Tahoma"/>
            <family val="2"/>
          </rPr>
          <t xml:space="preserve">
</t>
        </r>
      </text>
    </comment>
    <comment ref="I256" authorId="0">
      <text>
        <r>
          <rPr>
            <b/>
            <sz val="8"/>
            <color indexed="81"/>
            <rFont val="Tahoma"/>
            <family val="2"/>
          </rPr>
          <t xml:space="preserve">Average ratio of accommodation to indirect tourism output 
</t>
        </r>
        <r>
          <rPr>
            <sz val="8"/>
            <color indexed="81"/>
            <rFont val="Tahoma"/>
            <family val="2"/>
          </rPr>
          <t xml:space="preserve">
</t>
        </r>
      </text>
    </comment>
    <comment ref="J256" authorId="0">
      <text>
        <r>
          <rPr>
            <b/>
            <sz val="8"/>
            <color indexed="81"/>
            <rFont val="Tahoma"/>
            <family val="2"/>
          </rPr>
          <t xml:space="preserve">Average ratio of accommodation to indirect tourism output 
</t>
        </r>
        <r>
          <rPr>
            <sz val="8"/>
            <color indexed="81"/>
            <rFont val="Tahoma"/>
            <family val="2"/>
          </rPr>
          <t xml:space="preserve">
</t>
        </r>
      </text>
    </comment>
    <comment ref="K256" authorId="0">
      <text>
        <r>
          <rPr>
            <b/>
            <sz val="8"/>
            <color indexed="81"/>
            <rFont val="Tahoma"/>
            <family val="2"/>
          </rPr>
          <t xml:space="preserve">Average ratio of accommodation to indirect tourism output 
</t>
        </r>
        <r>
          <rPr>
            <sz val="8"/>
            <color indexed="81"/>
            <rFont val="Tahoma"/>
            <family val="2"/>
          </rPr>
          <t xml:space="preserve">
</t>
        </r>
      </text>
    </comment>
    <comment ref="F259" authorId="0">
      <text>
        <r>
          <rPr>
            <b/>
            <sz val="8"/>
            <color indexed="81"/>
            <rFont val="Tahoma"/>
            <family val="2"/>
          </rPr>
          <t xml:space="preserve">Average ratio of accommodation to direct tourism employment
</t>
        </r>
        <r>
          <rPr>
            <sz val="8"/>
            <color indexed="81"/>
            <rFont val="Tahoma"/>
            <family val="2"/>
          </rPr>
          <t xml:space="preserve">
</t>
        </r>
      </text>
    </comment>
    <comment ref="G259" authorId="0">
      <text>
        <r>
          <rPr>
            <b/>
            <sz val="8"/>
            <color indexed="81"/>
            <rFont val="Tahoma"/>
            <family val="2"/>
          </rPr>
          <t xml:space="preserve">Average ratio of accommodation to direct tourism employment
</t>
        </r>
        <r>
          <rPr>
            <sz val="8"/>
            <color indexed="81"/>
            <rFont val="Tahoma"/>
            <family val="2"/>
          </rPr>
          <t xml:space="preserve">
</t>
        </r>
      </text>
    </comment>
    <comment ref="H259" authorId="0">
      <text>
        <r>
          <rPr>
            <b/>
            <sz val="8"/>
            <color indexed="81"/>
            <rFont val="Tahoma"/>
            <family val="2"/>
          </rPr>
          <t xml:space="preserve">Average ratio of accommodation to direct tourism employment
</t>
        </r>
        <r>
          <rPr>
            <sz val="8"/>
            <color indexed="81"/>
            <rFont val="Tahoma"/>
            <family val="2"/>
          </rPr>
          <t xml:space="preserve">
</t>
        </r>
      </text>
    </comment>
    <comment ref="I259" authorId="0">
      <text>
        <r>
          <rPr>
            <b/>
            <sz val="8"/>
            <color indexed="81"/>
            <rFont val="Tahoma"/>
            <family val="2"/>
          </rPr>
          <t xml:space="preserve">Average ratio of accommodation to direct tourism employment
</t>
        </r>
        <r>
          <rPr>
            <sz val="8"/>
            <color indexed="81"/>
            <rFont val="Tahoma"/>
            <family val="2"/>
          </rPr>
          <t xml:space="preserve">
</t>
        </r>
      </text>
    </comment>
    <comment ref="J259" authorId="0">
      <text>
        <r>
          <rPr>
            <b/>
            <sz val="8"/>
            <color indexed="81"/>
            <rFont val="Tahoma"/>
            <family val="2"/>
          </rPr>
          <t xml:space="preserve">Average ratio of accommodation to direct tourism employment
</t>
        </r>
        <r>
          <rPr>
            <sz val="8"/>
            <color indexed="81"/>
            <rFont val="Tahoma"/>
            <family val="2"/>
          </rPr>
          <t xml:space="preserve">
</t>
        </r>
      </text>
    </comment>
    <comment ref="K259" authorId="0">
      <text>
        <r>
          <rPr>
            <b/>
            <sz val="8"/>
            <color indexed="81"/>
            <rFont val="Tahoma"/>
            <family val="2"/>
          </rPr>
          <t xml:space="preserve">Average ratio of accommodation to direct tourism employment
</t>
        </r>
        <r>
          <rPr>
            <sz val="8"/>
            <color indexed="81"/>
            <rFont val="Tahoma"/>
            <family val="2"/>
          </rPr>
          <t xml:space="preserve">
</t>
        </r>
      </text>
    </comment>
    <comment ref="F260" authorId="0">
      <text>
        <r>
          <rPr>
            <b/>
            <sz val="8"/>
            <color indexed="81"/>
            <rFont val="Tahoma"/>
            <family val="2"/>
          </rPr>
          <t xml:space="preserve">Average ratio of accommodation to direct tourism employment
</t>
        </r>
        <r>
          <rPr>
            <sz val="8"/>
            <color indexed="81"/>
            <rFont val="Tahoma"/>
            <family val="2"/>
          </rPr>
          <t xml:space="preserve">
</t>
        </r>
      </text>
    </comment>
    <comment ref="G260" authorId="0">
      <text>
        <r>
          <rPr>
            <b/>
            <sz val="8"/>
            <color indexed="81"/>
            <rFont val="Tahoma"/>
            <family val="2"/>
          </rPr>
          <t xml:space="preserve">Average ratio of accommodation to direct tourism employment
</t>
        </r>
        <r>
          <rPr>
            <sz val="8"/>
            <color indexed="81"/>
            <rFont val="Tahoma"/>
            <family val="2"/>
          </rPr>
          <t xml:space="preserve">
</t>
        </r>
      </text>
    </comment>
    <comment ref="H260" authorId="0">
      <text>
        <r>
          <rPr>
            <b/>
            <sz val="8"/>
            <color indexed="81"/>
            <rFont val="Tahoma"/>
            <family val="2"/>
          </rPr>
          <t xml:space="preserve">Average ratio of accommodation to direct tourism employment
</t>
        </r>
        <r>
          <rPr>
            <sz val="8"/>
            <color indexed="81"/>
            <rFont val="Tahoma"/>
            <family val="2"/>
          </rPr>
          <t xml:space="preserve">
</t>
        </r>
      </text>
    </comment>
    <comment ref="I260" authorId="0">
      <text>
        <r>
          <rPr>
            <b/>
            <sz val="8"/>
            <color indexed="81"/>
            <rFont val="Tahoma"/>
            <family val="2"/>
          </rPr>
          <t xml:space="preserve">Average ratio of accommodation to direct tourism employment
</t>
        </r>
        <r>
          <rPr>
            <sz val="8"/>
            <color indexed="81"/>
            <rFont val="Tahoma"/>
            <family val="2"/>
          </rPr>
          <t xml:space="preserve">
</t>
        </r>
      </text>
    </comment>
    <comment ref="J260" authorId="0">
      <text>
        <r>
          <rPr>
            <b/>
            <sz val="8"/>
            <color indexed="81"/>
            <rFont val="Tahoma"/>
            <family val="2"/>
          </rPr>
          <t xml:space="preserve">Average ratio of accommodation to direct tourism employment
</t>
        </r>
        <r>
          <rPr>
            <sz val="8"/>
            <color indexed="81"/>
            <rFont val="Tahoma"/>
            <family val="2"/>
          </rPr>
          <t xml:space="preserve">
</t>
        </r>
      </text>
    </comment>
    <comment ref="K260" authorId="0">
      <text>
        <r>
          <rPr>
            <b/>
            <sz val="8"/>
            <color indexed="81"/>
            <rFont val="Tahoma"/>
            <family val="2"/>
          </rPr>
          <t xml:space="preserve">Average ratio of accommodation to direct tourism employment
</t>
        </r>
        <r>
          <rPr>
            <sz val="8"/>
            <color indexed="81"/>
            <rFont val="Tahoma"/>
            <family val="2"/>
          </rPr>
          <t xml:space="preserve">
</t>
        </r>
      </text>
    </comment>
    <comment ref="F261" authorId="0">
      <text>
        <r>
          <rPr>
            <b/>
            <sz val="8"/>
            <color indexed="81"/>
            <rFont val="Tahoma"/>
            <family val="2"/>
          </rPr>
          <t xml:space="preserve">Average ratio of accommodation to direct tourism employment
</t>
        </r>
        <r>
          <rPr>
            <sz val="8"/>
            <color indexed="81"/>
            <rFont val="Tahoma"/>
            <family val="2"/>
          </rPr>
          <t xml:space="preserve">
</t>
        </r>
      </text>
    </comment>
    <comment ref="G261" authorId="0">
      <text>
        <r>
          <rPr>
            <b/>
            <sz val="8"/>
            <color indexed="81"/>
            <rFont val="Tahoma"/>
            <family val="2"/>
          </rPr>
          <t xml:space="preserve">Average ratio of accommodation to direct tourism employment
</t>
        </r>
        <r>
          <rPr>
            <sz val="8"/>
            <color indexed="81"/>
            <rFont val="Tahoma"/>
            <family val="2"/>
          </rPr>
          <t xml:space="preserve">
</t>
        </r>
      </text>
    </comment>
    <comment ref="H261" authorId="0">
      <text>
        <r>
          <rPr>
            <b/>
            <sz val="8"/>
            <color indexed="81"/>
            <rFont val="Tahoma"/>
            <family val="2"/>
          </rPr>
          <t xml:space="preserve">Average ratio of accommodation to direct tourism employment
</t>
        </r>
        <r>
          <rPr>
            <sz val="8"/>
            <color indexed="81"/>
            <rFont val="Tahoma"/>
            <family val="2"/>
          </rPr>
          <t xml:space="preserve">
</t>
        </r>
      </text>
    </comment>
    <comment ref="I261" authorId="0">
      <text>
        <r>
          <rPr>
            <b/>
            <sz val="8"/>
            <color indexed="81"/>
            <rFont val="Tahoma"/>
            <family val="2"/>
          </rPr>
          <t xml:space="preserve">Average ratio of accommodation to direct tourism employment
</t>
        </r>
        <r>
          <rPr>
            <sz val="8"/>
            <color indexed="81"/>
            <rFont val="Tahoma"/>
            <family val="2"/>
          </rPr>
          <t xml:space="preserve">
</t>
        </r>
      </text>
    </comment>
    <comment ref="J261" authorId="0">
      <text>
        <r>
          <rPr>
            <b/>
            <sz val="8"/>
            <color indexed="81"/>
            <rFont val="Tahoma"/>
            <family val="2"/>
          </rPr>
          <t xml:space="preserve">Average ratio of accommodation to direct tourism employment
</t>
        </r>
        <r>
          <rPr>
            <sz val="8"/>
            <color indexed="81"/>
            <rFont val="Tahoma"/>
            <family val="2"/>
          </rPr>
          <t xml:space="preserve">
</t>
        </r>
      </text>
    </comment>
    <comment ref="K261" authorId="0">
      <text>
        <r>
          <rPr>
            <b/>
            <sz val="8"/>
            <color indexed="81"/>
            <rFont val="Tahoma"/>
            <family val="2"/>
          </rPr>
          <t xml:space="preserve">Average ratio of accommodation to direct tourism employment
</t>
        </r>
        <r>
          <rPr>
            <sz val="8"/>
            <color indexed="81"/>
            <rFont val="Tahoma"/>
            <family val="2"/>
          </rPr>
          <t xml:space="preserve">
</t>
        </r>
      </text>
    </comment>
    <comment ref="F262" authorId="0">
      <text>
        <r>
          <rPr>
            <b/>
            <sz val="8"/>
            <color indexed="81"/>
            <rFont val="Tahoma"/>
            <family val="2"/>
          </rPr>
          <t xml:space="preserve">Average ratio of accommodation to direct tourism employment
</t>
        </r>
        <r>
          <rPr>
            <sz val="8"/>
            <color indexed="81"/>
            <rFont val="Tahoma"/>
            <family val="2"/>
          </rPr>
          <t xml:space="preserve">
</t>
        </r>
      </text>
    </comment>
    <comment ref="G262" authorId="0">
      <text>
        <r>
          <rPr>
            <b/>
            <sz val="8"/>
            <color indexed="81"/>
            <rFont val="Tahoma"/>
            <family val="2"/>
          </rPr>
          <t xml:space="preserve">Average ratio of accommodation to direct tourism employment
</t>
        </r>
        <r>
          <rPr>
            <sz val="8"/>
            <color indexed="81"/>
            <rFont val="Tahoma"/>
            <family val="2"/>
          </rPr>
          <t xml:space="preserve">
</t>
        </r>
      </text>
    </comment>
    <comment ref="H262" authorId="0">
      <text>
        <r>
          <rPr>
            <b/>
            <sz val="8"/>
            <color indexed="81"/>
            <rFont val="Tahoma"/>
            <family val="2"/>
          </rPr>
          <t xml:space="preserve">Average ratio of accommodation to direct tourism employment
</t>
        </r>
        <r>
          <rPr>
            <sz val="8"/>
            <color indexed="81"/>
            <rFont val="Tahoma"/>
            <family val="2"/>
          </rPr>
          <t xml:space="preserve">
</t>
        </r>
      </text>
    </comment>
    <comment ref="I262" authorId="0">
      <text>
        <r>
          <rPr>
            <b/>
            <sz val="8"/>
            <color indexed="81"/>
            <rFont val="Tahoma"/>
            <family val="2"/>
          </rPr>
          <t xml:space="preserve">Average ratio of accommodation to direct tourism employment
</t>
        </r>
        <r>
          <rPr>
            <sz val="8"/>
            <color indexed="81"/>
            <rFont val="Tahoma"/>
            <family val="2"/>
          </rPr>
          <t xml:space="preserve">
</t>
        </r>
      </text>
    </comment>
    <comment ref="J262" authorId="0">
      <text>
        <r>
          <rPr>
            <b/>
            <sz val="8"/>
            <color indexed="81"/>
            <rFont val="Tahoma"/>
            <family val="2"/>
          </rPr>
          <t xml:space="preserve">Average ratio of accommodation to direct tourism employment
</t>
        </r>
        <r>
          <rPr>
            <sz val="8"/>
            <color indexed="81"/>
            <rFont val="Tahoma"/>
            <family val="2"/>
          </rPr>
          <t xml:space="preserve">
</t>
        </r>
      </text>
    </comment>
    <comment ref="K262" authorId="0">
      <text>
        <r>
          <rPr>
            <b/>
            <sz val="8"/>
            <color indexed="81"/>
            <rFont val="Tahoma"/>
            <family val="2"/>
          </rPr>
          <t xml:space="preserve">Average ratio of accommodation to direct tourism employment
</t>
        </r>
        <r>
          <rPr>
            <sz val="8"/>
            <color indexed="81"/>
            <rFont val="Tahoma"/>
            <family val="2"/>
          </rPr>
          <t xml:space="preserve">
</t>
        </r>
      </text>
    </comment>
    <comment ref="F263" authorId="0">
      <text>
        <r>
          <rPr>
            <b/>
            <sz val="8"/>
            <color indexed="81"/>
            <rFont val="Tahoma"/>
            <family val="2"/>
          </rPr>
          <t xml:space="preserve">Average ratio of accommodation to direct tourism employment
</t>
        </r>
        <r>
          <rPr>
            <sz val="8"/>
            <color indexed="81"/>
            <rFont val="Tahoma"/>
            <family val="2"/>
          </rPr>
          <t xml:space="preserve">
</t>
        </r>
      </text>
    </comment>
    <comment ref="G263" authorId="0">
      <text>
        <r>
          <rPr>
            <b/>
            <sz val="8"/>
            <color indexed="81"/>
            <rFont val="Tahoma"/>
            <family val="2"/>
          </rPr>
          <t xml:space="preserve">Average ratio of accommodation to direct tourism employment
</t>
        </r>
        <r>
          <rPr>
            <sz val="8"/>
            <color indexed="81"/>
            <rFont val="Tahoma"/>
            <family val="2"/>
          </rPr>
          <t xml:space="preserve">
</t>
        </r>
      </text>
    </comment>
    <comment ref="H263" authorId="0">
      <text>
        <r>
          <rPr>
            <b/>
            <sz val="8"/>
            <color indexed="81"/>
            <rFont val="Tahoma"/>
            <family val="2"/>
          </rPr>
          <t xml:space="preserve">Average ratio of accommodation to direct tourism employment
</t>
        </r>
        <r>
          <rPr>
            <sz val="8"/>
            <color indexed="81"/>
            <rFont val="Tahoma"/>
            <family val="2"/>
          </rPr>
          <t xml:space="preserve">
</t>
        </r>
      </text>
    </comment>
    <comment ref="I263" authorId="0">
      <text>
        <r>
          <rPr>
            <b/>
            <sz val="8"/>
            <color indexed="81"/>
            <rFont val="Tahoma"/>
            <family val="2"/>
          </rPr>
          <t xml:space="preserve">Average ratio of accommodation to direct tourism employment
</t>
        </r>
        <r>
          <rPr>
            <sz val="8"/>
            <color indexed="81"/>
            <rFont val="Tahoma"/>
            <family val="2"/>
          </rPr>
          <t xml:space="preserve">
</t>
        </r>
      </text>
    </comment>
    <comment ref="J263" authorId="0">
      <text>
        <r>
          <rPr>
            <b/>
            <sz val="8"/>
            <color indexed="81"/>
            <rFont val="Tahoma"/>
            <family val="2"/>
          </rPr>
          <t xml:space="preserve">Average ratio of accommodation to direct tourism employment
</t>
        </r>
        <r>
          <rPr>
            <sz val="8"/>
            <color indexed="81"/>
            <rFont val="Tahoma"/>
            <family val="2"/>
          </rPr>
          <t xml:space="preserve">
</t>
        </r>
      </text>
    </comment>
    <comment ref="K263" authorId="0">
      <text>
        <r>
          <rPr>
            <b/>
            <sz val="8"/>
            <color indexed="81"/>
            <rFont val="Tahoma"/>
            <family val="2"/>
          </rPr>
          <t xml:space="preserve">Average ratio of accommodation to direct tourism employment
</t>
        </r>
        <r>
          <rPr>
            <sz val="8"/>
            <color indexed="81"/>
            <rFont val="Tahoma"/>
            <family val="2"/>
          </rPr>
          <t xml:space="preserve">
</t>
        </r>
      </text>
    </comment>
    <comment ref="F264" authorId="0">
      <text>
        <r>
          <rPr>
            <b/>
            <sz val="8"/>
            <color indexed="81"/>
            <rFont val="Tahoma"/>
            <family val="2"/>
          </rPr>
          <t xml:space="preserve">Average ratio of accommodation to direct tourism employment
</t>
        </r>
        <r>
          <rPr>
            <sz val="8"/>
            <color indexed="81"/>
            <rFont val="Tahoma"/>
            <family val="2"/>
          </rPr>
          <t xml:space="preserve">
</t>
        </r>
      </text>
    </comment>
    <comment ref="G264" authorId="0">
      <text>
        <r>
          <rPr>
            <b/>
            <sz val="8"/>
            <color indexed="81"/>
            <rFont val="Tahoma"/>
            <family val="2"/>
          </rPr>
          <t xml:space="preserve">Average ratio of accommodation to direct tourism employment
</t>
        </r>
        <r>
          <rPr>
            <sz val="8"/>
            <color indexed="81"/>
            <rFont val="Tahoma"/>
            <family val="2"/>
          </rPr>
          <t xml:space="preserve">
</t>
        </r>
      </text>
    </comment>
    <comment ref="H264" authorId="0">
      <text>
        <r>
          <rPr>
            <b/>
            <sz val="8"/>
            <color indexed="81"/>
            <rFont val="Tahoma"/>
            <family val="2"/>
          </rPr>
          <t xml:space="preserve">Average ratio of accommodation to direct tourism employment
</t>
        </r>
        <r>
          <rPr>
            <sz val="8"/>
            <color indexed="81"/>
            <rFont val="Tahoma"/>
            <family val="2"/>
          </rPr>
          <t xml:space="preserve">
</t>
        </r>
      </text>
    </comment>
    <comment ref="I264" authorId="0">
      <text>
        <r>
          <rPr>
            <b/>
            <sz val="8"/>
            <color indexed="81"/>
            <rFont val="Tahoma"/>
            <family val="2"/>
          </rPr>
          <t xml:space="preserve">Average ratio of accommodation to direct tourism employment
</t>
        </r>
        <r>
          <rPr>
            <sz val="8"/>
            <color indexed="81"/>
            <rFont val="Tahoma"/>
            <family val="2"/>
          </rPr>
          <t xml:space="preserve">
</t>
        </r>
      </text>
    </comment>
    <comment ref="J264" authorId="0">
      <text>
        <r>
          <rPr>
            <b/>
            <sz val="8"/>
            <color indexed="81"/>
            <rFont val="Tahoma"/>
            <family val="2"/>
          </rPr>
          <t xml:space="preserve">Average ratio of accommodation to direct tourism employment
</t>
        </r>
        <r>
          <rPr>
            <sz val="8"/>
            <color indexed="81"/>
            <rFont val="Tahoma"/>
            <family val="2"/>
          </rPr>
          <t xml:space="preserve">
</t>
        </r>
      </text>
    </comment>
    <comment ref="K264" authorId="0">
      <text>
        <r>
          <rPr>
            <b/>
            <sz val="8"/>
            <color indexed="81"/>
            <rFont val="Tahoma"/>
            <family val="2"/>
          </rPr>
          <t xml:space="preserve">Average ratio of accommodation to direct tourism employment
</t>
        </r>
        <r>
          <rPr>
            <sz val="8"/>
            <color indexed="81"/>
            <rFont val="Tahoma"/>
            <family val="2"/>
          </rPr>
          <t xml:space="preserve">
</t>
        </r>
      </text>
    </comment>
    <comment ref="F265" authorId="0">
      <text>
        <r>
          <rPr>
            <b/>
            <sz val="8"/>
            <color indexed="81"/>
            <rFont val="Tahoma"/>
            <family val="2"/>
          </rPr>
          <t xml:space="preserve">Average ratio of accommodation to direct tourism employment
</t>
        </r>
        <r>
          <rPr>
            <sz val="8"/>
            <color indexed="81"/>
            <rFont val="Tahoma"/>
            <family val="2"/>
          </rPr>
          <t xml:space="preserve">
</t>
        </r>
      </text>
    </comment>
    <comment ref="G265" authorId="0">
      <text>
        <r>
          <rPr>
            <b/>
            <sz val="8"/>
            <color indexed="81"/>
            <rFont val="Tahoma"/>
            <family val="2"/>
          </rPr>
          <t xml:space="preserve">Average ratio of accommodation to direct tourism employment
</t>
        </r>
        <r>
          <rPr>
            <sz val="8"/>
            <color indexed="81"/>
            <rFont val="Tahoma"/>
            <family val="2"/>
          </rPr>
          <t xml:space="preserve">
</t>
        </r>
      </text>
    </comment>
    <comment ref="H265" authorId="0">
      <text>
        <r>
          <rPr>
            <b/>
            <sz val="8"/>
            <color indexed="81"/>
            <rFont val="Tahoma"/>
            <family val="2"/>
          </rPr>
          <t xml:space="preserve">Average ratio of accommodation to direct tourism employment
</t>
        </r>
        <r>
          <rPr>
            <sz val="8"/>
            <color indexed="81"/>
            <rFont val="Tahoma"/>
            <family val="2"/>
          </rPr>
          <t xml:space="preserve">
</t>
        </r>
      </text>
    </comment>
    <comment ref="I265" authorId="0">
      <text>
        <r>
          <rPr>
            <b/>
            <sz val="8"/>
            <color indexed="81"/>
            <rFont val="Tahoma"/>
            <family val="2"/>
          </rPr>
          <t xml:space="preserve">Average ratio of accommodation to direct tourism employment
</t>
        </r>
        <r>
          <rPr>
            <sz val="8"/>
            <color indexed="81"/>
            <rFont val="Tahoma"/>
            <family val="2"/>
          </rPr>
          <t xml:space="preserve">
</t>
        </r>
      </text>
    </comment>
    <comment ref="J265" authorId="0">
      <text>
        <r>
          <rPr>
            <b/>
            <sz val="8"/>
            <color indexed="81"/>
            <rFont val="Tahoma"/>
            <family val="2"/>
          </rPr>
          <t xml:space="preserve">Average ratio of accommodation to direct tourism employment
</t>
        </r>
        <r>
          <rPr>
            <sz val="8"/>
            <color indexed="81"/>
            <rFont val="Tahoma"/>
            <family val="2"/>
          </rPr>
          <t xml:space="preserve">
</t>
        </r>
      </text>
    </comment>
    <comment ref="K265" authorId="0">
      <text>
        <r>
          <rPr>
            <b/>
            <sz val="8"/>
            <color indexed="81"/>
            <rFont val="Tahoma"/>
            <family val="2"/>
          </rPr>
          <t xml:space="preserve">Average ratio of accommodation to direct tourism employment
</t>
        </r>
        <r>
          <rPr>
            <sz val="8"/>
            <color indexed="81"/>
            <rFont val="Tahoma"/>
            <family val="2"/>
          </rPr>
          <t xml:space="preserve">
</t>
        </r>
      </text>
    </comment>
    <comment ref="F266" authorId="0">
      <text>
        <r>
          <rPr>
            <b/>
            <sz val="8"/>
            <color indexed="81"/>
            <rFont val="Tahoma"/>
            <family val="2"/>
          </rPr>
          <t>Average ratio of indirect tourism employment to direct tourism employment</t>
        </r>
        <r>
          <rPr>
            <sz val="8"/>
            <color indexed="81"/>
            <rFont val="Tahoma"/>
            <family val="2"/>
          </rPr>
          <t xml:space="preserve">
</t>
        </r>
      </text>
    </comment>
    <comment ref="G266" authorId="0">
      <text>
        <r>
          <rPr>
            <b/>
            <sz val="8"/>
            <color indexed="81"/>
            <rFont val="Tahoma"/>
            <family val="2"/>
          </rPr>
          <t>Average ratio of indirect tourism employment to direct tourism employment</t>
        </r>
        <r>
          <rPr>
            <sz val="8"/>
            <color indexed="81"/>
            <rFont val="Tahoma"/>
            <family val="2"/>
          </rPr>
          <t xml:space="preserve">
</t>
        </r>
      </text>
    </comment>
    <comment ref="H266" authorId="0">
      <text>
        <r>
          <rPr>
            <b/>
            <sz val="8"/>
            <color indexed="81"/>
            <rFont val="Tahoma"/>
            <family val="2"/>
          </rPr>
          <t>Average ratio of indirect tourism employment to direct tourism employment</t>
        </r>
        <r>
          <rPr>
            <sz val="8"/>
            <color indexed="81"/>
            <rFont val="Tahoma"/>
            <family val="2"/>
          </rPr>
          <t xml:space="preserve">
</t>
        </r>
      </text>
    </comment>
    <comment ref="I266" authorId="0">
      <text>
        <r>
          <rPr>
            <b/>
            <sz val="8"/>
            <color indexed="81"/>
            <rFont val="Tahoma"/>
            <family val="2"/>
          </rPr>
          <t>Average ratio of indirect tourism employment to direct tourism employment</t>
        </r>
        <r>
          <rPr>
            <sz val="8"/>
            <color indexed="81"/>
            <rFont val="Tahoma"/>
            <family val="2"/>
          </rPr>
          <t xml:space="preserve">
</t>
        </r>
      </text>
    </comment>
    <comment ref="J266" authorId="0">
      <text>
        <r>
          <rPr>
            <b/>
            <sz val="8"/>
            <color indexed="81"/>
            <rFont val="Tahoma"/>
            <family val="2"/>
          </rPr>
          <t>Average ratio of indirect tourism employment to direct tourism employment</t>
        </r>
        <r>
          <rPr>
            <sz val="8"/>
            <color indexed="81"/>
            <rFont val="Tahoma"/>
            <family val="2"/>
          </rPr>
          <t xml:space="preserve">
</t>
        </r>
      </text>
    </comment>
    <comment ref="K266" authorId="0">
      <text>
        <r>
          <rPr>
            <b/>
            <sz val="8"/>
            <color indexed="81"/>
            <rFont val="Tahoma"/>
            <family val="2"/>
          </rPr>
          <t>Average ratio of indirect tourism employment to direct tourism employment</t>
        </r>
        <r>
          <rPr>
            <sz val="8"/>
            <color indexed="81"/>
            <rFont val="Tahoma"/>
            <family val="2"/>
          </rPr>
          <t xml:space="preserve">
</t>
        </r>
      </text>
    </comment>
    <comment ref="F267" authorId="0">
      <text>
        <r>
          <rPr>
            <b/>
            <sz val="8"/>
            <color indexed="81"/>
            <rFont val="Tahoma"/>
            <family val="2"/>
          </rPr>
          <t xml:space="preserve">Average ratio of accommodation to indirect tourism employment 
</t>
        </r>
        <r>
          <rPr>
            <sz val="8"/>
            <color indexed="81"/>
            <rFont val="Tahoma"/>
            <family val="2"/>
          </rPr>
          <t xml:space="preserve">
</t>
        </r>
      </text>
    </comment>
    <comment ref="G267" authorId="0">
      <text>
        <r>
          <rPr>
            <b/>
            <sz val="8"/>
            <color indexed="81"/>
            <rFont val="Tahoma"/>
            <family val="2"/>
          </rPr>
          <t xml:space="preserve">Average ratio of accommodation to indirect tourism employment 
</t>
        </r>
        <r>
          <rPr>
            <sz val="8"/>
            <color indexed="81"/>
            <rFont val="Tahoma"/>
            <family val="2"/>
          </rPr>
          <t xml:space="preserve">
</t>
        </r>
      </text>
    </comment>
    <comment ref="H267" authorId="0">
      <text>
        <r>
          <rPr>
            <b/>
            <sz val="8"/>
            <color indexed="81"/>
            <rFont val="Tahoma"/>
            <family val="2"/>
          </rPr>
          <t xml:space="preserve">Average ratio of accommodation to indirect tourism employment 
</t>
        </r>
        <r>
          <rPr>
            <sz val="8"/>
            <color indexed="81"/>
            <rFont val="Tahoma"/>
            <family val="2"/>
          </rPr>
          <t xml:space="preserve">
</t>
        </r>
      </text>
    </comment>
    <comment ref="I267" authorId="0">
      <text>
        <r>
          <rPr>
            <b/>
            <sz val="8"/>
            <color indexed="81"/>
            <rFont val="Tahoma"/>
            <family val="2"/>
          </rPr>
          <t xml:space="preserve">Average ratio of accommodation to indirect tourism employment 
</t>
        </r>
        <r>
          <rPr>
            <sz val="8"/>
            <color indexed="81"/>
            <rFont val="Tahoma"/>
            <family val="2"/>
          </rPr>
          <t xml:space="preserve">
</t>
        </r>
      </text>
    </comment>
    <comment ref="J267" authorId="0">
      <text>
        <r>
          <rPr>
            <b/>
            <sz val="8"/>
            <color indexed="81"/>
            <rFont val="Tahoma"/>
            <family val="2"/>
          </rPr>
          <t xml:space="preserve">Average ratio of accommodation to indirect tourism employment 
</t>
        </r>
        <r>
          <rPr>
            <sz val="8"/>
            <color indexed="81"/>
            <rFont val="Tahoma"/>
            <family val="2"/>
          </rPr>
          <t xml:space="preserve">
</t>
        </r>
      </text>
    </comment>
    <comment ref="K267" authorId="0">
      <text>
        <r>
          <rPr>
            <b/>
            <sz val="8"/>
            <color indexed="81"/>
            <rFont val="Tahoma"/>
            <family val="2"/>
          </rPr>
          <t xml:space="preserve">Average ratio of accommodation to indirect tourism employment 
</t>
        </r>
        <r>
          <rPr>
            <sz val="8"/>
            <color indexed="81"/>
            <rFont val="Tahoma"/>
            <family val="2"/>
          </rPr>
          <t xml:space="preserve">
</t>
        </r>
      </text>
    </comment>
    <comment ref="F268" authorId="0">
      <text>
        <r>
          <rPr>
            <b/>
            <sz val="8"/>
            <color indexed="81"/>
            <rFont val="Tahoma"/>
            <family val="2"/>
          </rPr>
          <t xml:space="preserve">Average ratio of accommodation to indirect tourism employment 
</t>
        </r>
        <r>
          <rPr>
            <sz val="8"/>
            <color indexed="81"/>
            <rFont val="Tahoma"/>
            <family val="2"/>
          </rPr>
          <t xml:space="preserve">
</t>
        </r>
      </text>
    </comment>
    <comment ref="G268" authorId="0">
      <text>
        <r>
          <rPr>
            <b/>
            <sz val="8"/>
            <color indexed="81"/>
            <rFont val="Tahoma"/>
            <family val="2"/>
          </rPr>
          <t xml:space="preserve">Average ratio of accommodation to indirect tourism employment 
</t>
        </r>
        <r>
          <rPr>
            <sz val="8"/>
            <color indexed="81"/>
            <rFont val="Tahoma"/>
            <family val="2"/>
          </rPr>
          <t xml:space="preserve">
</t>
        </r>
      </text>
    </comment>
    <comment ref="H268" authorId="0">
      <text>
        <r>
          <rPr>
            <b/>
            <sz val="8"/>
            <color indexed="81"/>
            <rFont val="Tahoma"/>
            <family val="2"/>
          </rPr>
          <t xml:space="preserve">Average ratio of accommodation to indirect tourism employment 
</t>
        </r>
        <r>
          <rPr>
            <sz val="8"/>
            <color indexed="81"/>
            <rFont val="Tahoma"/>
            <family val="2"/>
          </rPr>
          <t xml:space="preserve">
</t>
        </r>
      </text>
    </comment>
    <comment ref="I268" authorId="0">
      <text>
        <r>
          <rPr>
            <b/>
            <sz val="8"/>
            <color indexed="81"/>
            <rFont val="Tahoma"/>
            <family val="2"/>
          </rPr>
          <t xml:space="preserve">Average ratio of accommodation to indirect tourism employment 
</t>
        </r>
        <r>
          <rPr>
            <sz val="8"/>
            <color indexed="81"/>
            <rFont val="Tahoma"/>
            <family val="2"/>
          </rPr>
          <t xml:space="preserve">
</t>
        </r>
      </text>
    </comment>
    <comment ref="J268" authorId="0">
      <text>
        <r>
          <rPr>
            <b/>
            <sz val="8"/>
            <color indexed="81"/>
            <rFont val="Tahoma"/>
            <family val="2"/>
          </rPr>
          <t xml:space="preserve">Average ratio of accommodation to indirect tourism employment 
</t>
        </r>
        <r>
          <rPr>
            <sz val="8"/>
            <color indexed="81"/>
            <rFont val="Tahoma"/>
            <family val="2"/>
          </rPr>
          <t xml:space="preserve">
</t>
        </r>
      </text>
    </comment>
    <comment ref="K268" authorId="0">
      <text>
        <r>
          <rPr>
            <b/>
            <sz val="8"/>
            <color indexed="81"/>
            <rFont val="Tahoma"/>
            <family val="2"/>
          </rPr>
          <t xml:space="preserve">Average ratio of accommodation to indirect tourism employment 
</t>
        </r>
        <r>
          <rPr>
            <sz val="8"/>
            <color indexed="81"/>
            <rFont val="Tahoma"/>
            <family val="2"/>
          </rPr>
          <t xml:space="preserve">
</t>
        </r>
      </text>
    </comment>
    <comment ref="F269" authorId="0">
      <text>
        <r>
          <rPr>
            <b/>
            <sz val="8"/>
            <color indexed="81"/>
            <rFont val="Tahoma"/>
            <family val="2"/>
          </rPr>
          <t xml:space="preserve">Average ratio of accommodation to indirect tourism employment 
</t>
        </r>
        <r>
          <rPr>
            <sz val="8"/>
            <color indexed="81"/>
            <rFont val="Tahoma"/>
            <family val="2"/>
          </rPr>
          <t xml:space="preserve">
</t>
        </r>
      </text>
    </comment>
    <comment ref="G269" authorId="0">
      <text>
        <r>
          <rPr>
            <b/>
            <sz val="8"/>
            <color indexed="81"/>
            <rFont val="Tahoma"/>
            <family val="2"/>
          </rPr>
          <t xml:space="preserve">Average ratio of accommodation to indirect tourism employment 
</t>
        </r>
        <r>
          <rPr>
            <sz val="8"/>
            <color indexed="81"/>
            <rFont val="Tahoma"/>
            <family val="2"/>
          </rPr>
          <t xml:space="preserve">
</t>
        </r>
      </text>
    </comment>
    <comment ref="H269" authorId="0">
      <text>
        <r>
          <rPr>
            <b/>
            <sz val="8"/>
            <color indexed="81"/>
            <rFont val="Tahoma"/>
            <family val="2"/>
          </rPr>
          <t xml:space="preserve">Average ratio of accommodation to indirect tourism employment 
</t>
        </r>
        <r>
          <rPr>
            <sz val="8"/>
            <color indexed="81"/>
            <rFont val="Tahoma"/>
            <family val="2"/>
          </rPr>
          <t xml:space="preserve">
</t>
        </r>
      </text>
    </comment>
    <comment ref="I269" authorId="0">
      <text>
        <r>
          <rPr>
            <b/>
            <sz val="8"/>
            <color indexed="81"/>
            <rFont val="Tahoma"/>
            <family val="2"/>
          </rPr>
          <t xml:space="preserve">Average ratio of accommodation to indirect tourism employment 
</t>
        </r>
        <r>
          <rPr>
            <sz val="8"/>
            <color indexed="81"/>
            <rFont val="Tahoma"/>
            <family val="2"/>
          </rPr>
          <t xml:space="preserve">
</t>
        </r>
      </text>
    </comment>
    <comment ref="J269" authorId="0">
      <text>
        <r>
          <rPr>
            <b/>
            <sz val="8"/>
            <color indexed="81"/>
            <rFont val="Tahoma"/>
            <family val="2"/>
          </rPr>
          <t xml:space="preserve">Average ratio of accommodation to indirect tourism employment 
</t>
        </r>
        <r>
          <rPr>
            <sz val="8"/>
            <color indexed="81"/>
            <rFont val="Tahoma"/>
            <family val="2"/>
          </rPr>
          <t xml:space="preserve">
</t>
        </r>
      </text>
    </comment>
    <comment ref="K269" authorId="0">
      <text>
        <r>
          <rPr>
            <b/>
            <sz val="8"/>
            <color indexed="81"/>
            <rFont val="Tahoma"/>
            <family val="2"/>
          </rPr>
          <t xml:space="preserve">Average ratio of accommodation to indirect tourism employment 
</t>
        </r>
        <r>
          <rPr>
            <sz val="8"/>
            <color indexed="81"/>
            <rFont val="Tahoma"/>
            <family val="2"/>
          </rPr>
          <t xml:space="preserve">
</t>
        </r>
      </text>
    </comment>
    <comment ref="F270" authorId="0">
      <text>
        <r>
          <rPr>
            <b/>
            <sz val="8"/>
            <color indexed="81"/>
            <rFont val="Tahoma"/>
            <family val="2"/>
          </rPr>
          <t xml:space="preserve">Average ratio of accommodation to indirect tourism employment 
</t>
        </r>
        <r>
          <rPr>
            <sz val="8"/>
            <color indexed="81"/>
            <rFont val="Tahoma"/>
            <family val="2"/>
          </rPr>
          <t xml:space="preserve">
</t>
        </r>
      </text>
    </comment>
    <comment ref="G270" authorId="0">
      <text>
        <r>
          <rPr>
            <b/>
            <sz val="8"/>
            <color indexed="81"/>
            <rFont val="Tahoma"/>
            <family val="2"/>
          </rPr>
          <t xml:space="preserve">Average ratio of accommodation to indirect tourism employment 
</t>
        </r>
        <r>
          <rPr>
            <sz val="8"/>
            <color indexed="81"/>
            <rFont val="Tahoma"/>
            <family val="2"/>
          </rPr>
          <t xml:space="preserve">
</t>
        </r>
      </text>
    </comment>
    <comment ref="H270" authorId="0">
      <text>
        <r>
          <rPr>
            <b/>
            <sz val="8"/>
            <color indexed="81"/>
            <rFont val="Tahoma"/>
            <family val="2"/>
          </rPr>
          <t xml:space="preserve">Average ratio of accommodation to indirect tourism employment 
</t>
        </r>
        <r>
          <rPr>
            <sz val="8"/>
            <color indexed="81"/>
            <rFont val="Tahoma"/>
            <family val="2"/>
          </rPr>
          <t xml:space="preserve">
</t>
        </r>
      </text>
    </comment>
    <comment ref="I270" authorId="0">
      <text>
        <r>
          <rPr>
            <b/>
            <sz val="8"/>
            <color indexed="81"/>
            <rFont val="Tahoma"/>
            <family val="2"/>
          </rPr>
          <t xml:space="preserve">Average ratio of accommodation to indirect tourism employment 
</t>
        </r>
        <r>
          <rPr>
            <sz val="8"/>
            <color indexed="81"/>
            <rFont val="Tahoma"/>
            <family val="2"/>
          </rPr>
          <t xml:space="preserve">
</t>
        </r>
      </text>
    </comment>
    <comment ref="J270" authorId="0">
      <text>
        <r>
          <rPr>
            <b/>
            <sz val="8"/>
            <color indexed="81"/>
            <rFont val="Tahoma"/>
            <family val="2"/>
          </rPr>
          <t xml:space="preserve">Average ratio of accommodation to indirect tourism employment 
</t>
        </r>
        <r>
          <rPr>
            <sz val="8"/>
            <color indexed="81"/>
            <rFont val="Tahoma"/>
            <family val="2"/>
          </rPr>
          <t xml:space="preserve">
</t>
        </r>
      </text>
    </comment>
    <comment ref="K270" authorId="0">
      <text>
        <r>
          <rPr>
            <b/>
            <sz val="8"/>
            <color indexed="81"/>
            <rFont val="Tahoma"/>
            <family val="2"/>
          </rPr>
          <t xml:space="preserve">Average ratio of accommodation to indirect tourism employment 
</t>
        </r>
        <r>
          <rPr>
            <sz val="8"/>
            <color indexed="81"/>
            <rFont val="Tahoma"/>
            <family val="2"/>
          </rPr>
          <t xml:space="preserve">
</t>
        </r>
      </text>
    </comment>
    <comment ref="F271" authorId="0">
      <text>
        <r>
          <rPr>
            <b/>
            <sz val="8"/>
            <color indexed="81"/>
            <rFont val="Tahoma"/>
            <family val="2"/>
          </rPr>
          <t xml:space="preserve">Average ratio of accommodation to indirect tourism employment 
</t>
        </r>
        <r>
          <rPr>
            <sz val="8"/>
            <color indexed="81"/>
            <rFont val="Tahoma"/>
            <family val="2"/>
          </rPr>
          <t xml:space="preserve">
</t>
        </r>
      </text>
    </comment>
    <comment ref="G271" authorId="0">
      <text>
        <r>
          <rPr>
            <b/>
            <sz val="8"/>
            <color indexed="81"/>
            <rFont val="Tahoma"/>
            <family val="2"/>
          </rPr>
          <t xml:space="preserve">Average ratio of accommodation to indirect tourism employment 
</t>
        </r>
        <r>
          <rPr>
            <sz val="8"/>
            <color indexed="81"/>
            <rFont val="Tahoma"/>
            <family val="2"/>
          </rPr>
          <t xml:space="preserve">
</t>
        </r>
      </text>
    </comment>
    <comment ref="H271" authorId="0">
      <text>
        <r>
          <rPr>
            <b/>
            <sz val="8"/>
            <color indexed="81"/>
            <rFont val="Tahoma"/>
            <family val="2"/>
          </rPr>
          <t xml:space="preserve">Average ratio of accommodation to indirect tourism employment 
</t>
        </r>
        <r>
          <rPr>
            <sz val="8"/>
            <color indexed="81"/>
            <rFont val="Tahoma"/>
            <family val="2"/>
          </rPr>
          <t xml:space="preserve">
</t>
        </r>
      </text>
    </comment>
    <comment ref="I271" authorId="0">
      <text>
        <r>
          <rPr>
            <b/>
            <sz val="8"/>
            <color indexed="81"/>
            <rFont val="Tahoma"/>
            <family val="2"/>
          </rPr>
          <t xml:space="preserve">Average ratio of accommodation to indirect tourism employment 
</t>
        </r>
        <r>
          <rPr>
            <sz val="8"/>
            <color indexed="81"/>
            <rFont val="Tahoma"/>
            <family val="2"/>
          </rPr>
          <t xml:space="preserve">
</t>
        </r>
      </text>
    </comment>
    <comment ref="J271" authorId="0">
      <text>
        <r>
          <rPr>
            <b/>
            <sz val="8"/>
            <color indexed="81"/>
            <rFont val="Tahoma"/>
            <family val="2"/>
          </rPr>
          <t xml:space="preserve">Average ratio of accommodation to indirect tourism employment 
</t>
        </r>
        <r>
          <rPr>
            <sz val="8"/>
            <color indexed="81"/>
            <rFont val="Tahoma"/>
            <family val="2"/>
          </rPr>
          <t xml:space="preserve">
</t>
        </r>
      </text>
    </comment>
    <comment ref="K271" authorId="0">
      <text>
        <r>
          <rPr>
            <b/>
            <sz val="8"/>
            <color indexed="81"/>
            <rFont val="Tahoma"/>
            <family val="2"/>
          </rPr>
          <t xml:space="preserve">Average ratio of accommodation to indirect tourism employment 
</t>
        </r>
        <r>
          <rPr>
            <sz val="8"/>
            <color indexed="81"/>
            <rFont val="Tahoma"/>
            <family val="2"/>
          </rPr>
          <t xml:space="preserve">
</t>
        </r>
      </text>
    </comment>
    <comment ref="F272" authorId="0">
      <text>
        <r>
          <rPr>
            <b/>
            <sz val="8"/>
            <color indexed="81"/>
            <rFont val="Tahoma"/>
            <family val="2"/>
          </rPr>
          <t xml:space="preserve">Average ratio of accommodation to indirect tourism employment 
</t>
        </r>
        <r>
          <rPr>
            <sz val="8"/>
            <color indexed="81"/>
            <rFont val="Tahoma"/>
            <family val="2"/>
          </rPr>
          <t xml:space="preserve">
</t>
        </r>
      </text>
    </comment>
    <comment ref="G272" authorId="0">
      <text>
        <r>
          <rPr>
            <b/>
            <sz val="8"/>
            <color indexed="81"/>
            <rFont val="Tahoma"/>
            <family val="2"/>
          </rPr>
          <t xml:space="preserve">Average ratio of accommodation to indirect tourism employment 
</t>
        </r>
        <r>
          <rPr>
            <sz val="8"/>
            <color indexed="81"/>
            <rFont val="Tahoma"/>
            <family val="2"/>
          </rPr>
          <t xml:space="preserve">
</t>
        </r>
      </text>
    </comment>
    <comment ref="H272" authorId="0">
      <text>
        <r>
          <rPr>
            <b/>
            <sz val="8"/>
            <color indexed="81"/>
            <rFont val="Tahoma"/>
            <family val="2"/>
          </rPr>
          <t xml:space="preserve">Average ratio of accommodation to indirect tourism employment 
</t>
        </r>
        <r>
          <rPr>
            <sz val="8"/>
            <color indexed="81"/>
            <rFont val="Tahoma"/>
            <family val="2"/>
          </rPr>
          <t xml:space="preserve">
</t>
        </r>
      </text>
    </comment>
    <comment ref="I272" authorId="0">
      <text>
        <r>
          <rPr>
            <b/>
            <sz val="8"/>
            <color indexed="81"/>
            <rFont val="Tahoma"/>
            <family val="2"/>
          </rPr>
          <t xml:space="preserve">Average ratio of accommodation to indirect tourism employment 
</t>
        </r>
        <r>
          <rPr>
            <sz val="8"/>
            <color indexed="81"/>
            <rFont val="Tahoma"/>
            <family val="2"/>
          </rPr>
          <t xml:space="preserve">
</t>
        </r>
      </text>
    </comment>
    <comment ref="J272" authorId="0">
      <text>
        <r>
          <rPr>
            <b/>
            <sz val="8"/>
            <color indexed="81"/>
            <rFont val="Tahoma"/>
            <family val="2"/>
          </rPr>
          <t xml:space="preserve">Average ratio of accommodation to indirect tourism employment 
</t>
        </r>
        <r>
          <rPr>
            <sz val="8"/>
            <color indexed="81"/>
            <rFont val="Tahoma"/>
            <family val="2"/>
          </rPr>
          <t xml:space="preserve">
</t>
        </r>
      </text>
    </comment>
    <comment ref="K272" authorId="0">
      <text>
        <r>
          <rPr>
            <b/>
            <sz val="8"/>
            <color indexed="81"/>
            <rFont val="Tahoma"/>
            <family val="2"/>
          </rPr>
          <t xml:space="preserve">Average ratio of accommodation to indirect tourism employment 
</t>
        </r>
        <r>
          <rPr>
            <sz val="8"/>
            <color indexed="81"/>
            <rFont val="Tahoma"/>
            <family val="2"/>
          </rPr>
          <t xml:space="preserve">
</t>
        </r>
      </text>
    </comment>
    <comment ref="F273" authorId="0">
      <text>
        <r>
          <rPr>
            <b/>
            <sz val="8"/>
            <color indexed="81"/>
            <rFont val="Tahoma"/>
            <family val="2"/>
          </rPr>
          <t xml:space="preserve">Average ratio of accommodation to indirect tourism employment 
</t>
        </r>
        <r>
          <rPr>
            <sz val="8"/>
            <color indexed="81"/>
            <rFont val="Tahoma"/>
            <family val="2"/>
          </rPr>
          <t xml:space="preserve">
</t>
        </r>
      </text>
    </comment>
    <comment ref="G273" authorId="0">
      <text>
        <r>
          <rPr>
            <b/>
            <sz val="8"/>
            <color indexed="81"/>
            <rFont val="Tahoma"/>
            <family val="2"/>
          </rPr>
          <t xml:space="preserve">Average ratio of accommodation to indirect tourism employment 
</t>
        </r>
        <r>
          <rPr>
            <sz val="8"/>
            <color indexed="81"/>
            <rFont val="Tahoma"/>
            <family val="2"/>
          </rPr>
          <t xml:space="preserve">
</t>
        </r>
      </text>
    </comment>
    <comment ref="H273" authorId="0">
      <text>
        <r>
          <rPr>
            <b/>
            <sz val="8"/>
            <color indexed="81"/>
            <rFont val="Tahoma"/>
            <family val="2"/>
          </rPr>
          <t xml:space="preserve">Average ratio of accommodation to indirect tourism employment 
</t>
        </r>
        <r>
          <rPr>
            <sz val="8"/>
            <color indexed="81"/>
            <rFont val="Tahoma"/>
            <family val="2"/>
          </rPr>
          <t xml:space="preserve">
</t>
        </r>
      </text>
    </comment>
    <comment ref="I273" authorId="0">
      <text>
        <r>
          <rPr>
            <b/>
            <sz val="8"/>
            <color indexed="81"/>
            <rFont val="Tahoma"/>
            <family val="2"/>
          </rPr>
          <t xml:space="preserve">Average ratio of accommodation to indirect tourism employment 
</t>
        </r>
        <r>
          <rPr>
            <sz val="8"/>
            <color indexed="81"/>
            <rFont val="Tahoma"/>
            <family val="2"/>
          </rPr>
          <t xml:space="preserve">
</t>
        </r>
      </text>
    </comment>
    <comment ref="J273" authorId="0">
      <text>
        <r>
          <rPr>
            <b/>
            <sz val="8"/>
            <color indexed="81"/>
            <rFont val="Tahoma"/>
            <family val="2"/>
          </rPr>
          <t xml:space="preserve">Average ratio of accommodation to indirect tourism employment 
</t>
        </r>
        <r>
          <rPr>
            <sz val="8"/>
            <color indexed="81"/>
            <rFont val="Tahoma"/>
            <family val="2"/>
          </rPr>
          <t xml:space="preserve">
</t>
        </r>
      </text>
    </comment>
    <comment ref="K273" authorId="0">
      <text>
        <r>
          <rPr>
            <b/>
            <sz val="8"/>
            <color indexed="81"/>
            <rFont val="Tahoma"/>
            <family val="2"/>
          </rPr>
          <t xml:space="preserve">Average ratio of accommodation to indirect tourism employment 
</t>
        </r>
        <r>
          <rPr>
            <sz val="8"/>
            <color indexed="81"/>
            <rFont val="Tahoma"/>
            <family val="2"/>
          </rPr>
          <t xml:space="preserve">
</t>
        </r>
      </text>
    </comment>
    <comment ref="F276" authorId="0">
      <text>
        <r>
          <rPr>
            <b/>
            <sz val="8"/>
            <color indexed="81"/>
            <rFont val="Tahoma"/>
            <family val="2"/>
          </rPr>
          <t>Average ratio of accommodation to transportation</t>
        </r>
        <r>
          <rPr>
            <sz val="8"/>
            <color indexed="81"/>
            <rFont val="Tahoma"/>
            <family val="2"/>
          </rPr>
          <t xml:space="preserve">
</t>
        </r>
      </text>
    </comment>
    <comment ref="G276" authorId="0">
      <text>
        <r>
          <rPr>
            <b/>
            <sz val="8"/>
            <color indexed="81"/>
            <rFont val="Tahoma"/>
            <family val="2"/>
          </rPr>
          <t>Average ratio of accommodation to transportation</t>
        </r>
        <r>
          <rPr>
            <sz val="8"/>
            <color indexed="81"/>
            <rFont val="Tahoma"/>
            <family val="2"/>
          </rPr>
          <t xml:space="preserve">
</t>
        </r>
      </text>
    </comment>
    <comment ref="H276" authorId="0">
      <text>
        <r>
          <rPr>
            <b/>
            <sz val="8"/>
            <color indexed="81"/>
            <rFont val="Tahoma"/>
            <family val="2"/>
          </rPr>
          <t>Average ratio of accommodation to transportation</t>
        </r>
        <r>
          <rPr>
            <sz val="8"/>
            <color indexed="81"/>
            <rFont val="Tahoma"/>
            <family val="2"/>
          </rPr>
          <t xml:space="preserve">
</t>
        </r>
      </text>
    </comment>
    <comment ref="I276" authorId="0">
      <text>
        <r>
          <rPr>
            <b/>
            <sz val="8"/>
            <color indexed="81"/>
            <rFont val="Tahoma"/>
            <family val="2"/>
          </rPr>
          <t>Average ratio of accommodation to transportation</t>
        </r>
        <r>
          <rPr>
            <sz val="8"/>
            <color indexed="81"/>
            <rFont val="Tahoma"/>
            <family val="2"/>
          </rPr>
          <t xml:space="preserve">
</t>
        </r>
      </text>
    </comment>
    <comment ref="J276" authorId="0">
      <text>
        <r>
          <rPr>
            <b/>
            <sz val="8"/>
            <color indexed="81"/>
            <rFont val="Tahoma"/>
            <family val="2"/>
          </rPr>
          <t>Average ratio of accommodation to transportation</t>
        </r>
        <r>
          <rPr>
            <sz val="8"/>
            <color indexed="81"/>
            <rFont val="Tahoma"/>
            <family val="2"/>
          </rPr>
          <t xml:space="preserve">
</t>
        </r>
      </text>
    </comment>
    <comment ref="K276" authorId="0">
      <text>
        <r>
          <rPr>
            <b/>
            <sz val="8"/>
            <color indexed="81"/>
            <rFont val="Tahoma"/>
            <family val="2"/>
          </rPr>
          <t>Average ratio of accommodation to transportation</t>
        </r>
        <r>
          <rPr>
            <sz val="8"/>
            <color indexed="81"/>
            <rFont val="Tahoma"/>
            <family val="2"/>
          </rPr>
          <t xml:space="preserve">
</t>
        </r>
      </text>
    </comment>
    <comment ref="F277" authorId="0">
      <text>
        <r>
          <rPr>
            <b/>
            <sz val="8"/>
            <color indexed="81"/>
            <rFont val="Tahoma"/>
            <family val="2"/>
          </rPr>
          <t>Average ratio of accommodation to transportation</t>
        </r>
        <r>
          <rPr>
            <sz val="8"/>
            <color indexed="81"/>
            <rFont val="Tahoma"/>
            <family val="2"/>
          </rPr>
          <t xml:space="preserve">
</t>
        </r>
      </text>
    </comment>
    <comment ref="G277" authorId="0">
      <text>
        <r>
          <rPr>
            <b/>
            <sz val="8"/>
            <color indexed="81"/>
            <rFont val="Tahoma"/>
            <family val="2"/>
          </rPr>
          <t>Average ratio of accommodation to transportation</t>
        </r>
        <r>
          <rPr>
            <sz val="8"/>
            <color indexed="81"/>
            <rFont val="Tahoma"/>
            <family val="2"/>
          </rPr>
          <t xml:space="preserve">
</t>
        </r>
      </text>
    </comment>
    <comment ref="H277" authorId="0">
      <text>
        <r>
          <rPr>
            <b/>
            <sz val="8"/>
            <color indexed="81"/>
            <rFont val="Tahoma"/>
            <family val="2"/>
          </rPr>
          <t>Average ratio of accommodation to transportation</t>
        </r>
        <r>
          <rPr>
            <sz val="8"/>
            <color indexed="81"/>
            <rFont val="Tahoma"/>
            <family val="2"/>
          </rPr>
          <t xml:space="preserve">
</t>
        </r>
      </text>
    </comment>
    <comment ref="I277" authorId="0">
      <text>
        <r>
          <rPr>
            <b/>
            <sz val="8"/>
            <color indexed="81"/>
            <rFont val="Tahoma"/>
            <family val="2"/>
          </rPr>
          <t>Average ratio of accommodation to transportation</t>
        </r>
        <r>
          <rPr>
            <sz val="8"/>
            <color indexed="81"/>
            <rFont val="Tahoma"/>
            <family val="2"/>
          </rPr>
          <t xml:space="preserve">
</t>
        </r>
      </text>
    </comment>
    <comment ref="J277" authorId="0">
      <text>
        <r>
          <rPr>
            <b/>
            <sz val="8"/>
            <color indexed="81"/>
            <rFont val="Tahoma"/>
            <family val="2"/>
          </rPr>
          <t>Average ratio of accommodation to transportation</t>
        </r>
        <r>
          <rPr>
            <sz val="8"/>
            <color indexed="81"/>
            <rFont val="Tahoma"/>
            <family val="2"/>
          </rPr>
          <t xml:space="preserve">
</t>
        </r>
      </text>
    </comment>
    <comment ref="K277" authorId="0">
      <text>
        <r>
          <rPr>
            <b/>
            <sz val="8"/>
            <color indexed="81"/>
            <rFont val="Tahoma"/>
            <family val="2"/>
          </rPr>
          <t>Average ratio of accommodation to transportation</t>
        </r>
        <r>
          <rPr>
            <sz val="8"/>
            <color indexed="81"/>
            <rFont val="Tahoma"/>
            <family val="2"/>
          </rPr>
          <t xml:space="preserve">
</t>
        </r>
      </text>
    </comment>
    <comment ref="F278" authorId="0">
      <text>
        <r>
          <rPr>
            <b/>
            <sz val="8"/>
            <color indexed="81"/>
            <rFont val="Tahoma"/>
            <family val="2"/>
          </rPr>
          <t>Average ratio of accommodation to transportation</t>
        </r>
        <r>
          <rPr>
            <sz val="8"/>
            <color indexed="81"/>
            <rFont val="Tahoma"/>
            <family val="2"/>
          </rPr>
          <t xml:space="preserve">
</t>
        </r>
      </text>
    </comment>
    <comment ref="G278" authorId="0">
      <text>
        <r>
          <rPr>
            <b/>
            <sz val="8"/>
            <color indexed="81"/>
            <rFont val="Tahoma"/>
            <family val="2"/>
          </rPr>
          <t>Average ratio of accommodation to transportation</t>
        </r>
        <r>
          <rPr>
            <sz val="8"/>
            <color indexed="81"/>
            <rFont val="Tahoma"/>
            <family val="2"/>
          </rPr>
          <t xml:space="preserve">
</t>
        </r>
      </text>
    </comment>
    <comment ref="H278" authorId="0">
      <text>
        <r>
          <rPr>
            <b/>
            <sz val="8"/>
            <color indexed="81"/>
            <rFont val="Tahoma"/>
            <family val="2"/>
          </rPr>
          <t>Average ratio of accommodation to transportation</t>
        </r>
        <r>
          <rPr>
            <sz val="8"/>
            <color indexed="81"/>
            <rFont val="Tahoma"/>
            <family val="2"/>
          </rPr>
          <t xml:space="preserve">
</t>
        </r>
      </text>
    </comment>
    <comment ref="I278" authorId="0">
      <text>
        <r>
          <rPr>
            <b/>
            <sz val="8"/>
            <color indexed="81"/>
            <rFont val="Tahoma"/>
            <family val="2"/>
          </rPr>
          <t>Average ratio of accommodation to transportation</t>
        </r>
        <r>
          <rPr>
            <sz val="8"/>
            <color indexed="81"/>
            <rFont val="Tahoma"/>
            <family val="2"/>
          </rPr>
          <t xml:space="preserve">
</t>
        </r>
      </text>
    </comment>
    <comment ref="J278" authorId="0">
      <text>
        <r>
          <rPr>
            <b/>
            <sz val="8"/>
            <color indexed="81"/>
            <rFont val="Tahoma"/>
            <family val="2"/>
          </rPr>
          <t>Average ratio of accommodation to transportation</t>
        </r>
        <r>
          <rPr>
            <sz val="8"/>
            <color indexed="81"/>
            <rFont val="Tahoma"/>
            <family val="2"/>
          </rPr>
          <t xml:space="preserve">
</t>
        </r>
      </text>
    </comment>
    <comment ref="K278" authorId="0">
      <text>
        <r>
          <rPr>
            <b/>
            <sz val="8"/>
            <color indexed="81"/>
            <rFont val="Tahoma"/>
            <family val="2"/>
          </rPr>
          <t>Average ratio of accommodation to transportation</t>
        </r>
        <r>
          <rPr>
            <sz val="8"/>
            <color indexed="81"/>
            <rFont val="Tahoma"/>
            <family val="2"/>
          </rPr>
          <t xml:space="preserve">
</t>
        </r>
      </text>
    </comment>
    <comment ref="F279" authorId="0">
      <text>
        <r>
          <rPr>
            <b/>
            <sz val="8"/>
            <color indexed="81"/>
            <rFont val="Tahoma"/>
            <family val="2"/>
          </rPr>
          <t>Average ratio of accommodation to transportation</t>
        </r>
        <r>
          <rPr>
            <sz val="8"/>
            <color indexed="81"/>
            <rFont val="Tahoma"/>
            <family val="2"/>
          </rPr>
          <t xml:space="preserve">
</t>
        </r>
      </text>
    </comment>
    <comment ref="G279" authorId="0">
      <text>
        <r>
          <rPr>
            <b/>
            <sz val="8"/>
            <color indexed="81"/>
            <rFont val="Tahoma"/>
            <family val="2"/>
          </rPr>
          <t>Average ratio of accommodation to transportation</t>
        </r>
        <r>
          <rPr>
            <sz val="8"/>
            <color indexed="81"/>
            <rFont val="Tahoma"/>
            <family val="2"/>
          </rPr>
          <t xml:space="preserve">
</t>
        </r>
      </text>
    </comment>
    <comment ref="H279" authorId="0">
      <text>
        <r>
          <rPr>
            <b/>
            <sz val="8"/>
            <color indexed="81"/>
            <rFont val="Tahoma"/>
            <family val="2"/>
          </rPr>
          <t>Average ratio of accommodation to transportation</t>
        </r>
        <r>
          <rPr>
            <sz val="8"/>
            <color indexed="81"/>
            <rFont val="Tahoma"/>
            <family val="2"/>
          </rPr>
          <t xml:space="preserve">
</t>
        </r>
      </text>
    </comment>
    <comment ref="I279" authorId="0">
      <text>
        <r>
          <rPr>
            <b/>
            <sz val="8"/>
            <color indexed="81"/>
            <rFont val="Tahoma"/>
            <family val="2"/>
          </rPr>
          <t>Average ratio of accommodation to transportation</t>
        </r>
        <r>
          <rPr>
            <sz val="8"/>
            <color indexed="81"/>
            <rFont val="Tahoma"/>
            <family val="2"/>
          </rPr>
          <t xml:space="preserve">
</t>
        </r>
      </text>
    </comment>
    <comment ref="J279" authorId="0">
      <text>
        <r>
          <rPr>
            <b/>
            <sz val="8"/>
            <color indexed="81"/>
            <rFont val="Tahoma"/>
            <family val="2"/>
          </rPr>
          <t>Average ratio of accommodation to transportation</t>
        </r>
        <r>
          <rPr>
            <sz val="8"/>
            <color indexed="81"/>
            <rFont val="Tahoma"/>
            <family val="2"/>
          </rPr>
          <t xml:space="preserve">
</t>
        </r>
      </text>
    </comment>
    <comment ref="K279" authorId="0">
      <text>
        <r>
          <rPr>
            <b/>
            <sz val="8"/>
            <color indexed="81"/>
            <rFont val="Tahoma"/>
            <family val="2"/>
          </rPr>
          <t>Average ratio of accommodation to transportation</t>
        </r>
        <r>
          <rPr>
            <sz val="8"/>
            <color indexed="81"/>
            <rFont val="Tahoma"/>
            <family val="2"/>
          </rPr>
          <t xml:space="preserve">
</t>
        </r>
      </text>
    </comment>
    <comment ref="F280" authorId="0">
      <text>
        <r>
          <rPr>
            <b/>
            <sz val="8"/>
            <color indexed="81"/>
            <rFont val="Tahoma"/>
            <family val="2"/>
          </rPr>
          <t>Salaries for transportation is usually available from national statistics, labour authority or ILO, acroos countries. So, it is assumed that the same should be available for the country to be benchmarked and is considered as the base for benchmarking the ratio of the salaries of any other category to the salary of transportation in the benchmarking countries.</t>
        </r>
        <r>
          <rPr>
            <sz val="8"/>
            <color indexed="81"/>
            <rFont val="Tahoma"/>
            <family val="2"/>
          </rPr>
          <t xml:space="preserve">
</t>
        </r>
      </text>
    </comment>
    <comment ref="G280" authorId="0">
      <text>
        <r>
          <rPr>
            <b/>
            <sz val="8"/>
            <color indexed="81"/>
            <rFont val="Tahoma"/>
            <family val="2"/>
          </rPr>
          <t>Salaries for transportation is usually available from national statistics, labour authority or ILO, acroos countries. So, it is assumed that the same should be available for the country to be benchmarked and is considered as the base for benchmarking the ratio of the salaries of any other category to the salary of transportation in the benchmarking countries.</t>
        </r>
        <r>
          <rPr>
            <sz val="8"/>
            <color indexed="81"/>
            <rFont val="Tahoma"/>
            <family val="2"/>
          </rPr>
          <t xml:space="preserve">
</t>
        </r>
      </text>
    </comment>
    <comment ref="H280" authorId="0">
      <text>
        <r>
          <rPr>
            <b/>
            <sz val="8"/>
            <color indexed="81"/>
            <rFont val="Tahoma"/>
            <family val="2"/>
          </rPr>
          <t>Salaries for transportation is usually available from national statistics, labour authority or ILO, acroos countries. So, it is assumed that the same should be available for the country to be benchmarked and is considered as the base for benchmarking the ratio of the salaries of any other category to the salary of transportation in the benchmarking countries.</t>
        </r>
        <r>
          <rPr>
            <sz val="8"/>
            <color indexed="81"/>
            <rFont val="Tahoma"/>
            <family val="2"/>
          </rPr>
          <t xml:space="preserve">
</t>
        </r>
      </text>
    </comment>
    <comment ref="I280" authorId="0">
      <text>
        <r>
          <rPr>
            <b/>
            <sz val="8"/>
            <color indexed="81"/>
            <rFont val="Tahoma"/>
            <family val="2"/>
          </rPr>
          <t>Salaries for transportation is usually available from national statistics, labour authority or ILO, acroos countries. So, it is assumed that the same should be available for the country to be benchmarked and is considered as the base for benchmarking the ratio of the salaries of any other category to the salary of transportation in the benchmarking countries.</t>
        </r>
        <r>
          <rPr>
            <sz val="8"/>
            <color indexed="81"/>
            <rFont val="Tahoma"/>
            <family val="2"/>
          </rPr>
          <t xml:space="preserve">
</t>
        </r>
      </text>
    </comment>
    <comment ref="J280" authorId="0">
      <text>
        <r>
          <rPr>
            <b/>
            <sz val="8"/>
            <color indexed="81"/>
            <rFont val="Tahoma"/>
            <family val="2"/>
          </rPr>
          <t>Salaries for transportation is usually available from national statistics, labour authority or ILO, acroos countries. So, it is assumed that the same should be available for the country to be benchmarked and is considered as the base for benchmarking the ratio of the salaries of any other category to the salary of transportation in the benchmarking countries.</t>
        </r>
        <r>
          <rPr>
            <sz val="8"/>
            <color indexed="81"/>
            <rFont val="Tahoma"/>
            <family val="2"/>
          </rPr>
          <t xml:space="preserve">
</t>
        </r>
      </text>
    </comment>
    <comment ref="K280" authorId="0">
      <text>
        <r>
          <rPr>
            <b/>
            <sz val="8"/>
            <color indexed="81"/>
            <rFont val="Tahoma"/>
            <family val="2"/>
          </rPr>
          <t>Salaries for transportation is usually available from national statistics, labour authority or ILO, acroos countries. So, it is assumed that the same should be available for the country to be benchmarked and is considered as the base for benchmarking the ratio of the salaries of any other category to the salary of transportation in the benchmarking countries.</t>
        </r>
        <r>
          <rPr>
            <sz val="8"/>
            <color indexed="81"/>
            <rFont val="Tahoma"/>
            <family val="2"/>
          </rPr>
          <t xml:space="preserve">
</t>
        </r>
      </text>
    </comment>
    <comment ref="F281" authorId="0">
      <text>
        <r>
          <rPr>
            <b/>
            <sz val="8"/>
            <color indexed="81"/>
            <rFont val="Tahoma"/>
            <family val="2"/>
          </rPr>
          <t>Average ratio of accommodation to transportation</t>
        </r>
        <r>
          <rPr>
            <sz val="8"/>
            <color indexed="81"/>
            <rFont val="Tahoma"/>
            <family val="2"/>
          </rPr>
          <t xml:space="preserve">
</t>
        </r>
      </text>
    </comment>
    <comment ref="G281" authorId="0">
      <text>
        <r>
          <rPr>
            <b/>
            <sz val="8"/>
            <color indexed="81"/>
            <rFont val="Tahoma"/>
            <family val="2"/>
          </rPr>
          <t>Average ratio of accommodation to transportation</t>
        </r>
        <r>
          <rPr>
            <sz val="8"/>
            <color indexed="81"/>
            <rFont val="Tahoma"/>
            <family val="2"/>
          </rPr>
          <t xml:space="preserve">
</t>
        </r>
      </text>
    </comment>
    <comment ref="H281" authorId="0">
      <text>
        <r>
          <rPr>
            <b/>
            <sz val="8"/>
            <color indexed="81"/>
            <rFont val="Tahoma"/>
            <family val="2"/>
          </rPr>
          <t>Average ratio of accommodation to transportation</t>
        </r>
        <r>
          <rPr>
            <sz val="8"/>
            <color indexed="81"/>
            <rFont val="Tahoma"/>
            <family val="2"/>
          </rPr>
          <t xml:space="preserve">
</t>
        </r>
      </text>
    </comment>
    <comment ref="I281" authorId="0">
      <text>
        <r>
          <rPr>
            <b/>
            <sz val="8"/>
            <color indexed="81"/>
            <rFont val="Tahoma"/>
            <family val="2"/>
          </rPr>
          <t>Average ratio of accommodation to transportation</t>
        </r>
        <r>
          <rPr>
            <sz val="8"/>
            <color indexed="81"/>
            <rFont val="Tahoma"/>
            <family val="2"/>
          </rPr>
          <t xml:space="preserve">
</t>
        </r>
      </text>
    </comment>
    <comment ref="J281" authorId="0">
      <text>
        <r>
          <rPr>
            <b/>
            <sz val="8"/>
            <color indexed="81"/>
            <rFont val="Tahoma"/>
            <family val="2"/>
          </rPr>
          <t>Average ratio of accommodation to transportation</t>
        </r>
        <r>
          <rPr>
            <sz val="8"/>
            <color indexed="81"/>
            <rFont val="Tahoma"/>
            <family val="2"/>
          </rPr>
          <t xml:space="preserve">
</t>
        </r>
      </text>
    </comment>
    <comment ref="K281" authorId="0">
      <text>
        <r>
          <rPr>
            <b/>
            <sz val="8"/>
            <color indexed="81"/>
            <rFont val="Tahoma"/>
            <family val="2"/>
          </rPr>
          <t>Average ratio of accommodation to transportation</t>
        </r>
        <r>
          <rPr>
            <sz val="8"/>
            <color indexed="81"/>
            <rFont val="Tahoma"/>
            <family val="2"/>
          </rPr>
          <t xml:space="preserve">
</t>
        </r>
      </text>
    </comment>
    <comment ref="F282" authorId="0">
      <text>
        <r>
          <rPr>
            <b/>
            <sz val="8"/>
            <color indexed="81"/>
            <rFont val="Tahoma"/>
            <family val="2"/>
          </rPr>
          <t>Average ratio of accommodation to transportation</t>
        </r>
        <r>
          <rPr>
            <sz val="8"/>
            <color indexed="81"/>
            <rFont val="Tahoma"/>
            <family val="2"/>
          </rPr>
          <t xml:space="preserve">
</t>
        </r>
      </text>
    </comment>
    <comment ref="G282" authorId="0">
      <text>
        <r>
          <rPr>
            <b/>
            <sz val="8"/>
            <color indexed="81"/>
            <rFont val="Tahoma"/>
            <family val="2"/>
          </rPr>
          <t>Average ratio of accommodation to transportation</t>
        </r>
        <r>
          <rPr>
            <sz val="8"/>
            <color indexed="81"/>
            <rFont val="Tahoma"/>
            <family val="2"/>
          </rPr>
          <t xml:space="preserve">
</t>
        </r>
      </text>
    </comment>
    <comment ref="H282" authorId="0">
      <text>
        <r>
          <rPr>
            <b/>
            <sz val="8"/>
            <color indexed="81"/>
            <rFont val="Tahoma"/>
            <family val="2"/>
          </rPr>
          <t>Average ratio of accommodation to transportation</t>
        </r>
        <r>
          <rPr>
            <sz val="8"/>
            <color indexed="81"/>
            <rFont val="Tahoma"/>
            <family val="2"/>
          </rPr>
          <t xml:space="preserve">
</t>
        </r>
      </text>
    </comment>
    <comment ref="I282" authorId="0">
      <text>
        <r>
          <rPr>
            <b/>
            <sz val="8"/>
            <color indexed="81"/>
            <rFont val="Tahoma"/>
            <family val="2"/>
          </rPr>
          <t>Average ratio of accommodation to transportation</t>
        </r>
        <r>
          <rPr>
            <sz val="8"/>
            <color indexed="81"/>
            <rFont val="Tahoma"/>
            <family val="2"/>
          </rPr>
          <t xml:space="preserve">
</t>
        </r>
      </text>
    </comment>
    <comment ref="J282" authorId="0">
      <text>
        <r>
          <rPr>
            <b/>
            <sz val="8"/>
            <color indexed="81"/>
            <rFont val="Tahoma"/>
            <family val="2"/>
          </rPr>
          <t>Average ratio of accommodation to transportation</t>
        </r>
        <r>
          <rPr>
            <sz val="8"/>
            <color indexed="81"/>
            <rFont val="Tahoma"/>
            <family val="2"/>
          </rPr>
          <t xml:space="preserve">
</t>
        </r>
      </text>
    </comment>
    <comment ref="K282" authorId="0">
      <text>
        <r>
          <rPr>
            <b/>
            <sz val="8"/>
            <color indexed="81"/>
            <rFont val="Tahoma"/>
            <family val="2"/>
          </rPr>
          <t>Average ratio of accommodation to transportation</t>
        </r>
        <r>
          <rPr>
            <sz val="8"/>
            <color indexed="81"/>
            <rFont val="Tahoma"/>
            <family val="2"/>
          </rPr>
          <t xml:space="preserve">
</t>
        </r>
      </text>
    </comment>
  </commentList>
</comments>
</file>

<file path=xl/comments12.xml><?xml version="1.0" encoding="utf-8"?>
<comments xmlns="http://schemas.openxmlformats.org/spreadsheetml/2006/main">
  <authors>
    <author>sudheert</author>
  </authors>
  <commentList>
    <comment ref="J4" authorId="0">
      <text>
        <r>
          <rPr>
            <b/>
            <sz val="8"/>
            <color indexed="81"/>
            <rFont val="Tahoma"/>
            <family val="2"/>
          </rPr>
          <t>sudheert:</t>
        </r>
        <r>
          <rPr>
            <sz val="8"/>
            <color indexed="81"/>
            <rFont val="Tahoma"/>
            <family val="2"/>
          </rPr>
          <t xml:space="preserve">
sum of 4 quarters</t>
        </r>
      </text>
    </comment>
    <comment ref="K4" authorId="0">
      <text>
        <r>
          <rPr>
            <b/>
            <sz val="8"/>
            <color indexed="81"/>
            <rFont val="Tahoma"/>
            <family val="2"/>
          </rPr>
          <t>sudheert:</t>
        </r>
        <r>
          <rPr>
            <sz val="8"/>
            <color indexed="81"/>
            <rFont val="Tahoma"/>
            <family val="2"/>
          </rPr>
          <t xml:space="preserve">
sum of 4 quarters</t>
        </r>
      </text>
    </comment>
    <comment ref="L4" authorId="0">
      <text>
        <r>
          <rPr>
            <b/>
            <sz val="8"/>
            <color indexed="81"/>
            <rFont val="Tahoma"/>
            <family val="2"/>
          </rPr>
          <t>sudheert:</t>
        </r>
        <r>
          <rPr>
            <sz val="8"/>
            <color indexed="81"/>
            <rFont val="Tahoma"/>
            <family val="2"/>
          </rPr>
          <t xml:space="preserve">
sum of 4 quarters</t>
        </r>
      </text>
    </comment>
    <comment ref="M4" authorId="0">
      <text>
        <r>
          <rPr>
            <b/>
            <sz val="8"/>
            <color indexed="81"/>
            <rFont val="Tahoma"/>
            <family val="2"/>
          </rPr>
          <t>sudheert:</t>
        </r>
        <r>
          <rPr>
            <sz val="8"/>
            <color indexed="81"/>
            <rFont val="Tahoma"/>
            <family val="2"/>
          </rPr>
          <t xml:space="preserve">
sum of 4 quarters</t>
        </r>
      </text>
    </comment>
    <comment ref="B5" authorId="0">
      <text>
        <r>
          <rPr>
            <b/>
            <sz val="8"/>
            <color indexed="81"/>
            <rFont val="Tahoma"/>
            <family val="2"/>
          </rPr>
          <t>sudheert:</t>
        </r>
        <r>
          <rPr>
            <sz val="8"/>
            <color indexed="81"/>
            <rFont val="Tahoma"/>
            <family val="2"/>
          </rPr>
          <t xml:space="preserve">
Norway TDF</t>
        </r>
      </text>
    </comment>
    <comment ref="I5" authorId="0">
      <text>
        <r>
          <rPr>
            <b/>
            <sz val="8"/>
            <color indexed="81"/>
            <rFont val="Tahoma"/>
            <family val="2"/>
          </rPr>
          <t>sudheert:</t>
        </r>
        <r>
          <rPr>
            <sz val="8"/>
            <color indexed="81"/>
            <rFont val="Tahoma"/>
            <family val="2"/>
          </rPr>
          <t xml:space="preserve">
Benchmarked with norway</t>
        </r>
      </text>
    </comment>
    <comment ref="J5" authorId="0">
      <text>
        <r>
          <rPr>
            <b/>
            <sz val="8"/>
            <color indexed="81"/>
            <rFont val="Tahoma"/>
            <family val="2"/>
          </rPr>
          <t>sudheert:</t>
        </r>
        <r>
          <rPr>
            <sz val="8"/>
            <color indexed="81"/>
            <rFont val="Tahoma"/>
            <family val="2"/>
          </rPr>
          <t xml:space="preserve">
benchmarked with norway</t>
        </r>
      </text>
    </comment>
    <comment ref="K5" authorId="0">
      <text>
        <r>
          <rPr>
            <b/>
            <sz val="8"/>
            <color indexed="81"/>
            <rFont val="Tahoma"/>
            <family val="2"/>
          </rPr>
          <t>sudheert:</t>
        </r>
        <r>
          <rPr>
            <sz val="8"/>
            <color indexed="81"/>
            <rFont val="Tahoma"/>
            <family val="2"/>
          </rPr>
          <t xml:space="preserve">
benchmarked with norway</t>
        </r>
      </text>
    </comment>
    <comment ref="L5" authorId="0">
      <text>
        <r>
          <rPr>
            <b/>
            <sz val="8"/>
            <color indexed="81"/>
            <rFont val="Tahoma"/>
            <family val="2"/>
          </rPr>
          <t>sudheert:</t>
        </r>
        <r>
          <rPr>
            <sz val="8"/>
            <color indexed="81"/>
            <rFont val="Tahoma"/>
            <family val="2"/>
          </rPr>
          <t xml:space="preserve">
benchmarked with norway</t>
        </r>
      </text>
    </comment>
    <comment ref="M5" authorId="0">
      <text>
        <r>
          <rPr>
            <b/>
            <sz val="8"/>
            <color indexed="81"/>
            <rFont val="Tahoma"/>
            <family val="2"/>
          </rPr>
          <t>sudheert:</t>
        </r>
        <r>
          <rPr>
            <sz val="8"/>
            <color indexed="81"/>
            <rFont val="Tahoma"/>
            <family val="2"/>
          </rPr>
          <t xml:space="preserve">
benchmarked with norway</t>
        </r>
      </text>
    </comment>
    <comment ref="I6" authorId="0">
      <text>
        <r>
          <rPr>
            <b/>
            <sz val="8"/>
            <color indexed="81"/>
            <rFont val="Tahoma"/>
            <family val="2"/>
          </rPr>
          <t>sudheert:</t>
        </r>
        <r>
          <rPr>
            <sz val="8"/>
            <color indexed="81"/>
            <rFont val="Tahoma"/>
            <family val="2"/>
          </rPr>
          <t xml:space="preserve">
Benchmarked with norway</t>
        </r>
      </text>
    </comment>
    <comment ref="J6" authorId="0">
      <text>
        <r>
          <rPr>
            <b/>
            <sz val="8"/>
            <color indexed="81"/>
            <rFont val="Tahoma"/>
            <family val="2"/>
          </rPr>
          <t>sudheert:</t>
        </r>
        <r>
          <rPr>
            <sz val="8"/>
            <color indexed="81"/>
            <rFont val="Tahoma"/>
            <family val="2"/>
          </rPr>
          <t xml:space="preserve">
Benchmarked with norway</t>
        </r>
      </text>
    </comment>
    <comment ref="K6" authorId="0">
      <text>
        <r>
          <rPr>
            <b/>
            <sz val="8"/>
            <color indexed="81"/>
            <rFont val="Tahoma"/>
            <family val="2"/>
          </rPr>
          <t>sudheert:</t>
        </r>
        <r>
          <rPr>
            <sz val="8"/>
            <color indexed="81"/>
            <rFont val="Tahoma"/>
            <family val="2"/>
          </rPr>
          <t xml:space="preserve">
Benchmarked with norway</t>
        </r>
      </text>
    </comment>
    <comment ref="L6" authorId="0">
      <text>
        <r>
          <rPr>
            <b/>
            <sz val="8"/>
            <color indexed="81"/>
            <rFont val="Tahoma"/>
            <family val="2"/>
          </rPr>
          <t>sudheert:</t>
        </r>
        <r>
          <rPr>
            <sz val="8"/>
            <color indexed="81"/>
            <rFont val="Tahoma"/>
            <family val="2"/>
          </rPr>
          <t xml:space="preserve">
Benchmarked with norway</t>
        </r>
      </text>
    </comment>
    <comment ref="M6" authorId="0">
      <text>
        <r>
          <rPr>
            <b/>
            <sz val="8"/>
            <color indexed="81"/>
            <rFont val="Tahoma"/>
            <family val="2"/>
          </rPr>
          <t>sudheert:</t>
        </r>
        <r>
          <rPr>
            <sz val="8"/>
            <color indexed="81"/>
            <rFont val="Tahoma"/>
            <family val="2"/>
          </rPr>
          <t xml:space="preserve">
Benchmarked with norway</t>
        </r>
      </text>
    </comment>
    <comment ref="I7" authorId="0">
      <text>
        <r>
          <rPr>
            <b/>
            <sz val="8"/>
            <color indexed="81"/>
            <rFont val="Tahoma"/>
            <family val="2"/>
          </rPr>
          <t>sudheert:</t>
        </r>
        <r>
          <rPr>
            <sz val="8"/>
            <color indexed="81"/>
            <rFont val="Tahoma"/>
            <family val="2"/>
          </rPr>
          <t xml:space="preserve">
Eurostat</t>
        </r>
      </text>
    </comment>
    <comment ref="I8" authorId="0">
      <text>
        <r>
          <rPr>
            <b/>
            <sz val="8"/>
            <color indexed="81"/>
            <rFont val="Tahoma"/>
            <family val="2"/>
          </rPr>
          <t>sudheert:</t>
        </r>
        <r>
          <rPr>
            <sz val="8"/>
            <color indexed="81"/>
            <rFont val="Tahoma"/>
            <family val="2"/>
          </rPr>
          <t xml:space="preserve">
Eurostat</t>
        </r>
      </text>
    </comment>
    <comment ref="I28" authorId="0">
      <text>
        <r>
          <rPr>
            <b/>
            <sz val="8"/>
            <color indexed="81"/>
            <rFont val="Tahoma"/>
            <family val="2"/>
          </rPr>
          <t>sudheert:</t>
        </r>
        <r>
          <rPr>
            <sz val="8"/>
            <color indexed="81"/>
            <rFont val="Tahoma"/>
            <family val="2"/>
          </rPr>
          <t xml:space="preserve">
Benchmarked with norway</t>
        </r>
      </text>
    </comment>
    <comment ref="J28" authorId="0">
      <text>
        <r>
          <rPr>
            <b/>
            <sz val="8"/>
            <color indexed="81"/>
            <rFont val="Tahoma"/>
            <family val="2"/>
          </rPr>
          <t>sudheert:</t>
        </r>
        <r>
          <rPr>
            <sz val="8"/>
            <color indexed="81"/>
            <rFont val="Tahoma"/>
            <family val="2"/>
          </rPr>
          <t xml:space="preserve">
Benchmarked with norway</t>
        </r>
      </text>
    </comment>
    <comment ref="K28" authorId="0">
      <text>
        <r>
          <rPr>
            <b/>
            <sz val="8"/>
            <color indexed="81"/>
            <rFont val="Tahoma"/>
            <family val="2"/>
          </rPr>
          <t>sudheert:</t>
        </r>
        <r>
          <rPr>
            <sz val="8"/>
            <color indexed="81"/>
            <rFont val="Tahoma"/>
            <family val="2"/>
          </rPr>
          <t xml:space="preserve">
Benchmarked with norway</t>
        </r>
      </text>
    </comment>
    <comment ref="L28" authorId="0">
      <text>
        <r>
          <rPr>
            <b/>
            <sz val="8"/>
            <color indexed="81"/>
            <rFont val="Tahoma"/>
            <family val="2"/>
          </rPr>
          <t>sudheert:</t>
        </r>
        <r>
          <rPr>
            <sz val="8"/>
            <color indexed="81"/>
            <rFont val="Tahoma"/>
            <family val="2"/>
          </rPr>
          <t xml:space="preserve">
Benchmarked with norway</t>
        </r>
      </text>
    </comment>
    <comment ref="M28" authorId="0">
      <text>
        <r>
          <rPr>
            <b/>
            <sz val="8"/>
            <color indexed="81"/>
            <rFont val="Tahoma"/>
            <family val="2"/>
          </rPr>
          <t>sudheert:</t>
        </r>
        <r>
          <rPr>
            <sz val="8"/>
            <color indexed="81"/>
            <rFont val="Tahoma"/>
            <family val="2"/>
          </rPr>
          <t xml:space="preserve">
Benchmarked with norway</t>
        </r>
      </text>
    </comment>
    <comment ref="I29" authorId="0">
      <text>
        <r>
          <rPr>
            <b/>
            <sz val="8"/>
            <color indexed="81"/>
            <rFont val="Tahoma"/>
            <family val="2"/>
          </rPr>
          <t>sudheert:</t>
        </r>
        <r>
          <rPr>
            <sz val="8"/>
            <color indexed="81"/>
            <rFont val="Tahoma"/>
            <family val="2"/>
          </rPr>
          <t xml:space="preserve">
Benchmarked with norway</t>
        </r>
      </text>
    </comment>
    <comment ref="J29" authorId="0">
      <text>
        <r>
          <rPr>
            <b/>
            <sz val="8"/>
            <color indexed="81"/>
            <rFont val="Tahoma"/>
            <family val="2"/>
          </rPr>
          <t>sudheert:</t>
        </r>
        <r>
          <rPr>
            <sz val="8"/>
            <color indexed="81"/>
            <rFont val="Tahoma"/>
            <family val="2"/>
          </rPr>
          <t xml:space="preserve">
Benchmarked with norway</t>
        </r>
      </text>
    </comment>
    <comment ref="K29" authorId="0">
      <text>
        <r>
          <rPr>
            <b/>
            <sz val="8"/>
            <color indexed="81"/>
            <rFont val="Tahoma"/>
            <family val="2"/>
          </rPr>
          <t>sudheert:</t>
        </r>
        <r>
          <rPr>
            <sz val="8"/>
            <color indexed="81"/>
            <rFont val="Tahoma"/>
            <family val="2"/>
          </rPr>
          <t xml:space="preserve">
Benchmarked with norway</t>
        </r>
      </text>
    </comment>
    <comment ref="L29" authorId="0">
      <text>
        <r>
          <rPr>
            <b/>
            <sz val="8"/>
            <color indexed="81"/>
            <rFont val="Tahoma"/>
            <family val="2"/>
          </rPr>
          <t>sudheert:</t>
        </r>
        <r>
          <rPr>
            <sz val="8"/>
            <color indexed="81"/>
            <rFont val="Tahoma"/>
            <family val="2"/>
          </rPr>
          <t xml:space="preserve">
Benchmarked with norway</t>
        </r>
      </text>
    </comment>
    <comment ref="M29" authorId="0">
      <text>
        <r>
          <rPr>
            <b/>
            <sz val="8"/>
            <color indexed="81"/>
            <rFont val="Tahoma"/>
            <family val="2"/>
          </rPr>
          <t>sudheert:</t>
        </r>
        <r>
          <rPr>
            <sz val="8"/>
            <color indexed="81"/>
            <rFont val="Tahoma"/>
            <family val="2"/>
          </rPr>
          <t xml:space="preserve">
Benchmarked with norway</t>
        </r>
      </text>
    </comment>
  </commentList>
</comments>
</file>

<file path=xl/comments13.xml><?xml version="1.0" encoding="utf-8"?>
<comments xmlns="http://schemas.openxmlformats.org/spreadsheetml/2006/main">
  <authors>
    <author>mshajie</author>
  </authors>
  <commentList>
    <comment ref="C86" authorId="0">
      <text>
        <r>
          <rPr>
            <b/>
            <sz val="8"/>
            <color indexed="81"/>
            <rFont val="Tahoma"/>
            <family val="2"/>
          </rPr>
          <t>mshajie:</t>
        </r>
        <r>
          <rPr>
            <sz val="8"/>
            <color indexed="81"/>
            <rFont val="Tahoma"/>
            <family val="2"/>
          </rPr>
          <t xml:space="preserve">
benchmarked with Austria (taken from calculations sheet in the Sweden file)</t>
        </r>
      </text>
    </comment>
    <comment ref="D86" authorId="0">
      <text>
        <r>
          <rPr>
            <b/>
            <sz val="8"/>
            <color indexed="81"/>
            <rFont val="Tahoma"/>
            <family val="2"/>
          </rPr>
          <t>mshajie:</t>
        </r>
        <r>
          <rPr>
            <sz val="8"/>
            <color indexed="81"/>
            <rFont val="Tahoma"/>
            <family val="2"/>
          </rPr>
          <t xml:space="preserve">
benchmarked with Austria (taken from calculations sheet in the Sweden file)</t>
        </r>
      </text>
    </comment>
    <comment ref="E86" authorId="0">
      <text>
        <r>
          <rPr>
            <b/>
            <sz val="8"/>
            <color indexed="81"/>
            <rFont val="Tahoma"/>
            <family val="2"/>
          </rPr>
          <t>mshajie:</t>
        </r>
        <r>
          <rPr>
            <sz val="8"/>
            <color indexed="81"/>
            <rFont val="Tahoma"/>
            <family val="2"/>
          </rPr>
          <t xml:space="preserve">
benchmarked with Austria (taken from calculations sheet in the Sweden file)</t>
        </r>
      </text>
    </comment>
    <comment ref="F86" authorId="0">
      <text>
        <r>
          <rPr>
            <b/>
            <sz val="8"/>
            <color indexed="81"/>
            <rFont val="Tahoma"/>
            <family val="2"/>
          </rPr>
          <t>mshajie:</t>
        </r>
        <r>
          <rPr>
            <sz val="8"/>
            <color indexed="81"/>
            <rFont val="Tahoma"/>
            <family val="2"/>
          </rPr>
          <t xml:space="preserve">
benchmarked with Austria (taken from calculations sheet in the Sweden file)</t>
        </r>
      </text>
    </comment>
    <comment ref="G86" authorId="0">
      <text>
        <r>
          <rPr>
            <b/>
            <sz val="8"/>
            <color indexed="81"/>
            <rFont val="Tahoma"/>
            <family val="2"/>
          </rPr>
          <t>mshajie:</t>
        </r>
        <r>
          <rPr>
            <sz val="8"/>
            <color indexed="81"/>
            <rFont val="Tahoma"/>
            <family val="2"/>
          </rPr>
          <t xml:space="preserve">
benchmarked with Austria (taken from calculations sheet in the Sweden file)</t>
        </r>
      </text>
    </comment>
  </commentList>
</comments>
</file>

<file path=xl/comments14.xml><?xml version="1.0" encoding="utf-8"?>
<comments xmlns="http://schemas.openxmlformats.org/spreadsheetml/2006/main">
  <authors>
    <author>aghosh</author>
  </authors>
  <commentList>
    <comment ref="O39" authorId="0">
      <text>
        <r>
          <rPr>
            <b/>
            <sz val="8"/>
            <color indexed="81"/>
            <rFont val="Tahoma"/>
            <family val="2"/>
          </rPr>
          <t xml:space="preserve">Norway </t>
        </r>
        <r>
          <rPr>
            <sz val="8"/>
            <color indexed="81"/>
            <rFont val="Tahoma"/>
            <family val="2"/>
          </rPr>
          <t xml:space="preserve">
</t>
        </r>
      </text>
    </comment>
  </commentList>
</comments>
</file>

<file path=xl/sharedStrings.xml><?xml version="1.0" encoding="utf-8"?>
<sst xmlns="http://schemas.openxmlformats.org/spreadsheetml/2006/main" count="9349" uniqueCount="1272">
  <si>
    <t>Subject</t>
  </si>
  <si>
    <t>Metric</t>
  </si>
  <si>
    <t>Metric-1</t>
  </si>
  <si>
    <t>Metric-2</t>
  </si>
  <si>
    <t>Tourism Demand Factors</t>
  </si>
  <si>
    <t>Annual Tourist Days per Resident by Entitlement Type</t>
  </si>
  <si>
    <t>Paid Holidays</t>
  </si>
  <si>
    <t>Public Holidays</t>
  </si>
  <si>
    <t>Number of  Trips by Season</t>
  </si>
  <si>
    <t>January - March</t>
  </si>
  <si>
    <t>April - June</t>
  </si>
  <si>
    <t>July - September</t>
  </si>
  <si>
    <t>October - December</t>
  </si>
  <si>
    <t>Number of Trips by Residents by Type</t>
  </si>
  <si>
    <t>Domestic Trips</t>
  </si>
  <si>
    <t>International Trips</t>
  </si>
  <si>
    <t>Average Length of Tourism Trips by Type</t>
  </si>
  <si>
    <t>Tourism Flows</t>
  </si>
  <si>
    <t>Number of Domestic Trips by Purpose of Visit</t>
  </si>
  <si>
    <t>Business</t>
  </si>
  <si>
    <t>Leisure</t>
  </si>
  <si>
    <t>Other Personal</t>
  </si>
  <si>
    <t>International Arrivals by Place of Origin</t>
  </si>
  <si>
    <t>Africa</t>
  </si>
  <si>
    <t>Asia-Pacific</t>
  </si>
  <si>
    <t>Europe</t>
  </si>
  <si>
    <t>Middle East</t>
  </si>
  <si>
    <t>North America</t>
  </si>
  <si>
    <t>South &amp; Central America</t>
  </si>
  <si>
    <t>International Arrivals by Purpose of Visit</t>
  </si>
  <si>
    <t>International Departures by Destination</t>
  </si>
  <si>
    <t>International Departures by Purpose of Visit</t>
  </si>
  <si>
    <t>International trips</t>
  </si>
  <si>
    <t>Number of Overnight Stays</t>
  </si>
  <si>
    <t>Tourism Receipts &amp; Expenditure</t>
  </si>
  <si>
    <t>Domestic Tourist Expenditure by Sector</t>
  </si>
  <si>
    <t>Accommodation</t>
  </si>
  <si>
    <t>Entertainment &amp; Sightseeing</t>
  </si>
  <si>
    <t>Foodservice</t>
  </si>
  <si>
    <t>Retail</t>
  </si>
  <si>
    <t>Transportation</t>
  </si>
  <si>
    <t>Travel Intermediation</t>
  </si>
  <si>
    <t>Other Sectors</t>
  </si>
  <si>
    <t>Inbound Tourist Expenditure by Sector</t>
  </si>
  <si>
    <t>Total Outbound Tourist Expenditure by Sector</t>
  </si>
  <si>
    <t>Outbound Tourist Expenditure by Location of Provider</t>
  </si>
  <si>
    <t>Domestic Providers</t>
  </si>
  <si>
    <t>International Providers</t>
  </si>
  <si>
    <t>Tourism Balance of Payments</t>
  </si>
  <si>
    <t>Tourism Spend Factors</t>
  </si>
  <si>
    <t>Average National Tourism Spend per Day of Trip</t>
  </si>
  <si>
    <t>Percentage of Total Resident Income Spent on Tourism</t>
  </si>
  <si>
    <t>Total National Tourism Expenditure by Tourist Destination</t>
  </si>
  <si>
    <t>Total National Tourism Expenditure by Sector</t>
  </si>
  <si>
    <t>Average Expenditure per Domestic Tourist by Sector</t>
  </si>
  <si>
    <t>Average Expenditure per International Tourist by Sector</t>
  </si>
  <si>
    <t>Average Overseas Tourism Expenditure per Resident by Sector</t>
  </si>
  <si>
    <t>Passenger Airlines</t>
  </si>
  <si>
    <t>Number of Seats Available</t>
  </si>
  <si>
    <t>Number of Seats Sold by Passenger Type</t>
  </si>
  <si>
    <t>Load Factor</t>
  </si>
  <si>
    <t>Number of Passenger Kilometers Available</t>
  </si>
  <si>
    <t>Number of Revenue-Generating Passenger Kilometers</t>
  </si>
  <si>
    <t>Revenue per Passenger</t>
  </si>
  <si>
    <t>Total Revenue</t>
  </si>
  <si>
    <t>Airport</t>
  </si>
  <si>
    <t>Non-Airport</t>
  </si>
  <si>
    <t>Insurance Replacement</t>
  </si>
  <si>
    <t>Fleet Size by Type of Car</t>
  </si>
  <si>
    <t>Number of Rental Occasions</t>
  </si>
  <si>
    <t>Number of Rental Days</t>
  </si>
  <si>
    <t>Average Rental Length</t>
  </si>
  <si>
    <t>Utilization Rate</t>
  </si>
  <si>
    <t>Average Revenue per Day</t>
  </si>
  <si>
    <t>Car Rental</t>
  </si>
  <si>
    <t>Market Value by Customer Type</t>
  </si>
  <si>
    <t>Market Value by Rental Location</t>
  </si>
  <si>
    <t>Hotels</t>
  </si>
  <si>
    <t>Total Revenue Per Available Room</t>
  </si>
  <si>
    <t xml:space="preserve">Travel Intermediaries </t>
  </si>
  <si>
    <t>Market Value by Product</t>
  </si>
  <si>
    <t>Accommodation Only</t>
  </si>
  <si>
    <t>Travel Only</t>
  </si>
  <si>
    <t>Flight</t>
  </si>
  <si>
    <t>Other Travel</t>
  </si>
  <si>
    <t>Car Rental Only</t>
  </si>
  <si>
    <t>Tourism Packages</t>
  </si>
  <si>
    <t>Dynamic Package</t>
  </si>
  <si>
    <t>Static Package</t>
  </si>
  <si>
    <t>Other Products</t>
  </si>
  <si>
    <t>Online</t>
  </si>
  <si>
    <t>In-Store</t>
  </si>
  <si>
    <t>Market Value by Destination &amp; Channel</t>
  </si>
  <si>
    <t>Number of Guests by Customer Type</t>
  </si>
  <si>
    <t>Number of Establishments</t>
  </si>
  <si>
    <t>Number of Rooms</t>
  </si>
  <si>
    <t>Room Occupancy Rate</t>
  </si>
  <si>
    <t>Number of Rooms Nights Available</t>
  </si>
  <si>
    <t>Number of Rooms Nights Occupied</t>
  </si>
  <si>
    <t>Revenue per Available Room</t>
  </si>
  <si>
    <t>Revenue per Occupied Room</t>
  </si>
  <si>
    <t>Total Room Revenue</t>
  </si>
  <si>
    <t>Total Non Room Revenue</t>
  </si>
  <si>
    <t>Total  Revenue</t>
  </si>
  <si>
    <t>Market Value by Channel</t>
  </si>
  <si>
    <t>Market Value by Destination</t>
  </si>
  <si>
    <t>Country</t>
  </si>
  <si>
    <t>Algeria</t>
  </si>
  <si>
    <t>Argentina</t>
  </si>
  <si>
    <t>Australia</t>
  </si>
  <si>
    <t>Austria</t>
  </si>
  <si>
    <t>Belgium</t>
  </si>
  <si>
    <t>Brazil</t>
  </si>
  <si>
    <t>Bulgaria</t>
  </si>
  <si>
    <t>Canada</t>
  </si>
  <si>
    <t>Chile</t>
  </si>
  <si>
    <t>China</t>
  </si>
  <si>
    <t>Colombia</t>
  </si>
  <si>
    <t>Bahrain</t>
  </si>
  <si>
    <t>Croatia</t>
  </si>
  <si>
    <t>Czech Republic</t>
  </si>
  <si>
    <t>Denmark</t>
  </si>
  <si>
    <t>Egypt</t>
  </si>
  <si>
    <t>Finland</t>
  </si>
  <si>
    <t>France</t>
  </si>
  <si>
    <t>Germany</t>
  </si>
  <si>
    <t>Greece</t>
  </si>
  <si>
    <t>Hong Kong</t>
  </si>
  <si>
    <t>Hungary</t>
  </si>
  <si>
    <t>India</t>
  </si>
  <si>
    <t>Indonesia</t>
  </si>
  <si>
    <t>Italy</t>
  </si>
  <si>
    <t>Japan</t>
  </si>
  <si>
    <t>Kenya</t>
  </si>
  <si>
    <t>Malaysia</t>
  </si>
  <si>
    <t>Mexico</t>
  </si>
  <si>
    <t>Morocco</t>
  </si>
  <si>
    <t>Netherlands</t>
  </si>
  <si>
    <t>New Zealand</t>
  </si>
  <si>
    <t>Norway</t>
  </si>
  <si>
    <t>Peru</t>
  </si>
  <si>
    <t>Philippines</t>
  </si>
  <si>
    <t>Poland</t>
  </si>
  <si>
    <t>Portugal</t>
  </si>
  <si>
    <t>Saudi Arabia</t>
  </si>
  <si>
    <t>Dominican Republic</t>
  </si>
  <si>
    <t>Singapore</t>
  </si>
  <si>
    <t>Slovakia</t>
  </si>
  <si>
    <t>South Africa</t>
  </si>
  <si>
    <t>Spain</t>
  </si>
  <si>
    <t>Sweden</t>
  </si>
  <si>
    <t>Switzerland</t>
  </si>
  <si>
    <t>Thailand</t>
  </si>
  <si>
    <t>Tunisia</t>
  </si>
  <si>
    <t>Turkey</t>
  </si>
  <si>
    <t>Ukraine</t>
  </si>
  <si>
    <t>United Arab Emirates</t>
  </si>
  <si>
    <t>United Kingdom</t>
  </si>
  <si>
    <t>Venezuela</t>
  </si>
  <si>
    <t>Vietnam</t>
  </si>
  <si>
    <t>Israel</t>
  </si>
  <si>
    <t>Jamaica</t>
  </si>
  <si>
    <t>Qatar</t>
  </si>
  <si>
    <t>Units</t>
  </si>
  <si>
    <t>CAGR 2008-2012</t>
  </si>
  <si>
    <t>CAGR 2012-2017</t>
  </si>
  <si>
    <t>Source</t>
  </si>
  <si>
    <t>Methodology</t>
  </si>
  <si>
    <t>Please select the country</t>
  </si>
  <si>
    <t>Currency</t>
  </si>
  <si>
    <t>United States of America</t>
  </si>
  <si>
    <t>Syrian Arab Republic</t>
  </si>
  <si>
    <t>Russian Federation</t>
  </si>
  <si>
    <t>Republic of Korea</t>
  </si>
  <si>
    <t>TND</t>
  </si>
  <si>
    <t>Actual</t>
  </si>
  <si>
    <t>%</t>
  </si>
  <si>
    <t>Million</t>
  </si>
  <si>
    <t>Thousand</t>
  </si>
  <si>
    <t>US$</t>
  </si>
  <si>
    <t>US$ Million</t>
  </si>
  <si>
    <t>Tourism Medium Database Sheet</t>
  </si>
  <si>
    <t>Correlation</t>
  </si>
  <si>
    <t>Hospitality Construction Value Added</t>
  </si>
  <si>
    <t>Growth Rate</t>
  </si>
  <si>
    <t>Capital Investments in Tourism</t>
  </si>
  <si>
    <t>Total internal Tourists Volume</t>
  </si>
  <si>
    <t>Inbound and Domestic spending on Accommdation</t>
  </si>
  <si>
    <t>Sum</t>
  </si>
  <si>
    <t>Average no. of room per hotel</t>
  </si>
  <si>
    <t>Weighted average</t>
  </si>
  <si>
    <t>Total  hotel guetsts</t>
  </si>
  <si>
    <t>Domestic Spending on Food and beverage</t>
  </si>
  <si>
    <t>Inbound sending on food and beverage</t>
  </si>
  <si>
    <t>Total inbound Spending</t>
  </si>
  <si>
    <t>Disposable Income</t>
  </si>
  <si>
    <t>WTTC</t>
  </si>
  <si>
    <t>US$Billion</t>
  </si>
  <si>
    <t>US$Million</t>
  </si>
  <si>
    <t>Total Domestic Trips</t>
  </si>
  <si>
    <t>Thousands</t>
  </si>
  <si>
    <t>Total Outbound Departures</t>
  </si>
  <si>
    <t>Total Inbound Arrivals</t>
  </si>
  <si>
    <t>Average inbound Spending on accomodation</t>
  </si>
  <si>
    <t>Average domestic Spending on accomodation</t>
  </si>
  <si>
    <t>US$ Billion</t>
  </si>
  <si>
    <t>Inbound spending on Accommdation</t>
  </si>
  <si>
    <t xml:space="preserve">Total Inbound Spending </t>
  </si>
  <si>
    <t xml:space="preserve">Total Outbound Spending </t>
  </si>
  <si>
    <t xml:space="preserve">Total Domestic Spending </t>
  </si>
  <si>
    <t>IMF</t>
  </si>
  <si>
    <t>Inbound+Outbound Tourists</t>
  </si>
  <si>
    <t>Spending on Food &amp; Beverages</t>
  </si>
  <si>
    <t>Leisure Travel and tourism spending</t>
  </si>
  <si>
    <t>Internet Subscribers</t>
  </si>
  <si>
    <t>000</t>
  </si>
  <si>
    <t>Travel and tourism total contribution to GDP</t>
  </si>
  <si>
    <t>Leisure and Hospitality Buildings</t>
  </si>
  <si>
    <t>Outdoor Leisure Facilities</t>
  </si>
  <si>
    <t>Rail Infrastructure</t>
  </si>
  <si>
    <t>Road Infrastructure</t>
  </si>
  <si>
    <t>Other Infrastructure Projects</t>
  </si>
  <si>
    <t>Domestic + Inbound Arrivals</t>
  </si>
  <si>
    <t>Average Spending on accomodation(Domestic+Inbound)</t>
  </si>
  <si>
    <t>Guests in Hotels</t>
  </si>
  <si>
    <t>Occupancy in Hotels</t>
  </si>
  <si>
    <t>(Domestic+Inbound) Spending on Accommodation</t>
  </si>
  <si>
    <t>Total (Domestic +Inbound )Tourists Volume</t>
  </si>
  <si>
    <t>Page 79 of Tunisie_chiffre_2010</t>
  </si>
  <si>
    <t>Page 77 of Tunisie_chiffre_2010</t>
  </si>
  <si>
    <t>Page 81 of Tunisie_chiffre_2010</t>
  </si>
  <si>
    <t>hotel nights</t>
  </si>
  <si>
    <t xml:space="preserve">http://www.ins.nat.tn/en/serie_annuelle.php?Code_indicateur=2004150 </t>
  </si>
  <si>
    <t xml:space="preserve">http://www.ins.nat.tn/indexen.php </t>
  </si>
  <si>
    <t>Page 35 HPI_2011</t>
  </si>
  <si>
    <t xml:space="preserve">http://www.tourisme.gov.tn/fileadmin/Statistiques/TTenChiffres2010%20.pdf </t>
  </si>
  <si>
    <t>http://www.tourisme.gov.tn/index.php?id=167</t>
  </si>
  <si>
    <t xml:space="preserve">http://www.tourisme.gov.tn/index.php?id=167 </t>
  </si>
  <si>
    <t xml:space="preserve">http://www.tourisme.gov.tn/fileadmin/Statistiques/TourismeChiffres2009.pdf </t>
  </si>
  <si>
    <t>TourismeChiffres2009</t>
  </si>
  <si>
    <t xml:space="preserve">Page 10 of TTenChiffres2010 </t>
  </si>
  <si>
    <t xml:space="preserve">http://www.kapitalis.com/kapital/34-economie/8141-les-chiffres-du-tourisme-tunisien-en-2011.html </t>
  </si>
  <si>
    <t>Rooms</t>
  </si>
  <si>
    <t>Eurostat</t>
  </si>
  <si>
    <t>Occupancy</t>
  </si>
  <si>
    <t xml:space="preserve">http://mb.cision.com/Public/70/9301484/863eec9a4d685d70.pdf </t>
  </si>
  <si>
    <t>RevPAR</t>
  </si>
  <si>
    <t xml:space="preserve">Results for: </t>
  </si>
  <si>
    <t>Countries/Regions: Tunisia</t>
  </si>
  <si>
    <t>Concepts: Travel &amp; Tourism Direct Contribution to GDP,Travel &amp; Tourism Total Contribution to GDP,Travel &amp; Tourism Direct Contribution to Employment,Travel &amp; Tourism Total Contribution to Employment,Visitor Exports,Domestic Travel &amp; Tourism Spending,Govern</t>
  </si>
  <si>
    <t>Units: 2011 US$ bn,'000</t>
  </si>
  <si>
    <t>Date range: From 2007 - 2017</t>
  </si>
  <si>
    <t>Travel &amp; Tourism Direct Contribution to GDP</t>
  </si>
  <si>
    <t>2011 US$ bn</t>
  </si>
  <si>
    <t>Travel &amp; Tourism Total Contribution to GDP</t>
  </si>
  <si>
    <t>Travel &amp; Tourism Direct Contribution to Employment</t>
  </si>
  <si>
    <t>'000</t>
  </si>
  <si>
    <t>Travel &amp; Tourism Total Contribution to Employment</t>
  </si>
  <si>
    <t>Visitor Exports</t>
  </si>
  <si>
    <t>Domestic Travel &amp; Tourism Spending</t>
  </si>
  <si>
    <t>Government Individual Travel &amp; Tourism Spending</t>
  </si>
  <si>
    <t>Internal Travel &amp; Tourism Consumption</t>
  </si>
  <si>
    <t>Leisure Travel &amp; Tourism Spending</t>
  </si>
  <si>
    <t>Business Travel &amp; Tourism Spending</t>
  </si>
  <si>
    <t>Capital Investment</t>
  </si>
  <si>
    <t>tunisia2012_WTTC</t>
  </si>
  <si>
    <t>Leisure Spending Ratio</t>
  </si>
  <si>
    <t>Business Spending Ratio</t>
  </si>
  <si>
    <t>TDF</t>
  </si>
  <si>
    <t>http://www.imf.org/external/pubs/ft/weo/2012/01/weodata/weorept.aspx?pr.x=65&amp;pr.y=14&amp;sy=2008&amp;ey=2017&amp;scsm=1&amp;ssd=1&amp;sort=country&amp;ds=.&amp;br=1&amp;c=744&amp;s=NGDPD&amp;grp=0&amp;a=</t>
  </si>
  <si>
    <t>USD</t>
  </si>
  <si>
    <t>S:\Projects\Industry Reports and Data - WMI\Construction\Industry Forecast\Database\WIP\2012\Drivers</t>
  </si>
  <si>
    <t>Construction DB</t>
  </si>
  <si>
    <t>The Future of Construction in Tunisia to 2017</t>
  </si>
  <si>
    <t>Disposable Income (LCU Biilion)</t>
  </si>
  <si>
    <t>Disposable Income (USD Biilion)</t>
  </si>
  <si>
    <t>TND Million</t>
  </si>
  <si>
    <t>USD Million</t>
  </si>
  <si>
    <t>Inbound and Domestic spending on Accomodation</t>
  </si>
  <si>
    <t>Inbound Spending -Accomodation</t>
  </si>
  <si>
    <t>Inbound Spending -Food &amp; Beverage</t>
  </si>
  <si>
    <t>Domestic Spending -Accomodation</t>
  </si>
  <si>
    <t>Domestic Spending -Food &amp; Beverage</t>
  </si>
  <si>
    <t>EI-Egypt</t>
  </si>
  <si>
    <t>Total Domestic Spending - Accomodation</t>
  </si>
  <si>
    <t>Total Domestic Spending - Food &amp; be</t>
  </si>
  <si>
    <t>Total Inbound Spending - Accomodation</t>
  </si>
  <si>
    <t>Total Inbound Spending - Food 7 b</t>
  </si>
  <si>
    <t>Domestic Spending on accomodation</t>
  </si>
  <si>
    <t>Calculated from the Beds per Rooms available in Turkey with that benchmarked the data with the Beds available in Tunisia.</t>
  </si>
  <si>
    <t>Calculated Room nights occupied from the bed nights occupied in Tunisia by deviding the Beds per Rooms.</t>
  </si>
  <si>
    <t>Calculated Room nights occupied from the bed nights occupied in Tunisia by deviding the Beds per Rooms. Now used Room Occupancy = Room Nights Occupied/(Rooms*365)</t>
  </si>
  <si>
    <t>Calculated the Room Nights Available by Rooms*365</t>
  </si>
  <si>
    <t>ADR was available from HPI Index Source. Used RevPAR=ADR*Occupancy</t>
  </si>
  <si>
    <t>Room Revenue=RevPAR*Rooms*365</t>
  </si>
  <si>
    <t>Total Revenue from hotels was available from the National statistics source.</t>
  </si>
  <si>
    <t>Non-Room Revenue= Total Revenue-Room Revenue</t>
  </si>
  <si>
    <t>Guests data was available from the National Statistics Sources.</t>
  </si>
  <si>
    <t>Calculated by dividing RevPAR with Room occupancy rate</t>
  </si>
  <si>
    <t>Calculated by dividing total revenue(Room+NonRoom Revenue) with Room nights available</t>
  </si>
  <si>
    <t>Calculated the Percentage share of Leisure from (Leisure+Business) spending and multiplied the same with the Top line of guest data.</t>
  </si>
  <si>
    <t>Calculated the Percentage share of Business from (Leisure+Business) spending and multiplied the same with the Top line of guest data.</t>
  </si>
  <si>
    <t>Hotels were available from national Statistics sources for 2008, 2009 and 2010. For 2011 aqnd 2012 used average Rooms per hotels in Tunisia.</t>
  </si>
  <si>
    <t>http://dniwolne.eu/en-Africa-holidays-Tunisia.html</t>
  </si>
  <si>
    <t>http://www.doingbusiness.org/data/exploreeconomies/tunisia/employing-workers/</t>
  </si>
  <si>
    <t>http://www.tourisme.gov.tn/index.php?id=167&amp;L=0</t>
  </si>
  <si>
    <t>http://www.data.gov.tn/index.php?option=com_mtree&amp;task=viewlink&amp;link_id=72&amp;Itemid=187</t>
  </si>
  <si>
    <t>http://www.bct.gov.tn/bct/siteprod/documents/rapport_annuel_anglais.pdf</t>
  </si>
  <si>
    <t>Pg 55</t>
  </si>
  <si>
    <t>http://www.indexmundi.com/facts/tunisia/international-tourism</t>
  </si>
  <si>
    <t>http://www.ins.nat.tn/indexen.php</t>
  </si>
  <si>
    <t>http://resources.metapress.com/pdf-preview.axd?code=h37pkpw3ww9y9j33&amp;size=largest</t>
  </si>
  <si>
    <t>http://resources.metapress.com/pdf-preview.axd?code=m0mh6wwml10066vu&amp;size=largest</t>
  </si>
  <si>
    <t>Unit</t>
  </si>
  <si>
    <t>Core Indicator</t>
  </si>
  <si>
    <t>Direct Tourism Employment by Sector</t>
  </si>
  <si>
    <t>Average Salary by Sector</t>
  </si>
  <si>
    <t>Values</t>
  </si>
  <si>
    <t>Ratios</t>
  </si>
  <si>
    <t>Additional comments &amp; Explanations</t>
  </si>
  <si>
    <t>LCU Million</t>
  </si>
  <si>
    <t>Domestic providers Providers</t>
  </si>
  <si>
    <t>Direct Tourism Output by Sector</t>
  </si>
  <si>
    <t>Indirect Tourism Output by Sector</t>
  </si>
  <si>
    <t>Employment</t>
  </si>
  <si>
    <t>Indirect Tourism Employment by Sector</t>
  </si>
  <si>
    <t>Salaries</t>
  </si>
  <si>
    <t>LCU</t>
  </si>
  <si>
    <t>Total</t>
  </si>
  <si>
    <t>Metric-3</t>
  </si>
  <si>
    <t>Definitions</t>
  </si>
  <si>
    <t>Status</t>
  </si>
  <si>
    <t>Notes</t>
  </si>
  <si>
    <t>Sources</t>
  </si>
  <si>
    <t>Feasibility</t>
  </si>
  <si>
    <t>Comments</t>
  </si>
  <si>
    <t xml:space="preserve"> </t>
  </si>
  <si>
    <t>Ratio of Domestic Providers to Outbound Tourist Expenditure by Location of Provider</t>
  </si>
  <si>
    <t>Ratio of Direct output of Accommodation to Direct Tourism Output by Sector</t>
  </si>
  <si>
    <t>Ratio of Direct output of Entertainment &amp; Sightseeing to Direct Tourism Output by Sector</t>
  </si>
  <si>
    <t>Ratio of Direct output of Foodservice to Direct Tourism Output by Sector</t>
  </si>
  <si>
    <t>Ratio of Direct output of Retail to Direct Tourism Output by Sector</t>
  </si>
  <si>
    <t>Ratio of Direct output of Transportation to Direct Tourism Output by Sector</t>
  </si>
  <si>
    <t>Ratio of Direct output of Travel Intermediation to Direct Tourism Output by Sector</t>
  </si>
  <si>
    <t>Ratio of Direct output of Other Sectors to Direct Tourism Output by Sector</t>
  </si>
  <si>
    <t>Ratio of Indirect tourism output to direct tourism output</t>
  </si>
  <si>
    <t>Ratio of direct tourism output to direct tourism employment</t>
  </si>
  <si>
    <t>Ratio of Indirect direct tourism output to indirect tourism employment</t>
  </si>
  <si>
    <t>Ratio of Total tourism output to total tourism employment</t>
  </si>
  <si>
    <t>Total Tourism Industry</t>
  </si>
  <si>
    <t>I don't think that food service shd be more than accomodation, check in Saudi too</t>
  </si>
  <si>
    <t>DRIVERS USED IN MODELLING</t>
  </si>
  <si>
    <t>Weight</t>
  </si>
  <si>
    <t xml:space="preserve"> GDP at current prices home  Country</t>
  </si>
  <si>
    <t>Inflation</t>
  </si>
  <si>
    <t>Unemployment</t>
  </si>
  <si>
    <t>Ratio of Africa to International Trips</t>
  </si>
  <si>
    <t>Ratio of Asia-Pacific to International Trips</t>
  </si>
  <si>
    <t>Ratio of Europe to International Trips</t>
  </si>
  <si>
    <t>Ratio of Middle East to International Trips</t>
  </si>
  <si>
    <t>Ratio of North America to International Trips</t>
  </si>
  <si>
    <t>Ratio of South &amp; Central America to International Trips</t>
  </si>
  <si>
    <t>Domestic Tourist Expenditure by Sector/Total Domestic Trips</t>
  </si>
  <si>
    <t xml:space="preserve"> GDP of home  Country</t>
  </si>
  <si>
    <t>Disposable income of home Country</t>
  </si>
  <si>
    <t>Tourism construction value added</t>
  </si>
  <si>
    <t>Tourism  total contribution to GDP</t>
  </si>
  <si>
    <t>Governmnet travel and tourism spendings</t>
  </si>
  <si>
    <t>Capital Investments in tourism</t>
  </si>
  <si>
    <t>Inbound Tourist Expenditure by Sector/Total Inbound Trips</t>
  </si>
  <si>
    <t xml:space="preserve"> Average GDP of top 10 Source Country</t>
  </si>
  <si>
    <t>Average Annual Annual Disposable of Source Country</t>
  </si>
  <si>
    <t>Average Visitor Exports to the host country</t>
  </si>
  <si>
    <t>Tourism total contribution to GDP</t>
  </si>
  <si>
    <t>Outbound Tourist Expenditure by Sector/Total Outbound Trips</t>
  </si>
  <si>
    <t xml:space="preserve"> GDP of Source Country</t>
  </si>
  <si>
    <t>Annual Disposable of Source Country(US$ bn)</t>
  </si>
  <si>
    <t>International Air passengers(mn)</t>
  </si>
  <si>
    <t>DRIVERS</t>
  </si>
  <si>
    <t>Construction database</t>
  </si>
  <si>
    <t>International Air passengers</t>
  </si>
  <si>
    <t>*******</t>
  </si>
  <si>
    <t xml:space="preserve"> Average GDP of top 10 source countries </t>
  </si>
  <si>
    <t>Average Annual Disposable Income of top 10 source countries</t>
  </si>
  <si>
    <t>Average Visitor Exports to South Africa</t>
  </si>
  <si>
    <t>Travel and tourism direct contribution to employment</t>
  </si>
  <si>
    <t>Travel and tourism total contribution to employment</t>
  </si>
  <si>
    <t>Average Length of domestic trip</t>
  </si>
  <si>
    <t>No. of nights</t>
  </si>
  <si>
    <t>Average Length of Outbound trip</t>
  </si>
  <si>
    <t>Total Employment</t>
  </si>
  <si>
    <t xml:space="preserve">Unemployment rate </t>
  </si>
  <si>
    <t>GDP of top 10 visiting countries</t>
  </si>
  <si>
    <t>US$ Bn</t>
  </si>
  <si>
    <t>Annual disposable Income of TOP10</t>
  </si>
  <si>
    <t>Euromonitor</t>
  </si>
  <si>
    <t>US$ Mn</t>
  </si>
  <si>
    <t>Construction Value Added</t>
  </si>
  <si>
    <t>US$ million</t>
  </si>
  <si>
    <t>For assigning % to the forecast years, take care of any big events that may take place in the future quarters</t>
  </si>
  <si>
    <t xml:space="preserve"> GDP at constant price (US$ bn)</t>
  </si>
  <si>
    <t>Annual Disposable Income(US$ bn)</t>
  </si>
  <si>
    <t>Government Travel and Tourism Spending</t>
  </si>
  <si>
    <t>Travel and tourism contribution to GDP</t>
  </si>
  <si>
    <t>average domestic spending</t>
  </si>
  <si>
    <t>No of domestic trips per person</t>
  </si>
  <si>
    <t>GDP at constant price Romania</t>
  </si>
  <si>
    <t>Annual Disposable Income Romania</t>
  </si>
  <si>
    <t>Government Travel and Tourism Spending in host country</t>
  </si>
  <si>
    <t>Travel and tourism contribution to GDP in the host country</t>
  </si>
  <si>
    <t>Capital Investments in tourism in the host country</t>
  </si>
  <si>
    <t>Travel and tourism contribution to GDP of host country</t>
  </si>
  <si>
    <t>Capital Investments in tourism in host country</t>
  </si>
  <si>
    <t>Travel and tourism contribution to GDP in host country</t>
  </si>
  <si>
    <t xml:space="preserve"> GDP of Source Country(US$ bn)</t>
  </si>
  <si>
    <t>Government Travel and Tourism Spending in Africa</t>
  </si>
  <si>
    <t>Travel and tourism contribution to GDP in Africa</t>
  </si>
  <si>
    <t>Capital Investments in tourism in Africa</t>
  </si>
  <si>
    <t>Government Travel and Tourism Spending in Asia-Pacific</t>
  </si>
  <si>
    <t>Travel and tourism contribution to GDP in Asia-Pacific</t>
  </si>
  <si>
    <t>Capital Investments in tourism in Asia-Pacific</t>
  </si>
  <si>
    <t>Government Travel and Tourism Spending in Europe</t>
  </si>
  <si>
    <t>Travel and tourism contribution to GDP in Europe</t>
  </si>
  <si>
    <t>Capital Investments in tourism in Europe</t>
  </si>
  <si>
    <t>Government Travel and Tourism Spending in Middle East</t>
  </si>
  <si>
    <t>Travel and tourism contribution to GDP in  Middle East</t>
  </si>
  <si>
    <t>Capital Investments in tourism in  Middle East</t>
  </si>
  <si>
    <t>Government Travel and Tourism Spending in North America</t>
  </si>
  <si>
    <t>Travel and tourism contribution to GDP in North America</t>
  </si>
  <si>
    <t>Capital Investments in tourism in North America</t>
  </si>
  <si>
    <t>Government Travel and Tourism Spending in South and Central America</t>
  </si>
  <si>
    <t>Travel and tourism contribution to GDP in South and Central America</t>
  </si>
  <si>
    <t>Capital Investments in tourism in South and Central America</t>
  </si>
  <si>
    <t>Drivers</t>
  </si>
  <si>
    <t>US$ billion</t>
  </si>
  <si>
    <t>mn</t>
  </si>
  <si>
    <t>Government travel and tourism spending of Africa</t>
  </si>
  <si>
    <t>Travel and tourism contribution to GDP of Africa</t>
  </si>
  <si>
    <t>Government travel and tourism spending of Asia-Pacific</t>
  </si>
  <si>
    <t>Travel and tourism contribution to GDP of Asia-Pacific</t>
  </si>
  <si>
    <t>Government travel and tourism spending of Europe</t>
  </si>
  <si>
    <t>Travel and tourism contribution to GDP of Europe</t>
  </si>
  <si>
    <t>Government travel and tourism spending of Middle East</t>
  </si>
  <si>
    <t>Capital Investments in tourism in Middle East</t>
  </si>
  <si>
    <t>Travel and tourism contribution to GDP of Middle East</t>
  </si>
  <si>
    <t>Government travel and tourism spending of North America</t>
  </si>
  <si>
    <t>Travel and tourism contribution to GDP of North America</t>
  </si>
  <si>
    <t xml:space="preserve">Government travel and tourism spending of  South and Central America </t>
  </si>
  <si>
    <t xml:space="preserve">Capital Investments in tourism in  South and Central America </t>
  </si>
  <si>
    <t xml:space="preserve">Travel and tourism contribution to GDP of  South and Central America </t>
  </si>
  <si>
    <t>Days</t>
  </si>
  <si>
    <t>Total Population</t>
  </si>
  <si>
    <t>Tunisia Domestic Spending</t>
  </si>
  <si>
    <t>Inbound</t>
  </si>
  <si>
    <t xml:space="preserve">USD  </t>
  </si>
  <si>
    <t xml:space="preserve">Paid and public holidays are available in sources </t>
  </si>
  <si>
    <t>Seasonality is completely benchmarked with Algeria. Percentage share of trips in each season in Algeria is taken and used to calculate seasonality in Tunisia. Adjustment factor is used to normalize growth rates.</t>
  </si>
  <si>
    <t>(US$ Billion)</t>
  </si>
  <si>
    <t>Egypt Car rental Revenue(US$ Million)</t>
  </si>
  <si>
    <t>Insurance replacement</t>
  </si>
  <si>
    <t>http://www.morethan.com/Process/Documents/motorpoli.pdf</t>
  </si>
  <si>
    <t>Domestic trips are benchmarked with Algeria.The ratio of population to domestic trips in Algeria is taken and multiplied it with the population of Tunisia to get domestic trips</t>
  </si>
  <si>
    <t>Outbound trips are available in sources from 2008-2010, for 2011-2012, trips are projected using CAGR method</t>
  </si>
  <si>
    <t>Domestic by purpose is benchmarked with Algeria. Percentage share of trips by purpose in Algeria is taken and used to calculate domestic by purpose in Tunisia. Adjustment factor is used to normalize growth rates.</t>
  </si>
  <si>
    <t>Arrivals total is available from sources from 2008-2011. 2012 figure is projected using previous years CAGR</t>
  </si>
  <si>
    <t>Arrivals by region data is available for all the regions. Others not classified total is also divided among the five regions taking the respective % shares of each region.</t>
  </si>
  <si>
    <t>Data is available for US and Canada, while Mexico is benchmarked with Jordon</t>
  </si>
  <si>
    <t>From South America total, Mexico is deducted</t>
  </si>
  <si>
    <t>Arrivals by purpose is benchmarked with Algeria</t>
  </si>
  <si>
    <t>Market size</t>
  </si>
  <si>
    <t>Departures by region are benchmarked with Algeria</t>
  </si>
  <si>
    <t>US departures are taken from US-TDF, while Canada and Mexico are benchmarked with Algeria</t>
  </si>
  <si>
    <t>Departures by purpose are benchmarked with Algeria</t>
  </si>
  <si>
    <t>Overnight stays are calculated using trips and average length of stay</t>
  </si>
  <si>
    <t>Average length of stay for domestic trips is benchmarked with Algeria and Jordon. Average spending of Algeria, Jordon and Tunisia is calculated by dividing domestic spending from WTTC with domestic trips. Then average spending per day of trip is calculated for Algeria and Jordon by dividing average spending with average length of stay of domestic trips. Average spending per day of trip for Tunisia is calculated by multiplying average spending per day of trip of Jordon with the ratio of GDP per capita of Jordon and Tunisia. Then average spending of Tunisia divided by average spending per day of trip gives average length of stay of Tunisia.</t>
  </si>
  <si>
    <t>Average length of stay for international trips is benchmarked with Algeria. The ratio of average length of stay of international trips over domestic trips of Algeria is taken and multiplied it with domestic average length of stay of Tunisia to get average length of stay for international trips in Tunisia</t>
  </si>
  <si>
    <t xml:space="preserve">Passenger Car Production </t>
  </si>
  <si>
    <t>Inbound and Domestic Trips</t>
  </si>
  <si>
    <t>Inbound and Domestic spending on travel</t>
  </si>
  <si>
    <t>Car rental Fleet Size</t>
  </si>
  <si>
    <t>Rental days per car</t>
  </si>
  <si>
    <t>Business/Lease Car rental market size</t>
  </si>
  <si>
    <t>Average Inbound spending</t>
  </si>
  <si>
    <t xml:space="preserve">Average  Domestic spending </t>
  </si>
  <si>
    <t>Average Inbound Spending on Travel</t>
  </si>
  <si>
    <t>Average Domestic Spending on Travel</t>
  </si>
  <si>
    <t>Inbound and Domestic spending on transportation</t>
  </si>
  <si>
    <t>Average Inbound spending on transportation</t>
  </si>
  <si>
    <t>Average domestic Spending on transportation</t>
  </si>
  <si>
    <t>Total Domestic Spending</t>
  </si>
  <si>
    <t>Average Domestic Spending</t>
  </si>
  <si>
    <t>Average inbound Spending</t>
  </si>
  <si>
    <t>Passenger Cars stock</t>
  </si>
  <si>
    <t>Air Passengers</t>
  </si>
  <si>
    <t>Market Value by  Rental Location</t>
  </si>
  <si>
    <t xml:space="preserve">Market Value by Customer Type </t>
  </si>
  <si>
    <t>Domestic tourism expenditure including domestic providers was taken from WTTC. So, domestic providers &amp; the categories under it was first benchmarked with Mexico and then deducted from total domestic expenditure available from WTTC to calculate domestic tourism expenditure excluding domestic providers.</t>
  </si>
  <si>
    <t>Inbound tourism expenditure was available till 2012</t>
  </si>
  <si>
    <t>International providers was available till 2011</t>
  </si>
  <si>
    <t>The category under domestic tourism expenditure was calculated by benchmarking the ratio of the same to the total of domestic expenditure in Egypt &amp; Saudi Arabia and multipling with that of total domestic expenditure in Tunisia.</t>
  </si>
  <si>
    <t>The category under Inbound tourism expenditure was calculated by benchmarking the ratio of the same to the total of inbound expenditure in Egypt &amp; Saudi Arabia and multipling with that of total inbound expenditure in Tunisia.</t>
  </si>
  <si>
    <t xml:space="preserve">Domestic providers was calculated by benchmarking the ratio of domestic providers to international providers in Egypt &amp; Saudi Arabia and multiplying the same with that of international providers in Tunisia. </t>
  </si>
  <si>
    <t>Outbound tourism expenditure was calculated by adding domestic &amp; international providers and the categories under it. International Providers was available from tourism authority of Tunisia. The categories under international providers were benchmarked with that of Egypt &amp; Saudi Arabia.</t>
  </si>
  <si>
    <t>Outbound tourism expenditure was calculated by adding domestic &amp; international providers and the categories under it. International Providers was available from tourism authority of Tunisia. The categories under international providers were benchmarked with that of Saudi Arabia &amp; Egypt.</t>
  </si>
  <si>
    <t>Calculated by dividing total domestic expenditure by total number of domestic trips multiplied with that of average length of stay for domestic trips.</t>
  </si>
  <si>
    <t>Calculated by dividing total outbound expenditure by total number of outbound trips multiplied with that of average length of stay for outbound trips.</t>
  </si>
  <si>
    <t>Calculated by dividing total domestic expenditure by annual disposable income.</t>
  </si>
  <si>
    <t>Calculated by dividing total outbound expenditure by annual disposable income.</t>
  </si>
  <si>
    <t>Calculated by adding total domestic &amp; outbound expenditure</t>
  </si>
  <si>
    <t>Total domestic expenditure</t>
  </si>
  <si>
    <t>Total outbound expenditure</t>
  </si>
  <si>
    <t>Calculated by benchmarking the ratio of outbound trips in regions to that of total outbound trips.</t>
  </si>
  <si>
    <t>Calculated by dividing total domestic expenditure by total domestic day &amp; O/N trips</t>
  </si>
  <si>
    <t>Calculated by dividing total inbound expenditure by total inbound  trips</t>
  </si>
  <si>
    <t>Calculated by dividing total outbound expenditure by total outbound  trips</t>
  </si>
  <si>
    <t>Comparison Country</t>
  </si>
  <si>
    <t>Ratio of Outbound Tourist Expenditure by Location of Provider(domestic/outbound provider)</t>
  </si>
  <si>
    <t>Ratio of domestic to outbound tourism spending</t>
  </si>
  <si>
    <t>% of Total National Tourism Expenditure by Tourist Destination</t>
  </si>
  <si>
    <t xml:space="preserve">The numbers have been calculated by dividing total market share with fleet size </t>
  </si>
  <si>
    <t>By dividing number of rental days with average rental length</t>
  </si>
  <si>
    <t>By multiplying Fleet size with Utilization rate</t>
  </si>
  <si>
    <t>http://forum.tunisia.com/threads/rent-a-car.48/</t>
  </si>
  <si>
    <t>The numbers have been calculated by subtracting Airport revenue from total revenue</t>
  </si>
  <si>
    <t>GDP per capita</t>
  </si>
  <si>
    <t>International providers was available till 2011. For 2012 the growth rate was taken from WTTC.</t>
  </si>
  <si>
    <t>Domestic</t>
  </si>
  <si>
    <t>Outbound</t>
  </si>
  <si>
    <t>RPK</t>
  </si>
  <si>
    <t>Passengers</t>
  </si>
  <si>
    <t>http://translate.google.co.in/translate?hl=en&amp;langpair=ar%7Cen&amp;u=http://www.turess.com/alwasat/8430</t>
  </si>
  <si>
    <t>Comparing country</t>
  </si>
  <si>
    <t>Average room per hotel</t>
  </si>
  <si>
    <t>Room Occupancy Rate by Hotel Category</t>
  </si>
  <si>
    <t>Room Revenue per guest</t>
  </si>
  <si>
    <t>Non Room Revenue per guest</t>
  </si>
  <si>
    <t>CAGR 2007-2011</t>
  </si>
  <si>
    <t>CAGR 2011-2016</t>
  </si>
  <si>
    <t xml:space="preserve"> GDP of source country</t>
  </si>
  <si>
    <t>Annual Disposable Income</t>
  </si>
  <si>
    <t>Spending on Travel</t>
  </si>
  <si>
    <t>Travel and tourism indirect contribution to GDP</t>
  </si>
  <si>
    <t>Boeing or airbus forecast</t>
  </si>
  <si>
    <t>Boeing or Airbus forecast</t>
  </si>
  <si>
    <t>Revenue per passenger</t>
  </si>
  <si>
    <t>Average international spending on travel</t>
  </si>
  <si>
    <t>Annual Domestic spending on travel</t>
  </si>
  <si>
    <t>Annual Disposable Income Canada</t>
  </si>
  <si>
    <t>GDP at current prices</t>
  </si>
  <si>
    <t>Average outbound spending on travel</t>
  </si>
  <si>
    <t>Passenger Vehicle sales</t>
  </si>
  <si>
    <t>Domestic spending on Transport</t>
  </si>
  <si>
    <t>Inbound spending on transport</t>
  </si>
  <si>
    <t>Outbound spending on transport</t>
  </si>
  <si>
    <t>Calculated by dividing RPK by load factor</t>
  </si>
  <si>
    <t>Calculated by multiplying Average revenue per passenger with total passengers</t>
  </si>
  <si>
    <t>Sum of Room revenue and Non room revenue</t>
  </si>
  <si>
    <t>Load factor</t>
  </si>
  <si>
    <t>Number of passenger kilometers available</t>
  </si>
  <si>
    <t>source?</t>
  </si>
  <si>
    <t>don't we have another source for outbound.</t>
  </si>
  <si>
    <t>Same GRs</t>
  </si>
  <si>
    <t>same GRs</t>
  </si>
  <si>
    <t>forecast and historic CAGR show different trends, discuss with me.</t>
  </si>
  <si>
    <t>QC-Comments</t>
  </si>
  <si>
    <t>The links are pasted in source columns</t>
  </si>
  <si>
    <t>UNWTO and Index Mundi data is matching so I have taken this. No other source is available</t>
  </si>
  <si>
    <t>changed for 2016 &amp; 17</t>
  </si>
  <si>
    <t>Changed for 2015 &amp; 16</t>
  </si>
  <si>
    <t>Made the changes</t>
  </si>
  <si>
    <t>Variable</t>
  </si>
  <si>
    <t>Market Value by Channel &amp; Provider</t>
  </si>
  <si>
    <t>Travel Agents</t>
  </si>
  <si>
    <t>Tour Operators</t>
  </si>
  <si>
    <t>Other Providers</t>
  </si>
  <si>
    <t>Market Value by Channel &amp; Tourist Purpose</t>
  </si>
  <si>
    <t>Personal</t>
  </si>
  <si>
    <t>Other</t>
  </si>
  <si>
    <t>Market Value by Provider, Destination &amp; Channel</t>
  </si>
  <si>
    <t>Internet Penetration Rate</t>
  </si>
  <si>
    <t>Direct Tourism Output (Travel Intermediation only)</t>
  </si>
  <si>
    <t>US$ mn</t>
  </si>
  <si>
    <t>Average Overseas Tourism Expenditure per Resident by Sector (Travel Intermediation)</t>
  </si>
  <si>
    <t>Internet Users</t>
  </si>
  <si>
    <t>Outbound Tourist Expenditure by Location of Provider (Domestic Providers)</t>
  </si>
  <si>
    <t>Travel Intermediaries</t>
  </si>
  <si>
    <t>Travel Intermediary market size</t>
  </si>
  <si>
    <t>Calculated=Travel Only- Flights</t>
  </si>
  <si>
    <t>Calculated=Tourism Packages - Dynamic packaging</t>
  </si>
  <si>
    <t>Calculated= Topline - Online TI</t>
  </si>
  <si>
    <t>Estimated using the ratio of TI (in Domestic Spending) to the total TI in Domestic, Inbound and Outbound by domestic providers.</t>
  </si>
  <si>
    <t>Calculated= Topline - Domestic</t>
  </si>
  <si>
    <t>Calculated= Topline - Business</t>
  </si>
  <si>
    <t>Personal Checks</t>
  </si>
  <si>
    <t>QC Checks</t>
  </si>
  <si>
    <t>Product manager sign-off checks</t>
  </si>
  <si>
    <t>Data publication checks</t>
  </si>
  <si>
    <t># Enter Name</t>
  </si>
  <si>
    <t>Date</t>
  </si>
  <si>
    <t>Audit Trail</t>
  </si>
  <si>
    <t>Are all the secondary sources stored in the appropriate folders?</t>
  </si>
  <si>
    <t>Yes</t>
  </si>
  <si>
    <t>Have you checked to ensure sources are stored properly in network folders?</t>
  </si>
  <si>
    <t>Add status</t>
  </si>
  <si>
    <r>
      <t>§</t>
    </r>
    <r>
      <rPr>
        <sz val="7"/>
        <color theme="1"/>
        <rFont val="Times New Roman"/>
        <family val="1"/>
      </rPr>
      <t xml:space="preserve">  </t>
    </r>
    <r>
      <rPr>
        <sz val="10"/>
        <color theme="1"/>
        <rFont val="Arial"/>
        <family val="2"/>
      </rPr>
      <t>Have all elements of the research database file been completed correctly and with adequate detail?</t>
    </r>
  </si>
  <si>
    <r>
      <t>§</t>
    </r>
    <r>
      <rPr>
        <sz val="7"/>
        <color theme="1"/>
        <rFont val="Times New Roman"/>
        <family val="1"/>
      </rPr>
      <t xml:space="preserve">  </t>
    </r>
    <r>
      <rPr>
        <sz val="10"/>
        <color theme="1"/>
        <rFont val="Arial"/>
        <family val="2"/>
      </rPr>
      <t>Has the data in the upload template been cross-checked against the data in the research database?</t>
    </r>
  </si>
  <si>
    <t>Have source notes been placed against any sourced data in workings sheets?</t>
  </si>
  <si>
    <t>Have all sources been referenced to where they have been used in the calculations?</t>
  </si>
  <si>
    <r>
      <t>·</t>
    </r>
    <r>
      <rPr>
        <sz val="7"/>
        <color theme="1"/>
        <rFont val="Times New Roman"/>
        <family val="1"/>
      </rPr>
      <t xml:space="preserve">         </t>
    </r>
    <r>
      <rPr>
        <sz val="10"/>
        <color theme="1"/>
        <rFont val="Arial"/>
        <family val="2"/>
      </rPr>
      <t>Document History</t>
    </r>
  </si>
  <si>
    <r>
      <t>§</t>
    </r>
    <r>
      <rPr>
        <sz val="7"/>
        <color theme="1"/>
        <rFont val="Times New Roman"/>
        <family val="1"/>
      </rPr>
      <t xml:space="preserve">  </t>
    </r>
    <r>
      <rPr>
        <sz val="10"/>
        <color theme="1"/>
        <rFont val="Arial"/>
        <family val="2"/>
      </rPr>
      <t>Has the upload file been named appropriately and placed correctly on dropbox?</t>
    </r>
  </si>
  <si>
    <t>Has a data model been produced?</t>
  </si>
  <si>
    <t>NA</t>
  </si>
  <si>
    <t>Have all assumptions been documented adequately?</t>
  </si>
  <si>
    <r>
      <t>·</t>
    </r>
    <r>
      <rPr>
        <sz val="7"/>
        <color theme="1"/>
        <rFont val="Times New Roman"/>
        <family val="1"/>
      </rPr>
      <t xml:space="preserve">         </t>
    </r>
    <r>
      <rPr>
        <sz val="10"/>
        <color theme="1"/>
        <rFont val="Arial"/>
        <family val="2"/>
      </rPr>
      <t>Checklist</t>
    </r>
  </si>
  <si>
    <r>
      <t>§</t>
    </r>
    <r>
      <rPr>
        <sz val="7"/>
        <color theme="1"/>
        <rFont val="Times New Roman"/>
        <family val="1"/>
      </rPr>
      <t xml:space="preserve">  </t>
    </r>
    <r>
      <rPr>
        <sz val="10"/>
        <color theme="1"/>
        <rFont val="Arial"/>
        <family val="2"/>
      </rPr>
      <t>Has the data admin tool been used to check for upload errors?</t>
    </r>
  </si>
  <si>
    <t>Have all initial assumptions &amp; drivers for the model been fully documented?</t>
  </si>
  <si>
    <t>Have all primary interview notes been written up properly?</t>
  </si>
  <si>
    <r>
      <t>·</t>
    </r>
    <r>
      <rPr>
        <sz val="7"/>
        <rFont val="Times New Roman"/>
        <family val="1"/>
      </rPr>
      <t xml:space="preserve">         </t>
    </r>
    <r>
      <rPr>
        <sz val="10"/>
        <rFont val="Arial"/>
        <family val="2"/>
      </rPr>
      <t>Research Summary</t>
    </r>
  </si>
  <si>
    <r>
      <t>§</t>
    </r>
    <r>
      <rPr>
        <sz val="7"/>
        <color theme="1"/>
        <rFont val="Times New Roman"/>
        <family val="1"/>
      </rPr>
      <t xml:space="preserve">  </t>
    </r>
    <r>
      <rPr>
        <sz val="10"/>
        <color theme="1"/>
        <rFont val="Arial"/>
        <family val="2"/>
      </rPr>
      <t>Have all errors in uploaded data been corrected?</t>
    </r>
  </si>
  <si>
    <t>Have all primary research interviews been written up and stored properly?</t>
  </si>
  <si>
    <t>Does the storyboard contain enough detail to enable the analysis?</t>
  </si>
  <si>
    <r>
      <t>·</t>
    </r>
    <r>
      <rPr>
        <sz val="7"/>
        <color theme="1"/>
        <rFont val="Times New Roman"/>
        <family val="1"/>
      </rPr>
      <t xml:space="preserve">         </t>
    </r>
    <r>
      <rPr>
        <sz val="10"/>
        <color theme="1"/>
        <rFont val="Arial"/>
        <family val="2"/>
      </rPr>
      <t>Final Data</t>
    </r>
  </si>
  <si>
    <r>
      <t>§</t>
    </r>
    <r>
      <rPr>
        <sz val="7"/>
        <color theme="1"/>
        <rFont val="Times New Roman"/>
        <family val="1"/>
      </rPr>
      <t xml:space="preserve">  </t>
    </r>
    <r>
      <rPr>
        <sz val="10"/>
        <color theme="1"/>
        <rFont val="Arial"/>
        <family val="2"/>
      </rPr>
      <t>Has the Timetric software team been notified of the data waiting to be pushed to live sites?</t>
    </r>
  </si>
  <si>
    <t>Have all data adjustments based on primary interview results and/or analyst judgment been fully documented?</t>
  </si>
  <si>
    <t>Has final data been produced in both local currency and USD versions?</t>
  </si>
  <si>
    <r>
      <t>·</t>
    </r>
    <r>
      <rPr>
        <sz val="7"/>
        <color theme="1"/>
        <rFont val="Times New Roman"/>
        <family val="1"/>
      </rPr>
      <t xml:space="preserve">         </t>
    </r>
    <r>
      <rPr>
        <sz val="10"/>
        <color theme="1"/>
        <rFont val="Arial"/>
        <family val="2"/>
      </rPr>
      <t>Workings</t>
    </r>
  </si>
  <si>
    <r>
      <t>§</t>
    </r>
    <r>
      <rPr>
        <sz val="7"/>
        <color theme="1"/>
        <rFont val="Times New Roman"/>
        <family val="1"/>
      </rPr>
      <t xml:space="preserve">  </t>
    </r>
    <r>
      <rPr>
        <sz val="10"/>
        <color theme="1"/>
        <rFont val="Arial"/>
        <family val="2"/>
      </rPr>
      <t>Is the data appearing correctly on the live sites?</t>
    </r>
  </si>
  <si>
    <t>Have all explanations for the data and its drivers (including trends &amp; issues within a market) been placed within the storyboard to help inform the analysis?</t>
  </si>
  <si>
    <t>Do the final data sheets match the specified format needed to migrate data to the upload files?</t>
  </si>
  <si>
    <r>
      <t>·</t>
    </r>
    <r>
      <rPr>
        <sz val="7"/>
        <color theme="1"/>
        <rFont val="Times New Roman"/>
        <family val="1"/>
      </rPr>
      <t xml:space="preserve">         </t>
    </r>
    <r>
      <rPr>
        <sz val="10"/>
        <color theme="1"/>
        <rFont val="Arial"/>
        <family val="2"/>
      </rPr>
      <t>Validation &amp; Benchmarking</t>
    </r>
  </si>
  <si>
    <t>Has the Research Summary sheet been completed with an appropriate level of detail?</t>
  </si>
  <si>
    <r>
      <t>·</t>
    </r>
    <r>
      <rPr>
        <sz val="7"/>
        <color theme="1"/>
        <rFont val="Times New Roman"/>
        <family val="1"/>
      </rPr>
      <t xml:space="preserve">         </t>
    </r>
    <r>
      <rPr>
        <sz val="10"/>
        <color theme="1"/>
        <rFont val="Arial"/>
        <family val="2"/>
      </rPr>
      <t>Storyboard</t>
    </r>
  </si>
  <si>
    <t>Data Checks</t>
  </si>
  <si>
    <t>Have the definitions, base drivers and exchange rates used been documented in the appendix?</t>
  </si>
  <si>
    <r>
      <t>·</t>
    </r>
    <r>
      <rPr>
        <sz val="7"/>
        <color theme="1"/>
        <rFont val="Times New Roman"/>
        <family val="1"/>
      </rPr>
      <t xml:space="preserve">         </t>
    </r>
    <r>
      <rPr>
        <sz val="10"/>
        <color theme="1"/>
        <rFont val="Arial"/>
        <family val="2"/>
      </rPr>
      <t>Appendix</t>
    </r>
  </si>
  <si>
    <r>
      <t>§</t>
    </r>
    <r>
      <rPr>
        <sz val="7"/>
        <color theme="1"/>
        <rFont val="Times New Roman"/>
        <family val="1"/>
      </rPr>
      <t xml:space="preserve">  </t>
    </r>
    <r>
      <rPr>
        <sz val="10"/>
        <color theme="1"/>
        <rFont val="Arial"/>
        <family val="2"/>
      </rPr>
      <t>Pre-Loading</t>
    </r>
  </si>
  <si>
    <t>Has the Research Summary sheet been completed?</t>
  </si>
  <si>
    <t>Has the researcher documented their actions in the Document History?</t>
  </si>
  <si>
    <r>
      <t>§</t>
    </r>
    <r>
      <rPr>
        <sz val="7"/>
        <color theme="1"/>
        <rFont val="Times New Roman"/>
        <family val="1"/>
      </rPr>
      <t xml:space="preserve">  </t>
    </r>
    <r>
      <rPr>
        <sz val="10"/>
        <color theme="1"/>
        <rFont val="Arial"/>
        <family val="2"/>
      </rPr>
      <t>Are you happy that this database is ready for publication?</t>
    </r>
  </si>
  <si>
    <r>
      <t>·</t>
    </r>
    <r>
      <rPr>
        <sz val="7"/>
        <color theme="1"/>
        <rFont val="Times New Roman"/>
        <family val="1"/>
      </rPr>
      <t xml:space="preserve">         </t>
    </r>
    <r>
      <rPr>
        <sz val="10"/>
        <color theme="1"/>
        <rFont val="Arial"/>
        <family val="2"/>
      </rPr>
      <t>Following full spot checks of all fields on random lines, are you happy that the data has been copied to the upload file correctly?</t>
    </r>
  </si>
  <si>
    <t>YES</t>
  </si>
  <si>
    <r>
      <t>§</t>
    </r>
    <r>
      <rPr>
        <sz val="7"/>
        <color theme="1"/>
        <rFont val="Times New Roman"/>
        <family val="1"/>
      </rPr>
      <t xml:space="preserve">  </t>
    </r>
    <r>
      <rPr>
        <sz val="10"/>
        <color theme="1"/>
        <rFont val="Arial"/>
        <family val="2"/>
      </rPr>
      <t>Has a record of the actions you’ve undertaken been placed in the Document History?</t>
    </r>
  </si>
  <si>
    <r>
      <t>·</t>
    </r>
    <r>
      <rPr>
        <sz val="7"/>
        <color theme="1"/>
        <rFont val="Times New Roman"/>
        <family val="1"/>
      </rPr>
      <t xml:space="preserve">         </t>
    </r>
    <r>
      <rPr>
        <sz val="10"/>
        <color theme="1"/>
        <rFont val="Arial"/>
        <family val="2"/>
      </rPr>
      <t>Are the metadata fields correct for each line of data?</t>
    </r>
  </si>
  <si>
    <t>Has a record of the actions you’ve undertaken been placed in the Document History?</t>
  </si>
  <si>
    <r>
      <t>·</t>
    </r>
    <r>
      <rPr>
        <sz val="7"/>
        <color theme="1"/>
        <rFont val="Times New Roman"/>
        <family val="1"/>
      </rPr>
      <t xml:space="preserve">         </t>
    </r>
    <r>
      <rPr>
        <sz val="10"/>
        <color theme="1"/>
        <rFont val="Arial"/>
        <family val="2"/>
      </rPr>
      <t>Are the units correct for each line of data?</t>
    </r>
  </si>
  <si>
    <r>
      <t>·</t>
    </r>
    <r>
      <rPr>
        <sz val="7"/>
        <color theme="1"/>
        <rFont val="Times New Roman"/>
        <family val="1"/>
      </rPr>
      <t xml:space="preserve">         </t>
    </r>
    <r>
      <rPr>
        <sz val="10"/>
        <color theme="1"/>
        <rFont val="Arial"/>
        <family val="2"/>
      </rPr>
      <t>Have percentages been inserted in the agreed format?</t>
    </r>
  </si>
  <si>
    <r>
      <t>·</t>
    </r>
    <r>
      <rPr>
        <sz val="7"/>
        <color theme="1"/>
        <rFont val="Times New Roman"/>
        <family val="1"/>
      </rPr>
      <t xml:space="preserve">         </t>
    </r>
    <r>
      <rPr>
        <sz val="10"/>
        <color theme="1"/>
        <rFont val="Arial"/>
        <family val="2"/>
      </rPr>
      <t>Are the local currency and USD sheets labeled and presented correctly?</t>
    </r>
  </si>
  <si>
    <t>Are all the sum checks True in the Sum check sheet?</t>
  </si>
  <si>
    <t>Is total of holiday entitlement less than or equal to 30 ?if not is any substantiation for the same has been provided?</t>
  </si>
  <si>
    <r>
      <t>§</t>
    </r>
    <r>
      <rPr>
        <sz val="7"/>
        <color theme="1"/>
        <rFont val="Times New Roman"/>
        <family val="1"/>
      </rPr>
      <t xml:space="preserve">  </t>
    </r>
    <r>
      <rPr>
        <sz val="10"/>
        <color theme="1"/>
        <rFont val="Arial"/>
        <family val="2"/>
      </rPr>
      <t>Do you agree with the assumptions made and the feedback on them from the QC?</t>
    </r>
  </si>
  <si>
    <r>
      <t>§</t>
    </r>
    <r>
      <rPr>
        <sz val="7"/>
        <color theme="1"/>
        <rFont val="Times New Roman"/>
        <family val="1"/>
      </rPr>
      <t xml:space="preserve">  </t>
    </r>
    <r>
      <rPr>
        <sz val="10"/>
        <color theme="1"/>
        <rFont val="Arial"/>
        <family val="2"/>
      </rPr>
      <t>Post-Loading</t>
    </r>
  </si>
  <si>
    <t>Do the growth rates look reasonable in light of economic and industry indicators?</t>
  </si>
  <si>
    <t>Is  International trips length of stay more than domestic trips?</t>
  </si>
  <si>
    <r>
      <t>§</t>
    </r>
    <r>
      <rPr>
        <sz val="7"/>
        <color theme="1"/>
        <rFont val="Times New Roman"/>
        <family val="1"/>
      </rPr>
      <t xml:space="preserve">  </t>
    </r>
    <r>
      <rPr>
        <sz val="10"/>
        <color theme="1"/>
        <rFont val="Arial"/>
        <family val="2"/>
      </rPr>
      <t>Are you happy that enough primary and secondary inputs are included to support the assumptions?</t>
    </r>
  </si>
  <si>
    <r>
      <t>·</t>
    </r>
    <r>
      <rPr>
        <sz val="7"/>
        <color theme="1"/>
        <rFont val="Times New Roman"/>
        <family val="1"/>
      </rPr>
      <t xml:space="preserve">         </t>
    </r>
    <r>
      <rPr>
        <sz val="10"/>
        <color theme="1"/>
        <rFont val="Arial"/>
        <family val="2"/>
      </rPr>
      <t>Does the live data match the data in the upload file?</t>
    </r>
  </si>
  <si>
    <t>Do the forecast growth rates resemble related economic &amp; industry indicators?</t>
  </si>
  <si>
    <t>Are names of regions checked?</t>
  </si>
  <si>
    <r>
      <t>§</t>
    </r>
    <r>
      <rPr>
        <sz val="7"/>
        <color theme="1"/>
        <rFont val="Times New Roman"/>
        <family val="1"/>
      </rPr>
      <t xml:space="preserve">  </t>
    </r>
    <r>
      <rPr>
        <sz val="10"/>
        <color theme="1"/>
        <rFont val="Arial"/>
        <family val="2"/>
      </rPr>
      <t>Have any conflicts between source inputs been adequately documented and resulting decisions, on which to align to, recorded?</t>
    </r>
  </si>
  <si>
    <r>
      <t>·</t>
    </r>
    <r>
      <rPr>
        <sz val="7"/>
        <color theme="1"/>
        <rFont val="Times New Roman"/>
        <family val="1"/>
      </rPr>
      <t xml:space="preserve">         </t>
    </r>
    <r>
      <rPr>
        <sz val="10"/>
        <color theme="1"/>
        <rFont val="Arial"/>
        <family val="2"/>
      </rPr>
      <t>Have any of the lines of data not loaded properly?</t>
    </r>
  </si>
  <si>
    <t>Is leisure greater than business for all by purpose divisions?</t>
  </si>
  <si>
    <r>
      <t>§</t>
    </r>
    <r>
      <rPr>
        <sz val="7"/>
        <color theme="1"/>
        <rFont val="Times New Roman"/>
        <family val="1"/>
      </rPr>
      <t xml:space="preserve">  </t>
    </r>
    <r>
      <rPr>
        <sz val="10"/>
        <color theme="1"/>
        <rFont val="Arial"/>
        <family val="2"/>
      </rPr>
      <t>Is the model used robust?</t>
    </r>
  </si>
  <si>
    <r>
      <t>·</t>
    </r>
    <r>
      <rPr>
        <sz val="7"/>
        <color theme="1"/>
        <rFont val="Times New Roman"/>
        <family val="1"/>
      </rPr>
      <t xml:space="preserve">         </t>
    </r>
    <r>
      <rPr>
        <sz val="10"/>
        <color theme="1"/>
        <rFont val="Arial"/>
        <family val="2"/>
      </rPr>
      <t>Does the accompanying description, methodology and copyright text display correctly?</t>
    </r>
  </si>
  <si>
    <t>Has the data top line and regional data been populated for the flows?</t>
  </si>
  <si>
    <r>
      <t>§</t>
    </r>
    <r>
      <rPr>
        <sz val="7"/>
        <color theme="1"/>
        <rFont val="Times New Roman"/>
        <family val="1"/>
      </rPr>
      <t xml:space="preserve">  </t>
    </r>
    <r>
      <rPr>
        <sz val="10"/>
        <color theme="1"/>
        <rFont val="Arial"/>
        <family val="2"/>
      </rPr>
      <t>Do you agree with the final data?</t>
    </r>
  </si>
  <si>
    <r>
      <t>·</t>
    </r>
    <r>
      <rPr>
        <sz val="7"/>
        <color theme="1"/>
        <rFont val="Times New Roman"/>
        <family val="1"/>
      </rPr>
      <t xml:space="preserve">         </t>
    </r>
    <r>
      <rPr>
        <sz val="10"/>
        <color theme="1"/>
        <rFont val="Arial"/>
        <family val="2"/>
      </rPr>
      <t>Have you checked for any anomalies in the charted data that may need further research &amp; investigation?</t>
    </r>
  </si>
  <si>
    <t>Is detailed methodology for every modeled data point written?</t>
  </si>
  <si>
    <t>Is proportion of low cost airline with total seat sold comparable with low cost penetration in the country?</t>
  </si>
  <si>
    <t>Are there any zeroes in the final sheet?</t>
  </si>
  <si>
    <t>Is load factor of Low cost e greater than that of full service ?</t>
  </si>
  <si>
    <t>Are standard units kept for all the metrics?</t>
  </si>
  <si>
    <t xml:space="preserve">Are passengers of leading low cost airline/ full service/charter of that country less than our low cost passengers/ full service/charter passengers? </t>
  </si>
  <si>
    <t>Is  the check sheet completely filled ?</t>
  </si>
  <si>
    <t>Checked</t>
  </si>
  <si>
    <t>Is Revenue per passenger of charter in between low cost and full service and skewed in favour of full service?</t>
  </si>
  <si>
    <t>No</t>
  </si>
  <si>
    <t>Are  proportions of all airlines with total seat sold comparable  with other similar countries?</t>
  </si>
  <si>
    <t>Are the proportions of individual categories of domestic , inbound and outbound spending checked and compared with similar countries?</t>
  </si>
  <si>
    <t>Is the above check consistent for ASK and RPK too?</t>
  </si>
  <si>
    <t>Is the proportion of Outbound Tourist Expenditure by Location of Provider(domestic/outbound provider) checked and compared with similar countries?</t>
  </si>
  <si>
    <t xml:space="preserve">Are passengers of leading airline of the country less than our passengers? </t>
  </si>
  <si>
    <t>Is percentage share of total national tourism expenditure by tourist destination checked and compared with similar countries?</t>
  </si>
  <si>
    <t>Have abnormanl increase or decrease in growth rates been monitored and supported with valid reasons? If not, then have the growth rate trends been normalized to avoid  any sharp swings?</t>
  </si>
  <si>
    <t>Have you searched for low cost penetration in the country?</t>
  </si>
  <si>
    <t>Does domestic, inbound and outbound tourism expenditures include day trips?</t>
  </si>
  <si>
    <t>Have you read articles about investments/ infrastructure in airline industry in that country?-( may provide information about airline market)</t>
  </si>
  <si>
    <t>Does domestic, inbound and outbound trips include day trips?</t>
  </si>
  <si>
    <t>Are you satisfied with every methodology in Issue and call taken sheet ?</t>
  </si>
  <si>
    <t>Does domestic tourism expenditure includes pre-trip expenses on outbound trips within the country or outbound with domestic providers?</t>
  </si>
  <si>
    <t>Has Exchange rate benn taken from Oanda (Ask value)?</t>
  </si>
  <si>
    <t>Does outbound tourism expenditure includes both outbound with domestic providers and internatuonal providers?</t>
  </si>
  <si>
    <t>Is  KPI comparison sheet completely filled ?</t>
  </si>
  <si>
    <t>Are the average salary by sector for full time employees only?</t>
  </si>
  <si>
    <t>Are RPK growing at a rate higher than that of passengers?</t>
  </si>
  <si>
    <t>Have cross country comparisions for importatnt proportations and data points like average national tourism spend per day of trip, percentage of total resident income spent on tourism, average expenditure per domestic tourist by sector, average expenditure per international tourist by sector, average overseas tourism expenditure per resident by sector been done?</t>
  </si>
  <si>
    <t>Does the storyboard make sense in context with the final data?</t>
  </si>
  <si>
    <t>Are the  growth rate sheet, checks sheet, sum checks sheet and issue and call taken sheet checked accordingly?</t>
  </si>
  <si>
    <t>Do the historical growth rates of room nights occupied in resonance with number of guests?</t>
  </si>
  <si>
    <t>Is the right comparing country taken and linked to in the checks sheet?</t>
  </si>
  <si>
    <t>Are Number of Rooms Nights Occupied conistent with occupany and room nights available?</t>
  </si>
  <si>
    <t>Are the correlations positive among the drivers and the data point to be forecasted?</t>
  </si>
  <si>
    <t>Are Number of Rooms Nights available conistent with number of rooms available?</t>
  </si>
  <si>
    <t>Are the CAGR values for all the key variables for the historic and forecast period – 2007-2011 and 2012-2016 checked?Are abnormally high, low, or negative CAGR values, if any, backed by valid reasons?</t>
  </si>
  <si>
    <t>Is Revpar consistent with occupancy and ADR?</t>
  </si>
  <si>
    <t>Does average room per hotel appear correct when seen in comparison with benchmarking country?</t>
  </si>
  <si>
    <t>Does cross country comparison of Occupancy appear fine when seen in comparison with benchmarking country?</t>
  </si>
  <si>
    <t>Are the CAGR values for all the key variables for the historic and forecast period – 2008-2012 and 2012-2017 checked?Are abnormally high, low, or negative CAGR values, if any, backed by valid reasons?</t>
  </si>
  <si>
    <t>Does cross country comparison of Revpar appear fine when seen in comparison with benchmarking country?</t>
  </si>
  <si>
    <t>Do you agree with the assumptions made and the feedback on them from the QC?</t>
  </si>
  <si>
    <t>Does cross country comparison of Trevpar appear fine when seen in comparison with benchmarking country?</t>
  </si>
  <si>
    <t>Are you happy that enough primary and secondary inputs are included to support the assumptions?</t>
  </si>
  <si>
    <t>Are number of guests consitent with our model?</t>
  </si>
  <si>
    <t>Have any conflicts between source inputs been adequately documented and resulting decisions, on which to align to, recorded?</t>
  </si>
  <si>
    <t>Is the model used robust?</t>
  </si>
  <si>
    <t>Are Proportions of Market Value by each Product checked with top line and compared with similar country?</t>
  </si>
  <si>
    <t>Do you agree with the final data?</t>
  </si>
  <si>
    <t>Is proportion of Online intermediary with totalmarket in line with the internet penetration of the country when seen in comparison with a country with a similar internet penetration?</t>
  </si>
  <si>
    <t>Are the key proportions in the check sheet acceptable?</t>
  </si>
  <si>
    <t>Are you satisfied with all the methodologies used to model data?</t>
  </si>
  <si>
    <t>Are all the consistency checks true?</t>
  </si>
  <si>
    <t>Are individual proportions of Leisure ,business and insurance replacement checked with total Car rental market and compared it with similar countries?</t>
  </si>
  <si>
    <t>Are you satisfied with every methodology documented in issue and call taken sheet?</t>
  </si>
  <si>
    <t>Are individual proportions of Airport and Non Airport and compared  with similar countries?</t>
  </si>
  <si>
    <t>Is Insurance replecement trend reflecting trend of insurance motor paid claims?</t>
  </si>
  <si>
    <t>Are All KPIs like Utilization rate, average revenue per day, average rental length should be compared compared with similar country ?</t>
  </si>
  <si>
    <t>Do you agree with the assumptions made?</t>
  </si>
  <si>
    <t>Instore with total market</t>
  </si>
  <si>
    <t>Business with total intermediary market</t>
  </si>
  <si>
    <t>Leisure with total intermediary market</t>
  </si>
  <si>
    <t>Has total  total intermediary market been compared with that of peer country?</t>
  </si>
  <si>
    <t>Has Travel Intermediary per capita been Calculated and compared it with that of peer country</t>
  </si>
  <si>
    <t>Are the following proportions compared with benchmarking country and any substantial variations noted?</t>
  </si>
  <si>
    <t>Intermediay market size as % of Domestic spending</t>
  </si>
  <si>
    <t>Is the issue and call taken sheet complete with every methodology documented with the key issues faced?</t>
  </si>
  <si>
    <t>Revenue per Available Room by Hotel Category</t>
  </si>
  <si>
    <t>Number of Guests</t>
  </si>
  <si>
    <t>Percentage of Market value by Customer type</t>
  </si>
  <si>
    <t>Percentage share of Airport and Non-Airport of the total Market</t>
  </si>
  <si>
    <t>Average Revenue per Car/Year</t>
  </si>
  <si>
    <t>Total Market Size</t>
  </si>
  <si>
    <t>Fleet Size</t>
  </si>
  <si>
    <t>RPK/Passenger</t>
  </si>
  <si>
    <t>Percentage of seats sold by passenger type</t>
  </si>
  <si>
    <t>SEK</t>
  </si>
  <si>
    <t>Cars</t>
  </si>
  <si>
    <t>Vans/Trucks</t>
  </si>
  <si>
    <t>Commercial Vehicle</t>
  </si>
  <si>
    <t>Heavy Vehicles</t>
  </si>
  <si>
    <t>Heavy Vehicle revenue</t>
  </si>
  <si>
    <t>Commercial Vehicle revenue</t>
  </si>
  <si>
    <t>Total Revenue(Million Kr)</t>
  </si>
  <si>
    <t>Car rental turnover-Million-Kr</t>
  </si>
  <si>
    <t>Airport Sales</t>
  </si>
  <si>
    <t>Arlanda</t>
  </si>
  <si>
    <t>Landvetter</t>
  </si>
  <si>
    <t>sturup</t>
  </si>
  <si>
    <t>Skavsta</t>
  </si>
  <si>
    <t>Lulea</t>
  </si>
  <si>
    <t>Other Airports</t>
  </si>
  <si>
    <t>Europ Car</t>
  </si>
  <si>
    <t>http://microsite.europcar.com/pdf/raeuropcar-2009.pdf</t>
  </si>
  <si>
    <t>http://microsite.europcar.com/pdf/raeuropcar-2011.pdf</t>
  </si>
  <si>
    <t>Avis</t>
  </si>
  <si>
    <t>Rental Days</t>
  </si>
  <si>
    <t>Fleetsize</t>
  </si>
  <si>
    <t>http://files.shareholder.com/downloads/ABEA-36XVJR/2518596445x0x542938/ea121a41-aa87-45a5-8042-171169e7b3e5/ABG_Pro-forma_website_disclosure_2010-2011_FINAL_4-25-12.pdf</t>
  </si>
  <si>
    <t>Insurance Replacement-USD</t>
  </si>
  <si>
    <t>Motor Paid Claims(US$-Mn)</t>
  </si>
  <si>
    <t>Total Domestic Travel and Tourism Spending</t>
  </si>
  <si>
    <t>Total inbound Travel &amp; Tourism Spending</t>
  </si>
  <si>
    <t>Domestic Spending on Transport</t>
  </si>
  <si>
    <t>Inbound Spending on Transport</t>
  </si>
  <si>
    <t xml:space="preserve"> Domestic Spending on transportation</t>
  </si>
  <si>
    <t>Inbound spending on transportation</t>
  </si>
  <si>
    <t>http://data.worldbank.org/indicator/ST.INT.ARVL</t>
  </si>
  <si>
    <t>http://www.e-unwto.org/content/qhtjvj3q3q94khnx/fulltext.pdf?page=1</t>
  </si>
  <si>
    <t>We have total revenue including commercial vehicles and heavy vehicles turnover. So First, we have subtracted Heavy vehicles turnover and then to calculate  commercial vehicles turnover, we have taken commercial vehicles ratio/total vehicles and adjusted with a factor of Average rate per day per commercial vehicle and Car rental daily rate(assuming that commercial vehicle revenue share will be morethan fleet ratio)</t>
  </si>
  <si>
    <t>Finland -Car rental Revenue(LCU)</t>
  </si>
  <si>
    <t>The numbers have been calculated by subtracting Leisure and Insurance replacement revenue from total revenue</t>
  </si>
  <si>
    <t>We have taken Finland Leisure car rental revenue ratio over Leisure travel &amp; tourism spending and then multiplied it with Sweden Leisure Travel and tourism Spending, which results percentage of Leisure car rental revenue in Sweden and then multiplied with Sweden total revenue.</t>
  </si>
  <si>
    <t>We have taken Motor Paid claims ratio of Norway and multiplied with Sweden Motor Paid claims for the year 2007 and for rest of years estimated by motor paid claims growth rate of Sweden</t>
  </si>
  <si>
    <t>We have airport sales data for 20011 and 2012. So we have taken ratio of Airport sales/Total revenue and multiplied it with total car rental revenue. Airport sales includes commercial vehicles revenue also so we have taken ratio.</t>
  </si>
  <si>
    <t>The number have been taken Car rental association of Sweden</t>
  </si>
  <si>
    <t>We have taken average of Norway, Europcar and Avis Utilization rate</t>
  </si>
  <si>
    <t>We have taken average of Norway and Europcar average rental length</t>
  </si>
  <si>
    <t>http://www.biluthyrarna.se/data/Rapport_04.5_Biluthyrarna_2008-2012.pdf</t>
  </si>
  <si>
    <t>Page -8</t>
  </si>
  <si>
    <t>Translated version</t>
  </si>
  <si>
    <t>Page -2</t>
  </si>
  <si>
    <t>We have total revenue including commercial vehicles and heavy vehicles turnover. So First, we have subtracted Heavy vehicles turnover and then to calculate  commercial vehicles turnover, we have taken commercial vehicles ratio/total vehicles and adjusted with a factor of Average rate per day per commercial vehicle and Car rental daily rate(assuming that commercial vehicle revenue share will be morethan fleet ratio) for the year 2012 and for rest of years estimated by taking growth rate of total revenue.</t>
  </si>
  <si>
    <t>Page -19</t>
  </si>
  <si>
    <t>http://www.mercer.com/press-releases/holiday-entitlements-around-the-world</t>
  </si>
  <si>
    <t>GDP at current price Sweden</t>
  </si>
  <si>
    <t>http://www.euromonitor.com/sweden/country-factfile</t>
  </si>
  <si>
    <t>http://www.imf.org/external/pubs/ft/weo/2013/01/weodata/weorept.aspx?pr.x=93&amp;pr.y=6&amp;sy=2007&amp;ey=2017&amp;scsm=1&amp;ssd=1&amp;sort=country&amp;ds=.&amp;br=1&amp;c=144&amp;s=NGDPD&amp;grp=0&amp;a=</t>
  </si>
  <si>
    <t>Annual Disposable Income Sweden</t>
  </si>
  <si>
    <t>Government Travel and Tourism Spending of Sweden</t>
  </si>
  <si>
    <t>Travel and tourism contribution to GDP of Sweden</t>
  </si>
  <si>
    <t>Capital Investments in tourism Sweden</t>
  </si>
  <si>
    <t>Revenu per occupied room</t>
  </si>
  <si>
    <t>Guests in Hotel</t>
  </si>
  <si>
    <t>Occupied rooms</t>
  </si>
  <si>
    <t>CAGR 2013-2017</t>
  </si>
  <si>
    <t>Domestic Business trips</t>
  </si>
  <si>
    <t>Inbound trips</t>
  </si>
  <si>
    <t>Inbound business trips</t>
  </si>
  <si>
    <t>Room Revenue</t>
  </si>
  <si>
    <t>Non Room-Revenue</t>
  </si>
  <si>
    <t>NOK Million</t>
  </si>
  <si>
    <t>Benchmarked with Norway</t>
  </si>
  <si>
    <t>Eurostats</t>
  </si>
  <si>
    <t>Calculated by multiplying with roomnights available with Occupancy rate</t>
  </si>
  <si>
    <t>Calculated by divding RevPAR with Occupancy rate</t>
  </si>
  <si>
    <t>We have taken from Eurostats</t>
  </si>
  <si>
    <t>We have business tourists ratio from TDF and multiplied it with Total Guests</t>
  </si>
  <si>
    <t>We have Leisure tourists ratio from TDF and multiplied it with Total Guests</t>
  </si>
  <si>
    <t>Confidence Score</t>
  </si>
  <si>
    <t>QC Comments</t>
  </si>
  <si>
    <t>Please provide the sources</t>
  </si>
  <si>
    <t>In the estimation we cannot show -ve GR</t>
  </si>
  <si>
    <t>How did you calculate this datapoint? Source?</t>
  </si>
  <si>
    <t>Data available in eurostat from 2007 till 2011, 2012 data estimated using CAGR</t>
  </si>
  <si>
    <t>Total of domestic trips &amp; International trips</t>
  </si>
  <si>
    <t>Lesuire</t>
  </si>
  <si>
    <t>Sum of lesuire &amp; personal</t>
  </si>
  <si>
    <t>GEO/TIME</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</si>
  <si>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</si>
  <si>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</si>
  <si>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</si>
  <si>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</si>
  <si>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</si>
  <si>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</si>
  <si>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</si>
  <si>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</si>
  <si>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</si>
  <si>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</si>
  <si>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</si>
  <si>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</si>
  <si>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</si>
  <si>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</si>
  <si>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</si>
  <si>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</si>
  <si>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</si>
  <si>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</si>
  <si>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</si>
  <si>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</si>
  <si>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Lesuire &amp; personal</t>
  </si>
  <si>
    <t>Total of personal &amp; Lesuire</t>
  </si>
  <si>
    <t>Sum of Business,personal</t>
  </si>
  <si>
    <t>Eurostat - from 2007 to 2011</t>
  </si>
  <si>
    <t>Calculation sheet</t>
  </si>
  <si>
    <t>corrected</t>
  </si>
  <si>
    <t>Number of trips - holiday and business trips - by country or world region of destination - annual data [tour_dem_ttw]</t>
  </si>
  <si>
    <t>Last update</t>
  </si>
  <si>
    <t>Extracted on</t>
  </si>
  <si>
    <t>Source of data</t>
  </si>
  <si>
    <t>UNIT</t>
  </si>
  <si>
    <t>Number</t>
  </si>
  <si>
    <t>DURATION</t>
  </si>
  <si>
    <t>1 night or over</t>
  </si>
  <si>
    <t>PURPOSE</t>
  </si>
  <si>
    <t>GEO</t>
  </si>
  <si>
    <t>PARTNER/TIME</t>
  </si>
  <si>
    <t>2007</t>
  </si>
  <si>
    <t>2008</t>
  </si>
  <si>
    <t>2009</t>
  </si>
  <si>
    <t>2010</t>
  </si>
  <si>
    <t>2011</t>
  </si>
  <si>
    <t>European Union (27 countries)</t>
  </si>
  <si>
    <t>European Union (25 countries)</t>
  </si>
  <si>
    <t>:</t>
  </si>
  <si>
    <t>European Union (15 countries)</t>
  </si>
  <si>
    <t>Euro area (EA11-2000, EA12-2006, EA13-2007, EA15-2008, EA16-2010, EA17)</t>
  </si>
  <si>
    <t>Germany (until 1990 former territory of the FRG)</t>
  </si>
  <si>
    <t>Estonia</t>
  </si>
  <si>
    <t>Ireland</t>
  </si>
  <si>
    <t>Cyprus</t>
  </si>
  <si>
    <t>Latvia</t>
  </si>
  <si>
    <t>Lithuania</t>
  </si>
  <si>
    <t>Luxembourg</t>
  </si>
  <si>
    <t>Malta</t>
  </si>
  <si>
    <t>Romania</t>
  </si>
  <si>
    <t>Slovenia</t>
  </si>
  <si>
    <t>European Economic Area (EEA18-2004, EEA28-2006, EEA30)</t>
  </si>
  <si>
    <t>European Economic Area (EU-15 plus IS, LI, NO)</t>
  </si>
  <si>
    <t>European Free Trade Association</t>
  </si>
  <si>
    <t>Iceland</t>
  </si>
  <si>
    <t>Russia</t>
  </si>
  <si>
    <t>European countries not EU nor EFTA (aggregate changing according to the context)</t>
  </si>
  <si>
    <t>Other european countries (aggregate changing according to the context)</t>
  </si>
  <si>
    <t>Other African countries (aggregate changing according to the context)</t>
  </si>
  <si>
    <t>Northern America</t>
  </si>
  <si>
    <t>United States</t>
  </si>
  <si>
    <t xml:space="preserve">Other Northern American countries </t>
  </si>
  <si>
    <t>Central and South America</t>
  </si>
  <si>
    <t>Other Central or South American countries</t>
  </si>
  <si>
    <t>Asia</t>
  </si>
  <si>
    <t>China (including Hong Kong)</t>
  </si>
  <si>
    <t>South Korea</t>
  </si>
  <si>
    <t>Other Asian countries (aggregate changing according to the context)</t>
  </si>
  <si>
    <t>Oceania</t>
  </si>
  <si>
    <t>Other Oceanian countries (aggregate changing according to the context)</t>
  </si>
  <si>
    <t>Maghreb</t>
  </si>
  <si>
    <t>All countries of the world</t>
  </si>
  <si>
    <t>Unknown</t>
  </si>
  <si>
    <t>Special value:</t>
  </si>
  <si>
    <t>not available</t>
  </si>
  <si>
    <t>Visits to friends and relatives</t>
  </si>
  <si>
    <t>Professional, business</t>
  </si>
  <si>
    <t>Middle east</t>
  </si>
  <si>
    <t>2007 to 2011 data took from eurostat &amp; 2012 is estimated using CAGR</t>
  </si>
  <si>
    <t>Sum of business &amp; personal</t>
  </si>
  <si>
    <t>Calculations sheet</t>
  </si>
  <si>
    <t>Benchmarked with norway</t>
  </si>
  <si>
    <t>Sum of 4 quarters</t>
  </si>
  <si>
    <t>Sources\TDF\tour_dem_tnq -No.of overnight stays.xls</t>
  </si>
  <si>
    <t>2007 to 2011 data took from eurostat</t>
  </si>
  <si>
    <t>sum of domestic &amp; international over night stays</t>
  </si>
  <si>
    <t>Sources\TDF\tour_dem_ttq (8) - No. of trips by season.xls</t>
  </si>
  <si>
    <t>2007 to 2011 from eurostat</t>
  </si>
  <si>
    <t>Sum of domestic trips &amp; International</t>
  </si>
  <si>
    <t>Total of domestic &amp; International trips</t>
  </si>
  <si>
    <t>Arrivals of non-residents in tourist accommodation establishments - world geographical breakdown - annual data [tour_occ_arnraw]</t>
  </si>
  <si>
    <t>Source of Data</t>
  </si>
  <si>
    <t>ACTIVITY</t>
  </si>
  <si>
    <t>Collective tourist accommodation establishments</t>
  </si>
  <si>
    <t>PARTNER</t>
  </si>
  <si>
    <t>Germany (including  former GDR from 1991)</t>
  </si>
  <si>
    <t>Special values:</t>
  </si>
  <si>
    <t>0</t>
  </si>
  <si>
    <t>less than half the final digit shown and greater than real zero</t>
  </si>
  <si>
    <t>total</t>
  </si>
  <si>
    <t>Asia-Pac</t>
  </si>
  <si>
    <t>South America</t>
  </si>
  <si>
    <t>Sources\TDF\tour_occ_arnraw (2) - Arrivals region wise.xls</t>
  </si>
  <si>
    <t>In the link provided we have data for 2011 took same no. for 2012 also as the no. of holidays doesnot change YoY</t>
  </si>
  <si>
    <t>Number of domestic overnight stays/No.of domestic trips by resident type</t>
  </si>
  <si>
    <t>Number of international overnight stays/No.of international trips by resident type</t>
  </si>
  <si>
    <t>2012 data is forecasted</t>
  </si>
  <si>
    <t>Europe total</t>
  </si>
  <si>
    <t>pg-11</t>
  </si>
  <si>
    <t>Domestic tourism consumption-including domestic providers SEKMn</t>
  </si>
  <si>
    <t>Domstic tourism consumption Norway</t>
  </si>
  <si>
    <t>Domestic Providers Norway</t>
  </si>
  <si>
    <t>Domestic Providers Sweden SEKMn</t>
  </si>
  <si>
    <t>Domestic consumption-without DP</t>
  </si>
  <si>
    <t>Inbound tourism - Sweden</t>
  </si>
  <si>
    <t>Middle East + APAC = Asia + Oceania</t>
  </si>
  <si>
    <t>Middle East / (Asia Pac + Middl East)</t>
  </si>
  <si>
    <t>Passengers onboard</t>
  </si>
  <si>
    <t>Seats available</t>
  </si>
  <si>
    <t>sudheer</t>
  </si>
  <si>
    <t>17/06/2013</t>
  </si>
  <si>
    <t>http://www.transportstyrelsen.se/Global/Publikationer/Luftfart/Flygtendenser/Flygtendenser_Aviation_trends_2009_090714.pdf</t>
  </si>
  <si>
    <t>http://www.transportstyrelsen.se/en/Aviation/Aviation-Trends/</t>
  </si>
  <si>
    <t>Domestic Providers-Sweden</t>
  </si>
  <si>
    <t>RPK (Thousands)</t>
  </si>
  <si>
    <t>Passengers carried</t>
  </si>
  <si>
    <t xml:space="preserve">GDP at current prices </t>
  </si>
  <si>
    <t>http://www.imf.org/external/pubs/ft/weo/2013/01/weodata/weorept.aspx?pr.x=81&amp;pr.y=7&amp;sy=2007&amp;ey=2017&amp;scsm=1&amp;ssd=1&amp;sort=country&amp;ds=.&amp;br=1&amp;c=144&amp;s=NGDPD&amp;grp=0&amp;a=</t>
  </si>
  <si>
    <t>http://www.imf.org/external/pubs/ft/weo/2013/01/weodata/weorept.aspx?pr.x=15&amp;pr.y=10&amp;sy=2007&amp;ey=2017&amp;scsm=1&amp;ssd=1&amp;sort=country&amp;ds=.&amp;br=1&amp;c=138%2C142%2C128%2C172%2C146%2C111&amp;s=NGDPD&amp;grp=0&amp;a=#download</t>
  </si>
  <si>
    <t>Domestic consumption-WTTC</t>
  </si>
  <si>
    <t>Inbound expenditure-WTTC</t>
  </si>
  <si>
    <t>Passenger revenue(MSEK)</t>
  </si>
  <si>
    <t>http://www.sasgroup.net/SASGROUP_IR/CMSForeignContent/2009eng.pdf</t>
  </si>
  <si>
    <t>SAS</t>
  </si>
  <si>
    <t>http://www.sasgroup.net/SASGROUP_IR/CMSForeignContent/4q2012eng.pdf</t>
  </si>
  <si>
    <t>http://www.sasgroup.net/SASGROUP_IR/CMSForeignContent/2010eng.pdf</t>
  </si>
  <si>
    <t>2010-2009</t>
  </si>
  <si>
    <t xml:space="preserve">Full Service </t>
  </si>
  <si>
    <t>http://www.swedavia.com/our-services/aviation-business1/passenger-air-service/</t>
  </si>
  <si>
    <t>International Providers Swden LCU</t>
  </si>
  <si>
    <t>International Providers Swden WTTC</t>
  </si>
  <si>
    <t>http://www.tourism-ic.com/InteractiveData/global-base-drivers-database</t>
  </si>
  <si>
    <t>International Providers-Sweden</t>
  </si>
  <si>
    <t>Domestic tourism expenditure including domestic providers was taken from National statistics Sweden. So, domestic providers &amp; the categories under it was first benchmarked with Norway and then deducted from total domestic expenditure available from source to calculate domestic tourism expenditure excluding domestic providers.</t>
  </si>
  <si>
    <t>The category under domestic tourism expenditure was calculated by benchmarking the ratio of the same to the total of domestic expenditure in Norway and multipling with that of total domestic expenditure in Sweden.</t>
  </si>
  <si>
    <t>The category under domestic tourism expenditure was calculated by benchmarking the ratio of the same to the total of domestic expenditure in Norway and multipling with that of total domestic expenditure in Sweden. The category was tweaked to make it inline with that of the TI market value in Sweden</t>
  </si>
  <si>
    <t>Inbound tourism expenditure was available till 2011</t>
  </si>
  <si>
    <t>The category under inbound tourism expenditure was calculated by benchmarking the ratio of the same to the total of inbound expenditure in Norway and multipling with that of total inbound expenditure in Sweden.</t>
  </si>
  <si>
    <t>The category under inbound tourism expenditure was calculated by benchmarking the ratio of the same to the total of inbound expenditure in Norway and multipling with that of total inbound expenditure in Sweden. The category was tweaked to make it inline with that of the TI market value in Sweden</t>
  </si>
  <si>
    <t>International Providers Swden USD - UNWTO</t>
  </si>
  <si>
    <t>Outbound tourism expenditure was calculated by adding domestic &amp; international providers and the categories under it. International Providers was available from UNWTO. The categories under international providers were benchmarked with that of Norway.</t>
  </si>
  <si>
    <t xml:space="preserve">Domestic providers was calculated by benchmarking the ratio of domestic providers to international providers in Norway and multiplying the same with that of international providers in Sweden. </t>
  </si>
  <si>
    <t>2007-2011 pg 11</t>
  </si>
  <si>
    <t>UNWTO</t>
  </si>
  <si>
    <t>International spending</t>
  </si>
  <si>
    <t>http://www.wttc.org/site_media/uploads/downloads/sweden2013.pdf</t>
  </si>
  <si>
    <t>SEK Billion</t>
  </si>
  <si>
    <t>http://www.swedavia.com/about-swedavia/this-is-swedavia/markets-the-world-around/flygmarknaden/</t>
  </si>
  <si>
    <t>We have taken Average revenue per passenger of SAS Group Airlines (Fullservice and Flag carrier of Sweden)  and then we have taken ratio of Full Service/ Top line of Norway and multiplied it with SAS group revenue per passenger</t>
  </si>
  <si>
    <t>We have taken ratio of Domestic RPK/Domestic passengers and multiplied it with Total Passengers</t>
  </si>
  <si>
    <t>We have taken data for 2008 and 2009 and for rest of years estimated by using SAS group Airlines Load factor</t>
  </si>
  <si>
    <t>We have taken data from  National Statistics</t>
  </si>
  <si>
    <t>We have taken ratio of Seats available/ Passengers onboard and multiplied it with Total Passengers Carried</t>
  </si>
  <si>
    <t>We have estimated Business travellers numbers for the year 2012 by using an article and for rest of years estimated by using Linear regression</t>
  </si>
  <si>
    <t>The numbers have been calculated by subtracting business passengers from total  passengers</t>
  </si>
  <si>
    <t>http://www.transportstyrelsen.se/Global/Publikationer/Luftfart/Flygtendenser/Flygtendenser_aviationtrends_2010_100907.pdf</t>
  </si>
  <si>
    <t>http://www.trafa.se/statistics/</t>
  </si>
  <si>
    <t>Airtransport_2012-Table 4.3</t>
  </si>
  <si>
    <t>Airtransport_2012-Table 4.4</t>
  </si>
  <si>
    <t>Eurostat data</t>
  </si>
  <si>
    <t>Total turnover of travel agents and tour operators</t>
  </si>
  <si>
    <t>http://www.ectaa.org/Portals/0/MOM11-002-448.pdf</t>
  </si>
  <si>
    <t>EUR Mn</t>
  </si>
  <si>
    <t>Travel agency, tour operator reservation service and related activities</t>
  </si>
  <si>
    <t>http://appsso.eurostat.ec.europa.eu/nui/setupDownloads.do</t>
  </si>
  <si>
    <t>Travel agency and tour operator activities</t>
  </si>
  <si>
    <t>Travel agency activities</t>
  </si>
  <si>
    <t>Tour operator activities</t>
  </si>
  <si>
    <t>Other reservation service and related activities</t>
  </si>
  <si>
    <t>Na</t>
  </si>
  <si>
    <t/>
  </si>
  <si>
    <t>SEK Mn</t>
  </si>
  <si>
    <t>http://www.oanda.com/currency/historical-rates/</t>
  </si>
  <si>
    <t>Exchange Rate (EUR to SEK)</t>
  </si>
  <si>
    <t>Increasing Online share</t>
  </si>
  <si>
    <t>http://www.euromonitor.com/travel-and-tourism-in-sweden/report</t>
  </si>
  <si>
    <t>Travel retailers moving online
Companies within the travel and tourism industry are increasingly moving their activities online with these activities not only restricted to bookings but also to marketing through various social media sites. Online booking forms an important part of overall bookings, especially among tour operators. However, among travel agents, the importance of online bookings is also on the increase and many customers start by visiting the online site and then completing the booking in a physical outlet. As a result of the increased popularity of online bookings, travel retailers are also increasingly concentrating their marketing investments online, especially boosting their presence on various social media sites and also launching new marketing and customer service concepts via their websites</t>
  </si>
  <si>
    <t xml:space="preserve">Sweden is one of the EU countries with the highest Internet penetration (93%) 
and travel arrangements are very commonly purchased through the Internet. In
2010, 25% of Swedes used the Internet to book a holiday accommodation and 
33% used it to book other travel arrangements (flight tickets, car rental, 
excursions etc.). It is expected that online booking of travel and accommodation 
will exceed offline booking. The traditional travel agencies with offices will be used 
more for tailor-made trips and special services. </t>
  </si>
  <si>
    <t>http://www.cbi.eu/system/files/marketintel/2011_Community_based_tourism_CBT_in_Sweden.pdf</t>
  </si>
  <si>
    <t>http://www.veilleinfotourisme.fr/servlet/com.univ.collaboratif.utils.LectureFichiergw?ID_FICHIER=1333691711389</t>
  </si>
  <si>
    <t>Online travel penetration rate (Scandinavia)</t>
  </si>
  <si>
    <t>EUR Bn</t>
  </si>
  <si>
    <t>Size of e-travel market (Scandinavia)</t>
  </si>
  <si>
    <t>Direct Supplier % (Scandinavia)</t>
  </si>
  <si>
    <t>SEK Million</t>
  </si>
  <si>
    <t>Internet Penetration Rate (Sweden)</t>
  </si>
  <si>
    <t>http://www.itu.int/ITU-D/ict/statistics/</t>
  </si>
  <si>
    <t>Internet Penetration Rate - Norway</t>
  </si>
  <si>
    <t>from Norway TI DB</t>
  </si>
  <si>
    <t>Internet user</t>
  </si>
  <si>
    <t>Population</t>
  </si>
  <si>
    <t>http://www.imf.org/external/pubs/ft/weo/2013/01/weodata/weorept.aspx?pr.x=75&amp;pr.y=12&amp;sy=2007&amp;ey=2017&amp;scsm=1&amp;ssd=1&amp;sort=country&amp;ds=.&amp;br=1&amp;c=144&amp;s=LP&amp;grp=0&amp;a=</t>
  </si>
  <si>
    <t>Millions</t>
  </si>
  <si>
    <t>Online TI</t>
  </si>
  <si>
    <t>In-Store TI</t>
  </si>
  <si>
    <t>Total TI</t>
  </si>
  <si>
    <t>By Destination</t>
  </si>
  <si>
    <t>Domestic/International %</t>
  </si>
  <si>
    <t>By Purpose</t>
  </si>
  <si>
    <t>Business/Leisure %</t>
  </si>
  <si>
    <t>Business Trip</t>
  </si>
  <si>
    <t xml:space="preserve">Business - TI </t>
  </si>
  <si>
    <t>Total Trips in Norway (Domestic + Inbound + Outbound) - from TDF DB</t>
  </si>
  <si>
    <t xml:space="preserve">Personal </t>
  </si>
  <si>
    <t>Others</t>
  </si>
  <si>
    <t>from Norway TDF</t>
  </si>
  <si>
    <t>Total Trips in Sweden (Domestic + Inbound + Outbound) - from TDF DB</t>
  </si>
  <si>
    <t>Total Outbound Tourist Expenditure</t>
  </si>
  <si>
    <t>2008-2010 data is sourced from Eurostat, while the for the rest of the years data is estimated by linear regression with Total Outbound Tourist Expenditure.</t>
  </si>
  <si>
    <t>From EI data</t>
  </si>
  <si>
    <t>2008-2009:Benchmarked with Norway, for rest of the years data is estimated by linear regression with topline.</t>
  </si>
  <si>
    <t>2008-2009: Estimated using Dynamic Packaing and Online TI ratio from Norway. While for rest of the years, data is estimated by linear regression with Online TI numbers.</t>
  </si>
  <si>
    <t>Estimated using the ratio of Business Trips (from TDF) and Business TI (from TI DB) of Norway.</t>
  </si>
  <si>
    <t>Calculated=Topline-Sum of Accommodation, Travel Only, Car rental and Tourism Packages.</t>
  </si>
  <si>
    <t>Estimated using Online TI and Topline ratio from Norway (taking into account the difference in internet penetration rate in Sweden and Norway).</t>
  </si>
  <si>
    <t>Calculated using internet users and population from Euromonitor and IMF respectively (for calculation refer Norway TI DB)</t>
  </si>
  <si>
    <t>Data was available for 2011 &amp; 2012. For the rest of the years the average percentage share of the country out of total inbound visitors was taken.</t>
  </si>
  <si>
    <t>http://publikationer.tillvaxtverket.se/ProductView.aspx?ID=1896</t>
  </si>
  <si>
    <t>Benchmarked with that of Norway and then deducted it from Asia</t>
  </si>
  <si>
    <t>Foriant</t>
  </si>
  <si>
    <t>Number of establishments, bedrooms and bed-places  [tour_cap_nat]</t>
  </si>
  <si>
    <t>Short Description</t>
  </si>
  <si>
    <t>Short Description is not available</t>
  </si>
  <si>
    <t>INDIC_TO</t>
  </si>
  <si>
    <t>Number of establishments</t>
  </si>
  <si>
    <t>NACE_R2</t>
  </si>
  <si>
    <t>Hotels; holiday and other short-stay accommodation; camping grounds, recreational vehicle parks and trailer parks</t>
  </si>
  <si>
    <t>2012</t>
  </si>
  <si>
    <t>Hotels and similar accommodation</t>
  </si>
  <si>
    <t>Holiday and other short-stay accommodation</t>
  </si>
  <si>
    <t>Bedrooms</t>
  </si>
  <si>
    <t>EUROSTAT</t>
  </si>
  <si>
    <t>The data is available in Eurostat for the series 2008 to 2012</t>
  </si>
  <si>
    <t>4.5.16. Occupancy rate of hotel rooms by category (2001–) [%]</t>
  </si>
  <si>
    <t>Holiday regions</t>
  </si>
  <si>
    <t>Five-star</t>
  </si>
  <si>
    <t>Four-star</t>
  </si>
  <si>
    <t>Three-star</t>
  </si>
  <si>
    <t>Two-star</t>
  </si>
  <si>
    <t>One-star</t>
  </si>
  <si>
    <t>Average</t>
  </si>
  <si>
    <t>hotels</t>
  </si>
  <si>
    <t>$2001</t>
  </si>
  <si>
    <t>Country total</t>
  </si>
  <si>
    <t>Of which:</t>
  </si>
  <si>
    <t>Budapest</t>
  </si>
  <si>
    <t>Lake Balaton</t>
  </si>
  <si>
    <t>–</t>
  </si>
  <si>
    <t xml:space="preserve">    Danube Bend</t>
  </si>
  <si>
    <t xml:space="preserve">    Lake Velencei</t>
  </si>
  <si>
    <t xml:space="preserve">    Mátra–Bükk</t>
  </si>
  <si>
    <t xml:space="preserve">    Sopron–Kőszeghegyalja</t>
  </si>
  <si>
    <t>$2002</t>
  </si>
  <si>
    <t>$2003</t>
  </si>
  <si>
    <t>$2004</t>
  </si>
  <si>
    <t>Balaton</t>
  </si>
  <si>
    <t>Settlements at the shore</t>
  </si>
  <si>
    <t>Danube Bend</t>
  </si>
  <si>
    <t>Matra-Bukk</t>
  </si>
  <si>
    <t>Mecsek and Villany</t>
  </si>
  <si>
    <t>Sopron-Koszeghegyalja</t>
  </si>
  <si>
    <t>Lake Tisza</t>
  </si>
  <si>
    <t>Lake Velence–Vertes</t>
  </si>
  <si>
    <t>$2005</t>
  </si>
  <si>
    <t xml:space="preserve">     Of which:</t>
  </si>
  <si>
    <t xml:space="preserve">    Settlements at the shore</t>
  </si>
  <si>
    <t>Mátra–Bükk</t>
  </si>
  <si>
    <t>Mecsek and Villány</t>
  </si>
  <si>
    <t>Sopron–Kőszeghegyalja</t>
  </si>
  <si>
    <t>Lake Velencei–Vértes</t>
  </si>
  <si>
    <t>$2006</t>
  </si>
  <si>
    <t>$2007</t>
  </si>
  <si>
    <t>$2008</t>
  </si>
  <si>
    <t>…</t>
  </si>
  <si>
    <t>$2009</t>
  </si>
  <si>
    <t>$2010</t>
  </si>
  <si>
    <t>$2011</t>
  </si>
  <si>
    <t>$2012</t>
  </si>
  <si>
    <t>http://www.ksh.hu/docs/eng/xstadat/xstadat_annual/i_oga005.html#</t>
  </si>
  <si>
    <t>The numbers have been taken from National statistics for the period 2008 to 2012</t>
  </si>
  <si>
    <t xml:space="preserve">4.5.17. Income from accommodation fee of public accommodation establishments (2001–) </t>
  </si>
  <si>
    <t>Year</t>
  </si>
  <si>
    <t>Gross income from accommodation fee, million HUF</t>
  </si>
  <si>
    <t>Gross accommodation fee per tourism night, HUF</t>
  </si>
  <si>
    <t>Gross accommodation fee per operation day of room, HUF</t>
  </si>
  <si>
    <t>international</t>
  </si>
  <si>
    <t>domestic</t>
  </si>
  <si>
    <t>in public accommodation establishments</t>
  </si>
  <si>
    <t>of which: 
in hotels</t>
  </si>
  <si>
    <t>..</t>
  </si>
  <si>
    <t>https://www.ksh.hu/docs/eng/xstadat/xstadat_annual/i_oga006.html</t>
  </si>
  <si>
    <t>Data from National Statistics</t>
  </si>
  <si>
    <t>4.5.19. Average room rate of hotelrooms [HUF]</t>
  </si>
  <si>
    <t>Period</t>
  </si>
  <si>
    <t>Five-</t>
  </si>
  <si>
    <t>Four-</t>
  </si>
  <si>
    <t>Three-</t>
  </si>
  <si>
    <t>Two-</t>
  </si>
  <si>
    <t>One-</t>
  </si>
  <si>
    <t>Hotels average</t>
  </si>
  <si>
    <t>star hotels</t>
  </si>
  <si>
    <t>spa hotels</t>
  </si>
  <si>
    <t>wellness hotels</t>
  </si>
  <si>
    <t>apartman hotels</t>
  </si>
  <si>
    <t>February</t>
  </si>
  <si>
    <t>May</t>
  </si>
  <si>
    <t>July</t>
  </si>
  <si>
    <t>December</t>
  </si>
  <si>
    <t>$2013</t>
  </si>
  <si>
    <t>https://www.ksh.hu/docs/eng/xstadat/xstadat_infra/e_oga006.html</t>
  </si>
  <si>
    <t>Number of rooms available in Hungary</t>
  </si>
  <si>
    <t>Revenue per available room</t>
  </si>
  <si>
    <t>The nonfood revenue is obtained by bencmarkeing with Poland.</t>
  </si>
  <si>
    <t>Total Non Room Revenue by Hotel Category &amp; Customer Type</t>
  </si>
  <si>
    <t>Budget</t>
  </si>
  <si>
    <t>Midscale</t>
  </si>
  <si>
    <t>Upscale</t>
  </si>
  <si>
    <t>Luxury</t>
  </si>
  <si>
    <t>PLN Million</t>
  </si>
  <si>
    <t>Ratio</t>
  </si>
  <si>
    <t>The process will be explained with the steps mentioned below</t>
  </si>
  <si>
    <t>STep2: Obtaion the ratio between total non room revenue of Poland with the total revenue of Poland.</t>
  </si>
  <si>
    <t>Step 3: divide step 2 by step 1</t>
  </si>
  <si>
    <t>Step 4: Obtain the percentage of non room revenue of luxury and upscalehotels of Hungary among the total revenue of the luxury hotels of Hungary. These are obtained from one to many sources.</t>
  </si>
  <si>
    <t>Step1: Obtain the ratio between the non room revenue of luxury and upscale hotels of Poland with the total luxury (luxury room + luxury noon room) of Poland. These are obtained from Market database file of Poland.</t>
  </si>
  <si>
    <t>Step 5: Multiply step 4 with step 5.</t>
  </si>
  <si>
    <t>Step 6: The number obtained in Step 5 indicates the percentage of non room revenue as percentage of total revenue. Deduction this from 100% gives the percentage of room revenue. The data regarding the room revenue is already present with us. From this the total revenue(room+non room) is obatained.</t>
  </si>
  <si>
    <t>Step 7: The room revenue is deducted from the total revenue to obtain the non room revenue.</t>
  </si>
  <si>
    <t>Number of Establishments by Hotel Category</t>
  </si>
  <si>
    <t>Number of Rooms by Hotel Category</t>
  </si>
  <si>
    <t>Number of Rooms Nights available by Hotel Category</t>
  </si>
  <si>
    <t>Number of Rooms Nights by Hotel Category</t>
  </si>
  <si>
    <t>Number of Rooms Nights Occupied by Hotel Category</t>
  </si>
  <si>
    <t>Average Room Revenue per Available Room by Hotel Category</t>
  </si>
  <si>
    <t>PLN</t>
  </si>
  <si>
    <t>Average Room Revenue per Occupied Room by Hotel Category</t>
  </si>
  <si>
    <t>Average Total Revenue Per Available Room</t>
  </si>
  <si>
    <t>Total Room Revenue by Hotel Category &amp; Customer Type</t>
  </si>
  <si>
    <t>Total  Revenue by Hotel Category &amp; Customer Type</t>
  </si>
  <si>
    <t>Number of Guests by Hotel Category &amp; Customer Type</t>
  </si>
  <si>
    <t>Luxury non room revenue/luxury revenue(room and non room)</t>
  </si>
  <si>
    <t>Luxury Non room revenue of Poland</t>
  </si>
  <si>
    <t>Luxury reveue(room + non room) of Poland</t>
  </si>
  <si>
    <t>S:\WMI\WMI TT\Working Folders\Databases\2013\Final Approved\Market Database\Poland\Hotel</t>
  </si>
  <si>
    <t>http://www.hotstats.com/PDF/Files/HotStats_2012.pdf</t>
  </si>
  <si>
    <t>http://www.hotstats.com/PDF/Files/HotStats_2011.pdf</t>
  </si>
  <si>
    <t>Luxury non room revenueof Hungary/luxury revenue(room and non room) of Hungary</t>
  </si>
  <si>
    <t>Total non room revenue of Poland/ Total revenue of Poland</t>
  </si>
  <si>
    <t>Total NRR</t>
  </si>
  <si>
    <t>Non room revenue</t>
  </si>
  <si>
    <t xml:space="preserve">The nonfood revenue is obtained by bencmarkeing with Poland.
The process will be explained with the steps mentioned below
Step1: Obtain the ratio between the non room revenue of luxury and upscale hotels of Poland with the total luxury (luxury room + luxury noon room) of Poland. These are obtained from Market database file of Poland.
STep2: Obtaion the ratio between total non room revenue of Poland with the total revenue of Poland.
Step 3: divide step 2 by step 1
Step 4: Obtain the percentage of non room revenue of luxury and upscalehotels of Hungary among the total revenue of the luxury hotels of Hungary. These are obtained from one to many sources.
Step 5: Multiply step 4 with step 5.
Step 6: The number obtained in Step 5 indicates the percentage of non room revenue as percentage of total revenue. Deduction this from 100% gives the percentage of room revenue. The data regarding the room revenue is already present with us. From this the total revenue(room+non room) is obatained.
Step 7: The room revenue is deducted from the total revenue to obtain the non room revenue.
</t>
  </si>
  <si>
    <t>Arrivals at tourist accommodation establishments - monthly data [tour_occ_arm]</t>
  </si>
  <si>
    <t>Arrivals Total</t>
  </si>
  <si>
    <t>2008M01</t>
  </si>
  <si>
    <t>2008M02</t>
  </si>
  <si>
    <t>2008M03</t>
  </si>
  <si>
    <t>2008M04</t>
  </si>
  <si>
    <t>2008M05</t>
  </si>
  <si>
    <t>2008M06</t>
  </si>
  <si>
    <t>2008M07</t>
  </si>
  <si>
    <t>2008M08</t>
  </si>
  <si>
    <t>2008M09</t>
  </si>
  <si>
    <t>2008M10</t>
  </si>
  <si>
    <t>2008M11</t>
  </si>
  <si>
    <t>2008M12</t>
  </si>
  <si>
    <t>2009M01</t>
  </si>
  <si>
    <t>2009M02</t>
  </si>
  <si>
    <t>2009M03</t>
  </si>
  <si>
    <t>2009M04</t>
  </si>
  <si>
    <t>2009M05</t>
  </si>
  <si>
    <t>2009M06</t>
  </si>
  <si>
    <t>2009M07</t>
  </si>
  <si>
    <t>2009M08</t>
  </si>
  <si>
    <t>2009M09</t>
  </si>
  <si>
    <t>2009M10</t>
  </si>
  <si>
    <t>2009M11</t>
  </si>
  <si>
    <t>2009M12</t>
  </si>
  <si>
    <t>2010M01</t>
  </si>
  <si>
    <t>2010M02</t>
  </si>
  <si>
    <t>2010M03</t>
  </si>
  <si>
    <t>2010M04</t>
  </si>
  <si>
    <t>2010M05</t>
  </si>
  <si>
    <t>2010M06</t>
  </si>
  <si>
    <t>2010M07</t>
  </si>
  <si>
    <t>2010M08</t>
  </si>
  <si>
    <t>2010M09</t>
  </si>
  <si>
    <t>2010M10</t>
  </si>
  <si>
    <t>2010M11</t>
  </si>
  <si>
    <t>2010M12</t>
  </si>
  <si>
    <t>2011M01</t>
  </si>
  <si>
    <t>2011M02</t>
  </si>
  <si>
    <t>2011M03</t>
  </si>
  <si>
    <t>2011M04</t>
  </si>
  <si>
    <t>2011M05</t>
  </si>
  <si>
    <t>2011M06</t>
  </si>
  <si>
    <t>2011M07</t>
  </si>
  <si>
    <t>2011M08</t>
  </si>
  <si>
    <t>2011M09</t>
  </si>
  <si>
    <t>2011M10</t>
  </si>
  <si>
    <t>2011M11</t>
  </si>
  <si>
    <t>2011M12</t>
  </si>
  <si>
    <t>Arrivals at tourist accommodation establishments [tour_occ_arnat]</t>
  </si>
  <si>
    <t>Number of trips [tour_dem_tttot]</t>
  </si>
  <si>
    <t>Number of trips - quarterly data [tour_dem_ttq]</t>
  </si>
  <si>
    <t>03.10.13</t>
  </si>
  <si>
    <t>25.10.13</t>
  </si>
  <si>
    <t>TINFO</t>
  </si>
  <si>
    <t>NS - Total</t>
  </si>
  <si>
    <t>DEST</t>
  </si>
  <si>
    <t>Domestic trips</t>
  </si>
  <si>
    <t>Outbound trips</t>
  </si>
  <si>
    <t>Data available for the series 2008 to 2012</t>
  </si>
  <si>
    <t>Number of trips by country / world region of destination [tour_dem_ttw]</t>
  </si>
  <si>
    <t>2003</t>
  </si>
  <si>
    <t>2004</t>
  </si>
  <si>
    <t>2005</t>
  </si>
  <si>
    <t>2006</t>
  </si>
  <si>
    <t>AFRICA</t>
  </si>
  <si>
    <t>ASIA PACIFIC</t>
  </si>
  <si>
    <t>South And Central America</t>
  </si>
  <si>
    <t>America</t>
  </si>
  <si>
    <t>TOPLINE</t>
  </si>
  <si>
    <t>Data available for the year 2008 to 2012 in Eurostat</t>
  </si>
  <si>
    <t>Remaining</t>
  </si>
  <si>
    <t>Data available for year 2011 and 2012 only while data for year 2008, 2009 and 2010 are estimated using the Topline as the independent variable and the growth rate of the top line as the control factor of the growth rate</t>
  </si>
  <si>
    <t>Benchmarked with Poland</t>
  </si>
  <si>
    <t>S:\WMI\WMI TT\Working Folders\Databases\2013\Final Approved\TDF\Poland</t>
  </si>
  <si>
    <t>OUTBOUND</t>
  </si>
  <si>
    <t>VFR</t>
  </si>
  <si>
    <t>Professional</t>
  </si>
  <si>
    <t>Data available for the period 2008 to 2011 from Eurostat while data for the year 2012 is estimated using the forecast function.</t>
  </si>
</sst>
</file>

<file path=xl/styles.xml><?xml version="1.0" encoding="utf-8"?>
<styleSheet xmlns="http://schemas.openxmlformats.org/spreadsheetml/2006/main">
  <numFmts count="45">
    <numFmt numFmtId="6" formatCode="&quot;$&quot;#,##0_);[Red]\(&quot;$&quot;#,##0\)"/>
    <numFmt numFmtId="8" formatCode="&quot;$&quot;#,##0.00_);[Red]\(&quot;$&quot;#,##0.00\)"/>
    <numFmt numFmtId="41" formatCode="_(* #,##0_);_(* \(#,##0\);_(* &quot;-&quot;_);_(@_)"/>
    <numFmt numFmtId="44" formatCode="_(&quot;$&quot;* #,##0.00_);_(&quot;$&quot;* \(#,##0.00\);_(&quot;$&quot;* &quot;-&quot;??_);_(@_)"/>
    <numFmt numFmtId="43" formatCode="_(* #,##0.00_);_(* \(#,##0.00\);_(* &quot;-&quot;??_);_(@_)"/>
    <numFmt numFmtId="164" formatCode="0.0000"/>
    <numFmt numFmtId="165" formatCode="#."/>
    <numFmt numFmtId="166" formatCode="0.0%"/>
    <numFmt numFmtId="167" formatCode="0.0"/>
    <numFmt numFmtId="168" formatCode="_-* #,##0.00\ _€_-;\-* #,##0.00\ _€_-;_-* &quot;-&quot;??\ _€_-;_-@_-"/>
    <numFmt numFmtId="169" formatCode="_-* #,##0.00_-;_-* #,##0.00\-;_-* &quot;-&quot;??_-;_-@_-"/>
    <numFmt numFmtId="170" formatCode="_-* #,##0.00_-;\-* #,##0.00_-;_-* &quot;-&quot;??_-;_-@_-"/>
    <numFmt numFmtId="171" formatCode="_(* #,##0.00_);_(* \(#,##0.00\);_(* \-??_);_(@_)"/>
    <numFmt numFmtId="172" formatCode="_ * #,##0.00_ ;_ * \-#,##0.00_ ;_ * &quot;-&quot;??_ ;_ @_ "/>
    <numFmt numFmtId="173" formatCode="General_)"/>
    <numFmt numFmtId="174" formatCode="#,##0;\-\ #,##0;_-\ &quot;- &quot;"/>
    <numFmt numFmtId="175" formatCode="#\ ###\ ##0;&quot;-&quot;#\ ###\ ##0"/>
    <numFmt numFmtId="176" formatCode="#,##0\ \ ;\-#,##0\ \ "/>
    <numFmt numFmtId="177" formatCode="_-* #,##0_-;\-* #,##0_-;_-* &quot;-&quot;_-;_-@_-"/>
    <numFmt numFmtId="178" formatCode="_-* #,##0_-;&quot;\&quot;\!\-* #,##0_-;_-* &quot;-&quot;_-;_-@_-"/>
    <numFmt numFmtId="179" formatCode="_-* #,##0.00_-;&quot;\&quot;\!\-* #,##0.00_-;_-* &quot;-&quot;??_-;_-@_-"/>
    <numFmt numFmtId="180" formatCode="#,##0.0"/>
    <numFmt numFmtId="181" formatCode="0.000%"/>
    <numFmt numFmtId="182" formatCode="_(* #,##0_);_(* \(#,##0\);_(* &quot;-&quot;??_);_(@_)"/>
    <numFmt numFmtId="183" formatCode="_(* #,##0.0_);_(* \(#,##0.0\);_(* &quot;-&quot;??_);_(@_)"/>
    <numFmt numFmtId="184" formatCode="_ [$€]\ * #,##0.00_ ;_ [$€]\ * \-#,##0.00_ ;_ [$€]\ * &quot;-&quot;??_ ;_ @_ "/>
    <numFmt numFmtId="185" formatCode="_-* #,##0.00\ [$€]_-;\-* #,##0.00\ [$€]_-;_-* &quot;-&quot;??\ [$€]_-;_-@_-"/>
    <numFmt numFmtId="186" formatCode="#,##0,"/>
    <numFmt numFmtId="187" formatCode="0.00000"/>
    <numFmt numFmtId="188" formatCode="0.000000"/>
    <numFmt numFmtId="189" formatCode="0.000"/>
    <numFmt numFmtId="190" formatCode="_(* #,##0.000_);_(* \(#,##0.000\);_(* &quot;-&quot;??_);_(@_)"/>
    <numFmt numFmtId="191" formatCode="0.000000000"/>
    <numFmt numFmtId="192" formatCode="_(* #,##0.00_);_(* \(#,##0.00\);_(* &quot;-&quot;_);_(@_)"/>
    <numFmt numFmtId="193" formatCode="_(* #,##0.0_);_(* \(#,##0.0\);_(* &quot;-&quot;_);_(@_)"/>
    <numFmt numFmtId="194" formatCode="&quot;$&quot;#,##0.00"/>
    <numFmt numFmtId="195" formatCode="[$-409]d\-mmm\-yyyy;@"/>
    <numFmt numFmtId="196" formatCode="&quot;$&quot;#,##0.0_);[Red]\(&quot;$&quot;#,##0.0\)"/>
    <numFmt numFmtId="197" formatCode="0.0000000"/>
    <numFmt numFmtId="198" formatCode="dd\.mm\.yy"/>
    <numFmt numFmtId="199" formatCode="0.0000000000000000%"/>
    <numFmt numFmtId="200" formatCode="_(* #,##0.000_);_(* \(#,##0.000\);_(* &quot;-&quot;???_);_(@_)"/>
    <numFmt numFmtId="201" formatCode="#,##0.0000"/>
    <numFmt numFmtId="202" formatCode="#,##0__"/>
    <numFmt numFmtId="203" formatCode="0.00000000000E+00"/>
  </numFmts>
  <fonts count="165">
    <font>
      <sz val="11"/>
      <color theme="1"/>
      <name val="Calibri"/>
      <family val="2"/>
      <scheme val="minor"/>
    </font>
    <font>
      <b/>
      <sz val="8"/>
      <color theme="1"/>
      <name val="Arial"/>
      <family val="2"/>
    </font>
    <font>
      <sz val="8"/>
      <color theme="1"/>
      <name val="Arial"/>
      <family val="2"/>
    </font>
    <font>
      <b/>
      <sz val="8"/>
      <color theme="0"/>
      <name val="Arial"/>
      <family val="2"/>
    </font>
    <font>
      <sz val="8"/>
      <color theme="0" tint="-0.249977111117893"/>
      <name val="Arial"/>
      <family val="2"/>
    </font>
    <font>
      <b/>
      <sz val="11"/>
      <color theme="1"/>
      <name val="Calibri"/>
      <family val="2"/>
      <scheme val="minor"/>
    </font>
    <font>
      <sz val="10"/>
      <name val="Arial"/>
      <family val="2"/>
    </font>
    <font>
      <u/>
      <sz val="10"/>
      <color indexed="12"/>
      <name val="Arial"/>
      <family val="2"/>
    </font>
    <font>
      <sz val="8"/>
      <name val="Arial"/>
      <family val="2"/>
    </font>
    <font>
      <b/>
      <sz val="8"/>
      <name val="Arial"/>
      <family val="2"/>
    </font>
    <font>
      <sz val="11"/>
      <color theme="1"/>
      <name val="Calibri"/>
      <family val="2"/>
      <scheme val="minor"/>
    </font>
    <font>
      <sz val="11"/>
      <color rgb="FFFF0000"/>
      <name val="Calibri"/>
      <family val="2"/>
      <scheme val="minor"/>
    </font>
    <font>
      <b/>
      <sz val="9"/>
      <name val="Calibri"/>
      <family val="2"/>
      <scheme val="minor"/>
    </font>
    <font>
      <b/>
      <sz val="14"/>
      <color theme="0"/>
      <name val="Arial"/>
      <family val="2"/>
    </font>
    <font>
      <sz val="11"/>
      <color indexed="8"/>
      <name val="Calibri"/>
      <family val="2"/>
    </font>
    <font>
      <sz val="1"/>
      <color indexed="0"/>
      <name val="Courier"/>
      <family val="3"/>
    </font>
    <font>
      <sz val="11"/>
      <color indexed="9"/>
      <name val="Calibri"/>
      <family val="2"/>
    </font>
    <font>
      <sz val="11"/>
      <color indexed="20"/>
      <name val="Calibri"/>
      <family val="2"/>
    </font>
    <font>
      <b/>
      <sz val="11"/>
      <color indexed="9"/>
      <name val="Arial"/>
      <family val="2"/>
    </font>
    <font>
      <sz val="6"/>
      <name val="Arial"/>
      <family val="2"/>
    </font>
    <font>
      <b/>
      <sz val="8.5"/>
      <name val="Arial"/>
      <family val="2"/>
    </font>
    <font>
      <sz val="8"/>
      <color indexed="8"/>
      <name val="Arial"/>
      <family val="2"/>
    </font>
    <font>
      <b/>
      <sz val="7"/>
      <color indexed="9"/>
      <name val="Arial"/>
      <family val="2"/>
    </font>
    <font>
      <b/>
      <sz val="7"/>
      <name val="Arial"/>
      <family val="2"/>
    </font>
    <font>
      <sz val="7"/>
      <name val="Arial"/>
      <family val="2"/>
    </font>
    <font>
      <sz val="7"/>
      <color indexed="8"/>
      <name val="Arial"/>
      <family val="2"/>
    </font>
    <font>
      <sz val="6.5"/>
      <name val="Arial"/>
      <family val="2"/>
    </font>
    <font>
      <b/>
      <sz val="11"/>
      <color indexed="52"/>
      <name val="Calibri"/>
      <family val="2"/>
    </font>
    <font>
      <b/>
      <sz val="11"/>
      <color indexed="9"/>
      <name val="Calibri"/>
      <family val="2"/>
    </font>
    <font>
      <sz val="10"/>
      <color indexed="8"/>
      <name val="Verdana"/>
      <family val="2"/>
    </font>
    <font>
      <sz val="10"/>
      <color indexed="8"/>
      <name val="Arial"/>
      <family val="2"/>
    </font>
    <font>
      <sz val="10"/>
      <color theme="1"/>
      <name val="Arial"/>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u/>
      <sz val="9.9"/>
      <color theme="10"/>
      <name val="Calibri"/>
      <family val="2"/>
    </font>
    <font>
      <u/>
      <sz val="11"/>
      <color theme="10"/>
      <name val="Calibri"/>
      <family val="2"/>
    </font>
    <font>
      <u/>
      <sz val="11"/>
      <color indexed="12"/>
      <name val="Calibri"/>
      <family val="2"/>
    </font>
    <font>
      <u/>
      <sz val="10"/>
      <color theme="10"/>
      <name val="Arial"/>
      <family val="2"/>
    </font>
    <font>
      <sz val="11"/>
      <color indexed="62"/>
      <name val="Calibri"/>
      <family val="2"/>
    </font>
    <font>
      <sz val="11"/>
      <color indexed="52"/>
      <name val="Calibri"/>
      <family val="2"/>
    </font>
    <font>
      <b/>
      <sz val="9"/>
      <name val="Arial"/>
      <family val="2"/>
      <charset val="177"/>
    </font>
    <font>
      <sz val="11"/>
      <color indexed="60"/>
      <name val="Calibri"/>
      <family val="2"/>
    </font>
    <font>
      <sz val="11"/>
      <name val="돋움"/>
      <family val="3"/>
      <charset val="129"/>
    </font>
    <font>
      <sz val="10"/>
      <name val="Arial Cyr"/>
      <charset val="204"/>
    </font>
    <font>
      <sz val="6.5"/>
      <color indexed="8"/>
      <name val="Arial"/>
      <family val="2"/>
    </font>
    <font>
      <sz val="10"/>
      <name val="Times New Roman"/>
      <family val="1"/>
    </font>
    <font>
      <sz val="10"/>
      <name val="MS Sans Serif"/>
      <family val="2"/>
    </font>
    <font>
      <sz val="11"/>
      <name val="Arial"/>
      <family val="2"/>
    </font>
    <font>
      <sz val="10"/>
      <name val="Arial CE"/>
      <charset val="238"/>
    </font>
    <font>
      <b/>
      <sz val="11"/>
      <color indexed="63"/>
      <name val="Calibri"/>
      <family val="2"/>
    </font>
    <font>
      <sz val="11"/>
      <name val="Times New Roman"/>
      <family val="1"/>
    </font>
    <font>
      <sz val="6.5"/>
      <name val="Univers"/>
      <family val="2"/>
    </font>
    <font>
      <b/>
      <sz val="6"/>
      <name val="Arial"/>
      <family val="2"/>
      <charset val="177"/>
    </font>
    <font>
      <sz val="6"/>
      <name val="Arial"/>
      <family val="2"/>
      <charset val="177"/>
    </font>
    <font>
      <b/>
      <sz val="18"/>
      <color indexed="56"/>
      <name val="Cambria"/>
      <family val="2"/>
    </font>
    <font>
      <b/>
      <sz val="11"/>
      <color indexed="8"/>
      <name val="Calibri"/>
      <family val="2"/>
    </font>
    <font>
      <sz val="11"/>
      <color indexed="10"/>
      <name val="Calibri"/>
      <family val="2"/>
    </font>
    <font>
      <sz val="10"/>
      <name val="Arial Cyr"/>
    </font>
    <font>
      <sz val="9"/>
      <name val="Arial"/>
      <family val="2"/>
    </font>
    <font>
      <sz val="12"/>
      <name val="ＭＳ 明朝"/>
      <family val="1"/>
      <charset val="128"/>
    </font>
    <font>
      <sz val="8"/>
      <color rgb="FFFF0000"/>
      <name val="Arial"/>
      <family val="2"/>
    </font>
    <font>
      <b/>
      <i/>
      <sz val="8"/>
      <color rgb="FFFF0000"/>
      <name val="Arial"/>
      <family val="2"/>
    </font>
    <font>
      <b/>
      <sz val="8"/>
      <color rgb="FFFF0000"/>
      <name val="Arial"/>
      <family val="2"/>
    </font>
    <font>
      <b/>
      <sz val="10"/>
      <color indexed="8"/>
      <name val="Calibri"/>
      <family val="2"/>
    </font>
    <font>
      <b/>
      <sz val="10"/>
      <color rgb="FF000000"/>
      <name val="Calibri"/>
      <family val="2"/>
    </font>
    <font>
      <sz val="11"/>
      <name val="Calibri"/>
      <family val="2"/>
    </font>
    <font>
      <sz val="8"/>
      <color rgb="FF00B050"/>
      <name val="Arial"/>
      <family val="2"/>
    </font>
    <font>
      <sz val="11"/>
      <color theme="1"/>
      <name val="Calibri"/>
      <family val="2"/>
    </font>
    <font>
      <sz val="12"/>
      <color rgb="FF009933"/>
      <name val="Arial"/>
      <family val="2"/>
    </font>
    <font>
      <b/>
      <sz val="8"/>
      <color indexed="81"/>
      <name val="Tahoma"/>
      <family val="2"/>
    </font>
    <font>
      <sz val="10"/>
      <color rgb="FF000000"/>
      <name val="Arial"/>
      <family val="2"/>
    </font>
    <font>
      <sz val="11"/>
      <color indexed="24"/>
      <name val="Arial"/>
      <family val="2"/>
    </font>
    <font>
      <sz val="9"/>
      <color indexed="9"/>
      <name val="Arial"/>
      <family val="2"/>
    </font>
    <font>
      <sz val="9"/>
      <color indexed="24"/>
      <name val="Arial"/>
      <family val="2"/>
    </font>
    <font>
      <sz val="9"/>
      <color indexed="22"/>
      <name val="Arial"/>
      <family val="2"/>
    </font>
    <font>
      <sz val="9"/>
      <color theme="0"/>
      <name val="Arial"/>
      <family val="2"/>
    </font>
    <font>
      <sz val="11"/>
      <color rgb="FF00B050"/>
      <name val="Calibri"/>
      <family val="2"/>
      <scheme val="minor"/>
    </font>
    <font>
      <sz val="11"/>
      <name val="Calibri"/>
      <family val="2"/>
      <scheme val="minor"/>
    </font>
    <font>
      <sz val="8"/>
      <color indexed="81"/>
      <name val="Tahoma"/>
      <family val="2"/>
    </font>
    <font>
      <b/>
      <sz val="8"/>
      <color rgb="FF00B050"/>
      <name val="Arial"/>
      <family val="2"/>
    </font>
    <font>
      <sz val="9"/>
      <name val="Calibri"/>
      <family val="2"/>
      <scheme val="minor"/>
    </font>
    <font>
      <sz val="8"/>
      <color theme="0" tint="-0.34998626667073579"/>
      <name val="Arial"/>
      <family val="2"/>
    </font>
    <font>
      <b/>
      <sz val="10"/>
      <color theme="1"/>
      <name val="Arial"/>
      <family val="2"/>
    </font>
    <font>
      <b/>
      <sz val="8"/>
      <color theme="0" tint="-0.249977111117893"/>
      <name val="Arial"/>
      <family val="2"/>
    </font>
    <font>
      <sz val="12"/>
      <name val="Osaka"/>
      <family val="3"/>
      <charset val="128"/>
    </font>
    <font>
      <b/>
      <sz val="10"/>
      <name val="Arial"/>
      <family val="2"/>
    </font>
    <font>
      <sz val="11"/>
      <color theme="1"/>
      <name val="Arial"/>
      <family val="2"/>
    </font>
    <font>
      <sz val="10"/>
      <name val="Tahoma"/>
      <family val="2"/>
    </font>
    <font>
      <u/>
      <sz val="11"/>
      <color theme="10"/>
      <name val="Arial"/>
      <family val="2"/>
    </font>
    <font>
      <sz val="12"/>
      <name val="Times New Roman"/>
      <family val="1"/>
    </font>
    <font>
      <b/>
      <sz val="12"/>
      <name val="Arial"/>
      <family val="2"/>
    </font>
    <font>
      <sz val="8"/>
      <name val="Tms Rmn"/>
    </font>
    <font>
      <u/>
      <sz val="9"/>
      <color indexed="12"/>
      <name val="ＭＳ 明朝"/>
      <family val="1"/>
      <charset val="128"/>
    </font>
    <font>
      <u/>
      <sz val="11"/>
      <color indexed="12"/>
      <name val="ＭＳ Ｐゴシック"/>
      <family val="3"/>
      <charset val="128"/>
    </font>
    <font>
      <sz val="11"/>
      <name val="ＭＳ Ｐゴシック"/>
      <family val="3"/>
      <charset val="128"/>
    </font>
    <font>
      <sz val="8"/>
      <name val="Arial"/>
      <family val="2"/>
    </font>
    <font>
      <i/>
      <sz val="8"/>
      <color rgb="FFFF0000"/>
      <name val="Arial"/>
      <family val="2"/>
    </font>
    <font>
      <b/>
      <i/>
      <sz val="8"/>
      <color rgb="FF00B050"/>
      <name val="Arial"/>
      <family val="2"/>
    </font>
    <font>
      <b/>
      <sz val="11"/>
      <color indexed="12"/>
      <name val="Calibri"/>
      <family val="2"/>
    </font>
    <font>
      <i/>
      <sz val="9"/>
      <color rgb="FFFF0000"/>
      <name val="Arial"/>
      <family val="2"/>
    </font>
    <font>
      <b/>
      <sz val="9"/>
      <color theme="1"/>
      <name val="Arial"/>
      <family val="2"/>
    </font>
    <font>
      <sz val="10"/>
      <color rgb="FF000000"/>
      <name val="Calibri"/>
      <family val="2"/>
    </font>
    <font>
      <b/>
      <sz val="11"/>
      <color theme="1"/>
      <name val="Calibri"/>
      <family val="2"/>
    </font>
    <font>
      <b/>
      <sz val="11"/>
      <color rgb="FF000000"/>
      <name val="Calibri"/>
      <family val="2"/>
      <scheme val="minor"/>
    </font>
    <font>
      <u/>
      <sz val="8"/>
      <color theme="10"/>
      <name val="Arial"/>
      <family val="2"/>
    </font>
    <font>
      <sz val="11"/>
      <color theme="0"/>
      <name val="Calibri"/>
      <family val="2"/>
      <scheme val="minor"/>
    </font>
    <font>
      <sz val="8"/>
      <color indexed="8"/>
      <name val="Arial"/>
      <family val="2"/>
    </font>
    <font>
      <sz val="8"/>
      <color rgb="FFFF0000"/>
      <name val="Arial"/>
      <family val="2"/>
    </font>
    <font>
      <b/>
      <i/>
      <sz val="8"/>
      <color rgb="FFFF0000"/>
      <name val="Arial"/>
      <family val="2"/>
    </font>
    <font>
      <b/>
      <sz val="8"/>
      <color theme="1"/>
      <name val="Arial"/>
      <family val="2"/>
    </font>
    <font>
      <sz val="8"/>
      <color theme="1"/>
      <name val="Arial"/>
      <family val="2"/>
    </font>
    <font>
      <b/>
      <sz val="10"/>
      <color indexed="8"/>
      <name val="Arial"/>
      <family val="2"/>
    </font>
    <font>
      <i/>
      <sz val="11"/>
      <color theme="1"/>
      <name val="Calibri"/>
      <family val="2"/>
      <scheme val="minor"/>
    </font>
    <font>
      <b/>
      <i/>
      <sz val="11"/>
      <color theme="1"/>
      <name val="Calibri"/>
      <family val="2"/>
      <scheme val="minor"/>
    </font>
    <font>
      <b/>
      <sz val="8"/>
      <name val="Arial"/>
      <family val="2"/>
    </font>
    <font>
      <sz val="8"/>
      <color theme="0" tint="-0.249977111117893"/>
      <name val="Arial"/>
      <family val="2"/>
    </font>
    <font>
      <sz val="8"/>
      <color rgb="FF00B050"/>
      <name val="Arial"/>
      <family val="2"/>
    </font>
    <font>
      <b/>
      <sz val="8"/>
      <color rgb="FF00B050"/>
      <name val="Arial"/>
      <family val="2"/>
    </font>
    <font>
      <b/>
      <sz val="8"/>
      <color theme="0" tint="-0.249977111117893"/>
      <name val="Arial"/>
      <family val="2"/>
    </font>
    <font>
      <sz val="8"/>
      <color theme="0" tint="-0.249977111117893"/>
      <name val="Arial"/>
      <family val="2"/>
    </font>
    <font>
      <b/>
      <sz val="8"/>
      <color theme="1"/>
      <name val="Arial"/>
      <family val="2"/>
    </font>
    <font>
      <sz val="11"/>
      <color theme="1"/>
      <name val="Calibri"/>
      <family val="2"/>
      <scheme val="minor"/>
    </font>
    <font>
      <b/>
      <sz val="8"/>
      <color theme="1"/>
      <name val="Calibri"/>
      <family val="2"/>
      <scheme val="minor"/>
    </font>
    <font>
      <sz val="8"/>
      <color theme="0"/>
      <name val="Arial"/>
      <family val="2"/>
    </font>
    <font>
      <sz val="8"/>
      <color theme="0"/>
      <name val="Arial"/>
      <family val="2"/>
    </font>
    <font>
      <b/>
      <sz val="8"/>
      <color theme="0"/>
      <name val="Arial"/>
      <family val="2"/>
    </font>
    <font>
      <sz val="10"/>
      <name val="Arial Tur"/>
      <charset val="162"/>
    </font>
    <font>
      <sz val="8"/>
      <color theme="9" tint="-0.499984740745262"/>
      <name val="Arial"/>
      <family val="2"/>
    </font>
    <font>
      <b/>
      <sz val="10"/>
      <color theme="0"/>
      <name val="Arial"/>
      <family val="2"/>
    </font>
    <font>
      <sz val="10"/>
      <color theme="1"/>
      <name val="Wingdings"/>
      <charset val="2"/>
    </font>
    <font>
      <sz val="7"/>
      <color theme="1"/>
      <name val="Times New Roman"/>
      <family val="1"/>
    </font>
    <font>
      <sz val="10"/>
      <color theme="1"/>
      <name val="Symbol"/>
      <family val="1"/>
      <charset val="2"/>
    </font>
    <font>
      <sz val="10"/>
      <name val="Symbol"/>
      <family val="1"/>
      <charset val="2"/>
    </font>
    <font>
      <sz val="7"/>
      <name val="Times New Roman"/>
      <family val="1"/>
    </font>
    <font>
      <b/>
      <sz val="11"/>
      <color theme="0"/>
      <name val="Calibri"/>
      <family val="2"/>
      <scheme val="minor"/>
    </font>
    <font>
      <sz val="10"/>
      <name val="Verdana"/>
      <family val="2"/>
    </font>
    <font>
      <sz val="10"/>
      <name val="Trebuchet MS"/>
      <family val="2"/>
    </font>
    <font>
      <sz val="8"/>
      <color theme="5" tint="-0.249977111117893"/>
      <name val="Arial"/>
      <family val="2"/>
    </font>
    <font>
      <b/>
      <sz val="8"/>
      <color theme="5" tint="-0.249977111117893"/>
      <name val="Arial"/>
      <family val="2"/>
    </font>
    <font>
      <sz val="10"/>
      <color rgb="FFFF0000"/>
      <name val="Arial"/>
      <family val="2"/>
    </font>
    <font>
      <sz val="11"/>
      <color rgb="FFFF0000"/>
      <name val="Arial"/>
      <family val="2"/>
    </font>
    <font>
      <b/>
      <sz val="14"/>
      <color theme="1"/>
      <name val="Calibri"/>
      <family val="2"/>
      <scheme val="minor"/>
    </font>
    <font>
      <b/>
      <sz val="11"/>
      <name val="Arial"/>
      <family val="2"/>
    </font>
    <font>
      <sz val="11"/>
      <color rgb="FF00B050"/>
      <name val="Arial"/>
      <family val="2"/>
    </font>
    <font>
      <b/>
      <sz val="11"/>
      <name val="Calibri"/>
      <family val="2"/>
      <scheme val="minor"/>
    </font>
    <font>
      <sz val="10"/>
      <color rgb="FF00B050"/>
      <name val="Arial"/>
      <family val="2"/>
    </font>
    <font>
      <sz val="11"/>
      <color theme="1"/>
      <name val="Calibri"/>
      <family val="2"/>
      <scheme val="minor"/>
    </font>
    <font>
      <b/>
      <sz val="11"/>
      <color rgb="FFFF0000"/>
      <name val="Calibri"/>
      <family val="2"/>
      <scheme val="minor"/>
    </font>
    <font>
      <b/>
      <sz val="11"/>
      <color rgb="FF00B050"/>
      <name val="Calibri"/>
      <family val="2"/>
      <scheme val="minor"/>
    </font>
    <font>
      <sz val="10"/>
      <name val="Arial"/>
      <family val="2"/>
    </font>
    <font>
      <b/>
      <sz val="10"/>
      <name val="Arial CE"/>
      <charset val="238"/>
    </font>
    <font>
      <sz val="8"/>
      <name val="Arial CE"/>
      <charset val="238"/>
    </font>
    <font>
      <sz val="8"/>
      <name val="Arial CE"/>
      <family val="2"/>
      <charset val="238"/>
    </font>
    <font>
      <b/>
      <sz val="8"/>
      <name val="Arial CE"/>
      <charset val="238"/>
    </font>
    <font>
      <b/>
      <sz val="8"/>
      <name val="Arial CE"/>
      <family val="2"/>
      <charset val="238"/>
    </font>
    <font>
      <sz val="10"/>
      <color indexed="12"/>
      <name val="Arial CE"/>
      <charset val="238"/>
    </font>
    <font>
      <sz val="8"/>
      <name val="Times New Roman"/>
      <family val="1"/>
      <charset val="238"/>
    </font>
    <font>
      <sz val="8"/>
      <color indexed="12"/>
      <name val="Times New Roman"/>
      <family val="1"/>
      <charset val="238"/>
    </font>
    <font>
      <b/>
      <sz val="9"/>
      <name val="Arial CE"/>
      <charset val="238"/>
    </font>
    <font>
      <sz val="9"/>
      <color indexed="12"/>
      <name val="Arial CE"/>
      <charset val="238"/>
    </font>
    <font>
      <sz val="9"/>
      <name val="Arial CE"/>
      <charset val="238"/>
    </font>
    <font>
      <sz val="8"/>
      <color indexed="12"/>
      <name val="Arial"/>
      <family val="2"/>
      <charset val="238"/>
    </font>
  </fonts>
  <fills count="79">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4"/>
        <bgColor indexed="64"/>
      </patternFill>
    </fill>
    <fill>
      <patternFill patternType="solid">
        <fgColor rgb="FF254061"/>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31"/>
        <bgColor indexed="64"/>
      </patternFill>
    </fill>
    <fill>
      <patternFill patternType="solid">
        <fgColor indexed="9"/>
        <bgColor indexed="64"/>
      </patternFill>
    </fill>
    <fill>
      <patternFill patternType="solid">
        <fgColor indexed="43"/>
      </patternFill>
    </fill>
    <fill>
      <patternFill patternType="solid">
        <fgColor indexed="26"/>
      </patternFill>
    </fill>
    <fill>
      <patternFill patternType="solid">
        <fgColor rgb="FF92D050"/>
        <bgColor indexed="64"/>
      </patternFill>
    </fill>
    <fill>
      <patternFill patternType="solid">
        <fgColor theme="9" tint="0.79998168889431442"/>
        <bgColor indexed="64"/>
      </patternFill>
    </fill>
    <fill>
      <patternFill patternType="solid">
        <fgColor indexed="55"/>
        <bgColor indexed="64"/>
      </patternFill>
    </fill>
    <fill>
      <patternFill patternType="solid">
        <fgColor theme="6" tint="0.79998168889431442"/>
        <bgColor indexed="64"/>
      </patternFill>
    </fill>
    <fill>
      <patternFill patternType="solid">
        <fgColor rgb="FFFFFF00"/>
        <bgColor indexed="64"/>
      </patternFill>
    </fill>
    <fill>
      <patternFill patternType="solid">
        <fgColor rgb="FF969696"/>
        <bgColor rgb="FF000000"/>
      </patternFill>
    </fill>
    <fill>
      <patternFill patternType="solid">
        <fgColor theme="0"/>
        <bgColor rgb="FF000000"/>
      </patternFill>
    </fill>
    <fill>
      <patternFill patternType="solid">
        <fgColor indexed="65"/>
        <bgColor indexed="64"/>
      </patternFill>
    </fill>
    <fill>
      <patternFill patternType="solid">
        <fgColor indexed="20"/>
      </patternFill>
    </fill>
    <fill>
      <patternFill patternType="solid">
        <fgColor indexed="23"/>
      </patternFill>
    </fill>
    <fill>
      <patternFill patternType="solid">
        <fgColor indexed="21"/>
      </patternFill>
    </fill>
    <fill>
      <patternFill patternType="solid">
        <fgColor rgb="FFFFC000"/>
        <bgColor indexed="64"/>
      </patternFill>
    </fill>
    <fill>
      <patternFill patternType="solid">
        <fgColor rgb="FFFF0000"/>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7" tint="-0.249977111117893"/>
        <bgColor indexed="64"/>
      </patternFill>
    </fill>
    <fill>
      <patternFill patternType="solid">
        <fgColor rgb="FF00B050"/>
        <bgColor indexed="64"/>
      </patternFill>
    </fill>
    <fill>
      <patternFill patternType="solid">
        <fgColor theme="6" tint="0.59999389629810485"/>
        <bgColor indexed="64"/>
      </patternFill>
    </fill>
    <fill>
      <patternFill patternType="solid">
        <fgColor theme="2" tint="-9.9978637043366805E-2"/>
        <bgColor indexed="64"/>
      </patternFill>
    </fill>
    <fill>
      <patternFill patternType="solid">
        <fgColor rgb="FFFDE9D9"/>
        <bgColor rgb="FF000000"/>
      </patternFill>
    </fill>
    <fill>
      <patternFill patternType="solid">
        <fgColor theme="4"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1" tint="0.14999847407452621"/>
        <bgColor indexed="64"/>
      </patternFill>
    </fill>
    <fill>
      <patternFill patternType="solid">
        <fgColor rgb="FF002060"/>
        <bgColor indexed="64"/>
      </patternFill>
    </fill>
    <fill>
      <patternFill patternType="solid">
        <fgColor theme="4" tint="-0.249977111117893"/>
        <bgColor indexed="64"/>
      </patternFill>
    </fill>
    <fill>
      <patternFill patternType="solid">
        <fgColor theme="4" tint="0.59999389629810485"/>
        <bgColor indexed="64"/>
      </patternFill>
    </fill>
    <fill>
      <patternFill patternType="solid">
        <fgColor theme="1" tint="4.9989318521683403E-2"/>
        <bgColor indexed="64"/>
      </patternFill>
    </fill>
    <fill>
      <patternFill patternType="solid">
        <fgColor theme="1" tint="0.249977111117893"/>
        <bgColor indexed="64"/>
      </patternFill>
    </fill>
    <fill>
      <patternFill patternType="solid">
        <fgColor theme="2" tint="-0.249977111117893"/>
        <bgColor indexed="64"/>
      </patternFill>
    </fill>
    <fill>
      <patternFill patternType="solid">
        <fgColor theme="5" tint="0.39997558519241921"/>
        <bgColor indexed="64"/>
      </patternFill>
    </fill>
    <fill>
      <patternFill patternType="solid">
        <fgColor indexed="44"/>
        <bgColor indexed="64"/>
      </patternFill>
    </fill>
    <fill>
      <patternFill patternType="solid">
        <fgColor theme="6" tint="0.39997558519241921"/>
        <bgColor indexed="64"/>
      </patternFill>
    </fill>
    <fill>
      <patternFill patternType="solid">
        <fgColor rgb="FFFFFF00"/>
        <bgColor rgb="FF000000"/>
      </patternFill>
    </fill>
  </fills>
  <borders count="24">
    <border>
      <left/>
      <right/>
      <top/>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style="thin">
        <color indexed="64"/>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top/>
      <bottom style="thin">
        <color indexed="50"/>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9"/>
      </left>
      <right style="thin">
        <color indexed="9"/>
      </right>
      <top style="thin">
        <color indexed="9"/>
      </top>
      <bottom style="thin">
        <color indexed="9"/>
      </bottom>
      <diagonal/>
    </border>
    <border>
      <left/>
      <right/>
      <top style="thin">
        <color indexed="9"/>
      </top>
      <bottom style="thin">
        <color indexed="9"/>
      </bottom>
      <diagonal/>
    </border>
    <border>
      <left/>
      <right style="thick">
        <color indexed="64"/>
      </right>
      <top/>
      <bottom/>
      <diagonal/>
    </border>
    <border>
      <left style="thin">
        <color indexed="8"/>
      </left>
      <right style="thin">
        <color indexed="8"/>
      </right>
      <top style="thin">
        <color indexed="8"/>
      </top>
      <bottom style="thin">
        <color indexed="8"/>
      </bottom>
      <diagonal/>
    </border>
    <border>
      <left style="thin">
        <color indexed="8"/>
      </left>
      <right style="thin">
        <color indexed="8"/>
      </right>
      <top/>
      <bottom/>
      <diagonal/>
    </border>
    <border>
      <left style="thin">
        <color indexed="8"/>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9433">
    <xf numFmtId="0" fontId="0" fillId="0" borderId="0"/>
    <xf numFmtId="0" fontId="6" fillId="0" borderId="0"/>
    <xf numFmtId="0" fontId="7" fillId="0" borderId="0" applyNumberFormat="0" applyFill="0" applyBorder="0" applyAlignment="0" applyProtection="0">
      <alignment vertical="top"/>
      <protection locked="0"/>
    </xf>
    <xf numFmtId="9" fontId="10" fillId="0" borderId="0" applyFont="0" applyFill="0" applyBorder="0" applyAlignment="0" applyProtection="0"/>
    <xf numFmtId="43" fontId="10" fillId="0" borderId="0" applyFont="0" applyFill="0" applyBorder="0" applyAlignment="0" applyProtection="0"/>
    <xf numFmtId="0" fontId="6" fillId="0" borderId="0"/>
    <xf numFmtId="0" fontId="14" fillId="0" borderId="0"/>
    <xf numFmtId="0" fontId="14" fillId="0" borderId="0"/>
    <xf numFmtId="0" fontId="14" fillId="0" borderId="0"/>
    <xf numFmtId="0" fontId="14" fillId="0" borderId="0"/>
    <xf numFmtId="0" fontId="14" fillId="0" borderId="0"/>
    <xf numFmtId="0" fontId="6"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6" fillId="0" borderId="0">
      <alignment horizontal="left" wrapText="1"/>
    </xf>
    <xf numFmtId="0" fontId="6" fillId="0" borderId="0"/>
    <xf numFmtId="0" fontId="6" fillId="0" borderId="0">
      <alignment horizontal="left" wrapText="1"/>
    </xf>
    <xf numFmtId="0" fontId="6" fillId="0" borderId="0"/>
    <xf numFmtId="0" fontId="6" fillId="0" borderId="0"/>
    <xf numFmtId="0" fontId="6" fillId="0" borderId="0"/>
    <xf numFmtId="0" fontId="6" fillId="0" borderId="0"/>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xf numFmtId="0" fontId="6" fillId="0" borderId="0"/>
    <xf numFmtId="0" fontId="6" fillId="0" borderId="0"/>
    <xf numFmtId="0" fontId="6" fillId="0" borderId="0"/>
    <xf numFmtId="0" fontId="6" fillId="0" borderId="0">
      <alignment horizontal="left" wrapText="1"/>
    </xf>
    <xf numFmtId="0" fontId="8" fillId="0" borderId="0" applyFill="0" applyBorder="0">
      <alignment vertical="center"/>
    </xf>
    <xf numFmtId="165" fontId="15" fillId="0" borderId="0">
      <protection locked="0"/>
    </xf>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0" fillId="7"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0" fillId="7"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0" fillId="7"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0" fillId="7"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0" fillId="7"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0" fillId="9"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0" fillId="9"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0" fillId="9"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0" fillId="9"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0" fillId="9"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0" fillId="11"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0" fillId="11"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0" fillId="11"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0" fillId="11"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0" fillId="11" borderId="0" applyNumberFormat="0" applyBorder="0" applyAlignment="0" applyProtection="0"/>
    <xf numFmtId="0" fontId="10" fillId="11"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0" fillId="11" borderId="0" applyNumberFormat="0" applyBorder="0" applyAlignment="0" applyProtection="0"/>
    <xf numFmtId="0" fontId="10" fillId="11"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0" fillId="11" borderId="0" applyNumberFormat="0" applyBorder="0" applyAlignment="0" applyProtection="0"/>
    <xf numFmtId="0" fontId="10" fillId="11"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0" fillId="11" borderId="0" applyNumberFormat="0" applyBorder="0" applyAlignment="0" applyProtection="0"/>
    <xf numFmtId="0" fontId="10" fillId="11"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0" fillId="11"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3"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3"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3"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3"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3"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0" fillId="1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0" fillId="1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0" fillId="1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0" fillId="1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0" fillId="1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0" fillId="17"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0" fillId="17"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0" fillId="17"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0" fillId="17"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0" fillId="17"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8"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8"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8"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8"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8"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0" fillId="10"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0" fillId="10"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0" fillId="10"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0" fillId="10"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0" fillId="10"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0" fillId="12"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0" fillId="12"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0" fillId="12"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0" fillId="12"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0" fillId="12"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16"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16"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16"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16"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16"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0" fillId="18"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0" fillId="18"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0" fillId="18"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0" fillId="18"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0" fillId="18"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6" fillId="31" borderId="0" applyNumberFormat="0" applyBorder="0" applyAlignment="0" applyProtection="0"/>
    <xf numFmtId="0" fontId="16" fillId="28" borderId="0" applyNumberFormat="0" applyBorder="0" applyAlignment="0" applyProtection="0"/>
    <xf numFmtId="0" fontId="16" fillId="29" borderId="0" applyNumberFormat="0" applyBorder="0" applyAlignment="0" applyProtection="0"/>
    <xf numFmtId="0" fontId="16" fillId="32" borderId="0" applyNumberFormat="0" applyBorder="0" applyAlignment="0" applyProtection="0"/>
    <xf numFmtId="0" fontId="16" fillId="33"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7" borderId="0" applyNumberFormat="0" applyBorder="0" applyAlignment="0" applyProtection="0"/>
    <xf numFmtId="0" fontId="16" fillId="32" borderId="0" applyNumberFormat="0" applyBorder="0" applyAlignment="0" applyProtection="0"/>
    <xf numFmtId="0" fontId="16" fillId="33" borderId="0" applyNumberFormat="0" applyBorder="0" applyAlignment="0" applyProtection="0"/>
    <xf numFmtId="0" fontId="16" fillId="38" borderId="0" applyNumberFormat="0" applyBorder="0" applyAlignment="0" applyProtection="0"/>
    <xf numFmtId="165" fontId="15" fillId="0" borderId="0">
      <protection locked="0"/>
    </xf>
    <xf numFmtId="165" fontId="15" fillId="0" borderId="0">
      <protection locked="0"/>
    </xf>
    <xf numFmtId="165" fontId="15" fillId="0" borderId="0">
      <protection locked="0"/>
    </xf>
    <xf numFmtId="165" fontId="15" fillId="0" borderId="0">
      <protection locked="0"/>
    </xf>
    <xf numFmtId="0" fontId="17" fillId="22" borderId="0" applyNumberFormat="0" applyBorder="0" applyAlignment="0" applyProtection="0"/>
    <xf numFmtId="43" fontId="6" fillId="0" borderId="0" applyFont="0" applyFill="0" applyBorder="0" applyAlignment="0" applyProtection="0"/>
    <xf numFmtId="165" fontId="15" fillId="0" borderId="0">
      <protection locked="0"/>
    </xf>
    <xf numFmtId="0" fontId="18" fillId="0" borderId="0">
      <alignment vertical="center"/>
    </xf>
    <xf numFmtId="0" fontId="19" fillId="0" borderId="0">
      <alignment horizontal="right"/>
    </xf>
    <xf numFmtId="0" fontId="20" fillId="0" borderId="0"/>
    <xf numFmtId="0" fontId="21" fillId="0" borderId="0"/>
    <xf numFmtId="0" fontId="22" fillId="0" borderId="0"/>
    <xf numFmtId="0" fontId="23" fillId="0" borderId="5" applyNumberFormat="0" applyAlignment="0"/>
    <xf numFmtId="0" fontId="24" fillId="0" borderId="0" applyAlignment="0">
      <alignment horizontal="left"/>
    </xf>
    <xf numFmtId="0" fontId="24" fillId="0" borderId="0">
      <alignment horizontal="right"/>
    </xf>
    <xf numFmtId="166" fontId="24" fillId="0" borderId="0">
      <alignment horizontal="right"/>
    </xf>
    <xf numFmtId="166" fontId="22" fillId="0" borderId="0">
      <alignment horizontal="right"/>
    </xf>
    <xf numFmtId="167" fontId="25" fillId="0" borderId="0">
      <alignment horizontal="right"/>
    </xf>
    <xf numFmtId="0" fontId="26" fillId="0" borderId="0"/>
    <xf numFmtId="2" fontId="25" fillId="0" borderId="0">
      <alignment horizontal="right"/>
    </xf>
    <xf numFmtId="0" fontId="27" fillId="39" borderId="6" applyNumberFormat="0" applyAlignment="0" applyProtection="0"/>
    <xf numFmtId="0" fontId="28" fillId="40" borderId="7" applyNumberFormat="0" applyAlignment="0" applyProtection="0"/>
    <xf numFmtId="0" fontId="29" fillId="41" borderId="2">
      <alignment horizontal="left" vertical="center" indent="1"/>
    </xf>
    <xf numFmtId="0" fontId="29" fillId="42" borderId="2">
      <alignment horizontal="left" vertical="center" indent="1"/>
    </xf>
    <xf numFmtId="41" fontId="6" fillId="0" borderId="0" applyFill="0" applyBorder="0" applyAlignment="0" applyProtection="0"/>
    <xf numFmtId="41" fontId="14" fillId="0" borderId="0" applyFont="0" applyFill="0" applyBorder="0" applyAlignment="0" applyProtection="0"/>
    <xf numFmtId="43" fontId="14" fillId="0" borderId="0" applyFont="0" applyFill="0" applyBorder="0" applyAlignment="0" applyProtection="0"/>
    <xf numFmtId="168" fontId="6" fillId="0" borderId="0" applyFont="0" applyFill="0" applyBorder="0" applyAlignment="0" applyProtection="0"/>
    <xf numFmtId="169" fontId="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69" fontId="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69" fontId="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69" fontId="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70" fontId="30" fillId="0" borderId="0" applyFont="0" applyFill="0" applyBorder="0" applyAlignment="0" applyProtection="0"/>
    <xf numFmtId="170" fontId="30" fillId="0" borderId="0" applyFont="0" applyFill="0" applyBorder="0" applyAlignment="0" applyProtection="0"/>
    <xf numFmtId="43" fontId="14" fillId="0" borderId="0" applyFont="0" applyFill="0" applyBorder="0" applyAlignment="0" applyProtection="0"/>
    <xf numFmtId="170" fontId="30" fillId="0" borderId="0" applyFont="0" applyFill="0" applyBorder="0" applyAlignment="0" applyProtection="0"/>
    <xf numFmtId="170" fontId="30" fillId="0" borderId="0" applyFont="0" applyFill="0" applyBorder="0" applyAlignment="0" applyProtection="0"/>
    <xf numFmtId="43" fontId="14" fillId="0" borderId="0" applyFont="0" applyFill="0" applyBorder="0" applyAlignment="0" applyProtection="0"/>
    <xf numFmtId="170" fontId="30" fillId="0" borderId="0" applyFont="0" applyFill="0" applyBorder="0" applyAlignment="0" applyProtection="0"/>
    <xf numFmtId="170" fontId="30" fillId="0" borderId="0" applyFont="0" applyFill="0" applyBorder="0" applyAlignment="0" applyProtection="0"/>
    <xf numFmtId="43" fontId="14" fillId="0" borderId="0" applyFont="0" applyFill="0" applyBorder="0" applyAlignment="0" applyProtection="0"/>
    <xf numFmtId="170" fontId="30" fillId="0" borderId="0" applyFont="0" applyFill="0" applyBorder="0" applyAlignment="0" applyProtection="0"/>
    <xf numFmtId="170" fontId="30" fillId="0" borderId="0" applyFont="0" applyFill="0" applyBorder="0" applyAlignment="0" applyProtection="0"/>
    <xf numFmtId="43" fontId="14" fillId="0" borderId="0" applyFont="0" applyFill="0" applyBorder="0" applyAlignment="0" applyProtection="0"/>
    <xf numFmtId="170" fontId="30" fillId="0" borderId="0" applyFont="0" applyFill="0" applyBorder="0" applyAlignment="0" applyProtection="0"/>
    <xf numFmtId="170" fontId="30"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71" fontId="14" fillId="0" borderId="0" applyFill="0" applyBorder="0" applyAlignment="0" applyProtection="0"/>
    <xf numFmtId="171" fontId="14" fillId="0" borderId="0" applyFill="0" applyBorder="0" applyAlignment="0" applyProtection="0"/>
    <xf numFmtId="171" fontId="14" fillId="0" borderId="0" applyFill="0" applyBorder="0" applyAlignment="0" applyProtection="0"/>
    <xf numFmtId="171" fontId="14" fillId="0" borderId="0" applyFill="0" applyBorder="0" applyAlignment="0" applyProtection="0"/>
    <xf numFmtId="170" fontId="30" fillId="0" borderId="0" applyFont="0" applyFill="0" applyBorder="0" applyAlignment="0" applyProtection="0"/>
    <xf numFmtId="43" fontId="10" fillId="0" borderId="0" applyFont="0" applyFill="0" applyBorder="0" applyAlignment="0" applyProtection="0"/>
    <xf numFmtId="170" fontId="31" fillId="0" borderId="0" applyFont="0" applyFill="0" applyBorder="0" applyAlignment="0" applyProtection="0"/>
    <xf numFmtId="170" fontId="30" fillId="0" borderId="0" applyFont="0" applyFill="0" applyBorder="0" applyAlignment="0" applyProtection="0"/>
    <xf numFmtId="170" fontId="3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70" fontId="31" fillId="0" borderId="0" applyFont="0" applyFill="0" applyBorder="0" applyAlignment="0" applyProtection="0"/>
    <xf numFmtId="170" fontId="30" fillId="0" borderId="0" applyFont="0" applyFill="0" applyBorder="0" applyAlignment="0" applyProtection="0"/>
    <xf numFmtId="170" fontId="30" fillId="0" borderId="0" applyFont="0" applyFill="0" applyBorder="0" applyAlignment="0" applyProtection="0"/>
    <xf numFmtId="170" fontId="31" fillId="0" borderId="0" applyFont="0" applyFill="0" applyBorder="0" applyAlignment="0" applyProtection="0"/>
    <xf numFmtId="170" fontId="30" fillId="0" borderId="0" applyFont="0" applyFill="0" applyBorder="0" applyAlignment="0" applyProtection="0"/>
    <xf numFmtId="170" fontId="30" fillId="0" borderId="0" applyFont="0" applyFill="0" applyBorder="0" applyAlignment="0" applyProtection="0"/>
    <xf numFmtId="170" fontId="31" fillId="0" borderId="0" applyFont="0" applyFill="0" applyBorder="0" applyAlignment="0" applyProtection="0"/>
    <xf numFmtId="170" fontId="30" fillId="0" borderId="0" applyFont="0" applyFill="0" applyBorder="0" applyAlignment="0" applyProtection="0"/>
    <xf numFmtId="170" fontId="30" fillId="0" borderId="0" applyFont="0" applyFill="0" applyBorder="0" applyAlignment="0" applyProtection="0"/>
    <xf numFmtId="170" fontId="3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70" fontId="31" fillId="0" borderId="0" applyFont="0" applyFill="0" applyBorder="0" applyAlignment="0" applyProtection="0"/>
    <xf numFmtId="170" fontId="30" fillId="0" borderId="0" applyFont="0" applyFill="0" applyBorder="0" applyAlignment="0" applyProtection="0"/>
    <xf numFmtId="170" fontId="30" fillId="0" borderId="0" applyFont="0" applyFill="0" applyBorder="0" applyAlignment="0" applyProtection="0"/>
    <xf numFmtId="170" fontId="31" fillId="0" borderId="0" applyFont="0" applyFill="0" applyBorder="0" applyAlignment="0" applyProtection="0"/>
    <xf numFmtId="170" fontId="30" fillId="0" borderId="0" applyFont="0" applyFill="0" applyBorder="0" applyAlignment="0" applyProtection="0"/>
    <xf numFmtId="170" fontId="30" fillId="0" borderId="0" applyFont="0" applyFill="0" applyBorder="0" applyAlignment="0" applyProtection="0"/>
    <xf numFmtId="170" fontId="31" fillId="0" borderId="0" applyFont="0" applyFill="0" applyBorder="0" applyAlignment="0" applyProtection="0"/>
    <xf numFmtId="170" fontId="30" fillId="0" borderId="0" applyFont="0" applyFill="0" applyBorder="0" applyAlignment="0" applyProtection="0"/>
    <xf numFmtId="170" fontId="30" fillId="0" borderId="0" applyFont="0" applyFill="0" applyBorder="0" applyAlignment="0" applyProtection="0"/>
    <xf numFmtId="170" fontId="31" fillId="0" borderId="0" applyFont="0" applyFill="0" applyBorder="0" applyAlignment="0" applyProtection="0"/>
    <xf numFmtId="170" fontId="30" fillId="0" borderId="0" applyFont="0" applyFill="0" applyBorder="0" applyAlignment="0" applyProtection="0"/>
    <xf numFmtId="170" fontId="3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70" fontId="30" fillId="0" borderId="0" applyFont="0" applyFill="0" applyBorder="0" applyAlignment="0" applyProtection="0"/>
    <xf numFmtId="170" fontId="30"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70" fontId="30" fillId="0" borderId="0" applyFont="0" applyFill="0" applyBorder="0" applyAlignment="0" applyProtection="0"/>
    <xf numFmtId="170" fontId="3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70" fontId="30" fillId="0" borderId="0" applyFont="0" applyFill="0" applyBorder="0" applyAlignment="0" applyProtection="0"/>
    <xf numFmtId="170" fontId="3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8" fontId="6" fillId="0" borderId="0" applyFont="0" applyFill="0" applyBorder="0" applyAlignment="0" applyProtection="0"/>
    <xf numFmtId="169" fontId="6" fillId="0" borderId="0" applyFont="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169" fontId="6"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69" fontId="6"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69" fontId="6"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69" fontId="6"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69" fontId="6"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43" fontId="6" fillId="0" borderId="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43" fontId="6" fillId="0" borderId="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43" fontId="6" fillId="0" borderId="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169" fontId="6" fillId="0" borderId="0" applyFont="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169" fontId="6" fillId="0" borderId="0" applyFont="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169" fontId="6" fillId="0" borderId="0" applyFont="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170" fontId="31" fillId="0" borderId="0" applyFont="0" applyFill="0" applyBorder="0" applyAlignment="0" applyProtection="0"/>
    <xf numFmtId="170" fontId="30" fillId="0" borderId="0" applyFont="0" applyFill="0" applyBorder="0" applyAlignment="0" applyProtection="0"/>
    <xf numFmtId="170" fontId="3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4" fontId="6" fillId="0" borderId="0" applyFill="0" applyBorder="0" applyAlignment="0" applyProtection="0"/>
    <xf numFmtId="44" fontId="14" fillId="0" borderId="0" applyFont="0" applyFill="0" applyBorder="0" applyAlignment="0" applyProtection="0"/>
    <xf numFmtId="172" fontId="8" fillId="0" borderId="0" applyFont="0" applyFill="0" applyBorder="0" applyAlignment="0" applyProtection="0"/>
    <xf numFmtId="0" fontId="14" fillId="0" borderId="0"/>
    <xf numFmtId="0" fontId="32" fillId="0" borderId="0" applyNumberFormat="0" applyFill="0" applyBorder="0" applyAlignment="0" applyProtection="0"/>
    <xf numFmtId="0" fontId="33" fillId="23" borderId="0" applyNumberFormat="0" applyBorder="0" applyAlignment="0" applyProtection="0"/>
    <xf numFmtId="0" fontId="9" fillId="0" borderId="0" applyNumberFormat="0" applyFill="0" applyBorder="0" applyProtection="0"/>
    <xf numFmtId="0" fontId="34" fillId="0" borderId="8" applyNumberFormat="0" applyFill="0" applyAlignment="0" applyProtection="0"/>
    <xf numFmtId="0" fontId="35" fillId="0" borderId="9" applyNumberFormat="0" applyFill="0" applyAlignment="0" applyProtection="0"/>
    <xf numFmtId="0" fontId="36" fillId="0" borderId="10" applyNumberFormat="0" applyFill="0" applyAlignment="0" applyProtection="0"/>
    <xf numFmtId="0" fontId="36" fillId="0" borderId="0" applyNumberFormat="0" applyFill="0" applyBorder="0" applyAlignment="0" applyProtection="0"/>
    <xf numFmtId="0" fontId="37" fillId="0" borderId="0" applyNumberFormat="0" applyFill="0" applyBorder="0" applyAlignment="0" applyProtection="0">
      <alignment vertical="top"/>
      <protection locked="0"/>
    </xf>
    <xf numFmtId="0" fontId="38" fillId="0" borderId="0" applyNumberFormat="0" applyFill="0" applyBorder="0" applyAlignment="0" applyProtection="0">
      <alignment vertical="top"/>
      <protection locked="0"/>
    </xf>
    <xf numFmtId="0" fontId="38" fillId="0" borderId="0" applyNumberFormat="0" applyFill="0" applyBorder="0" applyAlignment="0" applyProtection="0">
      <alignment vertical="top"/>
      <protection locked="0"/>
    </xf>
    <xf numFmtId="0" fontId="7" fillId="0" borderId="0" applyNumberFormat="0" applyFill="0" applyBorder="0" applyAlignment="0" applyProtection="0">
      <alignment vertical="top"/>
      <protection locked="0"/>
    </xf>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7" fillId="0" borderId="0" applyNumberFormat="0" applyFill="0" applyBorder="0" applyAlignment="0" applyProtection="0">
      <alignment vertical="top"/>
      <protection locked="0"/>
    </xf>
    <xf numFmtId="0" fontId="7" fillId="0" borderId="0" applyNumberFormat="0" applyFill="0" applyBorder="0" applyAlignment="0" applyProtection="0">
      <alignment vertical="top"/>
      <protection locked="0"/>
    </xf>
    <xf numFmtId="0" fontId="7" fillId="0" borderId="0" applyNumberFormat="0" applyFill="0" applyBorder="0" applyAlignment="0" applyProtection="0">
      <alignment vertical="top"/>
      <protection locked="0"/>
    </xf>
    <xf numFmtId="0" fontId="38" fillId="0" borderId="0" applyNumberFormat="0" applyFill="0" applyBorder="0" applyAlignment="0" applyProtection="0">
      <alignment vertical="top"/>
      <protection locked="0"/>
    </xf>
    <xf numFmtId="0" fontId="7" fillId="0" borderId="0" applyNumberFormat="0" applyFill="0" applyBorder="0" applyAlignment="0" applyProtection="0">
      <alignment vertical="top"/>
      <protection locked="0"/>
    </xf>
    <xf numFmtId="0" fontId="7" fillId="0" borderId="0" applyNumberFormat="0" applyFill="0" applyBorder="0" applyAlignment="0" applyProtection="0">
      <alignment vertical="top"/>
      <protection locked="0"/>
    </xf>
    <xf numFmtId="0" fontId="38" fillId="0" borderId="0" applyNumberFormat="0" applyFill="0" applyBorder="0" applyAlignment="0" applyProtection="0">
      <alignment vertical="top"/>
      <protection locked="0"/>
    </xf>
    <xf numFmtId="0" fontId="7" fillId="0" borderId="0" applyNumberFormat="0" applyFill="0" applyBorder="0" applyAlignment="0" applyProtection="0">
      <alignment vertical="top"/>
      <protection locked="0"/>
    </xf>
    <xf numFmtId="0" fontId="7" fillId="0" borderId="0" applyNumberFormat="0" applyFill="0" applyBorder="0" applyAlignment="0" applyProtection="0">
      <alignment vertical="top"/>
      <protection locked="0"/>
    </xf>
    <xf numFmtId="0" fontId="38" fillId="0" borderId="0" applyNumberFormat="0" applyFill="0" applyBorder="0" applyAlignment="0" applyProtection="0">
      <alignment vertical="top"/>
      <protection locked="0"/>
    </xf>
    <xf numFmtId="0" fontId="7" fillId="0" borderId="0" applyNumberFormat="0" applyFill="0" applyBorder="0" applyAlignment="0" applyProtection="0">
      <alignment vertical="top"/>
      <protection locked="0"/>
    </xf>
    <xf numFmtId="0" fontId="7" fillId="0" borderId="0" applyNumberFormat="0" applyFill="0" applyBorder="0" applyAlignment="0" applyProtection="0">
      <alignment vertical="top"/>
      <protection locked="0"/>
    </xf>
    <xf numFmtId="0" fontId="38" fillId="0" borderId="0" applyNumberFormat="0" applyFill="0" applyBorder="0" applyAlignment="0" applyProtection="0">
      <alignment vertical="top"/>
      <protection locked="0"/>
    </xf>
    <xf numFmtId="0" fontId="7" fillId="0" borderId="0" applyNumberFormat="0" applyFill="0" applyBorder="0" applyAlignment="0" applyProtection="0">
      <alignment vertical="top"/>
      <protection locked="0"/>
    </xf>
    <xf numFmtId="0" fontId="7" fillId="0" borderId="0" applyNumberFormat="0" applyFill="0" applyBorder="0" applyAlignment="0" applyProtection="0">
      <alignment vertical="top"/>
      <protection locked="0"/>
    </xf>
    <xf numFmtId="0" fontId="38" fillId="0" borderId="0" applyNumberFormat="0" applyFill="0" applyBorder="0" applyAlignment="0" applyProtection="0">
      <alignment vertical="top"/>
      <protection locked="0"/>
    </xf>
    <xf numFmtId="0" fontId="38" fillId="0" borderId="0" applyNumberFormat="0" applyFill="0" applyBorder="0" applyAlignment="0" applyProtection="0">
      <alignment vertical="top"/>
      <protection locked="0"/>
    </xf>
    <xf numFmtId="0" fontId="38" fillId="0" borderId="0" applyNumberFormat="0" applyFill="0" applyBorder="0" applyAlignment="0" applyProtection="0">
      <alignment vertical="top"/>
      <protection locked="0"/>
    </xf>
    <xf numFmtId="0" fontId="39" fillId="0" borderId="0" applyNumberFormat="0" applyFill="0" applyBorder="0" applyAlignment="0" applyProtection="0">
      <alignment vertical="top"/>
      <protection locked="0"/>
    </xf>
    <xf numFmtId="0" fontId="40" fillId="0" borderId="0" applyNumberFormat="0" applyFill="0" applyBorder="0" applyAlignment="0" applyProtection="0">
      <alignment vertical="top"/>
      <protection locked="0"/>
    </xf>
    <xf numFmtId="0" fontId="41" fillId="26" borderId="6" applyNumberFormat="0" applyAlignment="0" applyProtection="0"/>
    <xf numFmtId="0" fontId="42" fillId="0" borderId="11" applyNumberFormat="0" applyFill="0" applyAlignment="0" applyProtection="0"/>
    <xf numFmtId="173" fontId="43" fillId="0" borderId="0" applyNumberFormat="0" applyBorder="0" applyAlignment="0">
      <alignment horizontal="left" vertical="center"/>
    </xf>
    <xf numFmtId="168" fontId="6" fillId="0" borderId="0" applyFont="0" applyFill="0" applyBorder="0" applyAlignment="0" applyProtection="0"/>
    <xf numFmtId="0" fontId="44" fillId="43" borderId="0" applyNumberFormat="0" applyBorder="0" applyAlignment="0" applyProtection="0"/>
    <xf numFmtId="0" fontId="45" fillId="0" borderId="0"/>
    <xf numFmtId="0" fontId="46" fillId="0" borderId="0"/>
    <xf numFmtId="0" fontId="46" fillId="0" borderId="0"/>
    <xf numFmtId="0" fontId="46" fillId="0" borderId="0"/>
    <xf numFmtId="0" fontId="46" fillId="0" borderId="0"/>
    <xf numFmtId="0" fontId="45" fillId="0" borderId="0"/>
    <xf numFmtId="0" fontId="45" fillId="0" borderId="0"/>
    <xf numFmtId="0" fontId="45" fillId="0" borderId="0"/>
    <xf numFmtId="0" fontId="45" fillId="0" borderId="0"/>
    <xf numFmtId="0" fontId="45" fillId="0" borderId="0"/>
    <xf numFmtId="0" fontId="45" fillId="0" borderId="0"/>
    <xf numFmtId="0" fontId="46" fillId="0" borderId="0"/>
    <xf numFmtId="0" fontId="30" fillId="0" borderId="0"/>
    <xf numFmtId="0" fontId="30"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6" fillId="0" borderId="0" applyNumberForma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6" fillId="0" borderId="0"/>
    <xf numFmtId="0" fontId="46" fillId="0" borderId="0"/>
    <xf numFmtId="0" fontId="46" fillId="0" borderId="0"/>
    <xf numFmtId="0" fontId="46" fillId="0" borderId="0"/>
    <xf numFmtId="0" fontId="46" fillId="0" borderId="0"/>
    <xf numFmtId="0" fontId="4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applyNumberForma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applyNumberForma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applyNumberForma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applyNumberForma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applyNumberForma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4" fillId="0" borderId="0"/>
    <xf numFmtId="0" fontId="14" fillId="0" borderId="0"/>
    <xf numFmtId="0" fontId="14" fillId="0" borderId="0"/>
    <xf numFmtId="0" fontId="14" fillId="0" borderId="0"/>
    <xf numFmtId="0" fontId="6" fillId="0" borderId="0"/>
    <xf numFmtId="0" fontId="6"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14" fillId="0" borderId="0"/>
    <xf numFmtId="0" fontId="47"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47" fillId="0" borderId="0"/>
    <xf numFmtId="0" fontId="47" fillId="0" borderId="0"/>
    <xf numFmtId="0" fontId="47" fillId="0" borderId="0"/>
    <xf numFmtId="0" fontId="6" fillId="0" borderId="0"/>
    <xf numFmtId="0" fontId="6" fillId="0" borderId="0"/>
    <xf numFmtId="0" fontId="14"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4"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46" fillId="0" borderId="0"/>
    <xf numFmtId="0" fontId="4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applyNumberForma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applyNumberForma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48"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6" fillId="0" borderId="0"/>
    <xf numFmtId="0" fontId="6" fillId="0" borderId="0"/>
    <xf numFmtId="0" fontId="49" fillId="0" borderId="0"/>
    <xf numFmtId="0" fontId="6" fillId="0" borderId="0"/>
    <xf numFmtId="0" fontId="10" fillId="0" borderId="0"/>
    <xf numFmtId="0" fontId="14" fillId="0" borderId="0"/>
    <xf numFmtId="0" fontId="14" fillId="0" borderId="0"/>
    <xf numFmtId="0" fontId="14" fillId="0" borderId="0"/>
    <xf numFmtId="0" fontId="14" fillId="0" borderId="0"/>
    <xf numFmtId="0" fontId="49" fillId="0" borderId="0"/>
    <xf numFmtId="0" fontId="49" fillId="0" borderId="0"/>
    <xf numFmtId="0" fontId="49" fillId="0" borderId="0"/>
    <xf numFmtId="0" fontId="49" fillId="0" borderId="0"/>
    <xf numFmtId="0" fontId="49" fillId="0" borderId="0"/>
    <xf numFmtId="0" fontId="49" fillId="0" borderId="0"/>
    <xf numFmtId="0" fontId="6" fillId="0" borderId="0"/>
    <xf numFmtId="0" fontId="6" fillId="0" borderId="0"/>
    <xf numFmtId="0" fontId="6" fillId="0" borderId="0"/>
    <xf numFmtId="0" fontId="6" fillId="0" borderId="0"/>
    <xf numFmtId="0" fontId="30" fillId="0" borderId="0"/>
    <xf numFmtId="0" fontId="30" fillId="0" borderId="0"/>
    <xf numFmtId="0" fontId="6" fillId="0" borderId="0"/>
    <xf numFmtId="0" fontId="6" fillId="0" borderId="0"/>
    <xf numFmtId="0" fontId="6" fillId="0" borderId="0"/>
    <xf numFmtId="0" fontId="6" fillId="0" borderId="0"/>
    <xf numFmtId="0" fontId="50"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30" fillId="0" borderId="0"/>
    <xf numFmtId="0" fontId="30" fillId="0" borderId="0"/>
    <xf numFmtId="0" fontId="6" fillId="0" borderId="0"/>
    <xf numFmtId="0" fontId="30" fillId="0" borderId="0"/>
    <xf numFmtId="0" fontId="30" fillId="0" borderId="0"/>
    <xf numFmtId="0" fontId="6" fillId="0" borderId="0"/>
    <xf numFmtId="0" fontId="30" fillId="0" borderId="0"/>
    <xf numFmtId="0" fontId="30" fillId="0" borderId="0"/>
    <xf numFmtId="0" fontId="6" fillId="0" borderId="0"/>
    <xf numFmtId="0" fontId="30" fillId="0" borderId="0"/>
    <xf numFmtId="0" fontId="30" fillId="0" borderId="0"/>
    <xf numFmtId="0" fontId="6"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4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4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46" fillId="0" borderId="0"/>
    <xf numFmtId="0" fontId="46" fillId="0" borderId="0"/>
    <xf numFmtId="0" fontId="46" fillId="0" borderId="0"/>
    <xf numFmtId="0" fontId="46" fillId="0" borderId="0"/>
    <xf numFmtId="0" fontId="4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4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4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46" fillId="0" borderId="0"/>
    <xf numFmtId="0" fontId="46" fillId="0" borderId="0"/>
    <xf numFmtId="0" fontId="46" fillId="0" borderId="0"/>
    <xf numFmtId="0" fontId="46" fillId="0" borderId="0"/>
    <xf numFmtId="0" fontId="4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4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4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46" fillId="0" borderId="0"/>
    <xf numFmtId="0" fontId="46" fillId="0" borderId="0"/>
    <xf numFmtId="0" fontId="46" fillId="0" borderId="0"/>
    <xf numFmtId="0" fontId="46" fillId="0" borderId="0"/>
    <xf numFmtId="0" fontId="4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applyNumberFormat="0" applyFill="0" applyBorder="0" applyAlignment="0" applyProtection="0"/>
    <xf numFmtId="0" fontId="46" fillId="0" borderId="0"/>
    <xf numFmtId="0" fontId="46" fillId="0" borderId="0"/>
    <xf numFmtId="0" fontId="46" fillId="0" borderId="0"/>
    <xf numFmtId="0" fontId="46" fillId="0" borderId="0"/>
    <xf numFmtId="0" fontId="4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applyNumberFormat="0" applyFill="0" applyBorder="0" applyAlignment="0" applyProtection="0"/>
    <xf numFmtId="0" fontId="46" fillId="0" borderId="0"/>
    <xf numFmtId="0" fontId="46" fillId="0" borderId="0"/>
    <xf numFmtId="0" fontId="46" fillId="0" borderId="0"/>
    <xf numFmtId="0" fontId="46" fillId="0" borderId="0"/>
    <xf numFmtId="0" fontId="46" fillId="0" borderId="0"/>
    <xf numFmtId="0" fontId="6" fillId="0" borderId="0"/>
    <xf numFmtId="0" fontId="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6" fillId="0" borderId="0"/>
    <xf numFmtId="0" fontId="6" fillId="0" borderId="0"/>
    <xf numFmtId="0" fontId="50" fillId="0" borderId="0"/>
    <xf numFmtId="0" fontId="6" fillId="0" borderId="0"/>
    <xf numFmtId="0" fontId="50" fillId="0" borderId="0"/>
    <xf numFmtId="0" fontId="6" fillId="0" borderId="0"/>
    <xf numFmtId="0" fontId="6" fillId="0" borderId="0"/>
    <xf numFmtId="0" fontId="6" fillId="0" borderId="0"/>
    <xf numFmtId="0" fontId="6" fillId="0" borderId="0"/>
    <xf numFmtId="0" fontId="6" fillId="0" borderId="0"/>
    <xf numFmtId="0" fontId="6" fillId="0" borderId="0"/>
    <xf numFmtId="0" fontId="50"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applyFill="0"/>
    <xf numFmtId="0" fontId="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6" fillId="0" borderId="0"/>
    <xf numFmtId="0" fontId="46" fillId="0" borderId="0"/>
    <xf numFmtId="0" fontId="46" fillId="0" borderId="0"/>
    <xf numFmtId="0" fontId="4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applyNumberFormat="0" applyFill="0" applyBorder="0" applyAlignment="0" applyProtection="0"/>
    <xf numFmtId="0" fontId="46" fillId="0" borderId="0"/>
    <xf numFmtId="0" fontId="46" fillId="0" borderId="0"/>
    <xf numFmtId="0" fontId="46" fillId="0" borderId="0"/>
    <xf numFmtId="0" fontId="46" fillId="0" borderId="0"/>
    <xf numFmtId="0" fontId="46" fillId="0" borderId="0"/>
    <xf numFmtId="0" fontId="31" fillId="0" borderId="0"/>
    <xf numFmtId="0" fontId="30" fillId="0" borderId="0"/>
    <xf numFmtId="0" fontId="30" fillId="0" borderId="0"/>
    <xf numFmtId="0" fontId="31" fillId="0" borderId="0"/>
    <xf numFmtId="0" fontId="30" fillId="0" borderId="0"/>
    <xf numFmtId="0" fontId="30"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30" fillId="0" borderId="0"/>
    <xf numFmtId="0" fontId="30"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6" fillId="0" borderId="0"/>
    <xf numFmtId="0" fontId="46" fillId="0" borderId="0"/>
    <xf numFmtId="0" fontId="46" fillId="0" borderId="0"/>
    <xf numFmtId="0" fontId="46" fillId="0" borderId="0"/>
    <xf numFmtId="0" fontId="46" fillId="0" borderId="0"/>
    <xf numFmtId="0" fontId="46"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10" fillId="0" borderId="0"/>
    <xf numFmtId="0" fontId="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6" fillId="0" borderId="0"/>
    <xf numFmtId="0" fontId="46" fillId="0" borderId="0"/>
    <xf numFmtId="0" fontId="46" fillId="0" borderId="0"/>
    <xf numFmtId="0" fontId="4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6" fillId="0" borderId="0"/>
    <xf numFmtId="0" fontId="14" fillId="0" borderId="0"/>
    <xf numFmtId="0" fontId="14" fillId="0" borderId="0"/>
    <xf numFmtId="0" fontId="51" fillId="0" borderId="0"/>
    <xf numFmtId="0" fontId="14"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6" fillId="44" borderId="12"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174" fontId="6" fillId="0" borderId="0" applyFont="0" applyFill="0" applyBorder="0" applyAlignment="0" applyProtection="0"/>
    <xf numFmtId="0" fontId="52" fillId="39" borderId="13" applyNumberFormat="0" applyAlignment="0" applyProtection="0"/>
    <xf numFmtId="9" fontId="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6"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5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ill="0" applyBorder="0" applyAlignment="0" applyProtection="0"/>
    <xf numFmtId="9" fontId="14" fillId="0" borderId="0" applyFill="0" applyBorder="0" applyAlignment="0" applyProtection="0"/>
    <xf numFmtId="9" fontId="14" fillId="0" borderId="0" applyFill="0" applyBorder="0" applyAlignment="0" applyProtection="0"/>
    <xf numFmtId="9" fontId="14" fillId="0" borderId="0" applyFill="0" applyBorder="0" applyAlignment="0" applyProtection="0"/>
    <xf numFmtId="9" fontId="14" fillId="0" borderId="0" applyFill="0" applyBorder="0" applyAlignment="0" applyProtection="0"/>
    <xf numFmtId="9" fontId="14" fillId="0" borderId="0" applyFill="0" applyBorder="0" applyAlignment="0" applyProtection="0"/>
    <xf numFmtId="9" fontId="6"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ill="0" applyBorder="0" applyAlignment="0" applyProtection="0"/>
    <xf numFmtId="9" fontId="14" fillId="0" borderId="0" applyFill="0" applyBorder="0" applyAlignment="0" applyProtection="0"/>
    <xf numFmtId="9" fontId="14" fillId="0" borderId="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ill="0" applyBorder="0" applyAlignment="0" applyProtection="0"/>
    <xf numFmtId="9" fontId="14" fillId="0" borderId="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6"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6" fillId="0" borderId="0" applyFont="0" applyFill="0" applyBorder="0" applyAlignment="0" applyProtection="0"/>
    <xf numFmtId="9" fontId="10"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10" fillId="0" borderId="0" applyFont="0" applyFill="0" applyBorder="0" applyAlignment="0" applyProtection="0"/>
    <xf numFmtId="9" fontId="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53" fillId="0" borderId="0"/>
    <xf numFmtId="175" fontId="54" fillId="0" borderId="0"/>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176" fontId="55" fillId="0" borderId="0" applyNumberFormat="0" applyBorder="0" applyAlignment="0">
      <alignment horizontal="left" readingOrder="1"/>
    </xf>
    <xf numFmtId="0" fontId="56" fillId="0" borderId="0" applyNumberFormat="0" applyBorder="0" applyAlignment="0">
      <alignment horizontal="left" readingOrder="1"/>
    </xf>
    <xf numFmtId="0" fontId="57" fillId="0" borderId="0" applyNumberFormat="0" applyFill="0" applyBorder="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9" fillId="0" borderId="0" applyNumberFormat="0" applyFill="0" applyBorder="0" applyAlignment="0" applyProtection="0"/>
    <xf numFmtId="0" fontId="48" fillId="0" borderId="0"/>
    <xf numFmtId="38" fontId="60" fillId="0" borderId="0" applyFont="0" applyFill="0" applyBorder="0" applyAlignment="0" applyProtection="0"/>
    <xf numFmtId="40" fontId="60" fillId="0" borderId="0" applyFont="0" applyFill="0" applyBorder="0" applyAlignment="0" applyProtection="0"/>
    <xf numFmtId="9" fontId="45" fillId="0" borderId="0" applyFont="0" applyFill="0" applyBorder="0" applyAlignment="0" applyProtection="0">
      <alignment vertical="center"/>
    </xf>
    <xf numFmtId="177" fontId="61" fillId="0" borderId="0" applyFont="0" applyFill="0" applyBorder="0" applyAlignment="0" applyProtection="0">
      <alignment vertical="center"/>
    </xf>
    <xf numFmtId="177" fontId="45" fillId="0" borderId="0" applyFont="0" applyFill="0" applyBorder="0" applyAlignment="0" applyProtection="0">
      <alignment vertical="center"/>
    </xf>
    <xf numFmtId="177" fontId="45" fillId="0" borderId="0" applyFont="0" applyFill="0" applyBorder="0" applyAlignment="0" applyProtection="0"/>
    <xf numFmtId="178" fontId="45" fillId="0" borderId="0" applyFont="0" applyFill="0" applyBorder="0" applyAlignment="0" applyProtection="0"/>
    <xf numFmtId="179" fontId="45" fillId="0" borderId="0" applyFont="0" applyFill="0" applyBorder="0" applyAlignment="0" applyProtection="0"/>
    <xf numFmtId="0" fontId="45" fillId="0" borderId="0">
      <alignment vertical="center"/>
    </xf>
    <xf numFmtId="0" fontId="45" fillId="0" borderId="0"/>
    <xf numFmtId="0" fontId="45" fillId="0" borderId="0"/>
    <xf numFmtId="0" fontId="6" fillId="0" borderId="0" applyNumberFormat="0" applyFill="0" applyBorder="0" applyAlignment="0" applyProtection="0"/>
    <xf numFmtId="38" fontId="87" fillId="0" borderId="0" applyFont="0" applyFill="0" applyBorder="0" applyAlignment="0" applyProtection="0"/>
    <xf numFmtId="0" fontId="88" fillId="0" borderId="0"/>
    <xf numFmtId="170" fontId="89" fillId="0" borderId="0" applyFont="0" applyFill="0" applyBorder="0" applyAlignment="0" applyProtection="0"/>
    <xf numFmtId="170" fontId="89" fillId="0" borderId="0" applyFont="0" applyFill="0" applyBorder="0" applyAlignment="0" applyProtection="0"/>
    <xf numFmtId="170" fontId="89" fillId="0" borderId="0" applyFont="0" applyFill="0" applyBorder="0" applyAlignment="0" applyProtection="0"/>
    <xf numFmtId="170" fontId="89" fillId="0" borderId="0" applyFont="0" applyFill="0" applyBorder="0" applyAlignment="0" applyProtection="0"/>
    <xf numFmtId="170" fontId="89" fillId="0" borderId="0" applyFont="0" applyFill="0" applyBorder="0" applyAlignment="0" applyProtection="0"/>
    <xf numFmtId="170" fontId="10" fillId="0" borderId="0" applyFont="0" applyFill="0" applyBorder="0" applyAlignment="0" applyProtection="0"/>
    <xf numFmtId="170" fontId="50" fillId="0" borderId="0" applyFont="0" applyFill="0" applyBorder="0" applyAlignment="0" applyProtection="0"/>
    <xf numFmtId="170" fontId="90" fillId="0" borderId="0" applyFont="0" applyFill="0" applyBorder="0" applyAlignment="0" applyProtection="0"/>
    <xf numFmtId="170" fontId="10" fillId="0" borderId="0" applyFont="0" applyFill="0" applyBorder="0" applyAlignment="0" applyProtection="0"/>
    <xf numFmtId="170" fontId="14"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10" fillId="0" borderId="0" applyFont="0" applyFill="0" applyBorder="0" applyAlignment="0" applyProtection="0"/>
    <xf numFmtId="172" fontId="6" fillId="0" borderId="0" applyFont="0" applyFill="0" applyBorder="0" applyAlignment="0" applyProtection="0"/>
    <xf numFmtId="184" fontId="6" fillId="0" borderId="0" applyFont="0" applyFill="0" applyBorder="0" applyAlignment="0" applyProtection="0"/>
    <xf numFmtId="185" fontId="6" fillId="0" borderId="0" applyFont="0" applyFill="0" applyBorder="0" applyAlignment="0" applyProtection="0"/>
    <xf numFmtId="4" fontId="51" fillId="0" borderId="0" applyFont="0" applyFill="0" applyBorder="0" applyAlignment="0" applyProtection="0"/>
    <xf numFmtId="0" fontId="88" fillId="0" borderId="0"/>
    <xf numFmtId="0" fontId="91" fillId="0" borderId="0" applyNumberFormat="0" applyFill="0" applyBorder="0" applyAlignment="0" applyProtection="0">
      <alignment vertical="top"/>
      <protection locked="0"/>
    </xf>
    <xf numFmtId="0" fontId="6" fillId="0" borderId="0"/>
    <xf numFmtId="0" fontId="6" fillId="0" borderId="0"/>
    <xf numFmtId="0" fontId="50" fillId="0" borderId="0"/>
    <xf numFmtId="9" fontId="50" fillId="0" borderId="0" applyFont="0" applyFill="0" applyBorder="0" applyAlignment="0" applyProtection="0"/>
    <xf numFmtId="0" fontId="6" fillId="0" borderId="0">
      <alignment textRotation="90"/>
    </xf>
    <xf numFmtId="0" fontId="6" fillId="0" borderId="0"/>
    <xf numFmtId="0" fontId="90" fillId="0" borderId="0"/>
    <xf numFmtId="0" fontId="10" fillId="0" borderId="0"/>
    <xf numFmtId="0" fontId="6" fillId="0" borderId="0" applyNumberFormat="0" applyFont="0" applyFill="0" applyBorder="0" applyAlignment="0" applyProtection="0"/>
    <xf numFmtId="0" fontId="6" fillId="0" borderId="0" applyNumberFormat="0" applyFont="0" applyFill="0" applyBorder="0" applyAlignment="0" applyProtection="0"/>
    <xf numFmtId="0" fontId="10" fillId="0" borderId="0"/>
    <xf numFmtId="0" fontId="14" fillId="0" borderId="0"/>
    <xf numFmtId="0" fontId="50" fillId="0" borderId="0"/>
    <xf numFmtId="0" fontId="50" fillId="0" borderId="0"/>
    <xf numFmtId="0" fontId="10" fillId="0" borderId="0"/>
    <xf numFmtId="0" fontId="6" fillId="0" borderId="0"/>
    <xf numFmtId="0" fontId="92" fillId="0" borderId="0"/>
    <xf numFmtId="0" fontId="93" fillId="0" borderId="0"/>
    <xf numFmtId="0" fontId="88" fillId="0" borderId="0" applyNumberFormat="0" applyFill="0" applyBorder="0" applyProtection="0"/>
    <xf numFmtId="186" fontId="94" fillId="0" borderId="0"/>
    <xf numFmtId="0" fontId="6" fillId="0" borderId="0"/>
    <xf numFmtId="0" fontId="95" fillId="0" borderId="0" applyNumberFormat="0" applyFill="0" applyBorder="0" applyAlignment="0" applyProtection="0">
      <alignment vertical="top"/>
      <protection locked="0"/>
    </xf>
    <xf numFmtId="0" fontId="96" fillId="0" borderId="0" applyNumberFormat="0" applyFill="0" applyBorder="0" applyAlignment="0" applyProtection="0">
      <alignment vertical="top"/>
      <protection locked="0"/>
    </xf>
    <xf numFmtId="38" fontId="97" fillId="0" borderId="0" applyFont="0" applyFill="0" applyBorder="0" applyAlignment="0" applyProtection="0">
      <alignment vertical="center"/>
    </xf>
    <xf numFmtId="0" fontId="62" fillId="0" borderId="0"/>
    <xf numFmtId="0" fontId="62" fillId="0" borderId="0"/>
    <xf numFmtId="0" fontId="97" fillId="0" borderId="0"/>
    <xf numFmtId="0" fontId="6" fillId="0" borderId="0"/>
    <xf numFmtId="44" fontId="10"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43" fontId="14" fillId="0" borderId="0" applyFont="0" applyFill="0" applyBorder="0" applyAlignment="0" applyProtection="0"/>
    <xf numFmtId="168" fontId="6" fillId="0" borderId="0" applyFont="0" applyFill="0" applyBorder="0" applyAlignment="0" applyProtection="0"/>
    <xf numFmtId="43" fontId="14"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43" fontId="14"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68" fontId="6"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0" fontId="129" fillId="0" borderId="0"/>
    <xf numFmtId="0" fontId="10" fillId="0" borderId="0"/>
    <xf numFmtId="0" fontId="10" fillId="0" borderId="0"/>
    <xf numFmtId="0" fontId="10" fillId="0" borderId="0"/>
    <xf numFmtId="0" fontId="10" fillId="0" borderId="0"/>
    <xf numFmtId="0" fontId="10" fillId="0" borderId="0"/>
    <xf numFmtId="0" fontId="129" fillId="0" borderId="0"/>
    <xf numFmtId="0" fontId="129" fillId="0" borderId="0"/>
    <xf numFmtId="0" fontId="129" fillId="0" borderId="0"/>
    <xf numFmtId="0" fontId="129" fillId="0" borderId="0"/>
    <xf numFmtId="0" fontId="6" fillId="0" borderId="0"/>
    <xf numFmtId="0" fontId="10"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0" fillId="0" borderId="0"/>
    <xf numFmtId="0" fontId="10"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6" fillId="0" borderId="0"/>
    <xf numFmtId="0" fontId="6"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6" fillId="0" borderId="0"/>
    <xf numFmtId="0" fontId="14" fillId="0" borderId="0"/>
    <xf numFmtId="0" fontId="6" fillId="0" borderId="0"/>
    <xf numFmtId="0" fontId="6" fillId="0" borderId="0"/>
    <xf numFmtId="0" fontId="6" fillId="0" borderId="0"/>
    <xf numFmtId="0" fontId="6" fillId="0" borderId="0"/>
    <xf numFmtId="0" fontId="6"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6" fillId="0" borderId="0"/>
    <xf numFmtId="0" fontId="14" fillId="0" borderId="0"/>
    <xf numFmtId="0" fontId="6" fillId="0" borderId="0"/>
    <xf numFmtId="0" fontId="6" fillId="0" borderId="0"/>
    <xf numFmtId="0" fontId="6" fillId="0" borderId="0"/>
    <xf numFmtId="0" fontId="6" fillId="0" borderId="0"/>
    <xf numFmtId="0" fontId="6"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6" fillId="0" borderId="0"/>
    <xf numFmtId="0" fontId="10" fillId="0" borderId="0"/>
    <xf numFmtId="0" fontId="10" fillId="0" borderId="0"/>
    <xf numFmtId="0" fontId="10" fillId="0" borderId="0"/>
    <xf numFmtId="0" fontId="10" fillId="0" borderId="0"/>
    <xf numFmtId="0" fontId="10" fillId="0" borderId="0"/>
    <xf numFmtId="0" fontId="6" fillId="0" borderId="0"/>
    <xf numFmtId="0" fontId="6" fillId="0" borderId="0"/>
    <xf numFmtId="0" fontId="6" fillId="0" borderId="0"/>
    <xf numFmtId="0" fontId="6" fillId="0" borderId="0"/>
    <xf numFmtId="0" fontId="10" fillId="0" borderId="0"/>
    <xf numFmtId="0" fontId="10" fillId="0" borderId="0"/>
    <xf numFmtId="0" fontId="10" fillId="0" borderId="0"/>
    <xf numFmtId="0" fontId="10" fillId="0" borderId="0"/>
    <xf numFmtId="0" fontId="10" fillId="0" borderId="0"/>
    <xf numFmtId="9" fontId="14" fillId="0" borderId="0" applyFont="0" applyFill="0" applyBorder="0" applyAlignment="0" applyProtection="0"/>
    <xf numFmtId="9" fontId="6" fillId="0" borderId="0" applyFont="0" applyFill="0" applyBorder="0" applyAlignment="0" applyProtection="0"/>
    <xf numFmtId="9" fontId="14"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14"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6"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6" fillId="0" borderId="0" applyFont="0" applyFill="0" applyBorder="0" applyAlignment="0" applyProtection="0"/>
    <xf numFmtId="9" fontId="14"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cellStyleXfs>
  <cellXfs count="888">
    <xf numFmtId="0" fontId="0" fillId="0" borderId="0" xfId="0"/>
    <xf numFmtId="0" fontId="2" fillId="0" borderId="0" xfId="0" applyFont="1"/>
    <xf numFmtId="0" fontId="1" fillId="0" borderId="0" xfId="0" applyFont="1"/>
    <xf numFmtId="0" fontId="3" fillId="3" borderId="0" xfId="0" applyFont="1" applyFill="1"/>
    <xf numFmtId="0" fontId="4" fillId="0" borderId="0" xfId="0" applyFont="1"/>
    <xf numFmtId="0" fontId="5" fillId="0" borderId="0" xfId="0" applyFont="1"/>
    <xf numFmtId="0" fontId="2" fillId="0" borderId="0" xfId="0" applyFont="1" applyFill="1"/>
    <xf numFmtId="10" fontId="3" fillId="3" borderId="0" xfId="3" applyNumberFormat="1" applyFont="1" applyFill="1"/>
    <xf numFmtId="0" fontId="0" fillId="0" borderId="2" xfId="0" applyBorder="1"/>
    <xf numFmtId="0" fontId="0" fillId="0" borderId="2" xfId="0" applyFill="1" applyBorder="1"/>
    <xf numFmtId="164" fontId="12" fillId="19" borderId="2" xfId="0" applyNumberFormat="1" applyFont="1" applyFill="1" applyBorder="1"/>
    <xf numFmtId="164" fontId="12" fillId="4" borderId="2" xfId="0" applyNumberFormat="1" applyFont="1" applyFill="1" applyBorder="1"/>
    <xf numFmtId="0" fontId="0" fillId="0" borderId="3" xfId="0" applyBorder="1" applyAlignment="1">
      <alignment vertical="top"/>
    </xf>
    <xf numFmtId="0" fontId="0" fillId="0" borderId="4" xfId="0" applyBorder="1" applyAlignment="1">
      <alignment vertical="top"/>
    </xf>
    <xf numFmtId="0" fontId="9" fillId="0" borderId="0" xfId="0" applyFont="1"/>
    <xf numFmtId="0" fontId="1" fillId="0" borderId="0" xfId="0" applyFont="1" applyFill="1"/>
    <xf numFmtId="0" fontId="1" fillId="5" borderId="0" xfId="0" applyFont="1" applyFill="1"/>
    <xf numFmtId="41" fontId="2" fillId="0" borderId="0" xfId="0" applyNumberFormat="1" applyFont="1"/>
    <xf numFmtId="166" fontId="63" fillId="0" borderId="0" xfId="0" applyNumberFormat="1" applyFont="1"/>
    <xf numFmtId="10" fontId="2" fillId="0" borderId="0" xfId="3" applyNumberFormat="1" applyFont="1"/>
    <xf numFmtId="1" fontId="1" fillId="0" borderId="0" xfId="0" applyNumberFormat="1" applyFont="1"/>
    <xf numFmtId="166" fontId="64" fillId="46" borderId="0" xfId="3" applyNumberFormat="1" applyFont="1" applyFill="1" applyAlignment="1">
      <alignment horizontal="center"/>
    </xf>
    <xf numFmtId="0" fontId="65" fillId="2" borderId="0" xfId="0" applyFont="1" applyFill="1" applyAlignment="1">
      <alignment horizontal="center"/>
    </xf>
    <xf numFmtId="0" fontId="0" fillId="0" borderId="0" xfId="0" applyBorder="1"/>
    <xf numFmtId="166" fontId="0" fillId="0" borderId="0" xfId="0" applyNumberFormat="1" applyBorder="1" applyAlignment="1">
      <alignment wrapText="1"/>
    </xf>
    <xf numFmtId="0" fontId="0" fillId="0" borderId="0" xfId="0" applyBorder="1" applyAlignment="1">
      <alignment wrapText="1"/>
    </xf>
    <xf numFmtId="167" fontId="0" fillId="0" borderId="0" xfId="0" applyNumberFormat="1" applyBorder="1" applyAlignment="1">
      <alignment wrapText="1"/>
    </xf>
    <xf numFmtId="0" fontId="63" fillId="2" borderId="0" xfId="0" applyFont="1" applyFill="1" applyAlignment="1">
      <alignment horizontal="center"/>
    </xf>
    <xf numFmtId="0" fontId="66" fillId="47" borderId="0" xfId="0" applyFont="1" applyFill="1" applyBorder="1"/>
    <xf numFmtId="166" fontId="66" fillId="47" borderId="0" xfId="0" applyNumberFormat="1" applyFont="1" applyFill="1" applyBorder="1"/>
    <xf numFmtId="166" fontId="66" fillId="47" borderId="0" xfId="3" applyNumberFormat="1" applyFont="1" applyFill="1" applyBorder="1"/>
    <xf numFmtId="0" fontId="65" fillId="0" borderId="0" xfId="0" applyFont="1"/>
    <xf numFmtId="166" fontId="2" fillId="0" borderId="0" xfId="0" applyNumberFormat="1" applyFont="1"/>
    <xf numFmtId="1" fontId="2" fillId="0" borderId="0" xfId="0" applyNumberFormat="1" applyFont="1"/>
    <xf numFmtId="0" fontId="2" fillId="48" borderId="0" xfId="0" applyFont="1" applyFill="1"/>
    <xf numFmtId="2" fontId="2" fillId="48" borderId="0" xfId="0" applyNumberFormat="1" applyFont="1" applyFill="1"/>
    <xf numFmtId="0" fontId="0" fillId="0" borderId="0" xfId="0" applyNumberFormat="1" applyFill="1" applyAlignment="1">
      <alignment horizontal="center"/>
    </xf>
    <xf numFmtId="166" fontId="2" fillId="0" borderId="0" xfId="3" applyNumberFormat="1" applyFont="1"/>
    <xf numFmtId="9" fontId="1" fillId="0" borderId="0" xfId="0" applyNumberFormat="1" applyFont="1"/>
    <xf numFmtId="2" fontId="2" fillId="0" borderId="0" xfId="0" applyNumberFormat="1" applyFont="1"/>
    <xf numFmtId="2" fontId="1" fillId="0" borderId="0" xfId="0" applyNumberFormat="1" applyFont="1"/>
    <xf numFmtId="9" fontId="0" fillId="0" borderId="0" xfId="0" applyNumberFormat="1" applyBorder="1" applyAlignment="1">
      <alignment wrapText="1"/>
    </xf>
    <xf numFmtId="9" fontId="66" fillId="47" borderId="0" xfId="0" applyNumberFormat="1" applyFont="1" applyFill="1" applyBorder="1"/>
    <xf numFmtId="9" fontId="2" fillId="0" borderId="0" xfId="0" applyNumberFormat="1" applyFont="1"/>
    <xf numFmtId="4" fontId="2" fillId="0" borderId="0" xfId="0" applyNumberFormat="1" applyFont="1" applyFill="1"/>
    <xf numFmtId="167" fontId="1" fillId="0" borderId="0" xfId="0" applyNumberFormat="1" applyFont="1" applyFill="1"/>
    <xf numFmtId="166" fontId="63" fillId="0" borderId="0" xfId="3" applyNumberFormat="1" applyFont="1" applyFill="1"/>
    <xf numFmtId="167" fontId="2" fillId="0" borderId="0" xfId="0" applyNumberFormat="1" applyFont="1" applyFill="1"/>
    <xf numFmtId="9" fontId="2" fillId="48" borderId="0" xfId="0" applyNumberFormat="1" applyFont="1" applyFill="1"/>
    <xf numFmtId="10" fontId="2" fillId="48" borderId="0" xfId="0" applyNumberFormat="1" applyFont="1" applyFill="1"/>
    <xf numFmtId="43" fontId="2" fillId="0" borderId="0" xfId="4" applyFont="1" applyFill="1"/>
    <xf numFmtId="0" fontId="66" fillId="0" borderId="0" xfId="0" applyFont="1" applyFill="1" applyBorder="1"/>
    <xf numFmtId="0" fontId="66" fillId="0" borderId="0" xfId="0" applyNumberFormat="1" applyFont="1" applyFill="1" applyBorder="1"/>
    <xf numFmtId="166" fontId="2" fillId="0" borderId="0" xfId="0" applyNumberFormat="1" applyFont="1" applyFill="1"/>
    <xf numFmtId="10" fontId="2" fillId="0" borderId="0" xfId="0" applyNumberFormat="1" applyFont="1" applyFill="1"/>
    <xf numFmtId="166" fontId="66" fillId="0" borderId="0" xfId="0" applyNumberFormat="1" applyFont="1" applyFill="1" applyBorder="1"/>
    <xf numFmtId="10" fontId="0" fillId="48" borderId="0" xfId="0" applyNumberFormat="1" applyFill="1" applyAlignment="1">
      <alignment horizontal="center"/>
    </xf>
    <xf numFmtId="167" fontId="2" fillId="0" borderId="0" xfId="0" applyNumberFormat="1" applyFont="1" applyAlignment="1">
      <alignment horizontal="center"/>
    </xf>
    <xf numFmtId="0" fontId="67" fillId="50" borderId="0" xfId="0" applyFont="1" applyFill="1" applyBorder="1"/>
    <xf numFmtId="166" fontId="67" fillId="50" borderId="0" xfId="3" applyNumberFormat="1" applyFont="1" applyFill="1" applyBorder="1"/>
    <xf numFmtId="167" fontId="2" fillId="0" borderId="0" xfId="0" applyNumberFormat="1" applyFont="1"/>
    <xf numFmtId="0" fontId="0" fillId="0" borderId="0" xfId="0" applyFill="1" applyBorder="1" applyAlignment="1">
      <alignment wrapText="1"/>
    </xf>
    <xf numFmtId="180" fontId="2" fillId="0" borderId="0" xfId="0" applyNumberFormat="1" applyFont="1"/>
    <xf numFmtId="0" fontId="68" fillId="0" borderId="0" xfId="0" applyFont="1" applyFill="1" applyBorder="1" applyAlignment="1">
      <alignment wrapText="1"/>
    </xf>
    <xf numFmtId="167" fontId="69" fillId="0" borderId="0" xfId="0" applyNumberFormat="1" applyFont="1"/>
    <xf numFmtId="0" fontId="68" fillId="51" borderId="0" xfId="0" applyFont="1" applyFill="1" applyBorder="1"/>
    <xf numFmtId="0" fontId="70" fillId="0" borderId="0" xfId="0" applyFont="1" applyFill="1" applyBorder="1" applyAlignment="1">
      <alignment wrapText="1"/>
    </xf>
    <xf numFmtId="1" fontId="2" fillId="0" borderId="0" xfId="0" applyNumberFormat="1" applyFont="1" applyAlignment="1">
      <alignment horizontal="center"/>
    </xf>
    <xf numFmtId="180" fontId="69" fillId="0" borderId="0" xfId="0" applyNumberFormat="1" applyFont="1"/>
    <xf numFmtId="0" fontId="70" fillId="0" borderId="0" xfId="0" applyFont="1" applyFill="1" applyBorder="1"/>
    <xf numFmtId="0" fontId="38" fillId="0" borderId="0" xfId="2276" applyAlignment="1" applyProtection="1"/>
    <xf numFmtId="4" fontId="2" fillId="0" borderId="0" xfId="0" applyNumberFormat="1" applyFont="1"/>
    <xf numFmtId="0" fontId="0" fillId="49" borderId="0" xfId="0" applyFill="1" applyBorder="1"/>
    <xf numFmtId="3" fontId="2" fillId="0" borderId="0" xfId="0" applyNumberFormat="1" applyFont="1"/>
    <xf numFmtId="0" fontId="0" fillId="49" borderId="0" xfId="0" applyFill="1" applyBorder="1" applyAlignment="1">
      <alignment wrapText="1"/>
    </xf>
    <xf numFmtId="0" fontId="0" fillId="0" borderId="0" xfId="0" applyFill="1" applyBorder="1"/>
    <xf numFmtId="0" fontId="2" fillId="0" borderId="0" xfId="0" quotePrefix="1" applyFont="1"/>
    <xf numFmtId="0" fontId="71" fillId="0" borderId="0" xfId="0" applyFont="1" applyAlignment="1">
      <alignment wrapText="1"/>
    </xf>
    <xf numFmtId="167" fontId="0" fillId="52" borderId="0" xfId="0" applyNumberFormat="1" applyFill="1" applyBorder="1" applyAlignment="1">
      <alignment horizontal="right"/>
    </xf>
    <xf numFmtId="0" fontId="38" fillId="0" borderId="0" xfId="2276" applyFill="1" applyAlignment="1" applyProtection="1"/>
    <xf numFmtId="167" fontId="8" fillId="0" borderId="0" xfId="0" applyNumberFormat="1" applyFont="1"/>
    <xf numFmtId="10" fontId="2" fillId="0" borderId="0" xfId="0" applyNumberFormat="1" applyFont="1"/>
    <xf numFmtId="0" fontId="7" fillId="0" borderId="0" xfId="2" applyAlignment="1" applyProtection="1"/>
    <xf numFmtId="10" fontId="0" fillId="0" borderId="0" xfId="0" applyNumberFormat="1"/>
    <xf numFmtId="0" fontId="0" fillId="0" borderId="0" xfId="0" applyNumberFormat="1"/>
    <xf numFmtId="167" fontId="0" fillId="0" borderId="0" xfId="0" applyNumberFormat="1"/>
    <xf numFmtId="10" fontId="0" fillId="0" borderId="0" xfId="3" applyNumberFormat="1" applyFont="1"/>
    <xf numFmtId="0" fontId="74" fillId="0" borderId="15" xfId="2330" applyFont="1" applyBorder="1" applyAlignment="1" applyProtection="1">
      <alignment horizontal="left"/>
      <protection locked="0"/>
    </xf>
    <xf numFmtId="0" fontId="6" fillId="0" borderId="0" xfId="2330" applyProtection="1">
      <protection locked="0"/>
    </xf>
    <xf numFmtId="0" fontId="75" fillId="53" borderId="15" xfId="2330" applyFont="1" applyFill="1" applyBorder="1" applyAlignment="1" applyProtection="1">
      <alignment wrapText="1"/>
      <protection locked="0"/>
    </xf>
    <xf numFmtId="0" fontId="75" fillId="53" borderId="15" xfId="2330" applyFont="1" applyFill="1" applyBorder="1" applyAlignment="1" applyProtection="1">
      <alignment horizontal="right" wrapText="1"/>
      <protection locked="0"/>
    </xf>
    <xf numFmtId="0" fontId="76" fillId="54" borderId="16" xfId="2330" applyFont="1" applyFill="1" applyBorder="1" applyAlignment="1" applyProtection="1">
      <alignment vertical="center"/>
      <protection locked="0"/>
    </xf>
    <xf numFmtId="0" fontId="77" fillId="55" borderId="15" xfId="2330" applyFont="1" applyFill="1" applyBorder="1" applyAlignment="1" applyProtection="1">
      <alignment vertical="center"/>
      <protection locked="0"/>
    </xf>
    <xf numFmtId="0" fontId="78" fillId="54" borderId="16" xfId="2330" applyFont="1" applyFill="1" applyBorder="1" applyAlignment="1" applyProtection="1">
      <alignment vertical="center"/>
      <protection locked="0"/>
    </xf>
    <xf numFmtId="0" fontId="78" fillId="55" borderId="15" xfId="2330" applyFont="1" applyFill="1" applyBorder="1" applyAlignment="1" applyProtection="1">
      <alignment vertical="center"/>
      <protection locked="0"/>
    </xf>
    <xf numFmtId="0" fontId="40" fillId="0" borderId="0" xfId="2302" applyAlignment="1" applyProtection="1">
      <protection locked="0"/>
    </xf>
    <xf numFmtId="166" fontId="6" fillId="0" borderId="0" xfId="3" applyNumberFormat="1" applyFont="1" applyProtection="1">
      <protection locked="0"/>
    </xf>
    <xf numFmtId="2" fontId="8" fillId="0" borderId="0" xfId="0" applyNumberFormat="1" applyFont="1"/>
    <xf numFmtId="43" fontId="2" fillId="0" borderId="0" xfId="4" applyFont="1"/>
    <xf numFmtId="2" fontId="2" fillId="0" borderId="0" xfId="0" applyNumberFormat="1" applyFont="1" applyFill="1"/>
    <xf numFmtId="1" fontId="69" fillId="0" borderId="0" xfId="0" applyNumberFormat="1" applyFont="1"/>
    <xf numFmtId="166" fontId="0" fillId="0" borderId="0" xfId="0" applyNumberFormat="1"/>
    <xf numFmtId="182" fontId="82" fillId="0" borderId="0" xfId="4" applyNumberFormat="1" applyFont="1" applyFill="1"/>
    <xf numFmtId="167" fontId="1" fillId="0" borderId="0" xfId="0" applyNumberFormat="1" applyFont="1"/>
    <xf numFmtId="0" fontId="7" fillId="45" borderId="0" xfId="2" applyFill="1" applyAlignment="1" applyProtection="1"/>
    <xf numFmtId="180" fontId="8" fillId="0" borderId="0" xfId="0" applyNumberFormat="1" applyFont="1"/>
    <xf numFmtId="0" fontId="0" fillId="0" borderId="0" xfId="0" applyProtection="1">
      <protection locked="0"/>
    </xf>
    <xf numFmtId="0" fontId="6" fillId="0" borderId="0" xfId="0" applyFont="1" applyProtection="1">
      <protection locked="0"/>
    </xf>
    <xf numFmtId="0" fontId="5" fillId="56" borderId="0" xfId="0" applyFont="1" applyFill="1"/>
    <xf numFmtId="0" fontId="6" fillId="0" borderId="0" xfId="0" applyFont="1"/>
    <xf numFmtId="10" fontId="2" fillId="0" borderId="0" xfId="6580" applyNumberFormat="1" applyFont="1"/>
    <xf numFmtId="10" fontId="1" fillId="0" borderId="0" xfId="6580" applyNumberFormat="1" applyFont="1"/>
    <xf numFmtId="0" fontId="40" fillId="0" borderId="0" xfId="2302" applyAlignment="1" applyProtection="1"/>
    <xf numFmtId="166" fontId="5" fillId="0" borderId="0" xfId="0" applyNumberFormat="1" applyFont="1"/>
    <xf numFmtId="0" fontId="0" fillId="0" borderId="0" xfId="0" applyFill="1"/>
    <xf numFmtId="166" fontId="0" fillId="0" borderId="0" xfId="0" applyNumberFormat="1" applyFill="1"/>
    <xf numFmtId="0" fontId="6" fillId="45" borderId="0" xfId="0" applyFont="1" applyFill="1"/>
    <xf numFmtId="0" fontId="83" fillId="0" borderId="0" xfId="2276" applyFont="1" applyFill="1" applyAlignment="1" applyProtection="1"/>
    <xf numFmtId="0" fontId="83" fillId="0" borderId="0" xfId="2276" applyFont="1" applyAlignment="1" applyProtection="1"/>
    <xf numFmtId="0" fontId="8" fillId="0" borderId="0" xfId="0" applyFont="1"/>
    <xf numFmtId="183" fontId="2" fillId="0" borderId="0" xfId="0" applyNumberFormat="1" applyFont="1"/>
    <xf numFmtId="183" fontId="0" fillId="0" borderId="0" xfId="0" applyNumberFormat="1"/>
    <xf numFmtId="0" fontId="1" fillId="58" borderId="0" xfId="0" applyFont="1" applyFill="1"/>
    <xf numFmtId="0" fontId="2" fillId="58" borderId="0" xfId="0" applyFont="1" applyFill="1"/>
    <xf numFmtId="3" fontId="2" fillId="58" borderId="0" xfId="0" applyNumberFormat="1" applyFont="1" applyFill="1" applyAlignment="1">
      <alignment horizontal="center"/>
    </xf>
    <xf numFmtId="0" fontId="4" fillId="4" borderId="0" xfId="0" applyFont="1" applyFill="1"/>
    <xf numFmtId="0" fontId="84" fillId="4" borderId="0" xfId="0" applyFont="1" applyFill="1"/>
    <xf numFmtId="0" fontId="9" fillId="0" borderId="0" xfId="0" applyFont="1" applyFill="1"/>
    <xf numFmtId="0" fontId="8" fillId="0" borderId="0" xfId="0" applyFont="1" applyFill="1"/>
    <xf numFmtId="0" fontId="4" fillId="0" borderId="0" xfId="0" applyFont="1" applyFill="1"/>
    <xf numFmtId="1" fontId="4" fillId="0" borderId="0" xfId="0" applyNumberFormat="1" applyFont="1" applyFill="1"/>
    <xf numFmtId="0" fontId="3" fillId="3" borderId="0" xfId="0" applyFont="1" applyFill="1" applyAlignment="1">
      <alignment horizontal="center"/>
    </xf>
    <xf numFmtId="0" fontId="3" fillId="57" borderId="0" xfId="0" applyFont="1" applyFill="1" applyAlignment="1">
      <alignment horizontal="left"/>
    </xf>
    <xf numFmtId="166" fontId="8" fillId="0" borderId="0" xfId="3" applyNumberFormat="1" applyFont="1" applyAlignment="1">
      <alignment horizontal="center"/>
    </xf>
    <xf numFmtId="0" fontId="1" fillId="4" borderId="0" xfId="0" applyFont="1" applyFill="1"/>
    <xf numFmtId="0" fontId="2" fillId="4" borderId="0" xfId="0" applyFont="1" applyFill="1"/>
    <xf numFmtId="0" fontId="1" fillId="4" borderId="0" xfId="0" applyFont="1" applyFill="1" applyAlignment="1"/>
    <xf numFmtId="180" fontId="9" fillId="4" borderId="0" xfId="0" applyNumberFormat="1" applyFont="1" applyFill="1" applyAlignment="1">
      <alignment horizontal="center"/>
    </xf>
    <xf numFmtId="166" fontId="9" fillId="59" borderId="0" xfId="3" applyNumberFormat="1" applyFont="1" applyFill="1" applyAlignment="1">
      <alignment horizontal="center"/>
    </xf>
    <xf numFmtId="0" fontId="2" fillId="0" borderId="0" xfId="0" applyFont="1" applyAlignment="1"/>
    <xf numFmtId="180" fontId="8" fillId="0" borderId="0" xfId="0" applyNumberFormat="1" applyFont="1" applyAlignment="1">
      <alignment horizontal="center"/>
    </xf>
    <xf numFmtId="0" fontId="0" fillId="59" borderId="0" xfId="0" applyFill="1"/>
    <xf numFmtId="0" fontId="86" fillId="4" borderId="0" xfId="0" applyFont="1" applyFill="1"/>
    <xf numFmtId="166" fontId="8" fillId="59" borderId="0" xfId="3" applyNumberFormat="1" applyFont="1" applyFill="1" applyAlignment="1">
      <alignment horizontal="center"/>
    </xf>
    <xf numFmtId="0" fontId="2" fillId="58" borderId="0" xfId="0" applyFont="1" applyFill="1" applyAlignment="1"/>
    <xf numFmtId="180" fontId="8" fillId="58" borderId="0" xfId="0" applyNumberFormat="1" applyFont="1" applyFill="1" applyAlignment="1">
      <alignment horizontal="center"/>
    </xf>
    <xf numFmtId="3" fontId="8" fillId="60" borderId="0" xfId="0" applyNumberFormat="1" applyFont="1" applyFill="1" applyAlignment="1">
      <alignment horizontal="center"/>
    </xf>
    <xf numFmtId="3" fontId="8" fillId="58" borderId="0" xfId="0" applyNumberFormat="1" applyFont="1" applyFill="1" applyAlignment="1">
      <alignment horizontal="center"/>
    </xf>
    <xf numFmtId="3" fontId="9" fillId="4" borderId="0" xfId="0" applyNumberFormat="1" applyFont="1" applyFill="1" applyAlignment="1">
      <alignment horizontal="center"/>
    </xf>
    <xf numFmtId="3" fontId="8" fillId="0" borderId="0" xfId="0" applyNumberFormat="1" applyFont="1" applyAlignment="1">
      <alignment horizontal="center"/>
    </xf>
    <xf numFmtId="3" fontId="9" fillId="4" borderId="0" xfId="0" applyNumberFormat="1" applyFont="1" applyFill="1" applyAlignment="1">
      <alignment horizontal="left"/>
    </xf>
    <xf numFmtId="166" fontId="9" fillId="4" borderId="0" xfId="3" applyNumberFormat="1" applyFont="1" applyFill="1" applyAlignment="1">
      <alignment horizontal="center"/>
    </xf>
    <xf numFmtId="0" fontId="1" fillId="0" borderId="0" xfId="0" applyFont="1" applyAlignment="1"/>
    <xf numFmtId="166" fontId="1" fillId="4" borderId="0" xfId="3" applyNumberFormat="1" applyFont="1" applyFill="1" applyAlignment="1">
      <alignment horizontal="center"/>
    </xf>
    <xf numFmtId="43" fontId="0" fillId="0" borderId="0" xfId="0" applyNumberFormat="1"/>
    <xf numFmtId="183" fontId="1" fillId="0" borderId="0" xfId="0" applyNumberFormat="1" applyFont="1"/>
    <xf numFmtId="0" fontId="3" fillId="3" borderId="0" xfId="0" applyFont="1" applyFill="1" applyAlignment="1">
      <alignment horizontal="center" vertical="top"/>
    </xf>
    <xf numFmtId="166" fontId="0" fillId="0" borderId="0" xfId="3" applyNumberFormat="1" applyFont="1"/>
    <xf numFmtId="166" fontId="0" fillId="0" borderId="0" xfId="3" applyNumberFormat="1" applyFont="1" applyFill="1"/>
    <xf numFmtId="166" fontId="98" fillId="0" borderId="0" xfId="0" applyNumberFormat="1" applyFont="1" applyAlignment="1">
      <alignment horizontal="center"/>
    </xf>
    <xf numFmtId="180" fontId="1" fillId="0" borderId="0" xfId="0" applyNumberFormat="1" applyFont="1"/>
    <xf numFmtId="166" fontId="1" fillId="0" borderId="0" xfId="0" applyNumberFormat="1" applyFont="1"/>
    <xf numFmtId="167" fontId="8" fillId="0" borderId="0" xfId="3" applyNumberFormat="1" applyFont="1" applyAlignment="1">
      <alignment horizontal="center"/>
    </xf>
    <xf numFmtId="0" fontId="3" fillId="57" borderId="0" xfId="0" applyFont="1" applyFill="1"/>
    <xf numFmtId="0" fontId="99" fillId="0" borderId="0" xfId="0" applyFont="1"/>
    <xf numFmtId="0" fontId="2" fillId="0" borderId="0" xfId="0" applyFont="1" applyAlignment="1">
      <alignment horizontal="center"/>
    </xf>
    <xf numFmtId="0" fontId="2" fillId="0" borderId="0" xfId="0" applyFont="1" applyAlignment="1">
      <alignment wrapText="1"/>
    </xf>
    <xf numFmtId="3" fontId="1" fillId="4" borderId="0" xfId="0" applyNumberFormat="1" applyFont="1" applyFill="1" applyAlignment="1">
      <alignment horizontal="center"/>
    </xf>
    <xf numFmtId="166" fontId="65" fillId="0" borderId="0" xfId="3" applyNumberFormat="1" applyFont="1" applyAlignment="1">
      <alignment horizontal="center"/>
    </xf>
    <xf numFmtId="3" fontId="2" fillId="0" borderId="0" xfId="0" applyNumberFormat="1" applyFont="1" applyAlignment="1">
      <alignment horizontal="center"/>
    </xf>
    <xf numFmtId="166" fontId="64" fillId="0" borderId="0" xfId="0" applyNumberFormat="1" applyFont="1" applyAlignment="1">
      <alignment horizontal="center"/>
    </xf>
    <xf numFmtId="0" fontId="2" fillId="61" borderId="0" xfId="0" applyFont="1" applyFill="1"/>
    <xf numFmtId="0" fontId="2" fillId="49" borderId="0" xfId="0" applyFont="1" applyFill="1"/>
    <xf numFmtId="3" fontId="2" fillId="4" borderId="0" xfId="0" applyNumberFormat="1" applyFont="1" applyFill="1" applyAlignment="1">
      <alignment horizontal="center"/>
    </xf>
    <xf numFmtId="0" fontId="99" fillId="48" borderId="0" xfId="0" applyFont="1" applyFill="1"/>
    <xf numFmtId="0" fontId="1" fillId="48" borderId="0" xfId="0" applyFont="1" applyFill="1"/>
    <xf numFmtId="10" fontId="2" fillId="48" borderId="0" xfId="3" applyNumberFormat="1" applyFont="1" applyFill="1" applyAlignment="1">
      <alignment horizontal="center"/>
    </xf>
    <xf numFmtId="166" fontId="64" fillId="0" borderId="0" xfId="0" applyNumberFormat="1" applyFont="1" applyFill="1" applyAlignment="1">
      <alignment horizontal="center"/>
    </xf>
    <xf numFmtId="10" fontId="2" fillId="48" borderId="0" xfId="0" applyNumberFormat="1" applyFont="1" applyFill="1" applyAlignment="1">
      <alignment horizontal="center"/>
    </xf>
    <xf numFmtId="2" fontId="63" fillId="48" borderId="0" xfId="0" applyNumberFormat="1" applyFont="1" applyFill="1" applyAlignment="1">
      <alignment horizontal="center"/>
    </xf>
    <xf numFmtId="4" fontId="2" fillId="48" borderId="0" xfId="0" applyNumberFormat="1" applyFont="1" applyFill="1" applyAlignment="1">
      <alignment horizontal="center"/>
    </xf>
    <xf numFmtId="4" fontId="8" fillId="48" borderId="0" xfId="0" applyNumberFormat="1" applyFont="1" applyFill="1" applyAlignment="1">
      <alignment horizontal="center"/>
    </xf>
    <xf numFmtId="10" fontId="99" fillId="0" borderId="0" xfId="0" applyNumberFormat="1" applyFont="1" applyAlignment="1">
      <alignment horizontal="center"/>
    </xf>
    <xf numFmtId="3" fontId="65" fillId="48" borderId="0" xfId="0" applyNumberFormat="1" applyFont="1" applyFill="1" applyAlignment="1">
      <alignment horizontal="center"/>
    </xf>
    <xf numFmtId="3" fontId="63" fillId="48" borderId="0" xfId="0" applyNumberFormat="1" applyFont="1" applyFill="1" applyAlignment="1">
      <alignment horizontal="center"/>
    </xf>
    <xf numFmtId="3" fontId="63" fillId="48" borderId="0" xfId="0" applyNumberFormat="1" applyFont="1" applyFill="1"/>
    <xf numFmtId="166" fontId="1" fillId="4" borderId="0" xfId="0" applyNumberFormat="1" applyFont="1" applyFill="1" applyAlignment="1">
      <alignment horizontal="center"/>
    </xf>
    <xf numFmtId="166" fontId="2" fillId="0" borderId="0" xfId="0" applyNumberFormat="1" applyFont="1" applyAlignment="1">
      <alignment horizontal="center"/>
    </xf>
    <xf numFmtId="166" fontId="2" fillId="0" borderId="0" xfId="3" applyNumberFormat="1" applyFont="1" applyAlignment="1">
      <alignment horizontal="center"/>
    </xf>
    <xf numFmtId="10" fontId="2" fillId="0" borderId="0" xfId="3" applyNumberFormat="1" applyFont="1" applyAlignment="1">
      <alignment horizontal="center"/>
    </xf>
    <xf numFmtId="3" fontId="8" fillId="48" borderId="0" xfId="0" applyNumberFormat="1" applyFont="1" applyFill="1"/>
    <xf numFmtId="166" fontId="100" fillId="0" borderId="0" xfId="0" applyNumberFormat="1" applyFont="1" applyAlignment="1">
      <alignment horizontal="center"/>
    </xf>
    <xf numFmtId="166" fontId="2" fillId="4" borderId="0" xfId="0" applyNumberFormat="1" applyFont="1" applyFill="1" applyAlignment="1">
      <alignment horizontal="center"/>
    </xf>
    <xf numFmtId="3" fontId="1" fillId="4" borderId="0" xfId="0" applyNumberFormat="1" applyFont="1" applyFill="1" applyAlignment="1">
      <alignment horizontal="left"/>
    </xf>
    <xf numFmtId="166" fontId="99" fillId="0" borderId="0" xfId="0" applyNumberFormat="1" applyFont="1" applyAlignment="1">
      <alignment horizontal="center"/>
    </xf>
    <xf numFmtId="0" fontId="101" fillId="0" borderId="0" xfId="0" applyFont="1" applyBorder="1"/>
    <xf numFmtId="0" fontId="101" fillId="2" borderId="0" xfId="0" applyFont="1" applyFill="1" applyBorder="1"/>
    <xf numFmtId="0" fontId="64" fillId="2" borderId="0" xfId="0" applyFont="1" applyFill="1"/>
    <xf numFmtId="167" fontId="2" fillId="2" borderId="0" xfId="0" applyNumberFormat="1" applyFont="1" applyFill="1"/>
    <xf numFmtId="167" fontId="2" fillId="2" borderId="0" xfId="0" applyNumberFormat="1" applyFont="1" applyFill="1" applyAlignment="1">
      <alignment horizontal="center"/>
    </xf>
    <xf numFmtId="166" fontId="64" fillId="2" borderId="0" xfId="0" applyNumberFormat="1" applyFont="1" applyFill="1" applyAlignment="1">
      <alignment horizontal="center"/>
    </xf>
    <xf numFmtId="2" fontId="63" fillId="2" borderId="0" xfId="0" applyNumberFormat="1" applyFont="1" applyFill="1" applyAlignment="1">
      <alignment horizontal="center"/>
    </xf>
    <xf numFmtId="187" fontId="63" fillId="2" borderId="0" xfId="0" applyNumberFormat="1" applyFont="1" applyFill="1" applyAlignment="1">
      <alignment horizontal="center"/>
    </xf>
    <xf numFmtId="3" fontId="2" fillId="0" borderId="0" xfId="0" applyNumberFormat="1" applyFont="1" applyFill="1" applyAlignment="1">
      <alignment horizontal="center"/>
    </xf>
    <xf numFmtId="166" fontId="1" fillId="0" borderId="0" xfId="0" applyNumberFormat="1" applyFont="1" applyAlignment="1">
      <alignment horizontal="center"/>
    </xf>
    <xf numFmtId="3" fontId="0" fillId="0" borderId="0" xfId="0" applyNumberFormat="1" applyAlignment="1">
      <alignment horizontal="center"/>
    </xf>
    <xf numFmtId="3" fontId="1" fillId="0" borderId="0" xfId="0" applyNumberFormat="1" applyFont="1" applyAlignment="1">
      <alignment horizontal="center"/>
    </xf>
    <xf numFmtId="0" fontId="2" fillId="62" borderId="0" xfId="0" applyFont="1" applyFill="1"/>
    <xf numFmtId="0" fontId="63" fillId="62" borderId="0" xfId="0" applyFont="1" applyFill="1"/>
    <xf numFmtId="0" fontId="99" fillId="62" borderId="0" xfId="0" applyFont="1" applyFill="1"/>
    <xf numFmtId="10" fontId="2" fillId="62" borderId="0" xfId="0" applyNumberFormat="1" applyFont="1" applyFill="1" applyAlignment="1">
      <alignment horizontal="center"/>
    </xf>
    <xf numFmtId="10" fontId="0" fillId="62" borderId="0" xfId="0" applyNumberFormat="1" applyFill="1" applyAlignment="1">
      <alignment horizontal="center"/>
    </xf>
    <xf numFmtId="0" fontId="2" fillId="62" borderId="0" xfId="0" applyFont="1" applyFill="1" applyAlignment="1">
      <alignment horizontal="center"/>
    </xf>
    <xf numFmtId="166" fontId="64" fillId="62" borderId="0" xfId="0" applyNumberFormat="1" applyFont="1" applyFill="1" applyAlignment="1">
      <alignment horizontal="center"/>
    </xf>
    <xf numFmtId="166" fontId="1" fillId="62" borderId="0" xfId="0" applyNumberFormat="1" applyFont="1" applyFill="1" applyAlignment="1">
      <alignment horizontal="center"/>
    </xf>
    <xf numFmtId="0" fontId="0" fillId="48" borderId="0" xfId="0" applyFill="1"/>
    <xf numFmtId="0" fontId="66" fillId="2" borderId="0" xfId="0" applyFont="1" applyFill="1" applyBorder="1"/>
    <xf numFmtId="188" fontId="63" fillId="2" borderId="0" xfId="3" applyNumberFormat="1" applyFont="1" applyFill="1" applyAlignment="1">
      <alignment horizontal="center"/>
    </xf>
    <xf numFmtId="0" fontId="102" fillId="0" borderId="0" xfId="0" applyFont="1"/>
    <xf numFmtId="0" fontId="2" fillId="0" borderId="0" xfId="3" applyNumberFormat="1" applyFont="1"/>
    <xf numFmtId="166" fontId="0" fillId="0" borderId="0" xfId="3" applyNumberFormat="1" applyFont="1" applyBorder="1" applyAlignment="1">
      <alignment wrapText="1"/>
    </xf>
    <xf numFmtId="0" fontId="4" fillId="48" borderId="0" xfId="0" applyFont="1" applyFill="1"/>
    <xf numFmtId="0" fontId="2" fillId="2" borderId="0" xfId="0" applyFont="1" applyFill="1" applyAlignment="1">
      <alignment horizontal="center"/>
    </xf>
    <xf numFmtId="167" fontId="0" fillId="2" borderId="0" xfId="0" applyNumberFormat="1" applyFill="1" applyBorder="1" applyAlignment="1">
      <alignment wrapText="1"/>
    </xf>
    <xf numFmtId="166" fontId="66" fillId="2" borderId="0" xfId="3" applyNumberFormat="1" applyFont="1" applyFill="1" applyBorder="1"/>
    <xf numFmtId="0" fontId="0" fillId="2" borderId="0" xfId="0" applyFill="1" applyBorder="1" applyAlignment="1">
      <alignment wrapText="1"/>
    </xf>
    <xf numFmtId="166" fontId="66" fillId="2" borderId="0" xfId="0" applyNumberFormat="1" applyFont="1" applyFill="1" applyBorder="1"/>
    <xf numFmtId="0" fontId="103" fillId="0" borderId="0" xfId="0" applyFont="1"/>
    <xf numFmtId="0" fontId="70" fillId="0" borderId="0" xfId="0" applyFont="1" applyBorder="1"/>
    <xf numFmtId="4" fontId="0" fillId="0" borderId="0" xfId="0" applyNumberFormat="1" applyFont="1"/>
    <xf numFmtId="4" fontId="0" fillId="63" borderId="0" xfId="0" applyNumberFormat="1" applyFont="1" applyFill="1"/>
    <xf numFmtId="0" fontId="104" fillId="50" borderId="0" xfId="0" applyFont="1" applyFill="1" applyBorder="1"/>
    <xf numFmtId="166" fontId="104" fillId="50" borderId="0" xfId="3" applyNumberFormat="1" applyFont="1" applyFill="1" applyBorder="1"/>
    <xf numFmtId="0" fontId="70" fillId="0" borderId="0" xfId="0" applyFont="1" applyBorder="1" applyAlignment="1">
      <alignment wrapText="1"/>
    </xf>
    <xf numFmtId="180" fontId="31" fillId="52" borderId="0" xfId="0" applyNumberFormat="1" applyFont="1" applyFill="1" applyBorder="1"/>
    <xf numFmtId="180" fontId="6" fillId="52" borderId="0" xfId="0" applyNumberFormat="1" applyFont="1" applyFill="1" applyBorder="1"/>
    <xf numFmtId="180" fontId="6" fillId="63" borderId="0" xfId="0" applyNumberFormat="1" applyFont="1" applyFill="1" applyBorder="1"/>
    <xf numFmtId="183" fontId="2" fillId="0" borderId="0" xfId="4" applyNumberFormat="1" applyFont="1"/>
    <xf numFmtId="0" fontId="0" fillId="0" borderId="0" xfId="0" applyFont="1"/>
    <xf numFmtId="0" fontId="5" fillId="0" borderId="0" xfId="0" applyFont="1" applyFill="1"/>
    <xf numFmtId="0" fontId="70" fillId="64" borderId="0" xfId="0" applyFont="1" applyFill="1" applyBorder="1"/>
    <xf numFmtId="0" fontId="68" fillId="64" borderId="0" xfId="0" applyFont="1" applyFill="1" applyBorder="1" applyAlignment="1">
      <alignment wrapText="1"/>
    </xf>
    <xf numFmtId="0" fontId="68" fillId="51" borderId="0" xfId="0" applyFont="1" applyFill="1" applyBorder="1" applyAlignment="1">
      <alignment wrapText="1"/>
    </xf>
    <xf numFmtId="0" fontId="70" fillId="51" borderId="0" xfId="0" applyFont="1" applyFill="1" applyBorder="1" applyAlignment="1">
      <alignment wrapText="1"/>
    </xf>
    <xf numFmtId="2" fontId="0" fillId="0" borderId="0" xfId="0" applyNumberFormat="1"/>
    <xf numFmtId="4" fontId="0" fillId="0" borderId="0" xfId="0" applyNumberFormat="1" applyFont="1" applyFill="1"/>
    <xf numFmtId="0" fontId="105" fillId="51" borderId="0" xfId="0" applyFont="1" applyFill="1" applyBorder="1" applyAlignment="1">
      <alignment wrapText="1"/>
    </xf>
    <xf numFmtId="4" fontId="0" fillId="0" borderId="0" xfId="0" applyNumberFormat="1"/>
    <xf numFmtId="180" fontId="0" fillId="0" borderId="0" xfId="0" applyNumberFormat="1"/>
    <xf numFmtId="0" fontId="67" fillId="51" borderId="0" xfId="0" applyFont="1" applyFill="1" applyBorder="1"/>
    <xf numFmtId="0" fontId="106" fillId="0" borderId="0" xfId="0" applyFont="1"/>
    <xf numFmtId="0" fontId="5" fillId="63" borderId="0" xfId="0" applyFont="1" applyFill="1"/>
    <xf numFmtId="1" fontId="0" fillId="0" borderId="0" xfId="0" applyNumberFormat="1"/>
    <xf numFmtId="3" fontId="0" fillId="0" borderId="0" xfId="0" applyNumberFormat="1"/>
    <xf numFmtId="3" fontId="79" fillId="63" borderId="0" xfId="0" applyNumberFormat="1" applyFont="1" applyFill="1"/>
    <xf numFmtId="166" fontId="2" fillId="49" borderId="0" xfId="0" applyNumberFormat="1" applyFont="1" applyFill="1"/>
    <xf numFmtId="3" fontId="0" fillId="0" borderId="0" xfId="0" applyNumberFormat="1" applyAlignment="1">
      <alignment wrapText="1"/>
    </xf>
    <xf numFmtId="166" fontId="0" fillId="0" borderId="0" xfId="0" applyNumberFormat="1" applyAlignment="1">
      <alignment wrapText="1"/>
    </xf>
    <xf numFmtId="0" fontId="88" fillId="52" borderId="0" xfId="0" applyFont="1" applyFill="1" applyBorder="1"/>
    <xf numFmtId="0" fontId="0" fillId="52" borderId="0" xfId="0" applyFill="1" applyBorder="1" applyAlignment="1">
      <alignment horizontal="left"/>
    </xf>
    <xf numFmtId="3" fontId="1" fillId="4" borderId="0" xfId="0" applyNumberFormat="1" applyFont="1" applyFill="1" applyAlignment="1">
      <alignment horizontal="center" vertical="top"/>
    </xf>
    <xf numFmtId="3" fontId="2" fillId="4" borderId="0" xfId="0" applyNumberFormat="1" applyFont="1" applyFill="1" applyAlignment="1">
      <alignment horizontal="center" vertical="top"/>
    </xf>
    <xf numFmtId="0" fontId="1" fillId="0" borderId="0" xfId="0" applyNumberFormat="1" applyFont="1" applyAlignment="1">
      <alignment horizontal="center" vertical="top"/>
    </xf>
    <xf numFmtId="0" fontId="1" fillId="4" borderId="0" xfId="0" applyNumberFormat="1" applyFont="1" applyFill="1" applyAlignment="1">
      <alignment horizontal="center" vertical="top"/>
    </xf>
    <xf numFmtId="3" fontId="1" fillId="0" borderId="0" xfId="0" applyNumberFormat="1" applyFont="1"/>
    <xf numFmtId="4" fontId="0" fillId="49" borderId="0" xfId="0" applyNumberFormat="1" applyFont="1" applyFill="1"/>
    <xf numFmtId="182" fontId="0" fillId="0" borderId="0" xfId="4" applyNumberFormat="1" applyFont="1"/>
    <xf numFmtId="0" fontId="0" fillId="2" borderId="0" xfId="0" applyFill="1"/>
    <xf numFmtId="164" fontId="0" fillId="0" borderId="0" xfId="0" applyNumberFormat="1"/>
    <xf numFmtId="167" fontId="2" fillId="0" borderId="0" xfId="0" applyNumberFormat="1" applyFont="1" applyFill="1" applyAlignment="1">
      <alignment horizontal="center"/>
    </xf>
    <xf numFmtId="167" fontId="0" fillId="0" borderId="0" xfId="0" applyNumberFormat="1" applyFont="1"/>
    <xf numFmtId="180" fontId="0" fillId="0" borderId="0" xfId="0" applyNumberFormat="1" applyFont="1"/>
    <xf numFmtId="180" fontId="0" fillId="63" borderId="0" xfId="0" applyNumberFormat="1" applyFont="1" applyFill="1"/>
    <xf numFmtId="182" fontId="0" fillId="0" borderId="0" xfId="0" applyNumberFormat="1"/>
    <xf numFmtId="1" fontId="3" fillId="3" borderId="0" xfId="0" applyNumberFormat="1" applyFont="1" applyFill="1" applyAlignment="1">
      <alignment horizontal="center"/>
    </xf>
    <xf numFmtId="167" fontId="2" fillId="3" borderId="0" xfId="0" applyNumberFormat="1" applyFont="1" applyFill="1" applyAlignment="1">
      <alignment horizontal="center"/>
    </xf>
    <xf numFmtId="166" fontId="2" fillId="0" borderId="0" xfId="3" applyNumberFormat="1" applyFont="1" applyFill="1" applyAlignment="1">
      <alignment horizontal="center"/>
    </xf>
    <xf numFmtId="0" fontId="64" fillId="0" borderId="0" xfId="0" applyFont="1" applyFill="1"/>
    <xf numFmtId="0" fontId="2" fillId="0" borderId="0" xfId="0" applyFont="1" applyFill="1" applyAlignment="1">
      <alignment horizontal="center"/>
    </xf>
    <xf numFmtId="0" fontId="1" fillId="62" borderId="0" xfId="0" applyFont="1" applyFill="1"/>
    <xf numFmtId="0" fontId="4" fillId="62" borderId="0" xfId="0" applyFont="1" applyFill="1"/>
    <xf numFmtId="1" fontId="2" fillId="62" borderId="0" xfId="0" applyNumberFormat="1" applyFont="1" applyFill="1" applyAlignment="1">
      <alignment horizontal="center"/>
    </xf>
    <xf numFmtId="0" fontId="64" fillId="62" borderId="0" xfId="0" applyFont="1" applyFill="1"/>
    <xf numFmtId="167" fontId="2" fillId="62" borderId="0" xfId="0" applyNumberFormat="1" applyFont="1" applyFill="1" applyAlignment="1">
      <alignment horizontal="center"/>
    </xf>
    <xf numFmtId="0" fontId="1" fillId="46" borderId="0" xfId="0" applyFont="1" applyFill="1"/>
    <xf numFmtId="0" fontId="4" fillId="46" borderId="0" xfId="0" applyFont="1" applyFill="1"/>
    <xf numFmtId="0" fontId="2" fillId="46" borderId="0" xfId="0" applyFont="1" applyFill="1"/>
    <xf numFmtId="167" fontId="1" fillId="46" borderId="0" xfId="0" applyNumberFormat="1" applyFont="1" applyFill="1" applyAlignment="1">
      <alignment horizontal="center"/>
    </xf>
    <xf numFmtId="166" fontId="1" fillId="46" borderId="0" xfId="3" applyNumberFormat="1" applyFont="1" applyFill="1" applyAlignment="1">
      <alignment horizontal="center"/>
    </xf>
    <xf numFmtId="0" fontId="107" fillId="0" borderId="0" xfId="2276" applyFont="1" applyFill="1" applyAlignment="1" applyProtection="1"/>
    <xf numFmtId="0" fontId="64" fillId="46" borderId="0" xfId="0" applyFont="1" applyFill="1"/>
    <xf numFmtId="167" fontId="2" fillId="46" borderId="0" xfId="0" applyNumberFormat="1" applyFont="1" applyFill="1" applyAlignment="1">
      <alignment horizontal="center"/>
    </xf>
    <xf numFmtId="166" fontId="64" fillId="46" borderId="0" xfId="0" applyNumberFormat="1" applyFont="1" applyFill="1" applyAlignment="1">
      <alignment horizontal="center"/>
    </xf>
    <xf numFmtId="166" fontId="2" fillId="46" borderId="0" xfId="3" applyNumberFormat="1" applyFont="1" applyFill="1" applyAlignment="1">
      <alignment horizontal="center"/>
    </xf>
    <xf numFmtId="0" fontId="2" fillId="65" borderId="0" xfId="0" applyFont="1" applyFill="1"/>
    <xf numFmtId="0" fontId="64" fillId="65" borderId="0" xfId="0" applyFont="1" applyFill="1"/>
    <xf numFmtId="0" fontId="0" fillId="65" borderId="0" xfId="0" applyFill="1"/>
    <xf numFmtId="3" fontId="1" fillId="62" borderId="0" xfId="0" applyNumberFormat="1" applyFont="1" applyFill="1" applyAlignment="1">
      <alignment horizontal="center"/>
    </xf>
    <xf numFmtId="3" fontId="2" fillId="62" borderId="0" xfId="0" applyNumberFormat="1" applyFont="1" applyFill="1" applyAlignment="1">
      <alignment horizontal="center"/>
    </xf>
    <xf numFmtId="0" fontId="1" fillId="65" borderId="0" xfId="0" applyFont="1" applyFill="1"/>
    <xf numFmtId="10" fontId="2" fillId="65" borderId="0" xfId="0" applyNumberFormat="1" applyFont="1" applyFill="1" applyAlignment="1">
      <alignment horizontal="center"/>
    </xf>
    <xf numFmtId="167" fontId="2" fillId="65" borderId="0" xfId="0" applyNumberFormat="1" applyFont="1" applyFill="1" applyAlignment="1">
      <alignment horizontal="center"/>
    </xf>
    <xf numFmtId="166" fontId="64" fillId="65" borderId="0" xfId="0" applyNumberFormat="1" applyFont="1" applyFill="1" applyAlignment="1">
      <alignment horizontal="center"/>
    </xf>
    <xf numFmtId="166" fontId="14" fillId="0" borderId="0" xfId="3" applyNumberFormat="1" applyFont="1" applyFill="1" applyBorder="1"/>
    <xf numFmtId="166" fontId="64" fillId="65" borderId="0" xfId="3" applyNumberFormat="1" applyFont="1" applyFill="1" applyAlignment="1">
      <alignment horizontal="center"/>
    </xf>
    <xf numFmtId="0" fontId="2" fillId="2" borderId="0" xfId="0" applyFont="1" applyFill="1"/>
    <xf numFmtId="0" fontId="11" fillId="0" borderId="0" xfId="0" applyFont="1" applyBorder="1" applyAlignment="1">
      <alignment wrapText="1"/>
    </xf>
    <xf numFmtId="2" fontId="0" fillId="0" borderId="0" xfId="0" applyNumberFormat="1" applyBorder="1" applyAlignment="1">
      <alignment horizontal="center" wrapText="1"/>
    </xf>
    <xf numFmtId="9" fontId="66" fillId="47" borderId="0" xfId="3" applyFont="1" applyFill="1" applyBorder="1"/>
    <xf numFmtId="2" fontId="2" fillId="2" borderId="0" xfId="0" applyNumberFormat="1" applyFont="1" applyFill="1" applyAlignment="1">
      <alignment horizontal="center"/>
    </xf>
    <xf numFmtId="167" fontId="1" fillId="62" borderId="0" xfId="0" applyNumberFormat="1" applyFont="1" applyFill="1" applyAlignment="1">
      <alignment horizontal="center"/>
    </xf>
    <xf numFmtId="10" fontId="64" fillId="65" borderId="0" xfId="0" applyNumberFormat="1" applyFont="1" applyFill="1" applyAlignment="1">
      <alignment horizontal="center"/>
    </xf>
    <xf numFmtId="0" fontId="107" fillId="0" borderId="0" xfId="2276" applyFont="1" applyFill="1" applyBorder="1" applyAlignment="1" applyProtection="1"/>
    <xf numFmtId="9" fontId="11" fillId="0" borderId="0" xfId="0" applyNumberFormat="1" applyFont="1" applyBorder="1" applyAlignment="1">
      <alignment wrapText="1"/>
    </xf>
    <xf numFmtId="0" fontId="2" fillId="0" borderId="0" xfId="0" applyFont="1" applyFill="1" applyAlignment="1"/>
    <xf numFmtId="166" fontId="2" fillId="65" borderId="0" xfId="3" applyNumberFormat="1" applyFont="1" applyFill="1"/>
    <xf numFmtId="0" fontId="85" fillId="0" borderId="0" xfId="0" applyFont="1" applyFill="1"/>
    <xf numFmtId="167" fontId="69" fillId="0" borderId="0" xfId="0" applyNumberFormat="1" applyFont="1" applyFill="1" applyAlignment="1">
      <alignment horizontal="center"/>
    </xf>
    <xf numFmtId="0" fontId="80" fillId="46" borderId="0" xfId="0" applyFont="1" applyFill="1" applyBorder="1" applyAlignment="1">
      <alignment wrapText="1"/>
    </xf>
    <xf numFmtId="0" fontId="0" fillId="66" borderId="0" xfId="0" applyFill="1" applyBorder="1" applyAlignment="1">
      <alignment wrapText="1"/>
    </xf>
    <xf numFmtId="0" fontId="0" fillId="67" borderId="0" xfId="0" applyFill="1" applyBorder="1" applyAlignment="1">
      <alignment wrapText="1"/>
    </xf>
    <xf numFmtId="0" fontId="0" fillId="4" borderId="0" xfId="0" applyFill="1" applyBorder="1" applyAlignment="1">
      <alignment wrapText="1"/>
    </xf>
    <xf numFmtId="0" fontId="0" fillId="48" borderId="0" xfId="0" applyFill="1" applyBorder="1" applyAlignment="1">
      <alignment wrapText="1"/>
    </xf>
    <xf numFmtId="183" fontId="1" fillId="46" borderId="0" xfId="4" applyNumberFormat="1" applyFont="1" applyFill="1" applyAlignment="1">
      <alignment horizontal="center"/>
    </xf>
    <xf numFmtId="10" fontId="1" fillId="0" borderId="0" xfId="0" applyNumberFormat="1" applyFont="1"/>
    <xf numFmtId="10" fontId="1" fillId="62" borderId="0" xfId="3" applyNumberFormat="1" applyFont="1" applyFill="1" applyAlignment="1">
      <alignment horizontal="center"/>
    </xf>
    <xf numFmtId="10" fontId="2" fillId="62" borderId="0" xfId="3" applyNumberFormat="1" applyFont="1" applyFill="1" applyAlignment="1">
      <alignment horizontal="center"/>
    </xf>
    <xf numFmtId="10" fontId="1" fillId="46" borderId="0" xfId="3" applyNumberFormat="1" applyFont="1" applyFill="1" applyAlignment="1">
      <alignment horizontal="center"/>
    </xf>
    <xf numFmtId="10" fontId="2" fillId="46" borderId="0" xfId="0" applyNumberFormat="1" applyFont="1" applyFill="1" applyAlignment="1">
      <alignment horizontal="center"/>
    </xf>
    <xf numFmtId="10" fontId="2" fillId="46" borderId="0" xfId="3" applyNumberFormat="1" applyFont="1" applyFill="1" applyAlignment="1">
      <alignment horizontal="center"/>
    </xf>
    <xf numFmtId="10" fontId="65" fillId="2" borderId="0" xfId="0" applyNumberFormat="1" applyFont="1" applyFill="1" applyAlignment="1">
      <alignment horizontal="center"/>
    </xf>
    <xf numFmtId="10" fontId="2" fillId="2" borderId="0" xfId="0" applyNumberFormat="1" applyFont="1" applyFill="1" applyAlignment="1">
      <alignment horizontal="center"/>
    </xf>
    <xf numFmtId="10" fontId="63" fillId="2" borderId="0" xfId="0" applyNumberFormat="1" applyFont="1" applyFill="1" applyAlignment="1">
      <alignment horizontal="center"/>
    </xf>
    <xf numFmtId="10" fontId="66" fillId="47" borderId="0" xfId="3" applyNumberFormat="1" applyFont="1" applyFill="1" applyBorder="1"/>
    <xf numFmtId="10" fontId="0" fillId="0" borderId="0" xfId="0" applyNumberFormat="1" applyBorder="1" applyAlignment="1">
      <alignment wrapText="1"/>
    </xf>
    <xf numFmtId="10" fontId="66" fillId="47" borderId="0" xfId="0" applyNumberFormat="1" applyFont="1" applyFill="1" applyBorder="1"/>
    <xf numFmtId="10" fontId="11" fillId="0" borderId="0" xfId="0" applyNumberFormat="1" applyFont="1" applyBorder="1" applyAlignment="1">
      <alignment wrapText="1"/>
    </xf>
    <xf numFmtId="10" fontId="63" fillId="46" borderId="0" xfId="0" applyNumberFormat="1" applyFont="1" applyFill="1" applyAlignment="1">
      <alignment horizontal="center"/>
    </xf>
    <xf numFmtId="0" fontId="108" fillId="68" borderId="0" xfId="0" applyFont="1" applyFill="1"/>
    <xf numFmtId="183" fontId="2" fillId="46" borderId="0" xfId="0" applyNumberFormat="1" applyFont="1" applyFill="1" applyAlignment="1">
      <alignment horizontal="center"/>
    </xf>
    <xf numFmtId="183" fontId="1" fillId="46" borderId="0" xfId="0" applyNumberFormat="1" applyFont="1" applyFill="1" applyAlignment="1">
      <alignment horizontal="center"/>
    </xf>
    <xf numFmtId="10" fontId="3" fillId="3" borderId="0" xfId="0" applyNumberFormat="1" applyFont="1" applyFill="1" applyAlignment="1">
      <alignment horizontal="center"/>
    </xf>
    <xf numFmtId="183" fontId="1" fillId="62" borderId="0" xfId="0" applyNumberFormat="1" applyFont="1" applyFill="1" applyAlignment="1">
      <alignment horizontal="center"/>
    </xf>
    <xf numFmtId="1" fontId="2" fillId="2" borderId="0" xfId="0" applyNumberFormat="1" applyFont="1" applyFill="1" applyAlignment="1">
      <alignment horizontal="center"/>
    </xf>
    <xf numFmtId="1" fontId="0" fillId="2" borderId="0" xfId="0" applyNumberFormat="1" applyFill="1"/>
    <xf numFmtId="166" fontId="111" fillId="2" borderId="0" xfId="0" applyNumberFormat="1" applyFont="1" applyFill="1" applyAlignment="1">
      <alignment horizontal="center"/>
    </xf>
    <xf numFmtId="167" fontId="0" fillId="2" borderId="0" xfId="0" applyNumberFormat="1" applyFill="1"/>
    <xf numFmtId="0" fontId="109" fillId="62" borderId="0" xfId="0" applyFont="1" applyFill="1" applyBorder="1"/>
    <xf numFmtId="0" fontId="109" fillId="62" borderId="0" xfId="0" applyNumberFormat="1" applyFont="1" applyFill="1" applyBorder="1"/>
    <xf numFmtId="183" fontId="109" fillId="62" borderId="0" xfId="0" applyNumberFormat="1" applyFont="1" applyFill="1" applyBorder="1"/>
    <xf numFmtId="166" fontId="109" fillId="62" borderId="0" xfId="0" applyNumberFormat="1" applyFont="1" applyFill="1" applyBorder="1"/>
    <xf numFmtId="166" fontId="111" fillId="62" borderId="0" xfId="0" applyNumberFormat="1" applyFont="1" applyFill="1" applyBorder="1" applyAlignment="1">
      <alignment horizontal="center" vertical="top"/>
    </xf>
    <xf numFmtId="166" fontId="111" fillId="65" borderId="0" xfId="0" applyNumberFormat="1" applyFont="1" applyFill="1" applyAlignment="1">
      <alignment horizontal="center"/>
    </xf>
    <xf numFmtId="166" fontId="111" fillId="65" borderId="0" xfId="0" applyNumberFormat="1" applyFont="1" applyFill="1" applyBorder="1" applyAlignment="1">
      <alignment horizontal="center"/>
    </xf>
    <xf numFmtId="0" fontId="111" fillId="65" borderId="0" xfId="0" applyFont="1" applyFill="1" applyAlignment="1">
      <alignment horizontal="center"/>
    </xf>
    <xf numFmtId="10" fontId="110" fillId="62" borderId="0" xfId="0" applyNumberFormat="1" applyFont="1" applyFill="1" applyAlignment="1">
      <alignment horizontal="center"/>
    </xf>
    <xf numFmtId="183" fontId="112" fillId="0" borderId="0" xfId="0" applyNumberFormat="1" applyFont="1"/>
    <xf numFmtId="183" fontId="2" fillId="0" borderId="0" xfId="0" applyNumberFormat="1" applyFont="1" applyFill="1" applyAlignment="1">
      <alignment horizontal="center"/>
    </xf>
    <xf numFmtId="166" fontId="11" fillId="0" borderId="0" xfId="0" applyNumberFormat="1" applyFont="1" applyBorder="1" applyAlignment="1">
      <alignment wrapText="1"/>
    </xf>
    <xf numFmtId="166" fontId="64" fillId="2" borderId="0" xfId="0" applyNumberFormat="1" applyFont="1" applyFill="1"/>
    <xf numFmtId="166" fontId="114" fillId="47" borderId="0" xfId="0" applyNumberFormat="1" applyFont="1" applyFill="1" applyBorder="1"/>
    <xf numFmtId="0" fontId="111" fillId="62" borderId="0" xfId="0" applyFont="1" applyFill="1" applyBorder="1"/>
    <xf numFmtId="167" fontId="113" fillId="0" borderId="0" xfId="0" applyNumberFormat="1" applyFont="1" applyAlignment="1">
      <alignment horizontal="center"/>
    </xf>
    <xf numFmtId="0" fontId="114" fillId="47" borderId="0" xfId="0" applyFont="1" applyFill="1"/>
    <xf numFmtId="166" fontId="114" fillId="47" borderId="0" xfId="0" applyNumberFormat="1" applyFont="1" applyFill="1" applyAlignment="1"/>
    <xf numFmtId="183" fontId="0" fillId="0" borderId="0" xfId="0" applyNumberFormat="1" applyBorder="1" applyAlignment="1">
      <alignment horizontal="center" wrapText="1"/>
    </xf>
    <xf numFmtId="166" fontId="64" fillId="62" borderId="0" xfId="0" applyNumberFormat="1" applyFont="1" applyFill="1"/>
    <xf numFmtId="166" fontId="113" fillId="2" borderId="0" xfId="0" applyNumberFormat="1" applyFont="1" applyFill="1"/>
    <xf numFmtId="166" fontId="113" fillId="2" borderId="0" xfId="3" applyNumberFormat="1" applyFont="1" applyFill="1" applyBorder="1"/>
    <xf numFmtId="183" fontId="2" fillId="62" borderId="0" xfId="0" applyNumberFormat="1" applyFont="1" applyFill="1" applyAlignment="1">
      <alignment horizontal="center"/>
    </xf>
    <xf numFmtId="189" fontId="0" fillId="0" borderId="0" xfId="0" applyNumberFormat="1"/>
    <xf numFmtId="190" fontId="0" fillId="0" borderId="0" xfId="0" applyNumberFormat="1"/>
    <xf numFmtId="10" fontId="110" fillId="2" borderId="0" xfId="0" applyNumberFormat="1" applyFont="1" applyFill="1" applyAlignment="1"/>
    <xf numFmtId="167" fontId="0" fillId="0" borderId="0" xfId="0" applyNumberFormat="1" applyFill="1"/>
    <xf numFmtId="0" fontId="0" fillId="0" borderId="0" xfId="0" applyFont="1" applyFill="1"/>
    <xf numFmtId="0" fontId="115" fillId="0" borderId="0" xfId="0" applyFont="1"/>
    <xf numFmtId="0" fontId="116" fillId="0" borderId="0" xfId="0" applyFont="1"/>
    <xf numFmtId="167" fontId="0" fillId="0" borderId="0" xfId="0" applyNumberFormat="1" applyFont="1" applyFill="1"/>
    <xf numFmtId="188" fontId="2" fillId="0" borderId="0" xfId="3" applyNumberFormat="1" applyFont="1"/>
    <xf numFmtId="166" fontId="113" fillId="2" borderId="0" xfId="0" applyNumberFormat="1" applyFont="1" applyFill="1" applyAlignment="1"/>
    <xf numFmtId="0" fontId="117" fillId="0" borderId="0" xfId="0" applyFont="1"/>
    <xf numFmtId="0" fontId="4" fillId="2" borderId="0" xfId="0" applyFont="1" applyFill="1"/>
    <xf numFmtId="0" fontId="118" fillId="0" borderId="0" xfId="0" applyFont="1" applyFill="1"/>
    <xf numFmtId="183" fontId="119" fillId="0" borderId="0" xfId="0" applyNumberFormat="1" applyFont="1"/>
    <xf numFmtId="183" fontId="120" fillId="0" borderId="0" xfId="0" applyNumberFormat="1" applyFont="1"/>
    <xf numFmtId="183" fontId="63" fillId="0" borderId="0" xfId="0" applyNumberFormat="1" applyFont="1"/>
    <xf numFmtId="183" fontId="65" fillId="0" borderId="0" xfId="0" applyNumberFormat="1" applyFont="1"/>
    <xf numFmtId="180" fontId="2" fillId="0" borderId="0" xfId="0" applyNumberFormat="1" applyFont="1" applyAlignment="1">
      <alignment horizontal="center"/>
    </xf>
    <xf numFmtId="43" fontId="69" fillId="0" borderId="0" xfId="0" applyNumberFormat="1" applyFont="1"/>
    <xf numFmtId="166" fontId="69" fillId="0" borderId="0" xfId="0" applyNumberFormat="1" applyFont="1"/>
    <xf numFmtId="166" fontId="2" fillId="62" borderId="0" xfId="0" applyNumberFormat="1" applyFont="1" applyFill="1"/>
    <xf numFmtId="182" fontId="1" fillId="0" borderId="0" xfId="4" applyNumberFormat="1" applyFont="1"/>
    <xf numFmtId="0" fontId="6" fillId="52" borderId="0" xfId="0" applyFont="1" applyFill="1" applyBorder="1"/>
    <xf numFmtId="167" fontId="0" fillId="69" borderId="0" xfId="0" applyNumberFormat="1" applyFill="1" applyBorder="1" applyAlignment="1">
      <alignment wrapText="1"/>
    </xf>
    <xf numFmtId="164" fontId="0" fillId="0" borderId="0" xfId="0" applyNumberFormat="1" applyBorder="1" applyAlignment="1">
      <alignment wrapText="1"/>
    </xf>
    <xf numFmtId="191" fontId="2" fillId="0" borderId="0" xfId="0" applyNumberFormat="1" applyFont="1"/>
    <xf numFmtId="166" fontId="65" fillId="0" borderId="0" xfId="0" applyNumberFormat="1" applyFont="1"/>
    <xf numFmtId="180" fontId="67" fillId="50" borderId="0" xfId="0" applyNumberFormat="1" applyFont="1" applyFill="1" applyBorder="1"/>
    <xf numFmtId="167" fontId="67" fillId="0" borderId="0" xfId="0" applyNumberFormat="1" applyFont="1" applyFill="1" applyBorder="1"/>
    <xf numFmtId="167" fontId="67" fillId="0" borderId="0" xfId="3" applyNumberFormat="1" applyFont="1" applyFill="1" applyBorder="1"/>
    <xf numFmtId="183" fontId="66" fillId="0" borderId="0" xfId="0" applyNumberFormat="1" applyFont="1" applyFill="1" applyBorder="1"/>
    <xf numFmtId="183" fontId="1" fillId="0" borderId="0" xfId="4" applyNumberFormat="1" applyFont="1"/>
    <xf numFmtId="0" fontId="2" fillId="0" borderId="0" xfId="0" applyFont="1" applyAlignment="1">
      <alignment vertical="center"/>
    </xf>
    <xf numFmtId="180" fontId="69" fillId="0" borderId="0" xfId="0" applyNumberFormat="1" applyFont="1" applyAlignment="1">
      <alignment horizontal="right"/>
    </xf>
    <xf numFmtId="167" fontId="69" fillId="0" borderId="0" xfId="0" applyNumberFormat="1" applyFont="1" applyAlignment="1">
      <alignment horizontal="right" vertical="top"/>
    </xf>
    <xf numFmtId="167" fontId="82" fillId="0" borderId="0" xfId="0" applyNumberFormat="1" applyFont="1"/>
    <xf numFmtId="180" fontId="82" fillId="0" borderId="0" xfId="0" applyNumberFormat="1" applyFont="1"/>
    <xf numFmtId="166" fontId="82" fillId="0" borderId="0" xfId="0" applyNumberFormat="1" applyFont="1"/>
    <xf numFmtId="180" fontId="82" fillId="0" borderId="0" xfId="0" applyNumberFormat="1" applyFont="1" applyAlignment="1">
      <alignment horizontal="right" vertical="top"/>
    </xf>
    <xf numFmtId="180" fontId="69" fillId="0" borderId="0" xfId="0" applyNumberFormat="1" applyFont="1" applyAlignment="1">
      <alignment horizontal="right" vertical="top"/>
    </xf>
    <xf numFmtId="0" fontId="0" fillId="5" borderId="0" xfId="0" applyFill="1"/>
    <xf numFmtId="43" fontId="5" fillId="0" borderId="0" xfId="4" applyFont="1"/>
    <xf numFmtId="43" fontId="0" fillId="0" borderId="0" xfId="4" applyFont="1"/>
    <xf numFmtId="43" fontId="10" fillId="0" borderId="0" xfId="4" applyFont="1"/>
    <xf numFmtId="183" fontId="5" fillId="0" borderId="0" xfId="4" applyNumberFormat="1" applyFont="1"/>
    <xf numFmtId="0" fontId="2" fillId="3" borderId="0" xfId="0" applyFont="1" applyFill="1"/>
    <xf numFmtId="183" fontId="82" fillId="0" borderId="0" xfId="0" applyNumberFormat="1" applyFont="1"/>
    <xf numFmtId="183" fontId="69" fillId="0" borderId="0" xfId="0" applyNumberFormat="1" applyFont="1"/>
    <xf numFmtId="0" fontId="7" fillId="0" borderId="0" xfId="0" applyFont="1"/>
    <xf numFmtId="0" fontId="83" fillId="0" borderId="0" xfId="0" applyFont="1"/>
    <xf numFmtId="0" fontId="122" fillId="0" borderId="0" xfId="0" applyFont="1"/>
    <xf numFmtId="0" fontId="121" fillId="0" borderId="0" xfId="0" applyFont="1"/>
    <xf numFmtId="0" fontId="124" fillId="0" borderId="0" xfId="0" applyFont="1"/>
    <xf numFmtId="0" fontId="123" fillId="0" borderId="0" xfId="0" applyFont="1"/>
    <xf numFmtId="0" fontId="4" fillId="70" borderId="0" xfId="0" applyFont="1" applyFill="1"/>
    <xf numFmtId="0" fontId="2" fillId="70" borderId="0" xfId="0" applyFont="1" applyFill="1"/>
    <xf numFmtId="166" fontId="2" fillId="70" borderId="0" xfId="0" applyNumberFormat="1" applyFont="1" applyFill="1"/>
    <xf numFmtId="41" fontId="2" fillId="70" borderId="0" xfId="0" applyNumberFormat="1" applyFont="1" applyFill="1"/>
    <xf numFmtId="0" fontId="3" fillId="70" borderId="0" xfId="0" applyFont="1" applyFill="1"/>
    <xf numFmtId="0" fontId="126" fillId="70" borderId="0" xfId="0" applyFont="1" applyFill="1"/>
    <xf numFmtId="0" fontId="127" fillId="70" borderId="0" xfId="0" applyFont="1" applyFill="1"/>
    <xf numFmtId="0" fontId="128" fillId="70" borderId="0" xfId="0" applyFont="1" applyFill="1"/>
    <xf numFmtId="0" fontId="121" fillId="71" borderId="0" xfId="0" applyFont="1" applyFill="1"/>
    <xf numFmtId="0" fontId="123" fillId="71" borderId="0" xfId="0" applyFont="1" applyFill="1"/>
    <xf numFmtId="0" fontId="125" fillId="71" borderId="0" xfId="0" applyFont="1" applyFill="1"/>
    <xf numFmtId="166" fontId="2" fillId="71" borderId="0" xfId="0" applyNumberFormat="1" applyFont="1" applyFill="1"/>
    <xf numFmtId="0" fontId="2" fillId="71" borderId="0" xfId="0" applyFont="1" applyFill="1"/>
    <xf numFmtId="0" fontId="122" fillId="71" borderId="0" xfId="0" applyFont="1" applyFill="1"/>
    <xf numFmtId="0" fontId="124" fillId="71" borderId="0" xfId="0" applyFont="1" applyFill="1"/>
    <xf numFmtId="0" fontId="4" fillId="71" borderId="0" xfId="0" applyFont="1" applyFill="1"/>
    <xf numFmtId="166" fontId="1" fillId="0" borderId="0" xfId="0" applyNumberFormat="1" applyFont="1" applyFill="1"/>
    <xf numFmtId="0" fontId="86" fillId="0" borderId="0" xfId="0" applyFont="1"/>
    <xf numFmtId="0" fontId="86" fillId="2" borderId="0" xfId="0" applyFont="1" applyFill="1"/>
    <xf numFmtId="0" fontId="108" fillId="72" borderId="0" xfId="0" applyFont="1" applyFill="1"/>
    <xf numFmtId="9" fontId="0" fillId="0" borderId="0" xfId="0" applyNumberFormat="1"/>
    <xf numFmtId="182" fontId="2" fillId="0" borderId="0" xfId="0" applyNumberFormat="1" applyFont="1"/>
    <xf numFmtId="166" fontId="11" fillId="0" borderId="0" xfId="0" applyNumberFormat="1" applyFont="1"/>
    <xf numFmtId="10" fontId="3" fillId="3" borderId="0" xfId="0" applyNumberFormat="1" applyFont="1" applyFill="1"/>
    <xf numFmtId="44" fontId="0" fillId="0" borderId="0" xfId="7393" applyFont="1"/>
    <xf numFmtId="8" fontId="0" fillId="0" borderId="0" xfId="0" applyNumberFormat="1"/>
    <xf numFmtId="10" fontId="0" fillId="0" borderId="0" xfId="0" applyNumberFormat="1" applyFont="1"/>
    <xf numFmtId="4" fontId="31" fillId="52" borderId="0" xfId="0" applyNumberFormat="1" applyFont="1" applyFill="1" applyBorder="1"/>
    <xf numFmtId="41" fontId="2" fillId="48" borderId="0" xfId="0" applyNumberFormat="1" applyFont="1" applyFill="1"/>
    <xf numFmtId="166" fontId="1" fillId="0" borderId="0" xfId="3" applyNumberFormat="1" applyFont="1"/>
    <xf numFmtId="0" fontId="68" fillId="49" borderId="0" xfId="0" applyFont="1" applyFill="1" applyBorder="1" applyAlignment="1">
      <alignment wrapText="1"/>
    </xf>
    <xf numFmtId="167" fontId="8" fillId="0" borderId="0" xfId="0" applyNumberFormat="1" applyFont="1" applyAlignment="1">
      <alignment horizontal="center"/>
    </xf>
    <xf numFmtId="0" fontId="70" fillId="49" borderId="0" xfId="0" applyFont="1" applyFill="1" applyBorder="1" applyAlignment="1">
      <alignment wrapText="1"/>
    </xf>
    <xf numFmtId="0" fontId="105" fillId="0" borderId="0" xfId="0" applyFont="1" applyBorder="1"/>
    <xf numFmtId="0" fontId="5" fillId="0" borderId="0" xfId="0" applyFont="1" applyBorder="1" applyAlignment="1">
      <alignment wrapText="1"/>
    </xf>
    <xf numFmtId="0" fontId="2" fillId="49" borderId="0" xfId="0" quotePrefix="1" applyFont="1" applyFill="1"/>
    <xf numFmtId="167" fontId="0" fillId="49" borderId="0" xfId="0" applyNumberFormat="1" applyFill="1" applyBorder="1" applyAlignment="1">
      <alignment horizontal="right"/>
    </xf>
    <xf numFmtId="166" fontId="67" fillId="0" borderId="0" xfId="3" applyNumberFormat="1" applyFont="1" applyFill="1" applyBorder="1"/>
    <xf numFmtId="0" fontId="2" fillId="0" borderId="2" xfId="0" applyFont="1" applyBorder="1"/>
    <xf numFmtId="182" fontId="69" fillId="0" borderId="0" xfId="0" applyNumberFormat="1" applyFont="1"/>
    <xf numFmtId="10" fontId="69" fillId="0" borderId="0" xfId="0" applyNumberFormat="1" applyFont="1"/>
    <xf numFmtId="1" fontId="8" fillId="0" borderId="0" xfId="0" applyNumberFormat="1" applyFont="1"/>
    <xf numFmtId="0" fontId="108" fillId="73" borderId="0" xfId="0" applyFont="1" applyFill="1"/>
    <xf numFmtId="166" fontId="111" fillId="49" borderId="0" xfId="0" applyNumberFormat="1" applyFont="1" applyFill="1" applyBorder="1" applyAlignment="1">
      <alignment horizontal="center" vertical="top"/>
    </xf>
    <xf numFmtId="0" fontId="1" fillId="49" borderId="0" xfId="0" applyFont="1" applyFill="1"/>
    <xf numFmtId="1" fontId="0" fillId="0" borderId="0" xfId="0" applyNumberFormat="1" applyFill="1"/>
    <xf numFmtId="1" fontId="3" fillId="3" borderId="0" xfId="0" applyNumberFormat="1" applyFont="1" applyFill="1"/>
    <xf numFmtId="0" fontId="1" fillId="19" borderId="0" xfId="0" applyFont="1" applyFill="1"/>
    <xf numFmtId="0" fontId="2" fillId="19" borderId="0" xfId="0" applyFont="1" applyFill="1"/>
    <xf numFmtId="167" fontId="2" fillId="19" borderId="0" xfId="0" applyNumberFormat="1" applyFont="1" applyFill="1"/>
    <xf numFmtId="1" fontId="2" fillId="19" borderId="0" xfId="0" applyNumberFormat="1" applyFont="1" applyFill="1"/>
    <xf numFmtId="41" fontId="2" fillId="19" borderId="0" xfId="0" applyNumberFormat="1" applyFont="1" applyFill="1"/>
    <xf numFmtId="10" fontId="2" fillId="19" borderId="0" xfId="3" applyNumberFormat="1" applyFont="1" applyFill="1"/>
    <xf numFmtId="0" fontId="1" fillId="71" borderId="0" xfId="0" applyFont="1" applyFill="1"/>
    <xf numFmtId="167" fontId="65" fillId="71" borderId="0" xfId="4" applyNumberFormat="1" applyFont="1" applyFill="1"/>
    <xf numFmtId="192" fontId="1" fillId="71" borderId="0" xfId="0" applyNumberFormat="1" applyFont="1" applyFill="1"/>
    <xf numFmtId="10" fontId="1" fillId="71" borderId="0" xfId="3" applyNumberFormat="1" applyFont="1" applyFill="1"/>
    <xf numFmtId="10" fontId="2" fillId="0" borderId="0" xfId="3" applyNumberFormat="1" applyFont="1" applyFill="1"/>
    <xf numFmtId="167" fontId="82" fillId="0" borderId="0" xfId="4" applyNumberFormat="1" applyFont="1" applyFill="1"/>
    <xf numFmtId="192" fontId="1" fillId="0" borderId="0" xfId="0" applyNumberFormat="1" applyFont="1" applyFill="1"/>
    <xf numFmtId="10" fontId="1" fillId="0" borderId="0" xfId="3" applyNumberFormat="1" applyFont="1" applyFill="1"/>
    <xf numFmtId="10" fontId="1" fillId="0" borderId="0" xfId="3" applyNumberFormat="1" applyFont="1"/>
    <xf numFmtId="167" fontId="65" fillId="0" borderId="0" xfId="4" applyNumberFormat="1" applyFont="1" applyFill="1"/>
    <xf numFmtId="192" fontId="2" fillId="0" borderId="0" xfId="0" applyNumberFormat="1" applyFont="1" applyFill="1"/>
    <xf numFmtId="167" fontId="63" fillId="0" borderId="0" xfId="4" applyNumberFormat="1" applyFont="1" applyFill="1"/>
    <xf numFmtId="192" fontId="1" fillId="0" borderId="0" xfId="0" applyNumberFormat="1" applyFont="1"/>
    <xf numFmtId="9" fontId="2" fillId="0" borderId="0" xfId="0" applyNumberFormat="1" applyFont="1" applyFill="1"/>
    <xf numFmtId="167" fontId="69" fillId="0" borderId="0" xfId="4" applyNumberFormat="1" applyFont="1" applyFill="1"/>
    <xf numFmtId="192" fontId="2" fillId="0" borderId="0" xfId="0" applyNumberFormat="1" applyFont="1"/>
    <xf numFmtId="192" fontId="2" fillId="71" borderId="0" xfId="0" applyNumberFormat="1" applyFont="1" applyFill="1"/>
    <xf numFmtId="10" fontId="2" fillId="71" borderId="0" xfId="3" applyNumberFormat="1" applyFont="1" applyFill="1"/>
    <xf numFmtId="167" fontId="65" fillId="0" borderId="0" xfId="4" applyNumberFormat="1" applyFont="1"/>
    <xf numFmtId="167" fontId="69" fillId="0" borderId="0" xfId="4" applyNumberFormat="1" applyFont="1"/>
    <xf numFmtId="3" fontId="73" fillId="0" borderId="0" xfId="0" applyNumberFormat="1" applyFont="1" applyFill="1"/>
    <xf numFmtId="167" fontId="82" fillId="0" borderId="0" xfId="4" applyNumberFormat="1" applyFont="1"/>
    <xf numFmtId="167" fontId="63" fillId="0" borderId="0" xfId="4" applyNumberFormat="1" applyFont="1"/>
    <xf numFmtId="41" fontId="2" fillId="0" borderId="0" xfId="0" applyNumberFormat="1" applyFont="1" applyFill="1"/>
    <xf numFmtId="2" fontId="1" fillId="0" borderId="0" xfId="0" applyNumberFormat="1" applyFont="1" applyFill="1"/>
    <xf numFmtId="167" fontId="1" fillId="0" borderId="0" xfId="4" applyNumberFormat="1" applyFont="1" applyFill="1"/>
    <xf numFmtId="183" fontId="1" fillId="0" borderId="0" xfId="4" applyNumberFormat="1" applyFont="1" applyFill="1"/>
    <xf numFmtId="193" fontId="1" fillId="0" borderId="0" xfId="0" applyNumberFormat="1" applyFont="1" applyFill="1"/>
    <xf numFmtId="193" fontId="2" fillId="0" borderId="0" xfId="0" applyNumberFormat="1" applyFont="1" applyFill="1"/>
    <xf numFmtId="167" fontId="69" fillId="0" borderId="0" xfId="0" applyNumberFormat="1" applyFont="1" applyFill="1"/>
    <xf numFmtId="2" fontId="69" fillId="0" borderId="0" xfId="0" applyNumberFormat="1" applyFont="1" applyFill="1"/>
    <xf numFmtId="166" fontId="2" fillId="0" borderId="0" xfId="3" applyNumberFormat="1" applyFont="1" applyFill="1"/>
    <xf numFmtId="182" fontId="9" fillId="0" borderId="0" xfId="4" applyNumberFormat="1" applyFont="1" applyFill="1"/>
    <xf numFmtId="10" fontId="9" fillId="0" borderId="0" xfId="3" applyNumberFormat="1" applyFont="1" applyFill="1"/>
    <xf numFmtId="182" fontId="69" fillId="0" borderId="0" xfId="4" applyNumberFormat="1" applyFont="1" applyFill="1"/>
    <xf numFmtId="183" fontId="2" fillId="0" borderId="0" xfId="4" applyNumberFormat="1" applyFont="1" applyFill="1"/>
    <xf numFmtId="180" fontId="69" fillId="0" borderId="0" xfId="0" applyNumberFormat="1" applyFont="1" applyFill="1"/>
    <xf numFmtId="183" fontId="82" fillId="0" borderId="0" xfId="4" applyNumberFormat="1" applyFont="1" applyFill="1"/>
    <xf numFmtId="183" fontId="9" fillId="0" borderId="0" xfId="4" applyNumberFormat="1" applyFont="1" applyFill="1"/>
    <xf numFmtId="43" fontId="2" fillId="0" borderId="0" xfId="0" applyNumberFormat="1" applyFont="1" applyFill="1"/>
    <xf numFmtId="43" fontId="69" fillId="0" borderId="0" xfId="0" applyNumberFormat="1" applyFont="1" applyFill="1"/>
    <xf numFmtId="167" fontId="8" fillId="0" borderId="0" xfId="0" applyNumberFormat="1" applyFont="1" applyFill="1"/>
    <xf numFmtId="2" fontId="8" fillId="0" borderId="0" xfId="0" applyNumberFormat="1" applyFont="1" applyFill="1"/>
    <xf numFmtId="3" fontId="1" fillId="0" borderId="0" xfId="0" applyNumberFormat="1" applyFont="1" applyFill="1"/>
    <xf numFmtId="167" fontId="2" fillId="0" borderId="0" xfId="4" applyNumberFormat="1" applyFont="1" applyFill="1"/>
    <xf numFmtId="183" fontId="2" fillId="0" borderId="0" xfId="0" applyNumberFormat="1" applyFont="1" applyFill="1"/>
    <xf numFmtId="182" fontId="1" fillId="0" borderId="0" xfId="4" applyNumberFormat="1" applyFont="1" applyFill="1"/>
    <xf numFmtId="41" fontId="1" fillId="0" borderId="0" xfId="0" applyNumberFormat="1" applyFont="1" applyFill="1"/>
    <xf numFmtId="4" fontId="82" fillId="0" borderId="0" xfId="0" applyNumberFormat="1" applyFont="1" applyFill="1"/>
    <xf numFmtId="10" fontId="1" fillId="0" borderId="0" xfId="0" applyNumberFormat="1" applyFont="1" applyFill="1"/>
    <xf numFmtId="2" fontId="82" fillId="0" borderId="0" xfId="0" applyNumberFormat="1" applyFont="1" applyFill="1"/>
    <xf numFmtId="180" fontId="2" fillId="0" borderId="0" xfId="0" applyNumberFormat="1" applyFont="1" applyFill="1"/>
    <xf numFmtId="167" fontId="69" fillId="0" borderId="0" xfId="0" applyNumberFormat="1" applyFont="1" applyFill="1" applyBorder="1"/>
    <xf numFmtId="183" fontId="69" fillId="0" borderId="0" xfId="0" applyNumberFormat="1" applyFont="1" applyFill="1" applyBorder="1"/>
    <xf numFmtId="3" fontId="69" fillId="0" borderId="0" xfId="0" applyNumberFormat="1" applyFont="1" applyFill="1"/>
    <xf numFmtId="189" fontId="8" fillId="0" borderId="0" xfId="0" applyNumberFormat="1" applyFont="1" applyFill="1"/>
    <xf numFmtId="167" fontId="69" fillId="0" borderId="0" xfId="3" applyNumberFormat="1" applyFont="1" applyFill="1"/>
    <xf numFmtId="166" fontId="69" fillId="0" borderId="0" xfId="3" applyNumberFormat="1" applyFont="1" applyFill="1"/>
    <xf numFmtId="166" fontId="8" fillId="0" borderId="0" xfId="3" applyNumberFormat="1" applyFont="1" applyFill="1"/>
    <xf numFmtId="10" fontId="8" fillId="0" borderId="0" xfId="3" applyNumberFormat="1" applyFont="1" applyFill="1"/>
    <xf numFmtId="167" fontId="8" fillId="0" borderId="0" xfId="3" applyNumberFormat="1" applyFont="1" applyFill="1"/>
    <xf numFmtId="3" fontId="82" fillId="0" borderId="0" xfId="0" applyNumberFormat="1" applyFont="1" applyFill="1"/>
    <xf numFmtId="167" fontId="82" fillId="0" borderId="0" xfId="0" applyNumberFormat="1" applyFont="1" applyFill="1"/>
    <xf numFmtId="3" fontId="9" fillId="0" borderId="0" xfId="0" applyNumberFormat="1" applyFont="1" applyFill="1"/>
    <xf numFmtId="3" fontId="2" fillId="0" borderId="0" xfId="0" applyNumberFormat="1" applyFont="1" applyFill="1"/>
    <xf numFmtId="0" fontId="63" fillId="0" borderId="0" xfId="0" applyFont="1" applyFill="1" applyAlignment="1">
      <alignment vertical="center"/>
    </xf>
    <xf numFmtId="166" fontId="1" fillId="0" borderId="0" xfId="3" applyNumberFormat="1" applyFont="1" applyFill="1"/>
    <xf numFmtId="9" fontId="1" fillId="0" borderId="0" xfId="0" applyNumberFormat="1" applyFont="1" applyFill="1"/>
    <xf numFmtId="166" fontId="69" fillId="0" borderId="0" xfId="0" applyNumberFormat="1" applyFont="1" applyFill="1"/>
    <xf numFmtId="194" fontId="1" fillId="0" borderId="0" xfId="4" applyNumberFormat="1" applyFont="1" applyFill="1"/>
    <xf numFmtId="194" fontId="2" fillId="0" borderId="0" xfId="0" applyNumberFormat="1" applyFont="1" applyFill="1"/>
    <xf numFmtId="1" fontId="1" fillId="0" borderId="0" xfId="0" applyNumberFormat="1" applyFont="1" applyFill="1"/>
    <xf numFmtId="4" fontId="1" fillId="0" borderId="0" xfId="0" applyNumberFormat="1" applyFont="1" applyFill="1"/>
    <xf numFmtId="183" fontId="69" fillId="0" borderId="0" xfId="4" applyNumberFormat="1" applyFont="1" applyFill="1"/>
    <xf numFmtId="43" fontId="1" fillId="0" borderId="0" xfId="4" applyFont="1" applyFill="1"/>
    <xf numFmtId="4" fontId="69" fillId="0" borderId="0" xfId="0" applyNumberFormat="1" applyFont="1" applyFill="1"/>
    <xf numFmtId="43" fontId="1" fillId="0" borderId="0" xfId="0" applyNumberFormat="1" applyFont="1" applyFill="1"/>
    <xf numFmtId="167" fontId="65" fillId="0" borderId="0" xfId="0" applyNumberFormat="1" applyFont="1" applyFill="1"/>
    <xf numFmtId="4" fontId="65" fillId="0" borderId="0" xfId="0" applyNumberFormat="1" applyFont="1" applyFill="1"/>
    <xf numFmtId="182" fontId="82" fillId="0" borderId="0" xfId="0" applyNumberFormat="1" applyFont="1" applyFill="1"/>
    <xf numFmtId="182" fontId="69" fillId="0" borderId="0" xfId="0" applyNumberFormat="1" applyFont="1" applyFill="1"/>
    <xf numFmtId="182" fontId="2" fillId="0" borderId="0" xfId="4" applyNumberFormat="1" applyFont="1" applyFill="1"/>
    <xf numFmtId="182" fontId="2" fillId="19" borderId="0" xfId="0" applyNumberFormat="1" applyFont="1" applyFill="1"/>
    <xf numFmtId="0" fontId="9" fillId="74" borderId="0" xfId="0" applyFont="1" applyFill="1"/>
    <xf numFmtId="0" fontId="1" fillId="66" borderId="0" xfId="0" applyFont="1" applyFill="1"/>
    <xf numFmtId="10" fontId="3" fillId="3" borderId="0" xfId="3" applyNumberFormat="1" applyFont="1" applyFill="1" applyAlignment="1">
      <alignment horizontal="center"/>
    </xf>
    <xf numFmtId="0" fontId="2" fillId="66" borderId="0" xfId="0" applyFont="1" applyFill="1"/>
    <xf numFmtId="166" fontId="2" fillId="66" borderId="0" xfId="0" applyNumberFormat="1" applyFont="1" applyFill="1"/>
    <xf numFmtId="166" fontId="64" fillId="66" borderId="0" xfId="0" applyNumberFormat="1" applyFont="1" applyFill="1" applyAlignment="1">
      <alignment horizontal="center"/>
    </xf>
    <xf numFmtId="0" fontId="0" fillId="45" borderId="0" xfId="0" applyFill="1" applyBorder="1"/>
    <xf numFmtId="166" fontId="66" fillId="66" borderId="0" xfId="3" applyNumberFormat="1" applyFont="1" applyFill="1" applyBorder="1"/>
    <xf numFmtId="167" fontId="63" fillId="2" borderId="0" xfId="0" applyNumberFormat="1" applyFont="1" applyFill="1" applyAlignment="1">
      <alignment horizontal="center"/>
    </xf>
    <xf numFmtId="0" fontId="0" fillId="45" borderId="0" xfId="0" applyFill="1" applyBorder="1" applyAlignment="1">
      <alignment wrapText="1"/>
    </xf>
    <xf numFmtId="41" fontId="2" fillId="66" borderId="0" xfId="0" applyNumberFormat="1" applyFont="1" applyFill="1"/>
    <xf numFmtId="166" fontId="63" fillId="66" borderId="0" xfId="0" applyNumberFormat="1" applyFont="1" applyFill="1"/>
    <xf numFmtId="166" fontId="130" fillId="0" borderId="0" xfId="3" applyNumberFormat="1" applyFont="1"/>
    <xf numFmtId="10" fontId="1" fillId="48" borderId="0" xfId="0" applyNumberFormat="1" applyFont="1" applyFill="1"/>
    <xf numFmtId="10" fontId="0" fillId="66" borderId="0" xfId="0" applyNumberFormat="1" applyFill="1" applyAlignment="1">
      <alignment horizontal="center"/>
    </xf>
    <xf numFmtId="10" fontId="63" fillId="48" borderId="0" xfId="0" applyNumberFormat="1" applyFont="1" applyFill="1"/>
    <xf numFmtId="10" fontId="2" fillId="46" borderId="0" xfId="0" applyNumberFormat="1" applyFont="1" applyFill="1"/>
    <xf numFmtId="10" fontId="2" fillId="66" borderId="0" xfId="0" applyNumberFormat="1" applyFont="1" applyFill="1"/>
    <xf numFmtId="10" fontId="63" fillId="46" borderId="0" xfId="0" applyNumberFormat="1" applyFont="1" applyFill="1"/>
    <xf numFmtId="181" fontId="2" fillId="48" borderId="0" xfId="0" applyNumberFormat="1" applyFont="1" applyFill="1"/>
    <xf numFmtId="181" fontId="0" fillId="66" borderId="0" xfId="0" applyNumberFormat="1" applyFill="1" applyAlignment="1">
      <alignment horizontal="center"/>
    </xf>
    <xf numFmtId="166" fontId="63" fillId="48" borderId="0" xfId="0" applyNumberFormat="1" applyFont="1" applyFill="1"/>
    <xf numFmtId="10" fontId="2" fillId="46" borderId="0" xfId="3" applyNumberFormat="1" applyFont="1" applyFill="1"/>
    <xf numFmtId="10" fontId="63" fillId="46" borderId="0" xfId="3" applyNumberFormat="1" applyFont="1" applyFill="1"/>
    <xf numFmtId="10" fontId="2" fillId="48" borderId="0" xfId="3" applyNumberFormat="1" applyFont="1" applyFill="1"/>
    <xf numFmtId="0" fontId="5" fillId="0" borderId="0" xfId="0" applyFont="1" applyBorder="1"/>
    <xf numFmtId="0" fontId="86" fillId="48" borderId="0" xfId="0" applyFont="1" applyFill="1"/>
    <xf numFmtId="183" fontId="69" fillId="0" borderId="0" xfId="4" applyNumberFormat="1" applyFont="1"/>
    <xf numFmtId="183" fontId="63" fillId="0" borderId="0" xfId="4" applyNumberFormat="1" applyFont="1"/>
    <xf numFmtId="0" fontId="2" fillId="0" borderId="0" xfId="0" applyFont="1" applyAlignment="1">
      <alignment horizontal="center" vertical="center"/>
    </xf>
    <xf numFmtId="0" fontId="0" fillId="4" borderId="0" xfId="0" applyFill="1"/>
    <xf numFmtId="0" fontId="0" fillId="4" borderId="17" xfId="0" applyFill="1" applyBorder="1"/>
    <xf numFmtId="0" fontId="131" fillId="3" borderId="0" xfId="0" applyFont="1" applyFill="1" applyBorder="1" applyAlignment="1">
      <alignment horizontal="center"/>
    </xf>
    <xf numFmtId="0" fontId="131" fillId="3" borderId="17" xfId="0" applyFont="1" applyFill="1" applyBorder="1" applyAlignment="1">
      <alignment horizontal="left"/>
    </xf>
    <xf numFmtId="0" fontId="131" fillId="3" borderId="0" xfId="0" applyFont="1" applyFill="1" applyAlignment="1">
      <alignment horizontal="center"/>
    </xf>
    <xf numFmtId="195" fontId="131" fillId="3" borderId="0" xfId="0" applyNumberFormat="1" applyFont="1" applyFill="1" applyAlignment="1">
      <alignment horizontal="center"/>
    </xf>
    <xf numFmtId="0" fontId="85" fillId="46" borderId="0" xfId="0" applyFont="1" applyFill="1" applyAlignment="1">
      <alignment horizontal="left" wrapText="1"/>
    </xf>
    <xf numFmtId="0" fontId="0" fillId="46" borderId="0" xfId="0" applyFill="1"/>
    <xf numFmtId="0" fontId="108" fillId="75" borderId="17" xfId="0" applyFont="1" applyFill="1" applyBorder="1"/>
    <xf numFmtId="0" fontId="31" fillId="46" borderId="0" xfId="0" applyFont="1" applyFill="1" applyAlignment="1">
      <alignment horizontal="left" wrapText="1"/>
    </xf>
    <xf numFmtId="0" fontId="132" fillId="46" borderId="0" xfId="0" applyFont="1" applyFill="1" applyAlignment="1">
      <alignment horizontal="left" wrapText="1"/>
    </xf>
    <xf numFmtId="0" fontId="134" fillId="46" borderId="0" xfId="0" applyFont="1" applyFill="1" applyAlignment="1">
      <alignment horizontal="left" indent="5"/>
    </xf>
    <xf numFmtId="0" fontId="135" fillId="46" borderId="0" xfId="0" applyFont="1" applyFill="1" applyAlignment="1">
      <alignment horizontal="left" indent="5"/>
    </xf>
    <xf numFmtId="0" fontId="6" fillId="46" borderId="0" xfId="0" applyFont="1" applyFill="1" applyAlignment="1">
      <alignment horizontal="left" wrapText="1"/>
    </xf>
    <xf numFmtId="0" fontId="132" fillId="46" borderId="0" xfId="0" applyFont="1" applyFill="1" applyAlignment="1">
      <alignment horizontal="left"/>
    </xf>
    <xf numFmtId="0" fontId="134" fillId="46" borderId="0" xfId="0" applyFont="1" applyFill="1" applyAlignment="1">
      <alignment horizontal="left" wrapText="1"/>
    </xf>
    <xf numFmtId="0" fontId="0" fillId="75" borderId="17" xfId="0" applyFill="1" applyBorder="1"/>
    <xf numFmtId="0" fontId="31" fillId="46" borderId="0" xfId="0" applyFont="1" applyFill="1" applyAlignment="1">
      <alignment horizontal="left"/>
    </xf>
    <xf numFmtId="196" fontId="0" fillId="0" borderId="0" xfId="0" applyNumberFormat="1"/>
    <xf numFmtId="6" fontId="0" fillId="0" borderId="0" xfId="0" applyNumberFormat="1"/>
    <xf numFmtId="6" fontId="5" fillId="0" borderId="0" xfId="0" applyNumberFormat="1" applyFont="1"/>
    <xf numFmtId="43" fontId="5" fillId="0" borderId="0" xfId="0" applyNumberFormat="1" applyFont="1"/>
    <xf numFmtId="9" fontId="0" fillId="0" borderId="0" xfId="3" applyFont="1"/>
    <xf numFmtId="43" fontId="0" fillId="0" borderId="0" xfId="4" applyNumberFormat="1" applyFont="1"/>
    <xf numFmtId="0" fontId="137" fillId="3" borderId="0" xfId="0" applyFont="1" applyFill="1"/>
    <xf numFmtId="183" fontId="0" fillId="0" borderId="0" xfId="4" applyNumberFormat="1" applyFont="1"/>
    <xf numFmtId="0" fontId="108" fillId="0" borderId="0" xfId="0" applyFont="1" applyFill="1"/>
    <xf numFmtId="182" fontId="0" fillId="0" borderId="0" xfId="0" applyNumberFormat="1" applyFill="1"/>
    <xf numFmtId="43" fontId="0" fillId="0" borderId="0" xfId="0" applyNumberFormat="1" applyFill="1"/>
    <xf numFmtId="164" fontId="0" fillId="0" borderId="0" xfId="0" applyNumberFormat="1" applyFill="1"/>
    <xf numFmtId="166" fontId="11" fillId="0" borderId="0" xfId="3" applyNumberFormat="1" applyFont="1"/>
    <xf numFmtId="182" fontId="138" fillId="0" borderId="0" xfId="4" applyNumberFormat="1" applyFont="1"/>
    <xf numFmtId="182" fontId="139" fillId="0" borderId="0" xfId="4" applyNumberFormat="1" applyFont="1" applyFill="1" applyAlignment="1">
      <alignment vertical="center"/>
    </xf>
    <xf numFmtId="43" fontId="10" fillId="0" borderId="0" xfId="4" applyNumberFormat="1" applyFont="1"/>
    <xf numFmtId="197" fontId="0" fillId="0" borderId="0" xfId="0" applyNumberFormat="1"/>
    <xf numFmtId="182" fontId="0" fillId="0" borderId="0" xfId="4" applyNumberFormat="1" applyFont="1" applyFill="1"/>
    <xf numFmtId="167" fontId="63" fillId="0" borderId="0" xfId="0" applyNumberFormat="1" applyFont="1" applyAlignment="1">
      <alignment horizontal="center"/>
    </xf>
    <xf numFmtId="1" fontId="9" fillId="0" borderId="0" xfId="0" applyNumberFormat="1" applyFont="1"/>
    <xf numFmtId="167" fontId="63" fillId="0" borderId="0" xfId="0" applyNumberFormat="1" applyFont="1"/>
    <xf numFmtId="0" fontId="7" fillId="0" borderId="0" xfId="2" applyFill="1" applyAlignment="1" applyProtection="1"/>
    <xf numFmtId="183" fontId="9" fillId="0" borderId="0" xfId="0" applyNumberFormat="1" applyFont="1"/>
    <xf numFmtId="183" fontId="8" fillId="0" borderId="0" xfId="0" applyNumberFormat="1" applyFont="1"/>
    <xf numFmtId="43" fontId="1" fillId="0" borderId="0" xfId="0" applyNumberFormat="1" applyFont="1"/>
    <xf numFmtId="43" fontId="2" fillId="0" borderId="0" xfId="0" applyNumberFormat="1" applyFont="1"/>
    <xf numFmtId="2" fontId="9" fillId="0" borderId="0" xfId="0" applyNumberFormat="1" applyFont="1"/>
    <xf numFmtId="0" fontId="108" fillId="3" borderId="0" xfId="0" applyFont="1" applyFill="1"/>
    <xf numFmtId="10" fontId="8" fillId="0" borderId="0" xfId="3" applyNumberFormat="1" applyFont="1"/>
    <xf numFmtId="167" fontId="8" fillId="0" borderId="0" xfId="0" applyNumberFormat="1" applyFont="1" applyFill="1" applyAlignment="1">
      <alignment horizontal="center"/>
    </xf>
    <xf numFmtId="10" fontId="113" fillId="2" borderId="0" xfId="0" applyNumberFormat="1" applyFont="1" applyFill="1"/>
    <xf numFmtId="10" fontId="113" fillId="2" borderId="0" xfId="3" applyNumberFormat="1" applyFont="1" applyFill="1" applyBorder="1"/>
    <xf numFmtId="2" fontId="63" fillId="0" borderId="0" xfId="0" applyNumberFormat="1" applyFont="1"/>
    <xf numFmtId="166" fontId="21" fillId="65" borderId="0" xfId="3" applyNumberFormat="1" applyFont="1" applyFill="1" applyBorder="1"/>
    <xf numFmtId="166" fontId="63" fillId="65" borderId="0" xfId="3" applyNumberFormat="1" applyFont="1" applyFill="1" applyAlignment="1"/>
    <xf numFmtId="182" fontId="73" fillId="0" borderId="0" xfId="4" applyNumberFormat="1" applyFont="1"/>
    <xf numFmtId="1" fontId="63" fillId="0" borderId="0" xfId="0" applyNumberFormat="1" applyFont="1"/>
    <xf numFmtId="0" fontId="75" fillId="53" borderId="15" xfId="0" applyFont="1" applyFill="1" applyBorder="1" applyAlignment="1" applyProtection="1">
      <alignment wrapText="1"/>
      <protection locked="0"/>
    </xf>
    <xf numFmtId="0" fontId="75" fillId="53" borderId="15" xfId="0" applyFont="1" applyFill="1" applyBorder="1" applyAlignment="1" applyProtection="1">
      <alignment horizontal="right" wrapText="1"/>
      <protection locked="0"/>
    </xf>
    <xf numFmtId="0" fontId="76" fillId="54" borderId="16" xfId="0" applyFont="1" applyFill="1" applyBorder="1" applyAlignment="1" applyProtection="1">
      <alignment vertical="center"/>
      <protection locked="0"/>
    </xf>
    <xf numFmtId="0" fontId="77" fillId="55" borderId="15" xfId="0" applyFont="1" applyFill="1" applyBorder="1" applyAlignment="1" applyProtection="1">
      <alignment vertical="center"/>
      <protection locked="0"/>
    </xf>
    <xf numFmtId="0" fontId="8" fillId="0" borderId="0" xfId="0" applyNumberFormat="1" applyFont="1"/>
    <xf numFmtId="10" fontId="7" fillId="0" borderId="0" xfId="2" applyNumberFormat="1" applyAlignment="1" applyProtection="1"/>
    <xf numFmtId="10" fontId="65" fillId="49" borderId="0" xfId="3" applyNumberFormat="1" applyFont="1" applyFill="1"/>
    <xf numFmtId="10" fontId="63" fillId="49" borderId="0" xfId="0" applyNumberFormat="1" applyFont="1" applyFill="1"/>
    <xf numFmtId="10" fontId="65" fillId="49" borderId="0" xfId="0" applyNumberFormat="1" applyFont="1" applyFill="1"/>
    <xf numFmtId="10" fontId="63" fillId="49" borderId="0" xfId="3" applyNumberFormat="1" applyFont="1" applyFill="1"/>
    <xf numFmtId="0" fontId="63" fillId="49" borderId="0" xfId="0" applyFont="1" applyFill="1"/>
    <xf numFmtId="0" fontId="7" fillId="0" borderId="0" xfId="2" applyNumberFormat="1" applyAlignment="1" applyProtection="1"/>
    <xf numFmtId="0" fontId="140" fillId="0" borderId="0" xfId="0" applyFont="1"/>
    <xf numFmtId="0" fontId="141" fillId="0" borderId="0" xfId="0" applyFont="1"/>
    <xf numFmtId="0" fontId="6" fillId="76" borderId="18" xfId="0" applyNumberFormat="1" applyFont="1" applyFill="1" applyBorder="1" applyAlignment="1"/>
    <xf numFmtId="3" fontId="6" fillId="0" borderId="18" xfId="0" applyNumberFormat="1" applyFont="1" applyFill="1" applyBorder="1" applyAlignment="1"/>
    <xf numFmtId="9" fontId="109" fillId="62" borderId="0" xfId="3" applyFont="1" applyFill="1" applyBorder="1"/>
    <xf numFmtId="0" fontId="6" fillId="0" borderId="0" xfId="0" applyNumberFormat="1" applyFont="1" applyFill="1" applyBorder="1" applyAlignment="1"/>
    <xf numFmtId="198" fontId="6" fillId="0" borderId="0" xfId="0" applyNumberFormat="1" applyFont="1" applyFill="1" applyBorder="1" applyAlignment="1"/>
    <xf numFmtId="0" fontId="142" fillId="76" borderId="18" xfId="0" applyNumberFormat="1" applyFont="1" applyFill="1" applyBorder="1" applyAlignment="1"/>
    <xf numFmtId="3" fontId="142" fillId="0" borderId="18" xfId="0" applyNumberFormat="1" applyFont="1" applyFill="1" applyBorder="1" applyAlignment="1"/>
    <xf numFmtId="0" fontId="143" fillId="0" borderId="0" xfId="0" applyFont="1"/>
    <xf numFmtId="0" fontId="6" fillId="0" borderId="18" xfId="0" applyNumberFormat="1" applyFont="1" applyFill="1" applyBorder="1" applyAlignment="1"/>
    <xf numFmtId="3" fontId="88" fillId="0" borderId="0" xfId="0" applyNumberFormat="1" applyFont="1" applyFill="1" applyBorder="1" applyAlignment="1"/>
    <xf numFmtId="0" fontId="142" fillId="76" borderId="19" xfId="0" applyNumberFormat="1" applyFont="1" applyFill="1" applyBorder="1" applyAlignment="1"/>
    <xf numFmtId="0" fontId="144" fillId="0" borderId="0" xfId="0" applyFont="1"/>
    <xf numFmtId="0" fontId="6" fillId="0" borderId="0" xfId="5647" applyNumberFormat="1" applyFont="1" applyFill="1" applyBorder="1" applyAlignment="1"/>
    <xf numFmtId="0" fontId="50" fillId="0" borderId="0" xfId="5647" applyFont="1"/>
    <xf numFmtId="198" fontId="6" fillId="0" borderId="0" xfId="5647" applyNumberFormat="1" applyFont="1" applyFill="1" applyBorder="1" applyAlignment="1"/>
    <xf numFmtId="0" fontId="6" fillId="76" borderId="18" xfId="5647" applyNumberFormat="1" applyFont="1" applyFill="1" applyBorder="1" applyAlignment="1"/>
    <xf numFmtId="3" fontId="6" fillId="49" borderId="18" xfId="5647" applyNumberFormat="1" applyFont="1" applyFill="1" applyBorder="1" applyAlignment="1"/>
    <xf numFmtId="3" fontId="6" fillId="0" borderId="18" xfId="5647" applyNumberFormat="1" applyFont="1" applyFill="1" applyBorder="1" applyAlignment="1"/>
    <xf numFmtId="0" fontId="6" fillId="0" borderId="18" xfId="5647" applyNumberFormat="1" applyFont="1" applyFill="1" applyBorder="1" applyAlignment="1"/>
    <xf numFmtId="0" fontId="6" fillId="45" borderId="18" xfId="5647" applyNumberFormat="1" applyFont="1" applyFill="1" applyBorder="1" applyAlignment="1"/>
    <xf numFmtId="166" fontId="50" fillId="0" borderId="0" xfId="5647" applyNumberFormat="1" applyFont="1"/>
    <xf numFmtId="9" fontId="50" fillId="0" borderId="0" xfId="5647" applyNumberFormat="1" applyFont="1"/>
    <xf numFmtId="3" fontId="50" fillId="0" borderId="0" xfId="5647" applyNumberFormat="1" applyFont="1"/>
    <xf numFmtId="0" fontId="145" fillId="0" borderId="0" xfId="5647" applyFont="1"/>
    <xf numFmtId="3" fontId="145" fillId="0" borderId="0" xfId="5647" applyNumberFormat="1" applyFont="1"/>
    <xf numFmtId="1" fontId="146" fillId="0" borderId="0" xfId="5647" applyNumberFormat="1" applyFont="1"/>
    <xf numFmtId="1" fontId="50" fillId="0" borderId="0" xfId="5647" applyNumberFormat="1" applyFont="1"/>
    <xf numFmtId="1" fontId="145" fillId="0" borderId="0" xfId="5647" applyNumberFormat="1" applyFont="1"/>
    <xf numFmtId="9" fontId="145" fillId="0" borderId="0" xfId="5647" applyNumberFormat="1" applyFont="1"/>
    <xf numFmtId="3" fontId="6" fillId="0" borderId="0" xfId="0" applyNumberFormat="1" applyFont="1" applyFill="1" applyBorder="1" applyAlignment="1"/>
    <xf numFmtId="0" fontId="50" fillId="0" borderId="0" xfId="0" applyFont="1"/>
    <xf numFmtId="0" fontId="6" fillId="49" borderId="18" xfId="0" applyNumberFormat="1" applyFont="1" applyFill="1" applyBorder="1" applyAlignment="1"/>
    <xf numFmtId="3" fontId="6" fillId="49" borderId="18" xfId="0" applyNumberFormat="1" applyFont="1" applyFill="1" applyBorder="1" applyAlignment="1"/>
    <xf numFmtId="3" fontId="6" fillId="0" borderId="20" xfId="0" applyNumberFormat="1" applyFont="1" applyFill="1" applyBorder="1" applyAlignment="1"/>
    <xf numFmtId="0" fontId="6" fillId="49" borderId="19" xfId="0" applyNumberFormat="1" applyFont="1" applyFill="1" applyBorder="1" applyAlignment="1"/>
    <xf numFmtId="0" fontId="6" fillId="76" borderId="18" xfId="0" applyFont="1" applyFill="1" applyBorder="1"/>
    <xf numFmtId="3" fontId="6" fillId="0" borderId="18" xfId="0" applyNumberFormat="1" applyFont="1" applyBorder="1"/>
    <xf numFmtId="3" fontId="142" fillId="0" borderId="0" xfId="0" applyNumberFormat="1" applyFont="1" applyFill="1" applyBorder="1" applyAlignment="1"/>
    <xf numFmtId="0" fontId="6" fillId="0" borderId="18" xfId="0" applyNumberFormat="1" applyFont="1" applyBorder="1"/>
    <xf numFmtId="0" fontId="0" fillId="0" borderId="0" xfId="0" applyFont="1" applyFill="1" applyBorder="1"/>
    <xf numFmtId="0" fontId="0" fillId="0" borderId="0" xfId="0" applyNumberFormat="1" applyFont="1"/>
    <xf numFmtId="3" fontId="0" fillId="0" borderId="0" xfId="0" applyNumberFormat="1" applyFont="1"/>
    <xf numFmtId="180" fontId="2" fillId="0" borderId="0" xfId="0" applyNumberFormat="1" applyFont="1" applyAlignment="1"/>
    <xf numFmtId="180" fontId="1" fillId="4" borderId="0" xfId="0" applyNumberFormat="1" applyFont="1" applyFill="1" applyAlignment="1"/>
    <xf numFmtId="183" fontId="1" fillId="4" borderId="0" xfId="0" applyNumberFormat="1" applyFont="1" applyFill="1" applyAlignment="1"/>
    <xf numFmtId="183" fontId="9" fillId="4" borderId="0" xfId="0" applyNumberFormat="1" applyFont="1" applyFill="1" applyAlignment="1">
      <alignment horizontal="center"/>
    </xf>
    <xf numFmtId="183" fontId="2" fillId="0" borderId="0" xfId="0" applyNumberFormat="1" applyFont="1" applyAlignment="1"/>
    <xf numFmtId="183" fontId="8" fillId="0" borderId="0" xfId="0" applyNumberFormat="1" applyFont="1" applyAlignment="1">
      <alignment horizontal="center"/>
    </xf>
    <xf numFmtId="167" fontId="5" fillId="0" borderId="0" xfId="0" applyNumberFormat="1" applyFont="1"/>
    <xf numFmtId="0" fontId="0" fillId="0" borderId="0" xfId="0" applyNumberFormat="1" applyFont="1" applyFill="1" applyBorder="1" applyAlignment="1"/>
    <xf numFmtId="182" fontId="0" fillId="0" borderId="0" xfId="0" applyNumberFormat="1" applyFont="1"/>
    <xf numFmtId="182" fontId="147" fillId="0" borderId="0" xfId="0" applyNumberFormat="1" applyFont="1"/>
    <xf numFmtId="182" fontId="80" fillId="0" borderId="0" xfId="0" applyNumberFormat="1" applyFont="1"/>
    <xf numFmtId="182" fontId="50" fillId="0" borderId="0" xfId="0" applyNumberFormat="1" applyFont="1"/>
    <xf numFmtId="0" fontId="5" fillId="0" borderId="0" xfId="0" applyNumberFormat="1" applyFont="1" applyFill="1" applyBorder="1" applyAlignment="1"/>
    <xf numFmtId="0" fontId="5" fillId="0" borderId="0" xfId="0" applyFont="1" applyFill="1" applyBorder="1"/>
    <xf numFmtId="3" fontId="148" fillId="0" borderId="18" xfId="0" applyNumberFormat="1" applyFont="1" applyBorder="1"/>
    <xf numFmtId="3" fontId="79" fillId="0" borderId="0" xfId="0" applyNumberFormat="1" applyFont="1"/>
    <xf numFmtId="3" fontId="5" fillId="0" borderId="0" xfId="0" applyNumberFormat="1" applyFont="1"/>
    <xf numFmtId="9" fontId="0" fillId="0" borderId="0" xfId="0" applyNumberFormat="1" applyFont="1" applyFill="1" applyBorder="1"/>
    <xf numFmtId="9" fontId="5" fillId="0" borderId="0" xfId="0" applyNumberFormat="1" applyFont="1"/>
    <xf numFmtId="4" fontId="5" fillId="0" borderId="0" xfId="0" applyNumberFormat="1" applyFont="1"/>
    <xf numFmtId="10" fontId="0" fillId="0" borderId="0" xfId="4" applyNumberFormat="1" applyFont="1"/>
    <xf numFmtId="199" fontId="0" fillId="0" borderId="0" xfId="0" applyNumberFormat="1"/>
    <xf numFmtId="10" fontId="8" fillId="0" borderId="0" xfId="0" applyNumberFormat="1" applyFont="1"/>
    <xf numFmtId="180" fontId="0" fillId="49" borderId="0" xfId="0" applyNumberFormat="1" applyFont="1" applyFill="1"/>
    <xf numFmtId="0" fontId="2" fillId="49" borderId="0" xfId="0" applyFont="1" applyFill="1" applyAlignment="1">
      <alignment horizontal="center"/>
    </xf>
    <xf numFmtId="2" fontId="0" fillId="0" borderId="0" xfId="0" applyNumberFormat="1" applyFont="1"/>
    <xf numFmtId="2" fontId="0" fillId="63" borderId="0" xfId="0" applyNumberFormat="1" applyFont="1" applyFill="1"/>
    <xf numFmtId="180" fontId="0" fillId="63" borderId="0" xfId="0" applyNumberFormat="1" applyFill="1"/>
    <xf numFmtId="3" fontId="80" fillId="0" borderId="0" xfId="0" applyNumberFormat="1" applyFont="1" applyAlignment="1">
      <alignment wrapText="1"/>
    </xf>
    <xf numFmtId="1" fontId="79" fillId="0" borderId="0" xfId="0" applyNumberFormat="1" applyFont="1"/>
    <xf numFmtId="182" fontId="63" fillId="0" borderId="0" xfId="0" applyNumberFormat="1" applyFont="1"/>
    <xf numFmtId="180" fontId="6" fillId="52" borderId="0" xfId="0" applyNumberFormat="1" applyFont="1" applyFill="1"/>
    <xf numFmtId="4" fontId="69" fillId="0" borderId="0" xfId="0" applyNumberFormat="1" applyFont="1"/>
    <xf numFmtId="183" fontId="119" fillId="0" borderId="0" xfId="0" applyNumberFormat="1" applyFont="1" applyAlignment="1">
      <alignment horizontal="right"/>
    </xf>
    <xf numFmtId="166" fontId="67" fillId="0" borderId="0" xfId="0" applyNumberFormat="1" applyFont="1"/>
    <xf numFmtId="0" fontId="0" fillId="0" borderId="0" xfId="0" applyNumberFormat="1" applyFont="1" applyFill="1"/>
    <xf numFmtId="0" fontId="3" fillId="57" borderId="0" xfId="0" applyFont="1" applyFill="1" applyAlignment="1">
      <alignment horizontal="left" vertical="center"/>
    </xf>
    <xf numFmtId="0" fontId="2" fillId="0" borderId="0" xfId="0" applyNumberFormat="1" applyFont="1" applyFill="1"/>
    <xf numFmtId="0" fontId="2" fillId="0" borderId="0" xfId="0" applyFont="1" applyAlignment="1">
      <alignment horizontal="left"/>
    </xf>
    <xf numFmtId="0" fontId="0" fillId="0" borderId="0" xfId="0" applyAlignment="1">
      <alignment horizontal="left"/>
    </xf>
    <xf numFmtId="183" fontId="8" fillId="0" borderId="0" xfId="0" applyNumberFormat="1" applyFont="1" applyFill="1"/>
    <xf numFmtId="183" fontId="9" fillId="0" borderId="0" xfId="0" applyNumberFormat="1" applyFont="1" applyFill="1"/>
    <xf numFmtId="167" fontId="63" fillId="0" borderId="0" xfId="0" applyNumberFormat="1" applyFont="1" applyFill="1"/>
    <xf numFmtId="0" fontId="5" fillId="77" borderId="0" xfId="0" applyFont="1" applyFill="1"/>
    <xf numFmtId="0" fontId="0" fillId="77" borderId="0" xfId="0" applyFill="1"/>
    <xf numFmtId="180" fontId="80" fillId="0" borderId="0" xfId="0" applyNumberFormat="1" applyFont="1"/>
    <xf numFmtId="180" fontId="80" fillId="0" borderId="0" xfId="0" applyNumberFormat="1" applyFont="1" applyAlignment="1">
      <alignment wrapText="1"/>
    </xf>
    <xf numFmtId="3" fontId="80" fillId="0" borderId="0" xfId="0" applyNumberFormat="1" applyFont="1"/>
    <xf numFmtId="180" fontId="147" fillId="0" borderId="0" xfId="0" applyNumberFormat="1" applyFont="1"/>
    <xf numFmtId="180" fontId="79" fillId="0" borderId="0" xfId="0" applyNumberFormat="1" applyFont="1"/>
    <xf numFmtId="0" fontId="149" fillId="0" borderId="0" xfId="0" applyFont="1" applyFill="1"/>
    <xf numFmtId="0" fontId="149" fillId="0" borderId="0" xfId="0" applyFont="1"/>
    <xf numFmtId="0" fontId="149" fillId="0" borderId="0" xfId="0" applyFont="1" applyFill="1" applyAlignment="1"/>
    <xf numFmtId="0" fontId="149" fillId="0" borderId="0" xfId="0" applyFont="1" applyAlignment="1"/>
    <xf numFmtId="3" fontId="80" fillId="0" borderId="0" xfId="0" applyNumberFormat="1" applyFont="1" applyAlignment="1">
      <alignment horizontal="center"/>
    </xf>
    <xf numFmtId="180" fontId="80" fillId="0" borderId="0" xfId="0" applyNumberFormat="1" applyFont="1" applyFill="1"/>
    <xf numFmtId="166" fontId="11" fillId="0" borderId="0" xfId="0" applyNumberFormat="1" applyFont="1" applyFill="1"/>
    <xf numFmtId="180" fontId="0" fillId="0" borderId="0" xfId="4" applyNumberFormat="1" applyFont="1"/>
    <xf numFmtId="180" fontId="147" fillId="0" borderId="0" xfId="0" applyNumberFormat="1" applyFont="1" applyFill="1"/>
    <xf numFmtId="182" fontId="5" fillId="0" borderId="0" xfId="4" applyNumberFormat="1" applyFont="1"/>
    <xf numFmtId="166" fontId="150" fillId="0" borderId="0" xfId="0" applyNumberFormat="1" applyFont="1"/>
    <xf numFmtId="182" fontId="151" fillId="0" borderId="0" xfId="4" applyNumberFormat="1" applyFont="1"/>
    <xf numFmtId="182" fontId="79" fillId="0" borderId="0" xfId="0" applyNumberFormat="1" applyFont="1"/>
    <xf numFmtId="1" fontId="151" fillId="0" borderId="0" xfId="0" applyNumberFormat="1" applyFont="1"/>
    <xf numFmtId="0" fontId="0" fillId="0" borderId="0" xfId="0" applyAlignment="1"/>
    <xf numFmtId="0" fontId="0" fillId="77" borderId="0" xfId="0" applyFill="1" applyAlignment="1">
      <alignment wrapText="1"/>
    </xf>
    <xf numFmtId="167" fontId="79" fillId="0" borderId="0" xfId="0" applyNumberFormat="1" applyFont="1"/>
    <xf numFmtId="183" fontId="82" fillId="0" borderId="0" xfId="4" applyNumberFormat="1" applyFont="1"/>
    <xf numFmtId="9" fontId="64" fillId="2" borderId="0" xfId="0" applyNumberFormat="1" applyFont="1" applyFill="1"/>
    <xf numFmtId="41" fontId="1" fillId="0" borderId="0" xfId="0" applyNumberFormat="1" applyFont="1"/>
    <xf numFmtId="166" fontId="1" fillId="66" borderId="0" xfId="0" applyNumberFormat="1" applyFont="1" applyFill="1"/>
    <xf numFmtId="182" fontId="1" fillId="66" borderId="0" xfId="4" applyNumberFormat="1" applyFont="1" applyFill="1"/>
    <xf numFmtId="166" fontId="1" fillId="62" borderId="0" xfId="0" applyNumberFormat="1" applyFont="1" applyFill="1"/>
    <xf numFmtId="200" fontId="1" fillId="66" borderId="0" xfId="0" applyNumberFormat="1" applyFont="1" applyFill="1"/>
    <xf numFmtId="43" fontId="1" fillId="66" borderId="0" xfId="0" applyNumberFormat="1" applyFont="1" applyFill="1"/>
    <xf numFmtId="43" fontId="2" fillId="66" borderId="0" xfId="0" applyNumberFormat="1" applyFont="1" applyFill="1"/>
    <xf numFmtId="2" fontId="69" fillId="0" borderId="0" xfId="0" applyNumberFormat="1" applyFont="1"/>
    <xf numFmtId="189" fontId="69" fillId="0" borderId="0" xfId="0" applyNumberFormat="1" applyFont="1"/>
    <xf numFmtId="167" fontId="69" fillId="0" borderId="0" xfId="0" applyNumberFormat="1" applyFont="1" applyAlignment="1">
      <alignment horizontal="right"/>
    </xf>
    <xf numFmtId="166" fontId="65" fillId="62" borderId="0" xfId="0" applyNumberFormat="1" applyFont="1" applyFill="1" applyAlignment="1">
      <alignment horizontal="center"/>
    </xf>
    <xf numFmtId="167" fontId="9" fillId="0" borderId="0" xfId="0" applyNumberFormat="1" applyFont="1" applyAlignment="1">
      <alignment horizontal="right"/>
    </xf>
    <xf numFmtId="0" fontId="88" fillId="49" borderId="19" xfId="0" applyNumberFormat="1" applyFont="1" applyFill="1" applyBorder="1" applyAlignment="1"/>
    <xf numFmtId="180" fontId="50" fillId="0" borderId="0" xfId="0" applyNumberFormat="1" applyFont="1"/>
    <xf numFmtId="183" fontId="69" fillId="0" borderId="0" xfId="0" applyNumberFormat="1" applyFont="1" applyAlignment="1"/>
    <xf numFmtId="167" fontId="82" fillId="0" borderId="0" xfId="0" applyNumberFormat="1" applyFont="1" applyAlignment="1"/>
    <xf numFmtId="167" fontId="82" fillId="0" borderId="0" xfId="0" applyNumberFormat="1" applyFont="1" applyAlignment="1">
      <alignment horizontal="right"/>
    </xf>
    <xf numFmtId="166" fontId="1" fillId="46" borderId="0" xfId="0" applyNumberFormat="1" applyFont="1" applyFill="1" applyAlignment="1">
      <alignment horizontal="center"/>
    </xf>
    <xf numFmtId="2" fontId="82" fillId="0" borderId="0" xfId="0" applyNumberFormat="1" applyFont="1"/>
    <xf numFmtId="166" fontId="67" fillId="78" borderId="0" xfId="3" applyNumberFormat="1" applyFont="1" applyFill="1" applyBorder="1"/>
    <xf numFmtId="201" fontId="73" fillId="0" borderId="2" xfId="0" applyNumberFormat="1" applyFont="1" applyBorder="1"/>
    <xf numFmtId="166" fontId="64" fillId="49" borderId="0" xfId="0" applyNumberFormat="1" applyFont="1" applyFill="1" applyAlignment="1">
      <alignment horizontal="center"/>
    </xf>
    <xf numFmtId="0" fontId="0" fillId="0" borderId="0" xfId="0" applyBorder="1" applyAlignment="1"/>
    <xf numFmtId="167" fontId="0" fillId="0" borderId="0" xfId="0" applyNumberFormat="1" applyBorder="1" applyAlignment="1"/>
    <xf numFmtId="10" fontId="0" fillId="0" borderId="0" xfId="0" applyNumberFormat="1" applyBorder="1" applyAlignment="1"/>
    <xf numFmtId="0" fontId="66" fillId="47" borderId="0" xfId="0" applyFont="1" applyFill="1" applyBorder="1" applyAlignment="1"/>
    <xf numFmtId="166" fontId="66" fillId="47" borderId="0" xfId="0" applyNumberFormat="1" applyFont="1" applyFill="1" applyBorder="1" applyAlignment="1"/>
    <xf numFmtId="10" fontId="66" fillId="47" borderId="0" xfId="0" applyNumberFormat="1" applyFont="1" applyFill="1" applyBorder="1" applyAlignment="1"/>
    <xf numFmtId="9" fontId="0" fillId="0" borderId="0" xfId="0" applyNumberFormat="1" applyBorder="1" applyAlignment="1"/>
    <xf numFmtId="3" fontId="143" fillId="0" borderId="0" xfId="0" applyNumberFormat="1" applyFont="1"/>
    <xf numFmtId="0" fontId="2" fillId="0" borderId="0" xfId="0" applyFont="1" applyFill="1" applyAlignment="1">
      <alignment horizontal="center" vertical="center"/>
    </xf>
    <xf numFmtId="10" fontId="7" fillId="0" borderId="0" xfId="2" applyNumberFormat="1" applyFill="1" applyAlignment="1" applyProtection="1"/>
    <xf numFmtId="10" fontId="7" fillId="0" borderId="0" xfId="0" applyNumberFormat="1" applyFont="1" applyFill="1"/>
    <xf numFmtId="0" fontId="152" fillId="0" borderId="0" xfId="0" applyNumberFormat="1" applyFont="1" applyFill="1" applyBorder="1" applyAlignment="1"/>
    <xf numFmtId="198" fontId="152" fillId="0" borderId="0" xfId="0" applyNumberFormat="1" applyFont="1" applyFill="1" applyBorder="1" applyAlignment="1"/>
    <xf numFmtId="0" fontId="152" fillId="76" borderId="18" xfId="0" applyNumberFormat="1" applyFont="1" applyFill="1" applyBorder="1" applyAlignment="1"/>
    <xf numFmtId="3" fontId="152" fillId="0" borderId="18" xfId="0" applyNumberFormat="1" applyFont="1" applyFill="1" applyBorder="1" applyAlignment="1"/>
    <xf numFmtId="0" fontId="152" fillId="0" borderId="18" xfId="0" applyNumberFormat="1" applyFont="1" applyFill="1" applyBorder="1" applyAlignment="1"/>
    <xf numFmtId="0" fontId="153" fillId="0" borderId="0" xfId="0" applyFont="1" applyFill="1"/>
    <xf numFmtId="0" fontId="154" fillId="0" borderId="0" xfId="0" applyFont="1" applyFill="1" applyAlignment="1">
      <alignment horizontal="right"/>
    </xf>
    <xf numFmtId="0" fontId="155" fillId="0" borderId="2" xfId="0" applyFont="1" applyFill="1" applyBorder="1" applyAlignment="1">
      <alignment horizontal="center" vertical="center"/>
    </xf>
    <xf numFmtId="0" fontId="155" fillId="0" borderId="2" xfId="0" applyFont="1" applyFill="1" applyBorder="1" applyAlignment="1">
      <alignment horizontal="center" vertical="center" wrapText="1"/>
    </xf>
    <xf numFmtId="0" fontId="155" fillId="0" borderId="21" xfId="0" applyFont="1" applyFill="1" applyBorder="1" applyAlignment="1">
      <alignment horizontal="center" vertical="center" wrapText="1"/>
    </xf>
    <xf numFmtId="0" fontId="156" fillId="0" borderId="0" xfId="0" applyFont="1" applyFill="1" applyBorder="1" applyAlignment="1">
      <alignment horizontal="left" vertical="center"/>
    </xf>
    <xf numFmtId="0" fontId="155" fillId="0" borderId="0" xfId="0" applyFont="1" applyFill="1" applyBorder="1" applyAlignment="1">
      <alignment horizontal="right" vertical="center"/>
    </xf>
    <xf numFmtId="0" fontId="0" fillId="0" borderId="0" xfId="0" applyFill="1" applyBorder="1" applyAlignment="1">
      <alignment horizontal="right" vertical="center"/>
    </xf>
    <xf numFmtId="0" fontId="157" fillId="0" borderId="0" xfId="0" applyFont="1" applyFill="1"/>
    <xf numFmtId="0" fontId="157" fillId="0" borderId="0" xfId="0" applyNumberFormat="1" applyFont="1" applyFill="1" applyAlignment="1">
      <alignment horizontal="right"/>
    </xf>
    <xf numFmtId="167" fontId="157" fillId="0" borderId="0" xfId="0" applyNumberFormat="1" applyFont="1" applyFill="1" applyAlignment="1">
      <alignment horizontal="right"/>
    </xf>
    <xf numFmtId="0" fontId="155" fillId="0" borderId="0" xfId="0" applyFont="1" applyFill="1" applyAlignment="1">
      <alignment horizontal="left" vertical="center"/>
    </xf>
    <xf numFmtId="0" fontId="155" fillId="0" borderId="0" xfId="0" applyNumberFormat="1" applyFont="1" applyFill="1" applyAlignment="1">
      <alignment horizontal="right"/>
    </xf>
    <xf numFmtId="167" fontId="155" fillId="0" borderId="0" xfId="0" applyNumberFormat="1" applyFont="1" applyFill="1" applyAlignment="1">
      <alignment horizontal="right"/>
    </xf>
    <xf numFmtId="0" fontId="155" fillId="0" borderId="0" xfId="0" applyFont="1" applyFill="1" applyAlignment="1">
      <alignment horizontal="left" vertical="center" indent="1"/>
    </xf>
    <xf numFmtId="0" fontId="155" fillId="0" borderId="0" xfId="0" applyFont="1" applyFill="1" applyAlignment="1">
      <alignment vertical="center"/>
    </xf>
    <xf numFmtId="0" fontId="155" fillId="0" borderId="0" xfId="0" applyFont="1" applyFill="1" applyAlignment="1">
      <alignment horizontal="right"/>
    </xf>
    <xf numFmtId="0" fontId="155" fillId="0" borderId="0" xfId="0" applyFont="1" applyFill="1" applyAlignment="1">
      <alignment horizontal="left" vertical="center" indent="2"/>
    </xf>
    <xf numFmtId="180" fontId="156" fillId="0" borderId="0" xfId="0" applyNumberFormat="1" applyFont="1" applyFill="1" applyAlignment="1">
      <alignment horizontal="right"/>
    </xf>
    <xf numFmtId="180" fontId="155" fillId="0" borderId="0" xfId="0" applyNumberFormat="1" applyFont="1" applyFill="1" applyAlignment="1">
      <alignment horizontal="right"/>
    </xf>
    <xf numFmtId="180" fontId="154" fillId="0" borderId="0" xfId="0" applyNumberFormat="1" applyFont="1" applyFill="1" applyAlignment="1">
      <alignment horizontal="right"/>
    </xf>
    <xf numFmtId="0" fontId="51" fillId="0" borderId="0" xfId="0" applyFont="1" applyFill="1"/>
    <xf numFmtId="180" fontId="158" fillId="0" borderId="0" xfId="0" applyNumberFormat="1" applyFont="1" applyFill="1" applyAlignment="1">
      <alignment horizontal="right"/>
    </xf>
    <xf numFmtId="0" fontId="159" fillId="0" borderId="0" xfId="0" applyFont="1" applyBorder="1" applyAlignment="1">
      <alignment horizontal="right" wrapText="1"/>
    </xf>
    <xf numFmtId="0" fontId="158" fillId="0" borderId="0" xfId="0" applyFont="1" applyFill="1"/>
    <xf numFmtId="0" fontId="160" fillId="0" borderId="0" xfId="0" applyFont="1" applyBorder="1" applyAlignment="1">
      <alignment horizontal="right" wrapText="1"/>
    </xf>
    <xf numFmtId="0" fontId="158" fillId="0" borderId="0" xfId="0" applyFont="1" applyFill="1" applyBorder="1"/>
    <xf numFmtId="180" fontId="51" fillId="0" borderId="0" xfId="0" applyNumberFormat="1" applyFont="1" applyFill="1" applyAlignment="1">
      <alignment horizontal="right"/>
    </xf>
    <xf numFmtId="180" fontId="153" fillId="0" borderId="0" xfId="0" applyNumberFormat="1" applyFont="1" applyFill="1" applyAlignment="1">
      <alignment horizontal="right"/>
    </xf>
    <xf numFmtId="180" fontId="0" fillId="0" borderId="0" xfId="0" applyNumberFormat="1" applyFill="1" applyAlignment="1">
      <alignment horizontal="right"/>
    </xf>
    <xf numFmtId="9" fontId="8" fillId="0" borderId="0" xfId="3" applyNumberFormat="1" applyFont="1"/>
    <xf numFmtId="0" fontId="155" fillId="0" borderId="0" xfId="0" applyFont="1" applyFill="1" applyAlignment="1">
      <alignment horizontal="center"/>
    </xf>
    <xf numFmtId="202" fontId="155" fillId="0" borderId="0" xfId="0" applyNumberFormat="1" applyFont="1" applyFill="1" applyAlignment="1">
      <alignment horizontal="right"/>
    </xf>
    <xf numFmtId="0" fontId="0" fillId="0" borderId="0" xfId="0" applyFill="1" applyAlignment="1">
      <alignment horizontal="right"/>
    </xf>
    <xf numFmtId="202" fontId="0" fillId="0" borderId="0" xfId="0" applyNumberFormat="1" applyFill="1" applyAlignment="1">
      <alignment horizontal="right"/>
    </xf>
    <xf numFmtId="203" fontId="0" fillId="0" borderId="0" xfId="0" applyNumberFormat="1"/>
    <xf numFmtId="0" fontId="0" fillId="0" borderId="0" xfId="0" applyNumberFormat="1" applyFill="1" applyAlignment="1">
      <alignment horizontal="right"/>
    </xf>
    <xf numFmtId="0" fontId="154" fillId="0" borderId="2" xfId="0" applyFont="1" applyFill="1" applyBorder="1" applyAlignment="1">
      <alignment horizontal="center" vertical="center"/>
    </xf>
    <xf numFmtId="0" fontId="154" fillId="0" borderId="2" xfId="0" applyFont="1" applyBorder="1" applyAlignment="1">
      <alignment horizontal="center" wrapText="1"/>
    </xf>
    <xf numFmtId="0" fontId="161" fillId="0" borderId="0" xfId="0" applyFont="1" applyFill="1" applyBorder="1" applyAlignment="1">
      <alignment horizontal="left" vertical="center"/>
    </xf>
    <xf numFmtId="3" fontId="162" fillId="0" borderId="0" xfId="0" applyNumberFormat="1" applyFont="1" applyFill="1" applyAlignment="1">
      <alignment horizontal="right"/>
    </xf>
    <xf numFmtId="0" fontId="162" fillId="0" borderId="0" xfId="0" applyFont="1" applyFill="1"/>
    <xf numFmtId="0" fontId="163" fillId="0" borderId="0" xfId="0" applyFont="1" applyFill="1" applyAlignment="1">
      <alignment horizontal="left" vertical="center"/>
    </xf>
    <xf numFmtId="3" fontId="163" fillId="0" borderId="0" xfId="0" applyNumberFormat="1" applyFont="1" applyFill="1" applyAlignment="1">
      <alignment horizontal="right"/>
    </xf>
    <xf numFmtId="3" fontId="163" fillId="0" borderId="0" xfId="0" applyNumberFormat="1" applyFont="1" applyFill="1"/>
    <xf numFmtId="0" fontId="163" fillId="0" borderId="0" xfId="0" applyFont="1" applyFill="1"/>
    <xf numFmtId="3" fontId="163" fillId="0" borderId="0" xfId="0" applyNumberFormat="1" applyFont="1" applyFill="1" applyAlignment="1"/>
    <xf numFmtId="3" fontId="51" fillId="0" borderId="0" xfId="0" applyNumberFormat="1" applyFont="1" applyFill="1" applyAlignment="1">
      <alignment horizontal="right"/>
    </xf>
    <xf numFmtId="3" fontId="158" fillId="0" borderId="0" xfId="0" applyNumberFormat="1" applyFont="1" applyFill="1" applyAlignment="1">
      <alignment horizontal="right"/>
    </xf>
    <xf numFmtId="3" fontId="164" fillId="0" borderId="0" xfId="0" applyNumberFormat="1" applyFont="1" applyFill="1" applyBorder="1" applyAlignment="1">
      <alignment horizontal="right" wrapText="1"/>
    </xf>
    <xf numFmtId="3" fontId="162" fillId="0" borderId="0" xfId="0" applyNumberFormat="1" applyFont="1" applyFill="1"/>
    <xf numFmtId="0" fontId="79" fillId="0" borderId="0" xfId="0" applyFont="1"/>
    <xf numFmtId="4" fontId="152" fillId="0" borderId="18" xfId="0" applyNumberFormat="1" applyFont="1" applyFill="1" applyBorder="1" applyAlignment="1"/>
    <xf numFmtId="43" fontId="8" fillId="0" borderId="0" xfId="0" applyNumberFormat="1" applyFont="1"/>
    <xf numFmtId="183" fontId="1" fillId="66" borderId="0" xfId="4" applyNumberFormat="1" applyFont="1" applyFill="1" applyAlignment="1">
      <alignment horizontal="center"/>
    </xf>
    <xf numFmtId="0" fontId="13" fillId="20" borderId="0" xfId="0" applyFont="1" applyFill="1" applyAlignment="1">
      <alignment horizontal="left"/>
    </xf>
    <xf numFmtId="0" fontId="131" fillId="3" borderId="0" xfId="0" applyFont="1" applyFill="1" applyAlignment="1">
      <alignment horizontal="center"/>
    </xf>
    <xf numFmtId="0" fontId="155" fillId="0" borderId="2" xfId="0" applyFont="1" applyFill="1" applyBorder="1" applyAlignment="1">
      <alignment horizontal="center" vertical="center"/>
    </xf>
    <xf numFmtId="0" fontId="0" fillId="0" borderId="2" xfId="0" applyFill="1" applyBorder="1" applyAlignment="1">
      <alignment horizontal="center" vertical="center"/>
    </xf>
    <xf numFmtId="0" fontId="154" fillId="0" borderId="21" xfId="0" applyFont="1" applyFill="1" applyBorder="1" applyAlignment="1">
      <alignment horizontal="center"/>
    </xf>
    <xf numFmtId="0" fontId="154" fillId="0" borderId="22" xfId="0" applyFont="1" applyFill="1" applyBorder="1" applyAlignment="1">
      <alignment horizontal="center"/>
    </xf>
    <xf numFmtId="0" fontId="154" fillId="0" borderId="23" xfId="0" applyFont="1" applyFill="1" applyBorder="1" applyAlignment="1">
      <alignment horizontal="center"/>
    </xf>
    <xf numFmtId="0" fontId="0" fillId="0" borderId="2" xfId="0" applyFill="1" applyBorder="1" applyAlignment="1">
      <alignment vertical="center"/>
    </xf>
    <xf numFmtId="0" fontId="155" fillId="0" borderId="21" xfId="0" applyFont="1" applyFill="1" applyBorder="1" applyAlignment="1">
      <alignment horizontal="center" vertical="center" wrapText="1"/>
    </xf>
    <xf numFmtId="0" fontId="155" fillId="0" borderId="22" xfId="0" applyFont="1" applyFill="1" applyBorder="1" applyAlignment="1">
      <alignment horizontal="center" vertical="center" wrapText="1"/>
    </xf>
    <xf numFmtId="0" fontId="155" fillId="0" borderId="23" xfId="0" applyFont="1" applyFill="1" applyBorder="1" applyAlignment="1">
      <alignment horizontal="center" vertical="center" wrapText="1"/>
    </xf>
    <xf numFmtId="0" fontId="154" fillId="0" borderId="2" xfId="0" applyFont="1" applyFill="1" applyBorder="1" applyAlignment="1">
      <alignment horizontal="center" vertical="center"/>
    </xf>
    <xf numFmtId="0" fontId="51" fillId="0" borderId="2" xfId="0" applyFont="1" applyFill="1" applyBorder="1" applyAlignment="1">
      <alignment horizontal="center" vertical="center"/>
    </xf>
    <xf numFmtId="0" fontId="154" fillId="0" borderId="2" xfId="0" applyFont="1" applyFill="1" applyBorder="1" applyAlignment="1">
      <alignment horizontal="center" vertical="center" wrapText="1"/>
    </xf>
    <xf numFmtId="0" fontId="154" fillId="0" borderId="21" xfId="0" applyFont="1" applyFill="1" applyBorder="1" applyAlignment="1">
      <alignment horizontal="center" vertical="center"/>
    </xf>
    <xf numFmtId="0" fontId="154" fillId="0" borderId="23" xfId="0" applyFont="1" applyFill="1" applyBorder="1" applyAlignment="1">
      <alignment horizontal="center" vertical="center"/>
    </xf>
    <xf numFmtId="0" fontId="3" fillId="57" borderId="0" xfId="0" applyFont="1" applyFill="1" applyAlignment="1">
      <alignment horizontal="center" vertical="center"/>
    </xf>
    <xf numFmtId="0" fontId="85" fillId="0" borderId="0" xfId="0" applyFont="1" applyAlignment="1">
      <alignment horizontal="center"/>
    </xf>
    <xf numFmtId="0" fontId="4" fillId="66" borderId="0" xfId="0" applyFont="1" applyFill="1"/>
    <xf numFmtId="183" fontId="1" fillId="65" borderId="0" xfId="4" applyNumberFormat="1" applyFont="1" applyFill="1" applyAlignment="1">
      <alignment horizontal="center"/>
    </xf>
    <xf numFmtId="183" fontId="82" fillId="65" borderId="0" xfId="4" applyNumberFormat="1" applyFont="1" applyFill="1" applyAlignment="1">
      <alignment horizontal="center"/>
    </xf>
    <xf numFmtId="3" fontId="8" fillId="0" borderId="0" xfId="0" applyNumberFormat="1" applyFont="1"/>
    <xf numFmtId="3" fontId="69" fillId="0" borderId="0" xfId="0" applyNumberFormat="1" applyFont="1"/>
    <xf numFmtId="2" fontId="69" fillId="49" borderId="0" xfId="0" applyNumberFormat="1" applyFont="1" applyFill="1"/>
    <xf numFmtId="183" fontId="119" fillId="49" borderId="0" xfId="0" applyNumberFormat="1" applyFont="1" applyFill="1"/>
  </cellXfs>
  <cellStyles count="9433">
    <cellStyle name="_x000d__x000a_JournalTemplate=C:\COMFO\CTALK\JOURSTD.TPL_x000d__x000a_LbStateAddress=3 3 0 251 1 89 2 311_x000d__x000a_LbStateJou" xfId="5"/>
    <cellStyle name="%" xfId="6"/>
    <cellStyle name="% 10" xfId="7"/>
    <cellStyle name="% 100" xfId="7394"/>
    <cellStyle name="% 101" xfId="7395"/>
    <cellStyle name="% 102" xfId="7396"/>
    <cellStyle name="% 103" xfId="7397"/>
    <cellStyle name="% 104" xfId="7398"/>
    <cellStyle name="% 105" xfId="7399"/>
    <cellStyle name="% 106" xfId="7400"/>
    <cellStyle name="% 107" xfId="7401"/>
    <cellStyle name="% 108" xfId="7402"/>
    <cellStyle name="% 109" xfId="7403"/>
    <cellStyle name="% 11" xfId="8"/>
    <cellStyle name="% 110" xfId="7404"/>
    <cellStyle name="% 111" xfId="7405"/>
    <cellStyle name="% 112" xfId="7406"/>
    <cellStyle name="% 113" xfId="7407"/>
    <cellStyle name="% 114" xfId="7408"/>
    <cellStyle name="% 115" xfId="7409"/>
    <cellStyle name="% 116" xfId="7410"/>
    <cellStyle name="% 117" xfId="7411"/>
    <cellStyle name="% 118" xfId="7412"/>
    <cellStyle name="% 12" xfId="9"/>
    <cellStyle name="% 13" xfId="10"/>
    <cellStyle name="% 14" xfId="7413"/>
    <cellStyle name="% 15" xfId="7414"/>
    <cellStyle name="% 16" xfId="7415"/>
    <cellStyle name="% 17" xfId="7416"/>
    <cellStyle name="% 18" xfId="7417"/>
    <cellStyle name="% 19" xfId="7418"/>
    <cellStyle name="% 2" xfId="11"/>
    <cellStyle name="% 20" xfId="7419"/>
    <cellStyle name="% 21" xfId="7420"/>
    <cellStyle name="% 22" xfId="7421"/>
    <cellStyle name="% 23" xfId="7422"/>
    <cellStyle name="% 24" xfId="7423"/>
    <cellStyle name="% 25" xfId="7424"/>
    <cellStyle name="% 26" xfId="7425"/>
    <cellStyle name="% 27" xfId="7426"/>
    <cellStyle name="% 28" xfId="7427"/>
    <cellStyle name="% 29" xfId="7428"/>
    <cellStyle name="% 3" xfId="12"/>
    <cellStyle name="% 30" xfId="7429"/>
    <cellStyle name="% 31" xfId="7430"/>
    <cellStyle name="% 32" xfId="7431"/>
    <cellStyle name="% 33" xfId="7432"/>
    <cellStyle name="% 34" xfId="7433"/>
    <cellStyle name="% 35" xfId="7434"/>
    <cellStyle name="% 36" xfId="7435"/>
    <cellStyle name="% 37" xfId="7436"/>
    <cellStyle name="% 38" xfId="7437"/>
    <cellStyle name="% 39" xfId="7438"/>
    <cellStyle name="% 4" xfId="13"/>
    <cellStyle name="% 40" xfId="7439"/>
    <cellStyle name="% 41" xfId="7440"/>
    <cellStyle name="% 42" xfId="7441"/>
    <cellStyle name="% 43" xfId="7442"/>
    <cellStyle name="% 44" xfId="7443"/>
    <cellStyle name="% 45" xfId="7444"/>
    <cellStyle name="% 46" xfId="7445"/>
    <cellStyle name="% 47" xfId="7446"/>
    <cellStyle name="% 48" xfId="7447"/>
    <cellStyle name="% 49" xfId="7448"/>
    <cellStyle name="% 5" xfId="14"/>
    <cellStyle name="% 50" xfId="7449"/>
    <cellStyle name="% 51" xfId="7450"/>
    <cellStyle name="% 52" xfId="7451"/>
    <cellStyle name="% 53" xfId="7452"/>
    <cellStyle name="% 54" xfId="7453"/>
    <cellStyle name="% 55" xfId="7454"/>
    <cellStyle name="% 56" xfId="7455"/>
    <cellStyle name="% 57" xfId="7456"/>
    <cellStyle name="% 58" xfId="7457"/>
    <cellStyle name="% 59" xfId="7458"/>
    <cellStyle name="% 6" xfId="15"/>
    <cellStyle name="% 60" xfId="7459"/>
    <cellStyle name="% 61" xfId="7460"/>
    <cellStyle name="% 62" xfId="7461"/>
    <cellStyle name="% 63" xfId="7462"/>
    <cellStyle name="% 64" xfId="7463"/>
    <cellStyle name="% 65" xfId="7464"/>
    <cellStyle name="% 66" xfId="7465"/>
    <cellStyle name="% 67" xfId="7466"/>
    <cellStyle name="% 68" xfId="7467"/>
    <cellStyle name="% 69" xfId="7468"/>
    <cellStyle name="% 7" xfId="16"/>
    <cellStyle name="% 70" xfId="7469"/>
    <cellStyle name="% 71" xfId="7470"/>
    <cellStyle name="% 72" xfId="7471"/>
    <cellStyle name="% 73" xfId="7472"/>
    <cellStyle name="% 74" xfId="7473"/>
    <cellStyle name="% 75" xfId="7474"/>
    <cellStyle name="% 76" xfId="7475"/>
    <cellStyle name="% 77" xfId="7476"/>
    <cellStyle name="% 78" xfId="7477"/>
    <cellStyle name="% 79" xfId="7478"/>
    <cellStyle name="% 8" xfId="17"/>
    <cellStyle name="% 80" xfId="7479"/>
    <cellStyle name="% 81" xfId="7480"/>
    <cellStyle name="% 82" xfId="7481"/>
    <cellStyle name="% 83" xfId="7482"/>
    <cellStyle name="% 84" xfId="7483"/>
    <cellStyle name="% 85" xfId="7484"/>
    <cellStyle name="% 86" xfId="7485"/>
    <cellStyle name="% 87" xfId="7486"/>
    <cellStyle name="% 88" xfId="7487"/>
    <cellStyle name="% 89" xfId="7488"/>
    <cellStyle name="% 9" xfId="18"/>
    <cellStyle name="% 90" xfId="7489"/>
    <cellStyle name="% 91" xfId="7490"/>
    <cellStyle name="% 92" xfId="7491"/>
    <cellStyle name="% 93" xfId="7492"/>
    <cellStyle name="% 94" xfId="7493"/>
    <cellStyle name="% 95" xfId="7494"/>
    <cellStyle name="% 96" xfId="7495"/>
    <cellStyle name="% 97" xfId="7496"/>
    <cellStyle name="% 98" xfId="7497"/>
    <cellStyle name="% 99" xfId="7498"/>
    <cellStyle name="_GDP Constant Prices National Currency" xfId="19"/>
    <cellStyle name="_GDP from Multiple Sources-1" xfId="20"/>
    <cellStyle name="_Gross domestic product current prices" xfId="21"/>
    <cellStyle name="_Sheet1" xfId="22"/>
    <cellStyle name="_Sheet1 2" xfId="23"/>
    <cellStyle name="_Sheet1 3" xfId="24"/>
    <cellStyle name="_Sheet1 4" xfId="25"/>
    <cellStyle name="_Sheet2" xfId="26"/>
    <cellStyle name="_Sheet2 2" xfId="27"/>
    <cellStyle name="_Sheet2 3" xfId="28"/>
    <cellStyle name="_Sheet2 4" xfId="29"/>
    <cellStyle name="_Sheet2_1" xfId="30"/>
    <cellStyle name="_Sheet2_1 2" xfId="31"/>
    <cellStyle name="_Sheet2_1 3" xfId="32"/>
    <cellStyle name="_Sheet2_1 4" xfId="33"/>
    <cellStyle name="_Sheet21" xfId="34"/>
    <cellStyle name="_Sheet21 2" xfId="35"/>
    <cellStyle name="_Sheet21 3" xfId="36"/>
    <cellStyle name="_Sheet21 4" xfId="37"/>
    <cellStyle name="_Sheet3" xfId="38"/>
    <cellStyle name="_Sheet3 2" xfId="39"/>
    <cellStyle name="_Sheet3 3" xfId="40"/>
    <cellStyle name="_Sheet3 4" xfId="41"/>
    <cellStyle name="_Sheet3_1" xfId="42"/>
    <cellStyle name="_Sheet3_1 2" xfId="43"/>
    <cellStyle name="_Sheet3_1 3" xfId="44"/>
    <cellStyle name="_Sheet3_1 4" xfId="45"/>
    <cellStyle name="_Template" xfId="46"/>
    <cellStyle name="04_Table text" xfId="47"/>
    <cellStyle name="¹éº" xfId="48"/>
    <cellStyle name="20% - Accent1 2" xfId="49"/>
    <cellStyle name="20% - Accent1 2 10" xfId="50"/>
    <cellStyle name="20% - Accent1 2 100" xfId="7499"/>
    <cellStyle name="20% - Accent1 2 101" xfId="7500"/>
    <cellStyle name="20% - Accent1 2 102" xfId="7501"/>
    <cellStyle name="20% - Accent1 2 103" xfId="7502"/>
    <cellStyle name="20% - Accent1 2 104" xfId="7503"/>
    <cellStyle name="20% - Accent1 2 105" xfId="7504"/>
    <cellStyle name="20% - Accent1 2 106" xfId="7505"/>
    <cellStyle name="20% - Accent1 2 107" xfId="7506"/>
    <cellStyle name="20% - Accent1 2 108" xfId="7507"/>
    <cellStyle name="20% - Accent1 2 109" xfId="7508"/>
    <cellStyle name="20% - Accent1 2 11" xfId="51"/>
    <cellStyle name="20% - Accent1 2 110" xfId="7509"/>
    <cellStyle name="20% - Accent1 2 111" xfId="7510"/>
    <cellStyle name="20% - Accent1 2 112" xfId="7511"/>
    <cellStyle name="20% - Accent1 2 113" xfId="7512"/>
    <cellStyle name="20% - Accent1 2 114" xfId="7513"/>
    <cellStyle name="20% - Accent1 2 115" xfId="7514"/>
    <cellStyle name="20% - Accent1 2 116" xfId="7515"/>
    <cellStyle name="20% - Accent1 2 117" xfId="7516"/>
    <cellStyle name="20% - Accent1 2 12" xfId="52"/>
    <cellStyle name="20% - Accent1 2 13" xfId="7517"/>
    <cellStyle name="20% - Accent1 2 14" xfId="7518"/>
    <cellStyle name="20% - Accent1 2 15" xfId="7519"/>
    <cellStyle name="20% - Accent1 2 16" xfId="7520"/>
    <cellStyle name="20% - Accent1 2 17" xfId="7521"/>
    <cellStyle name="20% - Accent1 2 18" xfId="7522"/>
    <cellStyle name="20% - Accent1 2 19" xfId="7523"/>
    <cellStyle name="20% - Accent1 2 2" xfId="53"/>
    <cellStyle name="20% - Accent1 2 2 2" xfId="54"/>
    <cellStyle name="20% - Accent1 2 2 2 2" xfId="55"/>
    <cellStyle name="20% - Accent1 2 2 2 3" xfId="56"/>
    <cellStyle name="20% - Accent1 2 2 3" xfId="57"/>
    <cellStyle name="20% - Accent1 2 2 4" xfId="58"/>
    <cellStyle name="20% - Accent1 2 20" xfId="7524"/>
    <cellStyle name="20% - Accent1 2 21" xfId="7525"/>
    <cellStyle name="20% - Accent1 2 22" xfId="7526"/>
    <cellStyle name="20% - Accent1 2 23" xfId="7527"/>
    <cellStyle name="20% - Accent1 2 24" xfId="7528"/>
    <cellStyle name="20% - Accent1 2 25" xfId="7529"/>
    <cellStyle name="20% - Accent1 2 26" xfId="7530"/>
    <cellStyle name="20% - Accent1 2 27" xfId="7531"/>
    <cellStyle name="20% - Accent1 2 28" xfId="7532"/>
    <cellStyle name="20% - Accent1 2 29" xfId="7533"/>
    <cellStyle name="20% - Accent1 2 3" xfId="59"/>
    <cellStyle name="20% - Accent1 2 3 2" xfId="60"/>
    <cellStyle name="20% - Accent1 2 3 2 2" xfId="61"/>
    <cellStyle name="20% - Accent1 2 3 2 3" xfId="62"/>
    <cellStyle name="20% - Accent1 2 3 3" xfId="63"/>
    <cellStyle name="20% - Accent1 2 3 4" xfId="64"/>
    <cellStyle name="20% - Accent1 2 30" xfId="7534"/>
    <cellStyle name="20% - Accent1 2 31" xfId="7535"/>
    <cellStyle name="20% - Accent1 2 32" xfId="7536"/>
    <cellStyle name="20% - Accent1 2 33" xfId="7537"/>
    <cellStyle name="20% - Accent1 2 34" xfId="7538"/>
    <cellStyle name="20% - Accent1 2 35" xfId="7539"/>
    <cellStyle name="20% - Accent1 2 36" xfId="7540"/>
    <cellStyle name="20% - Accent1 2 37" xfId="7541"/>
    <cellStyle name="20% - Accent1 2 38" xfId="7542"/>
    <cellStyle name="20% - Accent1 2 39" xfId="7543"/>
    <cellStyle name="20% - Accent1 2 4" xfId="65"/>
    <cellStyle name="20% - Accent1 2 4 2" xfId="66"/>
    <cellStyle name="20% - Accent1 2 4 2 2" xfId="67"/>
    <cellStyle name="20% - Accent1 2 4 2 3" xfId="68"/>
    <cellStyle name="20% - Accent1 2 4 3" xfId="69"/>
    <cellStyle name="20% - Accent1 2 4 4" xfId="70"/>
    <cellStyle name="20% - Accent1 2 40" xfId="7544"/>
    <cellStyle name="20% - Accent1 2 41" xfId="7545"/>
    <cellStyle name="20% - Accent1 2 42" xfId="7546"/>
    <cellStyle name="20% - Accent1 2 43" xfId="7547"/>
    <cellStyle name="20% - Accent1 2 44" xfId="7548"/>
    <cellStyle name="20% - Accent1 2 45" xfId="7549"/>
    <cellStyle name="20% - Accent1 2 46" xfId="7550"/>
    <cellStyle name="20% - Accent1 2 47" xfId="7551"/>
    <cellStyle name="20% - Accent1 2 48" xfId="7552"/>
    <cellStyle name="20% - Accent1 2 49" xfId="7553"/>
    <cellStyle name="20% - Accent1 2 5" xfId="71"/>
    <cellStyle name="20% - Accent1 2 5 2" xfId="72"/>
    <cellStyle name="20% - Accent1 2 5 2 2" xfId="73"/>
    <cellStyle name="20% - Accent1 2 5 2 3" xfId="74"/>
    <cellStyle name="20% - Accent1 2 5 3" xfId="75"/>
    <cellStyle name="20% - Accent1 2 5 4" xfId="76"/>
    <cellStyle name="20% - Accent1 2 50" xfId="7554"/>
    <cellStyle name="20% - Accent1 2 51" xfId="7555"/>
    <cellStyle name="20% - Accent1 2 52" xfId="7556"/>
    <cellStyle name="20% - Accent1 2 53" xfId="7557"/>
    <cellStyle name="20% - Accent1 2 54" xfId="7558"/>
    <cellStyle name="20% - Accent1 2 55" xfId="7559"/>
    <cellStyle name="20% - Accent1 2 56" xfId="7560"/>
    <cellStyle name="20% - Accent1 2 57" xfId="7561"/>
    <cellStyle name="20% - Accent1 2 58" xfId="7562"/>
    <cellStyle name="20% - Accent1 2 59" xfId="7563"/>
    <cellStyle name="20% - Accent1 2 6" xfId="77"/>
    <cellStyle name="20% - Accent1 2 6 2" xfId="78"/>
    <cellStyle name="20% - Accent1 2 6 3" xfId="79"/>
    <cellStyle name="20% - Accent1 2 60" xfId="7564"/>
    <cellStyle name="20% - Accent1 2 61" xfId="7565"/>
    <cellStyle name="20% - Accent1 2 62" xfId="7566"/>
    <cellStyle name="20% - Accent1 2 63" xfId="7567"/>
    <cellStyle name="20% - Accent1 2 64" xfId="7568"/>
    <cellStyle name="20% - Accent1 2 65" xfId="7569"/>
    <cellStyle name="20% - Accent1 2 66" xfId="7570"/>
    <cellStyle name="20% - Accent1 2 67" xfId="7571"/>
    <cellStyle name="20% - Accent1 2 68" xfId="7572"/>
    <cellStyle name="20% - Accent1 2 69" xfId="7573"/>
    <cellStyle name="20% - Accent1 2 7" xfId="80"/>
    <cellStyle name="20% - Accent1 2 70" xfId="7574"/>
    <cellStyle name="20% - Accent1 2 71" xfId="7575"/>
    <cellStyle name="20% - Accent1 2 72" xfId="7576"/>
    <cellStyle name="20% - Accent1 2 73" xfId="7577"/>
    <cellStyle name="20% - Accent1 2 74" xfId="7578"/>
    <cellStyle name="20% - Accent1 2 75" xfId="7579"/>
    <cellStyle name="20% - Accent1 2 76" xfId="7580"/>
    <cellStyle name="20% - Accent1 2 77" xfId="7581"/>
    <cellStyle name="20% - Accent1 2 78" xfId="7582"/>
    <cellStyle name="20% - Accent1 2 79" xfId="7583"/>
    <cellStyle name="20% - Accent1 2 8" xfId="81"/>
    <cellStyle name="20% - Accent1 2 80" xfId="7584"/>
    <cellStyle name="20% - Accent1 2 81" xfId="7585"/>
    <cellStyle name="20% - Accent1 2 82" xfId="7586"/>
    <cellStyle name="20% - Accent1 2 83" xfId="7587"/>
    <cellStyle name="20% - Accent1 2 84" xfId="7588"/>
    <cellStyle name="20% - Accent1 2 85" xfId="7589"/>
    <cellStyle name="20% - Accent1 2 86" xfId="7590"/>
    <cellStyle name="20% - Accent1 2 87" xfId="7591"/>
    <cellStyle name="20% - Accent1 2 88" xfId="7592"/>
    <cellStyle name="20% - Accent1 2 89" xfId="7593"/>
    <cellStyle name="20% - Accent1 2 9" xfId="82"/>
    <cellStyle name="20% - Accent1 2 90" xfId="7594"/>
    <cellStyle name="20% - Accent1 2 91" xfId="7595"/>
    <cellStyle name="20% - Accent1 2 92" xfId="7596"/>
    <cellStyle name="20% - Accent1 2 93" xfId="7597"/>
    <cellStyle name="20% - Accent1 2 94" xfId="7598"/>
    <cellStyle name="20% - Accent1 2 95" xfId="7599"/>
    <cellStyle name="20% - Accent1 2 96" xfId="7600"/>
    <cellStyle name="20% - Accent1 2 97" xfId="7601"/>
    <cellStyle name="20% - Accent1 2 98" xfId="7602"/>
    <cellStyle name="20% - Accent1 2 99" xfId="7603"/>
    <cellStyle name="20% - Accent1 3" xfId="83"/>
    <cellStyle name="20% - Accent1 3 2" xfId="84"/>
    <cellStyle name="20% - Accent1 3 2 2" xfId="85"/>
    <cellStyle name="20% - Accent1 3 2 3" xfId="86"/>
    <cellStyle name="20% - Accent1 3 3" xfId="87"/>
    <cellStyle name="20% - Accent1 3 4" xfId="88"/>
    <cellStyle name="20% - Accent1 4" xfId="89"/>
    <cellStyle name="20% - Accent1 4 2" xfId="90"/>
    <cellStyle name="20% - Accent1 4 2 2" xfId="91"/>
    <cellStyle name="20% - Accent1 4 2 3" xfId="92"/>
    <cellStyle name="20% - Accent1 4 3" xfId="93"/>
    <cellStyle name="20% - Accent1 4 4" xfId="94"/>
    <cellStyle name="20% - Accent1 5" xfId="95"/>
    <cellStyle name="20% - Accent1 5 2" xfId="96"/>
    <cellStyle name="20% - Accent1 5 2 2" xfId="97"/>
    <cellStyle name="20% - Accent1 5 2 3" xfId="98"/>
    <cellStyle name="20% - Accent1 5 3" xfId="99"/>
    <cellStyle name="20% - Accent1 5 4" xfId="100"/>
    <cellStyle name="20% - Accent1 6" xfId="101"/>
    <cellStyle name="20% - Accent1 6 2" xfId="102"/>
    <cellStyle name="20% - Accent1 6 2 2" xfId="103"/>
    <cellStyle name="20% - Accent1 6 2 3" xfId="104"/>
    <cellStyle name="20% - Accent1 6 3" xfId="105"/>
    <cellStyle name="20% - Accent1 6 4" xfId="106"/>
    <cellStyle name="20% - Accent1 7" xfId="107"/>
    <cellStyle name="20% - Accent1 7 2" xfId="108"/>
    <cellStyle name="20% - Accent1 7 3" xfId="109"/>
    <cellStyle name="20% - Accent2 2" xfId="110"/>
    <cellStyle name="20% - Accent2 2 10" xfId="111"/>
    <cellStyle name="20% - Accent2 2 100" xfId="7604"/>
    <cellStyle name="20% - Accent2 2 101" xfId="7605"/>
    <cellStyle name="20% - Accent2 2 102" xfId="7606"/>
    <cellStyle name="20% - Accent2 2 103" xfId="7607"/>
    <cellStyle name="20% - Accent2 2 104" xfId="7608"/>
    <cellStyle name="20% - Accent2 2 105" xfId="7609"/>
    <cellStyle name="20% - Accent2 2 106" xfId="7610"/>
    <cellStyle name="20% - Accent2 2 107" xfId="7611"/>
    <cellStyle name="20% - Accent2 2 108" xfId="7612"/>
    <cellStyle name="20% - Accent2 2 109" xfId="7613"/>
    <cellStyle name="20% - Accent2 2 11" xfId="112"/>
    <cellStyle name="20% - Accent2 2 110" xfId="7614"/>
    <cellStyle name="20% - Accent2 2 111" xfId="7615"/>
    <cellStyle name="20% - Accent2 2 112" xfId="7616"/>
    <cellStyle name="20% - Accent2 2 113" xfId="7617"/>
    <cellStyle name="20% - Accent2 2 114" xfId="7618"/>
    <cellStyle name="20% - Accent2 2 115" xfId="7619"/>
    <cellStyle name="20% - Accent2 2 116" xfId="7620"/>
    <cellStyle name="20% - Accent2 2 117" xfId="7621"/>
    <cellStyle name="20% - Accent2 2 12" xfId="113"/>
    <cellStyle name="20% - Accent2 2 13" xfId="7622"/>
    <cellStyle name="20% - Accent2 2 14" xfId="7623"/>
    <cellStyle name="20% - Accent2 2 15" xfId="7624"/>
    <cellStyle name="20% - Accent2 2 16" xfId="7625"/>
    <cellStyle name="20% - Accent2 2 17" xfId="7626"/>
    <cellStyle name="20% - Accent2 2 18" xfId="7627"/>
    <cellStyle name="20% - Accent2 2 19" xfId="7628"/>
    <cellStyle name="20% - Accent2 2 2" xfId="114"/>
    <cellStyle name="20% - Accent2 2 2 2" xfId="115"/>
    <cellStyle name="20% - Accent2 2 2 2 2" xfId="116"/>
    <cellStyle name="20% - Accent2 2 2 2 3" xfId="117"/>
    <cellStyle name="20% - Accent2 2 2 3" xfId="118"/>
    <cellStyle name="20% - Accent2 2 2 4" xfId="119"/>
    <cellStyle name="20% - Accent2 2 20" xfId="7629"/>
    <cellStyle name="20% - Accent2 2 21" xfId="7630"/>
    <cellStyle name="20% - Accent2 2 22" xfId="7631"/>
    <cellStyle name="20% - Accent2 2 23" xfId="7632"/>
    <cellStyle name="20% - Accent2 2 24" xfId="7633"/>
    <cellStyle name="20% - Accent2 2 25" xfId="7634"/>
    <cellStyle name="20% - Accent2 2 26" xfId="7635"/>
    <cellStyle name="20% - Accent2 2 27" xfId="7636"/>
    <cellStyle name="20% - Accent2 2 28" xfId="7637"/>
    <cellStyle name="20% - Accent2 2 29" xfId="7638"/>
    <cellStyle name="20% - Accent2 2 3" xfId="120"/>
    <cellStyle name="20% - Accent2 2 3 2" xfId="121"/>
    <cellStyle name="20% - Accent2 2 3 2 2" xfId="122"/>
    <cellStyle name="20% - Accent2 2 3 2 3" xfId="123"/>
    <cellStyle name="20% - Accent2 2 3 3" xfId="124"/>
    <cellStyle name="20% - Accent2 2 3 4" xfId="125"/>
    <cellStyle name="20% - Accent2 2 30" xfId="7639"/>
    <cellStyle name="20% - Accent2 2 31" xfId="7640"/>
    <cellStyle name="20% - Accent2 2 32" xfId="7641"/>
    <cellStyle name="20% - Accent2 2 33" xfId="7642"/>
    <cellStyle name="20% - Accent2 2 34" xfId="7643"/>
    <cellStyle name="20% - Accent2 2 35" xfId="7644"/>
    <cellStyle name="20% - Accent2 2 36" xfId="7645"/>
    <cellStyle name="20% - Accent2 2 37" xfId="7646"/>
    <cellStyle name="20% - Accent2 2 38" xfId="7647"/>
    <cellStyle name="20% - Accent2 2 39" xfId="7648"/>
    <cellStyle name="20% - Accent2 2 4" xfId="126"/>
    <cellStyle name="20% - Accent2 2 4 2" xfId="127"/>
    <cellStyle name="20% - Accent2 2 4 2 2" xfId="128"/>
    <cellStyle name="20% - Accent2 2 4 2 3" xfId="129"/>
    <cellStyle name="20% - Accent2 2 4 3" xfId="130"/>
    <cellStyle name="20% - Accent2 2 4 4" xfId="131"/>
    <cellStyle name="20% - Accent2 2 40" xfId="7649"/>
    <cellStyle name="20% - Accent2 2 41" xfId="7650"/>
    <cellStyle name="20% - Accent2 2 42" xfId="7651"/>
    <cellStyle name="20% - Accent2 2 43" xfId="7652"/>
    <cellStyle name="20% - Accent2 2 44" xfId="7653"/>
    <cellStyle name="20% - Accent2 2 45" xfId="7654"/>
    <cellStyle name="20% - Accent2 2 46" xfId="7655"/>
    <cellStyle name="20% - Accent2 2 47" xfId="7656"/>
    <cellStyle name="20% - Accent2 2 48" xfId="7657"/>
    <cellStyle name="20% - Accent2 2 49" xfId="7658"/>
    <cellStyle name="20% - Accent2 2 5" xfId="132"/>
    <cellStyle name="20% - Accent2 2 5 2" xfId="133"/>
    <cellStyle name="20% - Accent2 2 5 2 2" xfId="134"/>
    <cellStyle name="20% - Accent2 2 5 2 3" xfId="135"/>
    <cellStyle name="20% - Accent2 2 5 3" xfId="136"/>
    <cellStyle name="20% - Accent2 2 5 4" xfId="137"/>
    <cellStyle name="20% - Accent2 2 50" xfId="7659"/>
    <cellStyle name="20% - Accent2 2 51" xfId="7660"/>
    <cellStyle name="20% - Accent2 2 52" xfId="7661"/>
    <cellStyle name="20% - Accent2 2 53" xfId="7662"/>
    <cellStyle name="20% - Accent2 2 54" xfId="7663"/>
    <cellStyle name="20% - Accent2 2 55" xfId="7664"/>
    <cellStyle name="20% - Accent2 2 56" xfId="7665"/>
    <cellStyle name="20% - Accent2 2 57" xfId="7666"/>
    <cellStyle name="20% - Accent2 2 58" xfId="7667"/>
    <cellStyle name="20% - Accent2 2 59" xfId="7668"/>
    <cellStyle name="20% - Accent2 2 6" xfId="138"/>
    <cellStyle name="20% - Accent2 2 6 2" xfId="139"/>
    <cellStyle name="20% - Accent2 2 6 3" xfId="140"/>
    <cellStyle name="20% - Accent2 2 60" xfId="7669"/>
    <cellStyle name="20% - Accent2 2 61" xfId="7670"/>
    <cellStyle name="20% - Accent2 2 62" xfId="7671"/>
    <cellStyle name="20% - Accent2 2 63" xfId="7672"/>
    <cellStyle name="20% - Accent2 2 64" xfId="7673"/>
    <cellStyle name="20% - Accent2 2 65" xfId="7674"/>
    <cellStyle name="20% - Accent2 2 66" xfId="7675"/>
    <cellStyle name="20% - Accent2 2 67" xfId="7676"/>
    <cellStyle name="20% - Accent2 2 68" xfId="7677"/>
    <cellStyle name="20% - Accent2 2 69" xfId="7678"/>
    <cellStyle name="20% - Accent2 2 7" xfId="141"/>
    <cellStyle name="20% - Accent2 2 70" xfId="7679"/>
    <cellStyle name="20% - Accent2 2 71" xfId="7680"/>
    <cellStyle name="20% - Accent2 2 72" xfId="7681"/>
    <cellStyle name="20% - Accent2 2 73" xfId="7682"/>
    <cellStyle name="20% - Accent2 2 74" xfId="7683"/>
    <cellStyle name="20% - Accent2 2 75" xfId="7684"/>
    <cellStyle name="20% - Accent2 2 76" xfId="7685"/>
    <cellStyle name="20% - Accent2 2 77" xfId="7686"/>
    <cellStyle name="20% - Accent2 2 78" xfId="7687"/>
    <cellStyle name="20% - Accent2 2 79" xfId="7688"/>
    <cellStyle name="20% - Accent2 2 8" xfId="142"/>
    <cellStyle name="20% - Accent2 2 80" xfId="7689"/>
    <cellStyle name="20% - Accent2 2 81" xfId="7690"/>
    <cellStyle name="20% - Accent2 2 82" xfId="7691"/>
    <cellStyle name="20% - Accent2 2 83" xfId="7692"/>
    <cellStyle name="20% - Accent2 2 84" xfId="7693"/>
    <cellStyle name="20% - Accent2 2 85" xfId="7694"/>
    <cellStyle name="20% - Accent2 2 86" xfId="7695"/>
    <cellStyle name="20% - Accent2 2 87" xfId="7696"/>
    <cellStyle name="20% - Accent2 2 88" xfId="7697"/>
    <cellStyle name="20% - Accent2 2 89" xfId="7698"/>
    <cellStyle name="20% - Accent2 2 9" xfId="143"/>
    <cellStyle name="20% - Accent2 2 90" xfId="7699"/>
    <cellStyle name="20% - Accent2 2 91" xfId="7700"/>
    <cellStyle name="20% - Accent2 2 92" xfId="7701"/>
    <cellStyle name="20% - Accent2 2 93" xfId="7702"/>
    <cellStyle name="20% - Accent2 2 94" xfId="7703"/>
    <cellStyle name="20% - Accent2 2 95" xfId="7704"/>
    <cellStyle name="20% - Accent2 2 96" xfId="7705"/>
    <cellStyle name="20% - Accent2 2 97" xfId="7706"/>
    <cellStyle name="20% - Accent2 2 98" xfId="7707"/>
    <cellStyle name="20% - Accent2 2 99" xfId="7708"/>
    <cellStyle name="20% - Accent2 3" xfId="144"/>
    <cellStyle name="20% - Accent2 3 2" xfId="145"/>
    <cellStyle name="20% - Accent2 3 2 2" xfId="146"/>
    <cellStyle name="20% - Accent2 3 2 3" xfId="147"/>
    <cellStyle name="20% - Accent2 3 3" xfId="148"/>
    <cellStyle name="20% - Accent2 3 4" xfId="149"/>
    <cellStyle name="20% - Accent2 4" xfId="150"/>
    <cellStyle name="20% - Accent2 4 2" xfId="151"/>
    <cellStyle name="20% - Accent2 4 2 2" xfId="152"/>
    <cellStyle name="20% - Accent2 4 2 3" xfId="153"/>
    <cellStyle name="20% - Accent2 4 3" xfId="154"/>
    <cellStyle name="20% - Accent2 4 4" xfId="155"/>
    <cellStyle name="20% - Accent2 5" xfId="156"/>
    <cellStyle name="20% - Accent2 5 2" xfId="157"/>
    <cellStyle name="20% - Accent2 5 2 2" xfId="158"/>
    <cellStyle name="20% - Accent2 5 2 3" xfId="159"/>
    <cellStyle name="20% - Accent2 5 3" xfId="160"/>
    <cellStyle name="20% - Accent2 5 4" xfId="161"/>
    <cellStyle name="20% - Accent2 6" xfId="162"/>
    <cellStyle name="20% - Accent2 6 2" xfId="163"/>
    <cellStyle name="20% - Accent2 6 2 2" xfId="164"/>
    <cellStyle name="20% - Accent2 6 2 3" xfId="165"/>
    <cellStyle name="20% - Accent2 6 3" xfId="166"/>
    <cellStyle name="20% - Accent2 6 4" xfId="167"/>
    <cellStyle name="20% - Accent2 7" xfId="168"/>
    <cellStyle name="20% - Accent2 7 2" xfId="169"/>
    <cellStyle name="20% - Accent2 7 3" xfId="170"/>
    <cellStyle name="20% - Accent3 2" xfId="171"/>
    <cellStyle name="20% - Accent3 2 10" xfId="172"/>
    <cellStyle name="20% - Accent3 2 100" xfId="7709"/>
    <cellStyle name="20% - Accent3 2 101" xfId="7710"/>
    <cellStyle name="20% - Accent3 2 102" xfId="7711"/>
    <cellStyle name="20% - Accent3 2 103" xfId="7712"/>
    <cellStyle name="20% - Accent3 2 104" xfId="7713"/>
    <cellStyle name="20% - Accent3 2 105" xfId="7714"/>
    <cellStyle name="20% - Accent3 2 106" xfId="7715"/>
    <cellStyle name="20% - Accent3 2 107" xfId="7716"/>
    <cellStyle name="20% - Accent3 2 108" xfId="7717"/>
    <cellStyle name="20% - Accent3 2 109" xfId="7718"/>
    <cellStyle name="20% - Accent3 2 11" xfId="173"/>
    <cellStyle name="20% - Accent3 2 110" xfId="7719"/>
    <cellStyle name="20% - Accent3 2 111" xfId="7720"/>
    <cellStyle name="20% - Accent3 2 112" xfId="7721"/>
    <cellStyle name="20% - Accent3 2 113" xfId="7722"/>
    <cellStyle name="20% - Accent3 2 114" xfId="7723"/>
    <cellStyle name="20% - Accent3 2 115" xfId="7724"/>
    <cellStyle name="20% - Accent3 2 116" xfId="7725"/>
    <cellStyle name="20% - Accent3 2 117" xfId="7726"/>
    <cellStyle name="20% - Accent3 2 12" xfId="174"/>
    <cellStyle name="20% - Accent3 2 13" xfId="7727"/>
    <cellStyle name="20% - Accent3 2 14" xfId="7728"/>
    <cellStyle name="20% - Accent3 2 15" xfId="7729"/>
    <cellStyle name="20% - Accent3 2 16" xfId="7730"/>
    <cellStyle name="20% - Accent3 2 17" xfId="7731"/>
    <cellStyle name="20% - Accent3 2 18" xfId="7732"/>
    <cellStyle name="20% - Accent3 2 19" xfId="7733"/>
    <cellStyle name="20% - Accent3 2 2" xfId="175"/>
    <cellStyle name="20% - Accent3 2 2 2" xfId="176"/>
    <cellStyle name="20% - Accent3 2 2 2 2" xfId="177"/>
    <cellStyle name="20% - Accent3 2 2 2 3" xfId="178"/>
    <cellStyle name="20% - Accent3 2 2 3" xfId="179"/>
    <cellStyle name="20% - Accent3 2 2 4" xfId="180"/>
    <cellStyle name="20% - Accent3 2 20" xfId="7734"/>
    <cellStyle name="20% - Accent3 2 21" xfId="7735"/>
    <cellStyle name="20% - Accent3 2 22" xfId="7736"/>
    <cellStyle name="20% - Accent3 2 23" xfId="7737"/>
    <cellStyle name="20% - Accent3 2 24" xfId="7738"/>
    <cellStyle name="20% - Accent3 2 25" xfId="7739"/>
    <cellStyle name="20% - Accent3 2 26" xfId="7740"/>
    <cellStyle name="20% - Accent3 2 27" xfId="7741"/>
    <cellStyle name="20% - Accent3 2 28" xfId="7742"/>
    <cellStyle name="20% - Accent3 2 29" xfId="7743"/>
    <cellStyle name="20% - Accent3 2 3" xfId="181"/>
    <cellStyle name="20% - Accent3 2 3 2" xfId="182"/>
    <cellStyle name="20% - Accent3 2 3 2 2" xfId="183"/>
    <cellStyle name="20% - Accent3 2 3 2 3" xfId="184"/>
    <cellStyle name="20% - Accent3 2 3 3" xfId="185"/>
    <cellStyle name="20% - Accent3 2 3 4" xfId="186"/>
    <cellStyle name="20% - Accent3 2 30" xfId="7744"/>
    <cellStyle name="20% - Accent3 2 31" xfId="7745"/>
    <cellStyle name="20% - Accent3 2 32" xfId="7746"/>
    <cellStyle name="20% - Accent3 2 33" xfId="7747"/>
    <cellStyle name="20% - Accent3 2 34" xfId="7748"/>
    <cellStyle name="20% - Accent3 2 35" xfId="7749"/>
    <cellStyle name="20% - Accent3 2 36" xfId="7750"/>
    <cellStyle name="20% - Accent3 2 37" xfId="7751"/>
    <cellStyle name="20% - Accent3 2 38" xfId="7752"/>
    <cellStyle name="20% - Accent3 2 39" xfId="7753"/>
    <cellStyle name="20% - Accent3 2 4" xfId="187"/>
    <cellStyle name="20% - Accent3 2 4 2" xfId="188"/>
    <cellStyle name="20% - Accent3 2 4 2 2" xfId="189"/>
    <cellStyle name="20% - Accent3 2 4 2 3" xfId="190"/>
    <cellStyle name="20% - Accent3 2 4 3" xfId="191"/>
    <cellStyle name="20% - Accent3 2 4 4" xfId="192"/>
    <cellStyle name="20% - Accent3 2 40" xfId="7754"/>
    <cellStyle name="20% - Accent3 2 41" xfId="7755"/>
    <cellStyle name="20% - Accent3 2 42" xfId="7756"/>
    <cellStyle name="20% - Accent3 2 43" xfId="7757"/>
    <cellStyle name="20% - Accent3 2 44" xfId="7758"/>
    <cellStyle name="20% - Accent3 2 45" xfId="7759"/>
    <cellStyle name="20% - Accent3 2 46" xfId="7760"/>
    <cellStyle name="20% - Accent3 2 47" xfId="7761"/>
    <cellStyle name="20% - Accent3 2 48" xfId="7762"/>
    <cellStyle name="20% - Accent3 2 49" xfId="7763"/>
    <cellStyle name="20% - Accent3 2 5" xfId="193"/>
    <cellStyle name="20% - Accent3 2 5 2" xfId="194"/>
    <cellStyle name="20% - Accent3 2 5 2 2" xfId="195"/>
    <cellStyle name="20% - Accent3 2 5 2 3" xfId="196"/>
    <cellStyle name="20% - Accent3 2 5 3" xfId="197"/>
    <cellStyle name="20% - Accent3 2 5 4" xfId="198"/>
    <cellStyle name="20% - Accent3 2 50" xfId="7764"/>
    <cellStyle name="20% - Accent3 2 51" xfId="7765"/>
    <cellStyle name="20% - Accent3 2 52" xfId="7766"/>
    <cellStyle name="20% - Accent3 2 53" xfId="7767"/>
    <cellStyle name="20% - Accent3 2 54" xfId="7768"/>
    <cellStyle name="20% - Accent3 2 55" xfId="7769"/>
    <cellStyle name="20% - Accent3 2 56" xfId="7770"/>
    <cellStyle name="20% - Accent3 2 57" xfId="7771"/>
    <cellStyle name="20% - Accent3 2 58" xfId="7772"/>
    <cellStyle name="20% - Accent3 2 59" xfId="7773"/>
    <cellStyle name="20% - Accent3 2 6" xfId="199"/>
    <cellStyle name="20% - Accent3 2 6 2" xfId="200"/>
    <cellStyle name="20% - Accent3 2 6 3" xfId="201"/>
    <cellStyle name="20% - Accent3 2 60" xfId="7774"/>
    <cellStyle name="20% - Accent3 2 61" xfId="7775"/>
    <cellStyle name="20% - Accent3 2 62" xfId="7776"/>
    <cellStyle name="20% - Accent3 2 63" xfId="7777"/>
    <cellStyle name="20% - Accent3 2 64" xfId="7778"/>
    <cellStyle name="20% - Accent3 2 65" xfId="7779"/>
    <cellStyle name="20% - Accent3 2 66" xfId="7780"/>
    <cellStyle name="20% - Accent3 2 67" xfId="7781"/>
    <cellStyle name="20% - Accent3 2 68" xfId="7782"/>
    <cellStyle name="20% - Accent3 2 69" xfId="7783"/>
    <cellStyle name="20% - Accent3 2 7" xfId="202"/>
    <cellStyle name="20% - Accent3 2 70" xfId="7784"/>
    <cellStyle name="20% - Accent3 2 71" xfId="7785"/>
    <cellStyle name="20% - Accent3 2 72" xfId="7786"/>
    <cellStyle name="20% - Accent3 2 73" xfId="7787"/>
    <cellStyle name="20% - Accent3 2 74" xfId="7788"/>
    <cellStyle name="20% - Accent3 2 75" xfId="7789"/>
    <cellStyle name="20% - Accent3 2 76" xfId="7790"/>
    <cellStyle name="20% - Accent3 2 77" xfId="7791"/>
    <cellStyle name="20% - Accent3 2 78" xfId="7792"/>
    <cellStyle name="20% - Accent3 2 79" xfId="7793"/>
    <cellStyle name="20% - Accent3 2 8" xfId="203"/>
    <cellStyle name="20% - Accent3 2 80" xfId="7794"/>
    <cellStyle name="20% - Accent3 2 81" xfId="7795"/>
    <cellStyle name="20% - Accent3 2 82" xfId="7796"/>
    <cellStyle name="20% - Accent3 2 83" xfId="7797"/>
    <cellStyle name="20% - Accent3 2 84" xfId="7798"/>
    <cellStyle name="20% - Accent3 2 85" xfId="7799"/>
    <cellStyle name="20% - Accent3 2 86" xfId="7800"/>
    <cellStyle name="20% - Accent3 2 87" xfId="7801"/>
    <cellStyle name="20% - Accent3 2 88" xfId="7802"/>
    <cellStyle name="20% - Accent3 2 89" xfId="7803"/>
    <cellStyle name="20% - Accent3 2 9" xfId="204"/>
    <cellStyle name="20% - Accent3 2 90" xfId="7804"/>
    <cellStyle name="20% - Accent3 2 91" xfId="7805"/>
    <cellStyle name="20% - Accent3 2 92" xfId="7806"/>
    <cellStyle name="20% - Accent3 2 93" xfId="7807"/>
    <cellStyle name="20% - Accent3 2 94" xfId="7808"/>
    <cellStyle name="20% - Accent3 2 95" xfId="7809"/>
    <cellStyle name="20% - Accent3 2 96" xfId="7810"/>
    <cellStyle name="20% - Accent3 2 97" xfId="7811"/>
    <cellStyle name="20% - Accent3 2 98" xfId="7812"/>
    <cellStyle name="20% - Accent3 2 99" xfId="7813"/>
    <cellStyle name="20% - Accent3 3" xfId="205"/>
    <cellStyle name="20% - Accent3 3 2" xfId="206"/>
    <cellStyle name="20% - Accent3 3 2 2" xfId="207"/>
    <cellStyle name="20% - Accent3 3 2 3" xfId="208"/>
    <cellStyle name="20% - Accent3 3 3" xfId="209"/>
    <cellStyle name="20% - Accent3 3 4" xfId="210"/>
    <cellStyle name="20% - Accent3 4" xfId="211"/>
    <cellStyle name="20% - Accent3 4 2" xfId="212"/>
    <cellStyle name="20% - Accent3 4 2 2" xfId="213"/>
    <cellStyle name="20% - Accent3 4 2 3" xfId="214"/>
    <cellStyle name="20% - Accent3 4 3" xfId="215"/>
    <cellStyle name="20% - Accent3 4 4" xfId="216"/>
    <cellStyle name="20% - Accent3 5" xfId="217"/>
    <cellStyle name="20% - Accent3 5 2" xfId="218"/>
    <cellStyle name="20% - Accent3 5 2 2" xfId="219"/>
    <cellStyle name="20% - Accent3 5 2 3" xfId="220"/>
    <cellStyle name="20% - Accent3 5 3" xfId="221"/>
    <cellStyle name="20% - Accent3 5 4" xfId="222"/>
    <cellStyle name="20% - Accent3 6" xfId="223"/>
    <cellStyle name="20% - Accent3 6 2" xfId="224"/>
    <cellStyle name="20% - Accent3 6 2 2" xfId="225"/>
    <cellStyle name="20% - Accent3 6 2 3" xfId="226"/>
    <cellStyle name="20% - Accent3 6 3" xfId="227"/>
    <cellStyle name="20% - Accent3 6 4" xfId="228"/>
    <cellStyle name="20% - Accent3 7" xfId="229"/>
    <cellStyle name="20% - Accent3 7 2" xfId="230"/>
    <cellStyle name="20% - Accent3 7 3" xfId="231"/>
    <cellStyle name="20% - Accent4 2" xfId="232"/>
    <cellStyle name="20% - Accent4 2 10" xfId="233"/>
    <cellStyle name="20% - Accent4 2 100" xfId="7814"/>
    <cellStyle name="20% - Accent4 2 101" xfId="7815"/>
    <cellStyle name="20% - Accent4 2 102" xfId="7816"/>
    <cellStyle name="20% - Accent4 2 103" xfId="7817"/>
    <cellStyle name="20% - Accent4 2 104" xfId="7818"/>
    <cellStyle name="20% - Accent4 2 105" xfId="7819"/>
    <cellStyle name="20% - Accent4 2 106" xfId="7820"/>
    <cellStyle name="20% - Accent4 2 107" xfId="7821"/>
    <cellStyle name="20% - Accent4 2 108" xfId="7822"/>
    <cellStyle name="20% - Accent4 2 109" xfId="7823"/>
    <cellStyle name="20% - Accent4 2 11" xfId="234"/>
    <cellStyle name="20% - Accent4 2 110" xfId="7824"/>
    <cellStyle name="20% - Accent4 2 111" xfId="7825"/>
    <cellStyle name="20% - Accent4 2 112" xfId="7826"/>
    <cellStyle name="20% - Accent4 2 113" xfId="7827"/>
    <cellStyle name="20% - Accent4 2 114" xfId="7828"/>
    <cellStyle name="20% - Accent4 2 115" xfId="7829"/>
    <cellStyle name="20% - Accent4 2 116" xfId="7830"/>
    <cellStyle name="20% - Accent4 2 117" xfId="7831"/>
    <cellStyle name="20% - Accent4 2 12" xfId="235"/>
    <cellStyle name="20% - Accent4 2 13" xfId="7832"/>
    <cellStyle name="20% - Accent4 2 14" xfId="7833"/>
    <cellStyle name="20% - Accent4 2 15" xfId="7834"/>
    <cellStyle name="20% - Accent4 2 16" xfId="7835"/>
    <cellStyle name="20% - Accent4 2 17" xfId="7836"/>
    <cellStyle name="20% - Accent4 2 18" xfId="7837"/>
    <cellStyle name="20% - Accent4 2 19" xfId="7838"/>
    <cellStyle name="20% - Accent4 2 2" xfId="236"/>
    <cellStyle name="20% - Accent4 2 2 2" xfId="237"/>
    <cellStyle name="20% - Accent4 2 2 2 2" xfId="238"/>
    <cellStyle name="20% - Accent4 2 2 2 3" xfId="239"/>
    <cellStyle name="20% - Accent4 2 2 3" xfId="240"/>
    <cellStyle name="20% - Accent4 2 2 4" xfId="241"/>
    <cellStyle name="20% - Accent4 2 20" xfId="7839"/>
    <cellStyle name="20% - Accent4 2 21" xfId="7840"/>
    <cellStyle name="20% - Accent4 2 22" xfId="7841"/>
    <cellStyle name="20% - Accent4 2 23" xfId="7842"/>
    <cellStyle name="20% - Accent4 2 24" xfId="7843"/>
    <cellStyle name="20% - Accent4 2 25" xfId="7844"/>
    <cellStyle name="20% - Accent4 2 26" xfId="7845"/>
    <cellStyle name="20% - Accent4 2 27" xfId="7846"/>
    <cellStyle name="20% - Accent4 2 28" xfId="7847"/>
    <cellStyle name="20% - Accent4 2 29" xfId="7848"/>
    <cellStyle name="20% - Accent4 2 3" xfId="242"/>
    <cellStyle name="20% - Accent4 2 3 2" xfId="243"/>
    <cellStyle name="20% - Accent4 2 3 2 2" xfId="244"/>
    <cellStyle name="20% - Accent4 2 3 2 3" xfId="245"/>
    <cellStyle name="20% - Accent4 2 3 3" xfId="246"/>
    <cellStyle name="20% - Accent4 2 3 4" xfId="247"/>
    <cellStyle name="20% - Accent4 2 30" xfId="7849"/>
    <cellStyle name="20% - Accent4 2 31" xfId="7850"/>
    <cellStyle name="20% - Accent4 2 32" xfId="7851"/>
    <cellStyle name="20% - Accent4 2 33" xfId="7852"/>
    <cellStyle name="20% - Accent4 2 34" xfId="7853"/>
    <cellStyle name="20% - Accent4 2 35" xfId="7854"/>
    <cellStyle name="20% - Accent4 2 36" xfId="7855"/>
    <cellStyle name="20% - Accent4 2 37" xfId="7856"/>
    <cellStyle name="20% - Accent4 2 38" xfId="7857"/>
    <cellStyle name="20% - Accent4 2 39" xfId="7858"/>
    <cellStyle name="20% - Accent4 2 4" xfId="248"/>
    <cellStyle name="20% - Accent4 2 4 2" xfId="249"/>
    <cellStyle name="20% - Accent4 2 4 2 2" xfId="250"/>
    <cellStyle name="20% - Accent4 2 4 2 3" xfId="251"/>
    <cellStyle name="20% - Accent4 2 4 3" xfId="252"/>
    <cellStyle name="20% - Accent4 2 4 4" xfId="253"/>
    <cellStyle name="20% - Accent4 2 40" xfId="7859"/>
    <cellStyle name="20% - Accent4 2 41" xfId="7860"/>
    <cellStyle name="20% - Accent4 2 42" xfId="7861"/>
    <cellStyle name="20% - Accent4 2 43" xfId="7862"/>
    <cellStyle name="20% - Accent4 2 44" xfId="7863"/>
    <cellStyle name="20% - Accent4 2 45" xfId="7864"/>
    <cellStyle name="20% - Accent4 2 46" xfId="7865"/>
    <cellStyle name="20% - Accent4 2 47" xfId="7866"/>
    <cellStyle name="20% - Accent4 2 48" xfId="7867"/>
    <cellStyle name="20% - Accent4 2 49" xfId="7868"/>
    <cellStyle name="20% - Accent4 2 5" xfId="254"/>
    <cellStyle name="20% - Accent4 2 5 2" xfId="255"/>
    <cellStyle name="20% - Accent4 2 5 2 2" xfId="256"/>
    <cellStyle name="20% - Accent4 2 5 2 3" xfId="257"/>
    <cellStyle name="20% - Accent4 2 5 3" xfId="258"/>
    <cellStyle name="20% - Accent4 2 5 4" xfId="259"/>
    <cellStyle name="20% - Accent4 2 50" xfId="7869"/>
    <cellStyle name="20% - Accent4 2 51" xfId="7870"/>
    <cellStyle name="20% - Accent4 2 52" xfId="7871"/>
    <cellStyle name="20% - Accent4 2 53" xfId="7872"/>
    <cellStyle name="20% - Accent4 2 54" xfId="7873"/>
    <cellStyle name="20% - Accent4 2 55" xfId="7874"/>
    <cellStyle name="20% - Accent4 2 56" xfId="7875"/>
    <cellStyle name="20% - Accent4 2 57" xfId="7876"/>
    <cellStyle name="20% - Accent4 2 58" xfId="7877"/>
    <cellStyle name="20% - Accent4 2 59" xfId="7878"/>
    <cellStyle name="20% - Accent4 2 6" xfId="260"/>
    <cellStyle name="20% - Accent4 2 6 2" xfId="261"/>
    <cellStyle name="20% - Accent4 2 6 3" xfId="262"/>
    <cellStyle name="20% - Accent4 2 60" xfId="7879"/>
    <cellStyle name="20% - Accent4 2 61" xfId="7880"/>
    <cellStyle name="20% - Accent4 2 62" xfId="7881"/>
    <cellStyle name="20% - Accent4 2 63" xfId="7882"/>
    <cellStyle name="20% - Accent4 2 64" xfId="7883"/>
    <cellStyle name="20% - Accent4 2 65" xfId="7884"/>
    <cellStyle name="20% - Accent4 2 66" xfId="7885"/>
    <cellStyle name="20% - Accent4 2 67" xfId="7886"/>
    <cellStyle name="20% - Accent4 2 68" xfId="7887"/>
    <cellStyle name="20% - Accent4 2 69" xfId="7888"/>
    <cellStyle name="20% - Accent4 2 7" xfId="263"/>
    <cellStyle name="20% - Accent4 2 70" xfId="7889"/>
    <cellStyle name="20% - Accent4 2 71" xfId="7890"/>
    <cellStyle name="20% - Accent4 2 72" xfId="7891"/>
    <cellStyle name="20% - Accent4 2 73" xfId="7892"/>
    <cellStyle name="20% - Accent4 2 74" xfId="7893"/>
    <cellStyle name="20% - Accent4 2 75" xfId="7894"/>
    <cellStyle name="20% - Accent4 2 76" xfId="7895"/>
    <cellStyle name="20% - Accent4 2 77" xfId="7896"/>
    <cellStyle name="20% - Accent4 2 78" xfId="7897"/>
    <cellStyle name="20% - Accent4 2 79" xfId="7898"/>
    <cellStyle name="20% - Accent4 2 8" xfId="264"/>
    <cellStyle name="20% - Accent4 2 80" xfId="7899"/>
    <cellStyle name="20% - Accent4 2 81" xfId="7900"/>
    <cellStyle name="20% - Accent4 2 82" xfId="7901"/>
    <cellStyle name="20% - Accent4 2 83" xfId="7902"/>
    <cellStyle name="20% - Accent4 2 84" xfId="7903"/>
    <cellStyle name="20% - Accent4 2 85" xfId="7904"/>
    <cellStyle name="20% - Accent4 2 86" xfId="7905"/>
    <cellStyle name="20% - Accent4 2 87" xfId="7906"/>
    <cellStyle name="20% - Accent4 2 88" xfId="7907"/>
    <cellStyle name="20% - Accent4 2 89" xfId="7908"/>
    <cellStyle name="20% - Accent4 2 9" xfId="265"/>
    <cellStyle name="20% - Accent4 2 90" xfId="7909"/>
    <cellStyle name="20% - Accent4 2 91" xfId="7910"/>
    <cellStyle name="20% - Accent4 2 92" xfId="7911"/>
    <cellStyle name="20% - Accent4 2 93" xfId="7912"/>
    <cellStyle name="20% - Accent4 2 94" xfId="7913"/>
    <cellStyle name="20% - Accent4 2 95" xfId="7914"/>
    <cellStyle name="20% - Accent4 2 96" xfId="7915"/>
    <cellStyle name="20% - Accent4 2 97" xfId="7916"/>
    <cellStyle name="20% - Accent4 2 98" xfId="7917"/>
    <cellStyle name="20% - Accent4 2 99" xfId="7918"/>
    <cellStyle name="20% - Accent4 3" xfId="266"/>
    <cellStyle name="20% - Accent4 3 2" xfId="267"/>
    <cellStyle name="20% - Accent4 3 2 2" xfId="268"/>
    <cellStyle name="20% - Accent4 3 2 3" xfId="269"/>
    <cellStyle name="20% - Accent4 3 3" xfId="270"/>
    <cellStyle name="20% - Accent4 3 4" xfId="271"/>
    <cellStyle name="20% - Accent4 4" xfId="272"/>
    <cellStyle name="20% - Accent4 4 2" xfId="273"/>
    <cellStyle name="20% - Accent4 4 2 2" xfId="274"/>
    <cellStyle name="20% - Accent4 4 2 3" xfId="275"/>
    <cellStyle name="20% - Accent4 4 3" xfId="276"/>
    <cellStyle name="20% - Accent4 4 4" xfId="277"/>
    <cellStyle name="20% - Accent4 5" xfId="278"/>
    <cellStyle name="20% - Accent4 5 2" xfId="279"/>
    <cellStyle name="20% - Accent4 5 2 2" xfId="280"/>
    <cellStyle name="20% - Accent4 5 2 3" xfId="281"/>
    <cellStyle name="20% - Accent4 5 3" xfId="282"/>
    <cellStyle name="20% - Accent4 5 4" xfId="283"/>
    <cellStyle name="20% - Accent4 6" xfId="284"/>
    <cellStyle name="20% - Accent4 6 2" xfId="285"/>
    <cellStyle name="20% - Accent4 6 2 2" xfId="286"/>
    <cellStyle name="20% - Accent4 6 2 3" xfId="287"/>
    <cellStyle name="20% - Accent4 6 3" xfId="288"/>
    <cellStyle name="20% - Accent4 6 4" xfId="289"/>
    <cellStyle name="20% - Accent4 7" xfId="290"/>
    <cellStyle name="20% - Accent4 7 2" xfId="291"/>
    <cellStyle name="20% - Accent4 7 3" xfId="292"/>
    <cellStyle name="20% - Accent5 2" xfId="293"/>
    <cellStyle name="20% - Accent5 2 10" xfId="294"/>
    <cellStyle name="20% - Accent5 2 100" xfId="7919"/>
    <cellStyle name="20% - Accent5 2 101" xfId="7920"/>
    <cellStyle name="20% - Accent5 2 102" xfId="7921"/>
    <cellStyle name="20% - Accent5 2 103" xfId="7922"/>
    <cellStyle name="20% - Accent5 2 104" xfId="7923"/>
    <cellStyle name="20% - Accent5 2 105" xfId="7924"/>
    <cellStyle name="20% - Accent5 2 106" xfId="7925"/>
    <cellStyle name="20% - Accent5 2 107" xfId="7926"/>
    <cellStyle name="20% - Accent5 2 108" xfId="7927"/>
    <cellStyle name="20% - Accent5 2 109" xfId="7928"/>
    <cellStyle name="20% - Accent5 2 11" xfId="295"/>
    <cellStyle name="20% - Accent5 2 110" xfId="7929"/>
    <cellStyle name="20% - Accent5 2 111" xfId="7930"/>
    <cellStyle name="20% - Accent5 2 112" xfId="7931"/>
    <cellStyle name="20% - Accent5 2 113" xfId="7932"/>
    <cellStyle name="20% - Accent5 2 114" xfId="7933"/>
    <cellStyle name="20% - Accent5 2 115" xfId="7934"/>
    <cellStyle name="20% - Accent5 2 116" xfId="7935"/>
    <cellStyle name="20% - Accent5 2 117" xfId="7936"/>
    <cellStyle name="20% - Accent5 2 12" xfId="296"/>
    <cellStyle name="20% - Accent5 2 13" xfId="7937"/>
    <cellStyle name="20% - Accent5 2 14" xfId="7938"/>
    <cellStyle name="20% - Accent5 2 15" xfId="7939"/>
    <cellStyle name="20% - Accent5 2 16" xfId="7940"/>
    <cellStyle name="20% - Accent5 2 17" xfId="7941"/>
    <cellStyle name="20% - Accent5 2 18" xfId="7942"/>
    <cellStyle name="20% - Accent5 2 19" xfId="7943"/>
    <cellStyle name="20% - Accent5 2 2" xfId="297"/>
    <cellStyle name="20% - Accent5 2 2 2" xfId="298"/>
    <cellStyle name="20% - Accent5 2 2 2 2" xfId="299"/>
    <cellStyle name="20% - Accent5 2 2 2 3" xfId="300"/>
    <cellStyle name="20% - Accent5 2 2 3" xfId="301"/>
    <cellStyle name="20% - Accent5 2 2 4" xfId="302"/>
    <cellStyle name="20% - Accent5 2 20" xfId="7944"/>
    <cellStyle name="20% - Accent5 2 21" xfId="7945"/>
    <cellStyle name="20% - Accent5 2 22" xfId="7946"/>
    <cellStyle name="20% - Accent5 2 23" xfId="7947"/>
    <cellStyle name="20% - Accent5 2 24" xfId="7948"/>
    <cellStyle name="20% - Accent5 2 25" xfId="7949"/>
    <cellStyle name="20% - Accent5 2 26" xfId="7950"/>
    <cellStyle name="20% - Accent5 2 27" xfId="7951"/>
    <cellStyle name="20% - Accent5 2 28" xfId="7952"/>
    <cellStyle name="20% - Accent5 2 29" xfId="7953"/>
    <cellStyle name="20% - Accent5 2 3" xfId="303"/>
    <cellStyle name="20% - Accent5 2 3 2" xfId="304"/>
    <cellStyle name="20% - Accent5 2 3 2 2" xfId="305"/>
    <cellStyle name="20% - Accent5 2 3 2 3" xfId="306"/>
    <cellStyle name="20% - Accent5 2 3 3" xfId="307"/>
    <cellStyle name="20% - Accent5 2 3 4" xfId="308"/>
    <cellStyle name="20% - Accent5 2 30" xfId="7954"/>
    <cellStyle name="20% - Accent5 2 31" xfId="7955"/>
    <cellStyle name="20% - Accent5 2 32" xfId="7956"/>
    <cellStyle name="20% - Accent5 2 33" xfId="7957"/>
    <cellStyle name="20% - Accent5 2 34" xfId="7958"/>
    <cellStyle name="20% - Accent5 2 35" xfId="7959"/>
    <cellStyle name="20% - Accent5 2 36" xfId="7960"/>
    <cellStyle name="20% - Accent5 2 37" xfId="7961"/>
    <cellStyle name="20% - Accent5 2 38" xfId="7962"/>
    <cellStyle name="20% - Accent5 2 39" xfId="7963"/>
    <cellStyle name="20% - Accent5 2 4" xfId="309"/>
    <cellStyle name="20% - Accent5 2 4 2" xfId="310"/>
    <cellStyle name="20% - Accent5 2 4 2 2" xfId="311"/>
    <cellStyle name="20% - Accent5 2 4 2 3" xfId="312"/>
    <cellStyle name="20% - Accent5 2 4 3" xfId="313"/>
    <cellStyle name="20% - Accent5 2 4 4" xfId="314"/>
    <cellStyle name="20% - Accent5 2 40" xfId="7964"/>
    <cellStyle name="20% - Accent5 2 41" xfId="7965"/>
    <cellStyle name="20% - Accent5 2 42" xfId="7966"/>
    <cellStyle name="20% - Accent5 2 43" xfId="7967"/>
    <cellStyle name="20% - Accent5 2 44" xfId="7968"/>
    <cellStyle name="20% - Accent5 2 45" xfId="7969"/>
    <cellStyle name="20% - Accent5 2 46" xfId="7970"/>
    <cellStyle name="20% - Accent5 2 47" xfId="7971"/>
    <cellStyle name="20% - Accent5 2 48" xfId="7972"/>
    <cellStyle name="20% - Accent5 2 49" xfId="7973"/>
    <cellStyle name="20% - Accent5 2 5" xfId="315"/>
    <cellStyle name="20% - Accent5 2 5 2" xfId="316"/>
    <cellStyle name="20% - Accent5 2 5 2 2" xfId="317"/>
    <cellStyle name="20% - Accent5 2 5 2 3" xfId="318"/>
    <cellStyle name="20% - Accent5 2 5 3" xfId="319"/>
    <cellStyle name="20% - Accent5 2 5 4" xfId="320"/>
    <cellStyle name="20% - Accent5 2 50" xfId="7974"/>
    <cellStyle name="20% - Accent5 2 51" xfId="7975"/>
    <cellStyle name="20% - Accent5 2 52" xfId="7976"/>
    <cellStyle name="20% - Accent5 2 53" xfId="7977"/>
    <cellStyle name="20% - Accent5 2 54" xfId="7978"/>
    <cellStyle name="20% - Accent5 2 55" xfId="7979"/>
    <cellStyle name="20% - Accent5 2 56" xfId="7980"/>
    <cellStyle name="20% - Accent5 2 57" xfId="7981"/>
    <cellStyle name="20% - Accent5 2 58" xfId="7982"/>
    <cellStyle name="20% - Accent5 2 59" xfId="7983"/>
    <cellStyle name="20% - Accent5 2 6" xfId="321"/>
    <cellStyle name="20% - Accent5 2 6 2" xfId="322"/>
    <cellStyle name="20% - Accent5 2 6 3" xfId="323"/>
    <cellStyle name="20% - Accent5 2 60" xfId="7984"/>
    <cellStyle name="20% - Accent5 2 61" xfId="7985"/>
    <cellStyle name="20% - Accent5 2 62" xfId="7986"/>
    <cellStyle name="20% - Accent5 2 63" xfId="7987"/>
    <cellStyle name="20% - Accent5 2 64" xfId="7988"/>
    <cellStyle name="20% - Accent5 2 65" xfId="7989"/>
    <cellStyle name="20% - Accent5 2 66" xfId="7990"/>
    <cellStyle name="20% - Accent5 2 67" xfId="7991"/>
    <cellStyle name="20% - Accent5 2 68" xfId="7992"/>
    <cellStyle name="20% - Accent5 2 69" xfId="7993"/>
    <cellStyle name="20% - Accent5 2 7" xfId="324"/>
    <cellStyle name="20% - Accent5 2 70" xfId="7994"/>
    <cellStyle name="20% - Accent5 2 71" xfId="7995"/>
    <cellStyle name="20% - Accent5 2 72" xfId="7996"/>
    <cellStyle name="20% - Accent5 2 73" xfId="7997"/>
    <cellStyle name="20% - Accent5 2 74" xfId="7998"/>
    <cellStyle name="20% - Accent5 2 75" xfId="7999"/>
    <cellStyle name="20% - Accent5 2 76" xfId="8000"/>
    <cellStyle name="20% - Accent5 2 77" xfId="8001"/>
    <cellStyle name="20% - Accent5 2 78" xfId="8002"/>
    <cellStyle name="20% - Accent5 2 79" xfId="8003"/>
    <cellStyle name="20% - Accent5 2 8" xfId="325"/>
    <cellStyle name="20% - Accent5 2 80" xfId="8004"/>
    <cellStyle name="20% - Accent5 2 81" xfId="8005"/>
    <cellStyle name="20% - Accent5 2 82" xfId="8006"/>
    <cellStyle name="20% - Accent5 2 83" xfId="8007"/>
    <cellStyle name="20% - Accent5 2 84" xfId="8008"/>
    <cellStyle name="20% - Accent5 2 85" xfId="8009"/>
    <cellStyle name="20% - Accent5 2 86" xfId="8010"/>
    <cellStyle name="20% - Accent5 2 87" xfId="8011"/>
    <cellStyle name="20% - Accent5 2 88" xfId="8012"/>
    <cellStyle name="20% - Accent5 2 89" xfId="8013"/>
    <cellStyle name="20% - Accent5 2 9" xfId="326"/>
    <cellStyle name="20% - Accent5 2 90" xfId="8014"/>
    <cellStyle name="20% - Accent5 2 91" xfId="8015"/>
    <cellStyle name="20% - Accent5 2 92" xfId="8016"/>
    <cellStyle name="20% - Accent5 2 93" xfId="8017"/>
    <cellStyle name="20% - Accent5 2 94" xfId="8018"/>
    <cellStyle name="20% - Accent5 2 95" xfId="8019"/>
    <cellStyle name="20% - Accent5 2 96" xfId="8020"/>
    <cellStyle name="20% - Accent5 2 97" xfId="8021"/>
    <cellStyle name="20% - Accent5 2 98" xfId="8022"/>
    <cellStyle name="20% - Accent5 2 99" xfId="8023"/>
    <cellStyle name="20% - Accent5 3" xfId="327"/>
    <cellStyle name="20% - Accent5 3 2" xfId="328"/>
    <cellStyle name="20% - Accent5 3 2 2" xfId="329"/>
    <cellStyle name="20% - Accent5 3 2 3" xfId="330"/>
    <cellStyle name="20% - Accent5 3 3" xfId="331"/>
    <cellStyle name="20% - Accent5 3 4" xfId="332"/>
    <cellStyle name="20% - Accent5 4" xfId="333"/>
    <cellStyle name="20% - Accent5 4 2" xfId="334"/>
    <cellStyle name="20% - Accent5 4 2 2" xfId="335"/>
    <cellStyle name="20% - Accent5 4 2 3" xfId="336"/>
    <cellStyle name="20% - Accent5 4 3" xfId="337"/>
    <cellStyle name="20% - Accent5 4 4" xfId="338"/>
    <cellStyle name="20% - Accent5 5" xfId="339"/>
    <cellStyle name="20% - Accent5 5 2" xfId="340"/>
    <cellStyle name="20% - Accent5 5 2 2" xfId="341"/>
    <cellStyle name="20% - Accent5 5 2 3" xfId="342"/>
    <cellStyle name="20% - Accent5 5 3" xfId="343"/>
    <cellStyle name="20% - Accent5 5 4" xfId="344"/>
    <cellStyle name="20% - Accent5 6" xfId="345"/>
    <cellStyle name="20% - Accent5 6 2" xfId="346"/>
    <cellStyle name="20% - Accent5 6 2 2" xfId="347"/>
    <cellStyle name="20% - Accent5 6 2 3" xfId="348"/>
    <cellStyle name="20% - Accent5 6 3" xfId="349"/>
    <cellStyle name="20% - Accent5 6 4" xfId="350"/>
    <cellStyle name="20% - Accent5 7" xfId="351"/>
    <cellStyle name="20% - Accent5 7 2" xfId="352"/>
    <cellStyle name="20% - Accent5 7 3" xfId="353"/>
    <cellStyle name="20% - Accent6 2" xfId="354"/>
    <cellStyle name="20% - Accent6 2 10" xfId="355"/>
    <cellStyle name="20% - Accent6 2 100" xfId="8024"/>
    <cellStyle name="20% - Accent6 2 101" xfId="8025"/>
    <cellStyle name="20% - Accent6 2 102" xfId="8026"/>
    <cellStyle name="20% - Accent6 2 103" xfId="8027"/>
    <cellStyle name="20% - Accent6 2 104" xfId="8028"/>
    <cellStyle name="20% - Accent6 2 105" xfId="8029"/>
    <cellStyle name="20% - Accent6 2 106" xfId="8030"/>
    <cellStyle name="20% - Accent6 2 107" xfId="8031"/>
    <cellStyle name="20% - Accent6 2 108" xfId="8032"/>
    <cellStyle name="20% - Accent6 2 109" xfId="8033"/>
    <cellStyle name="20% - Accent6 2 11" xfId="356"/>
    <cellStyle name="20% - Accent6 2 110" xfId="8034"/>
    <cellStyle name="20% - Accent6 2 111" xfId="8035"/>
    <cellStyle name="20% - Accent6 2 112" xfId="8036"/>
    <cellStyle name="20% - Accent6 2 113" xfId="8037"/>
    <cellStyle name="20% - Accent6 2 114" xfId="8038"/>
    <cellStyle name="20% - Accent6 2 115" xfId="8039"/>
    <cellStyle name="20% - Accent6 2 116" xfId="8040"/>
    <cellStyle name="20% - Accent6 2 117" xfId="8041"/>
    <cellStyle name="20% - Accent6 2 12" xfId="357"/>
    <cellStyle name="20% - Accent6 2 13" xfId="8042"/>
    <cellStyle name="20% - Accent6 2 14" xfId="8043"/>
    <cellStyle name="20% - Accent6 2 15" xfId="8044"/>
    <cellStyle name="20% - Accent6 2 16" xfId="8045"/>
    <cellStyle name="20% - Accent6 2 17" xfId="8046"/>
    <cellStyle name="20% - Accent6 2 18" xfId="8047"/>
    <cellStyle name="20% - Accent6 2 19" xfId="8048"/>
    <cellStyle name="20% - Accent6 2 2" xfId="358"/>
    <cellStyle name="20% - Accent6 2 2 2" xfId="359"/>
    <cellStyle name="20% - Accent6 2 2 2 2" xfId="360"/>
    <cellStyle name="20% - Accent6 2 2 2 3" xfId="361"/>
    <cellStyle name="20% - Accent6 2 2 3" xfId="362"/>
    <cellStyle name="20% - Accent6 2 2 4" xfId="363"/>
    <cellStyle name="20% - Accent6 2 20" xfId="8049"/>
    <cellStyle name="20% - Accent6 2 21" xfId="8050"/>
    <cellStyle name="20% - Accent6 2 22" xfId="8051"/>
    <cellStyle name="20% - Accent6 2 23" xfId="8052"/>
    <cellStyle name="20% - Accent6 2 24" xfId="8053"/>
    <cellStyle name="20% - Accent6 2 25" xfId="8054"/>
    <cellStyle name="20% - Accent6 2 26" xfId="8055"/>
    <cellStyle name="20% - Accent6 2 27" xfId="8056"/>
    <cellStyle name="20% - Accent6 2 28" xfId="8057"/>
    <cellStyle name="20% - Accent6 2 29" xfId="8058"/>
    <cellStyle name="20% - Accent6 2 3" xfId="364"/>
    <cellStyle name="20% - Accent6 2 3 2" xfId="365"/>
    <cellStyle name="20% - Accent6 2 3 2 2" xfId="366"/>
    <cellStyle name="20% - Accent6 2 3 2 3" xfId="367"/>
    <cellStyle name="20% - Accent6 2 3 3" xfId="368"/>
    <cellStyle name="20% - Accent6 2 3 4" xfId="369"/>
    <cellStyle name="20% - Accent6 2 30" xfId="8059"/>
    <cellStyle name="20% - Accent6 2 31" xfId="8060"/>
    <cellStyle name="20% - Accent6 2 32" xfId="8061"/>
    <cellStyle name="20% - Accent6 2 33" xfId="8062"/>
    <cellStyle name="20% - Accent6 2 34" xfId="8063"/>
    <cellStyle name="20% - Accent6 2 35" xfId="8064"/>
    <cellStyle name="20% - Accent6 2 36" xfId="8065"/>
    <cellStyle name="20% - Accent6 2 37" xfId="8066"/>
    <cellStyle name="20% - Accent6 2 38" xfId="8067"/>
    <cellStyle name="20% - Accent6 2 39" xfId="8068"/>
    <cellStyle name="20% - Accent6 2 4" xfId="370"/>
    <cellStyle name="20% - Accent6 2 4 2" xfId="371"/>
    <cellStyle name="20% - Accent6 2 4 2 2" xfId="372"/>
    <cellStyle name="20% - Accent6 2 4 2 3" xfId="373"/>
    <cellStyle name="20% - Accent6 2 4 3" xfId="374"/>
    <cellStyle name="20% - Accent6 2 4 4" xfId="375"/>
    <cellStyle name="20% - Accent6 2 40" xfId="8069"/>
    <cellStyle name="20% - Accent6 2 41" xfId="8070"/>
    <cellStyle name="20% - Accent6 2 42" xfId="8071"/>
    <cellStyle name="20% - Accent6 2 43" xfId="8072"/>
    <cellStyle name="20% - Accent6 2 44" xfId="8073"/>
    <cellStyle name="20% - Accent6 2 45" xfId="8074"/>
    <cellStyle name="20% - Accent6 2 46" xfId="8075"/>
    <cellStyle name="20% - Accent6 2 47" xfId="8076"/>
    <cellStyle name="20% - Accent6 2 48" xfId="8077"/>
    <cellStyle name="20% - Accent6 2 49" xfId="8078"/>
    <cellStyle name="20% - Accent6 2 5" xfId="376"/>
    <cellStyle name="20% - Accent6 2 5 2" xfId="377"/>
    <cellStyle name="20% - Accent6 2 5 2 2" xfId="378"/>
    <cellStyle name="20% - Accent6 2 5 2 3" xfId="379"/>
    <cellStyle name="20% - Accent6 2 5 3" xfId="380"/>
    <cellStyle name="20% - Accent6 2 5 4" xfId="381"/>
    <cellStyle name="20% - Accent6 2 50" xfId="8079"/>
    <cellStyle name="20% - Accent6 2 51" xfId="8080"/>
    <cellStyle name="20% - Accent6 2 52" xfId="8081"/>
    <cellStyle name="20% - Accent6 2 53" xfId="8082"/>
    <cellStyle name="20% - Accent6 2 54" xfId="8083"/>
    <cellStyle name="20% - Accent6 2 55" xfId="8084"/>
    <cellStyle name="20% - Accent6 2 56" xfId="8085"/>
    <cellStyle name="20% - Accent6 2 57" xfId="8086"/>
    <cellStyle name="20% - Accent6 2 58" xfId="8087"/>
    <cellStyle name="20% - Accent6 2 59" xfId="8088"/>
    <cellStyle name="20% - Accent6 2 6" xfId="382"/>
    <cellStyle name="20% - Accent6 2 6 2" xfId="383"/>
    <cellStyle name="20% - Accent6 2 6 3" xfId="384"/>
    <cellStyle name="20% - Accent6 2 60" xfId="8089"/>
    <cellStyle name="20% - Accent6 2 61" xfId="8090"/>
    <cellStyle name="20% - Accent6 2 62" xfId="8091"/>
    <cellStyle name="20% - Accent6 2 63" xfId="8092"/>
    <cellStyle name="20% - Accent6 2 64" xfId="8093"/>
    <cellStyle name="20% - Accent6 2 65" xfId="8094"/>
    <cellStyle name="20% - Accent6 2 66" xfId="8095"/>
    <cellStyle name="20% - Accent6 2 67" xfId="8096"/>
    <cellStyle name="20% - Accent6 2 68" xfId="8097"/>
    <cellStyle name="20% - Accent6 2 69" xfId="8098"/>
    <cellStyle name="20% - Accent6 2 7" xfId="385"/>
    <cellStyle name="20% - Accent6 2 70" xfId="8099"/>
    <cellStyle name="20% - Accent6 2 71" xfId="8100"/>
    <cellStyle name="20% - Accent6 2 72" xfId="8101"/>
    <cellStyle name="20% - Accent6 2 73" xfId="8102"/>
    <cellStyle name="20% - Accent6 2 74" xfId="8103"/>
    <cellStyle name="20% - Accent6 2 75" xfId="8104"/>
    <cellStyle name="20% - Accent6 2 76" xfId="8105"/>
    <cellStyle name="20% - Accent6 2 77" xfId="8106"/>
    <cellStyle name="20% - Accent6 2 78" xfId="8107"/>
    <cellStyle name="20% - Accent6 2 79" xfId="8108"/>
    <cellStyle name="20% - Accent6 2 8" xfId="386"/>
    <cellStyle name="20% - Accent6 2 80" xfId="8109"/>
    <cellStyle name="20% - Accent6 2 81" xfId="8110"/>
    <cellStyle name="20% - Accent6 2 82" xfId="8111"/>
    <cellStyle name="20% - Accent6 2 83" xfId="8112"/>
    <cellStyle name="20% - Accent6 2 84" xfId="8113"/>
    <cellStyle name="20% - Accent6 2 85" xfId="8114"/>
    <cellStyle name="20% - Accent6 2 86" xfId="8115"/>
    <cellStyle name="20% - Accent6 2 87" xfId="8116"/>
    <cellStyle name="20% - Accent6 2 88" xfId="8117"/>
    <cellStyle name="20% - Accent6 2 89" xfId="8118"/>
    <cellStyle name="20% - Accent6 2 9" xfId="387"/>
    <cellStyle name="20% - Accent6 2 90" xfId="8119"/>
    <cellStyle name="20% - Accent6 2 91" xfId="8120"/>
    <cellStyle name="20% - Accent6 2 92" xfId="8121"/>
    <cellStyle name="20% - Accent6 2 93" xfId="8122"/>
    <cellStyle name="20% - Accent6 2 94" xfId="8123"/>
    <cellStyle name="20% - Accent6 2 95" xfId="8124"/>
    <cellStyle name="20% - Accent6 2 96" xfId="8125"/>
    <cellStyle name="20% - Accent6 2 97" xfId="8126"/>
    <cellStyle name="20% - Accent6 2 98" xfId="8127"/>
    <cellStyle name="20% - Accent6 2 99" xfId="8128"/>
    <cellStyle name="20% - Accent6 3" xfId="388"/>
    <cellStyle name="20% - Accent6 3 2" xfId="389"/>
    <cellStyle name="20% - Accent6 3 2 2" xfId="390"/>
    <cellStyle name="20% - Accent6 3 2 3" xfId="391"/>
    <cellStyle name="20% - Accent6 3 3" xfId="392"/>
    <cellStyle name="20% - Accent6 3 4" xfId="393"/>
    <cellStyle name="20% - Accent6 4" xfId="394"/>
    <cellStyle name="20% - Accent6 4 2" xfId="395"/>
    <cellStyle name="20% - Accent6 4 2 2" xfId="396"/>
    <cellStyle name="20% - Accent6 4 2 3" xfId="397"/>
    <cellStyle name="20% - Accent6 4 3" xfId="398"/>
    <cellStyle name="20% - Accent6 4 4" xfId="399"/>
    <cellStyle name="20% - Accent6 5" xfId="400"/>
    <cellStyle name="20% - Accent6 5 2" xfId="401"/>
    <cellStyle name="20% - Accent6 5 2 2" xfId="402"/>
    <cellStyle name="20% - Accent6 5 2 3" xfId="403"/>
    <cellStyle name="20% - Accent6 5 3" xfId="404"/>
    <cellStyle name="20% - Accent6 5 4" xfId="405"/>
    <cellStyle name="20% - Accent6 6" xfId="406"/>
    <cellStyle name="20% - Accent6 6 2" xfId="407"/>
    <cellStyle name="20% - Accent6 6 2 2" xfId="408"/>
    <cellStyle name="20% - Accent6 6 2 3" xfId="409"/>
    <cellStyle name="20% - Accent6 6 3" xfId="410"/>
    <cellStyle name="20% - Accent6 6 4" xfId="411"/>
    <cellStyle name="20% - Accent6 7" xfId="412"/>
    <cellStyle name="20% - Accent6 7 2" xfId="413"/>
    <cellStyle name="20% - Accent6 7 3" xfId="414"/>
    <cellStyle name="40% - Accent1 2" xfId="415"/>
    <cellStyle name="40% - Accent1 2 10" xfId="416"/>
    <cellStyle name="40% - Accent1 2 100" xfId="8129"/>
    <cellStyle name="40% - Accent1 2 101" xfId="8130"/>
    <cellStyle name="40% - Accent1 2 102" xfId="8131"/>
    <cellStyle name="40% - Accent1 2 103" xfId="8132"/>
    <cellStyle name="40% - Accent1 2 104" xfId="8133"/>
    <cellStyle name="40% - Accent1 2 105" xfId="8134"/>
    <cellStyle name="40% - Accent1 2 106" xfId="8135"/>
    <cellStyle name="40% - Accent1 2 107" xfId="8136"/>
    <cellStyle name="40% - Accent1 2 108" xfId="8137"/>
    <cellStyle name="40% - Accent1 2 109" xfId="8138"/>
    <cellStyle name="40% - Accent1 2 11" xfId="417"/>
    <cellStyle name="40% - Accent1 2 110" xfId="8139"/>
    <cellStyle name="40% - Accent1 2 111" xfId="8140"/>
    <cellStyle name="40% - Accent1 2 112" xfId="8141"/>
    <cellStyle name="40% - Accent1 2 113" xfId="8142"/>
    <cellStyle name="40% - Accent1 2 114" xfId="8143"/>
    <cellStyle name="40% - Accent1 2 115" xfId="8144"/>
    <cellStyle name="40% - Accent1 2 116" xfId="8145"/>
    <cellStyle name="40% - Accent1 2 117" xfId="8146"/>
    <cellStyle name="40% - Accent1 2 12" xfId="418"/>
    <cellStyle name="40% - Accent1 2 13" xfId="8147"/>
    <cellStyle name="40% - Accent1 2 14" xfId="8148"/>
    <cellStyle name="40% - Accent1 2 15" xfId="8149"/>
    <cellStyle name="40% - Accent1 2 16" xfId="8150"/>
    <cellStyle name="40% - Accent1 2 17" xfId="8151"/>
    <cellStyle name="40% - Accent1 2 18" xfId="8152"/>
    <cellStyle name="40% - Accent1 2 19" xfId="8153"/>
    <cellStyle name="40% - Accent1 2 2" xfId="419"/>
    <cellStyle name="40% - Accent1 2 2 2" xfId="420"/>
    <cellStyle name="40% - Accent1 2 2 2 2" xfId="421"/>
    <cellStyle name="40% - Accent1 2 2 2 3" xfId="422"/>
    <cellStyle name="40% - Accent1 2 2 3" xfId="423"/>
    <cellStyle name="40% - Accent1 2 2 4" xfId="424"/>
    <cellStyle name="40% - Accent1 2 20" xfId="8154"/>
    <cellStyle name="40% - Accent1 2 21" xfId="8155"/>
    <cellStyle name="40% - Accent1 2 22" xfId="8156"/>
    <cellStyle name="40% - Accent1 2 23" xfId="8157"/>
    <cellStyle name="40% - Accent1 2 24" xfId="8158"/>
    <cellStyle name="40% - Accent1 2 25" xfId="8159"/>
    <cellStyle name="40% - Accent1 2 26" xfId="8160"/>
    <cellStyle name="40% - Accent1 2 27" xfId="8161"/>
    <cellStyle name="40% - Accent1 2 28" xfId="8162"/>
    <cellStyle name="40% - Accent1 2 29" xfId="8163"/>
    <cellStyle name="40% - Accent1 2 3" xfId="425"/>
    <cellStyle name="40% - Accent1 2 3 2" xfId="426"/>
    <cellStyle name="40% - Accent1 2 3 2 2" xfId="427"/>
    <cellStyle name="40% - Accent1 2 3 2 3" xfId="428"/>
    <cellStyle name="40% - Accent1 2 3 3" xfId="429"/>
    <cellStyle name="40% - Accent1 2 3 4" xfId="430"/>
    <cellStyle name="40% - Accent1 2 30" xfId="8164"/>
    <cellStyle name="40% - Accent1 2 31" xfId="8165"/>
    <cellStyle name="40% - Accent1 2 32" xfId="8166"/>
    <cellStyle name="40% - Accent1 2 33" xfId="8167"/>
    <cellStyle name="40% - Accent1 2 34" xfId="8168"/>
    <cellStyle name="40% - Accent1 2 35" xfId="8169"/>
    <cellStyle name="40% - Accent1 2 36" xfId="8170"/>
    <cellStyle name="40% - Accent1 2 37" xfId="8171"/>
    <cellStyle name="40% - Accent1 2 38" xfId="8172"/>
    <cellStyle name="40% - Accent1 2 39" xfId="8173"/>
    <cellStyle name="40% - Accent1 2 4" xfId="431"/>
    <cellStyle name="40% - Accent1 2 4 2" xfId="432"/>
    <cellStyle name="40% - Accent1 2 4 2 2" xfId="433"/>
    <cellStyle name="40% - Accent1 2 4 2 3" xfId="434"/>
    <cellStyle name="40% - Accent1 2 4 3" xfId="435"/>
    <cellStyle name="40% - Accent1 2 4 4" xfId="436"/>
    <cellStyle name="40% - Accent1 2 40" xfId="8174"/>
    <cellStyle name="40% - Accent1 2 41" xfId="8175"/>
    <cellStyle name="40% - Accent1 2 42" xfId="8176"/>
    <cellStyle name="40% - Accent1 2 43" xfId="8177"/>
    <cellStyle name="40% - Accent1 2 44" xfId="8178"/>
    <cellStyle name="40% - Accent1 2 45" xfId="8179"/>
    <cellStyle name="40% - Accent1 2 46" xfId="8180"/>
    <cellStyle name="40% - Accent1 2 47" xfId="8181"/>
    <cellStyle name="40% - Accent1 2 48" xfId="8182"/>
    <cellStyle name="40% - Accent1 2 49" xfId="8183"/>
    <cellStyle name="40% - Accent1 2 5" xfId="437"/>
    <cellStyle name="40% - Accent1 2 5 2" xfId="438"/>
    <cellStyle name="40% - Accent1 2 5 2 2" xfId="439"/>
    <cellStyle name="40% - Accent1 2 5 2 3" xfId="440"/>
    <cellStyle name="40% - Accent1 2 5 3" xfId="441"/>
    <cellStyle name="40% - Accent1 2 5 4" xfId="442"/>
    <cellStyle name="40% - Accent1 2 50" xfId="8184"/>
    <cellStyle name="40% - Accent1 2 51" xfId="8185"/>
    <cellStyle name="40% - Accent1 2 52" xfId="8186"/>
    <cellStyle name="40% - Accent1 2 53" xfId="8187"/>
    <cellStyle name="40% - Accent1 2 54" xfId="8188"/>
    <cellStyle name="40% - Accent1 2 55" xfId="8189"/>
    <cellStyle name="40% - Accent1 2 56" xfId="8190"/>
    <cellStyle name="40% - Accent1 2 57" xfId="8191"/>
    <cellStyle name="40% - Accent1 2 58" xfId="8192"/>
    <cellStyle name="40% - Accent1 2 59" xfId="8193"/>
    <cellStyle name="40% - Accent1 2 6" xfId="443"/>
    <cellStyle name="40% - Accent1 2 6 2" xfId="444"/>
    <cellStyle name="40% - Accent1 2 6 3" xfId="445"/>
    <cellStyle name="40% - Accent1 2 60" xfId="8194"/>
    <cellStyle name="40% - Accent1 2 61" xfId="8195"/>
    <cellStyle name="40% - Accent1 2 62" xfId="8196"/>
    <cellStyle name="40% - Accent1 2 63" xfId="8197"/>
    <cellStyle name="40% - Accent1 2 64" xfId="8198"/>
    <cellStyle name="40% - Accent1 2 65" xfId="8199"/>
    <cellStyle name="40% - Accent1 2 66" xfId="8200"/>
    <cellStyle name="40% - Accent1 2 67" xfId="8201"/>
    <cellStyle name="40% - Accent1 2 68" xfId="8202"/>
    <cellStyle name="40% - Accent1 2 69" xfId="8203"/>
    <cellStyle name="40% - Accent1 2 7" xfId="446"/>
    <cellStyle name="40% - Accent1 2 70" xfId="8204"/>
    <cellStyle name="40% - Accent1 2 71" xfId="8205"/>
    <cellStyle name="40% - Accent1 2 72" xfId="8206"/>
    <cellStyle name="40% - Accent1 2 73" xfId="8207"/>
    <cellStyle name="40% - Accent1 2 74" xfId="8208"/>
    <cellStyle name="40% - Accent1 2 75" xfId="8209"/>
    <cellStyle name="40% - Accent1 2 76" xfId="8210"/>
    <cellStyle name="40% - Accent1 2 77" xfId="8211"/>
    <cellStyle name="40% - Accent1 2 78" xfId="8212"/>
    <cellStyle name="40% - Accent1 2 79" xfId="8213"/>
    <cellStyle name="40% - Accent1 2 8" xfId="447"/>
    <cellStyle name="40% - Accent1 2 80" xfId="8214"/>
    <cellStyle name="40% - Accent1 2 81" xfId="8215"/>
    <cellStyle name="40% - Accent1 2 82" xfId="8216"/>
    <cellStyle name="40% - Accent1 2 83" xfId="8217"/>
    <cellStyle name="40% - Accent1 2 84" xfId="8218"/>
    <cellStyle name="40% - Accent1 2 85" xfId="8219"/>
    <cellStyle name="40% - Accent1 2 86" xfId="8220"/>
    <cellStyle name="40% - Accent1 2 87" xfId="8221"/>
    <cellStyle name="40% - Accent1 2 88" xfId="8222"/>
    <cellStyle name="40% - Accent1 2 89" xfId="8223"/>
    <cellStyle name="40% - Accent1 2 9" xfId="448"/>
    <cellStyle name="40% - Accent1 2 90" xfId="8224"/>
    <cellStyle name="40% - Accent1 2 91" xfId="8225"/>
    <cellStyle name="40% - Accent1 2 92" xfId="8226"/>
    <cellStyle name="40% - Accent1 2 93" xfId="8227"/>
    <cellStyle name="40% - Accent1 2 94" xfId="8228"/>
    <cellStyle name="40% - Accent1 2 95" xfId="8229"/>
    <cellStyle name="40% - Accent1 2 96" xfId="8230"/>
    <cellStyle name="40% - Accent1 2 97" xfId="8231"/>
    <cellStyle name="40% - Accent1 2 98" xfId="8232"/>
    <cellStyle name="40% - Accent1 2 99" xfId="8233"/>
    <cellStyle name="40% - Accent1 3" xfId="449"/>
    <cellStyle name="40% - Accent1 3 2" xfId="450"/>
    <cellStyle name="40% - Accent1 3 2 2" xfId="451"/>
    <cellStyle name="40% - Accent1 3 2 3" xfId="452"/>
    <cellStyle name="40% - Accent1 3 3" xfId="453"/>
    <cellStyle name="40% - Accent1 3 4" xfId="454"/>
    <cellStyle name="40% - Accent1 4" xfId="455"/>
    <cellStyle name="40% - Accent1 4 2" xfId="456"/>
    <cellStyle name="40% - Accent1 4 2 2" xfId="457"/>
    <cellStyle name="40% - Accent1 4 2 3" xfId="458"/>
    <cellStyle name="40% - Accent1 4 3" xfId="459"/>
    <cellStyle name="40% - Accent1 4 4" xfId="460"/>
    <cellStyle name="40% - Accent1 5" xfId="461"/>
    <cellStyle name="40% - Accent1 5 2" xfId="462"/>
    <cellStyle name="40% - Accent1 5 2 2" xfId="463"/>
    <cellStyle name="40% - Accent1 5 2 3" xfId="464"/>
    <cellStyle name="40% - Accent1 5 3" xfId="465"/>
    <cellStyle name="40% - Accent1 5 4" xfId="466"/>
    <cellStyle name="40% - Accent1 6" xfId="467"/>
    <cellStyle name="40% - Accent1 6 2" xfId="468"/>
    <cellStyle name="40% - Accent1 6 2 2" xfId="469"/>
    <cellStyle name="40% - Accent1 6 2 3" xfId="470"/>
    <cellStyle name="40% - Accent1 6 3" xfId="471"/>
    <cellStyle name="40% - Accent1 6 4" xfId="472"/>
    <cellStyle name="40% - Accent1 7" xfId="473"/>
    <cellStyle name="40% - Accent1 7 2" xfId="474"/>
    <cellStyle name="40% - Accent1 7 3" xfId="475"/>
    <cellStyle name="40% - Accent2 2" xfId="476"/>
    <cellStyle name="40% - Accent2 2 10" xfId="477"/>
    <cellStyle name="40% - Accent2 2 100" xfId="8234"/>
    <cellStyle name="40% - Accent2 2 101" xfId="8235"/>
    <cellStyle name="40% - Accent2 2 102" xfId="8236"/>
    <cellStyle name="40% - Accent2 2 103" xfId="8237"/>
    <cellStyle name="40% - Accent2 2 104" xfId="8238"/>
    <cellStyle name="40% - Accent2 2 105" xfId="8239"/>
    <cellStyle name="40% - Accent2 2 106" xfId="8240"/>
    <cellStyle name="40% - Accent2 2 107" xfId="8241"/>
    <cellStyle name="40% - Accent2 2 108" xfId="8242"/>
    <cellStyle name="40% - Accent2 2 109" xfId="8243"/>
    <cellStyle name="40% - Accent2 2 11" xfId="478"/>
    <cellStyle name="40% - Accent2 2 110" xfId="8244"/>
    <cellStyle name="40% - Accent2 2 111" xfId="8245"/>
    <cellStyle name="40% - Accent2 2 112" xfId="8246"/>
    <cellStyle name="40% - Accent2 2 113" xfId="8247"/>
    <cellStyle name="40% - Accent2 2 114" xfId="8248"/>
    <cellStyle name="40% - Accent2 2 115" xfId="8249"/>
    <cellStyle name="40% - Accent2 2 116" xfId="8250"/>
    <cellStyle name="40% - Accent2 2 117" xfId="8251"/>
    <cellStyle name="40% - Accent2 2 12" xfId="479"/>
    <cellStyle name="40% - Accent2 2 13" xfId="8252"/>
    <cellStyle name="40% - Accent2 2 14" xfId="8253"/>
    <cellStyle name="40% - Accent2 2 15" xfId="8254"/>
    <cellStyle name="40% - Accent2 2 16" xfId="8255"/>
    <cellStyle name="40% - Accent2 2 17" xfId="8256"/>
    <cellStyle name="40% - Accent2 2 18" xfId="8257"/>
    <cellStyle name="40% - Accent2 2 19" xfId="8258"/>
    <cellStyle name="40% - Accent2 2 2" xfId="480"/>
    <cellStyle name="40% - Accent2 2 2 2" xfId="481"/>
    <cellStyle name="40% - Accent2 2 2 2 2" xfId="482"/>
    <cellStyle name="40% - Accent2 2 2 2 3" xfId="483"/>
    <cellStyle name="40% - Accent2 2 2 3" xfId="484"/>
    <cellStyle name="40% - Accent2 2 2 4" xfId="485"/>
    <cellStyle name="40% - Accent2 2 20" xfId="8259"/>
    <cellStyle name="40% - Accent2 2 21" xfId="8260"/>
    <cellStyle name="40% - Accent2 2 22" xfId="8261"/>
    <cellStyle name="40% - Accent2 2 23" xfId="8262"/>
    <cellStyle name="40% - Accent2 2 24" xfId="8263"/>
    <cellStyle name="40% - Accent2 2 25" xfId="8264"/>
    <cellStyle name="40% - Accent2 2 26" xfId="8265"/>
    <cellStyle name="40% - Accent2 2 27" xfId="8266"/>
    <cellStyle name="40% - Accent2 2 28" xfId="8267"/>
    <cellStyle name="40% - Accent2 2 29" xfId="8268"/>
    <cellStyle name="40% - Accent2 2 3" xfId="486"/>
    <cellStyle name="40% - Accent2 2 3 2" xfId="487"/>
    <cellStyle name="40% - Accent2 2 3 2 2" xfId="488"/>
    <cellStyle name="40% - Accent2 2 3 2 3" xfId="489"/>
    <cellStyle name="40% - Accent2 2 3 3" xfId="490"/>
    <cellStyle name="40% - Accent2 2 3 4" xfId="491"/>
    <cellStyle name="40% - Accent2 2 30" xfId="8269"/>
    <cellStyle name="40% - Accent2 2 31" xfId="8270"/>
    <cellStyle name="40% - Accent2 2 32" xfId="8271"/>
    <cellStyle name="40% - Accent2 2 33" xfId="8272"/>
    <cellStyle name="40% - Accent2 2 34" xfId="8273"/>
    <cellStyle name="40% - Accent2 2 35" xfId="8274"/>
    <cellStyle name="40% - Accent2 2 36" xfId="8275"/>
    <cellStyle name="40% - Accent2 2 37" xfId="8276"/>
    <cellStyle name="40% - Accent2 2 38" xfId="8277"/>
    <cellStyle name="40% - Accent2 2 39" xfId="8278"/>
    <cellStyle name="40% - Accent2 2 4" xfId="492"/>
    <cellStyle name="40% - Accent2 2 4 2" xfId="493"/>
    <cellStyle name="40% - Accent2 2 4 2 2" xfId="494"/>
    <cellStyle name="40% - Accent2 2 4 2 3" xfId="495"/>
    <cellStyle name="40% - Accent2 2 4 3" xfId="496"/>
    <cellStyle name="40% - Accent2 2 4 4" xfId="497"/>
    <cellStyle name="40% - Accent2 2 40" xfId="8279"/>
    <cellStyle name="40% - Accent2 2 41" xfId="8280"/>
    <cellStyle name="40% - Accent2 2 42" xfId="8281"/>
    <cellStyle name="40% - Accent2 2 43" xfId="8282"/>
    <cellStyle name="40% - Accent2 2 44" xfId="8283"/>
    <cellStyle name="40% - Accent2 2 45" xfId="8284"/>
    <cellStyle name="40% - Accent2 2 46" xfId="8285"/>
    <cellStyle name="40% - Accent2 2 47" xfId="8286"/>
    <cellStyle name="40% - Accent2 2 48" xfId="8287"/>
    <cellStyle name="40% - Accent2 2 49" xfId="8288"/>
    <cellStyle name="40% - Accent2 2 5" xfId="498"/>
    <cellStyle name="40% - Accent2 2 5 2" xfId="499"/>
    <cellStyle name="40% - Accent2 2 5 2 2" xfId="500"/>
    <cellStyle name="40% - Accent2 2 5 2 3" xfId="501"/>
    <cellStyle name="40% - Accent2 2 5 3" xfId="502"/>
    <cellStyle name="40% - Accent2 2 5 4" xfId="503"/>
    <cellStyle name="40% - Accent2 2 50" xfId="8289"/>
    <cellStyle name="40% - Accent2 2 51" xfId="8290"/>
    <cellStyle name="40% - Accent2 2 52" xfId="8291"/>
    <cellStyle name="40% - Accent2 2 53" xfId="8292"/>
    <cellStyle name="40% - Accent2 2 54" xfId="8293"/>
    <cellStyle name="40% - Accent2 2 55" xfId="8294"/>
    <cellStyle name="40% - Accent2 2 56" xfId="8295"/>
    <cellStyle name="40% - Accent2 2 57" xfId="8296"/>
    <cellStyle name="40% - Accent2 2 58" xfId="8297"/>
    <cellStyle name="40% - Accent2 2 59" xfId="8298"/>
    <cellStyle name="40% - Accent2 2 6" xfId="504"/>
    <cellStyle name="40% - Accent2 2 6 2" xfId="505"/>
    <cellStyle name="40% - Accent2 2 6 3" xfId="506"/>
    <cellStyle name="40% - Accent2 2 60" xfId="8299"/>
    <cellStyle name="40% - Accent2 2 61" xfId="8300"/>
    <cellStyle name="40% - Accent2 2 62" xfId="8301"/>
    <cellStyle name="40% - Accent2 2 63" xfId="8302"/>
    <cellStyle name="40% - Accent2 2 64" xfId="8303"/>
    <cellStyle name="40% - Accent2 2 65" xfId="8304"/>
    <cellStyle name="40% - Accent2 2 66" xfId="8305"/>
    <cellStyle name="40% - Accent2 2 67" xfId="8306"/>
    <cellStyle name="40% - Accent2 2 68" xfId="8307"/>
    <cellStyle name="40% - Accent2 2 69" xfId="8308"/>
    <cellStyle name="40% - Accent2 2 7" xfId="507"/>
    <cellStyle name="40% - Accent2 2 70" xfId="8309"/>
    <cellStyle name="40% - Accent2 2 71" xfId="8310"/>
    <cellStyle name="40% - Accent2 2 72" xfId="8311"/>
    <cellStyle name="40% - Accent2 2 73" xfId="8312"/>
    <cellStyle name="40% - Accent2 2 74" xfId="8313"/>
    <cellStyle name="40% - Accent2 2 75" xfId="8314"/>
    <cellStyle name="40% - Accent2 2 76" xfId="8315"/>
    <cellStyle name="40% - Accent2 2 77" xfId="8316"/>
    <cellStyle name="40% - Accent2 2 78" xfId="8317"/>
    <cellStyle name="40% - Accent2 2 79" xfId="8318"/>
    <cellStyle name="40% - Accent2 2 8" xfId="508"/>
    <cellStyle name="40% - Accent2 2 80" xfId="8319"/>
    <cellStyle name="40% - Accent2 2 81" xfId="8320"/>
    <cellStyle name="40% - Accent2 2 82" xfId="8321"/>
    <cellStyle name="40% - Accent2 2 83" xfId="8322"/>
    <cellStyle name="40% - Accent2 2 84" xfId="8323"/>
    <cellStyle name="40% - Accent2 2 85" xfId="8324"/>
    <cellStyle name="40% - Accent2 2 86" xfId="8325"/>
    <cellStyle name="40% - Accent2 2 87" xfId="8326"/>
    <cellStyle name="40% - Accent2 2 88" xfId="8327"/>
    <cellStyle name="40% - Accent2 2 89" xfId="8328"/>
    <cellStyle name="40% - Accent2 2 9" xfId="509"/>
    <cellStyle name="40% - Accent2 2 90" xfId="8329"/>
    <cellStyle name="40% - Accent2 2 91" xfId="8330"/>
    <cellStyle name="40% - Accent2 2 92" xfId="8331"/>
    <cellStyle name="40% - Accent2 2 93" xfId="8332"/>
    <cellStyle name="40% - Accent2 2 94" xfId="8333"/>
    <cellStyle name="40% - Accent2 2 95" xfId="8334"/>
    <cellStyle name="40% - Accent2 2 96" xfId="8335"/>
    <cellStyle name="40% - Accent2 2 97" xfId="8336"/>
    <cellStyle name="40% - Accent2 2 98" xfId="8337"/>
    <cellStyle name="40% - Accent2 2 99" xfId="8338"/>
    <cellStyle name="40% - Accent2 3" xfId="510"/>
    <cellStyle name="40% - Accent2 3 2" xfId="511"/>
    <cellStyle name="40% - Accent2 3 2 2" xfId="512"/>
    <cellStyle name="40% - Accent2 3 2 3" xfId="513"/>
    <cellStyle name="40% - Accent2 3 3" xfId="514"/>
    <cellStyle name="40% - Accent2 3 4" xfId="515"/>
    <cellStyle name="40% - Accent2 4" xfId="516"/>
    <cellStyle name="40% - Accent2 4 2" xfId="517"/>
    <cellStyle name="40% - Accent2 4 2 2" xfId="518"/>
    <cellStyle name="40% - Accent2 4 2 3" xfId="519"/>
    <cellStyle name="40% - Accent2 4 3" xfId="520"/>
    <cellStyle name="40% - Accent2 4 4" xfId="521"/>
    <cellStyle name="40% - Accent2 5" xfId="522"/>
    <cellStyle name="40% - Accent2 5 2" xfId="523"/>
    <cellStyle name="40% - Accent2 5 2 2" xfId="524"/>
    <cellStyle name="40% - Accent2 5 2 3" xfId="525"/>
    <cellStyle name="40% - Accent2 5 3" xfId="526"/>
    <cellStyle name="40% - Accent2 5 4" xfId="527"/>
    <cellStyle name="40% - Accent2 6" xfId="528"/>
    <cellStyle name="40% - Accent2 6 2" xfId="529"/>
    <cellStyle name="40% - Accent2 6 2 2" xfId="530"/>
    <cellStyle name="40% - Accent2 6 2 3" xfId="531"/>
    <cellStyle name="40% - Accent2 6 3" xfId="532"/>
    <cellStyle name="40% - Accent2 6 4" xfId="533"/>
    <cellStyle name="40% - Accent2 7" xfId="534"/>
    <cellStyle name="40% - Accent2 7 2" xfId="535"/>
    <cellStyle name="40% - Accent2 7 3" xfId="536"/>
    <cellStyle name="40% - Accent3 2" xfId="537"/>
    <cellStyle name="40% - Accent3 2 10" xfId="538"/>
    <cellStyle name="40% - Accent3 2 100" xfId="8339"/>
    <cellStyle name="40% - Accent3 2 101" xfId="8340"/>
    <cellStyle name="40% - Accent3 2 102" xfId="8341"/>
    <cellStyle name="40% - Accent3 2 103" xfId="8342"/>
    <cellStyle name="40% - Accent3 2 104" xfId="8343"/>
    <cellStyle name="40% - Accent3 2 105" xfId="8344"/>
    <cellStyle name="40% - Accent3 2 106" xfId="8345"/>
    <cellStyle name="40% - Accent3 2 107" xfId="8346"/>
    <cellStyle name="40% - Accent3 2 108" xfId="8347"/>
    <cellStyle name="40% - Accent3 2 109" xfId="8348"/>
    <cellStyle name="40% - Accent3 2 11" xfId="539"/>
    <cellStyle name="40% - Accent3 2 110" xfId="8349"/>
    <cellStyle name="40% - Accent3 2 111" xfId="8350"/>
    <cellStyle name="40% - Accent3 2 112" xfId="8351"/>
    <cellStyle name="40% - Accent3 2 113" xfId="8352"/>
    <cellStyle name="40% - Accent3 2 114" xfId="8353"/>
    <cellStyle name="40% - Accent3 2 115" xfId="8354"/>
    <cellStyle name="40% - Accent3 2 116" xfId="8355"/>
    <cellStyle name="40% - Accent3 2 117" xfId="8356"/>
    <cellStyle name="40% - Accent3 2 12" xfId="540"/>
    <cellStyle name="40% - Accent3 2 13" xfId="8357"/>
    <cellStyle name="40% - Accent3 2 14" xfId="8358"/>
    <cellStyle name="40% - Accent3 2 15" xfId="8359"/>
    <cellStyle name="40% - Accent3 2 16" xfId="8360"/>
    <cellStyle name="40% - Accent3 2 17" xfId="8361"/>
    <cellStyle name="40% - Accent3 2 18" xfId="8362"/>
    <cellStyle name="40% - Accent3 2 19" xfId="8363"/>
    <cellStyle name="40% - Accent3 2 2" xfId="541"/>
    <cellStyle name="40% - Accent3 2 2 2" xfId="542"/>
    <cellStyle name="40% - Accent3 2 2 2 2" xfId="543"/>
    <cellStyle name="40% - Accent3 2 2 2 3" xfId="544"/>
    <cellStyle name="40% - Accent3 2 2 3" xfId="545"/>
    <cellStyle name="40% - Accent3 2 2 4" xfId="546"/>
    <cellStyle name="40% - Accent3 2 20" xfId="8364"/>
    <cellStyle name="40% - Accent3 2 21" xfId="8365"/>
    <cellStyle name="40% - Accent3 2 22" xfId="8366"/>
    <cellStyle name="40% - Accent3 2 23" xfId="8367"/>
    <cellStyle name="40% - Accent3 2 24" xfId="8368"/>
    <cellStyle name="40% - Accent3 2 25" xfId="8369"/>
    <cellStyle name="40% - Accent3 2 26" xfId="8370"/>
    <cellStyle name="40% - Accent3 2 27" xfId="8371"/>
    <cellStyle name="40% - Accent3 2 28" xfId="8372"/>
    <cellStyle name="40% - Accent3 2 29" xfId="8373"/>
    <cellStyle name="40% - Accent3 2 3" xfId="547"/>
    <cellStyle name="40% - Accent3 2 3 2" xfId="548"/>
    <cellStyle name="40% - Accent3 2 3 2 2" xfId="549"/>
    <cellStyle name="40% - Accent3 2 3 2 3" xfId="550"/>
    <cellStyle name="40% - Accent3 2 3 3" xfId="551"/>
    <cellStyle name="40% - Accent3 2 3 4" xfId="552"/>
    <cellStyle name="40% - Accent3 2 30" xfId="8374"/>
    <cellStyle name="40% - Accent3 2 31" xfId="8375"/>
    <cellStyle name="40% - Accent3 2 32" xfId="8376"/>
    <cellStyle name="40% - Accent3 2 33" xfId="8377"/>
    <cellStyle name="40% - Accent3 2 34" xfId="8378"/>
    <cellStyle name="40% - Accent3 2 35" xfId="8379"/>
    <cellStyle name="40% - Accent3 2 36" xfId="8380"/>
    <cellStyle name="40% - Accent3 2 37" xfId="8381"/>
    <cellStyle name="40% - Accent3 2 38" xfId="8382"/>
    <cellStyle name="40% - Accent3 2 39" xfId="8383"/>
    <cellStyle name="40% - Accent3 2 4" xfId="553"/>
    <cellStyle name="40% - Accent3 2 4 2" xfId="554"/>
    <cellStyle name="40% - Accent3 2 4 2 2" xfId="555"/>
    <cellStyle name="40% - Accent3 2 4 2 3" xfId="556"/>
    <cellStyle name="40% - Accent3 2 4 3" xfId="557"/>
    <cellStyle name="40% - Accent3 2 4 4" xfId="558"/>
    <cellStyle name="40% - Accent3 2 40" xfId="8384"/>
    <cellStyle name="40% - Accent3 2 41" xfId="8385"/>
    <cellStyle name="40% - Accent3 2 42" xfId="8386"/>
    <cellStyle name="40% - Accent3 2 43" xfId="8387"/>
    <cellStyle name="40% - Accent3 2 44" xfId="8388"/>
    <cellStyle name="40% - Accent3 2 45" xfId="8389"/>
    <cellStyle name="40% - Accent3 2 46" xfId="8390"/>
    <cellStyle name="40% - Accent3 2 47" xfId="8391"/>
    <cellStyle name="40% - Accent3 2 48" xfId="8392"/>
    <cellStyle name="40% - Accent3 2 49" xfId="8393"/>
    <cellStyle name="40% - Accent3 2 5" xfId="559"/>
    <cellStyle name="40% - Accent3 2 5 2" xfId="560"/>
    <cellStyle name="40% - Accent3 2 5 2 2" xfId="561"/>
    <cellStyle name="40% - Accent3 2 5 2 3" xfId="562"/>
    <cellStyle name="40% - Accent3 2 5 3" xfId="563"/>
    <cellStyle name="40% - Accent3 2 5 4" xfId="564"/>
    <cellStyle name="40% - Accent3 2 50" xfId="8394"/>
    <cellStyle name="40% - Accent3 2 51" xfId="8395"/>
    <cellStyle name="40% - Accent3 2 52" xfId="8396"/>
    <cellStyle name="40% - Accent3 2 53" xfId="8397"/>
    <cellStyle name="40% - Accent3 2 54" xfId="8398"/>
    <cellStyle name="40% - Accent3 2 55" xfId="8399"/>
    <cellStyle name="40% - Accent3 2 56" xfId="8400"/>
    <cellStyle name="40% - Accent3 2 57" xfId="8401"/>
    <cellStyle name="40% - Accent3 2 58" xfId="8402"/>
    <cellStyle name="40% - Accent3 2 59" xfId="8403"/>
    <cellStyle name="40% - Accent3 2 6" xfId="565"/>
    <cellStyle name="40% - Accent3 2 6 2" xfId="566"/>
    <cellStyle name="40% - Accent3 2 6 3" xfId="567"/>
    <cellStyle name="40% - Accent3 2 60" xfId="8404"/>
    <cellStyle name="40% - Accent3 2 61" xfId="8405"/>
    <cellStyle name="40% - Accent3 2 62" xfId="8406"/>
    <cellStyle name="40% - Accent3 2 63" xfId="8407"/>
    <cellStyle name="40% - Accent3 2 64" xfId="8408"/>
    <cellStyle name="40% - Accent3 2 65" xfId="8409"/>
    <cellStyle name="40% - Accent3 2 66" xfId="8410"/>
    <cellStyle name="40% - Accent3 2 67" xfId="8411"/>
    <cellStyle name="40% - Accent3 2 68" xfId="8412"/>
    <cellStyle name="40% - Accent3 2 69" xfId="8413"/>
    <cellStyle name="40% - Accent3 2 7" xfId="568"/>
    <cellStyle name="40% - Accent3 2 70" xfId="8414"/>
    <cellStyle name="40% - Accent3 2 71" xfId="8415"/>
    <cellStyle name="40% - Accent3 2 72" xfId="8416"/>
    <cellStyle name="40% - Accent3 2 73" xfId="8417"/>
    <cellStyle name="40% - Accent3 2 74" xfId="8418"/>
    <cellStyle name="40% - Accent3 2 75" xfId="8419"/>
    <cellStyle name="40% - Accent3 2 76" xfId="8420"/>
    <cellStyle name="40% - Accent3 2 77" xfId="8421"/>
    <cellStyle name="40% - Accent3 2 78" xfId="8422"/>
    <cellStyle name="40% - Accent3 2 79" xfId="8423"/>
    <cellStyle name="40% - Accent3 2 8" xfId="569"/>
    <cellStyle name="40% - Accent3 2 80" xfId="8424"/>
    <cellStyle name="40% - Accent3 2 81" xfId="8425"/>
    <cellStyle name="40% - Accent3 2 82" xfId="8426"/>
    <cellStyle name="40% - Accent3 2 83" xfId="8427"/>
    <cellStyle name="40% - Accent3 2 84" xfId="8428"/>
    <cellStyle name="40% - Accent3 2 85" xfId="8429"/>
    <cellStyle name="40% - Accent3 2 86" xfId="8430"/>
    <cellStyle name="40% - Accent3 2 87" xfId="8431"/>
    <cellStyle name="40% - Accent3 2 88" xfId="8432"/>
    <cellStyle name="40% - Accent3 2 89" xfId="8433"/>
    <cellStyle name="40% - Accent3 2 9" xfId="570"/>
    <cellStyle name="40% - Accent3 2 90" xfId="8434"/>
    <cellStyle name="40% - Accent3 2 91" xfId="8435"/>
    <cellStyle name="40% - Accent3 2 92" xfId="8436"/>
    <cellStyle name="40% - Accent3 2 93" xfId="8437"/>
    <cellStyle name="40% - Accent3 2 94" xfId="8438"/>
    <cellStyle name="40% - Accent3 2 95" xfId="8439"/>
    <cellStyle name="40% - Accent3 2 96" xfId="8440"/>
    <cellStyle name="40% - Accent3 2 97" xfId="8441"/>
    <cellStyle name="40% - Accent3 2 98" xfId="8442"/>
    <cellStyle name="40% - Accent3 2 99" xfId="8443"/>
    <cellStyle name="40% - Accent3 3" xfId="571"/>
    <cellStyle name="40% - Accent3 3 2" xfId="572"/>
    <cellStyle name="40% - Accent3 3 2 2" xfId="573"/>
    <cellStyle name="40% - Accent3 3 2 3" xfId="574"/>
    <cellStyle name="40% - Accent3 3 3" xfId="575"/>
    <cellStyle name="40% - Accent3 3 4" xfId="576"/>
    <cellStyle name="40% - Accent3 4" xfId="577"/>
    <cellStyle name="40% - Accent3 4 2" xfId="578"/>
    <cellStyle name="40% - Accent3 4 2 2" xfId="579"/>
    <cellStyle name="40% - Accent3 4 2 3" xfId="580"/>
    <cellStyle name="40% - Accent3 4 3" xfId="581"/>
    <cellStyle name="40% - Accent3 4 4" xfId="582"/>
    <cellStyle name="40% - Accent3 5" xfId="583"/>
    <cellStyle name="40% - Accent3 5 2" xfId="584"/>
    <cellStyle name="40% - Accent3 5 2 2" xfId="585"/>
    <cellStyle name="40% - Accent3 5 2 3" xfId="586"/>
    <cellStyle name="40% - Accent3 5 3" xfId="587"/>
    <cellStyle name="40% - Accent3 5 4" xfId="588"/>
    <cellStyle name="40% - Accent3 6" xfId="589"/>
    <cellStyle name="40% - Accent3 6 2" xfId="590"/>
    <cellStyle name="40% - Accent3 6 2 2" xfId="591"/>
    <cellStyle name="40% - Accent3 6 2 3" xfId="592"/>
    <cellStyle name="40% - Accent3 6 3" xfId="593"/>
    <cellStyle name="40% - Accent3 6 4" xfId="594"/>
    <cellStyle name="40% - Accent3 7" xfId="595"/>
    <cellStyle name="40% - Accent3 7 2" xfId="596"/>
    <cellStyle name="40% - Accent3 7 3" xfId="597"/>
    <cellStyle name="40% - Accent4 2" xfId="598"/>
    <cellStyle name="40% - Accent4 2 10" xfId="599"/>
    <cellStyle name="40% - Accent4 2 100" xfId="8444"/>
    <cellStyle name="40% - Accent4 2 101" xfId="8445"/>
    <cellStyle name="40% - Accent4 2 102" xfId="8446"/>
    <cellStyle name="40% - Accent4 2 103" xfId="8447"/>
    <cellStyle name="40% - Accent4 2 104" xfId="8448"/>
    <cellStyle name="40% - Accent4 2 105" xfId="8449"/>
    <cellStyle name="40% - Accent4 2 106" xfId="8450"/>
    <cellStyle name="40% - Accent4 2 107" xfId="8451"/>
    <cellStyle name="40% - Accent4 2 108" xfId="8452"/>
    <cellStyle name="40% - Accent4 2 109" xfId="8453"/>
    <cellStyle name="40% - Accent4 2 11" xfId="600"/>
    <cellStyle name="40% - Accent4 2 110" xfId="8454"/>
    <cellStyle name="40% - Accent4 2 111" xfId="8455"/>
    <cellStyle name="40% - Accent4 2 112" xfId="8456"/>
    <cellStyle name="40% - Accent4 2 113" xfId="8457"/>
    <cellStyle name="40% - Accent4 2 114" xfId="8458"/>
    <cellStyle name="40% - Accent4 2 115" xfId="8459"/>
    <cellStyle name="40% - Accent4 2 116" xfId="8460"/>
    <cellStyle name="40% - Accent4 2 117" xfId="8461"/>
    <cellStyle name="40% - Accent4 2 12" xfId="601"/>
    <cellStyle name="40% - Accent4 2 13" xfId="8462"/>
    <cellStyle name="40% - Accent4 2 14" xfId="8463"/>
    <cellStyle name="40% - Accent4 2 15" xfId="8464"/>
    <cellStyle name="40% - Accent4 2 16" xfId="8465"/>
    <cellStyle name="40% - Accent4 2 17" xfId="8466"/>
    <cellStyle name="40% - Accent4 2 18" xfId="8467"/>
    <cellStyle name="40% - Accent4 2 19" xfId="8468"/>
    <cellStyle name="40% - Accent4 2 2" xfId="602"/>
    <cellStyle name="40% - Accent4 2 2 2" xfId="603"/>
    <cellStyle name="40% - Accent4 2 2 2 2" xfId="604"/>
    <cellStyle name="40% - Accent4 2 2 2 3" xfId="605"/>
    <cellStyle name="40% - Accent4 2 2 3" xfId="606"/>
    <cellStyle name="40% - Accent4 2 2 4" xfId="607"/>
    <cellStyle name="40% - Accent4 2 20" xfId="8469"/>
    <cellStyle name="40% - Accent4 2 21" xfId="8470"/>
    <cellStyle name="40% - Accent4 2 22" xfId="8471"/>
    <cellStyle name="40% - Accent4 2 23" xfId="8472"/>
    <cellStyle name="40% - Accent4 2 24" xfId="8473"/>
    <cellStyle name="40% - Accent4 2 25" xfId="8474"/>
    <cellStyle name="40% - Accent4 2 26" xfId="8475"/>
    <cellStyle name="40% - Accent4 2 27" xfId="8476"/>
    <cellStyle name="40% - Accent4 2 28" xfId="8477"/>
    <cellStyle name="40% - Accent4 2 29" xfId="8478"/>
    <cellStyle name="40% - Accent4 2 3" xfId="608"/>
    <cellStyle name="40% - Accent4 2 3 2" xfId="609"/>
    <cellStyle name="40% - Accent4 2 3 2 2" xfId="610"/>
    <cellStyle name="40% - Accent4 2 3 2 3" xfId="611"/>
    <cellStyle name="40% - Accent4 2 3 3" xfId="612"/>
    <cellStyle name="40% - Accent4 2 3 4" xfId="613"/>
    <cellStyle name="40% - Accent4 2 30" xfId="8479"/>
    <cellStyle name="40% - Accent4 2 31" xfId="8480"/>
    <cellStyle name="40% - Accent4 2 32" xfId="8481"/>
    <cellStyle name="40% - Accent4 2 33" xfId="8482"/>
    <cellStyle name="40% - Accent4 2 34" xfId="8483"/>
    <cellStyle name="40% - Accent4 2 35" xfId="8484"/>
    <cellStyle name="40% - Accent4 2 36" xfId="8485"/>
    <cellStyle name="40% - Accent4 2 37" xfId="8486"/>
    <cellStyle name="40% - Accent4 2 38" xfId="8487"/>
    <cellStyle name="40% - Accent4 2 39" xfId="8488"/>
    <cellStyle name="40% - Accent4 2 4" xfId="614"/>
    <cellStyle name="40% - Accent4 2 4 2" xfId="615"/>
    <cellStyle name="40% - Accent4 2 4 2 2" xfId="616"/>
    <cellStyle name="40% - Accent4 2 4 2 3" xfId="617"/>
    <cellStyle name="40% - Accent4 2 4 3" xfId="618"/>
    <cellStyle name="40% - Accent4 2 4 4" xfId="619"/>
    <cellStyle name="40% - Accent4 2 40" xfId="8489"/>
    <cellStyle name="40% - Accent4 2 41" xfId="8490"/>
    <cellStyle name="40% - Accent4 2 42" xfId="8491"/>
    <cellStyle name="40% - Accent4 2 43" xfId="8492"/>
    <cellStyle name="40% - Accent4 2 44" xfId="8493"/>
    <cellStyle name="40% - Accent4 2 45" xfId="8494"/>
    <cellStyle name="40% - Accent4 2 46" xfId="8495"/>
    <cellStyle name="40% - Accent4 2 47" xfId="8496"/>
    <cellStyle name="40% - Accent4 2 48" xfId="8497"/>
    <cellStyle name="40% - Accent4 2 49" xfId="8498"/>
    <cellStyle name="40% - Accent4 2 5" xfId="620"/>
    <cellStyle name="40% - Accent4 2 5 2" xfId="621"/>
    <cellStyle name="40% - Accent4 2 5 2 2" xfId="622"/>
    <cellStyle name="40% - Accent4 2 5 2 3" xfId="623"/>
    <cellStyle name="40% - Accent4 2 5 3" xfId="624"/>
    <cellStyle name="40% - Accent4 2 5 4" xfId="625"/>
    <cellStyle name="40% - Accent4 2 50" xfId="8499"/>
    <cellStyle name="40% - Accent4 2 51" xfId="8500"/>
    <cellStyle name="40% - Accent4 2 52" xfId="8501"/>
    <cellStyle name="40% - Accent4 2 53" xfId="8502"/>
    <cellStyle name="40% - Accent4 2 54" xfId="8503"/>
    <cellStyle name="40% - Accent4 2 55" xfId="8504"/>
    <cellStyle name="40% - Accent4 2 56" xfId="8505"/>
    <cellStyle name="40% - Accent4 2 57" xfId="8506"/>
    <cellStyle name="40% - Accent4 2 58" xfId="8507"/>
    <cellStyle name="40% - Accent4 2 59" xfId="8508"/>
    <cellStyle name="40% - Accent4 2 6" xfId="626"/>
    <cellStyle name="40% - Accent4 2 6 2" xfId="627"/>
    <cellStyle name="40% - Accent4 2 6 3" xfId="628"/>
    <cellStyle name="40% - Accent4 2 60" xfId="8509"/>
    <cellStyle name="40% - Accent4 2 61" xfId="8510"/>
    <cellStyle name="40% - Accent4 2 62" xfId="8511"/>
    <cellStyle name="40% - Accent4 2 63" xfId="8512"/>
    <cellStyle name="40% - Accent4 2 64" xfId="8513"/>
    <cellStyle name="40% - Accent4 2 65" xfId="8514"/>
    <cellStyle name="40% - Accent4 2 66" xfId="8515"/>
    <cellStyle name="40% - Accent4 2 67" xfId="8516"/>
    <cellStyle name="40% - Accent4 2 68" xfId="8517"/>
    <cellStyle name="40% - Accent4 2 69" xfId="8518"/>
    <cellStyle name="40% - Accent4 2 7" xfId="629"/>
    <cellStyle name="40% - Accent4 2 70" xfId="8519"/>
    <cellStyle name="40% - Accent4 2 71" xfId="8520"/>
    <cellStyle name="40% - Accent4 2 72" xfId="8521"/>
    <cellStyle name="40% - Accent4 2 73" xfId="8522"/>
    <cellStyle name="40% - Accent4 2 74" xfId="8523"/>
    <cellStyle name="40% - Accent4 2 75" xfId="8524"/>
    <cellStyle name="40% - Accent4 2 76" xfId="8525"/>
    <cellStyle name="40% - Accent4 2 77" xfId="8526"/>
    <cellStyle name="40% - Accent4 2 78" xfId="8527"/>
    <cellStyle name="40% - Accent4 2 79" xfId="8528"/>
    <cellStyle name="40% - Accent4 2 8" xfId="630"/>
    <cellStyle name="40% - Accent4 2 80" xfId="8529"/>
    <cellStyle name="40% - Accent4 2 81" xfId="8530"/>
    <cellStyle name="40% - Accent4 2 82" xfId="8531"/>
    <cellStyle name="40% - Accent4 2 83" xfId="8532"/>
    <cellStyle name="40% - Accent4 2 84" xfId="8533"/>
    <cellStyle name="40% - Accent4 2 85" xfId="8534"/>
    <cellStyle name="40% - Accent4 2 86" xfId="8535"/>
    <cellStyle name="40% - Accent4 2 87" xfId="8536"/>
    <cellStyle name="40% - Accent4 2 88" xfId="8537"/>
    <cellStyle name="40% - Accent4 2 89" xfId="8538"/>
    <cellStyle name="40% - Accent4 2 9" xfId="631"/>
    <cellStyle name="40% - Accent4 2 90" xfId="8539"/>
    <cellStyle name="40% - Accent4 2 91" xfId="8540"/>
    <cellStyle name="40% - Accent4 2 92" xfId="8541"/>
    <cellStyle name="40% - Accent4 2 93" xfId="8542"/>
    <cellStyle name="40% - Accent4 2 94" xfId="8543"/>
    <cellStyle name="40% - Accent4 2 95" xfId="8544"/>
    <cellStyle name="40% - Accent4 2 96" xfId="8545"/>
    <cellStyle name="40% - Accent4 2 97" xfId="8546"/>
    <cellStyle name="40% - Accent4 2 98" xfId="8547"/>
    <cellStyle name="40% - Accent4 2 99" xfId="8548"/>
    <cellStyle name="40% - Accent4 3" xfId="632"/>
    <cellStyle name="40% - Accent4 3 2" xfId="633"/>
    <cellStyle name="40% - Accent4 3 2 2" xfId="634"/>
    <cellStyle name="40% - Accent4 3 2 3" xfId="635"/>
    <cellStyle name="40% - Accent4 3 3" xfId="636"/>
    <cellStyle name="40% - Accent4 3 4" xfId="637"/>
    <cellStyle name="40% - Accent4 4" xfId="638"/>
    <cellStyle name="40% - Accent4 4 2" xfId="639"/>
    <cellStyle name="40% - Accent4 4 2 2" xfId="640"/>
    <cellStyle name="40% - Accent4 4 2 3" xfId="641"/>
    <cellStyle name="40% - Accent4 4 3" xfId="642"/>
    <cellStyle name="40% - Accent4 4 4" xfId="643"/>
    <cellStyle name="40% - Accent4 5" xfId="644"/>
    <cellStyle name="40% - Accent4 5 2" xfId="645"/>
    <cellStyle name="40% - Accent4 5 2 2" xfId="646"/>
    <cellStyle name="40% - Accent4 5 2 3" xfId="647"/>
    <cellStyle name="40% - Accent4 5 3" xfId="648"/>
    <cellStyle name="40% - Accent4 5 4" xfId="649"/>
    <cellStyle name="40% - Accent4 6" xfId="650"/>
    <cellStyle name="40% - Accent4 6 2" xfId="651"/>
    <cellStyle name="40% - Accent4 6 2 2" xfId="652"/>
    <cellStyle name="40% - Accent4 6 2 3" xfId="653"/>
    <cellStyle name="40% - Accent4 6 3" xfId="654"/>
    <cellStyle name="40% - Accent4 6 4" xfId="655"/>
    <cellStyle name="40% - Accent4 7" xfId="656"/>
    <cellStyle name="40% - Accent4 7 2" xfId="657"/>
    <cellStyle name="40% - Accent4 7 3" xfId="658"/>
    <cellStyle name="40% - Accent5 2" xfId="659"/>
    <cellStyle name="40% - Accent5 2 10" xfId="660"/>
    <cellStyle name="40% - Accent5 2 100" xfId="8549"/>
    <cellStyle name="40% - Accent5 2 101" xfId="8550"/>
    <cellStyle name="40% - Accent5 2 102" xfId="8551"/>
    <cellStyle name="40% - Accent5 2 103" xfId="8552"/>
    <cellStyle name="40% - Accent5 2 104" xfId="8553"/>
    <cellStyle name="40% - Accent5 2 105" xfId="8554"/>
    <cellStyle name="40% - Accent5 2 106" xfId="8555"/>
    <cellStyle name="40% - Accent5 2 107" xfId="8556"/>
    <cellStyle name="40% - Accent5 2 108" xfId="8557"/>
    <cellStyle name="40% - Accent5 2 109" xfId="8558"/>
    <cellStyle name="40% - Accent5 2 11" xfId="661"/>
    <cellStyle name="40% - Accent5 2 110" xfId="8559"/>
    <cellStyle name="40% - Accent5 2 111" xfId="8560"/>
    <cellStyle name="40% - Accent5 2 112" xfId="8561"/>
    <cellStyle name="40% - Accent5 2 113" xfId="8562"/>
    <cellStyle name="40% - Accent5 2 114" xfId="8563"/>
    <cellStyle name="40% - Accent5 2 115" xfId="8564"/>
    <cellStyle name="40% - Accent5 2 116" xfId="8565"/>
    <cellStyle name="40% - Accent5 2 117" xfId="8566"/>
    <cellStyle name="40% - Accent5 2 12" xfId="662"/>
    <cellStyle name="40% - Accent5 2 13" xfId="8567"/>
    <cellStyle name="40% - Accent5 2 14" xfId="8568"/>
    <cellStyle name="40% - Accent5 2 15" xfId="8569"/>
    <cellStyle name="40% - Accent5 2 16" xfId="8570"/>
    <cellStyle name="40% - Accent5 2 17" xfId="8571"/>
    <cellStyle name="40% - Accent5 2 18" xfId="8572"/>
    <cellStyle name="40% - Accent5 2 19" xfId="8573"/>
    <cellStyle name="40% - Accent5 2 2" xfId="663"/>
    <cellStyle name="40% - Accent5 2 2 2" xfId="664"/>
    <cellStyle name="40% - Accent5 2 2 2 2" xfId="665"/>
    <cellStyle name="40% - Accent5 2 2 2 3" xfId="666"/>
    <cellStyle name="40% - Accent5 2 2 3" xfId="667"/>
    <cellStyle name="40% - Accent5 2 2 4" xfId="668"/>
    <cellStyle name="40% - Accent5 2 20" xfId="8574"/>
    <cellStyle name="40% - Accent5 2 21" xfId="8575"/>
    <cellStyle name="40% - Accent5 2 22" xfId="8576"/>
    <cellStyle name="40% - Accent5 2 23" xfId="8577"/>
    <cellStyle name="40% - Accent5 2 24" xfId="8578"/>
    <cellStyle name="40% - Accent5 2 25" xfId="8579"/>
    <cellStyle name="40% - Accent5 2 26" xfId="8580"/>
    <cellStyle name="40% - Accent5 2 27" xfId="8581"/>
    <cellStyle name="40% - Accent5 2 28" xfId="8582"/>
    <cellStyle name="40% - Accent5 2 29" xfId="8583"/>
    <cellStyle name="40% - Accent5 2 3" xfId="669"/>
    <cellStyle name="40% - Accent5 2 3 2" xfId="670"/>
    <cellStyle name="40% - Accent5 2 3 2 2" xfId="671"/>
    <cellStyle name="40% - Accent5 2 3 2 3" xfId="672"/>
    <cellStyle name="40% - Accent5 2 3 3" xfId="673"/>
    <cellStyle name="40% - Accent5 2 3 4" xfId="674"/>
    <cellStyle name="40% - Accent5 2 30" xfId="8584"/>
    <cellStyle name="40% - Accent5 2 31" xfId="8585"/>
    <cellStyle name="40% - Accent5 2 32" xfId="8586"/>
    <cellStyle name="40% - Accent5 2 33" xfId="8587"/>
    <cellStyle name="40% - Accent5 2 34" xfId="8588"/>
    <cellStyle name="40% - Accent5 2 35" xfId="8589"/>
    <cellStyle name="40% - Accent5 2 36" xfId="8590"/>
    <cellStyle name="40% - Accent5 2 37" xfId="8591"/>
    <cellStyle name="40% - Accent5 2 38" xfId="8592"/>
    <cellStyle name="40% - Accent5 2 39" xfId="8593"/>
    <cellStyle name="40% - Accent5 2 4" xfId="675"/>
    <cellStyle name="40% - Accent5 2 4 2" xfId="676"/>
    <cellStyle name="40% - Accent5 2 4 2 2" xfId="677"/>
    <cellStyle name="40% - Accent5 2 4 2 3" xfId="678"/>
    <cellStyle name="40% - Accent5 2 4 3" xfId="679"/>
    <cellStyle name="40% - Accent5 2 4 4" xfId="680"/>
    <cellStyle name="40% - Accent5 2 40" xfId="8594"/>
    <cellStyle name="40% - Accent5 2 41" xfId="8595"/>
    <cellStyle name="40% - Accent5 2 42" xfId="8596"/>
    <cellStyle name="40% - Accent5 2 43" xfId="8597"/>
    <cellStyle name="40% - Accent5 2 44" xfId="8598"/>
    <cellStyle name="40% - Accent5 2 45" xfId="8599"/>
    <cellStyle name="40% - Accent5 2 46" xfId="8600"/>
    <cellStyle name="40% - Accent5 2 47" xfId="8601"/>
    <cellStyle name="40% - Accent5 2 48" xfId="8602"/>
    <cellStyle name="40% - Accent5 2 49" xfId="8603"/>
    <cellStyle name="40% - Accent5 2 5" xfId="681"/>
    <cellStyle name="40% - Accent5 2 5 2" xfId="682"/>
    <cellStyle name="40% - Accent5 2 5 2 2" xfId="683"/>
    <cellStyle name="40% - Accent5 2 5 2 3" xfId="684"/>
    <cellStyle name="40% - Accent5 2 5 3" xfId="685"/>
    <cellStyle name="40% - Accent5 2 5 4" xfId="686"/>
    <cellStyle name="40% - Accent5 2 50" xfId="8604"/>
    <cellStyle name="40% - Accent5 2 51" xfId="8605"/>
    <cellStyle name="40% - Accent5 2 52" xfId="8606"/>
    <cellStyle name="40% - Accent5 2 53" xfId="8607"/>
    <cellStyle name="40% - Accent5 2 54" xfId="8608"/>
    <cellStyle name="40% - Accent5 2 55" xfId="8609"/>
    <cellStyle name="40% - Accent5 2 56" xfId="8610"/>
    <cellStyle name="40% - Accent5 2 57" xfId="8611"/>
    <cellStyle name="40% - Accent5 2 58" xfId="8612"/>
    <cellStyle name="40% - Accent5 2 59" xfId="8613"/>
    <cellStyle name="40% - Accent5 2 6" xfId="687"/>
    <cellStyle name="40% - Accent5 2 6 2" xfId="688"/>
    <cellStyle name="40% - Accent5 2 6 3" xfId="689"/>
    <cellStyle name="40% - Accent5 2 60" xfId="8614"/>
    <cellStyle name="40% - Accent5 2 61" xfId="8615"/>
    <cellStyle name="40% - Accent5 2 62" xfId="8616"/>
    <cellStyle name="40% - Accent5 2 63" xfId="8617"/>
    <cellStyle name="40% - Accent5 2 64" xfId="8618"/>
    <cellStyle name="40% - Accent5 2 65" xfId="8619"/>
    <cellStyle name="40% - Accent5 2 66" xfId="8620"/>
    <cellStyle name="40% - Accent5 2 67" xfId="8621"/>
    <cellStyle name="40% - Accent5 2 68" xfId="8622"/>
    <cellStyle name="40% - Accent5 2 69" xfId="8623"/>
    <cellStyle name="40% - Accent5 2 7" xfId="690"/>
    <cellStyle name="40% - Accent5 2 70" xfId="8624"/>
    <cellStyle name="40% - Accent5 2 71" xfId="8625"/>
    <cellStyle name="40% - Accent5 2 72" xfId="8626"/>
    <cellStyle name="40% - Accent5 2 73" xfId="8627"/>
    <cellStyle name="40% - Accent5 2 74" xfId="8628"/>
    <cellStyle name="40% - Accent5 2 75" xfId="8629"/>
    <cellStyle name="40% - Accent5 2 76" xfId="8630"/>
    <cellStyle name="40% - Accent5 2 77" xfId="8631"/>
    <cellStyle name="40% - Accent5 2 78" xfId="8632"/>
    <cellStyle name="40% - Accent5 2 79" xfId="8633"/>
    <cellStyle name="40% - Accent5 2 8" xfId="691"/>
    <cellStyle name="40% - Accent5 2 80" xfId="8634"/>
    <cellStyle name="40% - Accent5 2 81" xfId="8635"/>
    <cellStyle name="40% - Accent5 2 82" xfId="8636"/>
    <cellStyle name="40% - Accent5 2 83" xfId="8637"/>
    <cellStyle name="40% - Accent5 2 84" xfId="8638"/>
    <cellStyle name="40% - Accent5 2 85" xfId="8639"/>
    <cellStyle name="40% - Accent5 2 86" xfId="8640"/>
    <cellStyle name="40% - Accent5 2 87" xfId="8641"/>
    <cellStyle name="40% - Accent5 2 88" xfId="8642"/>
    <cellStyle name="40% - Accent5 2 89" xfId="8643"/>
    <cellStyle name="40% - Accent5 2 9" xfId="692"/>
    <cellStyle name="40% - Accent5 2 90" xfId="8644"/>
    <cellStyle name="40% - Accent5 2 91" xfId="8645"/>
    <cellStyle name="40% - Accent5 2 92" xfId="8646"/>
    <cellStyle name="40% - Accent5 2 93" xfId="8647"/>
    <cellStyle name="40% - Accent5 2 94" xfId="8648"/>
    <cellStyle name="40% - Accent5 2 95" xfId="8649"/>
    <cellStyle name="40% - Accent5 2 96" xfId="8650"/>
    <cellStyle name="40% - Accent5 2 97" xfId="8651"/>
    <cellStyle name="40% - Accent5 2 98" xfId="8652"/>
    <cellStyle name="40% - Accent5 2 99" xfId="8653"/>
    <cellStyle name="40% - Accent5 3" xfId="693"/>
    <cellStyle name="40% - Accent5 3 2" xfId="694"/>
    <cellStyle name="40% - Accent5 3 2 2" xfId="695"/>
    <cellStyle name="40% - Accent5 3 2 3" xfId="696"/>
    <cellStyle name="40% - Accent5 3 3" xfId="697"/>
    <cellStyle name="40% - Accent5 3 4" xfId="698"/>
    <cellStyle name="40% - Accent5 4" xfId="699"/>
    <cellStyle name="40% - Accent5 4 2" xfId="700"/>
    <cellStyle name="40% - Accent5 4 2 2" xfId="701"/>
    <cellStyle name="40% - Accent5 4 2 3" xfId="702"/>
    <cellStyle name="40% - Accent5 4 3" xfId="703"/>
    <cellStyle name="40% - Accent5 4 4" xfId="704"/>
    <cellStyle name="40% - Accent5 5" xfId="705"/>
    <cellStyle name="40% - Accent5 5 2" xfId="706"/>
    <cellStyle name="40% - Accent5 5 2 2" xfId="707"/>
    <cellStyle name="40% - Accent5 5 2 3" xfId="708"/>
    <cellStyle name="40% - Accent5 5 3" xfId="709"/>
    <cellStyle name="40% - Accent5 5 4" xfId="710"/>
    <cellStyle name="40% - Accent5 6" xfId="711"/>
    <cellStyle name="40% - Accent5 6 2" xfId="712"/>
    <cellStyle name="40% - Accent5 6 2 2" xfId="713"/>
    <cellStyle name="40% - Accent5 6 2 3" xfId="714"/>
    <cellStyle name="40% - Accent5 6 3" xfId="715"/>
    <cellStyle name="40% - Accent5 6 4" xfId="716"/>
    <cellStyle name="40% - Accent5 7" xfId="717"/>
    <cellStyle name="40% - Accent5 7 2" xfId="718"/>
    <cellStyle name="40% - Accent5 7 3" xfId="719"/>
    <cellStyle name="40% - Accent6 2" xfId="720"/>
    <cellStyle name="40% - Accent6 2 10" xfId="721"/>
    <cellStyle name="40% - Accent6 2 100" xfId="8654"/>
    <cellStyle name="40% - Accent6 2 101" xfId="8655"/>
    <cellStyle name="40% - Accent6 2 102" xfId="8656"/>
    <cellStyle name="40% - Accent6 2 103" xfId="8657"/>
    <cellStyle name="40% - Accent6 2 104" xfId="8658"/>
    <cellStyle name="40% - Accent6 2 105" xfId="8659"/>
    <cellStyle name="40% - Accent6 2 106" xfId="8660"/>
    <cellStyle name="40% - Accent6 2 107" xfId="8661"/>
    <cellStyle name="40% - Accent6 2 108" xfId="8662"/>
    <cellStyle name="40% - Accent6 2 109" xfId="8663"/>
    <cellStyle name="40% - Accent6 2 11" xfId="722"/>
    <cellStyle name="40% - Accent6 2 110" xfId="8664"/>
    <cellStyle name="40% - Accent6 2 111" xfId="8665"/>
    <cellStyle name="40% - Accent6 2 112" xfId="8666"/>
    <cellStyle name="40% - Accent6 2 113" xfId="8667"/>
    <cellStyle name="40% - Accent6 2 114" xfId="8668"/>
    <cellStyle name="40% - Accent6 2 115" xfId="8669"/>
    <cellStyle name="40% - Accent6 2 116" xfId="8670"/>
    <cellStyle name="40% - Accent6 2 117" xfId="8671"/>
    <cellStyle name="40% - Accent6 2 12" xfId="723"/>
    <cellStyle name="40% - Accent6 2 13" xfId="8672"/>
    <cellStyle name="40% - Accent6 2 14" xfId="8673"/>
    <cellStyle name="40% - Accent6 2 15" xfId="8674"/>
    <cellStyle name="40% - Accent6 2 16" xfId="8675"/>
    <cellStyle name="40% - Accent6 2 17" xfId="8676"/>
    <cellStyle name="40% - Accent6 2 18" xfId="8677"/>
    <cellStyle name="40% - Accent6 2 19" xfId="8678"/>
    <cellStyle name="40% - Accent6 2 2" xfId="724"/>
    <cellStyle name="40% - Accent6 2 2 2" xfId="725"/>
    <cellStyle name="40% - Accent6 2 2 2 2" xfId="726"/>
    <cellStyle name="40% - Accent6 2 2 2 3" xfId="727"/>
    <cellStyle name="40% - Accent6 2 2 3" xfId="728"/>
    <cellStyle name="40% - Accent6 2 2 4" xfId="729"/>
    <cellStyle name="40% - Accent6 2 20" xfId="8679"/>
    <cellStyle name="40% - Accent6 2 21" xfId="8680"/>
    <cellStyle name="40% - Accent6 2 22" xfId="8681"/>
    <cellStyle name="40% - Accent6 2 23" xfId="8682"/>
    <cellStyle name="40% - Accent6 2 24" xfId="8683"/>
    <cellStyle name="40% - Accent6 2 25" xfId="8684"/>
    <cellStyle name="40% - Accent6 2 26" xfId="8685"/>
    <cellStyle name="40% - Accent6 2 27" xfId="8686"/>
    <cellStyle name="40% - Accent6 2 28" xfId="8687"/>
    <cellStyle name="40% - Accent6 2 29" xfId="8688"/>
    <cellStyle name="40% - Accent6 2 3" xfId="730"/>
    <cellStyle name="40% - Accent6 2 3 2" xfId="731"/>
    <cellStyle name="40% - Accent6 2 3 2 2" xfId="732"/>
    <cellStyle name="40% - Accent6 2 3 2 3" xfId="733"/>
    <cellStyle name="40% - Accent6 2 3 3" xfId="734"/>
    <cellStyle name="40% - Accent6 2 3 4" xfId="735"/>
    <cellStyle name="40% - Accent6 2 30" xfId="8689"/>
    <cellStyle name="40% - Accent6 2 31" xfId="8690"/>
    <cellStyle name="40% - Accent6 2 32" xfId="8691"/>
    <cellStyle name="40% - Accent6 2 33" xfId="8692"/>
    <cellStyle name="40% - Accent6 2 34" xfId="8693"/>
    <cellStyle name="40% - Accent6 2 35" xfId="8694"/>
    <cellStyle name="40% - Accent6 2 36" xfId="8695"/>
    <cellStyle name="40% - Accent6 2 37" xfId="8696"/>
    <cellStyle name="40% - Accent6 2 38" xfId="8697"/>
    <cellStyle name="40% - Accent6 2 39" xfId="8698"/>
    <cellStyle name="40% - Accent6 2 4" xfId="736"/>
    <cellStyle name="40% - Accent6 2 4 2" xfId="737"/>
    <cellStyle name="40% - Accent6 2 4 2 2" xfId="738"/>
    <cellStyle name="40% - Accent6 2 4 2 3" xfId="739"/>
    <cellStyle name="40% - Accent6 2 4 3" xfId="740"/>
    <cellStyle name="40% - Accent6 2 4 4" xfId="741"/>
    <cellStyle name="40% - Accent6 2 40" xfId="8699"/>
    <cellStyle name="40% - Accent6 2 41" xfId="8700"/>
    <cellStyle name="40% - Accent6 2 42" xfId="8701"/>
    <cellStyle name="40% - Accent6 2 43" xfId="8702"/>
    <cellStyle name="40% - Accent6 2 44" xfId="8703"/>
    <cellStyle name="40% - Accent6 2 45" xfId="8704"/>
    <cellStyle name="40% - Accent6 2 46" xfId="8705"/>
    <cellStyle name="40% - Accent6 2 47" xfId="8706"/>
    <cellStyle name="40% - Accent6 2 48" xfId="8707"/>
    <cellStyle name="40% - Accent6 2 49" xfId="8708"/>
    <cellStyle name="40% - Accent6 2 5" xfId="742"/>
    <cellStyle name="40% - Accent6 2 5 2" xfId="743"/>
    <cellStyle name="40% - Accent6 2 5 2 2" xfId="744"/>
    <cellStyle name="40% - Accent6 2 5 2 3" xfId="745"/>
    <cellStyle name="40% - Accent6 2 5 3" xfId="746"/>
    <cellStyle name="40% - Accent6 2 5 4" xfId="747"/>
    <cellStyle name="40% - Accent6 2 50" xfId="8709"/>
    <cellStyle name="40% - Accent6 2 51" xfId="8710"/>
    <cellStyle name="40% - Accent6 2 52" xfId="8711"/>
    <cellStyle name="40% - Accent6 2 53" xfId="8712"/>
    <cellStyle name="40% - Accent6 2 54" xfId="8713"/>
    <cellStyle name="40% - Accent6 2 55" xfId="8714"/>
    <cellStyle name="40% - Accent6 2 56" xfId="8715"/>
    <cellStyle name="40% - Accent6 2 57" xfId="8716"/>
    <cellStyle name="40% - Accent6 2 58" xfId="8717"/>
    <cellStyle name="40% - Accent6 2 59" xfId="8718"/>
    <cellStyle name="40% - Accent6 2 6" xfId="748"/>
    <cellStyle name="40% - Accent6 2 6 2" xfId="749"/>
    <cellStyle name="40% - Accent6 2 6 3" xfId="750"/>
    <cellStyle name="40% - Accent6 2 60" xfId="8719"/>
    <cellStyle name="40% - Accent6 2 61" xfId="8720"/>
    <cellStyle name="40% - Accent6 2 62" xfId="8721"/>
    <cellStyle name="40% - Accent6 2 63" xfId="8722"/>
    <cellStyle name="40% - Accent6 2 64" xfId="8723"/>
    <cellStyle name="40% - Accent6 2 65" xfId="8724"/>
    <cellStyle name="40% - Accent6 2 66" xfId="8725"/>
    <cellStyle name="40% - Accent6 2 67" xfId="8726"/>
    <cellStyle name="40% - Accent6 2 68" xfId="8727"/>
    <cellStyle name="40% - Accent6 2 69" xfId="8728"/>
    <cellStyle name="40% - Accent6 2 7" xfId="751"/>
    <cellStyle name="40% - Accent6 2 70" xfId="8729"/>
    <cellStyle name="40% - Accent6 2 71" xfId="8730"/>
    <cellStyle name="40% - Accent6 2 72" xfId="8731"/>
    <cellStyle name="40% - Accent6 2 73" xfId="8732"/>
    <cellStyle name="40% - Accent6 2 74" xfId="8733"/>
    <cellStyle name="40% - Accent6 2 75" xfId="8734"/>
    <cellStyle name="40% - Accent6 2 76" xfId="8735"/>
    <cellStyle name="40% - Accent6 2 77" xfId="8736"/>
    <cellStyle name="40% - Accent6 2 78" xfId="8737"/>
    <cellStyle name="40% - Accent6 2 79" xfId="8738"/>
    <cellStyle name="40% - Accent6 2 8" xfId="752"/>
    <cellStyle name="40% - Accent6 2 80" xfId="8739"/>
    <cellStyle name="40% - Accent6 2 81" xfId="8740"/>
    <cellStyle name="40% - Accent6 2 82" xfId="8741"/>
    <cellStyle name="40% - Accent6 2 83" xfId="8742"/>
    <cellStyle name="40% - Accent6 2 84" xfId="8743"/>
    <cellStyle name="40% - Accent6 2 85" xfId="8744"/>
    <cellStyle name="40% - Accent6 2 86" xfId="8745"/>
    <cellStyle name="40% - Accent6 2 87" xfId="8746"/>
    <cellStyle name="40% - Accent6 2 88" xfId="8747"/>
    <cellStyle name="40% - Accent6 2 89" xfId="8748"/>
    <cellStyle name="40% - Accent6 2 9" xfId="753"/>
    <cellStyle name="40% - Accent6 2 90" xfId="8749"/>
    <cellStyle name="40% - Accent6 2 91" xfId="8750"/>
    <cellStyle name="40% - Accent6 2 92" xfId="8751"/>
    <cellStyle name="40% - Accent6 2 93" xfId="8752"/>
    <cellStyle name="40% - Accent6 2 94" xfId="8753"/>
    <cellStyle name="40% - Accent6 2 95" xfId="8754"/>
    <cellStyle name="40% - Accent6 2 96" xfId="8755"/>
    <cellStyle name="40% - Accent6 2 97" xfId="8756"/>
    <cellStyle name="40% - Accent6 2 98" xfId="8757"/>
    <cellStyle name="40% - Accent6 2 99" xfId="8758"/>
    <cellStyle name="40% - Accent6 3" xfId="754"/>
    <cellStyle name="40% - Accent6 3 2" xfId="755"/>
    <cellStyle name="40% - Accent6 3 2 2" xfId="756"/>
    <cellStyle name="40% - Accent6 3 2 3" xfId="757"/>
    <cellStyle name="40% - Accent6 3 3" xfId="758"/>
    <cellStyle name="40% - Accent6 3 4" xfId="759"/>
    <cellStyle name="40% - Accent6 4" xfId="760"/>
    <cellStyle name="40% - Accent6 4 2" xfId="761"/>
    <cellStyle name="40% - Accent6 4 2 2" xfId="762"/>
    <cellStyle name="40% - Accent6 4 2 3" xfId="763"/>
    <cellStyle name="40% - Accent6 4 3" xfId="764"/>
    <cellStyle name="40% - Accent6 4 4" xfId="765"/>
    <cellStyle name="40% - Accent6 5" xfId="766"/>
    <cellStyle name="40% - Accent6 5 2" xfId="767"/>
    <cellStyle name="40% - Accent6 5 2 2" xfId="768"/>
    <cellStyle name="40% - Accent6 5 2 3" xfId="769"/>
    <cellStyle name="40% - Accent6 5 3" xfId="770"/>
    <cellStyle name="40% - Accent6 5 4" xfId="771"/>
    <cellStyle name="40% - Accent6 6" xfId="772"/>
    <cellStyle name="40% - Accent6 6 2" xfId="773"/>
    <cellStyle name="40% - Accent6 6 2 2" xfId="774"/>
    <cellStyle name="40% - Accent6 6 2 3" xfId="775"/>
    <cellStyle name="40% - Accent6 6 3" xfId="776"/>
    <cellStyle name="40% - Accent6 6 4" xfId="777"/>
    <cellStyle name="40% - Accent6 7" xfId="778"/>
    <cellStyle name="40% - Accent6 7 2" xfId="779"/>
    <cellStyle name="40% - Accent6 7 3" xfId="780"/>
    <cellStyle name="60% - Accent1 2" xfId="781"/>
    <cellStyle name="60% - Accent2 2" xfId="782"/>
    <cellStyle name="60% - Accent3 2" xfId="783"/>
    <cellStyle name="60% - Accent4 2" xfId="784"/>
    <cellStyle name="60% - Accent5 2" xfId="785"/>
    <cellStyle name="60% - Accent6 2" xfId="786"/>
    <cellStyle name="Accent1 2" xfId="787"/>
    <cellStyle name="Accent2 2" xfId="788"/>
    <cellStyle name="Accent3 2" xfId="789"/>
    <cellStyle name="Accent4 2" xfId="790"/>
    <cellStyle name="Accent5 2" xfId="791"/>
    <cellStyle name="Accent6 2" xfId="792"/>
    <cellStyle name="Åë" xfId="793"/>
    <cellStyle name="Åëè­ [" xfId="794"/>
    <cellStyle name="ANCLAS,REZONES Y SUS PARTES,DE FUNDICION,DE HIERRO O DE ACERO" xfId="7343"/>
    <cellStyle name="Äþ" xfId="795"/>
    <cellStyle name="Äþ¸¶ [" xfId="796"/>
    <cellStyle name="Bad 2" xfId="797"/>
    <cellStyle name="Binlik Ayracı_2-1A-dev" xfId="798"/>
    <cellStyle name="Ç¥" xfId="799"/>
    <cellStyle name="C01_Main head" xfId="800"/>
    <cellStyle name="C02_Column heads" xfId="801"/>
    <cellStyle name="C03_Sub head bold" xfId="802"/>
    <cellStyle name="C03a_Sub head" xfId="803"/>
    <cellStyle name="C04_Total text white bold" xfId="804"/>
    <cellStyle name="C04a_Total text black" xfId="805"/>
    <cellStyle name="C05_Main text" xfId="806"/>
    <cellStyle name="C06_Figs" xfId="807"/>
    <cellStyle name="C07_Figs 1 dec percent" xfId="808"/>
    <cellStyle name="C07a_Figs 1 dec percent white" xfId="809"/>
    <cellStyle name="C08_Figs 1 decimal" xfId="810"/>
    <cellStyle name="C09_Notes" xfId="811"/>
    <cellStyle name="C10_Figs 2 decimal" xfId="812"/>
    <cellStyle name="Calculation 2" xfId="813"/>
    <cellStyle name="Check Cell 2" xfId="814"/>
    <cellStyle name="clsAltRowHeader" xfId="815"/>
    <cellStyle name="clsRowHeader" xfId="816"/>
    <cellStyle name="Comma" xfId="4" builtinId="3"/>
    <cellStyle name="Comma [0] 2" xfId="817"/>
    <cellStyle name="Comma [0] 3" xfId="818"/>
    <cellStyle name="Comma [0] 4" xfId="7344"/>
    <cellStyle name="Comma 16" xfId="819"/>
    <cellStyle name="Comma 2" xfId="820"/>
    <cellStyle name="Comma 2 10" xfId="821"/>
    <cellStyle name="Comma 2 10 2" xfId="822"/>
    <cellStyle name="Comma 2 10 2 2" xfId="823"/>
    <cellStyle name="Comma 2 10 2 2 2" xfId="824"/>
    <cellStyle name="Comma 2 10 2 2 3" xfId="825"/>
    <cellStyle name="Comma 2 10 2 3" xfId="826"/>
    <cellStyle name="Comma 2 10 2 4" xfId="827"/>
    <cellStyle name="Comma 2 10 3" xfId="828"/>
    <cellStyle name="Comma 2 10 3 2" xfId="829"/>
    <cellStyle name="Comma 2 10 3 2 2" xfId="830"/>
    <cellStyle name="Comma 2 10 3 2 3" xfId="831"/>
    <cellStyle name="Comma 2 10 3 3" xfId="832"/>
    <cellStyle name="Comma 2 10 3 4" xfId="833"/>
    <cellStyle name="Comma 2 10 4" xfId="834"/>
    <cellStyle name="Comma 2 10 4 2" xfId="835"/>
    <cellStyle name="Comma 2 10 4 2 2" xfId="836"/>
    <cellStyle name="Comma 2 10 4 2 3" xfId="837"/>
    <cellStyle name="Comma 2 10 4 3" xfId="838"/>
    <cellStyle name="Comma 2 10 4 4" xfId="839"/>
    <cellStyle name="Comma 2 10 5" xfId="840"/>
    <cellStyle name="Comma 2 10 5 2" xfId="841"/>
    <cellStyle name="Comma 2 10 5 2 2" xfId="842"/>
    <cellStyle name="Comma 2 10 5 2 3" xfId="843"/>
    <cellStyle name="Comma 2 10 5 3" xfId="844"/>
    <cellStyle name="Comma 2 10 5 4" xfId="845"/>
    <cellStyle name="Comma 2 10 6" xfId="846"/>
    <cellStyle name="Comma 2 10 6 2" xfId="847"/>
    <cellStyle name="Comma 2 10 6 3" xfId="848"/>
    <cellStyle name="Comma 2 10 7" xfId="849"/>
    <cellStyle name="Comma 2 10 8" xfId="850"/>
    <cellStyle name="Comma 2 11" xfId="851"/>
    <cellStyle name="Comma 2 11 2" xfId="852"/>
    <cellStyle name="Comma 2 11 2 2" xfId="853"/>
    <cellStyle name="Comma 2 11 2 2 2" xfId="854"/>
    <cellStyle name="Comma 2 11 2 2 3" xfId="855"/>
    <cellStyle name="Comma 2 11 2 3" xfId="856"/>
    <cellStyle name="Comma 2 11 2 4" xfId="857"/>
    <cellStyle name="Comma 2 11 3" xfId="858"/>
    <cellStyle name="Comma 2 11 3 2" xfId="859"/>
    <cellStyle name="Comma 2 11 3 2 2" xfId="860"/>
    <cellStyle name="Comma 2 11 3 2 3" xfId="861"/>
    <cellStyle name="Comma 2 11 3 3" xfId="862"/>
    <cellStyle name="Comma 2 11 3 4" xfId="863"/>
    <cellStyle name="Comma 2 11 4" xfId="864"/>
    <cellStyle name="Comma 2 11 4 2" xfId="865"/>
    <cellStyle name="Comma 2 11 4 2 2" xfId="866"/>
    <cellStyle name="Comma 2 11 4 2 3" xfId="867"/>
    <cellStyle name="Comma 2 11 4 3" xfId="868"/>
    <cellStyle name="Comma 2 11 4 4" xfId="869"/>
    <cellStyle name="Comma 2 11 5" xfId="870"/>
    <cellStyle name="Comma 2 11 5 2" xfId="871"/>
    <cellStyle name="Comma 2 11 5 2 2" xfId="872"/>
    <cellStyle name="Comma 2 11 5 2 3" xfId="873"/>
    <cellStyle name="Comma 2 11 5 3" xfId="874"/>
    <cellStyle name="Comma 2 11 5 4" xfId="875"/>
    <cellStyle name="Comma 2 11 6" xfId="876"/>
    <cellStyle name="Comma 2 11 6 2" xfId="877"/>
    <cellStyle name="Comma 2 11 6 3" xfId="878"/>
    <cellStyle name="Comma 2 11 7" xfId="879"/>
    <cellStyle name="Comma 2 11 8" xfId="880"/>
    <cellStyle name="Comma 2 12" xfId="881"/>
    <cellStyle name="Comma 2 12 2" xfId="882"/>
    <cellStyle name="Comma 2 12 2 2" xfId="883"/>
    <cellStyle name="Comma 2 12 2 2 2" xfId="884"/>
    <cellStyle name="Comma 2 12 2 2 3" xfId="885"/>
    <cellStyle name="Comma 2 12 2 3" xfId="886"/>
    <cellStyle name="Comma 2 12 2 4" xfId="887"/>
    <cellStyle name="Comma 2 12 3" xfId="888"/>
    <cellStyle name="Comma 2 12 3 2" xfId="889"/>
    <cellStyle name="Comma 2 12 3 2 2" xfId="890"/>
    <cellStyle name="Comma 2 12 3 2 3" xfId="891"/>
    <cellStyle name="Comma 2 12 3 3" xfId="892"/>
    <cellStyle name="Comma 2 12 3 4" xfId="893"/>
    <cellStyle name="Comma 2 12 4" xfId="894"/>
    <cellStyle name="Comma 2 12 4 2" xfId="895"/>
    <cellStyle name="Comma 2 12 4 2 2" xfId="896"/>
    <cellStyle name="Comma 2 12 4 2 3" xfId="897"/>
    <cellStyle name="Comma 2 12 4 3" xfId="898"/>
    <cellStyle name="Comma 2 12 4 4" xfId="899"/>
    <cellStyle name="Comma 2 12 5" xfId="900"/>
    <cellStyle name="Comma 2 12 5 2" xfId="901"/>
    <cellStyle name="Comma 2 12 5 2 2" xfId="902"/>
    <cellStyle name="Comma 2 12 5 2 3" xfId="903"/>
    <cellStyle name="Comma 2 12 5 3" xfId="904"/>
    <cellStyle name="Comma 2 12 5 4" xfId="905"/>
    <cellStyle name="Comma 2 12 6" xfId="906"/>
    <cellStyle name="Comma 2 12 6 2" xfId="907"/>
    <cellStyle name="Comma 2 12 6 3" xfId="908"/>
    <cellStyle name="Comma 2 12 7" xfId="909"/>
    <cellStyle name="Comma 2 12 8" xfId="910"/>
    <cellStyle name="Comma 2 13" xfId="911"/>
    <cellStyle name="Comma 2 13 2" xfId="912"/>
    <cellStyle name="Comma 2 13 2 2" xfId="913"/>
    <cellStyle name="Comma 2 13 2 2 2" xfId="914"/>
    <cellStyle name="Comma 2 13 2 2 3" xfId="915"/>
    <cellStyle name="Comma 2 13 2 3" xfId="916"/>
    <cellStyle name="Comma 2 13 2 4" xfId="917"/>
    <cellStyle name="Comma 2 13 3" xfId="918"/>
    <cellStyle name="Comma 2 13 3 2" xfId="919"/>
    <cellStyle name="Comma 2 13 3 2 2" xfId="920"/>
    <cellStyle name="Comma 2 13 3 2 3" xfId="921"/>
    <cellStyle name="Comma 2 13 3 3" xfId="922"/>
    <cellStyle name="Comma 2 13 3 4" xfId="923"/>
    <cellStyle name="Comma 2 13 4" xfId="924"/>
    <cellStyle name="Comma 2 13 4 2" xfId="925"/>
    <cellStyle name="Comma 2 13 4 2 2" xfId="926"/>
    <cellStyle name="Comma 2 13 4 2 3" xfId="927"/>
    <cellStyle name="Comma 2 13 4 3" xfId="928"/>
    <cellStyle name="Comma 2 13 4 4" xfId="929"/>
    <cellStyle name="Comma 2 13 5" xfId="930"/>
    <cellStyle name="Comma 2 13 5 2" xfId="931"/>
    <cellStyle name="Comma 2 13 5 2 2" xfId="932"/>
    <cellStyle name="Comma 2 13 5 2 3" xfId="933"/>
    <cellStyle name="Comma 2 13 5 3" xfId="934"/>
    <cellStyle name="Comma 2 13 5 4" xfId="935"/>
    <cellStyle name="Comma 2 13 6" xfId="936"/>
    <cellStyle name="Comma 2 13 6 2" xfId="937"/>
    <cellStyle name="Comma 2 13 6 3" xfId="938"/>
    <cellStyle name="Comma 2 13 7" xfId="939"/>
    <cellStyle name="Comma 2 13 8" xfId="940"/>
    <cellStyle name="Comma 2 14" xfId="941"/>
    <cellStyle name="Comma 2 15" xfId="942"/>
    <cellStyle name="Comma 2 16" xfId="943"/>
    <cellStyle name="Comma 2 17" xfId="944"/>
    <cellStyle name="Comma 2 18" xfId="945"/>
    <cellStyle name="Comma 2 19" xfId="946"/>
    <cellStyle name="Comma 2 2" xfId="947"/>
    <cellStyle name="Comma 2 2 10" xfId="948"/>
    <cellStyle name="Comma 2 2 10 2" xfId="8759"/>
    <cellStyle name="Comma 2 2 10 2 2" xfId="8760"/>
    <cellStyle name="Comma 2 2 10 2 2 2" xfId="8761"/>
    <cellStyle name="Comma 2 2 10 2 2 2 2" xfId="8762"/>
    <cellStyle name="Comma 2 2 10 2 2 2 3" xfId="8763"/>
    <cellStyle name="Comma 2 2 10 2 2 2 4" xfId="8764"/>
    <cellStyle name="Comma 2 2 10 2 2 2 5" xfId="8765"/>
    <cellStyle name="Comma 2 2 10 2 2 2 6" xfId="8766"/>
    <cellStyle name="Comma 2 2 10 2 2 3" xfId="8767"/>
    <cellStyle name="Comma 2 2 10 2 2 4" xfId="8768"/>
    <cellStyle name="Comma 2 2 10 2 2 5" xfId="8769"/>
    <cellStyle name="Comma 2 2 10 2 2 6" xfId="8770"/>
    <cellStyle name="Comma 2 2 10 2 3" xfId="8771"/>
    <cellStyle name="Comma 2 2 10 2 4" xfId="8772"/>
    <cellStyle name="Comma 2 2 10 2 5" xfId="8773"/>
    <cellStyle name="Comma 2 2 10 2 6" xfId="8774"/>
    <cellStyle name="Comma 2 2 10 2 7" xfId="8775"/>
    <cellStyle name="Comma 2 2 10 3" xfId="8776"/>
    <cellStyle name="Comma 2 2 10 4" xfId="8777"/>
    <cellStyle name="Comma 2 2 10 4 2" xfId="8778"/>
    <cellStyle name="Comma 2 2 10 4 3" xfId="8779"/>
    <cellStyle name="Comma 2 2 10 4 4" xfId="8780"/>
    <cellStyle name="Comma 2 2 10 4 5" xfId="8781"/>
    <cellStyle name="Comma 2 2 10 4 6" xfId="8782"/>
    <cellStyle name="Comma 2 2 10 5" xfId="8783"/>
    <cellStyle name="Comma 2 2 10 6" xfId="8784"/>
    <cellStyle name="Comma 2 2 10 7" xfId="8785"/>
    <cellStyle name="Comma 2 2 10 8" xfId="8786"/>
    <cellStyle name="Comma 2 2 100" xfId="8787"/>
    <cellStyle name="Comma 2 2 101" xfId="8788"/>
    <cellStyle name="Comma 2 2 102" xfId="8789"/>
    <cellStyle name="Comma 2 2 103" xfId="8790"/>
    <cellStyle name="Comma 2 2 104" xfId="8791"/>
    <cellStyle name="Comma 2 2 105" xfId="8792"/>
    <cellStyle name="Comma 2 2 106" xfId="8793"/>
    <cellStyle name="Comma 2 2 107" xfId="8794"/>
    <cellStyle name="Comma 2 2 108" xfId="8795"/>
    <cellStyle name="Comma 2 2 109" xfId="8796"/>
    <cellStyle name="Comma 2 2 11" xfId="949"/>
    <cellStyle name="Comma 2 2 110" xfId="8797"/>
    <cellStyle name="Comma 2 2 111" xfId="8798"/>
    <cellStyle name="Comma 2 2 112" xfId="8799"/>
    <cellStyle name="Comma 2 2 113" xfId="8800"/>
    <cellStyle name="Comma 2 2 114" xfId="8801"/>
    <cellStyle name="Comma 2 2 115" xfId="8802"/>
    <cellStyle name="Comma 2 2 116" xfId="8803"/>
    <cellStyle name="Comma 2 2 117" xfId="8804"/>
    <cellStyle name="Comma 2 2 118" xfId="8805"/>
    <cellStyle name="Comma 2 2 12" xfId="950"/>
    <cellStyle name="Comma 2 2 13" xfId="951"/>
    <cellStyle name="Comma 2 2 14" xfId="952"/>
    <cellStyle name="Comma 2 2 15" xfId="953"/>
    <cellStyle name="Comma 2 2 15 2" xfId="954"/>
    <cellStyle name="Comma 2 2 15 3" xfId="955"/>
    <cellStyle name="Comma 2 2 16" xfId="956"/>
    <cellStyle name="Comma 2 2 16 2" xfId="957"/>
    <cellStyle name="Comma 2 2 16 2 2" xfId="8806"/>
    <cellStyle name="Comma 2 2 16 2 2 2" xfId="8807"/>
    <cellStyle name="Comma 2 2 16 2 2 3" xfId="8808"/>
    <cellStyle name="Comma 2 2 16 2 2 4" xfId="8809"/>
    <cellStyle name="Comma 2 2 16 2 2 5" xfId="8810"/>
    <cellStyle name="Comma 2 2 16 2 2 6" xfId="8811"/>
    <cellStyle name="Comma 2 2 16 2 3" xfId="8812"/>
    <cellStyle name="Comma 2 2 16 2 4" xfId="8813"/>
    <cellStyle name="Comma 2 2 16 2 5" xfId="8814"/>
    <cellStyle name="Comma 2 2 16 2 6" xfId="8815"/>
    <cellStyle name="Comma 2 2 16 3" xfId="958"/>
    <cellStyle name="Comma 2 2 16 4" xfId="8816"/>
    <cellStyle name="Comma 2 2 16 5" xfId="8817"/>
    <cellStyle name="Comma 2 2 16 6" xfId="8818"/>
    <cellStyle name="Comma 2 2 16 7" xfId="8819"/>
    <cellStyle name="Comma 2 2 17" xfId="959"/>
    <cellStyle name="Comma 2 2 17 2" xfId="960"/>
    <cellStyle name="Comma 2 2 17 3" xfId="961"/>
    <cellStyle name="Comma 2 2 17 4" xfId="8820"/>
    <cellStyle name="Comma 2 2 17 5" xfId="8821"/>
    <cellStyle name="Comma 2 2 17 6" xfId="8822"/>
    <cellStyle name="Comma 2 2 18" xfId="962"/>
    <cellStyle name="Comma 2 2 18 2" xfId="963"/>
    <cellStyle name="Comma 2 2 18 3" xfId="964"/>
    <cellStyle name="Comma 2 2 19" xfId="965"/>
    <cellStyle name="Comma 2 2 19 2" xfId="966"/>
    <cellStyle name="Comma 2 2 19 3" xfId="967"/>
    <cellStyle name="Comma 2 2 2" xfId="968"/>
    <cellStyle name="Comma 2 2 2 10" xfId="969"/>
    <cellStyle name="Comma 2 2 2 10 2" xfId="970"/>
    <cellStyle name="Comma 2 2 2 10 2 2" xfId="971"/>
    <cellStyle name="Comma 2 2 2 10 2 2 2" xfId="972"/>
    <cellStyle name="Comma 2 2 2 10 2 2 3" xfId="973"/>
    <cellStyle name="Comma 2 2 2 10 2 3" xfId="974"/>
    <cellStyle name="Comma 2 2 2 10 2 4" xfId="975"/>
    <cellStyle name="Comma 2 2 2 10 3" xfId="976"/>
    <cellStyle name="Comma 2 2 2 10 3 2" xfId="977"/>
    <cellStyle name="Comma 2 2 2 10 3 2 2" xfId="978"/>
    <cellStyle name="Comma 2 2 2 10 3 2 3" xfId="979"/>
    <cellStyle name="Comma 2 2 2 10 3 3" xfId="980"/>
    <cellStyle name="Comma 2 2 2 10 3 4" xfId="981"/>
    <cellStyle name="Comma 2 2 2 10 4" xfId="982"/>
    <cellStyle name="Comma 2 2 2 10 4 2" xfId="983"/>
    <cellStyle name="Comma 2 2 2 10 4 2 2" xfId="984"/>
    <cellStyle name="Comma 2 2 2 10 4 2 3" xfId="985"/>
    <cellStyle name="Comma 2 2 2 10 4 3" xfId="986"/>
    <cellStyle name="Comma 2 2 2 10 4 4" xfId="987"/>
    <cellStyle name="Comma 2 2 2 10 5" xfId="988"/>
    <cellStyle name="Comma 2 2 2 10 5 2" xfId="989"/>
    <cellStyle name="Comma 2 2 2 10 5 2 2" xfId="990"/>
    <cellStyle name="Comma 2 2 2 10 5 2 3" xfId="991"/>
    <cellStyle name="Comma 2 2 2 10 5 3" xfId="992"/>
    <cellStyle name="Comma 2 2 2 10 5 4" xfId="993"/>
    <cellStyle name="Comma 2 2 2 10 6" xfId="994"/>
    <cellStyle name="Comma 2 2 2 10 6 2" xfId="995"/>
    <cellStyle name="Comma 2 2 2 10 6 3" xfId="996"/>
    <cellStyle name="Comma 2 2 2 10 7" xfId="997"/>
    <cellStyle name="Comma 2 2 2 10 8" xfId="998"/>
    <cellStyle name="Comma 2 2 2 11" xfId="999"/>
    <cellStyle name="Comma 2 2 2 11 2" xfId="1000"/>
    <cellStyle name="Comma 2 2 2 11 2 2" xfId="1001"/>
    <cellStyle name="Comma 2 2 2 11 2 2 2" xfId="1002"/>
    <cellStyle name="Comma 2 2 2 11 2 2 3" xfId="1003"/>
    <cellStyle name="Comma 2 2 2 11 2 3" xfId="1004"/>
    <cellStyle name="Comma 2 2 2 11 2 4" xfId="1005"/>
    <cellStyle name="Comma 2 2 2 11 3" xfId="1006"/>
    <cellStyle name="Comma 2 2 2 11 3 2" xfId="1007"/>
    <cellStyle name="Comma 2 2 2 11 3 2 2" xfId="1008"/>
    <cellStyle name="Comma 2 2 2 11 3 2 3" xfId="1009"/>
    <cellStyle name="Comma 2 2 2 11 3 3" xfId="1010"/>
    <cellStyle name="Comma 2 2 2 11 3 4" xfId="1011"/>
    <cellStyle name="Comma 2 2 2 11 4" xfId="1012"/>
    <cellStyle name="Comma 2 2 2 11 4 2" xfId="1013"/>
    <cellStyle name="Comma 2 2 2 11 4 2 2" xfId="1014"/>
    <cellStyle name="Comma 2 2 2 11 4 2 3" xfId="1015"/>
    <cellStyle name="Comma 2 2 2 11 4 3" xfId="1016"/>
    <cellStyle name="Comma 2 2 2 11 4 4" xfId="1017"/>
    <cellStyle name="Comma 2 2 2 11 5" xfId="1018"/>
    <cellStyle name="Comma 2 2 2 11 5 2" xfId="1019"/>
    <cellStyle name="Comma 2 2 2 11 5 2 2" xfId="1020"/>
    <cellStyle name="Comma 2 2 2 11 5 2 3" xfId="1021"/>
    <cellStyle name="Comma 2 2 2 11 5 3" xfId="1022"/>
    <cellStyle name="Comma 2 2 2 11 5 4" xfId="1023"/>
    <cellStyle name="Comma 2 2 2 11 6" xfId="1024"/>
    <cellStyle name="Comma 2 2 2 11 6 2" xfId="1025"/>
    <cellStyle name="Comma 2 2 2 11 6 3" xfId="1026"/>
    <cellStyle name="Comma 2 2 2 11 7" xfId="1027"/>
    <cellStyle name="Comma 2 2 2 11 8" xfId="1028"/>
    <cellStyle name="Comma 2 2 2 12" xfId="1029"/>
    <cellStyle name="Comma 2 2 2 12 2" xfId="1030"/>
    <cellStyle name="Comma 2 2 2 12 2 2" xfId="1031"/>
    <cellStyle name="Comma 2 2 2 12 2 2 2" xfId="1032"/>
    <cellStyle name="Comma 2 2 2 12 2 2 3" xfId="1033"/>
    <cellStyle name="Comma 2 2 2 12 2 3" xfId="1034"/>
    <cellStyle name="Comma 2 2 2 12 2 4" xfId="1035"/>
    <cellStyle name="Comma 2 2 2 12 3" xfId="1036"/>
    <cellStyle name="Comma 2 2 2 12 3 2" xfId="1037"/>
    <cellStyle name="Comma 2 2 2 12 3 2 2" xfId="1038"/>
    <cellStyle name="Comma 2 2 2 12 3 2 3" xfId="1039"/>
    <cellStyle name="Comma 2 2 2 12 3 3" xfId="1040"/>
    <cellStyle name="Comma 2 2 2 12 3 4" xfId="1041"/>
    <cellStyle name="Comma 2 2 2 12 4" xfId="1042"/>
    <cellStyle name="Comma 2 2 2 12 4 2" xfId="1043"/>
    <cellStyle name="Comma 2 2 2 12 4 2 2" xfId="1044"/>
    <cellStyle name="Comma 2 2 2 12 4 2 3" xfId="1045"/>
    <cellStyle name="Comma 2 2 2 12 4 3" xfId="1046"/>
    <cellStyle name="Comma 2 2 2 12 4 4" xfId="1047"/>
    <cellStyle name="Comma 2 2 2 12 5" xfId="1048"/>
    <cellStyle name="Comma 2 2 2 12 5 2" xfId="1049"/>
    <cellStyle name="Comma 2 2 2 12 5 2 2" xfId="1050"/>
    <cellStyle name="Comma 2 2 2 12 5 2 3" xfId="1051"/>
    <cellStyle name="Comma 2 2 2 12 5 3" xfId="1052"/>
    <cellStyle name="Comma 2 2 2 12 5 4" xfId="1053"/>
    <cellStyle name="Comma 2 2 2 12 6" xfId="1054"/>
    <cellStyle name="Comma 2 2 2 12 6 2" xfId="1055"/>
    <cellStyle name="Comma 2 2 2 12 6 3" xfId="1056"/>
    <cellStyle name="Comma 2 2 2 12 7" xfId="1057"/>
    <cellStyle name="Comma 2 2 2 12 8" xfId="1058"/>
    <cellStyle name="Comma 2 2 2 13" xfId="1059"/>
    <cellStyle name="Comma 2 2 2 13 2" xfId="1060"/>
    <cellStyle name="Comma 2 2 2 13 2 2" xfId="1061"/>
    <cellStyle name="Comma 2 2 2 13 2 2 2" xfId="1062"/>
    <cellStyle name="Comma 2 2 2 13 2 2 3" xfId="1063"/>
    <cellStyle name="Comma 2 2 2 13 2 3" xfId="1064"/>
    <cellStyle name="Comma 2 2 2 13 2 4" xfId="1065"/>
    <cellStyle name="Comma 2 2 2 13 3" xfId="1066"/>
    <cellStyle name="Comma 2 2 2 13 3 2" xfId="1067"/>
    <cellStyle name="Comma 2 2 2 13 3 2 2" xfId="1068"/>
    <cellStyle name="Comma 2 2 2 13 3 2 3" xfId="1069"/>
    <cellStyle name="Comma 2 2 2 13 3 3" xfId="1070"/>
    <cellStyle name="Comma 2 2 2 13 3 4" xfId="1071"/>
    <cellStyle name="Comma 2 2 2 13 4" xfId="1072"/>
    <cellStyle name="Comma 2 2 2 13 4 2" xfId="1073"/>
    <cellStyle name="Comma 2 2 2 13 4 2 2" xfId="1074"/>
    <cellStyle name="Comma 2 2 2 13 4 2 3" xfId="1075"/>
    <cellStyle name="Comma 2 2 2 13 4 3" xfId="1076"/>
    <cellStyle name="Comma 2 2 2 13 4 4" xfId="1077"/>
    <cellStyle name="Comma 2 2 2 13 5" xfId="1078"/>
    <cellStyle name="Comma 2 2 2 13 5 2" xfId="1079"/>
    <cellStyle name="Comma 2 2 2 13 5 2 2" xfId="1080"/>
    <cellStyle name="Comma 2 2 2 13 5 2 3" xfId="1081"/>
    <cellStyle name="Comma 2 2 2 13 5 3" xfId="1082"/>
    <cellStyle name="Comma 2 2 2 13 5 4" xfId="1083"/>
    <cellStyle name="Comma 2 2 2 13 6" xfId="1084"/>
    <cellStyle name="Comma 2 2 2 13 6 2" xfId="1085"/>
    <cellStyle name="Comma 2 2 2 13 6 3" xfId="1086"/>
    <cellStyle name="Comma 2 2 2 13 7" xfId="1087"/>
    <cellStyle name="Comma 2 2 2 13 8" xfId="1088"/>
    <cellStyle name="Comma 2 2 2 14" xfId="1089"/>
    <cellStyle name="Comma 2 2 2 14 2" xfId="1090"/>
    <cellStyle name="Comma 2 2 2 14 2 2" xfId="1091"/>
    <cellStyle name="Comma 2 2 2 14 2 2 2" xfId="1092"/>
    <cellStyle name="Comma 2 2 2 14 2 2 3" xfId="1093"/>
    <cellStyle name="Comma 2 2 2 14 2 3" xfId="1094"/>
    <cellStyle name="Comma 2 2 2 14 2 4" xfId="1095"/>
    <cellStyle name="Comma 2 2 2 14 3" xfId="1096"/>
    <cellStyle name="Comma 2 2 2 14 3 2" xfId="1097"/>
    <cellStyle name="Comma 2 2 2 14 3 2 2" xfId="1098"/>
    <cellStyle name="Comma 2 2 2 14 3 2 3" xfId="1099"/>
    <cellStyle name="Comma 2 2 2 14 3 3" xfId="1100"/>
    <cellStyle name="Comma 2 2 2 14 3 4" xfId="1101"/>
    <cellStyle name="Comma 2 2 2 14 4" xfId="1102"/>
    <cellStyle name="Comma 2 2 2 14 4 2" xfId="1103"/>
    <cellStyle name="Comma 2 2 2 14 4 2 2" xfId="1104"/>
    <cellStyle name="Comma 2 2 2 14 4 2 3" xfId="1105"/>
    <cellStyle name="Comma 2 2 2 14 4 3" xfId="1106"/>
    <cellStyle name="Comma 2 2 2 14 4 4" xfId="1107"/>
    <cellStyle name="Comma 2 2 2 14 5" xfId="1108"/>
    <cellStyle name="Comma 2 2 2 14 5 2" xfId="1109"/>
    <cellStyle name="Comma 2 2 2 14 5 2 2" xfId="1110"/>
    <cellStyle name="Comma 2 2 2 14 5 2 3" xfId="1111"/>
    <cellStyle name="Comma 2 2 2 14 5 3" xfId="1112"/>
    <cellStyle name="Comma 2 2 2 14 5 4" xfId="1113"/>
    <cellStyle name="Comma 2 2 2 14 6" xfId="1114"/>
    <cellStyle name="Comma 2 2 2 14 6 2" xfId="1115"/>
    <cellStyle name="Comma 2 2 2 14 6 3" xfId="1116"/>
    <cellStyle name="Comma 2 2 2 14 7" xfId="1117"/>
    <cellStyle name="Comma 2 2 2 14 8" xfId="1118"/>
    <cellStyle name="Comma 2 2 2 15" xfId="1119"/>
    <cellStyle name="Comma 2 2 2 16" xfId="1120"/>
    <cellStyle name="Comma 2 2 2 17" xfId="1121"/>
    <cellStyle name="Comma 2 2 2 18" xfId="1122"/>
    <cellStyle name="Comma 2 2 2 19" xfId="1123"/>
    <cellStyle name="Comma 2 2 2 2" xfId="1124"/>
    <cellStyle name="Comma 2 2 2 2 10" xfId="1125"/>
    <cellStyle name="Comma 2 2 2 2 10 2" xfId="1126"/>
    <cellStyle name="Comma 2 2 2 2 10 3" xfId="1127"/>
    <cellStyle name="Comma 2 2 2 2 11" xfId="1128"/>
    <cellStyle name="Comma 2 2 2 2 11 2" xfId="1129"/>
    <cellStyle name="Comma 2 2 2 2 11 3" xfId="1130"/>
    <cellStyle name="Comma 2 2 2 2 12" xfId="1131"/>
    <cellStyle name="Comma 2 2 2 2 13" xfId="1132"/>
    <cellStyle name="Comma 2 2 2 2 2" xfId="1133"/>
    <cellStyle name="Comma 2 2 2 2 2 2" xfId="1134"/>
    <cellStyle name="Comma 2 2 2 2 2 2 2" xfId="1135"/>
    <cellStyle name="Comma 2 2 2 2 2 2 2 2" xfId="1136"/>
    <cellStyle name="Comma 2 2 2 2 2 2 2 3" xfId="1137"/>
    <cellStyle name="Comma 2 2 2 2 2 2 3" xfId="1138"/>
    <cellStyle name="Comma 2 2 2 2 2 2 4" xfId="1139"/>
    <cellStyle name="Comma 2 2 2 2 2 3" xfId="1140"/>
    <cellStyle name="Comma 2 2 2 2 2 3 2" xfId="1141"/>
    <cellStyle name="Comma 2 2 2 2 2 3 2 2" xfId="1142"/>
    <cellStyle name="Comma 2 2 2 2 2 3 2 3" xfId="1143"/>
    <cellStyle name="Comma 2 2 2 2 2 3 3" xfId="1144"/>
    <cellStyle name="Comma 2 2 2 2 2 3 4" xfId="1145"/>
    <cellStyle name="Comma 2 2 2 2 2 4" xfId="1146"/>
    <cellStyle name="Comma 2 2 2 2 2 4 2" xfId="1147"/>
    <cellStyle name="Comma 2 2 2 2 2 4 2 2" xfId="1148"/>
    <cellStyle name="Comma 2 2 2 2 2 4 2 3" xfId="1149"/>
    <cellStyle name="Comma 2 2 2 2 2 4 3" xfId="1150"/>
    <cellStyle name="Comma 2 2 2 2 2 4 4" xfId="1151"/>
    <cellStyle name="Comma 2 2 2 2 2 5" xfId="1152"/>
    <cellStyle name="Comma 2 2 2 2 2 5 2" xfId="1153"/>
    <cellStyle name="Comma 2 2 2 2 2 5 2 2" xfId="1154"/>
    <cellStyle name="Comma 2 2 2 2 2 5 2 3" xfId="1155"/>
    <cellStyle name="Comma 2 2 2 2 2 5 3" xfId="1156"/>
    <cellStyle name="Comma 2 2 2 2 2 5 4" xfId="1157"/>
    <cellStyle name="Comma 2 2 2 2 2 6" xfId="1158"/>
    <cellStyle name="Comma 2 2 2 2 2 6 2" xfId="1159"/>
    <cellStyle name="Comma 2 2 2 2 2 6 3" xfId="1160"/>
    <cellStyle name="Comma 2 2 2 2 2 7" xfId="1161"/>
    <cellStyle name="Comma 2 2 2 2 2 8" xfId="1162"/>
    <cellStyle name="Comma 2 2 2 2 3" xfId="1163"/>
    <cellStyle name="Comma 2 2 2 2 3 2" xfId="1164"/>
    <cellStyle name="Comma 2 2 2 2 3 2 2" xfId="1165"/>
    <cellStyle name="Comma 2 2 2 2 3 2 2 2" xfId="1166"/>
    <cellStyle name="Comma 2 2 2 2 3 2 2 3" xfId="1167"/>
    <cellStyle name="Comma 2 2 2 2 3 2 3" xfId="1168"/>
    <cellStyle name="Comma 2 2 2 2 3 2 4" xfId="1169"/>
    <cellStyle name="Comma 2 2 2 2 3 3" xfId="1170"/>
    <cellStyle name="Comma 2 2 2 2 3 3 2" xfId="1171"/>
    <cellStyle name="Comma 2 2 2 2 3 3 2 2" xfId="1172"/>
    <cellStyle name="Comma 2 2 2 2 3 3 2 3" xfId="1173"/>
    <cellStyle name="Comma 2 2 2 2 3 3 3" xfId="1174"/>
    <cellStyle name="Comma 2 2 2 2 3 3 4" xfId="1175"/>
    <cellStyle name="Comma 2 2 2 2 3 4" xfId="1176"/>
    <cellStyle name="Comma 2 2 2 2 3 4 2" xfId="1177"/>
    <cellStyle name="Comma 2 2 2 2 3 4 2 2" xfId="1178"/>
    <cellStyle name="Comma 2 2 2 2 3 4 2 3" xfId="1179"/>
    <cellStyle name="Comma 2 2 2 2 3 4 3" xfId="1180"/>
    <cellStyle name="Comma 2 2 2 2 3 4 4" xfId="1181"/>
    <cellStyle name="Comma 2 2 2 2 3 5" xfId="1182"/>
    <cellStyle name="Comma 2 2 2 2 3 5 2" xfId="1183"/>
    <cellStyle name="Comma 2 2 2 2 3 5 2 2" xfId="1184"/>
    <cellStyle name="Comma 2 2 2 2 3 5 2 3" xfId="1185"/>
    <cellStyle name="Comma 2 2 2 2 3 5 3" xfId="1186"/>
    <cellStyle name="Comma 2 2 2 2 3 5 4" xfId="1187"/>
    <cellStyle name="Comma 2 2 2 2 3 6" xfId="1188"/>
    <cellStyle name="Comma 2 2 2 2 3 6 2" xfId="1189"/>
    <cellStyle name="Comma 2 2 2 2 3 6 3" xfId="1190"/>
    <cellStyle name="Comma 2 2 2 2 3 7" xfId="1191"/>
    <cellStyle name="Comma 2 2 2 2 3 8" xfId="1192"/>
    <cellStyle name="Comma 2 2 2 2 4" xfId="1193"/>
    <cellStyle name="Comma 2 2 2 2 4 2" xfId="1194"/>
    <cellStyle name="Comma 2 2 2 2 4 2 2" xfId="1195"/>
    <cellStyle name="Comma 2 2 2 2 4 2 2 2" xfId="1196"/>
    <cellStyle name="Comma 2 2 2 2 4 2 2 3" xfId="1197"/>
    <cellStyle name="Comma 2 2 2 2 4 2 3" xfId="1198"/>
    <cellStyle name="Comma 2 2 2 2 4 2 4" xfId="1199"/>
    <cellStyle name="Comma 2 2 2 2 4 3" xfId="1200"/>
    <cellStyle name="Comma 2 2 2 2 4 3 2" xfId="1201"/>
    <cellStyle name="Comma 2 2 2 2 4 3 2 2" xfId="1202"/>
    <cellStyle name="Comma 2 2 2 2 4 3 2 3" xfId="1203"/>
    <cellStyle name="Comma 2 2 2 2 4 3 3" xfId="1204"/>
    <cellStyle name="Comma 2 2 2 2 4 3 4" xfId="1205"/>
    <cellStyle name="Comma 2 2 2 2 4 4" xfId="1206"/>
    <cellStyle name="Comma 2 2 2 2 4 4 2" xfId="1207"/>
    <cellStyle name="Comma 2 2 2 2 4 4 2 2" xfId="1208"/>
    <cellStyle name="Comma 2 2 2 2 4 4 2 3" xfId="1209"/>
    <cellStyle name="Comma 2 2 2 2 4 4 3" xfId="1210"/>
    <cellStyle name="Comma 2 2 2 2 4 4 4" xfId="1211"/>
    <cellStyle name="Comma 2 2 2 2 4 5" xfId="1212"/>
    <cellStyle name="Comma 2 2 2 2 4 5 2" xfId="1213"/>
    <cellStyle name="Comma 2 2 2 2 4 5 2 2" xfId="1214"/>
    <cellStyle name="Comma 2 2 2 2 4 5 2 3" xfId="1215"/>
    <cellStyle name="Comma 2 2 2 2 4 5 3" xfId="1216"/>
    <cellStyle name="Comma 2 2 2 2 4 5 4" xfId="1217"/>
    <cellStyle name="Comma 2 2 2 2 4 6" xfId="1218"/>
    <cellStyle name="Comma 2 2 2 2 4 6 2" xfId="1219"/>
    <cellStyle name="Comma 2 2 2 2 4 6 3" xfId="1220"/>
    <cellStyle name="Comma 2 2 2 2 4 7" xfId="1221"/>
    <cellStyle name="Comma 2 2 2 2 4 8" xfId="1222"/>
    <cellStyle name="Comma 2 2 2 2 5" xfId="1223"/>
    <cellStyle name="Comma 2 2 2 2 5 2" xfId="1224"/>
    <cellStyle name="Comma 2 2 2 2 5 2 2" xfId="1225"/>
    <cellStyle name="Comma 2 2 2 2 5 2 2 2" xfId="1226"/>
    <cellStyle name="Comma 2 2 2 2 5 2 2 3" xfId="1227"/>
    <cellStyle name="Comma 2 2 2 2 5 2 3" xfId="1228"/>
    <cellStyle name="Comma 2 2 2 2 5 2 4" xfId="1229"/>
    <cellStyle name="Comma 2 2 2 2 5 3" xfId="1230"/>
    <cellStyle name="Comma 2 2 2 2 5 3 2" xfId="1231"/>
    <cellStyle name="Comma 2 2 2 2 5 3 2 2" xfId="1232"/>
    <cellStyle name="Comma 2 2 2 2 5 3 2 3" xfId="1233"/>
    <cellStyle name="Comma 2 2 2 2 5 3 3" xfId="1234"/>
    <cellStyle name="Comma 2 2 2 2 5 3 4" xfId="1235"/>
    <cellStyle name="Comma 2 2 2 2 5 4" xfId="1236"/>
    <cellStyle name="Comma 2 2 2 2 5 4 2" xfId="1237"/>
    <cellStyle name="Comma 2 2 2 2 5 4 2 2" xfId="1238"/>
    <cellStyle name="Comma 2 2 2 2 5 4 2 3" xfId="1239"/>
    <cellStyle name="Comma 2 2 2 2 5 4 3" xfId="1240"/>
    <cellStyle name="Comma 2 2 2 2 5 4 4" xfId="1241"/>
    <cellStyle name="Comma 2 2 2 2 5 5" xfId="1242"/>
    <cellStyle name="Comma 2 2 2 2 5 5 2" xfId="1243"/>
    <cellStyle name="Comma 2 2 2 2 5 5 2 2" xfId="1244"/>
    <cellStyle name="Comma 2 2 2 2 5 5 2 3" xfId="1245"/>
    <cellStyle name="Comma 2 2 2 2 5 5 3" xfId="1246"/>
    <cellStyle name="Comma 2 2 2 2 5 5 4" xfId="1247"/>
    <cellStyle name="Comma 2 2 2 2 5 6" xfId="1248"/>
    <cellStyle name="Comma 2 2 2 2 5 6 2" xfId="1249"/>
    <cellStyle name="Comma 2 2 2 2 5 6 3" xfId="1250"/>
    <cellStyle name="Comma 2 2 2 2 5 7" xfId="1251"/>
    <cellStyle name="Comma 2 2 2 2 5 8" xfId="1252"/>
    <cellStyle name="Comma 2 2 2 2 6" xfId="1253"/>
    <cellStyle name="Comma 2 2 2 2 6 2" xfId="1254"/>
    <cellStyle name="Comma 2 2 2 2 6 2 2" xfId="1255"/>
    <cellStyle name="Comma 2 2 2 2 6 2 2 2" xfId="1256"/>
    <cellStyle name="Comma 2 2 2 2 6 2 2 3" xfId="1257"/>
    <cellStyle name="Comma 2 2 2 2 6 2 3" xfId="1258"/>
    <cellStyle name="Comma 2 2 2 2 6 2 4" xfId="1259"/>
    <cellStyle name="Comma 2 2 2 2 6 3" xfId="1260"/>
    <cellStyle name="Comma 2 2 2 2 6 3 2" xfId="1261"/>
    <cellStyle name="Comma 2 2 2 2 6 3 2 2" xfId="1262"/>
    <cellStyle name="Comma 2 2 2 2 6 3 2 3" xfId="1263"/>
    <cellStyle name="Comma 2 2 2 2 6 3 3" xfId="1264"/>
    <cellStyle name="Comma 2 2 2 2 6 3 4" xfId="1265"/>
    <cellStyle name="Comma 2 2 2 2 6 4" xfId="1266"/>
    <cellStyle name="Comma 2 2 2 2 6 4 2" xfId="1267"/>
    <cellStyle name="Comma 2 2 2 2 6 4 2 2" xfId="1268"/>
    <cellStyle name="Comma 2 2 2 2 6 4 2 3" xfId="1269"/>
    <cellStyle name="Comma 2 2 2 2 6 4 3" xfId="1270"/>
    <cellStyle name="Comma 2 2 2 2 6 4 4" xfId="1271"/>
    <cellStyle name="Comma 2 2 2 2 6 5" xfId="1272"/>
    <cellStyle name="Comma 2 2 2 2 6 5 2" xfId="1273"/>
    <cellStyle name="Comma 2 2 2 2 6 5 2 2" xfId="1274"/>
    <cellStyle name="Comma 2 2 2 2 6 5 2 3" xfId="1275"/>
    <cellStyle name="Comma 2 2 2 2 6 5 3" xfId="1276"/>
    <cellStyle name="Comma 2 2 2 2 6 5 4" xfId="1277"/>
    <cellStyle name="Comma 2 2 2 2 6 6" xfId="1278"/>
    <cellStyle name="Comma 2 2 2 2 6 6 2" xfId="1279"/>
    <cellStyle name="Comma 2 2 2 2 6 6 3" xfId="1280"/>
    <cellStyle name="Comma 2 2 2 2 6 7" xfId="1281"/>
    <cellStyle name="Comma 2 2 2 2 6 8" xfId="1282"/>
    <cellStyle name="Comma 2 2 2 2 7" xfId="1283"/>
    <cellStyle name="Comma 2 2 2 2 7 2" xfId="1284"/>
    <cellStyle name="Comma 2 2 2 2 7 3" xfId="1285"/>
    <cellStyle name="Comma 2 2 2 2 8" xfId="1286"/>
    <cellStyle name="Comma 2 2 2 2 8 2" xfId="1287"/>
    <cellStyle name="Comma 2 2 2 2 8 3" xfId="1288"/>
    <cellStyle name="Comma 2 2 2 2 9" xfId="1289"/>
    <cellStyle name="Comma 2 2 2 2 9 2" xfId="1290"/>
    <cellStyle name="Comma 2 2 2 2 9 3" xfId="1291"/>
    <cellStyle name="Comma 2 2 2 20" xfId="1292"/>
    <cellStyle name="Comma 2 2 2 3" xfId="1293"/>
    <cellStyle name="Comma 2 2 2 3 2" xfId="1294"/>
    <cellStyle name="Comma 2 2 2 3 2 2" xfId="1295"/>
    <cellStyle name="Comma 2 2 2 3 2 2 2" xfId="1296"/>
    <cellStyle name="Comma 2 2 2 3 2 2 2 2" xfId="1297"/>
    <cellStyle name="Comma 2 2 2 3 2 2 2 3" xfId="1298"/>
    <cellStyle name="Comma 2 2 2 3 2 2 3" xfId="1299"/>
    <cellStyle name="Comma 2 2 2 3 2 2 4" xfId="1300"/>
    <cellStyle name="Comma 2 2 2 3 2 3" xfId="1301"/>
    <cellStyle name="Comma 2 2 2 3 2 3 2" xfId="1302"/>
    <cellStyle name="Comma 2 2 2 3 2 3 2 2" xfId="1303"/>
    <cellStyle name="Comma 2 2 2 3 2 3 2 3" xfId="1304"/>
    <cellStyle name="Comma 2 2 2 3 2 3 3" xfId="1305"/>
    <cellStyle name="Comma 2 2 2 3 2 3 4" xfId="1306"/>
    <cellStyle name="Comma 2 2 2 3 2 4" xfId="1307"/>
    <cellStyle name="Comma 2 2 2 3 2 4 2" xfId="1308"/>
    <cellStyle name="Comma 2 2 2 3 2 4 2 2" xfId="1309"/>
    <cellStyle name="Comma 2 2 2 3 2 4 2 3" xfId="1310"/>
    <cellStyle name="Comma 2 2 2 3 2 4 3" xfId="1311"/>
    <cellStyle name="Comma 2 2 2 3 2 4 4" xfId="1312"/>
    <cellStyle name="Comma 2 2 2 3 2 5" xfId="1313"/>
    <cellStyle name="Comma 2 2 2 3 2 5 2" xfId="1314"/>
    <cellStyle name="Comma 2 2 2 3 2 5 2 2" xfId="1315"/>
    <cellStyle name="Comma 2 2 2 3 2 5 2 3" xfId="1316"/>
    <cellStyle name="Comma 2 2 2 3 2 5 3" xfId="1317"/>
    <cellStyle name="Comma 2 2 2 3 2 5 4" xfId="1318"/>
    <cellStyle name="Comma 2 2 2 3 2 6" xfId="1319"/>
    <cellStyle name="Comma 2 2 2 3 2 6 2" xfId="1320"/>
    <cellStyle name="Comma 2 2 2 3 2 6 3" xfId="1321"/>
    <cellStyle name="Comma 2 2 2 3 2 7" xfId="1322"/>
    <cellStyle name="Comma 2 2 2 3 2 8" xfId="1323"/>
    <cellStyle name="Comma 2 2 2 3 3" xfId="1324"/>
    <cellStyle name="Comma 2 2 2 3 3 2" xfId="1325"/>
    <cellStyle name="Comma 2 2 2 3 3 2 2" xfId="1326"/>
    <cellStyle name="Comma 2 2 2 3 3 2 3" xfId="1327"/>
    <cellStyle name="Comma 2 2 2 3 3 3" xfId="1328"/>
    <cellStyle name="Comma 2 2 2 3 3 4" xfId="1329"/>
    <cellStyle name="Comma 2 2 2 3 4" xfId="1330"/>
    <cellStyle name="Comma 2 2 2 3 4 2" xfId="1331"/>
    <cellStyle name="Comma 2 2 2 3 4 2 2" xfId="1332"/>
    <cellStyle name="Comma 2 2 2 3 4 2 3" xfId="1333"/>
    <cellStyle name="Comma 2 2 2 3 4 3" xfId="1334"/>
    <cellStyle name="Comma 2 2 2 3 4 4" xfId="1335"/>
    <cellStyle name="Comma 2 2 2 3 5" xfId="1336"/>
    <cellStyle name="Comma 2 2 2 3 5 2" xfId="1337"/>
    <cellStyle name="Comma 2 2 2 3 5 2 2" xfId="1338"/>
    <cellStyle name="Comma 2 2 2 3 5 2 3" xfId="1339"/>
    <cellStyle name="Comma 2 2 2 3 5 3" xfId="1340"/>
    <cellStyle name="Comma 2 2 2 3 5 4" xfId="1341"/>
    <cellStyle name="Comma 2 2 2 3 6" xfId="1342"/>
    <cellStyle name="Comma 2 2 2 3 6 2" xfId="1343"/>
    <cellStyle name="Comma 2 2 2 3 6 2 2" xfId="1344"/>
    <cellStyle name="Comma 2 2 2 3 6 2 3" xfId="1345"/>
    <cellStyle name="Comma 2 2 2 3 6 3" xfId="1346"/>
    <cellStyle name="Comma 2 2 2 3 6 4" xfId="1347"/>
    <cellStyle name="Comma 2 2 2 3 7" xfId="1348"/>
    <cellStyle name="Comma 2 2 2 3 7 2" xfId="1349"/>
    <cellStyle name="Comma 2 2 2 3 7 3" xfId="1350"/>
    <cellStyle name="Comma 2 2 2 3 8" xfId="1351"/>
    <cellStyle name="Comma 2 2 2 3 9" xfId="1352"/>
    <cellStyle name="Comma 2 2 2 4" xfId="1353"/>
    <cellStyle name="Comma 2 2 2 4 2" xfId="1354"/>
    <cellStyle name="Comma 2 2 2 4 2 2" xfId="1355"/>
    <cellStyle name="Comma 2 2 2 4 2 2 2" xfId="1356"/>
    <cellStyle name="Comma 2 2 2 4 2 2 2 2" xfId="1357"/>
    <cellStyle name="Comma 2 2 2 4 2 2 2 3" xfId="1358"/>
    <cellStyle name="Comma 2 2 2 4 2 2 3" xfId="1359"/>
    <cellStyle name="Comma 2 2 2 4 2 2 4" xfId="1360"/>
    <cellStyle name="Comma 2 2 2 4 2 3" xfId="1361"/>
    <cellStyle name="Comma 2 2 2 4 2 3 2" xfId="1362"/>
    <cellStyle name="Comma 2 2 2 4 2 3 2 2" xfId="1363"/>
    <cellStyle name="Comma 2 2 2 4 2 3 2 3" xfId="1364"/>
    <cellStyle name="Comma 2 2 2 4 2 3 3" xfId="1365"/>
    <cellStyle name="Comma 2 2 2 4 2 3 4" xfId="1366"/>
    <cellStyle name="Comma 2 2 2 4 2 4" xfId="1367"/>
    <cellStyle name="Comma 2 2 2 4 2 4 2" xfId="1368"/>
    <cellStyle name="Comma 2 2 2 4 2 4 2 2" xfId="1369"/>
    <cellStyle name="Comma 2 2 2 4 2 4 2 3" xfId="1370"/>
    <cellStyle name="Comma 2 2 2 4 2 4 3" xfId="1371"/>
    <cellStyle name="Comma 2 2 2 4 2 4 4" xfId="1372"/>
    <cellStyle name="Comma 2 2 2 4 2 5" xfId="1373"/>
    <cellStyle name="Comma 2 2 2 4 2 5 2" xfId="1374"/>
    <cellStyle name="Comma 2 2 2 4 2 5 2 2" xfId="1375"/>
    <cellStyle name="Comma 2 2 2 4 2 5 2 3" xfId="1376"/>
    <cellStyle name="Comma 2 2 2 4 2 5 3" xfId="1377"/>
    <cellStyle name="Comma 2 2 2 4 2 5 4" xfId="1378"/>
    <cellStyle name="Comma 2 2 2 4 2 6" xfId="1379"/>
    <cellStyle name="Comma 2 2 2 4 2 6 2" xfId="1380"/>
    <cellStyle name="Comma 2 2 2 4 2 6 3" xfId="1381"/>
    <cellStyle name="Comma 2 2 2 4 2 7" xfId="1382"/>
    <cellStyle name="Comma 2 2 2 4 2 8" xfId="1383"/>
    <cellStyle name="Comma 2 2 2 4 3" xfId="1384"/>
    <cellStyle name="Comma 2 2 2 4 3 2" xfId="1385"/>
    <cellStyle name="Comma 2 2 2 4 3 2 2" xfId="1386"/>
    <cellStyle name="Comma 2 2 2 4 3 2 3" xfId="1387"/>
    <cellStyle name="Comma 2 2 2 4 3 3" xfId="1388"/>
    <cellStyle name="Comma 2 2 2 4 3 4" xfId="1389"/>
    <cellStyle name="Comma 2 2 2 4 4" xfId="1390"/>
    <cellStyle name="Comma 2 2 2 4 4 2" xfId="1391"/>
    <cellStyle name="Comma 2 2 2 4 4 2 2" xfId="1392"/>
    <cellStyle name="Comma 2 2 2 4 4 2 3" xfId="1393"/>
    <cellStyle name="Comma 2 2 2 4 4 3" xfId="1394"/>
    <cellStyle name="Comma 2 2 2 4 4 4" xfId="1395"/>
    <cellStyle name="Comma 2 2 2 4 5" xfId="1396"/>
    <cellStyle name="Comma 2 2 2 4 5 2" xfId="1397"/>
    <cellStyle name="Comma 2 2 2 4 5 2 2" xfId="1398"/>
    <cellStyle name="Comma 2 2 2 4 5 2 3" xfId="1399"/>
    <cellStyle name="Comma 2 2 2 4 5 3" xfId="1400"/>
    <cellStyle name="Comma 2 2 2 4 5 4" xfId="1401"/>
    <cellStyle name="Comma 2 2 2 4 6" xfId="1402"/>
    <cellStyle name="Comma 2 2 2 4 6 2" xfId="1403"/>
    <cellStyle name="Comma 2 2 2 4 6 2 2" xfId="1404"/>
    <cellStyle name="Comma 2 2 2 4 6 2 3" xfId="1405"/>
    <cellStyle name="Comma 2 2 2 4 6 3" xfId="1406"/>
    <cellStyle name="Comma 2 2 2 4 6 4" xfId="1407"/>
    <cellStyle name="Comma 2 2 2 4 7" xfId="1408"/>
    <cellStyle name="Comma 2 2 2 4 7 2" xfId="1409"/>
    <cellStyle name="Comma 2 2 2 4 7 3" xfId="1410"/>
    <cellStyle name="Comma 2 2 2 4 8" xfId="1411"/>
    <cellStyle name="Comma 2 2 2 4 9" xfId="1412"/>
    <cellStyle name="Comma 2 2 2 5" xfId="1413"/>
    <cellStyle name="Comma 2 2 2 5 2" xfId="1414"/>
    <cellStyle name="Comma 2 2 2 5 3" xfId="1415"/>
    <cellStyle name="Comma 2 2 2 6" xfId="1416"/>
    <cellStyle name="Comma 2 2 2 6 2" xfId="1417"/>
    <cellStyle name="Comma 2 2 2 6 3" xfId="1418"/>
    <cellStyle name="Comma 2 2 2 7" xfId="1419"/>
    <cellStyle name="Comma 2 2 2 7 2" xfId="1420"/>
    <cellStyle name="Comma 2 2 2 7 3" xfId="1421"/>
    <cellStyle name="Comma 2 2 2 8" xfId="1422"/>
    <cellStyle name="Comma 2 2 2 8 2" xfId="1423"/>
    <cellStyle name="Comma 2 2 2 8 3" xfId="1424"/>
    <cellStyle name="Comma 2 2 2 9" xfId="1425"/>
    <cellStyle name="Comma 2 2 2 9 2" xfId="1426"/>
    <cellStyle name="Comma 2 2 2 9 2 2" xfId="1427"/>
    <cellStyle name="Comma 2 2 2 9 2 2 2" xfId="1428"/>
    <cellStyle name="Comma 2 2 2 9 2 2 3" xfId="1429"/>
    <cellStyle name="Comma 2 2 2 9 2 3" xfId="1430"/>
    <cellStyle name="Comma 2 2 2 9 2 4" xfId="1431"/>
    <cellStyle name="Comma 2 2 2 9 3" xfId="1432"/>
    <cellStyle name="Comma 2 2 2 9 3 2" xfId="1433"/>
    <cellStyle name="Comma 2 2 2 9 3 2 2" xfId="1434"/>
    <cellStyle name="Comma 2 2 2 9 3 2 3" xfId="1435"/>
    <cellStyle name="Comma 2 2 2 9 3 3" xfId="1436"/>
    <cellStyle name="Comma 2 2 2 9 3 4" xfId="1437"/>
    <cellStyle name="Comma 2 2 2 9 4" xfId="1438"/>
    <cellStyle name="Comma 2 2 2 9 4 2" xfId="1439"/>
    <cellStyle name="Comma 2 2 2 9 4 2 2" xfId="1440"/>
    <cellStyle name="Comma 2 2 2 9 4 2 3" xfId="1441"/>
    <cellStyle name="Comma 2 2 2 9 4 3" xfId="1442"/>
    <cellStyle name="Comma 2 2 2 9 4 4" xfId="1443"/>
    <cellStyle name="Comma 2 2 2 9 5" xfId="1444"/>
    <cellStyle name="Comma 2 2 2 9 5 2" xfId="1445"/>
    <cellStyle name="Comma 2 2 2 9 5 2 2" xfId="1446"/>
    <cellStyle name="Comma 2 2 2 9 5 2 3" xfId="1447"/>
    <cellStyle name="Comma 2 2 2 9 5 3" xfId="1448"/>
    <cellStyle name="Comma 2 2 2 9 5 4" xfId="1449"/>
    <cellStyle name="Comma 2 2 2 9 6" xfId="1450"/>
    <cellStyle name="Comma 2 2 2 9 6 2" xfId="1451"/>
    <cellStyle name="Comma 2 2 2 9 6 3" xfId="1452"/>
    <cellStyle name="Comma 2 2 2 9 7" xfId="1453"/>
    <cellStyle name="Comma 2 2 2 9 8" xfId="1454"/>
    <cellStyle name="Comma 2 2 20" xfId="1455"/>
    <cellStyle name="Comma 2 2 20 2" xfId="1456"/>
    <cellStyle name="Comma 2 2 20 3" xfId="1457"/>
    <cellStyle name="Comma 2 2 21" xfId="1458"/>
    <cellStyle name="Comma 2 2 21 2" xfId="1459"/>
    <cellStyle name="Comma 2 2 21 2 2" xfId="1460"/>
    <cellStyle name="Comma 2 2 21 2 3" xfId="1461"/>
    <cellStyle name="Comma 2 2 21 3" xfId="1462"/>
    <cellStyle name="Comma 2 2 21 4" xfId="1463"/>
    <cellStyle name="Comma 2 2 22" xfId="1464"/>
    <cellStyle name="Comma 2 2 22 2" xfId="1465"/>
    <cellStyle name="Comma 2 2 22 2 2" xfId="1466"/>
    <cellStyle name="Comma 2 2 22 2 3" xfId="1467"/>
    <cellStyle name="Comma 2 2 22 3" xfId="1468"/>
    <cellStyle name="Comma 2 2 22 4" xfId="1469"/>
    <cellStyle name="Comma 2 2 23" xfId="1470"/>
    <cellStyle name="Comma 2 2 23 2" xfId="1471"/>
    <cellStyle name="Comma 2 2 23 2 2" xfId="1472"/>
    <cellStyle name="Comma 2 2 23 2 3" xfId="1473"/>
    <cellStyle name="Comma 2 2 23 3" xfId="1474"/>
    <cellStyle name="Comma 2 2 23 4" xfId="1475"/>
    <cellStyle name="Comma 2 2 24" xfId="1476"/>
    <cellStyle name="Comma 2 2 24 2" xfId="1477"/>
    <cellStyle name="Comma 2 2 24 2 2" xfId="1478"/>
    <cellStyle name="Comma 2 2 24 2 3" xfId="1479"/>
    <cellStyle name="Comma 2 2 24 3" xfId="1480"/>
    <cellStyle name="Comma 2 2 24 4" xfId="1481"/>
    <cellStyle name="Comma 2 2 25" xfId="1482"/>
    <cellStyle name="Comma 2 2 26" xfId="1483"/>
    <cellStyle name="Comma 2 2 27" xfId="1484"/>
    <cellStyle name="Comma 2 2 28" xfId="1485"/>
    <cellStyle name="Comma 2 2 29" xfId="1486"/>
    <cellStyle name="Comma 2 2 3" xfId="1487"/>
    <cellStyle name="Comma 2 2 3 2" xfId="1488"/>
    <cellStyle name="Comma 2 2 3 3" xfId="1489"/>
    <cellStyle name="Comma 2 2 30" xfId="1490"/>
    <cellStyle name="Comma 2 2 31" xfId="1491"/>
    <cellStyle name="Comma 2 2 32" xfId="1492"/>
    <cellStyle name="Comma 2 2 33" xfId="1493"/>
    <cellStyle name="Comma 2 2 34" xfId="1494"/>
    <cellStyle name="Comma 2 2 35" xfId="1495"/>
    <cellStyle name="Comma 2 2 36" xfId="1496"/>
    <cellStyle name="Comma 2 2 37" xfId="1497"/>
    <cellStyle name="Comma 2 2 38" xfId="1498"/>
    <cellStyle name="Comma 2 2 39" xfId="1499"/>
    <cellStyle name="Comma 2 2 4" xfId="1500"/>
    <cellStyle name="Comma 2 2 4 2" xfId="1501"/>
    <cellStyle name="Comma 2 2 4 3" xfId="1502"/>
    <cellStyle name="Comma 2 2 40" xfId="1503"/>
    <cellStyle name="Comma 2 2 41" xfId="1504"/>
    <cellStyle name="Comma 2 2 42" xfId="1505"/>
    <cellStyle name="Comma 2 2 43" xfId="1506"/>
    <cellStyle name="Comma 2 2 44" xfId="1507"/>
    <cellStyle name="Comma 2 2 45" xfId="1508"/>
    <cellStyle name="Comma 2 2 46" xfId="1509"/>
    <cellStyle name="Comma 2 2 47" xfId="1510"/>
    <cellStyle name="Comma 2 2 48" xfId="1511"/>
    <cellStyle name="Comma 2 2 49" xfId="8823"/>
    <cellStyle name="Comma 2 2 5" xfId="1512"/>
    <cellStyle name="Comma 2 2 50" xfId="8824"/>
    <cellStyle name="Comma 2 2 51" xfId="8825"/>
    <cellStyle name="Comma 2 2 52" xfId="8826"/>
    <cellStyle name="Comma 2 2 53" xfId="8827"/>
    <cellStyle name="Comma 2 2 54" xfId="8828"/>
    <cellStyle name="Comma 2 2 55" xfId="8829"/>
    <cellStyle name="Comma 2 2 56" xfId="8830"/>
    <cellStyle name="Comma 2 2 57" xfId="8831"/>
    <cellStyle name="Comma 2 2 58" xfId="8832"/>
    <cellStyle name="Comma 2 2 59" xfId="8833"/>
    <cellStyle name="Comma 2 2 6" xfId="1513"/>
    <cellStyle name="Comma 2 2 60" xfId="8834"/>
    <cellStyle name="Comma 2 2 61" xfId="8835"/>
    <cellStyle name="Comma 2 2 62" xfId="8836"/>
    <cellStyle name="Comma 2 2 63" xfId="8837"/>
    <cellStyle name="Comma 2 2 64" xfId="8838"/>
    <cellStyle name="Comma 2 2 65" xfId="8839"/>
    <cellStyle name="Comma 2 2 66" xfId="8840"/>
    <cellStyle name="Comma 2 2 67" xfId="8841"/>
    <cellStyle name="Comma 2 2 68" xfId="8842"/>
    <cellStyle name="Comma 2 2 69" xfId="8843"/>
    <cellStyle name="Comma 2 2 7" xfId="1514"/>
    <cellStyle name="Comma 2 2 70" xfId="8844"/>
    <cellStyle name="Comma 2 2 71" xfId="8845"/>
    <cellStyle name="Comma 2 2 72" xfId="8846"/>
    <cellStyle name="Comma 2 2 73" xfId="8847"/>
    <cellStyle name="Comma 2 2 74" xfId="8848"/>
    <cellStyle name="Comma 2 2 75" xfId="8849"/>
    <cellStyle name="Comma 2 2 76" xfId="8850"/>
    <cellStyle name="Comma 2 2 77" xfId="8851"/>
    <cellStyle name="Comma 2 2 78" xfId="8852"/>
    <cellStyle name="Comma 2 2 79" xfId="8853"/>
    <cellStyle name="Comma 2 2 8" xfId="1515"/>
    <cellStyle name="Comma 2 2 80" xfId="8854"/>
    <cellStyle name="Comma 2 2 81" xfId="8855"/>
    <cellStyle name="Comma 2 2 82" xfId="8856"/>
    <cellStyle name="Comma 2 2 83" xfId="8857"/>
    <cellStyle name="Comma 2 2 84" xfId="8858"/>
    <cellStyle name="Comma 2 2 85" xfId="8859"/>
    <cellStyle name="Comma 2 2 86" xfId="8860"/>
    <cellStyle name="Comma 2 2 87" xfId="8861"/>
    <cellStyle name="Comma 2 2 88" xfId="8862"/>
    <cellStyle name="Comma 2 2 89" xfId="8863"/>
    <cellStyle name="Comma 2 2 9" xfId="1516"/>
    <cellStyle name="Comma 2 2 90" xfId="8864"/>
    <cellStyle name="Comma 2 2 91" xfId="8865"/>
    <cellStyle name="Comma 2 2 92" xfId="8866"/>
    <cellStyle name="Comma 2 2 93" xfId="8867"/>
    <cellStyle name="Comma 2 2 94" xfId="8868"/>
    <cellStyle name="Comma 2 2 95" xfId="8869"/>
    <cellStyle name="Comma 2 2 96" xfId="8870"/>
    <cellStyle name="Comma 2 2 97" xfId="8871"/>
    <cellStyle name="Comma 2 2 98" xfId="8872"/>
    <cellStyle name="Comma 2 2 99" xfId="8873"/>
    <cellStyle name="Comma 2 20" xfId="1517"/>
    <cellStyle name="Comma 2 21" xfId="1518"/>
    <cellStyle name="Comma 2 22" xfId="1519"/>
    <cellStyle name="Comma 2 23" xfId="1520"/>
    <cellStyle name="Comma 2 24" xfId="1521"/>
    <cellStyle name="Comma 2 25" xfId="1522"/>
    <cellStyle name="Comma 2 26" xfId="1523"/>
    <cellStyle name="Comma 2 26 2" xfId="1524"/>
    <cellStyle name="Comma 2 26 3" xfId="1525"/>
    <cellStyle name="Comma 2 27" xfId="1526"/>
    <cellStyle name="Comma 2 28" xfId="1527"/>
    <cellStyle name="Comma 2 29" xfId="1528"/>
    <cellStyle name="Comma 2 3" xfId="1529"/>
    <cellStyle name="Comma 2 3 10" xfId="1530"/>
    <cellStyle name="Comma 2 3 10 2" xfId="1531"/>
    <cellStyle name="Comma 2 3 10 2 2" xfId="1532"/>
    <cellStyle name="Comma 2 3 10 2 3" xfId="1533"/>
    <cellStyle name="Comma 2 3 10 3" xfId="1534"/>
    <cellStyle name="Comma 2 3 10 4" xfId="1535"/>
    <cellStyle name="Comma 2 3 11" xfId="1536"/>
    <cellStyle name="Comma 2 3 11 2" xfId="1537"/>
    <cellStyle name="Comma 2 3 11 2 2" xfId="1538"/>
    <cellStyle name="Comma 2 3 11 2 3" xfId="1539"/>
    <cellStyle name="Comma 2 3 11 3" xfId="1540"/>
    <cellStyle name="Comma 2 3 11 4" xfId="1541"/>
    <cellStyle name="Comma 2 3 12" xfId="1542"/>
    <cellStyle name="Comma 2 3 12 2" xfId="1543"/>
    <cellStyle name="Comma 2 3 12 3" xfId="1544"/>
    <cellStyle name="Comma 2 3 13" xfId="1545"/>
    <cellStyle name="Comma 2 3 14" xfId="1546"/>
    <cellStyle name="Comma 2 3 2" xfId="1547"/>
    <cellStyle name="Comma 2 3 2 2" xfId="1548"/>
    <cellStyle name="Comma 2 3 2 3" xfId="1549"/>
    <cellStyle name="Comma 2 3 2 3 2" xfId="1550"/>
    <cellStyle name="Comma 2 3 2 3 2 2" xfId="1551"/>
    <cellStyle name="Comma 2 3 2 3 2 3" xfId="1552"/>
    <cellStyle name="Comma 2 3 2 3 3" xfId="1553"/>
    <cellStyle name="Comma 2 3 2 3 4" xfId="1554"/>
    <cellStyle name="Comma 2 3 2 4" xfId="1555"/>
    <cellStyle name="Comma 2 3 2 4 2" xfId="1556"/>
    <cellStyle name="Comma 2 3 2 4 2 2" xfId="1557"/>
    <cellStyle name="Comma 2 3 2 4 2 3" xfId="1558"/>
    <cellStyle name="Comma 2 3 2 4 3" xfId="1559"/>
    <cellStyle name="Comma 2 3 2 4 4" xfId="1560"/>
    <cellStyle name="Comma 2 3 2 5" xfId="1561"/>
    <cellStyle name="Comma 2 3 2 5 2" xfId="1562"/>
    <cellStyle name="Comma 2 3 2 5 2 2" xfId="1563"/>
    <cellStyle name="Comma 2 3 2 5 2 3" xfId="1564"/>
    <cellStyle name="Comma 2 3 2 5 3" xfId="1565"/>
    <cellStyle name="Comma 2 3 2 5 4" xfId="1566"/>
    <cellStyle name="Comma 2 3 2 6" xfId="1567"/>
    <cellStyle name="Comma 2 3 2 6 2" xfId="1568"/>
    <cellStyle name="Comma 2 3 2 6 2 2" xfId="1569"/>
    <cellStyle name="Comma 2 3 2 6 2 3" xfId="1570"/>
    <cellStyle name="Comma 2 3 2 6 3" xfId="1571"/>
    <cellStyle name="Comma 2 3 2 6 4" xfId="1572"/>
    <cellStyle name="Comma 2 3 2 7" xfId="1573"/>
    <cellStyle name="Comma 2 3 2 7 2" xfId="1574"/>
    <cellStyle name="Comma 2 3 2 7 3" xfId="1575"/>
    <cellStyle name="Comma 2 3 2 8" xfId="1576"/>
    <cellStyle name="Comma 2 3 2 9" xfId="1577"/>
    <cellStyle name="Comma 2 3 3" xfId="1578"/>
    <cellStyle name="Comma 2 3 4" xfId="1579"/>
    <cellStyle name="Comma 2 3 5" xfId="1580"/>
    <cellStyle name="Comma 2 3 6" xfId="1581"/>
    <cellStyle name="Comma 2 3 7" xfId="1582"/>
    <cellStyle name="Comma 2 3 8" xfId="1583"/>
    <cellStyle name="Comma 2 3 8 2" xfId="1584"/>
    <cellStyle name="Comma 2 3 8 2 2" xfId="1585"/>
    <cellStyle name="Comma 2 3 8 2 3" xfId="1586"/>
    <cellStyle name="Comma 2 3 8 3" xfId="1587"/>
    <cellStyle name="Comma 2 3 8 4" xfId="1588"/>
    <cellStyle name="Comma 2 3 9" xfId="1589"/>
    <cellStyle name="Comma 2 3 9 2" xfId="1590"/>
    <cellStyle name="Comma 2 3 9 2 2" xfId="1591"/>
    <cellStyle name="Comma 2 3 9 2 3" xfId="1592"/>
    <cellStyle name="Comma 2 3 9 3" xfId="1593"/>
    <cellStyle name="Comma 2 3 9 4" xfId="1594"/>
    <cellStyle name="Comma 2 30" xfId="1595"/>
    <cellStyle name="Comma 2 31" xfId="1596"/>
    <cellStyle name="Comma 2 32" xfId="1597"/>
    <cellStyle name="Comma 2 33" xfId="1598"/>
    <cellStyle name="Comma 2 34" xfId="1599"/>
    <cellStyle name="Comma 2 35" xfId="1600"/>
    <cellStyle name="Comma 2 36" xfId="1601"/>
    <cellStyle name="Comma 2 37" xfId="1602"/>
    <cellStyle name="Comma 2 38" xfId="1603"/>
    <cellStyle name="Comma 2 39" xfId="1604"/>
    <cellStyle name="Comma 2 4" xfId="1605"/>
    <cellStyle name="Comma 2 4 10" xfId="1606"/>
    <cellStyle name="Comma 2 4 10 2" xfId="1607"/>
    <cellStyle name="Comma 2 4 10 2 2" xfId="1608"/>
    <cellStyle name="Comma 2 4 10 2 3" xfId="1609"/>
    <cellStyle name="Comma 2 4 10 3" xfId="1610"/>
    <cellStyle name="Comma 2 4 10 4" xfId="1611"/>
    <cellStyle name="Comma 2 4 11" xfId="1612"/>
    <cellStyle name="Comma 2 4 11 2" xfId="1613"/>
    <cellStyle name="Comma 2 4 11 2 2" xfId="1614"/>
    <cellStyle name="Comma 2 4 11 2 3" xfId="1615"/>
    <cellStyle name="Comma 2 4 11 3" xfId="1616"/>
    <cellStyle name="Comma 2 4 11 4" xfId="1617"/>
    <cellStyle name="Comma 2 4 12" xfId="1618"/>
    <cellStyle name="Comma 2 4 12 2" xfId="1619"/>
    <cellStyle name="Comma 2 4 12 3" xfId="1620"/>
    <cellStyle name="Comma 2 4 13" xfId="1621"/>
    <cellStyle name="Comma 2 4 14" xfId="1622"/>
    <cellStyle name="Comma 2 4 2" xfId="1623"/>
    <cellStyle name="Comma 2 4 2 2" xfId="1624"/>
    <cellStyle name="Comma 2 4 2 3" xfId="1625"/>
    <cellStyle name="Comma 2 4 2 3 2" xfId="1626"/>
    <cellStyle name="Comma 2 4 2 3 2 2" xfId="1627"/>
    <cellStyle name="Comma 2 4 2 3 2 3" xfId="1628"/>
    <cellStyle name="Comma 2 4 2 3 3" xfId="1629"/>
    <cellStyle name="Comma 2 4 2 3 4" xfId="1630"/>
    <cellStyle name="Comma 2 4 2 4" xfId="1631"/>
    <cellStyle name="Comma 2 4 2 4 2" xfId="1632"/>
    <cellStyle name="Comma 2 4 2 4 2 2" xfId="1633"/>
    <cellStyle name="Comma 2 4 2 4 2 3" xfId="1634"/>
    <cellStyle name="Comma 2 4 2 4 3" xfId="1635"/>
    <cellStyle name="Comma 2 4 2 4 4" xfId="1636"/>
    <cellStyle name="Comma 2 4 2 5" xfId="1637"/>
    <cellStyle name="Comma 2 4 2 5 2" xfId="1638"/>
    <cellStyle name="Comma 2 4 2 5 2 2" xfId="1639"/>
    <cellStyle name="Comma 2 4 2 5 2 3" xfId="1640"/>
    <cellStyle name="Comma 2 4 2 5 3" xfId="1641"/>
    <cellStyle name="Comma 2 4 2 5 4" xfId="1642"/>
    <cellStyle name="Comma 2 4 2 6" xfId="1643"/>
    <cellStyle name="Comma 2 4 2 6 2" xfId="1644"/>
    <cellStyle name="Comma 2 4 2 6 2 2" xfId="1645"/>
    <cellStyle name="Comma 2 4 2 6 2 3" xfId="1646"/>
    <cellStyle name="Comma 2 4 2 6 3" xfId="1647"/>
    <cellStyle name="Comma 2 4 2 6 4" xfId="1648"/>
    <cellStyle name="Comma 2 4 2 7" xfId="1649"/>
    <cellStyle name="Comma 2 4 2 7 2" xfId="1650"/>
    <cellStyle name="Comma 2 4 2 7 3" xfId="1651"/>
    <cellStyle name="Comma 2 4 2 8" xfId="1652"/>
    <cellStyle name="Comma 2 4 2 9" xfId="1653"/>
    <cellStyle name="Comma 2 4 3" xfId="1654"/>
    <cellStyle name="Comma 2 4 4" xfId="1655"/>
    <cellStyle name="Comma 2 4 5" xfId="1656"/>
    <cellStyle name="Comma 2 4 6" xfId="1657"/>
    <cellStyle name="Comma 2 4 7" xfId="1658"/>
    <cellStyle name="Comma 2 4 8" xfId="1659"/>
    <cellStyle name="Comma 2 4 8 2" xfId="1660"/>
    <cellStyle name="Comma 2 4 8 2 2" xfId="1661"/>
    <cellStyle name="Comma 2 4 8 2 3" xfId="1662"/>
    <cellStyle name="Comma 2 4 8 3" xfId="1663"/>
    <cellStyle name="Comma 2 4 8 4" xfId="1664"/>
    <cellStyle name="Comma 2 4 9" xfId="1665"/>
    <cellStyle name="Comma 2 4 9 2" xfId="1666"/>
    <cellStyle name="Comma 2 4 9 2 2" xfId="1667"/>
    <cellStyle name="Comma 2 4 9 2 3" xfId="1668"/>
    <cellStyle name="Comma 2 4 9 3" xfId="1669"/>
    <cellStyle name="Comma 2 4 9 4" xfId="1670"/>
    <cellStyle name="Comma 2 40" xfId="1671"/>
    <cellStyle name="Comma 2 41" xfId="1672"/>
    <cellStyle name="Comma 2 42" xfId="1673"/>
    <cellStyle name="Comma 2 43" xfId="1674"/>
    <cellStyle name="Comma 2 44" xfId="1675"/>
    <cellStyle name="Comma 2 45" xfId="1676"/>
    <cellStyle name="Comma 2 46" xfId="1677"/>
    <cellStyle name="Comma 2 47" xfId="1678"/>
    <cellStyle name="Comma 2 48" xfId="1679"/>
    <cellStyle name="Comma 2 49" xfId="1680"/>
    <cellStyle name="Comma 2 5" xfId="1681"/>
    <cellStyle name="Comma 2 5 10" xfId="1682"/>
    <cellStyle name="Comma 2 5 10 2" xfId="1683"/>
    <cellStyle name="Comma 2 5 10 2 2" xfId="1684"/>
    <cellStyle name="Comma 2 5 10 2 3" xfId="1685"/>
    <cellStyle name="Comma 2 5 10 3" xfId="1686"/>
    <cellStyle name="Comma 2 5 10 4" xfId="1687"/>
    <cellStyle name="Comma 2 5 11" xfId="1688"/>
    <cellStyle name="Comma 2 5 11 2" xfId="1689"/>
    <cellStyle name="Comma 2 5 11 2 2" xfId="1690"/>
    <cellStyle name="Comma 2 5 11 2 3" xfId="1691"/>
    <cellStyle name="Comma 2 5 11 3" xfId="1692"/>
    <cellStyle name="Comma 2 5 11 4" xfId="1693"/>
    <cellStyle name="Comma 2 5 12" xfId="1694"/>
    <cellStyle name="Comma 2 5 12 2" xfId="1695"/>
    <cellStyle name="Comma 2 5 12 3" xfId="1696"/>
    <cellStyle name="Comma 2 5 13" xfId="1697"/>
    <cellStyle name="Comma 2 5 14" xfId="1698"/>
    <cellStyle name="Comma 2 5 2" xfId="1699"/>
    <cellStyle name="Comma 2 5 2 2" xfId="1700"/>
    <cellStyle name="Comma 2 5 2 3" xfId="1701"/>
    <cellStyle name="Comma 2 5 2 3 2" xfId="1702"/>
    <cellStyle name="Comma 2 5 2 3 2 2" xfId="1703"/>
    <cellStyle name="Comma 2 5 2 3 2 3" xfId="1704"/>
    <cellStyle name="Comma 2 5 2 3 3" xfId="1705"/>
    <cellStyle name="Comma 2 5 2 3 4" xfId="1706"/>
    <cellStyle name="Comma 2 5 2 4" xfId="1707"/>
    <cellStyle name="Comma 2 5 2 4 2" xfId="1708"/>
    <cellStyle name="Comma 2 5 2 4 2 2" xfId="1709"/>
    <cellStyle name="Comma 2 5 2 4 2 3" xfId="1710"/>
    <cellStyle name="Comma 2 5 2 4 3" xfId="1711"/>
    <cellStyle name="Comma 2 5 2 4 4" xfId="1712"/>
    <cellStyle name="Comma 2 5 2 5" xfId="1713"/>
    <cellStyle name="Comma 2 5 2 5 2" xfId="1714"/>
    <cellStyle name="Comma 2 5 2 5 2 2" xfId="1715"/>
    <cellStyle name="Comma 2 5 2 5 2 3" xfId="1716"/>
    <cellStyle name="Comma 2 5 2 5 3" xfId="1717"/>
    <cellStyle name="Comma 2 5 2 5 4" xfId="1718"/>
    <cellStyle name="Comma 2 5 2 6" xfId="1719"/>
    <cellStyle name="Comma 2 5 2 6 2" xfId="1720"/>
    <cellStyle name="Comma 2 5 2 6 2 2" xfId="1721"/>
    <cellStyle name="Comma 2 5 2 6 2 3" xfId="1722"/>
    <cellStyle name="Comma 2 5 2 6 3" xfId="1723"/>
    <cellStyle name="Comma 2 5 2 6 4" xfId="1724"/>
    <cellStyle name="Comma 2 5 2 7" xfId="1725"/>
    <cellStyle name="Comma 2 5 2 7 2" xfId="1726"/>
    <cellStyle name="Comma 2 5 2 7 3" xfId="1727"/>
    <cellStyle name="Comma 2 5 2 8" xfId="1728"/>
    <cellStyle name="Comma 2 5 2 9" xfId="1729"/>
    <cellStyle name="Comma 2 5 3" xfId="1730"/>
    <cellStyle name="Comma 2 5 4" xfId="1731"/>
    <cellStyle name="Comma 2 5 5" xfId="1732"/>
    <cellStyle name="Comma 2 5 6" xfId="1733"/>
    <cellStyle name="Comma 2 5 7" xfId="1734"/>
    <cellStyle name="Comma 2 5 8" xfId="1735"/>
    <cellStyle name="Comma 2 5 8 2" xfId="1736"/>
    <cellStyle name="Comma 2 5 8 2 2" xfId="1737"/>
    <cellStyle name="Comma 2 5 8 2 3" xfId="1738"/>
    <cellStyle name="Comma 2 5 8 3" xfId="1739"/>
    <cellStyle name="Comma 2 5 8 4" xfId="1740"/>
    <cellStyle name="Comma 2 5 9" xfId="1741"/>
    <cellStyle name="Comma 2 5 9 2" xfId="1742"/>
    <cellStyle name="Comma 2 5 9 2 2" xfId="1743"/>
    <cellStyle name="Comma 2 5 9 2 3" xfId="1744"/>
    <cellStyle name="Comma 2 5 9 3" xfId="1745"/>
    <cellStyle name="Comma 2 5 9 4" xfId="1746"/>
    <cellStyle name="Comma 2 50" xfId="1747"/>
    <cellStyle name="Comma 2 51" xfId="1748"/>
    <cellStyle name="Comma 2 52" xfId="1749"/>
    <cellStyle name="Comma 2 53" xfId="1750"/>
    <cellStyle name="Comma 2 6" xfId="1751"/>
    <cellStyle name="Comma 2 6 10" xfId="1752"/>
    <cellStyle name="Comma 2 6 10 2" xfId="1753"/>
    <cellStyle name="Comma 2 6 10 2 2" xfId="1754"/>
    <cellStyle name="Comma 2 6 10 2 3" xfId="1755"/>
    <cellStyle name="Comma 2 6 10 3" xfId="1756"/>
    <cellStyle name="Comma 2 6 10 4" xfId="1757"/>
    <cellStyle name="Comma 2 6 11" xfId="1758"/>
    <cellStyle name="Comma 2 6 11 2" xfId="1759"/>
    <cellStyle name="Comma 2 6 11 2 2" xfId="1760"/>
    <cellStyle name="Comma 2 6 11 2 3" xfId="1761"/>
    <cellStyle name="Comma 2 6 11 3" xfId="1762"/>
    <cellStyle name="Comma 2 6 11 4" xfId="1763"/>
    <cellStyle name="Comma 2 6 12" xfId="1764"/>
    <cellStyle name="Comma 2 6 12 2" xfId="1765"/>
    <cellStyle name="Comma 2 6 12 3" xfId="1766"/>
    <cellStyle name="Comma 2 6 13" xfId="1767"/>
    <cellStyle name="Comma 2 6 14" xfId="1768"/>
    <cellStyle name="Comma 2 6 2" xfId="1769"/>
    <cellStyle name="Comma 2 6 2 2" xfId="1770"/>
    <cellStyle name="Comma 2 6 2 3" xfId="1771"/>
    <cellStyle name="Comma 2 6 2 3 2" xfId="1772"/>
    <cellStyle name="Comma 2 6 2 3 2 2" xfId="1773"/>
    <cellStyle name="Comma 2 6 2 3 2 3" xfId="1774"/>
    <cellStyle name="Comma 2 6 2 3 3" xfId="1775"/>
    <cellStyle name="Comma 2 6 2 3 4" xfId="1776"/>
    <cellStyle name="Comma 2 6 2 4" xfId="1777"/>
    <cellStyle name="Comma 2 6 2 4 2" xfId="1778"/>
    <cellStyle name="Comma 2 6 2 4 2 2" xfId="1779"/>
    <cellStyle name="Comma 2 6 2 4 2 3" xfId="1780"/>
    <cellStyle name="Comma 2 6 2 4 3" xfId="1781"/>
    <cellStyle name="Comma 2 6 2 4 4" xfId="1782"/>
    <cellStyle name="Comma 2 6 2 5" xfId="1783"/>
    <cellStyle name="Comma 2 6 2 5 2" xfId="1784"/>
    <cellStyle name="Comma 2 6 2 5 2 2" xfId="1785"/>
    <cellStyle name="Comma 2 6 2 5 2 3" xfId="1786"/>
    <cellStyle name="Comma 2 6 2 5 3" xfId="1787"/>
    <cellStyle name="Comma 2 6 2 5 4" xfId="1788"/>
    <cellStyle name="Comma 2 6 2 6" xfId="1789"/>
    <cellStyle name="Comma 2 6 2 6 2" xfId="1790"/>
    <cellStyle name="Comma 2 6 2 6 2 2" xfId="1791"/>
    <cellStyle name="Comma 2 6 2 6 2 3" xfId="1792"/>
    <cellStyle name="Comma 2 6 2 6 3" xfId="1793"/>
    <cellStyle name="Comma 2 6 2 6 4" xfId="1794"/>
    <cellStyle name="Comma 2 6 2 7" xfId="1795"/>
    <cellStyle name="Comma 2 6 2 7 2" xfId="1796"/>
    <cellStyle name="Comma 2 6 2 7 3" xfId="1797"/>
    <cellStyle name="Comma 2 6 2 8" xfId="1798"/>
    <cellStyle name="Comma 2 6 2 9" xfId="1799"/>
    <cellStyle name="Comma 2 6 3" xfId="1800"/>
    <cellStyle name="Comma 2 6 4" xfId="1801"/>
    <cellStyle name="Comma 2 6 5" xfId="1802"/>
    <cellStyle name="Comma 2 6 6" xfId="1803"/>
    <cellStyle name="Comma 2 6 7" xfId="1804"/>
    <cellStyle name="Comma 2 6 8" xfId="1805"/>
    <cellStyle name="Comma 2 6 8 2" xfId="1806"/>
    <cellStyle name="Comma 2 6 8 2 2" xfId="1807"/>
    <cellStyle name="Comma 2 6 8 2 3" xfId="1808"/>
    <cellStyle name="Comma 2 6 8 3" xfId="1809"/>
    <cellStyle name="Comma 2 6 8 4" xfId="1810"/>
    <cellStyle name="Comma 2 6 9" xfId="1811"/>
    <cellStyle name="Comma 2 6 9 2" xfId="1812"/>
    <cellStyle name="Comma 2 6 9 2 2" xfId="1813"/>
    <cellStyle name="Comma 2 6 9 2 3" xfId="1814"/>
    <cellStyle name="Comma 2 6 9 3" xfId="1815"/>
    <cellStyle name="Comma 2 6 9 4" xfId="1816"/>
    <cellStyle name="Comma 2 7" xfId="1817"/>
    <cellStyle name="Comma 2 7 10" xfId="1818"/>
    <cellStyle name="Comma 2 7 10 2" xfId="1819"/>
    <cellStyle name="Comma 2 7 10 2 2" xfId="1820"/>
    <cellStyle name="Comma 2 7 10 2 3" xfId="1821"/>
    <cellStyle name="Comma 2 7 10 3" xfId="1822"/>
    <cellStyle name="Comma 2 7 10 4" xfId="1823"/>
    <cellStyle name="Comma 2 7 11" xfId="1824"/>
    <cellStyle name="Comma 2 7 11 2" xfId="1825"/>
    <cellStyle name="Comma 2 7 11 2 2" xfId="1826"/>
    <cellStyle name="Comma 2 7 11 2 3" xfId="1827"/>
    <cellStyle name="Comma 2 7 11 3" xfId="1828"/>
    <cellStyle name="Comma 2 7 11 4" xfId="1829"/>
    <cellStyle name="Comma 2 7 12" xfId="1830"/>
    <cellStyle name="Comma 2 7 12 2" xfId="1831"/>
    <cellStyle name="Comma 2 7 12 3" xfId="1832"/>
    <cellStyle name="Comma 2 7 13" xfId="1833"/>
    <cellStyle name="Comma 2 7 14" xfId="1834"/>
    <cellStyle name="Comma 2 7 2" xfId="1835"/>
    <cellStyle name="Comma 2 7 2 2" xfId="1836"/>
    <cellStyle name="Comma 2 7 2 3" xfId="1837"/>
    <cellStyle name="Comma 2 7 2 3 2" xfId="1838"/>
    <cellStyle name="Comma 2 7 2 3 2 2" xfId="1839"/>
    <cellStyle name="Comma 2 7 2 3 2 3" xfId="1840"/>
    <cellStyle name="Comma 2 7 2 3 3" xfId="1841"/>
    <cellStyle name="Comma 2 7 2 3 4" xfId="1842"/>
    <cellStyle name="Comma 2 7 2 4" xfId="1843"/>
    <cellStyle name="Comma 2 7 2 4 2" xfId="1844"/>
    <cellStyle name="Comma 2 7 2 4 2 2" xfId="1845"/>
    <cellStyle name="Comma 2 7 2 4 2 3" xfId="1846"/>
    <cellStyle name="Comma 2 7 2 4 3" xfId="1847"/>
    <cellStyle name="Comma 2 7 2 4 4" xfId="1848"/>
    <cellStyle name="Comma 2 7 2 5" xfId="1849"/>
    <cellStyle name="Comma 2 7 2 5 2" xfId="1850"/>
    <cellStyle name="Comma 2 7 2 5 2 2" xfId="1851"/>
    <cellStyle name="Comma 2 7 2 5 2 3" xfId="1852"/>
    <cellStyle name="Comma 2 7 2 5 3" xfId="1853"/>
    <cellStyle name="Comma 2 7 2 5 4" xfId="1854"/>
    <cellStyle name="Comma 2 7 2 6" xfId="1855"/>
    <cellStyle name="Comma 2 7 2 6 2" xfId="1856"/>
    <cellStyle name="Comma 2 7 2 6 2 2" xfId="1857"/>
    <cellStyle name="Comma 2 7 2 6 2 3" xfId="1858"/>
    <cellStyle name="Comma 2 7 2 6 3" xfId="1859"/>
    <cellStyle name="Comma 2 7 2 6 4" xfId="1860"/>
    <cellStyle name="Comma 2 7 2 7" xfId="1861"/>
    <cellStyle name="Comma 2 7 2 7 2" xfId="1862"/>
    <cellStyle name="Comma 2 7 2 7 3" xfId="1863"/>
    <cellStyle name="Comma 2 7 2 8" xfId="1864"/>
    <cellStyle name="Comma 2 7 2 9" xfId="1865"/>
    <cellStyle name="Comma 2 7 3" xfId="1866"/>
    <cellStyle name="Comma 2 7 4" xfId="1867"/>
    <cellStyle name="Comma 2 7 5" xfId="1868"/>
    <cellStyle name="Comma 2 7 6" xfId="1869"/>
    <cellStyle name="Comma 2 7 7" xfId="1870"/>
    <cellStyle name="Comma 2 7 8" xfId="1871"/>
    <cellStyle name="Comma 2 7 8 2" xfId="1872"/>
    <cellStyle name="Comma 2 7 8 2 2" xfId="1873"/>
    <cellStyle name="Comma 2 7 8 2 3" xfId="1874"/>
    <cellStyle name="Comma 2 7 8 3" xfId="1875"/>
    <cellStyle name="Comma 2 7 8 4" xfId="1876"/>
    <cellStyle name="Comma 2 7 9" xfId="1877"/>
    <cellStyle name="Comma 2 7 9 2" xfId="1878"/>
    <cellStyle name="Comma 2 7 9 2 2" xfId="1879"/>
    <cellStyle name="Comma 2 7 9 2 3" xfId="1880"/>
    <cellStyle name="Comma 2 7 9 3" xfId="1881"/>
    <cellStyle name="Comma 2 7 9 4" xfId="1882"/>
    <cellStyle name="Comma 2 8" xfId="1883"/>
    <cellStyle name="Comma 2 9" xfId="1884"/>
    <cellStyle name="Comma 3" xfId="1885"/>
    <cellStyle name="Comma 3 10" xfId="1886"/>
    <cellStyle name="Comma 3 10 10" xfId="1887"/>
    <cellStyle name="Comma 3 10 11" xfId="1888"/>
    <cellStyle name="Comma 3 10 12" xfId="1889"/>
    <cellStyle name="Comma 3 10 13" xfId="1890"/>
    <cellStyle name="Comma 3 10 14" xfId="1891"/>
    <cellStyle name="Comma 3 10 15" xfId="1892"/>
    <cellStyle name="Comma 3 10 16" xfId="1893"/>
    <cellStyle name="Comma 3 10 17" xfId="1894"/>
    <cellStyle name="Comma 3 10 18" xfId="1895"/>
    <cellStyle name="Comma 3 10 19" xfId="1896"/>
    <cellStyle name="Comma 3 10 2" xfId="1897"/>
    <cellStyle name="Comma 3 10 20" xfId="1898"/>
    <cellStyle name="Comma 3 10 21" xfId="1899"/>
    <cellStyle name="Comma 3 10 22" xfId="1900"/>
    <cellStyle name="Comma 3 10 23" xfId="1901"/>
    <cellStyle name="Comma 3 10 24" xfId="1902"/>
    <cellStyle name="Comma 3 10 25" xfId="1903"/>
    <cellStyle name="Comma 3 10 26" xfId="1904"/>
    <cellStyle name="Comma 3 10 27" xfId="1905"/>
    <cellStyle name="Comma 3 10 28" xfId="1906"/>
    <cellStyle name="Comma 3 10 29" xfId="1907"/>
    <cellStyle name="Comma 3 10 3" xfId="1908"/>
    <cellStyle name="Comma 3 10 30" xfId="1909"/>
    <cellStyle name="Comma 3 10 31" xfId="1910"/>
    <cellStyle name="Comma 3 10 32" xfId="1911"/>
    <cellStyle name="Comma 3 10 33" xfId="1912"/>
    <cellStyle name="Comma 3 10 34" xfId="1913"/>
    <cellStyle name="Comma 3 10 4" xfId="1914"/>
    <cellStyle name="Comma 3 10 5" xfId="1915"/>
    <cellStyle name="Comma 3 10 6" xfId="1916"/>
    <cellStyle name="Comma 3 10 7" xfId="1917"/>
    <cellStyle name="Comma 3 10 8" xfId="1918"/>
    <cellStyle name="Comma 3 10 9" xfId="1919"/>
    <cellStyle name="Comma 3 11" xfId="1920"/>
    <cellStyle name="Comma 3 11 2" xfId="1921"/>
    <cellStyle name="Comma 3 11 2 2" xfId="1922"/>
    <cellStyle name="Comma 3 11 2 3" xfId="1923"/>
    <cellStyle name="Comma 3 11 3" xfId="1924"/>
    <cellStyle name="Comma 3 11 4" xfId="1925"/>
    <cellStyle name="Comma 3 12" xfId="1926"/>
    <cellStyle name="Comma 3 12 2" xfId="1927"/>
    <cellStyle name="Comma 3 12 2 2" xfId="1928"/>
    <cellStyle name="Comma 3 12 2 3" xfId="1929"/>
    <cellStyle name="Comma 3 12 3" xfId="1930"/>
    <cellStyle name="Comma 3 12 4" xfId="1931"/>
    <cellStyle name="Comma 3 13" xfId="1932"/>
    <cellStyle name="Comma 3 13 2" xfId="1933"/>
    <cellStyle name="Comma 3 13 2 2" xfId="1934"/>
    <cellStyle name="Comma 3 13 2 3" xfId="1935"/>
    <cellStyle name="Comma 3 13 3" xfId="1936"/>
    <cellStyle name="Comma 3 13 4" xfId="1937"/>
    <cellStyle name="Comma 3 14" xfId="1938"/>
    <cellStyle name="Comma 3 14 2" xfId="1939"/>
    <cellStyle name="Comma 3 14 2 2" xfId="1940"/>
    <cellStyle name="Comma 3 14 2 3" xfId="1941"/>
    <cellStyle name="Comma 3 14 3" xfId="1942"/>
    <cellStyle name="Comma 3 14 4" xfId="1943"/>
    <cellStyle name="Comma 3 15" xfId="1944"/>
    <cellStyle name="Comma 3 15 2" xfId="1945"/>
    <cellStyle name="Comma 3 15 3" xfId="1946"/>
    <cellStyle name="Comma 3 16" xfId="1947"/>
    <cellStyle name="Comma 3 17" xfId="1948"/>
    <cellStyle name="Comma 3 18" xfId="1949"/>
    <cellStyle name="Comma 3 19" xfId="1950"/>
    <cellStyle name="Comma 3 2" xfId="1951"/>
    <cellStyle name="Comma 3 2 10" xfId="1952"/>
    <cellStyle name="Comma 3 2 11" xfId="1953"/>
    <cellStyle name="Comma 3 2 12" xfId="1954"/>
    <cellStyle name="Comma 3 2 13" xfId="1955"/>
    <cellStyle name="Comma 3 2 14" xfId="1956"/>
    <cellStyle name="Comma 3 2 15" xfId="1957"/>
    <cellStyle name="Comma 3 2 16" xfId="1958"/>
    <cellStyle name="Comma 3 2 17" xfId="1959"/>
    <cellStyle name="Comma 3 2 18" xfId="1960"/>
    <cellStyle name="Comma 3 2 19" xfId="1961"/>
    <cellStyle name="Comma 3 2 2" xfId="1962"/>
    <cellStyle name="Comma 3 2 20" xfId="1963"/>
    <cellStyle name="Comma 3 2 21" xfId="1964"/>
    <cellStyle name="Comma 3 2 22" xfId="1965"/>
    <cellStyle name="Comma 3 2 23" xfId="1966"/>
    <cellStyle name="Comma 3 2 24" xfId="1967"/>
    <cellStyle name="Comma 3 2 25" xfId="1968"/>
    <cellStyle name="Comma 3 2 26" xfId="1969"/>
    <cellStyle name="Comma 3 2 27" xfId="1970"/>
    <cellStyle name="Comma 3 2 28" xfId="1971"/>
    <cellStyle name="Comma 3 2 29" xfId="1972"/>
    <cellStyle name="Comma 3 2 3" xfId="1973"/>
    <cellStyle name="Comma 3 2 30" xfId="1974"/>
    <cellStyle name="Comma 3 2 31" xfId="1975"/>
    <cellStyle name="Comma 3 2 32" xfId="1976"/>
    <cellStyle name="Comma 3 2 33" xfId="1977"/>
    <cellStyle name="Comma 3 2 34" xfId="1978"/>
    <cellStyle name="Comma 3 2 35" xfId="1979"/>
    <cellStyle name="Comma 3 2 36" xfId="1980"/>
    <cellStyle name="Comma 3 2 37" xfId="1981"/>
    <cellStyle name="Comma 3 2 38" xfId="1982"/>
    <cellStyle name="Comma 3 2 39" xfId="1983"/>
    <cellStyle name="Comma 3 2 4" xfId="1984"/>
    <cellStyle name="Comma 3 2 40" xfId="1985"/>
    <cellStyle name="Comma 3 2 41" xfId="1986"/>
    <cellStyle name="Comma 3 2 42" xfId="1987"/>
    <cellStyle name="Comma 3 2 43" xfId="1988"/>
    <cellStyle name="Comma 3 2 44" xfId="1989"/>
    <cellStyle name="Comma 3 2 45" xfId="1990"/>
    <cellStyle name="Comma 3 2 46" xfId="1991"/>
    <cellStyle name="Comma 3 2 47" xfId="1992"/>
    <cellStyle name="Comma 3 2 48" xfId="1993"/>
    <cellStyle name="Comma 3 2 5" xfId="1994"/>
    <cellStyle name="Comma 3 2 6" xfId="1995"/>
    <cellStyle name="Comma 3 2 7" xfId="1996"/>
    <cellStyle name="Comma 3 2 8" xfId="1997"/>
    <cellStyle name="Comma 3 2 9" xfId="1998"/>
    <cellStyle name="Comma 3 20" xfId="1999"/>
    <cellStyle name="Comma 3 21" xfId="2000"/>
    <cellStyle name="Comma 3 22" xfId="2001"/>
    <cellStyle name="Comma 3 23" xfId="2002"/>
    <cellStyle name="Comma 3 24" xfId="2003"/>
    <cellStyle name="Comma 3 25" xfId="2004"/>
    <cellStyle name="Comma 3 26" xfId="2005"/>
    <cellStyle name="Comma 3 27" xfId="2006"/>
    <cellStyle name="Comma 3 28" xfId="2007"/>
    <cellStyle name="Comma 3 29" xfId="2008"/>
    <cellStyle name="Comma 3 3" xfId="2009"/>
    <cellStyle name="Comma 3 30" xfId="2010"/>
    <cellStyle name="Comma 3 31" xfId="2011"/>
    <cellStyle name="Comma 3 32" xfId="2012"/>
    <cellStyle name="Comma 3 33" xfId="2013"/>
    <cellStyle name="Comma 3 34" xfId="2014"/>
    <cellStyle name="Comma 3 35" xfId="2015"/>
    <cellStyle name="Comma 3 36" xfId="2016"/>
    <cellStyle name="Comma 3 37" xfId="2017"/>
    <cellStyle name="Comma 3 38" xfId="2018"/>
    <cellStyle name="Comma 3 39" xfId="2019"/>
    <cellStyle name="Comma 3 4" xfId="2020"/>
    <cellStyle name="Comma 3 40" xfId="2021"/>
    <cellStyle name="Comma 3 41" xfId="2022"/>
    <cellStyle name="Comma 3 42" xfId="2023"/>
    <cellStyle name="Comma 3 43" xfId="2024"/>
    <cellStyle name="Comma 3 44" xfId="2025"/>
    <cellStyle name="Comma 3 45" xfId="2026"/>
    <cellStyle name="Comma 3 46" xfId="2027"/>
    <cellStyle name="Comma 3 47" xfId="2028"/>
    <cellStyle name="Comma 3 48" xfId="2029"/>
    <cellStyle name="Comma 3 49" xfId="2030"/>
    <cellStyle name="Comma 3 5" xfId="2031"/>
    <cellStyle name="Comma 3 5 2" xfId="2032"/>
    <cellStyle name="Comma 3 5 3" xfId="2033"/>
    <cellStyle name="Comma 3 5 3 2" xfId="2034"/>
    <cellStyle name="Comma 3 5 3 2 2" xfId="2035"/>
    <cellStyle name="Comma 3 5 3 2 3" xfId="2036"/>
    <cellStyle name="Comma 3 5 3 3" xfId="2037"/>
    <cellStyle name="Comma 3 5 3 4" xfId="2038"/>
    <cellStyle name="Comma 3 5 4" xfId="2039"/>
    <cellStyle name="Comma 3 5 4 2" xfId="2040"/>
    <cellStyle name="Comma 3 5 4 2 2" xfId="2041"/>
    <cellStyle name="Comma 3 5 4 2 3" xfId="2042"/>
    <cellStyle name="Comma 3 5 4 3" xfId="2043"/>
    <cellStyle name="Comma 3 5 4 4" xfId="2044"/>
    <cellStyle name="Comma 3 5 5" xfId="2045"/>
    <cellStyle name="Comma 3 5 5 2" xfId="2046"/>
    <cellStyle name="Comma 3 5 5 2 2" xfId="2047"/>
    <cellStyle name="Comma 3 5 5 2 3" xfId="2048"/>
    <cellStyle name="Comma 3 5 5 3" xfId="2049"/>
    <cellStyle name="Comma 3 5 5 4" xfId="2050"/>
    <cellStyle name="Comma 3 5 6" xfId="2051"/>
    <cellStyle name="Comma 3 5 6 2" xfId="2052"/>
    <cellStyle name="Comma 3 5 6 2 2" xfId="2053"/>
    <cellStyle name="Comma 3 5 6 2 3" xfId="2054"/>
    <cellStyle name="Comma 3 5 6 3" xfId="2055"/>
    <cellStyle name="Comma 3 5 6 4" xfId="2056"/>
    <cellStyle name="Comma 3 5 7" xfId="2057"/>
    <cellStyle name="Comma 3 5 7 2" xfId="2058"/>
    <cellStyle name="Comma 3 5 7 3" xfId="2059"/>
    <cellStyle name="Comma 3 5 8" xfId="2060"/>
    <cellStyle name="Comma 3 5 9" xfId="2061"/>
    <cellStyle name="Comma 3 50" xfId="2062"/>
    <cellStyle name="Comma 3 51" xfId="2063"/>
    <cellStyle name="Comma 3 6" xfId="2064"/>
    <cellStyle name="Comma 3 6 10" xfId="2065"/>
    <cellStyle name="Comma 3 6 11" xfId="2066"/>
    <cellStyle name="Comma 3 6 12" xfId="2067"/>
    <cellStyle name="Comma 3 6 13" xfId="2068"/>
    <cellStyle name="Comma 3 6 14" xfId="2069"/>
    <cellStyle name="Comma 3 6 15" xfId="2070"/>
    <cellStyle name="Comma 3 6 16" xfId="2071"/>
    <cellStyle name="Comma 3 6 17" xfId="2072"/>
    <cellStyle name="Comma 3 6 18" xfId="2073"/>
    <cellStyle name="Comma 3 6 19" xfId="2074"/>
    <cellStyle name="Comma 3 6 2" xfId="2075"/>
    <cellStyle name="Comma 3 6 20" xfId="2076"/>
    <cellStyle name="Comma 3 6 21" xfId="2077"/>
    <cellStyle name="Comma 3 6 22" xfId="2078"/>
    <cellStyle name="Comma 3 6 23" xfId="2079"/>
    <cellStyle name="Comma 3 6 24" xfId="2080"/>
    <cellStyle name="Comma 3 6 25" xfId="2081"/>
    <cellStyle name="Comma 3 6 26" xfId="2082"/>
    <cellStyle name="Comma 3 6 27" xfId="2083"/>
    <cellStyle name="Comma 3 6 28" xfId="2084"/>
    <cellStyle name="Comma 3 6 29" xfId="2085"/>
    <cellStyle name="Comma 3 6 3" xfId="2086"/>
    <cellStyle name="Comma 3 6 30" xfId="2087"/>
    <cellStyle name="Comma 3 6 31" xfId="2088"/>
    <cellStyle name="Comma 3 6 32" xfId="2089"/>
    <cellStyle name="Comma 3 6 33" xfId="2090"/>
    <cellStyle name="Comma 3 6 34" xfId="2091"/>
    <cellStyle name="Comma 3 6 4" xfId="2092"/>
    <cellStyle name="Comma 3 6 5" xfId="2093"/>
    <cellStyle name="Comma 3 6 6" xfId="2094"/>
    <cellStyle name="Comma 3 6 7" xfId="2095"/>
    <cellStyle name="Comma 3 6 8" xfId="2096"/>
    <cellStyle name="Comma 3 6 9" xfId="2097"/>
    <cellStyle name="Comma 3 7" xfId="2098"/>
    <cellStyle name="Comma 3 7 10" xfId="2099"/>
    <cellStyle name="Comma 3 7 11" xfId="2100"/>
    <cellStyle name="Comma 3 7 12" xfId="2101"/>
    <cellStyle name="Comma 3 7 13" xfId="2102"/>
    <cellStyle name="Comma 3 7 14" xfId="2103"/>
    <cellStyle name="Comma 3 7 15" xfId="2104"/>
    <cellStyle name="Comma 3 7 16" xfId="2105"/>
    <cellStyle name="Comma 3 7 17" xfId="2106"/>
    <cellStyle name="Comma 3 7 18" xfId="2107"/>
    <cellStyle name="Comma 3 7 19" xfId="2108"/>
    <cellStyle name="Comma 3 7 2" xfId="2109"/>
    <cellStyle name="Comma 3 7 20" xfId="2110"/>
    <cellStyle name="Comma 3 7 21" xfId="2111"/>
    <cellStyle name="Comma 3 7 22" xfId="2112"/>
    <cellStyle name="Comma 3 7 23" xfId="2113"/>
    <cellStyle name="Comma 3 7 24" xfId="2114"/>
    <cellStyle name="Comma 3 7 25" xfId="2115"/>
    <cellStyle name="Comma 3 7 26" xfId="2116"/>
    <cellStyle name="Comma 3 7 27" xfId="2117"/>
    <cellStyle name="Comma 3 7 28" xfId="2118"/>
    <cellStyle name="Comma 3 7 29" xfId="2119"/>
    <cellStyle name="Comma 3 7 3" xfId="2120"/>
    <cellStyle name="Comma 3 7 30" xfId="2121"/>
    <cellStyle name="Comma 3 7 31" xfId="2122"/>
    <cellStyle name="Comma 3 7 32" xfId="2123"/>
    <cellStyle name="Comma 3 7 33" xfId="2124"/>
    <cellStyle name="Comma 3 7 34" xfId="2125"/>
    <cellStyle name="Comma 3 7 4" xfId="2126"/>
    <cellStyle name="Comma 3 7 5" xfId="2127"/>
    <cellStyle name="Comma 3 7 6" xfId="2128"/>
    <cellStyle name="Comma 3 7 7" xfId="2129"/>
    <cellStyle name="Comma 3 7 8" xfId="2130"/>
    <cellStyle name="Comma 3 7 9" xfId="2131"/>
    <cellStyle name="Comma 3 8" xfId="2132"/>
    <cellStyle name="Comma 3 8 10" xfId="2133"/>
    <cellStyle name="Comma 3 8 11" xfId="2134"/>
    <cellStyle name="Comma 3 8 12" xfId="2135"/>
    <cellStyle name="Comma 3 8 13" xfId="2136"/>
    <cellStyle name="Comma 3 8 14" xfId="2137"/>
    <cellStyle name="Comma 3 8 15" xfId="2138"/>
    <cellStyle name="Comma 3 8 16" xfId="2139"/>
    <cellStyle name="Comma 3 8 17" xfId="2140"/>
    <cellStyle name="Comma 3 8 18" xfId="2141"/>
    <cellStyle name="Comma 3 8 19" xfId="2142"/>
    <cellStyle name="Comma 3 8 2" xfId="2143"/>
    <cellStyle name="Comma 3 8 20" xfId="2144"/>
    <cellStyle name="Comma 3 8 21" xfId="2145"/>
    <cellStyle name="Comma 3 8 22" xfId="2146"/>
    <cellStyle name="Comma 3 8 23" xfId="2147"/>
    <cellStyle name="Comma 3 8 24" xfId="2148"/>
    <cellStyle name="Comma 3 8 25" xfId="2149"/>
    <cellStyle name="Comma 3 8 26" xfId="2150"/>
    <cellStyle name="Comma 3 8 27" xfId="2151"/>
    <cellStyle name="Comma 3 8 28" xfId="2152"/>
    <cellStyle name="Comma 3 8 29" xfId="2153"/>
    <cellStyle name="Comma 3 8 3" xfId="2154"/>
    <cellStyle name="Comma 3 8 30" xfId="2155"/>
    <cellStyle name="Comma 3 8 31" xfId="2156"/>
    <cellStyle name="Comma 3 8 32" xfId="2157"/>
    <cellStyle name="Comma 3 8 33" xfId="2158"/>
    <cellStyle name="Comma 3 8 34" xfId="2159"/>
    <cellStyle name="Comma 3 8 4" xfId="2160"/>
    <cellStyle name="Comma 3 8 5" xfId="2161"/>
    <cellStyle name="Comma 3 8 6" xfId="2162"/>
    <cellStyle name="Comma 3 8 7" xfId="2163"/>
    <cellStyle name="Comma 3 8 8" xfId="2164"/>
    <cellStyle name="Comma 3 8 9" xfId="2165"/>
    <cellStyle name="Comma 3 9" xfId="2166"/>
    <cellStyle name="Comma 3 9 10" xfId="2167"/>
    <cellStyle name="Comma 3 9 11" xfId="2168"/>
    <cellStyle name="Comma 3 9 12" xfId="2169"/>
    <cellStyle name="Comma 3 9 13" xfId="2170"/>
    <cellStyle name="Comma 3 9 14" xfId="2171"/>
    <cellStyle name="Comma 3 9 15" xfId="2172"/>
    <cellStyle name="Comma 3 9 16" xfId="2173"/>
    <cellStyle name="Comma 3 9 17" xfId="2174"/>
    <cellStyle name="Comma 3 9 18" xfId="2175"/>
    <cellStyle name="Comma 3 9 19" xfId="2176"/>
    <cellStyle name="Comma 3 9 2" xfId="2177"/>
    <cellStyle name="Comma 3 9 20" xfId="2178"/>
    <cellStyle name="Comma 3 9 21" xfId="2179"/>
    <cellStyle name="Comma 3 9 22" xfId="2180"/>
    <cellStyle name="Comma 3 9 23" xfId="2181"/>
    <cellStyle name="Comma 3 9 24" xfId="2182"/>
    <cellStyle name="Comma 3 9 25" xfId="2183"/>
    <cellStyle name="Comma 3 9 26" xfId="2184"/>
    <cellStyle name="Comma 3 9 27" xfId="2185"/>
    <cellStyle name="Comma 3 9 28" xfId="2186"/>
    <cellStyle name="Comma 3 9 29" xfId="2187"/>
    <cellStyle name="Comma 3 9 3" xfId="2188"/>
    <cellStyle name="Comma 3 9 30" xfId="2189"/>
    <cellStyle name="Comma 3 9 31" xfId="2190"/>
    <cellStyle name="Comma 3 9 32" xfId="2191"/>
    <cellStyle name="Comma 3 9 33" xfId="2192"/>
    <cellStyle name="Comma 3 9 34" xfId="2193"/>
    <cellStyle name="Comma 3 9 4" xfId="2194"/>
    <cellStyle name="Comma 3 9 5" xfId="2195"/>
    <cellStyle name="Comma 3 9 6" xfId="2196"/>
    <cellStyle name="Comma 3 9 7" xfId="2197"/>
    <cellStyle name="Comma 3 9 8" xfId="2198"/>
    <cellStyle name="Comma 3 9 9" xfId="2199"/>
    <cellStyle name="Comma 4" xfId="2200"/>
    <cellStyle name="Comma 5" xfId="2201"/>
    <cellStyle name="Comma 5 2" xfId="2202"/>
    <cellStyle name="Comma 5 3" xfId="2203"/>
    <cellStyle name="Comma 6" xfId="2204"/>
    <cellStyle name="Comma 6 2" xfId="2205"/>
    <cellStyle name="Comma 6 2 2" xfId="2206"/>
    <cellStyle name="Comma 6 2 2 2" xfId="2207"/>
    <cellStyle name="Comma 6 2 2 2 2" xfId="2208"/>
    <cellStyle name="Comma 6 2 2 2 3" xfId="2209"/>
    <cellStyle name="Comma 6 2 2 3" xfId="2210"/>
    <cellStyle name="Comma 6 2 2 4" xfId="2211"/>
    <cellStyle name="Comma 6 2 3" xfId="2212"/>
    <cellStyle name="Comma 6 2 3 2" xfId="2213"/>
    <cellStyle name="Comma 6 2 3 2 2" xfId="2214"/>
    <cellStyle name="Comma 6 2 3 2 3" xfId="2215"/>
    <cellStyle name="Comma 6 2 3 3" xfId="2216"/>
    <cellStyle name="Comma 6 2 3 4" xfId="2217"/>
    <cellStyle name="Comma 6 2 4" xfId="2218"/>
    <cellStyle name="Comma 6 2 4 2" xfId="2219"/>
    <cellStyle name="Comma 6 2 4 2 2" xfId="2220"/>
    <cellStyle name="Comma 6 2 4 2 3" xfId="2221"/>
    <cellStyle name="Comma 6 2 4 3" xfId="2222"/>
    <cellStyle name="Comma 6 2 4 4" xfId="2223"/>
    <cellStyle name="Comma 6 2 5" xfId="2224"/>
    <cellStyle name="Comma 6 2 5 2" xfId="2225"/>
    <cellStyle name="Comma 6 2 5 2 2" xfId="2226"/>
    <cellStyle name="Comma 6 2 5 2 3" xfId="2227"/>
    <cellStyle name="Comma 6 2 5 3" xfId="2228"/>
    <cellStyle name="Comma 6 2 5 4" xfId="2229"/>
    <cellStyle name="Comma 6 2 6" xfId="2230"/>
    <cellStyle name="Comma 6 2 6 2" xfId="2231"/>
    <cellStyle name="Comma 6 2 6 3" xfId="2232"/>
    <cellStyle name="Comma 6 2 7" xfId="2233"/>
    <cellStyle name="Comma 6 2 8" xfId="2234"/>
    <cellStyle name="Comma 6 3" xfId="2235"/>
    <cellStyle name="Comma 6 3 2" xfId="2236"/>
    <cellStyle name="Comma 6 3 2 2" xfId="2237"/>
    <cellStyle name="Comma 6 3 2 3" xfId="2238"/>
    <cellStyle name="Comma 6 3 3" xfId="2239"/>
    <cellStyle name="Comma 6 3 4" xfId="2240"/>
    <cellStyle name="Comma 6 4" xfId="2241"/>
    <cellStyle name="Comma 6 4 2" xfId="2242"/>
    <cellStyle name="Comma 6 4 2 2" xfId="2243"/>
    <cellStyle name="Comma 6 4 2 3" xfId="2244"/>
    <cellStyle name="Comma 6 4 3" xfId="2245"/>
    <cellStyle name="Comma 6 4 4" xfId="2246"/>
    <cellStyle name="Comma 6 5" xfId="2247"/>
    <cellStyle name="Comma 6 5 2" xfId="2248"/>
    <cellStyle name="Comma 6 5 2 2" xfId="2249"/>
    <cellStyle name="Comma 6 5 2 3" xfId="2250"/>
    <cellStyle name="Comma 6 5 3" xfId="2251"/>
    <cellStyle name="Comma 6 5 4" xfId="2252"/>
    <cellStyle name="Comma 6 6" xfId="2253"/>
    <cellStyle name="Comma 6 6 2" xfId="2254"/>
    <cellStyle name="Comma 6 6 2 2" xfId="2255"/>
    <cellStyle name="Comma 6 6 2 3" xfId="2256"/>
    <cellStyle name="Comma 6 6 3" xfId="2257"/>
    <cellStyle name="Comma 6 6 4" xfId="2258"/>
    <cellStyle name="Comma 6 7" xfId="2259"/>
    <cellStyle name="Comma 6 7 2" xfId="2260"/>
    <cellStyle name="Comma 6 7 3" xfId="2261"/>
    <cellStyle name="Comma 6 8" xfId="2262"/>
    <cellStyle name="Comma 6 9" xfId="2263"/>
    <cellStyle name="Currency" xfId="7393" builtinId="4"/>
    <cellStyle name="Currency 2" xfId="2264"/>
    <cellStyle name="Currency 3" xfId="2265"/>
    <cellStyle name="Data_Total" xfId="7345"/>
    <cellStyle name="Dezimal 2" xfId="7346"/>
    <cellStyle name="Dezimal 2 2" xfId="7347"/>
    <cellStyle name="Dezimal 2 2 2" xfId="7348"/>
    <cellStyle name="Dezimal 2 2 2 2" xfId="7349"/>
    <cellStyle name="Dezimal 2 2 3" xfId="7350"/>
    <cellStyle name="Dezimal 2 3" xfId="7351"/>
    <cellStyle name="Dezimal 2 4" xfId="7352"/>
    <cellStyle name="Dezimal 3" xfId="7353"/>
    <cellStyle name="Dezimal 3 2" xfId="7354"/>
    <cellStyle name="Dezimal 4" xfId="7355"/>
    <cellStyle name="Dezimal 5" xfId="7356"/>
    <cellStyle name="Dezimal 6" xfId="7357"/>
    <cellStyle name="Dezimal 7" xfId="7358"/>
    <cellStyle name="Dezimal 8" xfId="7359"/>
    <cellStyle name="Dezimal_mai99" xfId="2266"/>
    <cellStyle name="Euro" xfId="7360"/>
    <cellStyle name="Euro 2" xfId="7361"/>
    <cellStyle name="Excel Built-in Normal" xfId="2267"/>
    <cellStyle name="Explanatory Text 2" xfId="2268"/>
    <cellStyle name="Finanční" xfId="7362"/>
    <cellStyle name="Good 2" xfId="2269"/>
    <cellStyle name="Header" xfId="2270"/>
    <cellStyle name="Heading 1 2" xfId="2271"/>
    <cellStyle name="Heading 2 2" xfId="2272"/>
    <cellStyle name="Heading 3 2" xfId="2273"/>
    <cellStyle name="Heading 4 2" xfId="2274"/>
    <cellStyle name="Headings" xfId="7363"/>
    <cellStyle name="Hyperlink" xfId="2" builtinId="8"/>
    <cellStyle name="Hyperlink 2" xfId="2275"/>
    <cellStyle name="Hyperlink 2 10" xfId="2276"/>
    <cellStyle name="Hyperlink 2 2" xfId="2277"/>
    <cellStyle name="Hyperlink 2 2 2" xfId="2278"/>
    <cellStyle name="Hyperlink 2 2 2 2" xfId="2279"/>
    <cellStyle name="Hyperlink 2 2 2 3" xfId="2280"/>
    <cellStyle name="Hyperlink 2 2 2 4" xfId="2281"/>
    <cellStyle name="Hyperlink 2 2 2 5" xfId="2282"/>
    <cellStyle name="Hyperlink 2 2 3" xfId="2283"/>
    <cellStyle name="Hyperlink 2 2 4" xfId="2284"/>
    <cellStyle name="Hyperlink 2 2 5" xfId="2285"/>
    <cellStyle name="Hyperlink 2 3" xfId="2286"/>
    <cellStyle name="Hyperlink 2 3 2" xfId="2287"/>
    <cellStyle name="Hyperlink 2 3 3" xfId="2288"/>
    <cellStyle name="Hyperlink 2 4" xfId="2289"/>
    <cellStyle name="Hyperlink 2 4 2" xfId="2290"/>
    <cellStyle name="Hyperlink 2 4 3" xfId="2291"/>
    <cellStyle name="Hyperlink 2 5" xfId="2292"/>
    <cellStyle name="Hyperlink 2 5 2" xfId="2293"/>
    <cellStyle name="Hyperlink 2 5 3" xfId="2294"/>
    <cellStyle name="Hyperlink 2 6" xfId="2295"/>
    <cellStyle name="Hyperlink 2 6 2" xfId="2296"/>
    <cellStyle name="Hyperlink 2 6 3" xfId="2297"/>
    <cellStyle name="Hyperlink 2 7" xfId="2298"/>
    <cellStyle name="Hyperlink 2 8" xfId="2299"/>
    <cellStyle name="Hyperlink 2 9" xfId="2300"/>
    <cellStyle name="Hyperlink 2_Market Size for Global Mining" xfId="2301"/>
    <cellStyle name="Hyperlink 3" xfId="2302"/>
    <cellStyle name="Hyperlink 4" xfId="7364"/>
    <cellStyle name="Input 2" xfId="2303"/>
    <cellStyle name="Linked Cell 2" xfId="2304"/>
    <cellStyle name="Mida_e" xfId="2305"/>
    <cellStyle name="Milliers_hot2001" xfId="2306"/>
    <cellStyle name="Neutral 2" xfId="2307"/>
    <cellStyle name="Normal" xfId="0" builtinId="0"/>
    <cellStyle name="Normal 10" xfId="2308"/>
    <cellStyle name="Normal 10 10" xfId="2309"/>
    <cellStyle name="Normal 10 11" xfId="2310"/>
    <cellStyle name="Normal 10 12" xfId="2311"/>
    <cellStyle name="Normal 10 13" xfId="2312"/>
    <cellStyle name="Normal 10 14" xfId="2313"/>
    <cellStyle name="Normal 10 15" xfId="2314"/>
    <cellStyle name="Normal 10 16" xfId="2315"/>
    <cellStyle name="Normal 10 17" xfId="2316"/>
    <cellStyle name="Normal 10 18" xfId="2317"/>
    <cellStyle name="Normal 10 19" xfId="2318"/>
    <cellStyle name="Normal 10 2" xfId="2319"/>
    <cellStyle name="Normal 10 20" xfId="2320"/>
    <cellStyle name="Normal 10 21" xfId="2321"/>
    <cellStyle name="Normal 10 3" xfId="2322"/>
    <cellStyle name="Normal 10 4" xfId="2323"/>
    <cellStyle name="Normal 10 5" xfId="2324"/>
    <cellStyle name="Normal 10 6" xfId="2325"/>
    <cellStyle name="Normal 10 7" xfId="2326"/>
    <cellStyle name="Normal 10 8" xfId="2327"/>
    <cellStyle name="Normal 10 9" xfId="2328"/>
    <cellStyle name="Normal 11" xfId="2329"/>
    <cellStyle name="Normal 11 10" xfId="2330"/>
    <cellStyle name="Normal 11 11" xfId="2331"/>
    <cellStyle name="Normal 11 12" xfId="2332"/>
    <cellStyle name="Normal 11 13" xfId="2333"/>
    <cellStyle name="Normal 11 14" xfId="2334"/>
    <cellStyle name="Normal 11 15" xfId="2335"/>
    <cellStyle name="Normal 11 16" xfId="2336"/>
    <cellStyle name="Normal 11 17" xfId="2337"/>
    <cellStyle name="Normal 11 18" xfId="2338"/>
    <cellStyle name="Normal 11 19" xfId="2339"/>
    <cellStyle name="Normal 11 2" xfId="2340"/>
    <cellStyle name="Normal 11 2 2" xfId="2341"/>
    <cellStyle name="Normal 11 2 3" xfId="2342"/>
    <cellStyle name="Normal 11 20" xfId="2343"/>
    <cellStyle name="Normal 11 21" xfId="2344"/>
    <cellStyle name="Normal 11 22" xfId="2345"/>
    <cellStyle name="Normal 11 23" xfId="2346"/>
    <cellStyle name="Normal 11 24" xfId="2347"/>
    <cellStyle name="Normal 11 25" xfId="2348"/>
    <cellStyle name="Normal 11 26" xfId="2349"/>
    <cellStyle name="Normal 11 27" xfId="2350"/>
    <cellStyle name="Normal 11 28" xfId="2351"/>
    <cellStyle name="Normal 11 29" xfId="2352"/>
    <cellStyle name="Normal 11 3" xfId="2353"/>
    <cellStyle name="Normal 11 30" xfId="2354"/>
    <cellStyle name="Normal 11 31" xfId="2355"/>
    <cellStyle name="Normal 11 32" xfId="2356"/>
    <cellStyle name="Normal 11 33" xfId="2357"/>
    <cellStyle name="Normal 11 34" xfId="2358"/>
    <cellStyle name="Normal 11 35" xfId="2359"/>
    <cellStyle name="Normal 11 36" xfId="2360"/>
    <cellStyle name="Normal 11 37" xfId="2361"/>
    <cellStyle name="Normal 11 38" xfId="2362"/>
    <cellStyle name="Normal 11 39" xfId="2363"/>
    <cellStyle name="Normal 11 4" xfId="2364"/>
    <cellStyle name="Normal 11 40" xfId="2365"/>
    <cellStyle name="Normal 11 41" xfId="2366"/>
    <cellStyle name="Normal 11 42" xfId="2367"/>
    <cellStyle name="Normal 11 43" xfId="2368"/>
    <cellStyle name="Normal 11 44" xfId="2369"/>
    <cellStyle name="Normal 11 45" xfId="2370"/>
    <cellStyle name="Normal 11 46" xfId="2371"/>
    <cellStyle name="Normal 11 47" xfId="2372"/>
    <cellStyle name="Normal 11 48" xfId="2373"/>
    <cellStyle name="Normal 11 49" xfId="2374"/>
    <cellStyle name="Normal 11 5" xfId="2375"/>
    <cellStyle name="Normal 11 50" xfId="2376"/>
    <cellStyle name="Normal 11 51" xfId="2377"/>
    <cellStyle name="Normal 11 52" xfId="2378"/>
    <cellStyle name="Normal 11 53" xfId="2379"/>
    <cellStyle name="Normal 11 54" xfId="2380"/>
    <cellStyle name="Normal 11 55" xfId="2381"/>
    <cellStyle name="Normal 11 56" xfId="2382"/>
    <cellStyle name="Normal 11 57" xfId="2383"/>
    <cellStyle name="Normal 11 58" xfId="2384"/>
    <cellStyle name="Normal 11 59" xfId="2385"/>
    <cellStyle name="Normal 11 6" xfId="2386"/>
    <cellStyle name="Normal 11 60" xfId="2387"/>
    <cellStyle name="Normal 11 61" xfId="2388"/>
    <cellStyle name="Normal 11 62" xfId="2389"/>
    <cellStyle name="Normal 11 63" xfId="2390"/>
    <cellStyle name="Normal 11 64" xfId="2391"/>
    <cellStyle name="Normal 11 65" xfId="2392"/>
    <cellStyle name="Normal 11 66" xfId="2393"/>
    <cellStyle name="Normal 11 67" xfId="2394"/>
    <cellStyle name="Normal 11 68" xfId="2395"/>
    <cellStyle name="Normal 11 69" xfId="2396"/>
    <cellStyle name="Normal 11 7" xfId="2397"/>
    <cellStyle name="Normal 11 70" xfId="2398"/>
    <cellStyle name="Normal 11 71" xfId="2399"/>
    <cellStyle name="Normal 11 72" xfId="2400"/>
    <cellStyle name="Normal 11 73" xfId="2401"/>
    <cellStyle name="Normal 11 74" xfId="2402"/>
    <cellStyle name="Normal 11 75" xfId="2403"/>
    <cellStyle name="Normal 11 76" xfId="2404"/>
    <cellStyle name="Normal 11 77" xfId="2405"/>
    <cellStyle name="Normal 11 78" xfId="2406"/>
    <cellStyle name="Normal 11 79" xfId="2407"/>
    <cellStyle name="Normal 11 8" xfId="2408"/>
    <cellStyle name="Normal 11 80" xfId="2409"/>
    <cellStyle name="Normal 11 81" xfId="2410"/>
    <cellStyle name="Normal 11 82" xfId="2411"/>
    <cellStyle name="Normal 11 83" xfId="2412"/>
    <cellStyle name="Normal 11 84" xfId="2413"/>
    <cellStyle name="Normal 11 85" xfId="2414"/>
    <cellStyle name="Normal 11 86" xfId="2415"/>
    <cellStyle name="Normal 11 87" xfId="2416"/>
    <cellStyle name="Normal 11 88" xfId="2417"/>
    <cellStyle name="Normal 11 89" xfId="2418"/>
    <cellStyle name="Normal 11 9" xfId="2419"/>
    <cellStyle name="Normal 11 90" xfId="2420"/>
    <cellStyle name="Normal 11 91" xfId="2421"/>
    <cellStyle name="Normal 12" xfId="2422"/>
    <cellStyle name="Normal 12 10" xfId="2423"/>
    <cellStyle name="Normal 12 11" xfId="2424"/>
    <cellStyle name="Normal 12 12" xfId="2425"/>
    <cellStyle name="Normal 12 13" xfId="2426"/>
    <cellStyle name="Normal 12 14" xfId="2427"/>
    <cellStyle name="Normal 12 15" xfId="2428"/>
    <cellStyle name="Normal 12 16" xfId="2429"/>
    <cellStyle name="Normal 12 17" xfId="2430"/>
    <cellStyle name="Normal 12 18" xfId="2431"/>
    <cellStyle name="Normal 12 19" xfId="2432"/>
    <cellStyle name="Normal 12 2" xfId="2433"/>
    <cellStyle name="Normal 12 20" xfId="2434"/>
    <cellStyle name="Normal 12 21" xfId="2435"/>
    <cellStyle name="Normal 12 22" xfId="2436"/>
    <cellStyle name="Normal 12 23" xfId="2437"/>
    <cellStyle name="Normal 12 24" xfId="2438"/>
    <cellStyle name="Normal 12 25" xfId="2439"/>
    <cellStyle name="Normal 12 26" xfId="2440"/>
    <cellStyle name="Normal 12 27" xfId="2441"/>
    <cellStyle name="Normal 12 28" xfId="2442"/>
    <cellStyle name="Normal 12 29" xfId="2443"/>
    <cellStyle name="Normal 12 3" xfId="2444"/>
    <cellStyle name="Normal 12 30" xfId="2445"/>
    <cellStyle name="Normal 12 31" xfId="2446"/>
    <cellStyle name="Normal 12 32" xfId="2447"/>
    <cellStyle name="Normal 12 33" xfId="2448"/>
    <cellStyle name="Normal 12 34" xfId="2449"/>
    <cellStyle name="Normal 12 35" xfId="2450"/>
    <cellStyle name="Normal 12 36" xfId="2451"/>
    <cellStyle name="Normal 12 37" xfId="2452"/>
    <cellStyle name="Normal 12 38" xfId="2453"/>
    <cellStyle name="Normal 12 39" xfId="2454"/>
    <cellStyle name="Normal 12 4" xfId="2455"/>
    <cellStyle name="Normal 12 40" xfId="2456"/>
    <cellStyle name="Normal 12 41" xfId="2457"/>
    <cellStyle name="Normal 12 42" xfId="2458"/>
    <cellStyle name="Normal 12 43" xfId="2459"/>
    <cellStyle name="Normal 12 44" xfId="2460"/>
    <cellStyle name="Normal 12 45" xfId="2461"/>
    <cellStyle name="Normal 12 46" xfId="2462"/>
    <cellStyle name="Normal 12 47" xfId="2463"/>
    <cellStyle name="Normal 12 48" xfId="2464"/>
    <cellStyle name="Normal 12 49" xfId="2465"/>
    <cellStyle name="Normal 12 5" xfId="2466"/>
    <cellStyle name="Normal 12 50" xfId="2467"/>
    <cellStyle name="Normal 12 51" xfId="2468"/>
    <cellStyle name="Normal 12 52" xfId="2469"/>
    <cellStyle name="Normal 12 53" xfId="2470"/>
    <cellStyle name="Normal 12 54" xfId="2471"/>
    <cellStyle name="Normal 12 55" xfId="2472"/>
    <cellStyle name="Normal 12 56" xfId="2473"/>
    <cellStyle name="Normal 12 57" xfId="2474"/>
    <cellStyle name="Normal 12 58" xfId="2475"/>
    <cellStyle name="Normal 12 59" xfId="2476"/>
    <cellStyle name="Normal 12 6" xfId="2477"/>
    <cellStyle name="Normal 12 60" xfId="2478"/>
    <cellStyle name="Normal 12 61" xfId="2479"/>
    <cellStyle name="Normal 12 62" xfId="2480"/>
    <cellStyle name="Normal 12 63" xfId="2481"/>
    <cellStyle name="Normal 12 64" xfId="2482"/>
    <cellStyle name="Normal 12 65" xfId="2483"/>
    <cellStyle name="Normal 12 66" xfId="2484"/>
    <cellStyle name="Normal 12 67" xfId="2485"/>
    <cellStyle name="Normal 12 68" xfId="2486"/>
    <cellStyle name="Normal 12 69" xfId="2487"/>
    <cellStyle name="Normal 12 7" xfId="2488"/>
    <cellStyle name="Normal 12 8" xfId="2489"/>
    <cellStyle name="Normal 12 9" xfId="2490"/>
    <cellStyle name="Normal 13" xfId="2491"/>
    <cellStyle name="Normal 13 10" xfId="2492"/>
    <cellStyle name="Normal 13 11" xfId="2493"/>
    <cellStyle name="Normal 13 12" xfId="2494"/>
    <cellStyle name="Normal 13 13" xfId="2495"/>
    <cellStyle name="Normal 13 14" xfId="2496"/>
    <cellStyle name="Normal 13 15" xfId="2497"/>
    <cellStyle name="Normal 13 16" xfId="2498"/>
    <cellStyle name="Normal 13 17" xfId="2499"/>
    <cellStyle name="Normal 13 18" xfId="2500"/>
    <cellStyle name="Normal 13 19" xfId="2501"/>
    <cellStyle name="Normal 13 2" xfId="2502"/>
    <cellStyle name="Normal 13 20" xfId="2503"/>
    <cellStyle name="Normal 13 21" xfId="2504"/>
    <cellStyle name="Normal 13 22" xfId="2505"/>
    <cellStyle name="Normal 13 23" xfId="2506"/>
    <cellStyle name="Normal 13 24" xfId="2507"/>
    <cellStyle name="Normal 13 25" xfId="2508"/>
    <cellStyle name="Normal 13 26" xfId="2509"/>
    <cellStyle name="Normal 13 27" xfId="2510"/>
    <cellStyle name="Normal 13 28" xfId="2511"/>
    <cellStyle name="Normal 13 29" xfId="2512"/>
    <cellStyle name="Normal 13 3" xfId="2513"/>
    <cellStyle name="Normal 13 30" xfId="2514"/>
    <cellStyle name="Normal 13 31" xfId="2515"/>
    <cellStyle name="Normal 13 32" xfId="2516"/>
    <cellStyle name="Normal 13 33" xfId="2517"/>
    <cellStyle name="Normal 13 34" xfId="2518"/>
    <cellStyle name="Normal 13 35" xfId="2519"/>
    <cellStyle name="Normal 13 36" xfId="2520"/>
    <cellStyle name="Normal 13 37" xfId="2521"/>
    <cellStyle name="Normal 13 38" xfId="2522"/>
    <cellStyle name="Normal 13 39" xfId="2523"/>
    <cellStyle name="Normal 13 4" xfId="2524"/>
    <cellStyle name="Normal 13 40" xfId="2525"/>
    <cellStyle name="Normal 13 41" xfId="2526"/>
    <cellStyle name="Normal 13 42" xfId="2527"/>
    <cellStyle name="Normal 13 43" xfId="2528"/>
    <cellStyle name="Normal 13 44" xfId="2529"/>
    <cellStyle name="Normal 13 45" xfId="2530"/>
    <cellStyle name="Normal 13 46" xfId="2531"/>
    <cellStyle name="Normal 13 47" xfId="2532"/>
    <cellStyle name="Normal 13 48" xfId="2533"/>
    <cellStyle name="Normal 13 49" xfId="2534"/>
    <cellStyle name="Normal 13 5" xfId="2535"/>
    <cellStyle name="Normal 13 50" xfId="2536"/>
    <cellStyle name="Normal 13 51" xfId="2537"/>
    <cellStyle name="Normal 13 52" xfId="2538"/>
    <cellStyle name="Normal 13 53" xfId="2539"/>
    <cellStyle name="Normal 13 54" xfId="2540"/>
    <cellStyle name="Normal 13 55" xfId="2541"/>
    <cellStyle name="Normal 13 56" xfId="2542"/>
    <cellStyle name="Normal 13 57" xfId="2543"/>
    <cellStyle name="Normal 13 58" xfId="2544"/>
    <cellStyle name="Normal 13 59" xfId="2545"/>
    <cellStyle name="Normal 13 6" xfId="2546"/>
    <cellStyle name="Normal 13 60" xfId="2547"/>
    <cellStyle name="Normal 13 61" xfId="2548"/>
    <cellStyle name="Normal 13 62" xfId="2549"/>
    <cellStyle name="Normal 13 63" xfId="2550"/>
    <cellStyle name="Normal 13 64" xfId="2551"/>
    <cellStyle name="Normal 13 65" xfId="2552"/>
    <cellStyle name="Normal 13 66" xfId="2553"/>
    <cellStyle name="Normal 13 67" xfId="2554"/>
    <cellStyle name="Normal 13 68" xfId="2555"/>
    <cellStyle name="Normal 13 69" xfId="2556"/>
    <cellStyle name="Normal 13 7" xfId="2557"/>
    <cellStyle name="Normal 13 8" xfId="2558"/>
    <cellStyle name="Normal 13 9" xfId="2559"/>
    <cellStyle name="Normal 14" xfId="2560"/>
    <cellStyle name="Normal 14 10" xfId="2561"/>
    <cellStyle name="Normal 14 11" xfId="2562"/>
    <cellStyle name="Normal 14 12" xfId="2563"/>
    <cellStyle name="Normal 14 13" xfId="2564"/>
    <cellStyle name="Normal 14 14" xfId="2565"/>
    <cellStyle name="Normal 14 15" xfId="2566"/>
    <cellStyle name="Normal 14 16" xfId="2567"/>
    <cellStyle name="Normal 14 17" xfId="2568"/>
    <cellStyle name="Normal 14 18" xfId="2569"/>
    <cellStyle name="Normal 14 19" xfId="2570"/>
    <cellStyle name="Normal 14 2" xfId="2571"/>
    <cellStyle name="Normal 14 20" xfId="2572"/>
    <cellStyle name="Normal 14 21" xfId="2573"/>
    <cellStyle name="Normal 14 22" xfId="2574"/>
    <cellStyle name="Normal 14 23" xfId="2575"/>
    <cellStyle name="Normal 14 24" xfId="2576"/>
    <cellStyle name="Normal 14 25" xfId="2577"/>
    <cellStyle name="Normal 14 26" xfId="2578"/>
    <cellStyle name="Normal 14 27" xfId="2579"/>
    <cellStyle name="Normal 14 28" xfId="2580"/>
    <cellStyle name="Normal 14 29" xfId="2581"/>
    <cellStyle name="Normal 14 3" xfId="2582"/>
    <cellStyle name="Normal 14 30" xfId="2583"/>
    <cellStyle name="Normal 14 31" xfId="2584"/>
    <cellStyle name="Normal 14 32" xfId="2585"/>
    <cellStyle name="Normal 14 33" xfId="2586"/>
    <cellStyle name="Normal 14 34" xfId="2587"/>
    <cellStyle name="Normal 14 35" xfId="2588"/>
    <cellStyle name="Normal 14 36" xfId="2589"/>
    <cellStyle name="Normal 14 37" xfId="2590"/>
    <cellStyle name="Normal 14 38" xfId="2591"/>
    <cellStyle name="Normal 14 39" xfId="2592"/>
    <cellStyle name="Normal 14 4" xfId="2593"/>
    <cellStyle name="Normal 14 40" xfId="2594"/>
    <cellStyle name="Normal 14 41" xfId="2595"/>
    <cellStyle name="Normal 14 42" xfId="2596"/>
    <cellStyle name="Normal 14 43" xfId="2597"/>
    <cellStyle name="Normal 14 44" xfId="2598"/>
    <cellStyle name="Normal 14 45" xfId="2599"/>
    <cellStyle name="Normal 14 46" xfId="2600"/>
    <cellStyle name="Normal 14 47" xfId="2601"/>
    <cellStyle name="Normal 14 48" xfId="2602"/>
    <cellStyle name="Normal 14 49" xfId="2603"/>
    <cellStyle name="Normal 14 5" xfId="2604"/>
    <cellStyle name="Normal 14 50" xfId="2605"/>
    <cellStyle name="Normal 14 51" xfId="2606"/>
    <cellStyle name="Normal 14 52" xfId="2607"/>
    <cellStyle name="Normal 14 53" xfId="2608"/>
    <cellStyle name="Normal 14 54" xfId="2609"/>
    <cellStyle name="Normal 14 55" xfId="2610"/>
    <cellStyle name="Normal 14 56" xfId="2611"/>
    <cellStyle name="Normal 14 57" xfId="2612"/>
    <cellStyle name="Normal 14 58" xfId="2613"/>
    <cellStyle name="Normal 14 59" xfId="2614"/>
    <cellStyle name="Normal 14 6" xfId="2615"/>
    <cellStyle name="Normal 14 60" xfId="2616"/>
    <cellStyle name="Normal 14 61" xfId="2617"/>
    <cellStyle name="Normal 14 62" xfId="2618"/>
    <cellStyle name="Normal 14 63" xfId="2619"/>
    <cellStyle name="Normal 14 64" xfId="2620"/>
    <cellStyle name="Normal 14 65" xfId="2621"/>
    <cellStyle name="Normal 14 66" xfId="2622"/>
    <cellStyle name="Normal 14 67" xfId="2623"/>
    <cellStyle name="Normal 14 68" xfId="2624"/>
    <cellStyle name="Normal 14 69" xfId="2625"/>
    <cellStyle name="Normal 14 7" xfId="2626"/>
    <cellStyle name="Normal 14 8" xfId="2627"/>
    <cellStyle name="Normal 14 9" xfId="2628"/>
    <cellStyle name="Normal 15" xfId="2629"/>
    <cellStyle name="Normal 15 10" xfId="2630"/>
    <cellStyle name="Normal 15 11" xfId="2631"/>
    <cellStyle name="Normal 15 12" xfId="2632"/>
    <cellStyle name="Normal 15 13" xfId="2633"/>
    <cellStyle name="Normal 15 14" xfId="2634"/>
    <cellStyle name="Normal 15 15" xfId="2635"/>
    <cellStyle name="Normal 15 16" xfId="2636"/>
    <cellStyle name="Normal 15 17" xfId="2637"/>
    <cellStyle name="Normal 15 18" xfId="2638"/>
    <cellStyle name="Normal 15 19" xfId="2639"/>
    <cellStyle name="Normal 15 2" xfId="2640"/>
    <cellStyle name="Normal 15 2 2" xfId="2641"/>
    <cellStyle name="Normal 15 2 3" xfId="2642"/>
    <cellStyle name="Normal 15 20" xfId="2643"/>
    <cellStyle name="Normal 15 21" xfId="2644"/>
    <cellStyle name="Normal 15 22" xfId="2645"/>
    <cellStyle name="Normal 15 23" xfId="2646"/>
    <cellStyle name="Normal 15 24" xfId="2647"/>
    <cellStyle name="Normal 15 25" xfId="2648"/>
    <cellStyle name="Normal 15 26" xfId="2649"/>
    <cellStyle name="Normal 15 27" xfId="2650"/>
    <cellStyle name="Normal 15 28" xfId="2651"/>
    <cellStyle name="Normal 15 29" xfId="2652"/>
    <cellStyle name="Normal 15 3" xfId="2653"/>
    <cellStyle name="Normal 15 30" xfId="2654"/>
    <cellStyle name="Normal 15 31" xfId="2655"/>
    <cellStyle name="Normal 15 32" xfId="2656"/>
    <cellStyle name="Normal 15 33" xfId="2657"/>
    <cellStyle name="Normal 15 34" xfId="2658"/>
    <cellStyle name="Normal 15 35" xfId="2659"/>
    <cellStyle name="Normal 15 36" xfId="2660"/>
    <cellStyle name="Normal 15 37" xfId="2661"/>
    <cellStyle name="Normal 15 38" xfId="2662"/>
    <cellStyle name="Normal 15 39" xfId="2663"/>
    <cellStyle name="Normal 15 4" xfId="2664"/>
    <cellStyle name="Normal 15 40" xfId="2665"/>
    <cellStyle name="Normal 15 41" xfId="2666"/>
    <cellStyle name="Normal 15 42" xfId="2667"/>
    <cellStyle name="Normal 15 43" xfId="2668"/>
    <cellStyle name="Normal 15 44" xfId="2669"/>
    <cellStyle name="Normal 15 45" xfId="2670"/>
    <cellStyle name="Normal 15 46" xfId="2671"/>
    <cellStyle name="Normal 15 47" xfId="2672"/>
    <cellStyle name="Normal 15 48" xfId="2673"/>
    <cellStyle name="Normal 15 49" xfId="2674"/>
    <cellStyle name="Normal 15 5" xfId="2675"/>
    <cellStyle name="Normal 15 50" xfId="2676"/>
    <cellStyle name="Normal 15 51" xfId="2677"/>
    <cellStyle name="Normal 15 52" xfId="2678"/>
    <cellStyle name="Normal 15 53" xfId="2679"/>
    <cellStyle name="Normal 15 54" xfId="2680"/>
    <cellStyle name="Normal 15 55" xfId="2681"/>
    <cellStyle name="Normal 15 56" xfId="2682"/>
    <cellStyle name="Normal 15 57" xfId="2683"/>
    <cellStyle name="Normal 15 58" xfId="2684"/>
    <cellStyle name="Normal 15 59" xfId="2685"/>
    <cellStyle name="Normal 15 6" xfId="2686"/>
    <cellStyle name="Normal 15 60" xfId="2687"/>
    <cellStyle name="Normal 15 61" xfId="2688"/>
    <cellStyle name="Normal 15 62" xfId="2689"/>
    <cellStyle name="Normal 15 63" xfId="2690"/>
    <cellStyle name="Normal 15 64" xfId="2691"/>
    <cellStyle name="Normal 15 65" xfId="2692"/>
    <cellStyle name="Normal 15 66" xfId="2693"/>
    <cellStyle name="Normal 15 67" xfId="2694"/>
    <cellStyle name="Normal 15 68" xfId="2695"/>
    <cellStyle name="Normal 15 69" xfId="2696"/>
    <cellStyle name="Normal 15 7" xfId="2697"/>
    <cellStyle name="Normal 15 70" xfId="2698"/>
    <cellStyle name="Normal 15 71" xfId="2699"/>
    <cellStyle name="Normal 15 72" xfId="2700"/>
    <cellStyle name="Normal 15 73" xfId="2701"/>
    <cellStyle name="Normal 15 74" xfId="2702"/>
    <cellStyle name="Normal 15 75" xfId="2703"/>
    <cellStyle name="Normal 15 76" xfId="2704"/>
    <cellStyle name="Normal 15 77" xfId="2705"/>
    <cellStyle name="Normal 15 78" xfId="2706"/>
    <cellStyle name="Normal 15 79" xfId="2707"/>
    <cellStyle name="Normal 15 8" xfId="2708"/>
    <cellStyle name="Normal 15 9" xfId="2709"/>
    <cellStyle name="Normal 16" xfId="2710"/>
    <cellStyle name="Normal 16 10" xfId="2711"/>
    <cellStyle name="Normal 16 11" xfId="2712"/>
    <cellStyle name="Normal 16 12" xfId="2713"/>
    <cellStyle name="Normal 16 13" xfId="2714"/>
    <cellStyle name="Normal 16 14" xfId="2715"/>
    <cellStyle name="Normal 16 15" xfId="2716"/>
    <cellStyle name="Normal 16 16" xfId="2717"/>
    <cellStyle name="Normal 16 17" xfId="2718"/>
    <cellStyle name="Normal 16 18" xfId="2719"/>
    <cellStyle name="Normal 16 19" xfId="2720"/>
    <cellStyle name="Normal 16 2" xfId="2721"/>
    <cellStyle name="Normal 16 20" xfId="2722"/>
    <cellStyle name="Normal 16 21" xfId="2723"/>
    <cellStyle name="Normal 16 22" xfId="2724"/>
    <cellStyle name="Normal 16 23" xfId="2725"/>
    <cellStyle name="Normal 16 24" xfId="2726"/>
    <cellStyle name="Normal 16 25" xfId="2727"/>
    <cellStyle name="Normal 16 26" xfId="2728"/>
    <cellStyle name="Normal 16 27" xfId="2729"/>
    <cellStyle name="Normal 16 28" xfId="2730"/>
    <cellStyle name="Normal 16 29" xfId="2731"/>
    <cellStyle name="Normal 16 3" xfId="2732"/>
    <cellStyle name="Normal 16 30" xfId="2733"/>
    <cellStyle name="Normal 16 31" xfId="2734"/>
    <cellStyle name="Normal 16 32" xfId="2735"/>
    <cellStyle name="Normal 16 33" xfId="2736"/>
    <cellStyle name="Normal 16 34" xfId="2737"/>
    <cellStyle name="Normal 16 35" xfId="2738"/>
    <cellStyle name="Normal 16 36" xfId="2739"/>
    <cellStyle name="Normal 16 37" xfId="2740"/>
    <cellStyle name="Normal 16 38" xfId="2741"/>
    <cellStyle name="Normal 16 39" xfId="2742"/>
    <cellStyle name="Normal 16 4" xfId="2743"/>
    <cellStyle name="Normal 16 40" xfId="2744"/>
    <cellStyle name="Normal 16 41" xfId="2745"/>
    <cellStyle name="Normal 16 42" xfId="2746"/>
    <cellStyle name="Normal 16 43" xfId="2747"/>
    <cellStyle name="Normal 16 44" xfId="2748"/>
    <cellStyle name="Normal 16 45" xfId="2749"/>
    <cellStyle name="Normal 16 46" xfId="2750"/>
    <cellStyle name="Normal 16 47" xfId="2751"/>
    <cellStyle name="Normal 16 48" xfId="2752"/>
    <cellStyle name="Normal 16 49" xfId="2753"/>
    <cellStyle name="Normal 16 5" xfId="2754"/>
    <cellStyle name="Normal 16 50" xfId="2755"/>
    <cellStyle name="Normal 16 51" xfId="2756"/>
    <cellStyle name="Normal 16 52" xfId="2757"/>
    <cellStyle name="Normal 16 53" xfId="2758"/>
    <cellStyle name="Normal 16 54" xfId="2759"/>
    <cellStyle name="Normal 16 55" xfId="2760"/>
    <cellStyle name="Normal 16 56" xfId="2761"/>
    <cellStyle name="Normal 16 57" xfId="2762"/>
    <cellStyle name="Normal 16 58" xfId="2763"/>
    <cellStyle name="Normal 16 59" xfId="2764"/>
    <cellStyle name="Normal 16 6" xfId="2765"/>
    <cellStyle name="Normal 16 60" xfId="2766"/>
    <cellStyle name="Normal 16 61" xfId="2767"/>
    <cellStyle name="Normal 16 62" xfId="2768"/>
    <cellStyle name="Normal 16 63" xfId="2769"/>
    <cellStyle name="Normal 16 64" xfId="2770"/>
    <cellStyle name="Normal 16 65" xfId="2771"/>
    <cellStyle name="Normal 16 66" xfId="2772"/>
    <cellStyle name="Normal 16 67" xfId="2773"/>
    <cellStyle name="Normal 16 68" xfId="2774"/>
    <cellStyle name="Normal 16 69" xfId="2775"/>
    <cellStyle name="Normal 16 7" xfId="2776"/>
    <cellStyle name="Normal 16 8" xfId="2777"/>
    <cellStyle name="Normal 16 9" xfId="2778"/>
    <cellStyle name="Normal 17" xfId="2779"/>
    <cellStyle name="Normal 17 10" xfId="2780"/>
    <cellStyle name="Normal 17 11" xfId="2781"/>
    <cellStyle name="Normal 17 12" xfId="2782"/>
    <cellStyle name="Normal 17 13" xfId="2783"/>
    <cellStyle name="Normal 17 14" xfId="2784"/>
    <cellStyle name="Normal 17 15" xfId="2785"/>
    <cellStyle name="Normal 17 16" xfId="2786"/>
    <cellStyle name="Normal 17 17" xfId="2787"/>
    <cellStyle name="Normal 17 18" xfId="2788"/>
    <cellStyle name="Normal 17 19" xfId="2789"/>
    <cellStyle name="Normal 17 2" xfId="2790"/>
    <cellStyle name="Normal 17 2 2" xfId="8874"/>
    <cellStyle name="Normal 17 2 2 2" xfId="8875"/>
    <cellStyle name="Normal 17 2 2 3" xfId="8876"/>
    <cellStyle name="Normal 17 2 2 4" xfId="8877"/>
    <cellStyle name="Normal 17 2 2 5" xfId="8878"/>
    <cellStyle name="Normal 17 2 2 6" xfId="8879"/>
    <cellStyle name="Normal 17 2 3" xfId="8880"/>
    <cellStyle name="Normal 17 2 4" xfId="8881"/>
    <cellStyle name="Normal 17 2 5" xfId="8882"/>
    <cellStyle name="Normal 17 2 6" xfId="8883"/>
    <cellStyle name="Normal 17 20" xfId="2791"/>
    <cellStyle name="Normal 17 21" xfId="2792"/>
    <cellStyle name="Normal 17 22" xfId="2793"/>
    <cellStyle name="Normal 17 23" xfId="2794"/>
    <cellStyle name="Normal 17 24" xfId="2795"/>
    <cellStyle name="Normal 17 25" xfId="2796"/>
    <cellStyle name="Normal 17 26" xfId="2797"/>
    <cellStyle name="Normal 17 27" xfId="2798"/>
    <cellStyle name="Normal 17 28" xfId="2799"/>
    <cellStyle name="Normal 17 29" xfId="2800"/>
    <cellStyle name="Normal 17 3" xfId="2801"/>
    <cellStyle name="Normal 17 30" xfId="2802"/>
    <cellStyle name="Normal 17 31" xfId="2803"/>
    <cellStyle name="Normal 17 32" xfId="2804"/>
    <cellStyle name="Normal 17 33" xfId="2805"/>
    <cellStyle name="Normal 17 34" xfId="2806"/>
    <cellStyle name="Normal 17 35" xfId="2807"/>
    <cellStyle name="Normal 17 36" xfId="2808"/>
    <cellStyle name="Normal 17 37" xfId="2809"/>
    <cellStyle name="Normal 17 38" xfId="2810"/>
    <cellStyle name="Normal 17 39" xfId="2811"/>
    <cellStyle name="Normal 17 4" xfId="2812"/>
    <cellStyle name="Normal 17 40" xfId="2813"/>
    <cellStyle name="Normal 17 41" xfId="2814"/>
    <cellStyle name="Normal 17 42" xfId="2815"/>
    <cellStyle name="Normal 17 43" xfId="2816"/>
    <cellStyle name="Normal 17 44" xfId="2817"/>
    <cellStyle name="Normal 17 45" xfId="2818"/>
    <cellStyle name="Normal 17 46" xfId="2819"/>
    <cellStyle name="Normal 17 47" xfId="2820"/>
    <cellStyle name="Normal 17 48" xfId="2821"/>
    <cellStyle name="Normal 17 49" xfId="2822"/>
    <cellStyle name="Normal 17 5" xfId="2823"/>
    <cellStyle name="Normal 17 50" xfId="2824"/>
    <cellStyle name="Normal 17 51" xfId="2825"/>
    <cellStyle name="Normal 17 52" xfId="2826"/>
    <cellStyle name="Normal 17 53" xfId="2827"/>
    <cellStyle name="Normal 17 54" xfId="2828"/>
    <cellStyle name="Normal 17 55" xfId="2829"/>
    <cellStyle name="Normal 17 56" xfId="2830"/>
    <cellStyle name="Normal 17 57" xfId="2831"/>
    <cellStyle name="Normal 17 58" xfId="2832"/>
    <cellStyle name="Normal 17 59" xfId="2833"/>
    <cellStyle name="Normal 17 6" xfId="2834"/>
    <cellStyle name="Normal 17 60" xfId="2835"/>
    <cellStyle name="Normal 17 61" xfId="2836"/>
    <cellStyle name="Normal 17 62" xfId="2837"/>
    <cellStyle name="Normal 17 63" xfId="2838"/>
    <cellStyle name="Normal 17 64" xfId="2839"/>
    <cellStyle name="Normal 17 65" xfId="2840"/>
    <cellStyle name="Normal 17 66" xfId="2841"/>
    <cellStyle name="Normal 17 67" xfId="2842"/>
    <cellStyle name="Normal 17 68" xfId="2843"/>
    <cellStyle name="Normal 17 69" xfId="2844"/>
    <cellStyle name="Normal 17 7" xfId="2845"/>
    <cellStyle name="Normal 17 8" xfId="2846"/>
    <cellStyle name="Normal 17 9" xfId="2847"/>
    <cellStyle name="Normal 18" xfId="2848"/>
    <cellStyle name="Normal 18 10" xfId="2849"/>
    <cellStyle name="Normal 18 11" xfId="2850"/>
    <cellStyle name="Normal 18 12" xfId="2851"/>
    <cellStyle name="Normal 18 13" xfId="2852"/>
    <cellStyle name="Normal 18 14" xfId="2853"/>
    <cellStyle name="Normal 18 15" xfId="2854"/>
    <cellStyle name="Normal 18 16" xfId="2855"/>
    <cellStyle name="Normal 18 17" xfId="2856"/>
    <cellStyle name="Normal 18 18" xfId="2857"/>
    <cellStyle name="Normal 18 19" xfId="2858"/>
    <cellStyle name="Normal 18 2" xfId="2859"/>
    <cellStyle name="Normal 18 20" xfId="2860"/>
    <cellStyle name="Normal 18 21" xfId="2861"/>
    <cellStyle name="Normal 18 22" xfId="2862"/>
    <cellStyle name="Normal 18 23" xfId="2863"/>
    <cellStyle name="Normal 18 24" xfId="2864"/>
    <cellStyle name="Normal 18 25" xfId="2865"/>
    <cellStyle name="Normal 18 26" xfId="2866"/>
    <cellStyle name="Normal 18 27" xfId="2867"/>
    <cellStyle name="Normal 18 28" xfId="2868"/>
    <cellStyle name="Normal 18 29" xfId="2869"/>
    <cellStyle name="Normal 18 3" xfId="2870"/>
    <cellStyle name="Normal 18 30" xfId="2871"/>
    <cellStyle name="Normal 18 31" xfId="2872"/>
    <cellStyle name="Normal 18 32" xfId="2873"/>
    <cellStyle name="Normal 18 33" xfId="2874"/>
    <cellStyle name="Normal 18 34" xfId="2875"/>
    <cellStyle name="Normal 18 35" xfId="2876"/>
    <cellStyle name="Normal 18 36" xfId="2877"/>
    <cellStyle name="Normal 18 37" xfId="2878"/>
    <cellStyle name="Normal 18 38" xfId="2879"/>
    <cellStyle name="Normal 18 39" xfId="2880"/>
    <cellStyle name="Normal 18 4" xfId="2881"/>
    <cellStyle name="Normal 18 40" xfId="2882"/>
    <cellStyle name="Normal 18 41" xfId="2883"/>
    <cellStyle name="Normal 18 42" xfId="2884"/>
    <cellStyle name="Normal 18 43" xfId="2885"/>
    <cellStyle name="Normal 18 44" xfId="2886"/>
    <cellStyle name="Normal 18 45" xfId="2887"/>
    <cellStyle name="Normal 18 46" xfId="2888"/>
    <cellStyle name="Normal 18 47" xfId="2889"/>
    <cellStyle name="Normal 18 48" xfId="2890"/>
    <cellStyle name="Normal 18 49" xfId="2891"/>
    <cellStyle name="Normal 18 5" xfId="2892"/>
    <cellStyle name="Normal 18 50" xfId="2893"/>
    <cellStyle name="Normal 18 51" xfId="2894"/>
    <cellStyle name="Normal 18 52" xfId="2895"/>
    <cellStyle name="Normal 18 53" xfId="2896"/>
    <cellStyle name="Normal 18 54" xfId="2897"/>
    <cellStyle name="Normal 18 55" xfId="2898"/>
    <cellStyle name="Normal 18 56" xfId="2899"/>
    <cellStyle name="Normal 18 57" xfId="2900"/>
    <cellStyle name="Normal 18 58" xfId="2901"/>
    <cellStyle name="Normal 18 59" xfId="2902"/>
    <cellStyle name="Normal 18 6" xfId="2903"/>
    <cellStyle name="Normal 18 60" xfId="2904"/>
    <cellStyle name="Normal 18 61" xfId="2905"/>
    <cellStyle name="Normal 18 62" xfId="2906"/>
    <cellStyle name="Normal 18 63" xfId="2907"/>
    <cellStyle name="Normal 18 64" xfId="2908"/>
    <cellStyle name="Normal 18 65" xfId="2909"/>
    <cellStyle name="Normal 18 66" xfId="2910"/>
    <cellStyle name="Normal 18 67" xfId="2911"/>
    <cellStyle name="Normal 18 68" xfId="2912"/>
    <cellStyle name="Normal 18 69" xfId="2913"/>
    <cellStyle name="Normal 18 7" xfId="2914"/>
    <cellStyle name="Normal 18 8" xfId="2915"/>
    <cellStyle name="Normal 18 9" xfId="2916"/>
    <cellStyle name="Normal 19" xfId="2917"/>
    <cellStyle name="Normal 19 10" xfId="2918"/>
    <cellStyle name="Normal 19 11" xfId="2919"/>
    <cellStyle name="Normal 19 12" xfId="2920"/>
    <cellStyle name="Normal 19 13" xfId="2921"/>
    <cellStyle name="Normal 19 14" xfId="2922"/>
    <cellStyle name="Normal 19 15" xfId="2923"/>
    <cellStyle name="Normal 19 16" xfId="2924"/>
    <cellStyle name="Normal 19 17" xfId="2925"/>
    <cellStyle name="Normal 19 18" xfId="2926"/>
    <cellStyle name="Normal 19 19" xfId="2927"/>
    <cellStyle name="Normal 19 2" xfId="2928"/>
    <cellStyle name="Normal 19 20" xfId="2929"/>
    <cellStyle name="Normal 19 21" xfId="2930"/>
    <cellStyle name="Normal 19 22" xfId="2931"/>
    <cellStyle name="Normal 19 23" xfId="2932"/>
    <cellStyle name="Normal 19 24" xfId="2933"/>
    <cellStyle name="Normal 19 25" xfId="2934"/>
    <cellStyle name="Normal 19 26" xfId="2935"/>
    <cellStyle name="Normal 19 27" xfId="2936"/>
    <cellStyle name="Normal 19 28" xfId="2937"/>
    <cellStyle name="Normal 19 29" xfId="2938"/>
    <cellStyle name="Normal 19 3" xfId="2939"/>
    <cellStyle name="Normal 19 30" xfId="2940"/>
    <cellStyle name="Normal 19 31" xfId="2941"/>
    <cellStyle name="Normal 19 32" xfId="2942"/>
    <cellStyle name="Normal 19 33" xfId="2943"/>
    <cellStyle name="Normal 19 34" xfId="2944"/>
    <cellStyle name="Normal 19 35" xfId="2945"/>
    <cellStyle name="Normal 19 36" xfId="2946"/>
    <cellStyle name="Normal 19 37" xfId="2947"/>
    <cellStyle name="Normal 19 38" xfId="2948"/>
    <cellStyle name="Normal 19 39" xfId="2949"/>
    <cellStyle name="Normal 19 4" xfId="2950"/>
    <cellStyle name="Normal 19 40" xfId="2951"/>
    <cellStyle name="Normal 19 41" xfId="2952"/>
    <cellStyle name="Normal 19 42" xfId="2953"/>
    <cellStyle name="Normal 19 43" xfId="2954"/>
    <cellStyle name="Normal 19 44" xfId="2955"/>
    <cellStyle name="Normal 19 45" xfId="2956"/>
    <cellStyle name="Normal 19 46" xfId="2957"/>
    <cellStyle name="Normal 19 47" xfId="2958"/>
    <cellStyle name="Normal 19 48" xfId="2959"/>
    <cellStyle name="Normal 19 49" xfId="2960"/>
    <cellStyle name="Normal 19 5" xfId="2961"/>
    <cellStyle name="Normal 19 50" xfId="2962"/>
    <cellStyle name="Normal 19 51" xfId="2963"/>
    <cellStyle name="Normal 19 52" xfId="2964"/>
    <cellStyle name="Normal 19 53" xfId="2965"/>
    <cellStyle name="Normal 19 54" xfId="2966"/>
    <cellStyle name="Normal 19 55" xfId="2967"/>
    <cellStyle name="Normal 19 56" xfId="2968"/>
    <cellStyle name="Normal 19 57" xfId="2969"/>
    <cellStyle name="Normal 19 58" xfId="2970"/>
    <cellStyle name="Normal 19 59" xfId="2971"/>
    <cellStyle name="Normal 19 6" xfId="2972"/>
    <cellStyle name="Normal 19 60" xfId="2973"/>
    <cellStyle name="Normal 19 61" xfId="2974"/>
    <cellStyle name="Normal 19 62" xfId="2975"/>
    <cellStyle name="Normal 19 63" xfId="2976"/>
    <cellStyle name="Normal 19 64" xfId="2977"/>
    <cellStyle name="Normal 19 65" xfId="2978"/>
    <cellStyle name="Normal 19 66" xfId="2979"/>
    <cellStyle name="Normal 19 67" xfId="2980"/>
    <cellStyle name="Normal 19 68" xfId="2981"/>
    <cellStyle name="Normal 19 69" xfId="2982"/>
    <cellStyle name="Normal 19 7" xfId="2983"/>
    <cellStyle name="Normal 19 8" xfId="2984"/>
    <cellStyle name="Normal 19 9" xfId="2985"/>
    <cellStyle name="Normal 2" xfId="1"/>
    <cellStyle name="Normal 2 10" xfId="2986"/>
    <cellStyle name="Normal 2 11" xfId="2987"/>
    <cellStyle name="Normal 2 12" xfId="2988"/>
    <cellStyle name="Normal 2 13" xfId="2989"/>
    <cellStyle name="Normal 2 13 2" xfId="8884"/>
    <cellStyle name="Normal 2 13 2 2" xfId="8885"/>
    <cellStyle name="Normal 2 13 2 2 2" xfId="8886"/>
    <cellStyle name="Normal 2 13 2 2 3" xfId="8887"/>
    <cellStyle name="Normal 2 13 2 2 4" xfId="8888"/>
    <cellStyle name="Normal 2 13 2 2 5" xfId="8889"/>
    <cellStyle name="Normal 2 13 2 2 6" xfId="8890"/>
    <cellStyle name="Normal 2 13 2 3" xfId="8891"/>
    <cellStyle name="Normal 2 13 2 4" xfId="8892"/>
    <cellStyle name="Normal 2 13 2 5" xfId="8893"/>
    <cellStyle name="Normal 2 13 2 6" xfId="8894"/>
    <cellStyle name="Normal 2 13 3" xfId="8895"/>
    <cellStyle name="Normal 2 13 4" xfId="8896"/>
    <cellStyle name="Normal 2 13 5" xfId="8897"/>
    <cellStyle name="Normal 2 13 6" xfId="8898"/>
    <cellStyle name="Normal 2 13 7" xfId="8899"/>
    <cellStyle name="Normal 2 14" xfId="2990"/>
    <cellStyle name="Normal 2 14 2" xfId="8900"/>
    <cellStyle name="Normal 2 14 3" xfId="8901"/>
    <cellStyle name="Normal 2 14 4" xfId="8902"/>
    <cellStyle name="Normal 2 14 5" xfId="8903"/>
    <cellStyle name="Normal 2 14 6" xfId="8904"/>
    <cellStyle name="Normal 2 15" xfId="2991"/>
    <cellStyle name="Normal 2 16" xfId="2992"/>
    <cellStyle name="Normal 2 17" xfId="2993"/>
    <cellStyle name="Normal 2 17 10" xfId="2994"/>
    <cellStyle name="Normal 2 17 11" xfId="2995"/>
    <cellStyle name="Normal 2 17 12" xfId="2996"/>
    <cellStyle name="Normal 2 17 13" xfId="2997"/>
    <cellStyle name="Normal 2 17 14" xfId="2998"/>
    <cellStyle name="Normal 2 17 15" xfId="2999"/>
    <cellStyle name="Normal 2 17 16" xfId="3000"/>
    <cellStyle name="Normal 2 17 17" xfId="3001"/>
    <cellStyle name="Normal 2 17 18" xfId="3002"/>
    <cellStyle name="Normal 2 17 19" xfId="3003"/>
    <cellStyle name="Normal 2 17 2" xfId="3004"/>
    <cellStyle name="Normal 2 17 2 2" xfId="3005"/>
    <cellStyle name="Normal 2 17 2 2 10" xfId="3006"/>
    <cellStyle name="Normal 2 17 2 2 11" xfId="3007"/>
    <cellStyle name="Normal 2 17 2 2 12" xfId="3008"/>
    <cellStyle name="Normal 2 17 2 2 13" xfId="3009"/>
    <cellStyle name="Normal 2 17 2 2 14" xfId="3010"/>
    <cellStyle name="Normal 2 17 2 2 15" xfId="3011"/>
    <cellStyle name="Normal 2 17 2 2 16" xfId="3012"/>
    <cellStyle name="Normal 2 17 2 2 17" xfId="3013"/>
    <cellStyle name="Normal 2 17 2 2 18" xfId="3014"/>
    <cellStyle name="Normal 2 17 2 2 19" xfId="3015"/>
    <cellStyle name="Normal 2 17 2 2 2" xfId="3016"/>
    <cellStyle name="Normal 2 17 2 2 20" xfId="3017"/>
    <cellStyle name="Normal 2 17 2 2 21" xfId="3018"/>
    <cellStyle name="Normal 2 17 2 2 22" xfId="3019"/>
    <cellStyle name="Normal 2 17 2 2 23" xfId="3020"/>
    <cellStyle name="Normal 2 17 2 2 24" xfId="3021"/>
    <cellStyle name="Normal 2 17 2 2 25" xfId="3022"/>
    <cellStyle name="Normal 2 17 2 2 26" xfId="3023"/>
    <cellStyle name="Normal 2 17 2 2 27" xfId="3024"/>
    <cellStyle name="Normal 2 17 2 2 28" xfId="3025"/>
    <cellStyle name="Normal 2 17 2 2 29" xfId="3026"/>
    <cellStyle name="Normal 2 17 2 2 3" xfId="3027"/>
    <cellStyle name="Normal 2 17 2 2 30" xfId="3028"/>
    <cellStyle name="Normal 2 17 2 2 31" xfId="3029"/>
    <cellStyle name="Normal 2 17 2 2 32" xfId="3030"/>
    <cellStyle name="Normal 2 17 2 2 33" xfId="3031"/>
    <cellStyle name="Normal 2 17 2 2 34" xfId="3032"/>
    <cellStyle name="Normal 2 17 2 2 35" xfId="3033"/>
    <cellStyle name="Normal 2 17 2 2 36" xfId="3034"/>
    <cellStyle name="Normal 2 17 2 2 37" xfId="3035"/>
    <cellStyle name="Normal 2 17 2 2 38" xfId="3036"/>
    <cellStyle name="Normal 2 17 2 2 39" xfId="3037"/>
    <cellStyle name="Normal 2 17 2 2 4" xfId="3038"/>
    <cellStyle name="Normal 2 17 2 2 40" xfId="3039"/>
    <cellStyle name="Normal 2 17 2 2 41" xfId="3040"/>
    <cellStyle name="Normal 2 17 2 2 42" xfId="3041"/>
    <cellStyle name="Normal 2 17 2 2 43" xfId="3042"/>
    <cellStyle name="Normal 2 17 2 2 44" xfId="3043"/>
    <cellStyle name="Normal 2 17 2 2 45" xfId="3044"/>
    <cellStyle name="Normal 2 17 2 2 46" xfId="3045"/>
    <cellStyle name="Normal 2 17 2 2 47" xfId="3046"/>
    <cellStyle name="Normal 2 17 2 2 48" xfId="3047"/>
    <cellStyle name="Normal 2 17 2 2 49" xfId="3048"/>
    <cellStyle name="Normal 2 17 2 2 5" xfId="3049"/>
    <cellStyle name="Normal 2 17 2 2 50" xfId="3050"/>
    <cellStyle name="Normal 2 17 2 2 51" xfId="3051"/>
    <cellStyle name="Normal 2 17 2 2 52" xfId="3052"/>
    <cellStyle name="Normal 2 17 2 2 53" xfId="3053"/>
    <cellStyle name="Normal 2 17 2 2 54" xfId="3054"/>
    <cellStyle name="Normal 2 17 2 2 55" xfId="3055"/>
    <cellStyle name="Normal 2 17 2 2 56" xfId="3056"/>
    <cellStyle name="Normal 2 17 2 2 57" xfId="3057"/>
    <cellStyle name="Normal 2 17 2 2 58" xfId="3058"/>
    <cellStyle name="Normal 2 17 2 2 59" xfId="3059"/>
    <cellStyle name="Normal 2 17 2 2 6" xfId="3060"/>
    <cellStyle name="Normal 2 17 2 2 60" xfId="3061"/>
    <cellStyle name="Normal 2 17 2 2 61" xfId="3062"/>
    <cellStyle name="Normal 2 17 2 2 62" xfId="3063"/>
    <cellStyle name="Normal 2 17 2 2 63" xfId="3064"/>
    <cellStyle name="Normal 2 17 2 2 64" xfId="3065"/>
    <cellStyle name="Normal 2 17 2 2 65" xfId="3066"/>
    <cellStyle name="Normal 2 17 2 2 66" xfId="3067"/>
    <cellStyle name="Normal 2 17 2 2 67" xfId="3068"/>
    <cellStyle name="Normal 2 17 2 2 68" xfId="3069"/>
    <cellStyle name="Normal 2 17 2 2 7" xfId="3070"/>
    <cellStyle name="Normal 2 17 2 2 8" xfId="3071"/>
    <cellStyle name="Normal 2 17 2 2 9" xfId="3072"/>
    <cellStyle name="Normal 2 17 2 3" xfId="3073"/>
    <cellStyle name="Normal 2 17 2 4" xfId="3074"/>
    <cellStyle name="Normal 2 17 2 5" xfId="3075"/>
    <cellStyle name="Normal 2 17 2 6" xfId="3076"/>
    <cellStyle name="Normal 2 17 2 7" xfId="3077"/>
    <cellStyle name="Normal 2 17 2 8" xfId="3078"/>
    <cellStyle name="Normal 2 17 20" xfId="3079"/>
    <cellStyle name="Normal 2 17 21" xfId="3080"/>
    <cellStyle name="Normal 2 17 22" xfId="3081"/>
    <cellStyle name="Normal 2 17 23" xfId="3082"/>
    <cellStyle name="Normal 2 17 24" xfId="3083"/>
    <cellStyle name="Normal 2 17 25" xfId="3084"/>
    <cellStyle name="Normal 2 17 26" xfId="3085"/>
    <cellStyle name="Normal 2 17 27" xfId="3086"/>
    <cellStyle name="Normal 2 17 28" xfId="3087"/>
    <cellStyle name="Normal 2 17 29" xfId="3088"/>
    <cellStyle name="Normal 2 17 3" xfId="3089"/>
    <cellStyle name="Normal 2 17 3 2" xfId="3090"/>
    <cellStyle name="Normal 2 17 3 2 10" xfId="3091"/>
    <cellStyle name="Normal 2 17 3 2 11" xfId="3092"/>
    <cellStyle name="Normal 2 17 3 2 12" xfId="3093"/>
    <cellStyle name="Normal 2 17 3 2 13" xfId="3094"/>
    <cellStyle name="Normal 2 17 3 2 14" xfId="3095"/>
    <cellStyle name="Normal 2 17 3 2 15" xfId="3096"/>
    <cellStyle name="Normal 2 17 3 2 16" xfId="3097"/>
    <cellStyle name="Normal 2 17 3 2 17" xfId="3098"/>
    <cellStyle name="Normal 2 17 3 2 18" xfId="3099"/>
    <cellStyle name="Normal 2 17 3 2 19" xfId="3100"/>
    <cellStyle name="Normal 2 17 3 2 2" xfId="3101"/>
    <cellStyle name="Normal 2 17 3 2 20" xfId="3102"/>
    <cellStyle name="Normal 2 17 3 2 21" xfId="3103"/>
    <cellStyle name="Normal 2 17 3 2 22" xfId="3104"/>
    <cellStyle name="Normal 2 17 3 2 23" xfId="3105"/>
    <cellStyle name="Normal 2 17 3 2 24" xfId="3106"/>
    <cellStyle name="Normal 2 17 3 2 25" xfId="3107"/>
    <cellStyle name="Normal 2 17 3 2 26" xfId="3108"/>
    <cellStyle name="Normal 2 17 3 2 27" xfId="3109"/>
    <cellStyle name="Normal 2 17 3 2 28" xfId="3110"/>
    <cellStyle name="Normal 2 17 3 2 29" xfId="3111"/>
    <cellStyle name="Normal 2 17 3 2 3" xfId="3112"/>
    <cellStyle name="Normal 2 17 3 2 30" xfId="3113"/>
    <cellStyle name="Normal 2 17 3 2 31" xfId="3114"/>
    <cellStyle name="Normal 2 17 3 2 32" xfId="3115"/>
    <cellStyle name="Normal 2 17 3 2 33" xfId="3116"/>
    <cellStyle name="Normal 2 17 3 2 34" xfId="3117"/>
    <cellStyle name="Normal 2 17 3 2 35" xfId="3118"/>
    <cellStyle name="Normal 2 17 3 2 36" xfId="3119"/>
    <cellStyle name="Normal 2 17 3 2 37" xfId="3120"/>
    <cellStyle name="Normal 2 17 3 2 38" xfId="3121"/>
    <cellStyle name="Normal 2 17 3 2 39" xfId="3122"/>
    <cellStyle name="Normal 2 17 3 2 4" xfId="3123"/>
    <cellStyle name="Normal 2 17 3 2 40" xfId="3124"/>
    <cellStyle name="Normal 2 17 3 2 41" xfId="3125"/>
    <cellStyle name="Normal 2 17 3 2 42" xfId="3126"/>
    <cellStyle name="Normal 2 17 3 2 43" xfId="3127"/>
    <cellStyle name="Normal 2 17 3 2 44" xfId="3128"/>
    <cellStyle name="Normal 2 17 3 2 45" xfId="3129"/>
    <cellStyle name="Normal 2 17 3 2 46" xfId="3130"/>
    <cellStyle name="Normal 2 17 3 2 47" xfId="3131"/>
    <cellStyle name="Normal 2 17 3 2 48" xfId="3132"/>
    <cellStyle name="Normal 2 17 3 2 49" xfId="3133"/>
    <cellStyle name="Normal 2 17 3 2 5" xfId="3134"/>
    <cellStyle name="Normal 2 17 3 2 50" xfId="3135"/>
    <cellStyle name="Normal 2 17 3 2 51" xfId="3136"/>
    <cellStyle name="Normal 2 17 3 2 52" xfId="3137"/>
    <cellStyle name="Normal 2 17 3 2 53" xfId="3138"/>
    <cellStyle name="Normal 2 17 3 2 54" xfId="3139"/>
    <cellStyle name="Normal 2 17 3 2 55" xfId="3140"/>
    <cellStyle name="Normal 2 17 3 2 56" xfId="3141"/>
    <cellStyle name="Normal 2 17 3 2 57" xfId="3142"/>
    <cellStyle name="Normal 2 17 3 2 58" xfId="3143"/>
    <cellStyle name="Normal 2 17 3 2 59" xfId="3144"/>
    <cellStyle name="Normal 2 17 3 2 6" xfId="3145"/>
    <cellStyle name="Normal 2 17 3 2 60" xfId="3146"/>
    <cellStyle name="Normal 2 17 3 2 61" xfId="3147"/>
    <cellStyle name="Normal 2 17 3 2 62" xfId="3148"/>
    <cellStyle name="Normal 2 17 3 2 63" xfId="3149"/>
    <cellStyle name="Normal 2 17 3 2 64" xfId="3150"/>
    <cellStyle name="Normal 2 17 3 2 65" xfId="3151"/>
    <cellStyle name="Normal 2 17 3 2 66" xfId="3152"/>
    <cellStyle name="Normal 2 17 3 2 67" xfId="3153"/>
    <cellStyle name="Normal 2 17 3 2 7" xfId="3154"/>
    <cellStyle name="Normal 2 17 3 2 8" xfId="3155"/>
    <cellStyle name="Normal 2 17 3 2 9" xfId="3156"/>
    <cellStyle name="Normal 2 17 30" xfId="3157"/>
    <cellStyle name="Normal 2 17 31" xfId="3158"/>
    <cellStyle name="Normal 2 17 32" xfId="3159"/>
    <cellStyle name="Normal 2 17 33" xfId="3160"/>
    <cellStyle name="Normal 2 17 34" xfId="3161"/>
    <cellStyle name="Normal 2 17 35" xfId="3162"/>
    <cellStyle name="Normal 2 17 36" xfId="3163"/>
    <cellStyle name="Normal 2 17 37" xfId="3164"/>
    <cellStyle name="Normal 2 17 38" xfId="3165"/>
    <cellStyle name="Normal 2 17 39" xfId="3166"/>
    <cellStyle name="Normal 2 17 4" xfId="3167"/>
    <cellStyle name="Normal 2 17 4 10" xfId="3168"/>
    <cellStyle name="Normal 2 17 4 11" xfId="3169"/>
    <cellStyle name="Normal 2 17 4 12" xfId="3170"/>
    <cellStyle name="Normal 2 17 4 13" xfId="3171"/>
    <cellStyle name="Normal 2 17 4 14" xfId="3172"/>
    <cellStyle name="Normal 2 17 4 15" xfId="3173"/>
    <cellStyle name="Normal 2 17 4 16" xfId="3174"/>
    <cellStyle name="Normal 2 17 4 17" xfId="3175"/>
    <cellStyle name="Normal 2 17 4 18" xfId="3176"/>
    <cellStyle name="Normal 2 17 4 19" xfId="3177"/>
    <cellStyle name="Normal 2 17 4 2" xfId="3178"/>
    <cellStyle name="Normal 2 17 4 20" xfId="3179"/>
    <cellStyle name="Normal 2 17 4 21" xfId="3180"/>
    <cellStyle name="Normal 2 17 4 22" xfId="3181"/>
    <cellStyle name="Normal 2 17 4 23" xfId="3182"/>
    <cellStyle name="Normal 2 17 4 24" xfId="3183"/>
    <cellStyle name="Normal 2 17 4 25" xfId="3184"/>
    <cellStyle name="Normal 2 17 4 26" xfId="3185"/>
    <cellStyle name="Normal 2 17 4 27" xfId="3186"/>
    <cellStyle name="Normal 2 17 4 28" xfId="3187"/>
    <cellStyle name="Normal 2 17 4 29" xfId="3188"/>
    <cellStyle name="Normal 2 17 4 3" xfId="3189"/>
    <cellStyle name="Normal 2 17 4 30" xfId="3190"/>
    <cellStyle name="Normal 2 17 4 31" xfId="3191"/>
    <cellStyle name="Normal 2 17 4 32" xfId="3192"/>
    <cellStyle name="Normal 2 17 4 33" xfId="3193"/>
    <cellStyle name="Normal 2 17 4 34" xfId="3194"/>
    <cellStyle name="Normal 2 17 4 35" xfId="3195"/>
    <cellStyle name="Normal 2 17 4 36" xfId="3196"/>
    <cellStyle name="Normal 2 17 4 37" xfId="3197"/>
    <cellStyle name="Normal 2 17 4 38" xfId="3198"/>
    <cellStyle name="Normal 2 17 4 39" xfId="3199"/>
    <cellStyle name="Normal 2 17 4 4" xfId="3200"/>
    <cellStyle name="Normal 2 17 4 40" xfId="3201"/>
    <cellStyle name="Normal 2 17 4 41" xfId="3202"/>
    <cellStyle name="Normal 2 17 4 42" xfId="3203"/>
    <cellStyle name="Normal 2 17 4 43" xfId="3204"/>
    <cellStyle name="Normal 2 17 4 44" xfId="3205"/>
    <cellStyle name="Normal 2 17 4 45" xfId="3206"/>
    <cellStyle name="Normal 2 17 4 46" xfId="3207"/>
    <cellStyle name="Normal 2 17 4 47" xfId="3208"/>
    <cellStyle name="Normal 2 17 4 48" xfId="3209"/>
    <cellStyle name="Normal 2 17 4 49" xfId="3210"/>
    <cellStyle name="Normal 2 17 4 5" xfId="3211"/>
    <cellStyle name="Normal 2 17 4 50" xfId="3212"/>
    <cellStyle name="Normal 2 17 4 51" xfId="3213"/>
    <cellStyle name="Normal 2 17 4 52" xfId="3214"/>
    <cellStyle name="Normal 2 17 4 53" xfId="3215"/>
    <cellStyle name="Normal 2 17 4 54" xfId="3216"/>
    <cellStyle name="Normal 2 17 4 55" xfId="3217"/>
    <cellStyle name="Normal 2 17 4 56" xfId="3218"/>
    <cellStyle name="Normal 2 17 4 57" xfId="3219"/>
    <cellStyle name="Normal 2 17 4 58" xfId="3220"/>
    <cellStyle name="Normal 2 17 4 59" xfId="3221"/>
    <cellStyle name="Normal 2 17 4 6" xfId="3222"/>
    <cellStyle name="Normal 2 17 4 60" xfId="3223"/>
    <cellStyle name="Normal 2 17 4 61" xfId="3224"/>
    <cellStyle name="Normal 2 17 4 62" xfId="3225"/>
    <cellStyle name="Normal 2 17 4 63" xfId="3226"/>
    <cellStyle name="Normal 2 17 4 64" xfId="3227"/>
    <cellStyle name="Normal 2 17 4 65" xfId="3228"/>
    <cellStyle name="Normal 2 17 4 66" xfId="3229"/>
    <cellStyle name="Normal 2 17 4 67" xfId="3230"/>
    <cellStyle name="Normal 2 17 4 7" xfId="3231"/>
    <cellStyle name="Normal 2 17 4 8" xfId="3232"/>
    <cellStyle name="Normal 2 17 4 9" xfId="3233"/>
    <cellStyle name="Normal 2 17 40" xfId="3234"/>
    <cellStyle name="Normal 2 17 41" xfId="3235"/>
    <cellStyle name="Normal 2 17 42" xfId="3236"/>
    <cellStyle name="Normal 2 17 43" xfId="3237"/>
    <cellStyle name="Normal 2 17 44" xfId="3238"/>
    <cellStyle name="Normal 2 17 45" xfId="3239"/>
    <cellStyle name="Normal 2 17 46" xfId="3240"/>
    <cellStyle name="Normal 2 17 47" xfId="3241"/>
    <cellStyle name="Normal 2 17 48" xfId="3242"/>
    <cellStyle name="Normal 2 17 49" xfId="3243"/>
    <cellStyle name="Normal 2 17 5" xfId="3244"/>
    <cellStyle name="Normal 2 17 5 10" xfId="3245"/>
    <cellStyle name="Normal 2 17 5 11" xfId="3246"/>
    <cellStyle name="Normal 2 17 5 12" xfId="3247"/>
    <cellStyle name="Normal 2 17 5 13" xfId="3248"/>
    <cellStyle name="Normal 2 17 5 14" xfId="3249"/>
    <cellStyle name="Normal 2 17 5 15" xfId="3250"/>
    <cellStyle name="Normal 2 17 5 16" xfId="3251"/>
    <cellStyle name="Normal 2 17 5 17" xfId="3252"/>
    <cellStyle name="Normal 2 17 5 18" xfId="3253"/>
    <cellStyle name="Normal 2 17 5 19" xfId="3254"/>
    <cellStyle name="Normal 2 17 5 2" xfId="3255"/>
    <cellStyle name="Normal 2 17 5 20" xfId="3256"/>
    <cellStyle name="Normal 2 17 5 21" xfId="3257"/>
    <cellStyle name="Normal 2 17 5 22" xfId="3258"/>
    <cellStyle name="Normal 2 17 5 23" xfId="3259"/>
    <cellStyle name="Normal 2 17 5 24" xfId="3260"/>
    <cellStyle name="Normal 2 17 5 25" xfId="3261"/>
    <cellStyle name="Normal 2 17 5 26" xfId="3262"/>
    <cellStyle name="Normal 2 17 5 27" xfId="3263"/>
    <cellStyle name="Normal 2 17 5 28" xfId="3264"/>
    <cellStyle name="Normal 2 17 5 29" xfId="3265"/>
    <cellStyle name="Normal 2 17 5 3" xfId="3266"/>
    <cellStyle name="Normal 2 17 5 30" xfId="3267"/>
    <cellStyle name="Normal 2 17 5 31" xfId="3268"/>
    <cellStyle name="Normal 2 17 5 32" xfId="3269"/>
    <cellStyle name="Normal 2 17 5 33" xfId="3270"/>
    <cellStyle name="Normal 2 17 5 34" xfId="3271"/>
    <cellStyle name="Normal 2 17 5 35" xfId="3272"/>
    <cellStyle name="Normal 2 17 5 36" xfId="3273"/>
    <cellStyle name="Normal 2 17 5 37" xfId="3274"/>
    <cellStyle name="Normal 2 17 5 38" xfId="3275"/>
    <cellStyle name="Normal 2 17 5 39" xfId="3276"/>
    <cellStyle name="Normal 2 17 5 4" xfId="3277"/>
    <cellStyle name="Normal 2 17 5 40" xfId="3278"/>
    <cellStyle name="Normal 2 17 5 41" xfId="3279"/>
    <cellStyle name="Normal 2 17 5 42" xfId="3280"/>
    <cellStyle name="Normal 2 17 5 43" xfId="3281"/>
    <cellStyle name="Normal 2 17 5 44" xfId="3282"/>
    <cellStyle name="Normal 2 17 5 45" xfId="3283"/>
    <cellStyle name="Normal 2 17 5 46" xfId="3284"/>
    <cellStyle name="Normal 2 17 5 47" xfId="3285"/>
    <cellStyle name="Normal 2 17 5 48" xfId="3286"/>
    <cellStyle name="Normal 2 17 5 49" xfId="3287"/>
    <cellStyle name="Normal 2 17 5 5" xfId="3288"/>
    <cellStyle name="Normal 2 17 5 50" xfId="3289"/>
    <cellStyle name="Normal 2 17 5 51" xfId="3290"/>
    <cellStyle name="Normal 2 17 5 52" xfId="3291"/>
    <cellStyle name="Normal 2 17 5 53" xfId="3292"/>
    <cellStyle name="Normal 2 17 5 54" xfId="3293"/>
    <cellStyle name="Normal 2 17 5 55" xfId="3294"/>
    <cellStyle name="Normal 2 17 5 56" xfId="3295"/>
    <cellStyle name="Normal 2 17 5 57" xfId="3296"/>
    <cellStyle name="Normal 2 17 5 58" xfId="3297"/>
    <cellStyle name="Normal 2 17 5 59" xfId="3298"/>
    <cellStyle name="Normal 2 17 5 6" xfId="3299"/>
    <cellStyle name="Normal 2 17 5 60" xfId="3300"/>
    <cellStyle name="Normal 2 17 5 61" xfId="3301"/>
    <cellStyle name="Normal 2 17 5 62" xfId="3302"/>
    <cellStyle name="Normal 2 17 5 63" xfId="3303"/>
    <cellStyle name="Normal 2 17 5 64" xfId="3304"/>
    <cellStyle name="Normal 2 17 5 65" xfId="3305"/>
    <cellStyle name="Normal 2 17 5 66" xfId="3306"/>
    <cellStyle name="Normal 2 17 5 67" xfId="3307"/>
    <cellStyle name="Normal 2 17 5 7" xfId="3308"/>
    <cellStyle name="Normal 2 17 5 8" xfId="3309"/>
    <cellStyle name="Normal 2 17 5 9" xfId="3310"/>
    <cellStyle name="Normal 2 17 50" xfId="3311"/>
    <cellStyle name="Normal 2 17 51" xfId="3312"/>
    <cellStyle name="Normal 2 17 52" xfId="3313"/>
    <cellStyle name="Normal 2 17 53" xfId="3314"/>
    <cellStyle name="Normal 2 17 54" xfId="3315"/>
    <cellStyle name="Normal 2 17 55" xfId="3316"/>
    <cellStyle name="Normal 2 17 56" xfId="3317"/>
    <cellStyle name="Normal 2 17 57" xfId="3318"/>
    <cellStyle name="Normal 2 17 58" xfId="3319"/>
    <cellStyle name="Normal 2 17 59" xfId="3320"/>
    <cellStyle name="Normal 2 17 6" xfId="3321"/>
    <cellStyle name="Normal 2 17 6 10" xfId="3322"/>
    <cellStyle name="Normal 2 17 6 11" xfId="3323"/>
    <cellStyle name="Normal 2 17 6 12" xfId="3324"/>
    <cellStyle name="Normal 2 17 6 13" xfId="3325"/>
    <cellStyle name="Normal 2 17 6 14" xfId="3326"/>
    <cellStyle name="Normal 2 17 6 15" xfId="3327"/>
    <cellStyle name="Normal 2 17 6 16" xfId="3328"/>
    <cellStyle name="Normal 2 17 6 17" xfId="3329"/>
    <cellStyle name="Normal 2 17 6 18" xfId="3330"/>
    <cellStyle name="Normal 2 17 6 19" xfId="3331"/>
    <cellStyle name="Normal 2 17 6 2" xfId="3332"/>
    <cellStyle name="Normal 2 17 6 20" xfId="3333"/>
    <cellStyle name="Normal 2 17 6 21" xfId="3334"/>
    <cellStyle name="Normal 2 17 6 22" xfId="3335"/>
    <cellStyle name="Normal 2 17 6 23" xfId="3336"/>
    <cellStyle name="Normal 2 17 6 24" xfId="3337"/>
    <cellStyle name="Normal 2 17 6 25" xfId="3338"/>
    <cellStyle name="Normal 2 17 6 26" xfId="3339"/>
    <cellStyle name="Normal 2 17 6 27" xfId="3340"/>
    <cellStyle name="Normal 2 17 6 28" xfId="3341"/>
    <cellStyle name="Normal 2 17 6 29" xfId="3342"/>
    <cellStyle name="Normal 2 17 6 3" xfId="3343"/>
    <cellStyle name="Normal 2 17 6 30" xfId="3344"/>
    <cellStyle name="Normal 2 17 6 31" xfId="3345"/>
    <cellStyle name="Normal 2 17 6 32" xfId="3346"/>
    <cellStyle name="Normal 2 17 6 33" xfId="3347"/>
    <cellStyle name="Normal 2 17 6 34" xfId="3348"/>
    <cellStyle name="Normal 2 17 6 35" xfId="3349"/>
    <cellStyle name="Normal 2 17 6 36" xfId="3350"/>
    <cellStyle name="Normal 2 17 6 37" xfId="3351"/>
    <cellStyle name="Normal 2 17 6 38" xfId="3352"/>
    <cellStyle name="Normal 2 17 6 39" xfId="3353"/>
    <cellStyle name="Normal 2 17 6 4" xfId="3354"/>
    <cellStyle name="Normal 2 17 6 40" xfId="3355"/>
    <cellStyle name="Normal 2 17 6 41" xfId="3356"/>
    <cellStyle name="Normal 2 17 6 42" xfId="3357"/>
    <cellStyle name="Normal 2 17 6 43" xfId="3358"/>
    <cellStyle name="Normal 2 17 6 44" xfId="3359"/>
    <cellStyle name="Normal 2 17 6 45" xfId="3360"/>
    <cellStyle name="Normal 2 17 6 46" xfId="3361"/>
    <cellStyle name="Normal 2 17 6 47" xfId="3362"/>
    <cellStyle name="Normal 2 17 6 48" xfId="3363"/>
    <cellStyle name="Normal 2 17 6 49" xfId="3364"/>
    <cellStyle name="Normal 2 17 6 5" xfId="3365"/>
    <cellStyle name="Normal 2 17 6 50" xfId="3366"/>
    <cellStyle name="Normal 2 17 6 51" xfId="3367"/>
    <cellStyle name="Normal 2 17 6 52" xfId="3368"/>
    <cellStyle name="Normal 2 17 6 53" xfId="3369"/>
    <cellStyle name="Normal 2 17 6 54" xfId="3370"/>
    <cellStyle name="Normal 2 17 6 55" xfId="3371"/>
    <cellStyle name="Normal 2 17 6 56" xfId="3372"/>
    <cellStyle name="Normal 2 17 6 57" xfId="3373"/>
    <cellStyle name="Normal 2 17 6 58" xfId="3374"/>
    <cellStyle name="Normal 2 17 6 59" xfId="3375"/>
    <cellStyle name="Normal 2 17 6 6" xfId="3376"/>
    <cellStyle name="Normal 2 17 6 60" xfId="3377"/>
    <cellStyle name="Normal 2 17 6 61" xfId="3378"/>
    <cellStyle name="Normal 2 17 6 62" xfId="3379"/>
    <cellStyle name="Normal 2 17 6 63" xfId="3380"/>
    <cellStyle name="Normal 2 17 6 64" xfId="3381"/>
    <cellStyle name="Normal 2 17 6 65" xfId="3382"/>
    <cellStyle name="Normal 2 17 6 66" xfId="3383"/>
    <cellStyle name="Normal 2 17 6 67" xfId="3384"/>
    <cellStyle name="Normal 2 17 6 7" xfId="3385"/>
    <cellStyle name="Normal 2 17 6 8" xfId="3386"/>
    <cellStyle name="Normal 2 17 6 9" xfId="3387"/>
    <cellStyle name="Normal 2 17 60" xfId="3388"/>
    <cellStyle name="Normal 2 17 61" xfId="3389"/>
    <cellStyle name="Normal 2 17 62" xfId="3390"/>
    <cellStyle name="Normal 2 17 63" xfId="3391"/>
    <cellStyle name="Normal 2 17 64" xfId="3392"/>
    <cellStyle name="Normal 2 17 65" xfId="3393"/>
    <cellStyle name="Normal 2 17 66" xfId="3394"/>
    <cellStyle name="Normal 2 17 67" xfId="3395"/>
    <cellStyle name="Normal 2 17 68" xfId="3396"/>
    <cellStyle name="Normal 2 17 69" xfId="3397"/>
    <cellStyle name="Normal 2 17 7" xfId="3398"/>
    <cellStyle name="Normal 2 17 7 10" xfId="3399"/>
    <cellStyle name="Normal 2 17 7 11" xfId="3400"/>
    <cellStyle name="Normal 2 17 7 12" xfId="3401"/>
    <cellStyle name="Normal 2 17 7 13" xfId="3402"/>
    <cellStyle name="Normal 2 17 7 14" xfId="3403"/>
    <cellStyle name="Normal 2 17 7 15" xfId="3404"/>
    <cellStyle name="Normal 2 17 7 16" xfId="3405"/>
    <cellStyle name="Normal 2 17 7 17" xfId="3406"/>
    <cellStyle name="Normal 2 17 7 18" xfId="3407"/>
    <cellStyle name="Normal 2 17 7 19" xfId="3408"/>
    <cellStyle name="Normal 2 17 7 2" xfId="3409"/>
    <cellStyle name="Normal 2 17 7 20" xfId="3410"/>
    <cellStyle name="Normal 2 17 7 21" xfId="3411"/>
    <cellStyle name="Normal 2 17 7 22" xfId="3412"/>
    <cellStyle name="Normal 2 17 7 23" xfId="3413"/>
    <cellStyle name="Normal 2 17 7 24" xfId="3414"/>
    <cellStyle name="Normal 2 17 7 25" xfId="3415"/>
    <cellStyle name="Normal 2 17 7 26" xfId="3416"/>
    <cellStyle name="Normal 2 17 7 27" xfId="3417"/>
    <cellStyle name="Normal 2 17 7 28" xfId="3418"/>
    <cellStyle name="Normal 2 17 7 29" xfId="3419"/>
    <cellStyle name="Normal 2 17 7 3" xfId="3420"/>
    <cellStyle name="Normal 2 17 7 30" xfId="3421"/>
    <cellStyle name="Normal 2 17 7 31" xfId="3422"/>
    <cellStyle name="Normal 2 17 7 32" xfId="3423"/>
    <cellStyle name="Normal 2 17 7 33" xfId="3424"/>
    <cellStyle name="Normal 2 17 7 34" xfId="3425"/>
    <cellStyle name="Normal 2 17 7 35" xfId="3426"/>
    <cellStyle name="Normal 2 17 7 36" xfId="3427"/>
    <cellStyle name="Normal 2 17 7 37" xfId="3428"/>
    <cellStyle name="Normal 2 17 7 38" xfId="3429"/>
    <cellStyle name="Normal 2 17 7 39" xfId="3430"/>
    <cellStyle name="Normal 2 17 7 4" xfId="3431"/>
    <cellStyle name="Normal 2 17 7 40" xfId="3432"/>
    <cellStyle name="Normal 2 17 7 41" xfId="3433"/>
    <cellStyle name="Normal 2 17 7 42" xfId="3434"/>
    <cellStyle name="Normal 2 17 7 43" xfId="3435"/>
    <cellStyle name="Normal 2 17 7 44" xfId="3436"/>
    <cellStyle name="Normal 2 17 7 45" xfId="3437"/>
    <cellStyle name="Normal 2 17 7 46" xfId="3438"/>
    <cellStyle name="Normal 2 17 7 47" xfId="3439"/>
    <cellStyle name="Normal 2 17 7 48" xfId="3440"/>
    <cellStyle name="Normal 2 17 7 49" xfId="3441"/>
    <cellStyle name="Normal 2 17 7 5" xfId="3442"/>
    <cellStyle name="Normal 2 17 7 50" xfId="3443"/>
    <cellStyle name="Normal 2 17 7 51" xfId="3444"/>
    <cellStyle name="Normal 2 17 7 52" xfId="3445"/>
    <cellStyle name="Normal 2 17 7 53" xfId="3446"/>
    <cellStyle name="Normal 2 17 7 54" xfId="3447"/>
    <cellStyle name="Normal 2 17 7 55" xfId="3448"/>
    <cellStyle name="Normal 2 17 7 56" xfId="3449"/>
    <cellStyle name="Normal 2 17 7 57" xfId="3450"/>
    <cellStyle name="Normal 2 17 7 58" xfId="3451"/>
    <cellStyle name="Normal 2 17 7 59" xfId="3452"/>
    <cellStyle name="Normal 2 17 7 6" xfId="3453"/>
    <cellStyle name="Normal 2 17 7 60" xfId="3454"/>
    <cellStyle name="Normal 2 17 7 61" xfId="3455"/>
    <cellStyle name="Normal 2 17 7 62" xfId="3456"/>
    <cellStyle name="Normal 2 17 7 63" xfId="3457"/>
    <cellStyle name="Normal 2 17 7 64" xfId="3458"/>
    <cellStyle name="Normal 2 17 7 65" xfId="3459"/>
    <cellStyle name="Normal 2 17 7 66" xfId="3460"/>
    <cellStyle name="Normal 2 17 7 67" xfId="3461"/>
    <cellStyle name="Normal 2 17 7 7" xfId="3462"/>
    <cellStyle name="Normal 2 17 7 8" xfId="3463"/>
    <cellStyle name="Normal 2 17 7 9" xfId="3464"/>
    <cellStyle name="Normal 2 17 70" xfId="3465"/>
    <cellStyle name="Normal 2 17 71" xfId="3466"/>
    <cellStyle name="Normal 2 17 72" xfId="3467"/>
    <cellStyle name="Normal 2 17 73" xfId="3468"/>
    <cellStyle name="Normal 2 17 74" xfId="3469"/>
    <cellStyle name="Normal 2 17 8" xfId="3470"/>
    <cellStyle name="Normal 2 17 8 10" xfId="3471"/>
    <cellStyle name="Normal 2 17 8 11" xfId="3472"/>
    <cellStyle name="Normal 2 17 8 12" xfId="3473"/>
    <cellStyle name="Normal 2 17 8 13" xfId="3474"/>
    <cellStyle name="Normal 2 17 8 14" xfId="3475"/>
    <cellStyle name="Normal 2 17 8 15" xfId="3476"/>
    <cellStyle name="Normal 2 17 8 16" xfId="3477"/>
    <cellStyle name="Normal 2 17 8 17" xfId="3478"/>
    <cellStyle name="Normal 2 17 8 18" xfId="3479"/>
    <cellStyle name="Normal 2 17 8 19" xfId="3480"/>
    <cellStyle name="Normal 2 17 8 2" xfId="3481"/>
    <cellStyle name="Normal 2 17 8 20" xfId="3482"/>
    <cellStyle name="Normal 2 17 8 21" xfId="3483"/>
    <cellStyle name="Normal 2 17 8 22" xfId="3484"/>
    <cellStyle name="Normal 2 17 8 23" xfId="3485"/>
    <cellStyle name="Normal 2 17 8 24" xfId="3486"/>
    <cellStyle name="Normal 2 17 8 25" xfId="3487"/>
    <cellStyle name="Normal 2 17 8 26" xfId="3488"/>
    <cellStyle name="Normal 2 17 8 27" xfId="3489"/>
    <cellStyle name="Normal 2 17 8 28" xfId="3490"/>
    <cellStyle name="Normal 2 17 8 29" xfId="3491"/>
    <cellStyle name="Normal 2 17 8 3" xfId="3492"/>
    <cellStyle name="Normal 2 17 8 30" xfId="3493"/>
    <cellStyle name="Normal 2 17 8 31" xfId="3494"/>
    <cellStyle name="Normal 2 17 8 32" xfId="3495"/>
    <cellStyle name="Normal 2 17 8 33" xfId="3496"/>
    <cellStyle name="Normal 2 17 8 34" xfId="3497"/>
    <cellStyle name="Normal 2 17 8 35" xfId="3498"/>
    <cellStyle name="Normal 2 17 8 36" xfId="3499"/>
    <cellStyle name="Normal 2 17 8 37" xfId="3500"/>
    <cellStyle name="Normal 2 17 8 38" xfId="3501"/>
    <cellStyle name="Normal 2 17 8 39" xfId="3502"/>
    <cellStyle name="Normal 2 17 8 4" xfId="3503"/>
    <cellStyle name="Normal 2 17 8 40" xfId="3504"/>
    <cellStyle name="Normal 2 17 8 41" xfId="3505"/>
    <cellStyle name="Normal 2 17 8 42" xfId="3506"/>
    <cellStyle name="Normal 2 17 8 43" xfId="3507"/>
    <cellStyle name="Normal 2 17 8 44" xfId="3508"/>
    <cellStyle name="Normal 2 17 8 45" xfId="3509"/>
    <cellStyle name="Normal 2 17 8 46" xfId="3510"/>
    <cellStyle name="Normal 2 17 8 47" xfId="3511"/>
    <cellStyle name="Normal 2 17 8 48" xfId="3512"/>
    <cellStyle name="Normal 2 17 8 49" xfId="3513"/>
    <cellStyle name="Normal 2 17 8 5" xfId="3514"/>
    <cellStyle name="Normal 2 17 8 50" xfId="3515"/>
    <cellStyle name="Normal 2 17 8 51" xfId="3516"/>
    <cellStyle name="Normal 2 17 8 52" xfId="3517"/>
    <cellStyle name="Normal 2 17 8 53" xfId="3518"/>
    <cellStyle name="Normal 2 17 8 54" xfId="3519"/>
    <cellStyle name="Normal 2 17 8 55" xfId="3520"/>
    <cellStyle name="Normal 2 17 8 56" xfId="3521"/>
    <cellStyle name="Normal 2 17 8 57" xfId="3522"/>
    <cellStyle name="Normal 2 17 8 58" xfId="3523"/>
    <cellStyle name="Normal 2 17 8 59" xfId="3524"/>
    <cellStyle name="Normal 2 17 8 6" xfId="3525"/>
    <cellStyle name="Normal 2 17 8 60" xfId="3526"/>
    <cellStyle name="Normal 2 17 8 61" xfId="3527"/>
    <cellStyle name="Normal 2 17 8 62" xfId="3528"/>
    <cellStyle name="Normal 2 17 8 63" xfId="3529"/>
    <cellStyle name="Normal 2 17 8 64" xfId="3530"/>
    <cellStyle name="Normal 2 17 8 65" xfId="3531"/>
    <cellStyle name="Normal 2 17 8 66" xfId="3532"/>
    <cellStyle name="Normal 2 17 8 67" xfId="3533"/>
    <cellStyle name="Normal 2 17 8 7" xfId="3534"/>
    <cellStyle name="Normal 2 17 8 8" xfId="3535"/>
    <cellStyle name="Normal 2 17 8 9" xfId="3536"/>
    <cellStyle name="Normal 2 17 9" xfId="3537"/>
    <cellStyle name="Normal 2 18" xfId="3538"/>
    <cellStyle name="Normal 2 19" xfId="3539"/>
    <cellStyle name="Normal 2 19 10" xfId="3540"/>
    <cellStyle name="Normal 2 19 11" xfId="3541"/>
    <cellStyle name="Normal 2 19 12" xfId="3542"/>
    <cellStyle name="Normal 2 19 13" xfId="3543"/>
    <cellStyle name="Normal 2 19 14" xfId="3544"/>
    <cellStyle name="Normal 2 19 15" xfId="3545"/>
    <cellStyle name="Normal 2 19 16" xfId="3546"/>
    <cellStyle name="Normal 2 19 17" xfId="3547"/>
    <cellStyle name="Normal 2 19 18" xfId="3548"/>
    <cellStyle name="Normal 2 19 19" xfId="3549"/>
    <cellStyle name="Normal 2 19 2" xfId="3550"/>
    <cellStyle name="Normal 2 19 20" xfId="3551"/>
    <cellStyle name="Normal 2 19 21" xfId="3552"/>
    <cellStyle name="Normal 2 19 22" xfId="3553"/>
    <cellStyle name="Normal 2 19 23" xfId="3554"/>
    <cellStyle name="Normal 2 19 24" xfId="3555"/>
    <cellStyle name="Normal 2 19 25" xfId="3556"/>
    <cellStyle name="Normal 2 19 26" xfId="3557"/>
    <cellStyle name="Normal 2 19 27" xfId="3558"/>
    <cellStyle name="Normal 2 19 28" xfId="3559"/>
    <cellStyle name="Normal 2 19 29" xfId="3560"/>
    <cellStyle name="Normal 2 19 3" xfId="3561"/>
    <cellStyle name="Normal 2 19 30" xfId="3562"/>
    <cellStyle name="Normal 2 19 31" xfId="3563"/>
    <cellStyle name="Normal 2 19 32" xfId="3564"/>
    <cellStyle name="Normal 2 19 33" xfId="3565"/>
    <cellStyle name="Normal 2 19 34" xfId="3566"/>
    <cellStyle name="Normal 2 19 35" xfId="3567"/>
    <cellStyle name="Normal 2 19 36" xfId="3568"/>
    <cellStyle name="Normal 2 19 37" xfId="3569"/>
    <cellStyle name="Normal 2 19 38" xfId="3570"/>
    <cellStyle name="Normal 2 19 39" xfId="3571"/>
    <cellStyle name="Normal 2 19 4" xfId="3572"/>
    <cellStyle name="Normal 2 19 40" xfId="3573"/>
    <cellStyle name="Normal 2 19 41" xfId="3574"/>
    <cellStyle name="Normal 2 19 42" xfId="3575"/>
    <cellStyle name="Normal 2 19 43" xfId="3576"/>
    <cellStyle name="Normal 2 19 44" xfId="3577"/>
    <cellStyle name="Normal 2 19 45" xfId="3578"/>
    <cellStyle name="Normal 2 19 46" xfId="3579"/>
    <cellStyle name="Normal 2 19 47" xfId="3580"/>
    <cellStyle name="Normal 2 19 48" xfId="3581"/>
    <cellStyle name="Normal 2 19 49" xfId="3582"/>
    <cellStyle name="Normal 2 19 5" xfId="3583"/>
    <cellStyle name="Normal 2 19 50" xfId="3584"/>
    <cellStyle name="Normal 2 19 51" xfId="3585"/>
    <cellStyle name="Normal 2 19 52" xfId="3586"/>
    <cellStyle name="Normal 2 19 53" xfId="3587"/>
    <cellStyle name="Normal 2 19 54" xfId="3588"/>
    <cellStyle name="Normal 2 19 55" xfId="3589"/>
    <cellStyle name="Normal 2 19 56" xfId="3590"/>
    <cellStyle name="Normal 2 19 57" xfId="3591"/>
    <cellStyle name="Normal 2 19 58" xfId="3592"/>
    <cellStyle name="Normal 2 19 59" xfId="3593"/>
    <cellStyle name="Normal 2 19 6" xfId="3594"/>
    <cellStyle name="Normal 2 19 60" xfId="3595"/>
    <cellStyle name="Normal 2 19 61" xfId="3596"/>
    <cellStyle name="Normal 2 19 62" xfId="3597"/>
    <cellStyle name="Normal 2 19 63" xfId="3598"/>
    <cellStyle name="Normal 2 19 64" xfId="3599"/>
    <cellStyle name="Normal 2 19 65" xfId="3600"/>
    <cellStyle name="Normal 2 19 66" xfId="3601"/>
    <cellStyle name="Normal 2 19 67" xfId="3602"/>
    <cellStyle name="Normal 2 19 68" xfId="3603"/>
    <cellStyle name="Normal 2 19 7" xfId="3604"/>
    <cellStyle name="Normal 2 19 8" xfId="3605"/>
    <cellStyle name="Normal 2 19 9" xfId="3606"/>
    <cellStyle name="Normal 2 2" xfId="3607"/>
    <cellStyle name="Normal 2 2 10" xfId="3608"/>
    <cellStyle name="Normal 2 2 100" xfId="8905"/>
    <cellStyle name="Normal 2 2 101" xfId="8906"/>
    <cellStyle name="Normal 2 2 102" xfId="8907"/>
    <cellStyle name="Normal 2 2 103" xfId="8908"/>
    <cellStyle name="Normal 2 2 104" xfId="8909"/>
    <cellStyle name="Normal 2 2 105" xfId="8910"/>
    <cellStyle name="Normal 2 2 106" xfId="8911"/>
    <cellStyle name="Normal 2 2 107" xfId="8912"/>
    <cellStyle name="Normal 2 2 108" xfId="8913"/>
    <cellStyle name="Normal 2 2 109" xfId="8914"/>
    <cellStyle name="Normal 2 2 11" xfId="3609"/>
    <cellStyle name="Normal 2 2 110" xfId="8915"/>
    <cellStyle name="Normal 2 2 111" xfId="8916"/>
    <cellStyle name="Normal 2 2 112" xfId="8917"/>
    <cellStyle name="Normal 2 2 113" xfId="8918"/>
    <cellStyle name="Normal 2 2 114" xfId="8919"/>
    <cellStyle name="Normal 2 2 115" xfId="8920"/>
    <cellStyle name="Normal 2 2 116" xfId="8921"/>
    <cellStyle name="Normal 2 2 117" xfId="8922"/>
    <cellStyle name="Normal 2 2 12" xfId="3610"/>
    <cellStyle name="Normal 2 2 13" xfId="3611"/>
    <cellStyle name="Normal 2 2 14" xfId="3612"/>
    <cellStyle name="Normal 2 2 15" xfId="3613"/>
    <cellStyle name="Normal 2 2 15 2" xfId="3614"/>
    <cellStyle name="Normal 2 2 15 2 2" xfId="3615"/>
    <cellStyle name="Normal 2 2 15 2 2 2" xfId="3616"/>
    <cellStyle name="Normal 2 2 15 2 2 3" xfId="3617"/>
    <cellStyle name="Normal 2 2 15 2 2 4" xfId="8923"/>
    <cellStyle name="Normal 2 2 15 2 2 5" xfId="8924"/>
    <cellStyle name="Normal 2 2 15 2 2 6" xfId="8925"/>
    <cellStyle name="Normal 2 2 15 2 3" xfId="3618"/>
    <cellStyle name="Normal 2 2 15 2 4" xfId="3619"/>
    <cellStyle name="Normal 2 2 15 2 5" xfId="8926"/>
    <cellStyle name="Normal 2 2 15 2 6" xfId="8927"/>
    <cellStyle name="Normal 2 2 15 3" xfId="3620"/>
    <cellStyle name="Normal 2 2 15 3 2" xfId="3621"/>
    <cellStyle name="Normal 2 2 15 3 2 2" xfId="3622"/>
    <cellStyle name="Normal 2 2 15 3 2 3" xfId="3623"/>
    <cellStyle name="Normal 2 2 15 3 3" xfId="3624"/>
    <cellStyle name="Normal 2 2 15 3 4" xfId="3625"/>
    <cellStyle name="Normal 2 2 15 4" xfId="3626"/>
    <cellStyle name="Normal 2 2 15 4 2" xfId="3627"/>
    <cellStyle name="Normal 2 2 15 4 2 2" xfId="3628"/>
    <cellStyle name="Normal 2 2 15 4 2 3" xfId="3629"/>
    <cellStyle name="Normal 2 2 15 4 3" xfId="3630"/>
    <cellStyle name="Normal 2 2 15 4 4" xfId="3631"/>
    <cellStyle name="Normal 2 2 15 5" xfId="3632"/>
    <cellStyle name="Normal 2 2 15 5 2" xfId="3633"/>
    <cellStyle name="Normal 2 2 15 5 2 2" xfId="3634"/>
    <cellStyle name="Normal 2 2 15 5 2 3" xfId="3635"/>
    <cellStyle name="Normal 2 2 15 5 3" xfId="3636"/>
    <cellStyle name="Normal 2 2 15 5 4" xfId="3637"/>
    <cellStyle name="Normal 2 2 15 6" xfId="3638"/>
    <cellStyle name="Normal 2 2 15 6 2" xfId="3639"/>
    <cellStyle name="Normal 2 2 15 6 3" xfId="3640"/>
    <cellStyle name="Normal 2 2 15 7" xfId="3641"/>
    <cellStyle name="Normal 2 2 15 8" xfId="3642"/>
    <cellStyle name="Normal 2 2 16" xfId="3643"/>
    <cellStyle name="Normal 2 2 16 2" xfId="3644"/>
    <cellStyle name="Normal 2 2 16 2 2" xfId="3645"/>
    <cellStyle name="Normal 2 2 16 2 2 2" xfId="3646"/>
    <cellStyle name="Normal 2 2 16 2 2 3" xfId="3647"/>
    <cellStyle name="Normal 2 2 16 2 3" xfId="3648"/>
    <cellStyle name="Normal 2 2 16 2 4" xfId="3649"/>
    <cellStyle name="Normal 2 2 16 3" xfId="3650"/>
    <cellStyle name="Normal 2 2 16 3 2" xfId="3651"/>
    <cellStyle name="Normal 2 2 16 3 2 2" xfId="3652"/>
    <cellStyle name="Normal 2 2 16 3 2 3" xfId="3653"/>
    <cellStyle name="Normal 2 2 16 3 3" xfId="3654"/>
    <cellStyle name="Normal 2 2 16 3 4" xfId="3655"/>
    <cellStyle name="Normal 2 2 16 4" xfId="3656"/>
    <cellStyle name="Normal 2 2 16 4 2" xfId="3657"/>
    <cellStyle name="Normal 2 2 16 4 2 2" xfId="3658"/>
    <cellStyle name="Normal 2 2 16 4 2 3" xfId="3659"/>
    <cellStyle name="Normal 2 2 16 4 3" xfId="3660"/>
    <cellStyle name="Normal 2 2 16 4 4" xfId="3661"/>
    <cellStyle name="Normal 2 2 16 5" xfId="3662"/>
    <cellStyle name="Normal 2 2 16 5 2" xfId="3663"/>
    <cellStyle name="Normal 2 2 16 5 2 2" xfId="3664"/>
    <cellStyle name="Normal 2 2 16 5 2 3" xfId="3665"/>
    <cellStyle name="Normal 2 2 16 5 3" xfId="3666"/>
    <cellStyle name="Normal 2 2 16 5 4" xfId="3667"/>
    <cellStyle name="Normal 2 2 16 6" xfId="3668"/>
    <cellStyle name="Normal 2 2 16 6 2" xfId="3669"/>
    <cellStyle name="Normal 2 2 16 6 3" xfId="3670"/>
    <cellStyle name="Normal 2 2 16 7" xfId="3671"/>
    <cellStyle name="Normal 2 2 16 8" xfId="3672"/>
    <cellStyle name="Normal 2 2 17" xfId="3673"/>
    <cellStyle name="Normal 2 2 17 2" xfId="3674"/>
    <cellStyle name="Normal 2 2 17 2 2" xfId="3675"/>
    <cellStyle name="Normal 2 2 17 2 2 2" xfId="3676"/>
    <cellStyle name="Normal 2 2 17 2 2 3" xfId="3677"/>
    <cellStyle name="Normal 2 2 17 2 3" xfId="3678"/>
    <cellStyle name="Normal 2 2 17 2 4" xfId="3679"/>
    <cellStyle name="Normal 2 2 17 3" xfId="3680"/>
    <cellStyle name="Normal 2 2 17 3 2" xfId="3681"/>
    <cellStyle name="Normal 2 2 17 3 2 2" xfId="3682"/>
    <cellStyle name="Normal 2 2 17 3 2 3" xfId="3683"/>
    <cellStyle name="Normal 2 2 17 3 3" xfId="3684"/>
    <cellStyle name="Normal 2 2 17 3 4" xfId="3685"/>
    <cellStyle name="Normal 2 2 17 4" xfId="3686"/>
    <cellStyle name="Normal 2 2 17 4 2" xfId="3687"/>
    <cellStyle name="Normal 2 2 17 4 2 2" xfId="3688"/>
    <cellStyle name="Normal 2 2 17 4 2 3" xfId="3689"/>
    <cellStyle name="Normal 2 2 17 4 3" xfId="3690"/>
    <cellStyle name="Normal 2 2 17 4 4" xfId="3691"/>
    <cellStyle name="Normal 2 2 17 5" xfId="3692"/>
    <cellStyle name="Normal 2 2 17 5 2" xfId="3693"/>
    <cellStyle name="Normal 2 2 17 5 2 2" xfId="3694"/>
    <cellStyle name="Normal 2 2 17 5 2 3" xfId="3695"/>
    <cellStyle name="Normal 2 2 17 5 3" xfId="3696"/>
    <cellStyle name="Normal 2 2 17 5 4" xfId="3697"/>
    <cellStyle name="Normal 2 2 17 6" xfId="3698"/>
    <cellStyle name="Normal 2 2 17 6 2" xfId="3699"/>
    <cellStyle name="Normal 2 2 17 6 3" xfId="3700"/>
    <cellStyle name="Normal 2 2 17 7" xfId="3701"/>
    <cellStyle name="Normal 2 2 17 8" xfId="3702"/>
    <cellStyle name="Normal 2 2 18" xfId="3703"/>
    <cellStyle name="Normal 2 2 19" xfId="3704"/>
    <cellStyle name="Normal 2 2 2" xfId="3705"/>
    <cellStyle name="Normal 2 2 2 10" xfId="3706"/>
    <cellStyle name="Normal 2 2 2 11" xfId="3707"/>
    <cellStyle name="Normal 2 2 2 11 2" xfId="3708"/>
    <cellStyle name="Normal 2 2 2 11 3" xfId="3709"/>
    <cellStyle name="Normal 2 2 2 12" xfId="3710"/>
    <cellStyle name="Normal 2 2 2 13" xfId="3711"/>
    <cellStyle name="Normal 2 2 2 2" xfId="3712"/>
    <cellStyle name="Normal 2 2 2 2 2" xfId="3713"/>
    <cellStyle name="Normal 2 2 2 2 2 2" xfId="3714"/>
    <cellStyle name="Normal 2 2 2 2 2 2 2" xfId="3715"/>
    <cellStyle name="Normal 2 2 2 2 2 2 3" xfId="3716"/>
    <cellStyle name="Normal 2 2 2 2 2 3" xfId="3717"/>
    <cellStyle name="Normal 2 2 2 2 2 4" xfId="3718"/>
    <cellStyle name="Normal 2 2 2 2 3" xfId="3719"/>
    <cellStyle name="Normal 2 2 2 2 3 2" xfId="3720"/>
    <cellStyle name="Normal 2 2 2 2 3 2 2" xfId="3721"/>
    <cellStyle name="Normal 2 2 2 2 3 2 3" xfId="3722"/>
    <cellStyle name="Normal 2 2 2 2 3 3" xfId="3723"/>
    <cellStyle name="Normal 2 2 2 2 3 4" xfId="3724"/>
    <cellStyle name="Normal 2 2 2 2 4" xfId="3725"/>
    <cellStyle name="Normal 2 2 2 2 4 2" xfId="3726"/>
    <cellStyle name="Normal 2 2 2 2 4 2 2" xfId="3727"/>
    <cellStyle name="Normal 2 2 2 2 4 2 3" xfId="3728"/>
    <cellStyle name="Normal 2 2 2 2 4 3" xfId="3729"/>
    <cellStyle name="Normal 2 2 2 2 4 4" xfId="3730"/>
    <cellStyle name="Normal 2 2 2 2 5" xfId="3731"/>
    <cellStyle name="Normal 2 2 2 2 5 2" xfId="3732"/>
    <cellStyle name="Normal 2 2 2 2 5 2 2" xfId="3733"/>
    <cellStyle name="Normal 2 2 2 2 5 2 3" xfId="3734"/>
    <cellStyle name="Normal 2 2 2 2 5 3" xfId="3735"/>
    <cellStyle name="Normal 2 2 2 2 5 4" xfId="3736"/>
    <cellStyle name="Normal 2 2 2 2 6" xfId="3737"/>
    <cellStyle name="Normal 2 2 2 2 6 2" xfId="3738"/>
    <cellStyle name="Normal 2 2 2 2 6 3" xfId="3739"/>
    <cellStyle name="Normal 2 2 2 2 7" xfId="3740"/>
    <cellStyle name="Normal 2 2 2 2 8" xfId="3741"/>
    <cellStyle name="Normal 2 2 2 3" xfId="3742"/>
    <cellStyle name="Normal 2 2 2 3 2" xfId="3743"/>
    <cellStyle name="Normal 2 2 2 3 2 2" xfId="3744"/>
    <cellStyle name="Normal 2 2 2 3 2 2 2" xfId="3745"/>
    <cellStyle name="Normal 2 2 2 3 2 2 3" xfId="3746"/>
    <cellStyle name="Normal 2 2 2 3 2 3" xfId="3747"/>
    <cellStyle name="Normal 2 2 2 3 2 4" xfId="3748"/>
    <cellStyle name="Normal 2 2 2 3 3" xfId="3749"/>
    <cellStyle name="Normal 2 2 2 3 3 2" xfId="3750"/>
    <cellStyle name="Normal 2 2 2 3 3 2 2" xfId="3751"/>
    <cellStyle name="Normal 2 2 2 3 3 2 3" xfId="3752"/>
    <cellStyle name="Normal 2 2 2 3 3 3" xfId="3753"/>
    <cellStyle name="Normal 2 2 2 3 3 4" xfId="3754"/>
    <cellStyle name="Normal 2 2 2 3 4" xfId="3755"/>
    <cellStyle name="Normal 2 2 2 3 4 2" xfId="3756"/>
    <cellStyle name="Normal 2 2 2 3 4 2 2" xfId="3757"/>
    <cellStyle name="Normal 2 2 2 3 4 2 3" xfId="3758"/>
    <cellStyle name="Normal 2 2 2 3 4 3" xfId="3759"/>
    <cellStyle name="Normal 2 2 2 3 4 4" xfId="3760"/>
    <cellStyle name="Normal 2 2 2 3 5" xfId="3761"/>
    <cellStyle name="Normal 2 2 2 3 5 2" xfId="3762"/>
    <cellStyle name="Normal 2 2 2 3 5 2 2" xfId="3763"/>
    <cellStyle name="Normal 2 2 2 3 5 2 3" xfId="3764"/>
    <cellStyle name="Normal 2 2 2 3 5 3" xfId="3765"/>
    <cellStyle name="Normal 2 2 2 3 5 4" xfId="3766"/>
    <cellStyle name="Normal 2 2 2 3 6" xfId="3767"/>
    <cellStyle name="Normal 2 2 2 3 6 2" xfId="3768"/>
    <cellStyle name="Normal 2 2 2 3 6 3" xfId="3769"/>
    <cellStyle name="Normal 2 2 2 3 7" xfId="3770"/>
    <cellStyle name="Normal 2 2 2 3 8" xfId="3771"/>
    <cellStyle name="Normal 2 2 2 4" xfId="3772"/>
    <cellStyle name="Normal 2 2 2 4 2" xfId="3773"/>
    <cellStyle name="Normal 2 2 2 4 2 2" xfId="3774"/>
    <cellStyle name="Normal 2 2 2 4 2 2 2" xfId="3775"/>
    <cellStyle name="Normal 2 2 2 4 2 2 3" xfId="3776"/>
    <cellStyle name="Normal 2 2 2 4 2 3" xfId="3777"/>
    <cellStyle name="Normal 2 2 2 4 2 4" xfId="3778"/>
    <cellStyle name="Normal 2 2 2 4 3" xfId="3779"/>
    <cellStyle name="Normal 2 2 2 4 3 2" xfId="3780"/>
    <cellStyle name="Normal 2 2 2 4 3 2 2" xfId="3781"/>
    <cellStyle name="Normal 2 2 2 4 3 2 3" xfId="3782"/>
    <cellStyle name="Normal 2 2 2 4 3 3" xfId="3783"/>
    <cellStyle name="Normal 2 2 2 4 3 4" xfId="3784"/>
    <cellStyle name="Normal 2 2 2 4 4" xfId="3785"/>
    <cellStyle name="Normal 2 2 2 4 4 2" xfId="3786"/>
    <cellStyle name="Normal 2 2 2 4 4 2 2" xfId="3787"/>
    <cellStyle name="Normal 2 2 2 4 4 2 3" xfId="3788"/>
    <cellStyle name="Normal 2 2 2 4 4 3" xfId="3789"/>
    <cellStyle name="Normal 2 2 2 4 4 4" xfId="3790"/>
    <cellStyle name="Normal 2 2 2 4 5" xfId="3791"/>
    <cellStyle name="Normal 2 2 2 4 5 2" xfId="3792"/>
    <cellStyle name="Normal 2 2 2 4 5 2 2" xfId="3793"/>
    <cellStyle name="Normal 2 2 2 4 5 2 3" xfId="3794"/>
    <cellStyle name="Normal 2 2 2 4 5 3" xfId="3795"/>
    <cellStyle name="Normal 2 2 2 4 5 4" xfId="3796"/>
    <cellStyle name="Normal 2 2 2 4 6" xfId="3797"/>
    <cellStyle name="Normal 2 2 2 4 6 2" xfId="3798"/>
    <cellStyle name="Normal 2 2 2 4 6 3" xfId="3799"/>
    <cellStyle name="Normal 2 2 2 4 7" xfId="3800"/>
    <cellStyle name="Normal 2 2 2 4 8" xfId="3801"/>
    <cellStyle name="Normal 2 2 2 5" xfId="3802"/>
    <cellStyle name="Normal 2 2 2 5 2" xfId="3803"/>
    <cellStyle name="Normal 2 2 2 5 2 2" xfId="3804"/>
    <cellStyle name="Normal 2 2 2 5 2 2 2" xfId="3805"/>
    <cellStyle name="Normal 2 2 2 5 2 2 3" xfId="3806"/>
    <cellStyle name="Normal 2 2 2 5 2 3" xfId="3807"/>
    <cellStyle name="Normal 2 2 2 5 2 4" xfId="3808"/>
    <cellStyle name="Normal 2 2 2 5 3" xfId="3809"/>
    <cellStyle name="Normal 2 2 2 5 3 2" xfId="3810"/>
    <cellStyle name="Normal 2 2 2 5 3 2 2" xfId="3811"/>
    <cellStyle name="Normal 2 2 2 5 3 2 3" xfId="3812"/>
    <cellStyle name="Normal 2 2 2 5 3 3" xfId="3813"/>
    <cellStyle name="Normal 2 2 2 5 3 4" xfId="3814"/>
    <cellStyle name="Normal 2 2 2 5 4" xfId="3815"/>
    <cellStyle name="Normal 2 2 2 5 4 2" xfId="3816"/>
    <cellStyle name="Normal 2 2 2 5 4 2 2" xfId="3817"/>
    <cellStyle name="Normal 2 2 2 5 4 2 3" xfId="3818"/>
    <cellStyle name="Normal 2 2 2 5 4 3" xfId="3819"/>
    <cellStyle name="Normal 2 2 2 5 4 4" xfId="3820"/>
    <cellStyle name="Normal 2 2 2 5 5" xfId="3821"/>
    <cellStyle name="Normal 2 2 2 5 5 2" xfId="3822"/>
    <cellStyle name="Normal 2 2 2 5 5 2 2" xfId="3823"/>
    <cellStyle name="Normal 2 2 2 5 5 2 3" xfId="3824"/>
    <cellStyle name="Normal 2 2 2 5 5 3" xfId="3825"/>
    <cellStyle name="Normal 2 2 2 5 5 4" xfId="3826"/>
    <cellStyle name="Normal 2 2 2 5 6" xfId="3827"/>
    <cellStyle name="Normal 2 2 2 5 6 2" xfId="3828"/>
    <cellStyle name="Normal 2 2 2 5 6 3" xfId="3829"/>
    <cellStyle name="Normal 2 2 2 5 7" xfId="3830"/>
    <cellStyle name="Normal 2 2 2 5 8" xfId="3831"/>
    <cellStyle name="Normal 2 2 2 6" xfId="3832"/>
    <cellStyle name="Normal 2 2 2 6 2" xfId="3833"/>
    <cellStyle name="Normal 2 2 2 6 2 2" xfId="3834"/>
    <cellStyle name="Normal 2 2 2 6 2 2 2" xfId="3835"/>
    <cellStyle name="Normal 2 2 2 6 2 2 3" xfId="3836"/>
    <cellStyle name="Normal 2 2 2 6 2 3" xfId="3837"/>
    <cellStyle name="Normal 2 2 2 6 2 4" xfId="3838"/>
    <cellStyle name="Normal 2 2 2 6 3" xfId="3839"/>
    <cellStyle name="Normal 2 2 2 6 3 2" xfId="3840"/>
    <cellStyle name="Normal 2 2 2 6 3 2 2" xfId="3841"/>
    <cellStyle name="Normal 2 2 2 6 3 2 3" xfId="3842"/>
    <cellStyle name="Normal 2 2 2 6 3 3" xfId="3843"/>
    <cellStyle name="Normal 2 2 2 6 3 4" xfId="3844"/>
    <cellStyle name="Normal 2 2 2 6 4" xfId="3845"/>
    <cellStyle name="Normal 2 2 2 6 4 2" xfId="3846"/>
    <cellStyle name="Normal 2 2 2 6 4 2 2" xfId="3847"/>
    <cellStyle name="Normal 2 2 2 6 4 2 3" xfId="3848"/>
    <cellStyle name="Normal 2 2 2 6 4 3" xfId="3849"/>
    <cellStyle name="Normal 2 2 2 6 4 4" xfId="3850"/>
    <cellStyle name="Normal 2 2 2 6 5" xfId="3851"/>
    <cellStyle name="Normal 2 2 2 6 5 2" xfId="3852"/>
    <cellStyle name="Normal 2 2 2 6 5 2 2" xfId="3853"/>
    <cellStyle name="Normal 2 2 2 6 5 2 3" xfId="3854"/>
    <cellStyle name="Normal 2 2 2 6 5 3" xfId="3855"/>
    <cellStyle name="Normal 2 2 2 6 5 4" xfId="3856"/>
    <cellStyle name="Normal 2 2 2 6 6" xfId="3857"/>
    <cellStyle name="Normal 2 2 2 6 6 2" xfId="3858"/>
    <cellStyle name="Normal 2 2 2 6 6 3" xfId="3859"/>
    <cellStyle name="Normal 2 2 2 6 7" xfId="3860"/>
    <cellStyle name="Normal 2 2 2 6 8" xfId="3861"/>
    <cellStyle name="Normal 2 2 2 7" xfId="3862"/>
    <cellStyle name="Normal 2 2 2 8" xfId="3863"/>
    <cellStyle name="Normal 2 2 2 9" xfId="3864"/>
    <cellStyle name="Normal 2 2 20" xfId="3865"/>
    <cellStyle name="Normal 2 2 21" xfId="3866"/>
    <cellStyle name="Normal 2 2 22" xfId="8928"/>
    <cellStyle name="Normal 2 2 23" xfId="8929"/>
    <cellStyle name="Normal 2 2 24" xfId="8930"/>
    <cellStyle name="Normal 2 2 25" xfId="8931"/>
    <cellStyle name="Normal 2 2 26" xfId="8932"/>
    <cellStyle name="Normal 2 2 27" xfId="8933"/>
    <cellStyle name="Normal 2 2 28" xfId="8934"/>
    <cellStyle name="Normal 2 2 29" xfId="8935"/>
    <cellStyle name="Normal 2 2 3" xfId="3867"/>
    <cellStyle name="Normal 2 2 3 2" xfId="3868"/>
    <cellStyle name="Normal 2 2 3 2 2" xfId="3869"/>
    <cellStyle name="Normal 2 2 3 2 2 2" xfId="3870"/>
    <cellStyle name="Normal 2 2 3 2 2 2 2" xfId="3871"/>
    <cellStyle name="Normal 2 2 3 2 2 2 3" xfId="3872"/>
    <cellStyle name="Normal 2 2 3 2 2 3" xfId="3873"/>
    <cellStyle name="Normal 2 2 3 2 2 4" xfId="3874"/>
    <cellStyle name="Normal 2 2 3 2 3" xfId="3875"/>
    <cellStyle name="Normal 2 2 3 2 3 2" xfId="3876"/>
    <cellStyle name="Normal 2 2 3 2 3 2 2" xfId="3877"/>
    <cellStyle name="Normal 2 2 3 2 3 2 3" xfId="3878"/>
    <cellStyle name="Normal 2 2 3 2 3 3" xfId="3879"/>
    <cellStyle name="Normal 2 2 3 2 3 4" xfId="3880"/>
    <cellStyle name="Normal 2 2 3 2 4" xfId="3881"/>
    <cellStyle name="Normal 2 2 3 2 4 2" xfId="3882"/>
    <cellStyle name="Normal 2 2 3 2 4 2 2" xfId="3883"/>
    <cellStyle name="Normal 2 2 3 2 4 2 3" xfId="3884"/>
    <cellStyle name="Normal 2 2 3 2 4 3" xfId="3885"/>
    <cellStyle name="Normal 2 2 3 2 4 4" xfId="3886"/>
    <cellStyle name="Normal 2 2 3 2 5" xfId="3887"/>
    <cellStyle name="Normal 2 2 3 2 5 2" xfId="3888"/>
    <cellStyle name="Normal 2 2 3 2 5 2 2" xfId="3889"/>
    <cellStyle name="Normal 2 2 3 2 5 2 3" xfId="3890"/>
    <cellStyle name="Normal 2 2 3 2 5 3" xfId="3891"/>
    <cellStyle name="Normal 2 2 3 2 5 4" xfId="3892"/>
    <cellStyle name="Normal 2 2 3 2 6" xfId="3893"/>
    <cellStyle name="Normal 2 2 3 2 6 2" xfId="3894"/>
    <cellStyle name="Normal 2 2 3 2 6 3" xfId="3895"/>
    <cellStyle name="Normal 2 2 3 2 7" xfId="3896"/>
    <cellStyle name="Normal 2 2 3 2 8" xfId="3897"/>
    <cellStyle name="Normal 2 2 3 3" xfId="3898"/>
    <cellStyle name="Normal 2 2 3 3 2" xfId="3899"/>
    <cellStyle name="Normal 2 2 3 3 2 2" xfId="3900"/>
    <cellStyle name="Normal 2 2 3 3 2 3" xfId="3901"/>
    <cellStyle name="Normal 2 2 3 3 3" xfId="3902"/>
    <cellStyle name="Normal 2 2 3 3 4" xfId="3903"/>
    <cellStyle name="Normal 2 2 3 4" xfId="3904"/>
    <cellStyle name="Normal 2 2 3 4 2" xfId="3905"/>
    <cellStyle name="Normal 2 2 3 4 2 2" xfId="3906"/>
    <cellStyle name="Normal 2 2 3 4 2 3" xfId="3907"/>
    <cellStyle name="Normal 2 2 3 4 3" xfId="3908"/>
    <cellStyle name="Normal 2 2 3 4 4" xfId="3909"/>
    <cellStyle name="Normal 2 2 3 5" xfId="3910"/>
    <cellStyle name="Normal 2 2 3 5 2" xfId="3911"/>
    <cellStyle name="Normal 2 2 3 5 2 2" xfId="3912"/>
    <cellStyle name="Normal 2 2 3 5 2 3" xfId="3913"/>
    <cellStyle name="Normal 2 2 3 5 3" xfId="3914"/>
    <cellStyle name="Normal 2 2 3 5 4" xfId="3915"/>
    <cellStyle name="Normal 2 2 3 6" xfId="3916"/>
    <cellStyle name="Normal 2 2 3 6 2" xfId="3917"/>
    <cellStyle name="Normal 2 2 3 6 2 2" xfId="3918"/>
    <cellStyle name="Normal 2 2 3 6 2 3" xfId="3919"/>
    <cellStyle name="Normal 2 2 3 6 3" xfId="3920"/>
    <cellStyle name="Normal 2 2 3 6 4" xfId="3921"/>
    <cellStyle name="Normal 2 2 3 7" xfId="3922"/>
    <cellStyle name="Normal 2 2 3 7 2" xfId="3923"/>
    <cellStyle name="Normal 2 2 3 7 3" xfId="3924"/>
    <cellStyle name="Normal 2 2 3 8" xfId="3925"/>
    <cellStyle name="Normal 2 2 3 9" xfId="3926"/>
    <cellStyle name="Normal 2 2 30" xfId="8936"/>
    <cellStyle name="Normal 2 2 31" xfId="8937"/>
    <cellStyle name="Normal 2 2 32" xfId="8938"/>
    <cellStyle name="Normal 2 2 33" xfId="8939"/>
    <cellStyle name="Normal 2 2 34" xfId="8940"/>
    <cellStyle name="Normal 2 2 35" xfId="8941"/>
    <cellStyle name="Normal 2 2 36" xfId="8942"/>
    <cellStyle name="Normal 2 2 37" xfId="8943"/>
    <cellStyle name="Normal 2 2 38" xfId="8944"/>
    <cellStyle name="Normal 2 2 39" xfId="8945"/>
    <cellStyle name="Normal 2 2 4" xfId="3927"/>
    <cellStyle name="Normal 2 2 4 2" xfId="3928"/>
    <cellStyle name="Normal 2 2 4 2 2" xfId="3929"/>
    <cellStyle name="Normal 2 2 4 2 2 2" xfId="3930"/>
    <cellStyle name="Normal 2 2 4 2 2 2 2" xfId="3931"/>
    <cellStyle name="Normal 2 2 4 2 2 2 3" xfId="3932"/>
    <cellStyle name="Normal 2 2 4 2 2 3" xfId="3933"/>
    <cellStyle name="Normal 2 2 4 2 2 4" xfId="3934"/>
    <cellStyle name="Normal 2 2 4 2 3" xfId="3935"/>
    <cellStyle name="Normal 2 2 4 2 3 2" xfId="3936"/>
    <cellStyle name="Normal 2 2 4 2 3 2 2" xfId="3937"/>
    <cellStyle name="Normal 2 2 4 2 3 2 3" xfId="3938"/>
    <cellStyle name="Normal 2 2 4 2 3 3" xfId="3939"/>
    <cellStyle name="Normal 2 2 4 2 3 4" xfId="3940"/>
    <cellStyle name="Normal 2 2 4 2 4" xfId="3941"/>
    <cellStyle name="Normal 2 2 4 2 4 2" xfId="3942"/>
    <cellStyle name="Normal 2 2 4 2 4 2 2" xfId="3943"/>
    <cellStyle name="Normal 2 2 4 2 4 2 3" xfId="3944"/>
    <cellStyle name="Normal 2 2 4 2 4 3" xfId="3945"/>
    <cellStyle name="Normal 2 2 4 2 4 4" xfId="3946"/>
    <cellStyle name="Normal 2 2 4 2 5" xfId="3947"/>
    <cellStyle name="Normal 2 2 4 2 5 2" xfId="3948"/>
    <cellStyle name="Normal 2 2 4 2 5 2 2" xfId="3949"/>
    <cellStyle name="Normal 2 2 4 2 5 2 3" xfId="3950"/>
    <cellStyle name="Normal 2 2 4 2 5 3" xfId="3951"/>
    <cellStyle name="Normal 2 2 4 2 5 4" xfId="3952"/>
    <cellStyle name="Normal 2 2 4 2 6" xfId="3953"/>
    <cellStyle name="Normal 2 2 4 2 6 2" xfId="3954"/>
    <cellStyle name="Normal 2 2 4 2 6 3" xfId="3955"/>
    <cellStyle name="Normal 2 2 4 2 7" xfId="3956"/>
    <cellStyle name="Normal 2 2 4 2 8" xfId="3957"/>
    <cellStyle name="Normal 2 2 4 3" xfId="3958"/>
    <cellStyle name="Normal 2 2 4 3 2" xfId="3959"/>
    <cellStyle name="Normal 2 2 4 3 2 2" xfId="3960"/>
    <cellStyle name="Normal 2 2 4 3 2 3" xfId="3961"/>
    <cellStyle name="Normal 2 2 4 3 3" xfId="3962"/>
    <cellStyle name="Normal 2 2 4 3 4" xfId="3963"/>
    <cellStyle name="Normal 2 2 4 4" xfId="3964"/>
    <cellStyle name="Normal 2 2 4 4 2" xfId="3965"/>
    <cellStyle name="Normal 2 2 4 4 2 2" xfId="3966"/>
    <cellStyle name="Normal 2 2 4 4 2 3" xfId="3967"/>
    <cellStyle name="Normal 2 2 4 4 3" xfId="3968"/>
    <cellStyle name="Normal 2 2 4 4 4" xfId="3969"/>
    <cellStyle name="Normal 2 2 4 5" xfId="3970"/>
    <cellStyle name="Normal 2 2 4 5 2" xfId="3971"/>
    <cellStyle name="Normal 2 2 4 5 2 2" xfId="3972"/>
    <cellStyle name="Normal 2 2 4 5 2 3" xfId="3973"/>
    <cellStyle name="Normal 2 2 4 5 3" xfId="3974"/>
    <cellStyle name="Normal 2 2 4 5 4" xfId="3975"/>
    <cellStyle name="Normal 2 2 4 6" xfId="3976"/>
    <cellStyle name="Normal 2 2 4 6 2" xfId="3977"/>
    <cellStyle name="Normal 2 2 4 6 2 2" xfId="3978"/>
    <cellStyle name="Normal 2 2 4 6 2 3" xfId="3979"/>
    <cellStyle name="Normal 2 2 4 6 3" xfId="3980"/>
    <cellStyle name="Normal 2 2 4 6 4" xfId="3981"/>
    <cellStyle name="Normal 2 2 4 7" xfId="3982"/>
    <cellStyle name="Normal 2 2 4 7 2" xfId="3983"/>
    <cellStyle name="Normal 2 2 4 7 3" xfId="3984"/>
    <cellStyle name="Normal 2 2 4 8" xfId="3985"/>
    <cellStyle name="Normal 2 2 4 9" xfId="3986"/>
    <cellStyle name="Normal 2 2 40" xfId="8946"/>
    <cellStyle name="Normal 2 2 41" xfId="8947"/>
    <cellStyle name="Normal 2 2 42" xfId="8948"/>
    <cellStyle name="Normal 2 2 43" xfId="8949"/>
    <cellStyle name="Normal 2 2 44" xfId="8950"/>
    <cellStyle name="Normal 2 2 45" xfId="8951"/>
    <cellStyle name="Normal 2 2 46" xfId="8952"/>
    <cellStyle name="Normal 2 2 47" xfId="8953"/>
    <cellStyle name="Normal 2 2 48" xfId="8954"/>
    <cellStyle name="Normal 2 2 49" xfId="8955"/>
    <cellStyle name="Normal 2 2 5" xfId="3987"/>
    <cellStyle name="Normal 2 2 50" xfId="8956"/>
    <cellStyle name="Normal 2 2 51" xfId="8957"/>
    <cellStyle name="Normal 2 2 52" xfId="8958"/>
    <cellStyle name="Normal 2 2 53" xfId="8959"/>
    <cellStyle name="Normal 2 2 54" xfId="8960"/>
    <cellStyle name="Normal 2 2 55" xfId="8961"/>
    <cellStyle name="Normal 2 2 56" xfId="8962"/>
    <cellStyle name="Normal 2 2 57" xfId="8963"/>
    <cellStyle name="Normal 2 2 58" xfId="8964"/>
    <cellStyle name="Normal 2 2 59" xfId="8965"/>
    <cellStyle name="Normal 2 2 6" xfId="3988"/>
    <cellStyle name="Normal 2 2 60" xfId="8966"/>
    <cellStyle name="Normal 2 2 61" xfId="8967"/>
    <cellStyle name="Normal 2 2 62" xfId="8968"/>
    <cellStyle name="Normal 2 2 63" xfId="8969"/>
    <cellStyle name="Normal 2 2 64" xfId="8970"/>
    <cellStyle name="Normal 2 2 65" xfId="8971"/>
    <cellStyle name="Normal 2 2 66" xfId="8972"/>
    <cellStyle name="Normal 2 2 67" xfId="8973"/>
    <cellStyle name="Normal 2 2 68" xfId="8974"/>
    <cellStyle name="Normal 2 2 69" xfId="8975"/>
    <cellStyle name="Normal 2 2 7" xfId="3989"/>
    <cellStyle name="Normal 2 2 70" xfId="8976"/>
    <cellStyle name="Normal 2 2 71" xfId="8977"/>
    <cellStyle name="Normal 2 2 72" xfId="8978"/>
    <cellStyle name="Normal 2 2 73" xfId="8979"/>
    <cellStyle name="Normal 2 2 74" xfId="8980"/>
    <cellStyle name="Normal 2 2 75" xfId="8981"/>
    <cellStyle name="Normal 2 2 76" xfId="8982"/>
    <cellStyle name="Normal 2 2 77" xfId="8983"/>
    <cellStyle name="Normal 2 2 78" xfId="8984"/>
    <cellStyle name="Normal 2 2 79" xfId="8985"/>
    <cellStyle name="Normal 2 2 8" xfId="3990"/>
    <cellStyle name="Normal 2 2 80" xfId="8986"/>
    <cellStyle name="Normal 2 2 81" xfId="8987"/>
    <cellStyle name="Normal 2 2 82" xfId="8988"/>
    <cellStyle name="Normal 2 2 83" xfId="8989"/>
    <cellStyle name="Normal 2 2 84" xfId="8990"/>
    <cellStyle name="Normal 2 2 85" xfId="8991"/>
    <cellStyle name="Normal 2 2 86" xfId="8992"/>
    <cellStyle name="Normal 2 2 87" xfId="8993"/>
    <cellStyle name="Normal 2 2 88" xfId="8994"/>
    <cellStyle name="Normal 2 2 89" xfId="8995"/>
    <cellStyle name="Normal 2 2 9" xfId="3991"/>
    <cellStyle name="Normal 2 2 9 2" xfId="8996"/>
    <cellStyle name="Normal 2 2 9 2 2" xfId="8997"/>
    <cellStyle name="Normal 2 2 9 2 2 2" xfId="8998"/>
    <cellStyle name="Normal 2 2 9 2 2 2 2" xfId="8999"/>
    <cellStyle name="Normal 2 2 9 2 2 2 3" xfId="9000"/>
    <cellStyle name="Normal 2 2 9 2 2 2 4" xfId="9001"/>
    <cellStyle name="Normal 2 2 9 2 2 2 5" xfId="9002"/>
    <cellStyle name="Normal 2 2 9 2 2 2 6" xfId="9003"/>
    <cellStyle name="Normal 2 2 9 2 2 3" xfId="9004"/>
    <cellStyle name="Normal 2 2 9 2 2 4" xfId="9005"/>
    <cellStyle name="Normal 2 2 9 2 2 5" xfId="9006"/>
    <cellStyle name="Normal 2 2 9 2 2 6" xfId="9007"/>
    <cellStyle name="Normal 2 2 9 2 3" xfId="9008"/>
    <cellStyle name="Normal 2 2 9 2 4" xfId="9009"/>
    <cellStyle name="Normal 2 2 9 2 5" xfId="9010"/>
    <cellStyle name="Normal 2 2 9 2 6" xfId="9011"/>
    <cellStyle name="Normal 2 2 9 2 7" xfId="9012"/>
    <cellStyle name="Normal 2 2 9 3" xfId="9013"/>
    <cellStyle name="Normal 2 2 9 4" xfId="9014"/>
    <cellStyle name="Normal 2 2 9 4 2" xfId="9015"/>
    <cellStyle name="Normal 2 2 9 4 3" xfId="9016"/>
    <cellStyle name="Normal 2 2 9 4 4" xfId="9017"/>
    <cellStyle name="Normal 2 2 9 4 5" xfId="9018"/>
    <cellStyle name="Normal 2 2 9 4 6" xfId="9019"/>
    <cellStyle name="Normal 2 2 9 5" xfId="9020"/>
    <cellStyle name="Normal 2 2 9 6" xfId="9021"/>
    <cellStyle name="Normal 2 2 9 7" xfId="9022"/>
    <cellStyle name="Normal 2 2 9 8" xfId="9023"/>
    <cellStyle name="Normal 2 2 90" xfId="9024"/>
    <cellStyle name="Normal 2 2 91" xfId="9025"/>
    <cellStyle name="Normal 2 2 92" xfId="9026"/>
    <cellStyle name="Normal 2 2 93" xfId="9027"/>
    <cellStyle name="Normal 2 2 94" xfId="9028"/>
    <cellStyle name="Normal 2 2 95" xfId="9029"/>
    <cellStyle name="Normal 2 2 96" xfId="9030"/>
    <cellStyle name="Normal 2 2 97" xfId="9031"/>
    <cellStyle name="Normal 2 2 98" xfId="9032"/>
    <cellStyle name="Normal 2 2 99" xfId="9033"/>
    <cellStyle name="Normal 2 20" xfId="3992"/>
    <cellStyle name="Normal 2 21" xfId="3993"/>
    <cellStyle name="Normal 2 22" xfId="3994"/>
    <cellStyle name="Normal 2 23" xfId="3995"/>
    <cellStyle name="Normal 2 24" xfId="3996"/>
    <cellStyle name="Normal 2 25" xfId="3997"/>
    <cellStyle name="Normal 2 26" xfId="3998"/>
    <cellStyle name="Normal 2 27" xfId="3999"/>
    <cellStyle name="Normal 2 28" xfId="4000"/>
    <cellStyle name="Normal 2 29" xfId="4001"/>
    <cellStyle name="Normal 2 3" xfId="4002"/>
    <cellStyle name="Normal 2 3 10" xfId="4003"/>
    <cellStyle name="Normal 2 3 10 2" xfId="4004"/>
    <cellStyle name="Normal 2 3 10 2 2" xfId="4005"/>
    <cellStyle name="Normal 2 3 10 2 3" xfId="4006"/>
    <cellStyle name="Normal 2 3 10 3" xfId="4007"/>
    <cellStyle name="Normal 2 3 10 4" xfId="4008"/>
    <cellStyle name="Normal 2 3 11" xfId="4009"/>
    <cellStyle name="Normal 2 3 11 2" xfId="4010"/>
    <cellStyle name="Normal 2 3 11 2 2" xfId="4011"/>
    <cellStyle name="Normal 2 3 11 2 3" xfId="4012"/>
    <cellStyle name="Normal 2 3 11 3" xfId="4013"/>
    <cellStyle name="Normal 2 3 11 4" xfId="4014"/>
    <cellStyle name="Normal 2 3 12" xfId="4015"/>
    <cellStyle name="Normal 2 3 12 2" xfId="4016"/>
    <cellStyle name="Normal 2 3 12 3" xfId="4017"/>
    <cellStyle name="Normal 2 3 13" xfId="4018"/>
    <cellStyle name="Normal 2 3 14" xfId="4019"/>
    <cellStyle name="Normal 2 3 2" xfId="4020"/>
    <cellStyle name="Normal 2 3 2 2" xfId="4021"/>
    <cellStyle name="Normal 2 3 2 3" xfId="4022"/>
    <cellStyle name="Normal 2 3 2 3 2" xfId="4023"/>
    <cellStyle name="Normal 2 3 2 3 2 2" xfId="4024"/>
    <cellStyle name="Normal 2 3 2 3 2 3" xfId="4025"/>
    <cellStyle name="Normal 2 3 2 3 3" xfId="4026"/>
    <cellStyle name="Normal 2 3 2 3 4" xfId="4027"/>
    <cellStyle name="Normal 2 3 2 4" xfId="4028"/>
    <cellStyle name="Normal 2 3 2 4 2" xfId="4029"/>
    <cellStyle name="Normal 2 3 2 4 2 2" xfId="4030"/>
    <cellStyle name="Normal 2 3 2 4 2 3" xfId="4031"/>
    <cellStyle name="Normal 2 3 2 4 3" xfId="4032"/>
    <cellStyle name="Normal 2 3 2 4 4" xfId="4033"/>
    <cellStyle name="Normal 2 3 2 5" xfId="4034"/>
    <cellStyle name="Normal 2 3 2 5 2" xfId="4035"/>
    <cellStyle name="Normal 2 3 2 5 2 2" xfId="4036"/>
    <cellStyle name="Normal 2 3 2 5 2 3" xfId="4037"/>
    <cellStyle name="Normal 2 3 2 5 3" xfId="4038"/>
    <cellStyle name="Normal 2 3 2 5 4" xfId="4039"/>
    <cellStyle name="Normal 2 3 2 6" xfId="4040"/>
    <cellStyle name="Normal 2 3 2 6 2" xfId="4041"/>
    <cellStyle name="Normal 2 3 2 6 2 2" xfId="4042"/>
    <cellStyle name="Normal 2 3 2 6 2 3" xfId="4043"/>
    <cellStyle name="Normal 2 3 2 6 3" xfId="4044"/>
    <cellStyle name="Normal 2 3 2 6 4" xfId="4045"/>
    <cellStyle name="Normal 2 3 2 7" xfId="4046"/>
    <cellStyle name="Normal 2 3 2 7 2" xfId="4047"/>
    <cellStyle name="Normal 2 3 2 7 3" xfId="4048"/>
    <cellStyle name="Normal 2 3 2 8" xfId="4049"/>
    <cellStyle name="Normal 2 3 2 9" xfId="4050"/>
    <cellStyle name="Normal 2 3 3" xfId="4051"/>
    <cellStyle name="Normal 2 3 4" xfId="4052"/>
    <cellStyle name="Normal 2 3 5" xfId="4053"/>
    <cellStyle name="Normal 2 3 6" xfId="4054"/>
    <cellStyle name="Normal 2 3 7" xfId="4055"/>
    <cellStyle name="Normal 2 3 8" xfId="4056"/>
    <cellStyle name="Normal 2 3 8 2" xfId="4057"/>
    <cellStyle name="Normal 2 3 8 2 2" xfId="4058"/>
    <cellStyle name="Normal 2 3 8 2 3" xfId="4059"/>
    <cellStyle name="Normal 2 3 8 3" xfId="4060"/>
    <cellStyle name="Normal 2 3 8 4" xfId="4061"/>
    <cellStyle name="Normal 2 3 9" xfId="4062"/>
    <cellStyle name="Normal 2 3 9 2" xfId="4063"/>
    <cellStyle name="Normal 2 3 9 2 2" xfId="4064"/>
    <cellStyle name="Normal 2 3 9 2 3" xfId="4065"/>
    <cellStyle name="Normal 2 3 9 3" xfId="4066"/>
    <cellStyle name="Normal 2 3 9 4" xfId="4067"/>
    <cellStyle name="Normal 2 30" xfId="4068"/>
    <cellStyle name="Normal 2 31" xfId="4069"/>
    <cellStyle name="Normal 2 32" xfId="4070"/>
    <cellStyle name="Normal 2 33" xfId="4071"/>
    <cellStyle name="Normal 2 34" xfId="4072"/>
    <cellStyle name="Normal 2 35" xfId="4073"/>
    <cellStyle name="Normal 2 36" xfId="4074"/>
    <cellStyle name="Normal 2 37" xfId="4075"/>
    <cellStyle name="Normal 2 38" xfId="4076"/>
    <cellStyle name="Normal 2 39" xfId="4077"/>
    <cellStyle name="Normal 2 4" xfId="4078"/>
    <cellStyle name="Normal 2 4 10" xfId="4079"/>
    <cellStyle name="Normal 2 4 10 2" xfId="4080"/>
    <cellStyle name="Normal 2 4 10 2 2" xfId="4081"/>
    <cellStyle name="Normal 2 4 10 2 3" xfId="4082"/>
    <cellStyle name="Normal 2 4 10 3" xfId="4083"/>
    <cellStyle name="Normal 2 4 10 4" xfId="4084"/>
    <cellStyle name="Normal 2 4 11" xfId="4085"/>
    <cellStyle name="Normal 2 4 11 2" xfId="4086"/>
    <cellStyle name="Normal 2 4 11 2 2" xfId="4087"/>
    <cellStyle name="Normal 2 4 11 2 3" xfId="4088"/>
    <cellStyle name="Normal 2 4 11 3" xfId="4089"/>
    <cellStyle name="Normal 2 4 11 4" xfId="4090"/>
    <cellStyle name="Normal 2 4 12" xfId="4091"/>
    <cellStyle name="Normal 2 4 12 2" xfId="4092"/>
    <cellStyle name="Normal 2 4 12 3" xfId="4093"/>
    <cellStyle name="Normal 2 4 13" xfId="4094"/>
    <cellStyle name="Normal 2 4 14" xfId="4095"/>
    <cellStyle name="Normal 2 4 2" xfId="4096"/>
    <cellStyle name="Normal 2 4 2 2" xfId="4097"/>
    <cellStyle name="Normal 2 4 2 3" xfId="4098"/>
    <cellStyle name="Normal 2 4 2 3 2" xfId="4099"/>
    <cellStyle name="Normal 2 4 2 3 2 2" xfId="4100"/>
    <cellStyle name="Normal 2 4 2 3 2 3" xfId="4101"/>
    <cellStyle name="Normal 2 4 2 3 3" xfId="4102"/>
    <cellStyle name="Normal 2 4 2 3 4" xfId="4103"/>
    <cellStyle name="Normal 2 4 2 4" xfId="4104"/>
    <cellStyle name="Normal 2 4 2 4 2" xfId="4105"/>
    <cellStyle name="Normal 2 4 2 4 2 2" xfId="4106"/>
    <cellStyle name="Normal 2 4 2 4 2 3" xfId="4107"/>
    <cellStyle name="Normal 2 4 2 4 3" xfId="4108"/>
    <cellStyle name="Normal 2 4 2 4 4" xfId="4109"/>
    <cellStyle name="Normal 2 4 2 5" xfId="4110"/>
    <cellStyle name="Normal 2 4 2 5 2" xfId="4111"/>
    <cellStyle name="Normal 2 4 2 5 2 2" xfId="4112"/>
    <cellStyle name="Normal 2 4 2 5 2 3" xfId="4113"/>
    <cellStyle name="Normal 2 4 2 5 3" xfId="4114"/>
    <cellStyle name="Normal 2 4 2 5 4" xfId="4115"/>
    <cellStyle name="Normal 2 4 2 6" xfId="4116"/>
    <cellStyle name="Normal 2 4 2 6 2" xfId="4117"/>
    <cellStyle name="Normal 2 4 2 6 2 2" xfId="4118"/>
    <cellStyle name="Normal 2 4 2 6 2 3" xfId="4119"/>
    <cellStyle name="Normal 2 4 2 6 3" xfId="4120"/>
    <cellStyle name="Normal 2 4 2 6 4" xfId="4121"/>
    <cellStyle name="Normal 2 4 2 7" xfId="4122"/>
    <cellStyle name="Normal 2 4 2 7 2" xfId="4123"/>
    <cellStyle name="Normal 2 4 2 7 3" xfId="4124"/>
    <cellStyle name="Normal 2 4 2 8" xfId="4125"/>
    <cellStyle name="Normal 2 4 2 9" xfId="4126"/>
    <cellStyle name="Normal 2 4 3" xfId="4127"/>
    <cellStyle name="Normal 2 4 4" xfId="4128"/>
    <cellStyle name="Normal 2 4 5" xfId="4129"/>
    <cellStyle name="Normal 2 4 6" xfId="4130"/>
    <cellStyle name="Normal 2 4 7" xfId="4131"/>
    <cellStyle name="Normal 2 4 8" xfId="4132"/>
    <cellStyle name="Normal 2 4 8 2" xfId="4133"/>
    <cellStyle name="Normal 2 4 8 2 2" xfId="4134"/>
    <cellStyle name="Normal 2 4 8 2 3" xfId="4135"/>
    <cellStyle name="Normal 2 4 8 3" xfId="4136"/>
    <cellStyle name="Normal 2 4 8 4" xfId="4137"/>
    <cellStyle name="Normal 2 4 9" xfId="4138"/>
    <cellStyle name="Normal 2 4 9 2" xfId="4139"/>
    <cellStyle name="Normal 2 4 9 2 2" xfId="4140"/>
    <cellStyle name="Normal 2 4 9 2 3" xfId="4141"/>
    <cellStyle name="Normal 2 4 9 3" xfId="4142"/>
    <cellStyle name="Normal 2 4 9 4" xfId="4143"/>
    <cellStyle name="Normal 2 40" xfId="4144"/>
    <cellStyle name="Normal 2 41" xfId="4145"/>
    <cellStyle name="Normal 2 42" xfId="4146"/>
    <cellStyle name="Normal 2 42 2" xfId="4147"/>
    <cellStyle name="Normal 2 42 3" xfId="4148"/>
    <cellStyle name="Normal 2 42 4" xfId="4149"/>
    <cellStyle name="Normal 2 42 5" xfId="4150"/>
    <cellStyle name="Normal 2 42 6" xfId="4151"/>
    <cellStyle name="Normal 2 42 7" xfId="4152"/>
    <cellStyle name="Normal 2 43" xfId="4153"/>
    <cellStyle name="Normal 2 44" xfId="4154"/>
    <cellStyle name="Normal 2 44 2" xfId="4155"/>
    <cellStyle name="Normal 2 44 2 2" xfId="4156"/>
    <cellStyle name="Normal 2 44 2 2 2" xfId="4157"/>
    <cellStyle name="Normal 2 44 2 2 3" xfId="4158"/>
    <cellStyle name="Normal 2 44 2 3" xfId="4159"/>
    <cellStyle name="Normal 2 44 2 4" xfId="4160"/>
    <cellStyle name="Normal 2 44 3" xfId="4161"/>
    <cellStyle name="Normal 2 44 3 2" xfId="4162"/>
    <cellStyle name="Normal 2 44 3 2 2" xfId="4163"/>
    <cellStyle name="Normal 2 44 3 2 3" xfId="4164"/>
    <cellStyle name="Normal 2 44 3 3" xfId="4165"/>
    <cellStyle name="Normal 2 44 3 4" xfId="4166"/>
    <cellStyle name="Normal 2 44 4" xfId="4167"/>
    <cellStyle name="Normal 2 44 4 2" xfId="4168"/>
    <cellStyle name="Normal 2 44 4 2 2" xfId="4169"/>
    <cellStyle name="Normal 2 44 4 2 3" xfId="4170"/>
    <cellStyle name="Normal 2 44 4 3" xfId="4171"/>
    <cellStyle name="Normal 2 44 4 4" xfId="4172"/>
    <cellStyle name="Normal 2 44 5" xfId="4173"/>
    <cellStyle name="Normal 2 44 5 2" xfId="4174"/>
    <cellStyle name="Normal 2 44 5 2 2" xfId="4175"/>
    <cellStyle name="Normal 2 44 5 2 3" xfId="4176"/>
    <cellStyle name="Normal 2 44 5 3" xfId="4177"/>
    <cellStyle name="Normal 2 44 5 4" xfId="4178"/>
    <cellStyle name="Normal 2 44 6" xfId="4179"/>
    <cellStyle name="Normal 2 44 6 2" xfId="4180"/>
    <cellStyle name="Normal 2 44 6 3" xfId="4181"/>
    <cellStyle name="Normal 2 44 7" xfId="4182"/>
    <cellStyle name="Normal 2 44 8" xfId="4183"/>
    <cellStyle name="Normal 2 45" xfId="4184"/>
    <cellStyle name="Normal 2 45 2" xfId="4185"/>
    <cellStyle name="Normal 2 45 2 2" xfId="4186"/>
    <cellStyle name="Normal 2 45 2 2 2" xfId="4187"/>
    <cellStyle name="Normal 2 45 2 2 3" xfId="4188"/>
    <cellStyle name="Normal 2 45 2 3" xfId="4189"/>
    <cellStyle name="Normal 2 45 2 4" xfId="4190"/>
    <cellStyle name="Normal 2 45 3" xfId="4191"/>
    <cellStyle name="Normal 2 45 3 2" xfId="4192"/>
    <cellStyle name="Normal 2 45 3 2 2" xfId="4193"/>
    <cellStyle name="Normal 2 45 3 2 3" xfId="4194"/>
    <cellStyle name="Normal 2 45 3 3" xfId="4195"/>
    <cellStyle name="Normal 2 45 3 4" xfId="4196"/>
    <cellStyle name="Normal 2 45 4" xfId="4197"/>
    <cellStyle name="Normal 2 45 4 2" xfId="4198"/>
    <cellStyle name="Normal 2 45 4 2 2" xfId="4199"/>
    <cellStyle name="Normal 2 45 4 2 3" xfId="4200"/>
    <cellStyle name="Normal 2 45 4 3" xfId="4201"/>
    <cellStyle name="Normal 2 45 4 4" xfId="4202"/>
    <cellStyle name="Normal 2 45 5" xfId="4203"/>
    <cellStyle name="Normal 2 45 5 2" xfId="4204"/>
    <cellStyle name="Normal 2 45 5 2 2" xfId="4205"/>
    <cellStyle name="Normal 2 45 5 2 3" xfId="4206"/>
    <cellStyle name="Normal 2 45 5 3" xfId="4207"/>
    <cellStyle name="Normal 2 45 5 4" xfId="4208"/>
    <cellStyle name="Normal 2 45 6" xfId="4209"/>
    <cellStyle name="Normal 2 45 6 2" xfId="4210"/>
    <cellStyle name="Normal 2 45 6 3" xfId="4211"/>
    <cellStyle name="Normal 2 45 7" xfId="4212"/>
    <cellStyle name="Normal 2 45 8" xfId="4213"/>
    <cellStyle name="Normal 2 46" xfId="4214"/>
    <cellStyle name="Normal 2 46 2" xfId="4215"/>
    <cellStyle name="Normal 2 46 2 2" xfId="4216"/>
    <cellStyle name="Normal 2 46 2 2 2" xfId="4217"/>
    <cellStyle name="Normal 2 46 2 2 3" xfId="4218"/>
    <cellStyle name="Normal 2 46 2 3" xfId="4219"/>
    <cellStyle name="Normal 2 46 2 4" xfId="4220"/>
    <cellStyle name="Normal 2 46 3" xfId="4221"/>
    <cellStyle name="Normal 2 46 3 2" xfId="4222"/>
    <cellStyle name="Normal 2 46 3 2 2" xfId="4223"/>
    <cellStyle name="Normal 2 46 3 2 3" xfId="4224"/>
    <cellStyle name="Normal 2 46 3 3" xfId="4225"/>
    <cellStyle name="Normal 2 46 3 4" xfId="4226"/>
    <cellStyle name="Normal 2 46 4" xfId="4227"/>
    <cellStyle name="Normal 2 46 4 2" xfId="4228"/>
    <cellStyle name="Normal 2 46 4 2 2" xfId="4229"/>
    <cellStyle name="Normal 2 46 4 2 3" xfId="4230"/>
    <cellStyle name="Normal 2 46 4 3" xfId="4231"/>
    <cellStyle name="Normal 2 46 4 4" xfId="4232"/>
    <cellStyle name="Normal 2 46 5" xfId="4233"/>
    <cellStyle name="Normal 2 46 5 2" xfId="4234"/>
    <cellStyle name="Normal 2 46 5 2 2" xfId="4235"/>
    <cellStyle name="Normal 2 46 5 2 3" xfId="4236"/>
    <cellStyle name="Normal 2 46 5 3" xfId="4237"/>
    <cellStyle name="Normal 2 46 5 4" xfId="4238"/>
    <cellStyle name="Normal 2 46 6" xfId="4239"/>
    <cellStyle name="Normal 2 46 6 2" xfId="4240"/>
    <cellStyle name="Normal 2 46 6 3" xfId="4241"/>
    <cellStyle name="Normal 2 46 7" xfId="4242"/>
    <cellStyle name="Normal 2 46 8" xfId="4243"/>
    <cellStyle name="Normal 2 47" xfId="4244"/>
    <cellStyle name="Normal 2 47 2" xfId="4245"/>
    <cellStyle name="Normal 2 47 2 2" xfId="4246"/>
    <cellStyle name="Normal 2 47 2 2 2" xfId="4247"/>
    <cellStyle name="Normal 2 47 2 2 3" xfId="4248"/>
    <cellStyle name="Normal 2 47 2 3" xfId="4249"/>
    <cellStyle name="Normal 2 47 2 4" xfId="4250"/>
    <cellStyle name="Normal 2 47 3" xfId="4251"/>
    <cellStyle name="Normal 2 47 3 2" xfId="4252"/>
    <cellStyle name="Normal 2 47 3 2 2" xfId="4253"/>
    <cellStyle name="Normal 2 47 3 2 3" xfId="4254"/>
    <cellStyle name="Normal 2 47 3 3" xfId="4255"/>
    <cellStyle name="Normal 2 47 3 4" xfId="4256"/>
    <cellStyle name="Normal 2 47 4" xfId="4257"/>
    <cellStyle name="Normal 2 47 4 2" xfId="4258"/>
    <cellStyle name="Normal 2 47 4 2 2" xfId="4259"/>
    <cellStyle name="Normal 2 47 4 2 3" xfId="4260"/>
    <cellStyle name="Normal 2 47 4 3" xfId="4261"/>
    <cellStyle name="Normal 2 47 4 4" xfId="4262"/>
    <cellStyle name="Normal 2 47 5" xfId="4263"/>
    <cellStyle name="Normal 2 47 5 2" xfId="4264"/>
    <cellStyle name="Normal 2 47 5 2 2" xfId="4265"/>
    <cellStyle name="Normal 2 47 5 2 3" xfId="4266"/>
    <cellStyle name="Normal 2 47 5 3" xfId="4267"/>
    <cellStyle name="Normal 2 47 5 4" xfId="4268"/>
    <cellStyle name="Normal 2 47 6" xfId="4269"/>
    <cellStyle name="Normal 2 47 6 2" xfId="4270"/>
    <cellStyle name="Normal 2 47 6 3" xfId="4271"/>
    <cellStyle name="Normal 2 47 7" xfId="4272"/>
    <cellStyle name="Normal 2 47 8" xfId="4273"/>
    <cellStyle name="Normal 2 48" xfId="4274"/>
    <cellStyle name="Normal 2 49" xfId="4275"/>
    <cellStyle name="Normal 2 5" xfId="4276"/>
    <cellStyle name="Normal 2 5 10" xfId="4277"/>
    <cellStyle name="Normal 2 5 10 2" xfId="4278"/>
    <cellStyle name="Normal 2 5 10 2 2" xfId="4279"/>
    <cellStyle name="Normal 2 5 10 2 3" xfId="4280"/>
    <cellStyle name="Normal 2 5 10 3" xfId="4281"/>
    <cellStyle name="Normal 2 5 10 4" xfId="4282"/>
    <cellStyle name="Normal 2 5 11" xfId="4283"/>
    <cellStyle name="Normal 2 5 11 2" xfId="4284"/>
    <cellStyle name="Normal 2 5 11 2 2" xfId="4285"/>
    <cellStyle name="Normal 2 5 11 2 3" xfId="4286"/>
    <cellStyle name="Normal 2 5 11 3" xfId="4287"/>
    <cellStyle name="Normal 2 5 11 4" xfId="4288"/>
    <cellStyle name="Normal 2 5 12" xfId="4289"/>
    <cellStyle name="Normal 2 5 12 2" xfId="4290"/>
    <cellStyle name="Normal 2 5 12 3" xfId="4291"/>
    <cellStyle name="Normal 2 5 13" xfId="4292"/>
    <cellStyle name="Normal 2 5 14" xfId="4293"/>
    <cellStyle name="Normal 2 5 2" xfId="4294"/>
    <cellStyle name="Normal 2 5 2 2" xfId="4295"/>
    <cellStyle name="Normal 2 5 2 3" xfId="4296"/>
    <cellStyle name="Normal 2 5 2 3 2" xfId="4297"/>
    <cellStyle name="Normal 2 5 2 3 2 2" xfId="4298"/>
    <cellStyle name="Normal 2 5 2 3 2 3" xfId="4299"/>
    <cellStyle name="Normal 2 5 2 3 3" xfId="4300"/>
    <cellStyle name="Normal 2 5 2 3 4" xfId="4301"/>
    <cellStyle name="Normal 2 5 2 4" xfId="4302"/>
    <cellStyle name="Normal 2 5 2 4 2" xfId="4303"/>
    <cellStyle name="Normal 2 5 2 4 2 2" xfId="4304"/>
    <cellStyle name="Normal 2 5 2 4 2 3" xfId="4305"/>
    <cellStyle name="Normal 2 5 2 4 3" xfId="4306"/>
    <cellStyle name="Normal 2 5 2 4 4" xfId="4307"/>
    <cellStyle name="Normal 2 5 2 5" xfId="4308"/>
    <cellStyle name="Normal 2 5 2 5 2" xfId="4309"/>
    <cellStyle name="Normal 2 5 2 5 2 2" xfId="4310"/>
    <cellStyle name="Normal 2 5 2 5 2 3" xfId="4311"/>
    <cellStyle name="Normal 2 5 2 5 3" xfId="4312"/>
    <cellStyle name="Normal 2 5 2 5 4" xfId="4313"/>
    <cellStyle name="Normal 2 5 2 6" xfId="4314"/>
    <cellStyle name="Normal 2 5 2 6 2" xfId="4315"/>
    <cellStyle name="Normal 2 5 2 6 2 2" xfId="4316"/>
    <cellStyle name="Normal 2 5 2 6 2 3" xfId="4317"/>
    <cellStyle name="Normal 2 5 2 6 3" xfId="4318"/>
    <cellStyle name="Normal 2 5 2 6 4" xfId="4319"/>
    <cellStyle name="Normal 2 5 2 7" xfId="4320"/>
    <cellStyle name="Normal 2 5 2 7 2" xfId="4321"/>
    <cellStyle name="Normal 2 5 2 7 3" xfId="4322"/>
    <cellStyle name="Normal 2 5 2 8" xfId="4323"/>
    <cellStyle name="Normal 2 5 2 9" xfId="4324"/>
    <cellStyle name="Normal 2 5 3" xfId="4325"/>
    <cellStyle name="Normal 2 5 4" xfId="4326"/>
    <cellStyle name="Normal 2 5 5" xfId="4327"/>
    <cellStyle name="Normal 2 5 6" xfId="4328"/>
    <cellStyle name="Normal 2 5 7" xfId="4329"/>
    <cellStyle name="Normal 2 5 8" xfId="4330"/>
    <cellStyle name="Normal 2 5 8 2" xfId="4331"/>
    <cellStyle name="Normal 2 5 8 2 2" xfId="4332"/>
    <cellStyle name="Normal 2 5 8 2 3" xfId="4333"/>
    <cellStyle name="Normal 2 5 8 3" xfId="4334"/>
    <cellStyle name="Normal 2 5 8 4" xfId="4335"/>
    <cellStyle name="Normal 2 5 9" xfId="4336"/>
    <cellStyle name="Normal 2 5 9 2" xfId="4337"/>
    <cellStyle name="Normal 2 5 9 2 2" xfId="4338"/>
    <cellStyle name="Normal 2 5 9 2 3" xfId="4339"/>
    <cellStyle name="Normal 2 5 9 3" xfId="4340"/>
    <cellStyle name="Normal 2 5 9 4" xfId="4341"/>
    <cellStyle name="Normal 2 50" xfId="4342"/>
    <cellStyle name="Normal 2 51" xfId="4343"/>
    <cellStyle name="Normal 2 52" xfId="4344"/>
    <cellStyle name="Normal 2 53" xfId="4345"/>
    <cellStyle name="Normal 2 54" xfId="4346"/>
    <cellStyle name="Normal 2 55" xfId="4347"/>
    <cellStyle name="Normal 2 56" xfId="4348"/>
    <cellStyle name="Normal 2 57" xfId="4349"/>
    <cellStyle name="Normal 2 58" xfId="4350"/>
    <cellStyle name="Normal 2 59" xfId="4351"/>
    <cellStyle name="Normal 2 6" xfId="4352"/>
    <cellStyle name="Normal 2 6 10" xfId="4353"/>
    <cellStyle name="Normal 2 6 10 2" xfId="4354"/>
    <cellStyle name="Normal 2 6 10 2 2" xfId="4355"/>
    <cellStyle name="Normal 2 6 10 2 3" xfId="4356"/>
    <cellStyle name="Normal 2 6 10 3" xfId="4357"/>
    <cellStyle name="Normal 2 6 10 4" xfId="4358"/>
    <cellStyle name="Normal 2 6 11" xfId="4359"/>
    <cellStyle name="Normal 2 6 11 2" xfId="4360"/>
    <cellStyle name="Normal 2 6 11 2 2" xfId="4361"/>
    <cellStyle name="Normal 2 6 11 2 3" xfId="4362"/>
    <cellStyle name="Normal 2 6 11 3" xfId="4363"/>
    <cellStyle name="Normal 2 6 11 4" xfId="4364"/>
    <cellStyle name="Normal 2 6 12" xfId="4365"/>
    <cellStyle name="Normal 2 6 12 2" xfId="4366"/>
    <cellStyle name="Normal 2 6 12 3" xfId="4367"/>
    <cellStyle name="Normal 2 6 13" xfId="4368"/>
    <cellStyle name="Normal 2 6 14" xfId="4369"/>
    <cellStyle name="Normal 2 6 2" xfId="4370"/>
    <cellStyle name="Normal 2 6 2 2" xfId="4371"/>
    <cellStyle name="Normal 2 6 2 3" xfId="4372"/>
    <cellStyle name="Normal 2 6 2 3 2" xfId="4373"/>
    <cellStyle name="Normal 2 6 2 3 2 2" xfId="4374"/>
    <cellStyle name="Normal 2 6 2 3 2 3" xfId="4375"/>
    <cellStyle name="Normal 2 6 2 3 3" xfId="4376"/>
    <cellStyle name="Normal 2 6 2 3 4" xfId="4377"/>
    <cellStyle name="Normal 2 6 2 4" xfId="4378"/>
    <cellStyle name="Normal 2 6 2 4 2" xfId="4379"/>
    <cellStyle name="Normal 2 6 2 4 2 2" xfId="4380"/>
    <cellStyle name="Normal 2 6 2 4 2 3" xfId="4381"/>
    <cellStyle name="Normal 2 6 2 4 3" xfId="4382"/>
    <cellStyle name="Normal 2 6 2 4 4" xfId="4383"/>
    <cellStyle name="Normal 2 6 2 5" xfId="4384"/>
    <cellStyle name="Normal 2 6 2 5 2" xfId="4385"/>
    <cellStyle name="Normal 2 6 2 5 2 2" xfId="4386"/>
    <cellStyle name="Normal 2 6 2 5 2 3" xfId="4387"/>
    <cellStyle name="Normal 2 6 2 5 3" xfId="4388"/>
    <cellStyle name="Normal 2 6 2 5 4" xfId="4389"/>
    <cellStyle name="Normal 2 6 2 6" xfId="4390"/>
    <cellStyle name="Normal 2 6 2 6 2" xfId="4391"/>
    <cellStyle name="Normal 2 6 2 6 2 2" xfId="4392"/>
    <cellStyle name="Normal 2 6 2 6 2 3" xfId="4393"/>
    <cellStyle name="Normal 2 6 2 6 3" xfId="4394"/>
    <cellStyle name="Normal 2 6 2 6 4" xfId="4395"/>
    <cellStyle name="Normal 2 6 2 7" xfId="4396"/>
    <cellStyle name="Normal 2 6 2 7 2" xfId="4397"/>
    <cellStyle name="Normal 2 6 2 7 3" xfId="4398"/>
    <cellStyle name="Normal 2 6 2 8" xfId="4399"/>
    <cellStyle name="Normal 2 6 2 9" xfId="4400"/>
    <cellStyle name="Normal 2 6 3" xfId="4401"/>
    <cellStyle name="Normal 2 6 4" xfId="4402"/>
    <cellStyle name="Normal 2 6 5" xfId="4403"/>
    <cellStyle name="Normal 2 6 6" xfId="4404"/>
    <cellStyle name="Normal 2 6 7" xfId="4405"/>
    <cellStyle name="Normal 2 6 8" xfId="4406"/>
    <cellStyle name="Normal 2 6 8 2" xfId="4407"/>
    <cellStyle name="Normal 2 6 8 2 2" xfId="4408"/>
    <cellStyle name="Normal 2 6 8 2 3" xfId="4409"/>
    <cellStyle name="Normal 2 6 8 3" xfId="4410"/>
    <cellStyle name="Normal 2 6 8 4" xfId="4411"/>
    <cellStyle name="Normal 2 6 9" xfId="4412"/>
    <cellStyle name="Normal 2 6 9 2" xfId="4413"/>
    <cellStyle name="Normal 2 6 9 2 2" xfId="4414"/>
    <cellStyle name="Normal 2 6 9 2 3" xfId="4415"/>
    <cellStyle name="Normal 2 6 9 3" xfId="4416"/>
    <cellStyle name="Normal 2 6 9 4" xfId="4417"/>
    <cellStyle name="Normal 2 60" xfId="4418"/>
    <cellStyle name="Normal 2 61" xfId="4419"/>
    <cellStyle name="Normal 2 62" xfId="4420"/>
    <cellStyle name="Normal 2 63" xfId="4421"/>
    <cellStyle name="Normal 2 64" xfId="4422"/>
    <cellStyle name="Normal 2 64 2" xfId="4423"/>
    <cellStyle name="Normal 2 64 3" xfId="4424"/>
    <cellStyle name="Normal 2 65" xfId="4425"/>
    <cellStyle name="Normal 2 66" xfId="4426"/>
    <cellStyle name="Normal 2 67" xfId="4427"/>
    <cellStyle name="Normal 2 68" xfId="4428"/>
    <cellStyle name="Normal 2 69" xfId="4429"/>
    <cellStyle name="Normal 2 7" xfId="4430"/>
    <cellStyle name="Normal 2 7 10" xfId="4431"/>
    <cellStyle name="Normal 2 7 10 2" xfId="4432"/>
    <cellStyle name="Normal 2 7 10 2 2" xfId="4433"/>
    <cellStyle name="Normal 2 7 10 2 3" xfId="4434"/>
    <cellStyle name="Normal 2 7 10 3" xfId="4435"/>
    <cellStyle name="Normal 2 7 10 4" xfId="4436"/>
    <cellStyle name="Normal 2 7 11" xfId="4437"/>
    <cellStyle name="Normal 2 7 11 2" xfId="4438"/>
    <cellStyle name="Normal 2 7 11 2 2" xfId="4439"/>
    <cellStyle name="Normal 2 7 11 2 3" xfId="4440"/>
    <cellStyle name="Normal 2 7 11 3" xfId="4441"/>
    <cellStyle name="Normal 2 7 11 4" xfId="4442"/>
    <cellStyle name="Normal 2 7 12" xfId="4443"/>
    <cellStyle name="Normal 2 7 12 2" xfId="4444"/>
    <cellStyle name="Normal 2 7 12 3" xfId="4445"/>
    <cellStyle name="Normal 2 7 13" xfId="4446"/>
    <cellStyle name="Normal 2 7 14" xfId="4447"/>
    <cellStyle name="Normal 2 7 2" xfId="4448"/>
    <cellStyle name="Normal 2 7 2 2" xfId="4449"/>
    <cellStyle name="Normal 2 7 2 2 2" xfId="9034"/>
    <cellStyle name="Normal 2 7 2 2 2 2" xfId="9035"/>
    <cellStyle name="Normal 2 7 2 2 2 3" xfId="9036"/>
    <cellStyle name="Normal 2 7 2 2 2 4" xfId="9037"/>
    <cellStyle name="Normal 2 7 2 2 2 5" xfId="9038"/>
    <cellStyle name="Normal 2 7 2 2 2 6" xfId="9039"/>
    <cellStyle name="Normal 2 7 2 2 3" xfId="9040"/>
    <cellStyle name="Normal 2 7 2 2 4" xfId="9041"/>
    <cellStyle name="Normal 2 7 2 2 5" xfId="9042"/>
    <cellStyle name="Normal 2 7 2 2 6" xfId="9043"/>
    <cellStyle name="Normal 2 7 2 3" xfId="4450"/>
    <cellStyle name="Normal 2 7 2 3 2" xfId="4451"/>
    <cellStyle name="Normal 2 7 2 3 2 2" xfId="4452"/>
    <cellStyle name="Normal 2 7 2 3 2 3" xfId="4453"/>
    <cellStyle name="Normal 2 7 2 3 3" xfId="4454"/>
    <cellStyle name="Normal 2 7 2 3 4" xfId="4455"/>
    <cellStyle name="Normal 2 7 2 4" xfId="4456"/>
    <cellStyle name="Normal 2 7 2 4 2" xfId="4457"/>
    <cellStyle name="Normal 2 7 2 4 2 2" xfId="4458"/>
    <cellStyle name="Normal 2 7 2 4 2 3" xfId="4459"/>
    <cellStyle name="Normal 2 7 2 4 3" xfId="4460"/>
    <cellStyle name="Normal 2 7 2 4 4" xfId="4461"/>
    <cellStyle name="Normal 2 7 2 5" xfId="4462"/>
    <cellStyle name="Normal 2 7 2 5 2" xfId="4463"/>
    <cellStyle name="Normal 2 7 2 5 2 2" xfId="4464"/>
    <cellStyle name="Normal 2 7 2 5 2 3" xfId="4465"/>
    <cellStyle name="Normal 2 7 2 5 3" xfId="4466"/>
    <cellStyle name="Normal 2 7 2 5 4" xfId="4467"/>
    <cellStyle name="Normal 2 7 2 6" xfId="4468"/>
    <cellStyle name="Normal 2 7 2 6 2" xfId="4469"/>
    <cellStyle name="Normal 2 7 2 6 2 2" xfId="4470"/>
    <cellStyle name="Normal 2 7 2 6 2 3" xfId="4471"/>
    <cellStyle name="Normal 2 7 2 6 3" xfId="4472"/>
    <cellStyle name="Normal 2 7 2 6 4" xfId="4473"/>
    <cellStyle name="Normal 2 7 2 7" xfId="4474"/>
    <cellStyle name="Normal 2 7 2 7 2" xfId="4475"/>
    <cellStyle name="Normal 2 7 2 7 3" xfId="4476"/>
    <cellStyle name="Normal 2 7 2 8" xfId="4477"/>
    <cellStyle name="Normal 2 7 2 9" xfId="4478"/>
    <cellStyle name="Normal 2 7 3" xfId="4479"/>
    <cellStyle name="Normal 2 7 4" xfId="4480"/>
    <cellStyle name="Normal 2 7 4 2" xfId="9044"/>
    <cellStyle name="Normal 2 7 4 3" xfId="9045"/>
    <cellStyle name="Normal 2 7 4 4" xfId="9046"/>
    <cellStyle name="Normal 2 7 4 5" xfId="9047"/>
    <cellStyle name="Normal 2 7 4 6" xfId="9048"/>
    <cellStyle name="Normal 2 7 5" xfId="4481"/>
    <cellStyle name="Normal 2 7 6" xfId="4482"/>
    <cellStyle name="Normal 2 7 7" xfId="4483"/>
    <cellStyle name="Normal 2 7 8" xfId="4484"/>
    <cellStyle name="Normal 2 7 8 2" xfId="4485"/>
    <cellStyle name="Normal 2 7 8 2 2" xfId="4486"/>
    <cellStyle name="Normal 2 7 8 2 3" xfId="4487"/>
    <cellStyle name="Normal 2 7 8 3" xfId="4488"/>
    <cellStyle name="Normal 2 7 8 4" xfId="4489"/>
    <cellStyle name="Normal 2 7 9" xfId="4490"/>
    <cellStyle name="Normal 2 7 9 2" xfId="4491"/>
    <cellStyle name="Normal 2 7 9 2 2" xfId="4492"/>
    <cellStyle name="Normal 2 7 9 2 3" xfId="4493"/>
    <cellStyle name="Normal 2 7 9 3" xfId="4494"/>
    <cellStyle name="Normal 2 7 9 4" xfId="4495"/>
    <cellStyle name="Normal 2 70" xfId="4496"/>
    <cellStyle name="Normal 2 71" xfId="4497"/>
    <cellStyle name="Normal 2 72" xfId="4498"/>
    <cellStyle name="Normal 2 73" xfId="4499"/>
    <cellStyle name="Normal 2 74" xfId="4500"/>
    <cellStyle name="Normal 2 75" xfId="4501"/>
    <cellStyle name="Normal 2 76" xfId="4502"/>
    <cellStyle name="Normal 2 77" xfId="4503"/>
    <cellStyle name="Normal 2 78" xfId="4504"/>
    <cellStyle name="Normal 2 79" xfId="4505"/>
    <cellStyle name="Normal 2 8" xfId="4506"/>
    <cellStyle name="Normal 2 8 2" xfId="4507"/>
    <cellStyle name="Normal 2 8 3" xfId="4508"/>
    <cellStyle name="Normal 2 8 4" xfId="4509"/>
    <cellStyle name="Normal 2 8 5" xfId="4510"/>
    <cellStyle name="Normal 2 8 6" xfId="4511"/>
    <cellStyle name="Normal 2 8 7" xfId="4512"/>
    <cellStyle name="Normal 2 80" xfId="4513"/>
    <cellStyle name="Normal 2 81" xfId="4514"/>
    <cellStyle name="Normal 2 82" xfId="4515"/>
    <cellStyle name="Normal 2 83" xfId="4516"/>
    <cellStyle name="Normal 2 84" xfId="4517"/>
    <cellStyle name="Normal 2 85" xfId="4518"/>
    <cellStyle name="Normal 2 86" xfId="4519"/>
    <cellStyle name="Normal 2 87" xfId="4520"/>
    <cellStyle name="Normal 2 88" xfId="4521"/>
    <cellStyle name="Normal 2 89" xfId="4522"/>
    <cellStyle name="Normal 2 9" xfId="4523"/>
    <cellStyle name="Normal 2 9 2" xfId="4524"/>
    <cellStyle name="Normal 2 9 3" xfId="4525"/>
    <cellStyle name="Normal 2 9 4" xfId="4526"/>
    <cellStyle name="Normal 2 9 5" xfId="4527"/>
    <cellStyle name="Normal 2 9 6" xfId="4528"/>
    <cellStyle name="Normal 2 9 7" xfId="4529"/>
    <cellStyle name="Normal 20" xfId="4530"/>
    <cellStyle name="Normal 20 10" xfId="4531"/>
    <cellStyle name="Normal 20 11" xfId="4532"/>
    <cellStyle name="Normal 20 12" xfId="4533"/>
    <cellStyle name="Normal 20 13" xfId="4534"/>
    <cellStyle name="Normal 20 14" xfId="4535"/>
    <cellStyle name="Normal 20 15" xfId="4536"/>
    <cellStyle name="Normal 20 16" xfId="4537"/>
    <cellStyle name="Normal 20 17" xfId="4538"/>
    <cellStyle name="Normal 20 18" xfId="4539"/>
    <cellStyle name="Normal 20 19" xfId="4540"/>
    <cellStyle name="Normal 20 2" xfId="4541"/>
    <cellStyle name="Normal 20 20" xfId="4542"/>
    <cellStyle name="Normal 20 21" xfId="4543"/>
    <cellStyle name="Normal 20 22" xfId="4544"/>
    <cellStyle name="Normal 20 23" xfId="4545"/>
    <cellStyle name="Normal 20 24" xfId="4546"/>
    <cellStyle name="Normal 20 25" xfId="4547"/>
    <cellStyle name="Normal 20 26" xfId="4548"/>
    <cellStyle name="Normal 20 27" xfId="4549"/>
    <cellStyle name="Normal 20 28" xfId="4550"/>
    <cellStyle name="Normal 20 29" xfId="4551"/>
    <cellStyle name="Normal 20 3" xfId="4552"/>
    <cellStyle name="Normal 20 30" xfId="4553"/>
    <cellStyle name="Normal 20 31" xfId="4554"/>
    <cellStyle name="Normal 20 32" xfId="4555"/>
    <cellStyle name="Normal 20 33" xfId="4556"/>
    <cellStyle name="Normal 20 34" xfId="4557"/>
    <cellStyle name="Normal 20 35" xfId="4558"/>
    <cellStyle name="Normal 20 36" xfId="4559"/>
    <cellStyle name="Normal 20 37" xfId="4560"/>
    <cellStyle name="Normal 20 38" xfId="4561"/>
    <cellStyle name="Normal 20 39" xfId="4562"/>
    <cellStyle name="Normal 20 4" xfId="4563"/>
    <cellStyle name="Normal 20 40" xfId="4564"/>
    <cellStyle name="Normal 20 41" xfId="4565"/>
    <cellStyle name="Normal 20 42" xfId="4566"/>
    <cellStyle name="Normal 20 43" xfId="4567"/>
    <cellStyle name="Normal 20 44" xfId="4568"/>
    <cellStyle name="Normal 20 45" xfId="4569"/>
    <cellStyle name="Normal 20 46" xfId="4570"/>
    <cellStyle name="Normal 20 47" xfId="4571"/>
    <cellStyle name="Normal 20 48" xfId="4572"/>
    <cellStyle name="Normal 20 49" xfId="4573"/>
    <cellStyle name="Normal 20 5" xfId="4574"/>
    <cellStyle name="Normal 20 50" xfId="4575"/>
    <cellStyle name="Normal 20 51" xfId="4576"/>
    <cellStyle name="Normal 20 52" xfId="4577"/>
    <cellStyle name="Normal 20 53" xfId="4578"/>
    <cellStyle name="Normal 20 54" xfId="4579"/>
    <cellStyle name="Normal 20 55" xfId="4580"/>
    <cellStyle name="Normal 20 56" xfId="4581"/>
    <cellStyle name="Normal 20 57" xfId="4582"/>
    <cellStyle name="Normal 20 58" xfId="4583"/>
    <cellStyle name="Normal 20 59" xfId="4584"/>
    <cellStyle name="Normal 20 6" xfId="4585"/>
    <cellStyle name="Normal 20 60" xfId="4586"/>
    <cellStyle name="Normal 20 61" xfId="4587"/>
    <cellStyle name="Normal 20 62" xfId="4588"/>
    <cellStyle name="Normal 20 63" xfId="4589"/>
    <cellStyle name="Normal 20 64" xfId="4590"/>
    <cellStyle name="Normal 20 65" xfId="4591"/>
    <cellStyle name="Normal 20 66" xfId="4592"/>
    <cellStyle name="Normal 20 67" xfId="4593"/>
    <cellStyle name="Normal 20 68" xfId="4594"/>
    <cellStyle name="Normal 20 69" xfId="4595"/>
    <cellStyle name="Normal 20 7" xfId="4596"/>
    <cellStyle name="Normal 20 8" xfId="4597"/>
    <cellStyle name="Normal 20 9" xfId="4598"/>
    <cellStyle name="Normal 21" xfId="4599"/>
    <cellStyle name="Normal 21 10" xfId="4600"/>
    <cellStyle name="Normal 21 11" xfId="4601"/>
    <cellStyle name="Normal 21 12" xfId="4602"/>
    <cellStyle name="Normal 21 13" xfId="4603"/>
    <cellStyle name="Normal 21 14" xfId="4604"/>
    <cellStyle name="Normal 21 15" xfId="4605"/>
    <cellStyle name="Normal 21 16" xfId="4606"/>
    <cellStyle name="Normal 21 17" xfId="4607"/>
    <cellStyle name="Normal 21 18" xfId="4608"/>
    <cellStyle name="Normal 21 19" xfId="4609"/>
    <cellStyle name="Normal 21 2" xfId="4610"/>
    <cellStyle name="Normal 21 20" xfId="4611"/>
    <cellStyle name="Normal 21 21" xfId="4612"/>
    <cellStyle name="Normal 21 22" xfId="4613"/>
    <cellStyle name="Normal 21 23" xfId="4614"/>
    <cellStyle name="Normal 21 24" xfId="4615"/>
    <cellStyle name="Normal 21 25" xfId="4616"/>
    <cellStyle name="Normal 21 26" xfId="4617"/>
    <cellStyle name="Normal 21 27" xfId="4618"/>
    <cellStyle name="Normal 21 28" xfId="4619"/>
    <cellStyle name="Normal 21 29" xfId="4620"/>
    <cellStyle name="Normal 21 3" xfId="4621"/>
    <cellStyle name="Normal 21 30" xfId="4622"/>
    <cellStyle name="Normal 21 31" xfId="4623"/>
    <cellStyle name="Normal 21 32" xfId="4624"/>
    <cellStyle name="Normal 21 33" xfId="4625"/>
    <cellStyle name="Normal 21 34" xfId="4626"/>
    <cellStyle name="Normal 21 35" xfId="4627"/>
    <cellStyle name="Normal 21 36" xfId="4628"/>
    <cellStyle name="Normal 21 37" xfId="4629"/>
    <cellStyle name="Normal 21 38" xfId="4630"/>
    <cellStyle name="Normal 21 39" xfId="4631"/>
    <cellStyle name="Normal 21 4" xfId="4632"/>
    <cellStyle name="Normal 21 40" xfId="4633"/>
    <cellStyle name="Normal 21 41" xfId="4634"/>
    <cellStyle name="Normal 21 42" xfId="4635"/>
    <cellStyle name="Normal 21 43" xfId="4636"/>
    <cellStyle name="Normal 21 44" xfId="4637"/>
    <cellStyle name="Normal 21 45" xfId="4638"/>
    <cellStyle name="Normal 21 46" xfId="4639"/>
    <cellStyle name="Normal 21 47" xfId="4640"/>
    <cellStyle name="Normal 21 48" xfId="4641"/>
    <cellStyle name="Normal 21 49" xfId="4642"/>
    <cellStyle name="Normal 21 5" xfId="4643"/>
    <cellStyle name="Normal 21 50" xfId="4644"/>
    <cellStyle name="Normal 21 51" xfId="4645"/>
    <cellStyle name="Normal 21 52" xfId="4646"/>
    <cellStyle name="Normal 21 53" xfId="4647"/>
    <cellStyle name="Normal 21 54" xfId="4648"/>
    <cellStyle name="Normal 21 55" xfId="4649"/>
    <cellStyle name="Normal 21 56" xfId="4650"/>
    <cellStyle name="Normal 21 57" xfId="4651"/>
    <cellStyle name="Normal 21 58" xfId="4652"/>
    <cellStyle name="Normal 21 59" xfId="4653"/>
    <cellStyle name="Normal 21 6" xfId="4654"/>
    <cellStyle name="Normal 21 60" xfId="4655"/>
    <cellStyle name="Normal 21 61" xfId="4656"/>
    <cellStyle name="Normal 21 62" xfId="4657"/>
    <cellStyle name="Normal 21 63" xfId="4658"/>
    <cellStyle name="Normal 21 64" xfId="4659"/>
    <cellStyle name="Normal 21 65" xfId="4660"/>
    <cellStyle name="Normal 21 66" xfId="4661"/>
    <cellStyle name="Normal 21 67" xfId="4662"/>
    <cellStyle name="Normal 21 68" xfId="4663"/>
    <cellStyle name="Normal 21 69" xfId="4664"/>
    <cellStyle name="Normal 21 7" xfId="4665"/>
    <cellStyle name="Normal 21 8" xfId="4666"/>
    <cellStyle name="Normal 21 9" xfId="4667"/>
    <cellStyle name="Normal 22" xfId="4668"/>
    <cellStyle name="Normal 22 10" xfId="4669"/>
    <cellStyle name="Normal 22 11" xfId="4670"/>
    <cellStyle name="Normal 22 12" xfId="4671"/>
    <cellStyle name="Normal 22 13" xfId="4672"/>
    <cellStyle name="Normal 22 14" xfId="4673"/>
    <cellStyle name="Normal 22 15" xfId="4674"/>
    <cellStyle name="Normal 22 16" xfId="4675"/>
    <cellStyle name="Normal 22 17" xfId="4676"/>
    <cellStyle name="Normal 22 18" xfId="4677"/>
    <cellStyle name="Normal 22 19" xfId="4678"/>
    <cellStyle name="Normal 22 2" xfId="4679"/>
    <cellStyle name="Normal 22 20" xfId="4680"/>
    <cellStyle name="Normal 22 21" xfId="4681"/>
    <cellStyle name="Normal 22 22" xfId="4682"/>
    <cellStyle name="Normal 22 23" xfId="4683"/>
    <cellStyle name="Normal 22 24" xfId="4684"/>
    <cellStyle name="Normal 22 25" xfId="4685"/>
    <cellStyle name="Normal 22 26" xfId="4686"/>
    <cellStyle name="Normal 22 27" xfId="4687"/>
    <cellStyle name="Normal 22 28" xfId="4688"/>
    <cellStyle name="Normal 22 29" xfId="4689"/>
    <cellStyle name="Normal 22 3" xfId="4690"/>
    <cellStyle name="Normal 22 30" xfId="4691"/>
    <cellStyle name="Normal 22 31" xfId="4692"/>
    <cellStyle name="Normal 22 32" xfId="4693"/>
    <cellStyle name="Normal 22 33" xfId="4694"/>
    <cellStyle name="Normal 22 34" xfId="4695"/>
    <cellStyle name="Normal 22 35" xfId="4696"/>
    <cellStyle name="Normal 22 36" xfId="4697"/>
    <cellStyle name="Normal 22 37" xfId="4698"/>
    <cellStyle name="Normal 22 38" xfId="4699"/>
    <cellStyle name="Normal 22 39" xfId="4700"/>
    <cellStyle name="Normal 22 4" xfId="4701"/>
    <cellStyle name="Normal 22 40" xfId="4702"/>
    <cellStyle name="Normal 22 41" xfId="4703"/>
    <cellStyle name="Normal 22 42" xfId="4704"/>
    <cellStyle name="Normal 22 43" xfId="4705"/>
    <cellStyle name="Normal 22 44" xfId="4706"/>
    <cellStyle name="Normal 22 45" xfId="4707"/>
    <cellStyle name="Normal 22 46" xfId="4708"/>
    <cellStyle name="Normal 22 47" xfId="4709"/>
    <cellStyle name="Normal 22 48" xfId="4710"/>
    <cellStyle name="Normal 22 49" xfId="4711"/>
    <cellStyle name="Normal 22 5" xfId="4712"/>
    <cellStyle name="Normal 22 50" xfId="4713"/>
    <cellStyle name="Normal 22 51" xfId="4714"/>
    <cellStyle name="Normal 22 52" xfId="4715"/>
    <cellStyle name="Normal 22 53" xfId="4716"/>
    <cellStyle name="Normal 22 54" xfId="4717"/>
    <cellStyle name="Normal 22 55" xfId="4718"/>
    <cellStyle name="Normal 22 56" xfId="4719"/>
    <cellStyle name="Normal 22 57" xfId="4720"/>
    <cellStyle name="Normal 22 58" xfId="4721"/>
    <cellStyle name="Normal 22 59" xfId="4722"/>
    <cellStyle name="Normal 22 6" xfId="4723"/>
    <cellStyle name="Normal 22 60" xfId="4724"/>
    <cellStyle name="Normal 22 61" xfId="4725"/>
    <cellStyle name="Normal 22 62" xfId="4726"/>
    <cellStyle name="Normal 22 63" xfId="4727"/>
    <cellStyle name="Normal 22 64" xfId="4728"/>
    <cellStyle name="Normal 22 65" xfId="4729"/>
    <cellStyle name="Normal 22 66" xfId="4730"/>
    <cellStyle name="Normal 22 67" xfId="4731"/>
    <cellStyle name="Normal 22 68" xfId="4732"/>
    <cellStyle name="Normal 22 69" xfId="4733"/>
    <cellStyle name="Normal 22 7" xfId="4734"/>
    <cellStyle name="Normal 22 8" xfId="4735"/>
    <cellStyle name="Normal 22 9" xfId="4736"/>
    <cellStyle name="Normal 23" xfId="4737"/>
    <cellStyle name="Normal 23 10" xfId="4738"/>
    <cellStyle name="Normal 23 10 2" xfId="4739"/>
    <cellStyle name="Normal 23 10 2 2" xfId="4740"/>
    <cellStyle name="Normal 23 10 2 3" xfId="4741"/>
    <cellStyle name="Normal 23 10 3" xfId="4742"/>
    <cellStyle name="Normal 23 10 4" xfId="4743"/>
    <cellStyle name="Normal 23 11" xfId="4744"/>
    <cellStyle name="Normal 23 11 2" xfId="4745"/>
    <cellStyle name="Normal 23 11 2 2" xfId="4746"/>
    <cellStyle name="Normal 23 11 2 3" xfId="4747"/>
    <cellStyle name="Normal 23 11 3" xfId="4748"/>
    <cellStyle name="Normal 23 11 4" xfId="4749"/>
    <cellStyle name="Normal 23 12" xfId="4750"/>
    <cellStyle name="Normal 23 12 2" xfId="4751"/>
    <cellStyle name="Normal 23 12 3" xfId="4752"/>
    <cellStyle name="Normal 23 13" xfId="4753"/>
    <cellStyle name="Normal 23 14" xfId="4754"/>
    <cellStyle name="Normal 23 2" xfId="4755"/>
    <cellStyle name="Normal 23 3" xfId="4756"/>
    <cellStyle name="Normal 23 4" xfId="4757"/>
    <cellStyle name="Normal 23 5" xfId="4758"/>
    <cellStyle name="Normal 23 6" xfId="4759"/>
    <cellStyle name="Normal 23 7" xfId="4760"/>
    <cellStyle name="Normal 23 8" xfId="4761"/>
    <cellStyle name="Normal 23 8 2" xfId="4762"/>
    <cellStyle name="Normal 23 8 2 2" xfId="4763"/>
    <cellStyle name="Normal 23 8 2 3" xfId="4764"/>
    <cellStyle name="Normal 23 8 3" xfId="4765"/>
    <cellStyle name="Normal 23 8 4" xfId="4766"/>
    <cellStyle name="Normal 23 9" xfId="4767"/>
    <cellStyle name="Normal 23 9 2" xfId="4768"/>
    <cellStyle name="Normal 23 9 2 2" xfId="4769"/>
    <cellStyle name="Normal 23 9 2 3" xfId="4770"/>
    <cellStyle name="Normal 23 9 3" xfId="4771"/>
    <cellStyle name="Normal 23 9 4" xfId="4772"/>
    <cellStyle name="Normal 24" xfId="4773"/>
    <cellStyle name="Normal 24 10" xfId="4774"/>
    <cellStyle name="Normal 24 11" xfId="4775"/>
    <cellStyle name="Normal 24 12" xfId="4776"/>
    <cellStyle name="Normal 24 13" xfId="4777"/>
    <cellStyle name="Normal 24 14" xfId="4778"/>
    <cellStyle name="Normal 24 15" xfId="4779"/>
    <cellStyle name="Normal 24 16" xfId="4780"/>
    <cellStyle name="Normal 24 17" xfId="4781"/>
    <cellStyle name="Normal 24 18" xfId="4782"/>
    <cellStyle name="Normal 24 19" xfId="4783"/>
    <cellStyle name="Normal 24 2" xfId="4784"/>
    <cellStyle name="Normal 24 20" xfId="4785"/>
    <cellStyle name="Normal 24 21" xfId="4786"/>
    <cellStyle name="Normal 24 22" xfId="4787"/>
    <cellStyle name="Normal 24 23" xfId="4788"/>
    <cellStyle name="Normal 24 24" xfId="4789"/>
    <cellStyle name="Normal 24 25" xfId="4790"/>
    <cellStyle name="Normal 24 26" xfId="4791"/>
    <cellStyle name="Normal 24 27" xfId="4792"/>
    <cellStyle name="Normal 24 28" xfId="4793"/>
    <cellStyle name="Normal 24 29" xfId="4794"/>
    <cellStyle name="Normal 24 3" xfId="4795"/>
    <cellStyle name="Normal 24 30" xfId="4796"/>
    <cellStyle name="Normal 24 31" xfId="4797"/>
    <cellStyle name="Normal 24 31 2" xfId="4798"/>
    <cellStyle name="Normal 24 31 3" xfId="4799"/>
    <cellStyle name="Normal 24 32" xfId="4800"/>
    <cellStyle name="Normal 24 33" xfId="4801"/>
    <cellStyle name="Normal 24 4" xfId="4802"/>
    <cellStyle name="Normal 24 5" xfId="4803"/>
    <cellStyle name="Normal 24 6" xfId="4804"/>
    <cellStyle name="Normal 24 7" xfId="4805"/>
    <cellStyle name="Normal 24 8" xfId="4806"/>
    <cellStyle name="Normal 24 9" xfId="4807"/>
    <cellStyle name="Normal 25" xfId="4808"/>
    <cellStyle name="Normal 25 2" xfId="4809"/>
    <cellStyle name="Normal 25 3" xfId="4810"/>
    <cellStyle name="Normal 26" xfId="4811"/>
    <cellStyle name="Normal 26 2" xfId="4812"/>
    <cellStyle name="Normal 26 3" xfId="4813"/>
    <cellStyle name="Normal 27" xfId="4814"/>
    <cellStyle name="Normal 27 2" xfId="4815"/>
    <cellStyle name="Normal 28" xfId="4816"/>
    <cellStyle name="Normal 29" xfId="4817"/>
    <cellStyle name="Normal 3" xfId="4818"/>
    <cellStyle name="Normal 3 10" xfId="4819"/>
    <cellStyle name="Normal 3 11" xfId="4820"/>
    <cellStyle name="Normal 3 12" xfId="4821"/>
    <cellStyle name="Normal 3 13" xfId="4822"/>
    <cellStyle name="Normal 3 14" xfId="4823"/>
    <cellStyle name="Normal 3 15" xfId="4824"/>
    <cellStyle name="Normal 3 16" xfId="4825"/>
    <cellStyle name="Normal 3 17" xfId="4826"/>
    <cellStyle name="Normal 3 17 2" xfId="4827"/>
    <cellStyle name="Normal 3 17 3" xfId="4828"/>
    <cellStyle name="Normal 3 17 4" xfId="4829"/>
    <cellStyle name="Normal 3 17 5" xfId="4830"/>
    <cellStyle name="Normal 3 17 6" xfId="4831"/>
    <cellStyle name="Normal 3 17 7" xfId="4832"/>
    <cellStyle name="Normal 3 18" xfId="4833"/>
    <cellStyle name="Normal 3 19" xfId="4834"/>
    <cellStyle name="Normal 3 19 2" xfId="4835"/>
    <cellStyle name="Normal 3 19 3" xfId="4836"/>
    <cellStyle name="Normal 3 19 3 2" xfId="4837"/>
    <cellStyle name="Normal 3 19 3 2 2" xfId="4838"/>
    <cellStyle name="Normal 3 19 3 2 3" xfId="4839"/>
    <cellStyle name="Normal 3 19 3 3" xfId="4840"/>
    <cellStyle name="Normal 3 19 3 4" xfId="4841"/>
    <cellStyle name="Normal 3 19 4" xfId="4842"/>
    <cellStyle name="Normal 3 19 4 2" xfId="4843"/>
    <cellStyle name="Normal 3 19 4 2 2" xfId="4844"/>
    <cellStyle name="Normal 3 19 4 2 3" xfId="4845"/>
    <cellStyle name="Normal 3 19 4 3" xfId="4846"/>
    <cellStyle name="Normal 3 19 4 4" xfId="4847"/>
    <cellStyle name="Normal 3 19 5" xfId="4848"/>
    <cellStyle name="Normal 3 19 5 2" xfId="4849"/>
    <cellStyle name="Normal 3 19 5 2 2" xfId="4850"/>
    <cellStyle name="Normal 3 19 5 2 3" xfId="4851"/>
    <cellStyle name="Normal 3 19 5 3" xfId="4852"/>
    <cellStyle name="Normal 3 19 5 4" xfId="4853"/>
    <cellStyle name="Normal 3 19 6" xfId="4854"/>
    <cellStyle name="Normal 3 19 6 2" xfId="4855"/>
    <cellStyle name="Normal 3 19 6 2 2" xfId="4856"/>
    <cellStyle name="Normal 3 19 6 2 3" xfId="4857"/>
    <cellStyle name="Normal 3 19 6 3" xfId="4858"/>
    <cellStyle name="Normal 3 19 6 4" xfId="4859"/>
    <cellStyle name="Normal 3 19 7" xfId="4860"/>
    <cellStyle name="Normal 3 19 7 2" xfId="4861"/>
    <cellStyle name="Normal 3 19 7 3" xfId="4862"/>
    <cellStyle name="Normal 3 19 8" xfId="4863"/>
    <cellStyle name="Normal 3 19 9" xfId="4864"/>
    <cellStyle name="Normal 3 2" xfId="4865"/>
    <cellStyle name="Normal 3 2 10" xfId="4866"/>
    <cellStyle name="Normal 3 2 11" xfId="4867"/>
    <cellStyle name="Normal 3 2 11 2" xfId="4868"/>
    <cellStyle name="Normal 3 2 11 2 2" xfId="4869"/>
    <cellStyle name="Normal 3 2 11 2 2 2" xfId="4870"/>
    <cellStyle name="Normal 3 2 11 2 2 3" xfId="4871"/>
    <cellStyle name="Normal 3 2 11 2 3" xfId="4872"/>
    <cellStyle name="Normal 3 2 11 2 4" xfId="4873"/>
    <cellStyle name="Normal 3 2 11 3" xfId="4874"/>
    <cellStyle name="Normal 3 2 11 3 2" xfId="4875"/>
    <cellStyle name="Normal 3 2 11 3 2 2" xfId="4876"/>
    <cellStyle name="Normal 3 2 11 3 2 3" xfId="4877"/>
    <cellStyle name="Normal 3 2 11 3 3" xfId="4878"/>
    <cellStyle name="Normal 3 2 11 3 4" xfId="4879"/>
    <cellStyle name="Normal 3 2 11 4" xfId="4880"/>
    <cellStyle name="Normal 3 2 11 4 2" xfId="4881"/>
    <cellStyle name="Normal 3 2 11 4 2 2" xfId="4882"/>
    <cellStyle name="Normal 3 2 11 4 2 3" xfId="4883"/>
    <cellStyle name="Normal 3 2 11 4 3" xfId="4884"/>
    <cellStyle name="Normal 3 2 11 4 4" xfId="4885"/>
    <cellStyle name="Normal 3 2 11 5" xfId="4886"/>
    <cellStyle name="Normal 3 2 11 5 2" xfId="4887"/>
    <cellStyle name="Normal 3 2 11 5 2 2" xfId="4888"/>
    <cellStyle name="Normal 3 2 11 5 2 3" xfId="4889"/>
    <cellStyle name="Normal 3 2 11 5 3" xfId="4890"/>
    <cellStyle name="Normal 3 2 11 5 4" xfId="4891"/>
    <cellStyle name="Normal 3 2 11 6" xfId="4892"/>
    <cellStyle name="Normal 3 2 11 6 2" xfId="4893"/>
    <cellStyle name="Normal 3 2 11 6 3" xfId="4894"/>
    <cellStyle name="Normal 3 2 11 7" xfId="4895"/>
    <cellStyle name="Normal 3 2 11 8" xfId="4896"/>
    <cellStyle name="Normal 3 2 12" xfId="4897"/>
    <cellStyle name="Normal 3 2 12 2" xfId="4898"/>
    <cellStyle name="Normal 3 2 12 2 2" xfId="4899"/>
    <cellStyle name="Normal 3 2 12 2 2 2" xfId="4900"/>
    <cellStyle name="Normal 3 2 12 2 2 3" xfId="4901"/>
    <cellStyle name="Normal 3 2 12 2 3" xfId="4902"/>
    <cellStyle name="Normal 3 2 12 2 4" xfId="4903"/>
    <cellStyle name="Normal 3 2 12 3" xfId="4904"/>
    <cellStyle name="Normal 3 2 12 3 2" xfId="4905"/>
    <cellStyle name="Normal 3 2 12 3 2 2" xfId="4906"/>
    <cellStyle name="Normal 3 2 12 3 2 3" xfId="4907"/>
    <cellStyle name="Normal 3 2 12 3 3" xfId="4908"/>
    <cellStyle name="Normal 3 2 12 3 4" xfId="4909"/>
    <cellStyle name="Normal 3 2 12 4" xfId="4910"/>
    <cellStyle name="Normal 3 2 12 4 2" xfId="4911"/>
    <cellStyle name="Normal 3 2 12 4 2 2" xfId="4912"/>
    <cellStyle name="Normal 3 2 12 4 2 3" xfId="4913"/>
    <cellStyle name="Normal 3 2 12 4 3" xfId="4914"/>
    <cellStyle name="Normal 3 2 12 4 4" xfId="4915"/>
    <cellStyle name="Normal 3 2 12 5" xfId="4916"/>
    <cellStyle name="Normal 3 2 12 5 2" xfId="4917"/>
    <cellStyle name="Normal 3 2 12 5 2 2" xfId="4918"/>
    <cellStyle name="Normal 3 2 12 5 2 3" xfId="4919"/>
    <cellStyle name="Normal 3 2 12 5 3" xfId="4920"/>
    <cellStyle name="Normal 3 2 12 5 4" xfId="4921"/>
    <cellStyle name="Normal 3 2 12 6" xfId="4922"/>
    <cellStyle name="Normal 3 2 12 6 2" xfId="4923"/>
    <cellStyle name="Normal 3 2 12 6 3" xfId="4924"/>
    <cellStyle name="Normal 3 2 12 7" xfId="4925"/>
    <cellStyle name="Normal 3 2 12 8" xfId="4926"/>
    <cellStyle name="Normal 3 2 13" xfId="4927"/>
    <cellStyle name="Normal 3 2 13 2" xfId="4928"/>
    <cellStyle name="Normal 3 2 13 2 2" xfId="4929"/>
    <cellStyle name="Normal 3 2 13 2 2 2" xfId="4930"/>
    <cellStyle name="Normal 3 2 13 2 2 3" xfId="4931"/>
    <cellStyle name="Normal 3 2 13 2 3" xfId="4932"/>
    <cellStyle name="Normal 3 2 13 2 4" xfId="4933"/>
    <cellStyle name="Normal 3 2 13 3" xfId="4934"/>
    <cellStyle name="Normal 3 2 13 3 2" xfId="4935"/>
    <cellStyle name="Normal 3 2 13 3 2 2" xfId="4936"/>
    <cellStyle name="Normal 3 2 13 3 2 3" xfId="4937"/>
    <cellStyle name="Normal 3 2 13 3 3" xfId="4938"/>
    <cellStyle name="Normal 3 2 13 3 4" xfId="4939"/>
    <cellStyle name="Normal 3 2 13 4" xfId="4940"/>
    <cellStyle name="Normal 3 2 13 4 2" xfId="4941"/>
    <cellStyle name="Normal 3 2 13 4 2 2" xfId="4942"/>
    <cellStyle name="Normal 3 2 13 4 2 3" xfId="4943"/>
    <cellStyle name="Normal 3 2 13 4 3" xfId="4944"/>
    <cellStyle name="Normal 3 2 13 4 4" xfId="4945"/>
    <cellStyle name="Normal 3 2 13 5" xfId="4946"/>
    <cellStyle name="Normal 3 2 13 5 2" xfId="4947"/>
    <cellStyle name="Normal 3 2 13 5 2 2" xfId="4948"/>
    <cellStyle name="Normal 3 2 13 5 2 3" xfId="4949"/>
    <cellStyle name="Normal 3 2 13 5 3" xfId="4950"/>
    <cellStyle name="Normal 3 2 13 5 4" xfId="4951"/>
    <cellStyle name="Normal 3 2 13 6" xfId="4952"/>
    <cellStyle name="Normal 3 2 13 6 2" xfId="4953"/>
    <cellStyle name="Normal 3 2 13 6 3" xfId="4954"/>
    <cellStyle name="Normal 3 2 13 7" xfId="4955"/>
    <cellStyle name="Normal 3 2 13 8" xfId="4956"/>
    <cellStyle name="Normal 3 2 14" xfId="4957"/>
    <cellStyle name="Normal 3 2 14 2" xfId="4958"/>
    <cellStyle name="Normal 3 2 14 2 2" xfId="4959"/>
    <cellStyle name="Normal 3 2 14 2 2 2" xfId="4960"/>
    <cellStyle name="Normal 3 2 14 2 2 3" xfId="4961"/>
    <cellStyle name="Normal 3 2 14 2 3" xfId="4962"/>
    <cellStyle name="Normal 3 2 14 2 4" xfId="4963"/>
    <cellStyle name="Normal 3 2 14 3" xfId="4964"/>
    <cellStyle name="Normal 3 2 14 3 2" xfId="4965"/>
    <cellStyle name="Normal 3 2 14 3 2 2" xfId="4966"/>
    <cellStyle name="Normal 3 2 14 3 2 3" xfId="4967"/>
    <cellStyle name="Normal 3 2 14 3 3" xfId="4968"/>
    <cellStyle name="Normal 3 2 14 3 4" xfId="4969"/>
    <cellStyle name="Normal 3 2 14 4" xfId="4970"/>
    <cellStyle name="Normal 3 2 14 4 2" xfId="4971"/>
    <cellStyle name="Normal 3 2 14 4 2 2" xfId="4972"/>
    <cellStyle name="Normal 3 2 14 4 2 3" xfId="4973"/>
    <cellStyle name="Normal 3 2 14 4 3" xfId="4974"/>
    <cellStyle name="Normal 3 2 14 4 4" xfId="4975"/>
    <cellStyle name="Normal 3 2 14 5" xfId="4976"/>
    <cellStyle name="Normal 3 2 14 5 2" xfId="4977"/>
    <cellStyle name="Normal 3 2 14 5 2 2" xfId="4978"/>
    <cellStyle name="Normal 3 2 14 5 2 3" xfId="4979"/>
    <cellStyle name="Normal 3 2 14 5 3" xfId="4980"/>
    <cellStyle name="Normal 3 2 14 5 4" xfId="4981"/>
    <cellStyle name="Normal 3 2 14 6" xfId="4982"/>
    <cellStyle name="Normal 3 2 14 6 2" xfId="4983"/>
    <cellStyle name="Normal 3 2 14 6 3" xfId="4984"/>
    <cellStyle name="Normal 3 2 14 7" xfId="4985"/>
    <cellStyle name="Normal 3 2 14 8" xfId="4986"/>
    <cellStyle name="Normal 3 2 15" xfId="4987"/>
    <cellStyle name="Normal 3 2 15 2" xfId="4988"/>
    <cellStyle name="Normal 3 2 15 2 2" xfId="4989"/>
    <cellStyle name="Normal 3 2 15 2 2 2" xfId="4990"/>
    <cellStyle name="Normal 3 2 15 2 2 3" xfId="4991"/>
    <cellStyle name="Normal 3 2 15 2 3" xfId="4992"/>
    <cellStyle name="Normal 3 2 15 2 4" xfId="4993"/>
    <cellStyle name="Normal 3 2 15 3" xfId="4994"/>
    <cellStyle name="Normal 3 2 15 3 2" xfId="4995"/>
    <cellStyle name="Normal 3 2 15 3 2 2" xfId="4996"/>
    <cellStyle name="Normal 3 2 15 3 2 3" xfId="4997"/>
    <cellStyle name="Normal 3 2 15 3 3" xfId="4998"/>
    <cellStyle name="Normal 3 2 15 3 4" xfId="4999"/>
    <cellStyle name="Normal 3 2 15 4" xfId="5000"/>
    <cellStyle name="Normal 3 2 15 4 2" xfId="5001"/>
    <cellStyle name="Normal 3 2 15 4 2 2" xfId="5002"/>
    <cellStyle name="Normal 3 2 15 4 2 3" xfId="5003"/>
    <cellStyle name="Normal 3 2 15 4 3" xfId="5004"/>
    <cellStyle name="Normal 3 2 15 4 4" xfId="5005"/>
    <cellStyle name="Normal 3 2 15 5" xfId="5006"/>
    <cellStyle name="Normal 3 2 15 5 2" xfId="5007"/>
    <cellStyle name="Normal 3 2 15 5 2 2" xfId="5008"/>
    <cellStyle name="Normal 3 2 15 5 2 3" xfId="5009"/>
    <cellStyle name="Normal 3 2 15 5 3" xfId="5010"/>
    <cellStyle name="Normal 3 2 15 5 4" xfId="5011"/>
    <cellStyle name="Normal 3 2 15 6" xfId="5012"/>
    <cellStyle name="Normal 3 2 15 6 2" xfId="5013"/>
    <cellStyle name="Normal 3 2 15 6 3" xfId="5014"/>
    <cellStyle name="Normal 3 2 15 7" xfId="5015"/>
    <cellStyle name="Normal 3 2 15 8" xfId="5016"/>
    <cellStyle name="Normal 3 2 16" xfId="5017"/>
    <cellStyle name="Normal 3 2 16 2" xfId="5018"/>
    <cellStyle name="Normal 3 2 16 2 2" xfId="5019"/>
    <cellStyle name="Normal 3 2 16 2 2 2" xfId="5020"/>
    <cellStyle name="Normal 3 2 16 2 2 3" xfId="5021"/>
    <cellStyle name="Normal 3 2 16 2 3" xfId="5022"/>
    <cellStyle name="Normal 3 2 16 2 4" xfId="5023"/>
    <cellStyle name="Normal 3 2 16 3" xfId="5024"/>
    <cellStyle name="Normal 3 2 16 3 2" xfId="5025"/>
    <cellStyle name="Normal 3 2 16 3 2 2" xfId="5026"/>
    <cellStyle name="Normal 3 2 16 3 2 3" xfId="5027"/>
    <cellStyle name="Normal 3 2 16 3 3" xfId="5028"/>
    <cellStyle name="Normal 3 2 16 3 4" xfId="5029"/>
    <cellStyle name="Normal 3 2 16 4" xfId="5030"/>
    <cellStyle name="Normal 3 2 16 4 2" xfId="5031"/>
    <cellStyle name="Normal 3 2 16 4 2 2" xfId="5032"/>
    <cellStyle name="Normal 3 2 16 4 2 3" xfId="5033"/>
    <cellStyle name="Normal 3 2 16 4 3" xfId="5034"/>
    <cellStyle name="Normal 3 2 16 4 4" xfId="5035"/>
    <cellStyle name="Normal 3 2 16 5" xfId="5036"/>
    <cellStyle name="Normal 3 2 16 5 2" xfId="5037"/>
    <cellStyle name="Normal 3 2 16 5 2 2" xfId="5038"/>
    <cellStyle name="Normal 3 2 16 5 2 3" xfId="5039"/>
    <cellStyle name="Normal 3 2 16 5 3" xfId="5040"/>
    <cellStyle name="Normal 3 2 16 5 4" xfId="5041"/>
    <cellStyle name="Normal 3 2 16 6" xfId="5042"/>
    <cellStyle name="Normal 3 2 16 6 2" xfId="5043"/>
    <cellStyle name="Normal 3 2 16 6 3" xfId="5044"/>
    <cellStyle name="Normal 3 2 16 7" xfId="5045"/>
    <cellStyle name="Normal 3 2 16 8" xfId="5046"/>
    <cellStyle name="Normal 3 2 17" xfId="5047"/>
    <cellStyle name="Normal 3 2 17 2" xfId="5048"/>
    <cellStyle name="Normal 3 2 17 2 2" xfId="5049"/>
    <cellStyle name="Normal 3 2 17 2 3" xfId="5050"/>
    <cellStyle name="Normal 3 2 17 3" xfId="5051"/>
    <cellStyle name="Normal 3 2 17 4" xfId="5052"/>
    <cellStyle name="Normal 3 2 18" xfId="5053"/>
    <cellStyle name="Normal 3 2 18 2" xfId="5054"/>
    <cellStyle name="Normal 3 2 18 2 2" xfId="5055"/>
    <cellStyle name="Normal 3 2 18 2 3" xfId="5056"/>
    <cellStyle name="Normal 3 2 18 3" xfId="5057"/>
    <cellStyle name="Normal 3 2 18 4" xfId="5058"/>
    <cellStyle name="Normal 3 2 19" xfId="5059"/>
    <cellStyle name="Normal 3 2 19 2" xfId="5060"/>
    <cellStyle name="Normal 3 2 19 2 2" xfId="5061"/>
    <cellStyle name="Normal 3 2 19 2 3" xfId="5062"/>
    <cellStyle name="Normal 3 2 19 3" xfId="5063"/>
    <cellStyle name="Normal 3 2 19 4" xfId="5064"/>
    <cellStyle name="Normal 3 2 2" xfId="5065"/>
    <cellStyle name="Normal 3 2 2 2" xfId="5066"/>
    <cellStyle name="Normal 3 2 2 2 2" xfId="5067"/>
    <cellStyle name="Normal 3 2 2 2 2 2" xfId="5068"/>
    <cellStyle name="Normal 3 2 2 2 2 2 2" xfId="5069"/>
    <cellStyle name="Normal 3 2 2 2 2 2 3" xfId="5070"/>
    <cellStyle name="Normal 3 2 2 2 2 3" xfId="5071"/>
    <cellStyle name="Normal 3 2 2 2 2 4" xfId="5072"/>
    <cellStyle name="Normal 3 2 2 2 3" xfId="5073"/>
    <cellStyle name="Normal 3 2 2 2 3 2" xfId="5074"/>
    <cellStyle name="Normal 3 2 2 2 3 2 2" xfId="5075"/>
    <cellStyle name="Normal 3 2 2 2 3 2 3" xfId="5076"/>
    <cellStyle name="Normal 3 2 2 2 3 3" xfId="5077"/>
    <cellStyle name="Normal 3 2 2 2 3 4" xfId="5078"/>
    <cellStyle name="Normal 3 2 2 2 4" xfId="5079"/>
    <cellStyle name="Normal 3 2 2 2 4 2" xfId="5080"/>
    <cellStyle name="Normal 3 2 2 2 4 2 2" xfId="5081"/>
    <cellStyle name="Normal 3 2 2 2 4 2 3" xfId="5082"/>
    <cellStyle name="Normal 3 2 2 2 4 3" xfId="5083"/>
    <cellStyle name="Normal 3 2 2 2 4 4" xfId="5084"/>
    <cellStyle name="Normal 3 2 2 2 5" xfId="5085"/>
    <cellStyle name="Normal 3 2 2 2 5 2" xfId="5086"/>
    <cellStyle name="Normal 3 2 2 2 5 2 2" xfId="5087"/>
    <cellStyle name="Normal 3 2 2 2 5 2 3" xfId="5088"/>
    <cellStyle name="Normal 3 2 2 2 5 3" xfId="5089"/>
    <cellStyle name="Normal 3 2 2 2 5 4" xfId="5090"/>
    <cellStyle name="Normal 3 2 2 2 6" xfId="5091"/>
    <cellStyle name="Normal 3 2 2 2 6 2" xfId="5092"/>
    <cellStyle name="Normal 3 2 2 2 6 3" xfId="5093"/>
    <cellStyle name="Normal 3 2 2 2 7" xfId="5094"/>
    <cellStyle name="Normal 3 2 2 2 8" xfId="5095"/>
    <cellStyle name="Normal 3 2 2 3" xfId="5096"/>
    <cellStyle name="Normal 3 2 2 4" xfId="5097"/>
    <cellStyle name="Normal 3 2 2 5" xfId="5098"/>
    <cellStyle name="Normal 3 2 2 6" xfId="5099"/>
    <cellStyle name="Normal 3 2 2 7" xfId="5100"/>
    <cellStyle name="Normal 3 2 2 7 2" xfId="5101"/>
    <cellStyle name="Normal 3 2 2 7 3" xfId="5102"/>
    <cellStyle name="Normal 3 2 2 8" xfId="5103"/>
    <cellStyle name="Normal 3 2 2 9" xfId="5104"/>
    <cellStyle name="Normal 3 2 20" xfId="5105"/>
    <cellStyle name="Normal 3 2 20 2" xfId="5106"/>
    <cellStyle name="Normal 3 2 20 2 2" xfId="5107"/>
    <cellStyle name="Normal 3 2 20 2 3" xfId="5108"/>
    <cellStyle name="Normal 3 2 20 3" xfId="5109"/>
    <cellStyle name="Normal 3 2 20 4" xfId="5110"/>
    <cellStyle name="Normal 3 2 3" xfId="5111"/>
    <cellStyle name="Normal 3 2 3 2" xfId="5112"/>
    <cellStyle name="Normal 3 2 3 2 2" xfId="5113"/>
    <cellStyle name="Normal 3 2 3 2 2 2" xfId="5114"/>
    <cellStyle name="Normal 3 2 3 2 2 2 2" xfId="5115"/>
    <cellStyle name="Normal 3 2 3 2 2 2 3" xfId="5116"/>
    <cellStyle name="Normal 3 2 3 2 2 3" xfId="5117"/>
    <cellStyle name="Normal 3 2 3 2 2 4" xfId="5118"/>
    <cellStyle name="Normal 3 2 3 2 3" xfId="5119"/>
    <cellStyle name="Normal 3 2 3 2 3 2" xfId="5120"/>
    <cellStyle name="Normal 3 2 3 2 3 2 2" xfId="5121"/>
    <cellStyle name="Normal 3 2 3 2 3 2 3" xfId="5122"/>
    <cellStyle name="Normal 3 2 3 2 3 3" xfId="5123"/>
    <cellStyle name="Normal 3 2 3 2 3 4" xfId="5124"/>
    <cellStyle name="Normal 3 2 3 2 4" xfId="5125"/>
    <cellStyle name="Normal 3 2 3 2 4 2" xfId="5126"/>
    <cellStyle name="Normal 3 2 3 2 4 2 2" xfId="5127"/>
    <cellStyle name="Normal 3 2 3 2 4 2 3" xfId="5128"/>
    <cellStyle name="Normal 3 2 3 2 4 3" xfId="5129"/>
    <cellStyle name="Normal 3 2 3 2 4 4" xfId="5130"/>
    <cellStyle name="Normal 3 2 3 2 5" xfId="5131"/>
    <cellStyle name="Normal 3 2 3 2 5 2" xfId="5132"/>
    <cellStyle name="Normal 3 2 3 2 5 2 2" xfId="5133"/>
    <cellStyle name="Normal 3 2 3 2 5 2 3" xfId="5134"/>
    <cellStyle name="Normal 3 2 3 2 5 3" xfId="5135"/>
    <cellStyle name="Normal 3 2 3 2 5 4" xfId="5136"/>
    <cellStyle name="Normal 3 2 3 2 6" xfId="5137"/>
    <cellStyle name="Normal 3 2 3 2 6 2" xfId="5138"/>
    <cellStyle name="Normal 3 2 3 2 6 3" xfId="5139"/>
    <cellStyle name="Normal 3 2 3 2 7" xfId="5140"/>
    <cellStyle name="Normal 3 2 3 2 8" xfId="5141"/>
    <cellStyle name="Normal 3 2 3 3" xfId="5142"/>
    <cellStyle name="Normal 3 2 3 3 2" xfId="5143"/>
    <cellStyle name="Normal 3 2 3 3 2 2" xfId="5144"/>
    <cellStyle name="Normal 3 2 3 3 2 3" xfId="5145"/>
    <cellStyle name="Normal 3 2 3 3 3" xfId="5146"/>
    <cellStyle name="Normal 3 2 3 3 4" xfId="5147"/>
    <cellStyle name="Normal 3 2 3 4" xfId="5148"/>
    <cellStyle name="Normal 3 2 3 4 2" xfId="5149"/>
    <cellStyle name="Normal 3 2 3 4 2 2" xfId="5150"/>
    <cellStyle name="Normal 3 2 3 4 2 3" xfId="5151"/>
    <cellStyle name="Normal 3 2 3 4 3" xfId="5152"/>
    <cellStyle name="Normal 3 2 3 4 4" xfId="5153"/>
    <cellStyle name="Normal 3 2 3 5" xfId="5154"/>
    <cellStyle name="Normal 3 2 3 5 2" xfId="5155"/>
    <cellStyle name="Normal 3 2 3 5 2 2" xfId="5156"/>
    <cellStyle name="Normal 3 2 3 5 2 3" xfId="5157"/>
    <cellStyle name="Normal 3 2 3 5 3" xfId="5158"/>
    <cellStyle name="Normal 3 2 3 5 4" xfId="5159"/>
    <cellStyle name="Normal 3 2 3 6" xfId="5160"/>
    <cellStyle name="Normal 3 2 3 6 2" xfId="5161"/>
    <cellStyle name="Normal 3 2 3 6 2 2" xfId="5162"/>
    <cellStyle name="Normal 3 2 3 6 2 3" xfId="5163"/>
    <cellStyle name="Normal 3 2 3 6 3" xfId="5164"/>
    <cellStyle name="Normal 3 2 3 6 4" xfId="5165"/>
    <cellStyle name="Normal 3 2 3 7" xfId="5166"/>
    <cellStyle name="Normal 3 2 3 7 2" xfId="5167"/>
    <cellStyle name="Normal 3 2 3 7 3" xfId="5168"/>
    <cellStyle name="Normal 3 2 3 8" xfId="5169"/>
    <cellStyle name="Normal 3 2 3 9" xfId="5170"/>
    <cellStyle name="Normal 3 2 4" xfId="5171"/>
    <cellStyle name="Normal 3 2 4 2" xfId="5172"/>
    <cellStyle name="Normal 3 2 4 2 2" xfId="5173"/>
    <cellStyle name="Normal 3 2 4 2 2 2" xfId="5174"/>
    <cellStyle name="Normal 3 2 4 2 2 2 2" xfId="5175"/>
    <cellStyle name="Normal 3 2 4 2 2 2 3" xfId="5176"/>
    <cellStyle name="Normal 3 2 4 2 2 3" xfId="5177"/>
    <cellStyle name="Normal 3 2 4 2 2 4" xfId="5178"/>
    <cellStyle name="Normal 3 2 4 2 3" xfId="5179"/>
    <cellStyle name="Normal 3 2 4 2 3 2" xfId="5180"/>
    <cellStyle name="Normal 3 2 4 2 3 2 2" xfId="5181"/>
    <cellStyle name="Normal 3 2 4 2 3 2 3" xfId="5182"/>
    <cellStyle name="Normal 3 2 4 2 3 3" xfId="5183"/>
    <cellStyle name="Normal 3 2 4 2 3 4" xfId="5184"/>
    <cellStyle name="Normal 3 2 4 2 4" xfId="5185"/>
    <cellStyle name="Normal 3 2 4 2 4 2" xfId="5186"/>
    <cellStyle name="Normal 3 2 4 2 4 2 2" xfId="5187"/>
    <cellStyle name="Normal 3 2 4 2 4 2 3" xfId="5188"/>
    <cellStyle name="Normal 3 2 4 2 4 3" xfId="5189"/>
    <cellStyle name="Normal 3 2 4 2 4 4" xfId="5190"/>
    <cellStyle name="Normal 3 2 4 2 5" xfId="5191"/>
    <cellStyle name="Normal 3 2 4 2 5 2" xfId="5192"/>
    <cellStyle name="Normal 3 2 4 2 5 2 2" xfId="5193"/>
    <cellStyle name="Normal 3 2 4 2 5 2 3" xfId="5194"/>
    <cellStyle name="Normal 3 2 4 2 5 3" xfId="5195"/>
    <cellStyle name="Normal 3 2 4 2 5 4" xfId="5196"/>
    <cellStyle name="Normal 3 2 4 2 6" xfId="5197"/>
    <cellStyle name="Normal 3 2 4 2 6 2" xfId="5198"/>
    <cellStyle name="Normal 3 2 4 2 6 3" xfId="5199"/>
    <cellStyle name="Normal 3 2 4 2 7" xfId="5200"/>
    <cellStyle name="Normal 3 2 4 2 8" xfId="5201"/>
    <cellStyle name="Normal 3 2 4 3" xfId="5202"/>
    <cellStyle name="Normal 3 2 4 3 2" xfId="5203"/>
    <cellStyle name="Normal 3 2 4 3 2 2" xfId="5204"/>
    <cellStyle name="Normal 3 2 4 3 2 3" xfId="5205"/>
    <cellStyle name="Normal 3 2 4 3 3" xfId="5206"/>
    <cellStyle name="Normal 3 2 4 3 4" xfId="5207"/>
    <cellStyle name="Normal 3 2 4 4" xfId="5208"/>
    <cellStyle name="Normal 3 2 4 4 2" xfId="5209"/>
    <cellStyle name="Normal 3 2 4 4 2 2" xfId="5210"/>
    <cellStyle name="Normal 3 2 4 4 2 3" xfId="5211"/>
    <cellStyle name="Normal 3 2 4 4 3" xfId="5212"/>
    <cellStyle name="Normal 3 2 4 4 4" xfId="5213"/>
    <cellStyle name="Normal 3 2 4 5" xfId="5214"/>
    <cellStyle name="Normal 3 2 4 5 2" xfId="5215"/>
    <cellStyle name="Normal 3 2 4 5 2 2" xfId="5216"/>
    <cellStyle name="Normal 3 2 4 5 2 3" xfId="5217"/>
    <cellStyle name="Normal 3 2 4 5 3" xfId="5218"/>
    <cellStyle name="Normal 3 2 4 5 4" xfId="5219"/>
    <cellStyle name="Normal 3 2 4 6" xfId="5220"/>
    <cellStyle name="Normal 3 2 4 6 2" xfId="5221"/>
    <cellStyle name="Normal 3 2 4 6 2 2" xfId="5222"/>
    <cellStyle name="Normal 3 2 4 6 2 3" xfId="5223"/>
    <cellStyle name="Normal 3 2 4 6 3" xfId="5224"/>
    <cellStyle name="Normal 3 2 4 6 4" xfId="5225"/>
    <cellStyle name="Normal 3 2 4 7" xfId="5226"/>
    <cellStyle name="Normal 3 2 4 7 2" xfId="5227"/>
    <cellStyle name="Normal 3 2 4 7 3" xfId="5228"/>
    <cellStyle name="Normal 3 2 4 8" xfId="5229"/>
    <cellStyle name="Normal 3 2 4 9" xfId="5230"/>
    <cellStyle name="Normal 3 2 5" xfId="5231"/>
    <cellStyle name="Normal 3 2 6" xfId="5232"/>
    <cellStyle name="Normal 3 2 7" xfId="5233"/>
    <cellStyle name="Normal 3 2 8" xfId="5234"/>
    <cellStyle name="Normal 3 2 9" xfId="5235"/>
    <cellStyle name="Normal 3 20" xfId="5236"/>
    <cellStyle name="Normal 3 21" xfId="5237"/>
    <cellStyle name="Normal 3 22" xfId="5238"/>
    <cellStyle name="Normal 3 23" xfId="5239"/>
    <cellStyle name="Normal 3 24" xfId="5240"/>
    <cellStyle name="Normal 3 25" xfId="5241"/>
    <cellStyle name="Normal 3 26" xfId="5242"/>
    <cellStyle name="Normal 3 27" xfId="5243"/>
    <cellStyle name="Normal 3 28" xfId="5244"/>
    <cellStyle name="Normal 3 29" xfId="5245"/>
    <cellStyle name="Normal 3 3" xfId="5246"/>
    <cellStyle name="Normal 3 3 10" xfId="5247"/>
    <cellStyle name="Normal 3 3 10 2" xfId="5248"/>
    <cellStyle name="Normal 3 3 10 2 2" xfId="5249"/>
    <cellStyle name="Normal 3 3 10 2 3" xfId="5250"/>
    <cellStyle name="Normal 3 3 10 3" xfId="5251"/>
    <cellStyle name="Normal 3 3 10 4" xfId="5252"/>
    <cellStyle name="Normal 3 3 11" xfId="5253"/>
    <cellStyle name="Normal 3 3 11 2" xfId="5254"/>
    <cellStyle name="Normal 3 3 11 2 2" xfId="5255"/>
    <cellStyle name="Normal 3 3 11 2 3" xfId="5256"/>
    <cellStyle name="Normal 3 3 11 3" xfId="5257"/>
    <cellStyle name="Normal 3 3 11 4" xfId="5258"/>
    <cellStyle name="Normal 3 3 12" xfId="5259"/>
    <cellStyle name="Normal 3 3 12 2" xfId="5260"/>
    <cellStyle name="Normal 3 3 12 3" xfId="5261"/>
    <cellStyle name="Normal 3 3 13" xfId="5262"/>
    <cellStyle name="Normal 3 3 14" xfId="5263"/>
    <cellStyle name="Normal 3 3 2" xfId="5264"/>
    <cellStyle name="Normal 3 3 2 2" xfId="5265"/>
    <cellStyle name="Normal 3 3 2 3" xfId="5266"/>
    <cellStyle name="Normal 3 3 2 3 2" xfId="5267"/>
    <cellStyle name="Normal 3 3 2 3 2 2" xfId="5268"/>
    <cellStyle name="Normal 3 3 2 3 2 3" xfId="5269"/>
    <cellStyle name="Normal 3 3 2 3 3" xfId="5270"/>
    <cellStyle name="Normal 3 3 2 3 4" xfId="5271"/>
    <cellStyle name="Normal 3 3 2 4" xfId="5272"/>
    <cellStyle name="Normal 3 3 2 4 2" xfId="5273"/>
    <cellStyle name="Normal 3 3 2 4 2 2" xfId="5274"/>
    <cellStyle name="Normal 3 3 2 4 2 3" xfId="5275"/>
    <cellStyle name="Normal 3 3 2 4 3" xfId="5276"/>
    <cellStyle name="Normal 3 3 2 4 4" xfId="5277"/>
    <cellStyle name="Normal 3 3 2 5" xfId="5278"/>
    <cellStyle name="Normal 3 3 2 5 2" xfId="5279"/>
    <cellStyle name="Normal 3 3 2 5 2 2" xfId="5280"/>
    <cellStyle name="Normal 3 3 2 5 2 3" xfId="5281"/>
    <cellStyle name="Normal 3 3 2 5 3" xfId="5282"/>
    <cellStyle name="Normal 3 3 2 5 4" xfId="5283"/>
    <cellStyle name="Normal 3 3 2 6" xfId="5284"/>
    <cellStyle name="Normal 3 3 2 6 2" xfId="5285"/>
    <cellStyle name="Normal 3 3 2 6 2 2" xfId="5286"/>
    <cellStyle name="Normal 3 3 2 6 2 3" xfId="5287"/>
    <cellStyle name="Normal 3 3 2 6 3" xfId="5288"/>
    <cellStyle name="Normal 3 3 2 6 4" xfId="5289"/>
    <cellStyle name="Normal 3 3 2 7" xfId="5290"/>
    <cellStyle name="Normal 3 3 2 7 2" xfId="5291"/>
    <cellStyle name="Normal 3 3 2 7 3" xfId="5292"/>
    <cellStyle name="Normal 3 3 2 8" xfId="5293"/>
    <cellStyle name="Normal 3 3 2 9" xfId="5294"/>
    <cellStyle name="Normal 3 3 3" xfId="5295"/>
    <cellStyle name="Normal 3 3 4" xfId="5296"/>
    <cellStyle name="Normal 3 3 5" xfId="5297"/>
    <cellStyle name="Normal 3 3 6" xfId="5298"/>
    <cellStyle name="Normal 3 3 7" xfId="5299"/>
    <cellStyle name="Normal 3 3 8" xfId="5300"/>
    <cellStyle name="Normal 3 3 8 2" xfId="5301"/>
    <cellStyle name="Normal 3 3 8 2 2" xfId="5302"/>
    <cellStyle name="Normal 3 3 8 2 3" xfId="5303"/>
    <cellStyle name="Normal 3 3 8 3" xfId="5304"/>
    <cellStyle name="Normal 3 3 8 4" xfId="5305"/>
    <cellStyle name="Normal 3 3 9" xfId="5306"/>
    <cellStyle name="Normal 3 3 9 2" xfId="5307"/>
    <cellStyle name="Normal 3 3 9 2 2" xfId="5308"/>
    <cellStyle name="Normal 3 3 9 2 3" xfId="5309"/>
    <cellStyle name="Normal 3 3 9 3" xfId="5310"/>
    <cellStyle name="Normal 3 3 9 4" xfId="5311"/>
    <cellStyle name="Normal 3 30" xfId="5312"/>
    <cellStyle name="Normal 3 31" xfId="5313"/>
    <cellStyle name="Normal 3 31 2" xfId="5314"/>
    <cellStyle name="Normal 3 31 3" xfId="5315"/>
    <cellStyle name="Normal 3 32" xfId="5316"/>
    <cellStyle name="Normal 3 32 2" xfId="5317"/>
    <cellStyle name="Normal 3 32 3" xfId="5318"/>
    <cellStyle name="Normal 3 33" xfId="5319"/>
    <cellStyle name="Normal 3 33 2" xfId="5320"/>
    <cellStyle name="Normal 3 33 3" xfId="5321"/>
    <cellStyle name="Normal 3 34" xfId="5322"/>
    <cellStyle name="Normal 3 34 2" xfId="5323"/>
    <cellStyle name="Normal 3 34 3" xfId="5324"/>
    <cellStyle name="Normal 3 35" xfId="5325"/>
    <cellStyle name="Normal 3 35 2" xfId="5326"/>
    <cellStyle name="Normal 3 35 3" xfId="5327"/>
    <cellStyle name="Normal 3 36" xfId="5328"/>
    <cellStyle name="Normal 3 37" xfId="5329"/>
    <cellStyle name="Normal 3 38" xfId="5330"/>
    <cellStyle name="Normal 3 39" xfId="5331"/>
    <cellStyle name="Normal 3 4" xfId="5332"/>
    <cellStyle name="Normal 3 4 10" xfId="5333"/>
    <cellStyle name="Normal 3 4 10 2" xfId="5334"/>
    <cellStyle name="Normal 3 4 10 2 2" xfId="5335"/>
    <cellStyle name="Normal 3 4 10 2 3" xfId="5336"/>
    <cellStyle name="Normal 3 4 10 3" xfId="5337"/>
    <cellStyle name="Normal 3 4 10 4" xfId="5338"/>
    <cellStyle name="Normal 3 4 11" xfId="5339"/>
    <cellStyle name="Normal 3 4 11 2" xfId="5340"/>
    <cellStyle name="Normal 3 4 11 2 2" xfId="5341"/>
    <cellStyle name="Normal 3 4 11 2 3" xfId="5342"/>
    <cellStyle name="Normal 3 4 11 3" xfId="5343"/>
    <cellStyle name="Normal 3 4 11 4" xfId="5344"/>
    <cellStyle name="Normal 3 4 12" xfId="5345"/>
    <cellStyle name="Normal 3 4 12 2" xfId="5346"/>
    <cellStyle name="Normal 3 4 12 3" xfId="5347"/>
    <cellStyle name="Normal 3 4 13" xfId="5348"/>
    <cellStyle name="Normal 3 4 14" xfId="5349"/>
    <cellStyle name="Normal 3 4 2" xfId="5350"/>
    <cellStyle name="Normal 3 4 2 2" xfId="5351"/>
    <cellStyle name="Normal 3 4 2 3" xfId="5352"/>
    <cellStyle name="Normal 3 4 2 3 2" xfId="5353"/>
    <cellStyle name="Normal 3 4 2 3 2 2" xfId="5354"/>
    <cellStyle name="Normal 3 4 2 3 2 3" xfId="5355"/>
    <cellStyle name="Normal 3 4 2 3 3" xfId="5356"/>
    <cellStyle name="Normal 3 4 2 3 4" xfId="5357"/>
    <cellStyle name="Normal 3 4 2 4" xfId="5358"/>
    <cellStyle name="Normal 3 4 2 4 2" xfId="5359"/>
    <cellStyle name="Normal 3 4 2 4 2 2" xfId="5360"/>
    <cellStyle name="Normal 3 4 2 4 2 3" xfId="5361"/>
    <cellStyle name="Normal 3 4 2 4 3" xfId="5362"/>
    <cellStyle name="Normal 3 4 2 4 4" xfId="5363"/>
    <cellStyle name="Normal 3 4 2 5" xfId="5364"/>
    <cellStyle name="Normal 3 4 2 5 2" xfId="5365"/>
    <cellStyle name="Normal 3 4 2 5 2 2" xfId="5366"/>
    <cellStyle name="Normal 3 4 2 5 2 3" xfId="5367"/>
    <cellStyle name="Normal 3 4 2 5 3" xfId="5368"/>
    <cellStyle name="Normal 3 4 2 5 4" xfId="5369"/>
    <cellStyle name="Normal 3 4 2 6" xfId="5370"/>
    <cellStyle name="Normal 3 4 2 6 2" xfId="5371"/>
    <cellStyle name="Normal 3 4 2 6 2 2" xfId="5372"/>
    <cellStyle name="Normal 3 4 2 6 2 3" xfId="5373"/>
    <cellStyle name="Normal 3 4 2 6 3" xfId="5374"/>
    <cellStyle name="Normal 3 4 2 6 4" xfId="5375"/>
    <cellStyle name="Normal 3 4 2 7" xfId="5376"/>
    <cellStyle name="Normal 3 4 2 7 2" xfId="5377"/>
    <cellStyle name="Normal 3 4 2 7 3" xfId="5378"/>
    <cellStyle name="Normal 3 4 2 8" xfId="5379"/>
    <cellStyle name="Normal 3 4 2 9" xfId="5380"/>
    <cellStyle name="Normal 3 4 3" xfId="5381"/>
    <cellStyle name="Normal 3 4 4" xfId="5382"/>
    <cellStyle name="Normal 3 4 5" xfId="5383"/>
    <cellStyle name="Normal 3 4 6" xfId="5384"/>
    <cellStyle name="Normal 3 4 7" xfId="5385"/>
    <cellStyle name="Normal 3 4 8" xfId="5386"/>
    <cellStyle name="Normal 3 4 8 2" xfId="5387"/>
    <cellStyle name="Normal 3 4 8 2 2" xfId="5388"/>
    <cellStyle name="Normal 3 4 8 2 3" xfId="5389"/>
    <cellStyle name="Normal 3 4 8 3" xfId="5390"/>
    <cellStyle name="Normal 3 4 8 4" xfId="5391"/>
    <cellStyle name="Normal 3 4 9" xfId="5392"/>
    <cellStyle name="Normal 3 4 9 2" xfId="5393"/>
    <cellStyle name="Normal 3 4 9 2 2" xfId="5394"/>
    <cellStyle name="Normal 3 4 9 2 3" xfId="5395"/>
    <cellStyle name="Normal 3 4 9 3" xfId="5396"/>
    <cellStyle name="Normal 3 4 9 4" xfId="5397"/>
    <cellStyle name="Normal 3 40" xfId="5398"/>
    <cellStyle name="Normal 3 41" xfId="5399"/>
    <cellStyle name="Normal 3 42" xfId="5400"/>
    <cellStyle name="Normal 3 43" xfId="5401"/>
    <cellStyle name="Normal 3 44" xfId="5402"/>
    <cellStyle name="Normal 3 45" xfId="5403"/>
    <cellStyle name="Normal 3 46" xfId="5404"/>
    <cellStyle name="Normal 3 47" xfId="5405"/>
    <cellStyle name="Normal 3 48" xfId="5406"/>
    <cellStyle name="Normal 3 49" xfId="5407"/>
    <cellStyle name="Normal 3 5" xfId="5408"/>
    <cellStyle name="Normal 3 5 10" xfId="5409"/>
    <cellStyle name="Normal 3 5 10 2" xfId="5410"/>
    <cellStyle name="Normal 3 5 10 2 2" xfId="5411"/>
    <cellStyle name="Normal 3 5 10 2 3" xfId="5412"/>
    <cellStyle name="Normal 3 5 10 3" xfId="5413"/>
    <cellStyle name="Normal 3 5 10 4" xfId="5414"/>
    <cellStyle name="Normal 3 5 11" xfId="5415"/>
    <cellStyle name="Normal 3 5 11 2" xfId="5416"/>
    <cellStyle name="Normal 3 5 11 2 2" xfId="5417"/>
    <cellStyle name="Normal 3 5 11 2 3" xfId="5418"/>
    <cellStyle name="Normal 3 5 11 3" xfId="5419"/>
    <cellStyle name="Normal 3 5 11 4" xfId="5420"/>
    <cellStyle name="Normal 3 5 12" xfId="5421"/>
    <cellStyle name="Normal 3 5 12 2" xfId="5422"/>
    <cellStyle name="Normal 3 5 12 3" xfId="5423"/>
    <cellStyle name="Normal 3 5 13" xfId="5424"/>
    <cellStyle name="Normal 3 5 14" xfId="5425"/>
    <cellStyle name="Normal 3 5 2" xfId="5426"/>
    <cellStyle name="Normal 3 5 2 2" xfId="5427"/>
    <cellStyle name="Normal 3 5 2 3" xfId="5428"/>
    <cellStyle name="Normal 3 5 2 3 2" xfId="5429"/>
    <cellStyle name="Normal 3 5 2 3 2 2" xfId="5430"/>
    <cellStyle name="Normal 3 5 2 3 2 3" xfId="5431"/>
    <cellStyle name="Normal 3 5 2 3 3" xfId="5432"/>
    <cellStyle name="Normal 3 5 2 3 4" xfId="5433"/>
    <cellStyle name="Normal 3 5 2 4" xfId="5434"/>
    <cellStyle name="Normal 3 5 2 4 2" xfId="5435"/>
    <cellStyle name="Normal 3 5 2 4 2 2" xfId="5436"/>
    <cellStyle name="Normal 3 5 2 4 2 3" xfId="5437"/>
    <cellStyle name="Normal 3 5 2 4 3" xfId="5438"/>
    <cellStyle name="Normal 3 5 2 4 4" xfId="5439"/>
    <cellStyle name="Normal 3 5 2 5" xfId="5440"/>
    <cellStyle name="Normal 3 5 2 5 2" xfId="5441"/>
    <cellStyle name="Normal 3 5 2 5 2 2" xfId="5442"/>
    <cellStyle name="Normal 3 5 2 5 2 3" xfId="5443"/>
    <cellStyle name="Normal 3 5 2 5 3" xfId="5444"/>
    <cellStyle name="Normal 3 5 2 5 4" xfId="5445"/>
    <cellStyle name="Normal 3 5 2 6" xfId="5446"/>
    <cellStyle name="Normal 3 5 2 6 2" xfId="5447"/>
    <cellStyle name="Normal 3 5 2 6 2 2" xfId="5448"/>
    <cellStyle name="Normal 3 5 2 6 2 3" xfId="5449"/>
    <cellStyle name="Normal 3 5 2 6 3" xfId="5450"/>
    <cellStyle name="Normal 3 5 2 6 4" xfId="5451"/>
    <cellStyle name="Normal 3 5 2 7" xfId="5452"/>
    <cellStyle name="Normal 3 5 2 7 2" xfId="5453"/>
    <cellStyle name="Normal 3 5 2 7 3" xfId="5454"/>
    <cellStyle name="Normal 3 5 2 8" xfId="5455"/>
    <cellStyle name="Normal 3 5 2 9" xfId="5456"/>
    <cellStyle name="Normal 3 5 3" xfId="5457"/>
    <cellStyle name="Normal 3 5 4" xfId="5458"/>
    <cellStyle name="Normal 3 5 5" xfId="5459"/>
    <cellStyle name="Normal 3 5 6" xfId="5460"/>
    <cellStyle name="Normal 3 5 7" xfId="5461"/>
    <cellStyle name="Normal 3 5 8" xfId="5462"/>
    <cellStyle name="Normal 3 5 8 2" xfId="5463"/>
    <cellStyle name="Normal 3 5 8 2 2" xfId="5464"/>
    <cellStyle name="Normal 3 5 8 2 3" xfId="5465"/>
    <cellStyle name="Normal 3 5 8 3" xfId="5466"/>
    <cellStyle name="Normal 3 5 8 4" xfId="5467"/>
    <cellStyle name="Normal 3 5 9" xfId="5468"/>
    <cellStyle name="Normal 3 5 9 2" xfId="5469"/>
    <cellStyle name="Normal 3 5 9 2 2" xfId="5470"/>
    <cellStyle name="Normal 3 5 9 2 3" xfId="5471"/>
    <cellStyle name="Normal 3 5 9 3" xfId="5472"/>
    <cellStyle name="Normal 3 5 9 4" xfId="5473"/>
    <cellStyle name="Normal 3 50" xfId="5474"/>
    <cellStyle name="Normal 3 51" xfId="5475"/>
    <cellStyle name="Normal 3 52" xfId="5476"/>
    <cellStyle name="Normal 3 53" xfId="5477"/>
    <cellStyle name="Normal 3 54" xfId="5478"/>
    <cellStyle name="Normal 3 55" xfId="5479"/>
    <cellStyle name="Normal 3 56" xfId="5480"/>
    <cellStyle name="Normal 3 57" xfId="5481"/>
    <cellStyle name="Normal 3 58" xfId="5482"/>
    <cellStyle name="Normal 3 59" xfId="5483"/>
    <cellStyle name="Normal 3 6" xfId="5484"/>
    <cellStyle name="Normal 3 6 10" xfId="5485"/>
    <cellStyle name="Normal 3 6 10 2" xfId="5486"/>
    <cellStyle name="Normal 3 6 10 2 2" xfId="5487"/>
    <cellStyle name="Normal 3 6 10 2 3" xfId="5488"/>
    <cellStyle name="Normal 3 6 10 3" xfId="5489"/>
    <cellStyle name="Normal 3 6 10 4" xfId="5490"/>
    <cellStyle name="Normal 3 6 11" xfId="5491"/>
    <cellStyle name="Normal 3 6 11 2" xfId="5492"/>
    <cellStyle name="Normal 3 6 11 2 2" xfId="5493"/>
    <cellStyle name="Normal 3 6 11 2 3" xfId="5494"/>
    <cellStyle name="Normal 3 6 11 3" xfId="5495"/>
    <cellStyle name="Normal 3 6 11 4" xfId="5496"/>
    <cellStyle name="Normal 3 6 12" xfId="5497"/>
    <cellStyle name="Normal 3 6 12 2" xfId="5498"/>
    <cellStyle name="Normal 3 6 12 3" xfId="5499"/>
    <cellStyle name="Normal 3 6 13" xfId="5500"/>
    <cellStyle name="Normal 3 6 14" xfId="5501"/>
    <cellStyle name="Normal 3 6 2" xfId="5502"/>
    <cellStyle name="Normal 3 6 2 2" xfId="5503"/>
    <cellStyle name="Normal 3 6 2 3" xfId="5504"/>
    <cellStyle name="Normal 3 6 2 3 2" xfId="5505"/>
    <cellStyle name="Normal 3 6 2 3 2 2" xfId="5506"/>
    <cellStyle name="Normal 3 6 2 3 2 3" xfId="5507"/>
    <cellStyle name="Normal 3 6 2 3 3" xfId="5508"/>
    <cellStyle name="Normal 3 6 2 3 4" xfId="5509"/>
    <cellStyle name="Normal 3 6 2 4" xfId="5510"/>
    <cellStyle name="Normal 3 6 2 4 2" xfId="5511"/>
    <cellStyle name="Normal 3 6 2 4 2 2" xfId="5512"/>
    <cellStyle name="Normal 3 6 2 4 2 3" xfId="5513"/>
    <cellStyle name="Normal 3 6 2 4 3" xfId="5514"/>
    <cellStyle name="Normal 3 6 2 4 4" xfId="5515"/>
    <cellStyle name="Normal 3 6 2 5" xfId="5516"/>
    <cellStyle name="Normal 3 6 2 5 2" xfId="5517"/>
    <cellStyle name="Normal 3 6 2 5 2 2" xfId="5518"/>
    <cellStyle name="Normal 3 6 2 5 2 3" xfId="5519"/>
    <cellStyle name="Normal 3 6 2 5 3" xfId="5520"/>
    <cellStyle name="Normal 3 6 2 5 4" xfId="5521"/>
    <cellStyle name="Normal 3 6 2 6" xfId="5522"/>
    <cellStyle name="Normal 3 6 2 6 2" xfId="5523"/>
    <cellStyle name="Normal 3 6 2 6 2 2" xfId="5524"/>
    <cellStyle name="Normal 3 6 2 6 2 3" xfId="5525"/>
    <cellStyle name="Normal 3 6 2 6 3" xfId="5526"/>
    <cellStyle name="Normal 3 6 2 6 4" xfId="5527"/>
    <cellStyle name="Normal 3 6 2 7" xfId="5528"/>
    <cellStyle name="Normal 3 6 2 7 2" xfId="5529"/>
    <cellStyle name="Normal 3 6 2 7 3" xfId="5530"/>
    <cellStyle name="Normal 3 6 2 8" xfId="5531"/>
    <cellStyle name="Normal 3 6 2 9" xfId="5532"/>
    <cellStyle name="Normal 3 6 3" xfId="5533"/>
    <cellStyle name="Normal 3 6 4" xfId="5534"/>
    <cellStyle name="Normal 3 6 5" xfId="5535"/>
    <cellStyle name="Normal 3 6 6" xfId="5536"/>
    <cellStyle name="Normal 3 6 7" xfId="5537"/>
    <cellStyle name="Normal 3 6 8" xfId="5538"/>
    <cellStyle name="Normal 3 6 8 2" xfId="5539"/>
    <cellStyle name="Normal 3 6 8 2 2" xfId="5540"/>
    <cellStyle name="Normal 3 6 8 2 3" xfId="5541"/>
    <cellStyle name="Normal 3 6 8 3" xfId="5542"/>
    <cellStyle name="Normal 3 6 8 4" xfId="5543"/>
    <cellStyle name="Normal 3 6 9" xfId="5544"/>
    <cellStyle name="Normal 3 6 9 2" xfId="5545"/>
    <cellStyle name="Normal 3 6 9 2 2" xfId="5546"/>
    <cellStyle name="Normal 3 6 9 2 3" xfId="5547"/>
    <cellStyle name="Normal 3 6 9 3" xfId="5548"/>
    <cellStyle name="Normal 3 6 9 4" xfId="5549"/>
    <cellStyle name="Normal 3 60" xfId="5550"/>
    <cellStyle name="Normal 3 61" xfId="5551"/>
    <cellStyle name="Normal 3 62" xfId="5552"/>
    <cellStyle name="Normal 3 63" xfId="5553"/>
    <cellStyle name="Normal 3 64" xfId="5554"/>
    <cellStyle name="Normal 3 65" xfId="5555"/>
    <cellStyle name="Normal 3 66" xfId="5556"/>
    <cellStyle name="Normal 3 7" xfId="5557"/>
    <cellStyle name="Normal 3 7 10" xfId="5558"/>
    <cellStyle name="Normal 3 7 10 2" xfId="5559"/>
    <cellStyle name="Normal 3 7 10 2 2" xfId="5560"/>
    <cellStyle name="Normal 3 7 10 2 3" xfId="5561"/>
    <cellStyle name="Normal 3 7 10 3" xfId="5562"/>
    <cellStyle name="Normal 3 7 10 4" xfId="5563"/>
    <cellStyle name="Normal 3 7 11" xfId="5564"/>
    <cellStyle name="Normal 3 7 11 2" xfId="5565"/>
    <cellStyle name="Normal 3 7 11 2 2" xfId="5566"/>
    <cellStyle name="Normal 3 7 11 2 3" xfId="5567"/>
    <cellStyle name="Normal 3 7 11 3" xfId="5568"/>
    <cellStyle name="Normal 3 7 11 4" xfId="5569"/>
    <cellStyle name="Normal 3 7 12" xfId="5570"/>
    <cellStyle name="Normal 3 7 12 2" xfId="5571"/>
    <cellStyle name="Normal 3 7 12 3" xfId="5572"/>
    <cellStyle name="Normal 3 7 13" xfId="5573"/>
    <cellStyle name="Normal 3 7 14" xfId="5574"/>
    <cellStyle name="Normal 3 7 2" xfId="5575"/>
    <cellStyle name="Normal 3 7 2 2" xfId="5576"/>
    <cellStyle name="Normal 3 7 2 3" xfId="5577"/>
    <cellStyle name="Normal 3 7 2 3 2" xfId="5578"/>
    <cellStyle name="Normal 3 7 2 3 2 2" xfId="5579"/>
    <cellStyle name="Normal 3 7 2 3 2 3" xfId="5580"/>
    <cellStyle name="Normal 3 7 2 3 3" xfId="5581"/>
    <cellStyle name="Normal 3 7 2 3 4" xfId="5582"/>
    <cellStyle name="Normal 3 7 2 4" xfId="5583"/>
    <cellStyle name="Normal 3 7 2 4 2" xfId="5584"/>
    <cellStyle name="Normal 3 7 2 4 2 2" xfId="5585"/>
    <cellStyle name="Normal 3 7 2 4 2 3" xfId="5586"/>
    <cellStyle name="Normal 3 7 2 4 3" xfId="5587"/>
    <cellStyle name="Normal 3 7 2 4 4" xfId="5588"/>
    <cellStyle name="Normal 3 7 2 5" xfId="5589"/>
    <cellStyle name="Normal 3 7 2 5 2" xfId="5590"/>
    <cellStyle name="Normal 3 7 2 5 2 2" xfId="5591"/>
    <cellStyle name="Normal 3 7 2 5 2 3" xfId="5592"/>
    <cellStyle name="Normal 3 7 2 5 3" xfId="5593"/>
    <cellStyle name="Normal 3 7 2 5 4" xfId="5594"/>
    <cellStyle name="Normal 3 7 2 6" xfId="5595"/>
    <cellStyle name="Normal 3 7 2 6 2" xfId="5596"/>
    <cellStyle name="Normal 3 7 2 6 2 2" xfId="5597"/>
    <cellStyle name="Normal 3 7 2 6 2 3" xfId="5598"/>
    <cellStyle name="Normal 3 7 2 6 3" xfId="5599"/>
    <cellStyle name="Normal 3 7 2 6 4" xfId="5600"/>
    <cellStyle name="Normal 3 7 2 7" xfId="5601"/>
    <cellStyle name="Normal 3 7 2 7 2" xfId="5602"/>
    <cellStyle name="Normal 3 7 2 7 3" xfId="5603"/>
    <cellStyle name="Normal 3 7 2 8" xfId="5604"/>
    <cellStyle name="Normal 3 7 2 9" xfId="5605"/>
    <cellStyle name="Normal 3 7 3" xfId="5606"/>
    <cellStyle name="Normal 3 7 4" xfId="5607"/>
    <cellStyle name="Normal 3 7 5" xfId="5608"/>
    <cellStyle name="Normal 3 7 6" xfId="5609"/>
    <cellStyle name="Normal 3 7 7" xfId="5610"/>
    <cellStyle name="Normal 3 7 8" xfId="5611"/>
    <cellStyle name="Normal 3 7 8 2" xfId="5612"/>
    <cellStyle name="Normal 3 7 8 2 2" xfId="5613"/>
    <cellStyle name="Normal 3 7 8 2 3" xfId="5614"/>
    <cellStyle name="Normal 3 7 8 3" xfId="5615"/>
    <cellStyle name="Normal 3 7 8 4" xfId="5616"/>
    <cellStyle name="Normal 3 7 9" xfId="5617"/>
    <cellStyle name="Normal 3 7 9 2" xfId="5618"/>
    <cellStyle name="Normal 3 7 9 2 2" xfId="5619"/>
    <cellStyle name="Normal 3 7 9 2 3" xfId="5620"/>
    <cellStyle name="Normal 3 7 9 3" xfId="5621"/>
    <cellStyle name="Normal 3 7 9 4" xfId="5622"/>
    <cellStyle name="Normal 3 8" xfId="5623"/>
    <cellStyle name="Normal 3 8 2" xfId="5624"/>
    <cellStyle name="Normal 3 8 3" xfId="5625"/>
    <cellStyle name="Normal 3 8 4" xfId="5626"/>
    <cellStyle name="Normal 3 8 5" xfId="5627"/>
    <cellStyle name="Normal 3 8 6" xfId="5628"/>
    <cellStyle name="Normal 3 8 7" xfId="5629"/>
    <cellStyle name="Normal 3 9" xfId="5630"/>
    <cellStyle name="Normal 3 9 2" xfId="5631"/>
    <cellStyle name="Normal 3 9 3" xfId="5632"/>
    <cellStyle name="Normal 3 9 4" xfId="5633"/>
    <cellStyle name="Normal 3 9 5" xfId="5634"/>
    <cellStyle name="Normal 3 9 6" xfId="5635"/>
    <cellStyle name="Normal 3 9 7" xfId="5636"/>
    <cellStyle name="Normal 30" xfId="5637"/>
    <cellStyle name="Normal 31" xfId="5638"/>
    <cellStyle name="Normal 32" xfId="5639"/>
    <cellStyle name="Normal 33" xfId="5640"/>
    <cellStyle name="Normal 34" xfId="5641"/>
    <cellStyle name="Normal 35" xfId="5642"/>
    <cellStyle name="Normal 36" xfId="5643"/>
    <cellStyle name="Normal 37" xfId="5644"/>
    <cellStyle name="Normal 38" xfId="5645"/>
    <cellStyle name="Normal 39" xfId="5646"/>
    <cellStyle name="Normal 4" xfId="5647"/>
    <cellStyle name="Normal 4 10" xfId="5648"/>
    <cellStyle name="Normal 4 11" xfId="5649"/>
    <cellStyle name="Normal 4 12" xfId="5650"/>
    <cellStyle name="Normal 4 13" xfId="5651"/>
    <cellStyle name="Normal 4 14" xfId="5652"/>
    <cellStyle name="Normal 4 15" xfId="5653"/>
    <cellStyle name="Normal 4 15 2" xfId="5654"/>
    <cellStyle name="Normal 4 15 3" xfId="5655"/>
    <cellStyle name="Normal 4 15 3 2" xfId="5656"/>
    <cellStyle name="Normal 4 15 3 2 2" xfId="5657"/>
    <cellStyle name="Normal 4 15 3 2 3" xfId="5658"/>
    <cellStyle name="Normal 4 15 3 3" xfId="5659"/>
    <cellStyle name="Normal 4 15 3 4" xfId="5660"/>
    <cellStyle name="Normal 4 15 4" xfId="5661"/>
    <cellStyle name="Normal 4 15 4 2" xfId="5662"/>
    <cellStyle name="Normal 4 15 4 2 2" xfId="5663"/>
    <cellStyle name="Normal 4 15 4 2 3" xfId="5664"/>
    <cellStyle name="Normal 4 15 4 3" xfId="5665"/>
    <cellStyle name="Normal 4 15 4 4" xfId="5666"/>
    <cellStyle name="Normal 4 15 5" xfId="5667"/>
    <cellStyle name="Normal 4 15 5 2" xfId="5668"/>
    <cellStyle name="Normal 4 15 5 2 2" xfId="5669"/>
    <cellStyle name="Normal 4 15 5 2 3" xfId="5670"/>
    <cellStyle name="Normal 4 15 5 3" xfId="5671"/>
    <cellStyle name="Normal 4 15 5 4" xfId="5672"/>
    <cellStyle name="Normal 4 15 6" xfId="5673"/>
    <cellStyle name="Normal 4 15 6 2" xfId="5674"/>
    <cellStyle name="Normal 4 15 6 2 2" xfId="5675"/>
    <cellStyle name="Normal 4 15 6 2 3" xfId="5676"/>
    <cellStyle name="Normal 4 15 6 3" xfId="5677"/>
    <cellStyle name="Normal 4 15 6 4" xfId="5678"/>
    <cellStyle name="Normal 4 15 7" xfId="5679"/>
    <cellStyle name="Normal 4 15 7 2" xfId="5680"/>
    <cellStyle name="Normal 4 15 7 3" xfId="5681"/>
    <cellStyle name="Normal 4 15 8" xfId="5682"/>
    <cellStyle name="Normal 4 15 9" xfId="5683"/>
    <cellStyle name="Normal 4 16" xfId="5684"/>
    <cellStyle name="Normal 4 17" xfId="5685"/>
    <cellStyle name="Normal 4 18" xfId="5686"/>
    <cellStyle name="Normal 4 19" xfId="5687"/>
    <cellStyle name="Normal 4 2" xfId="5688"/>
    <cellStyle name="Normal 4 20" xfId="5689"/>
    <cellStyle name="Normal 4 21" xfId="5690"/>
    <cellStyle name="Normal 4 22" xfId="5691"/>
    <cellStyle name="Normal 4 23" xfId="5692"/>
    <cellStyle name="Normal 4 24" xfId="5693"/>
    <cellStyle name="Normal 4 25" xfId="5694"/>
    <cellStyle name="Normal 4 26" xfId="5695"/>
    <cellStyle name="Normal 4 27" xfId="5696"/>
    <cellStyle name="Normal 4 27 2" xfId="5697"/>
    <cellStyle name="Normal 4 27 2 2" xfId="5698"/>
    <cellStyle name="Normal 4 27 2 3" xfId="5699"/>
    <cellStyle name="Normal 4 27 3" xfId="5700"/>
    <cellStyle name="Normal 4 27 4" xfId="5701"/>
    <cellStyle name="Normal 4 28" xfId="5702"/>
    <cellStyle name="Normal 4 28 2" xfId="5703"/>
    <cellStyle name="Normal 4 28 2 2" xfId="5704"/>
    <cellStyle name="Normal 4 28 2 3" xfId="5705"/>
    <cellStyle name="Normal 4 28 3" xfId="5706"/>
    <cellStyle name="Normal 4 28 4" xfId="5707"/>
    <cellStyle name="Normal 4 29" xfId="5708"/>
    <cellStyle name="Normal 4 29 2" xfId="5709"/>
    <cellStyle name="Normal 4 29 2 2" xfId="5710"/>
    <cellStyle name="Normal 4 29 2 3" xfId="5711"/>
    <cellStyle name="Normal 4 29 3" xfId="5712"/>
    <cellStyle name="Normal 4 29 4" xfId="5713"/>
    <cellStyle name="Normal 4 3" xfId="5714"/>
    <cellStyle name="Normal 4 3 2" xfId="5715"/>
    <cellStyle name="Normal 4 3 3" xfId="5716"/>
    <cellStyle name="Normal 4 3 4" xfId="5717"/>
    <cellStyle name="Normal 4 3 5" xfId="5718"/>
    <cellStyle name="Normal 4 3 6" xfId="5719"/>
    <cellStyle name="Normal 4 3 7" xfId="5720"/>
    <cellStyle name="Normal 4 30" xfId="5721"/>
    <cellStyle name="Normal 4 30 2" xfId="5722"/>
    <cellStyle name="Normal 4 30 2 2" xfId="5723"/>
    <cellStyle name="Normal 4 30 2 3" xfId="5724"/>
    <cellStyle name="Normal 4 30 3" xfId="5725"/>
    <cellStyle name="Normal 4 30 4" xfId="5726"/>
    <cellStyle name="Normal 4 31" xfId="5727"/>
    <cellStyle name="Normal 4 31 2" xfId="5728"/>
    <cellStyle name="Normal 4 31 3" xfId="5729"/>
    <cellStyle name="Normal 4 32" xfId="5730"/>
    <cellStyle name="Normal 4 33" xfId="5731"/>
    <cellStyle name="Normal 4 4" xfId="5732"/>
    <cellStyle name="Normal 4 4 2" xfId="5733"/>
    <cellStyle name="Normal 4 4 3" xfId="5734"/>
    <cellStyle name="Normal 4 4 4" xfId="5735"/>
    <cellStyle name="Normal 4 4 5" xfId="5736"/>
    <cellStyle name="Normal 4 4 6" xfId="5737"/>
    <cellStyle name="Normal 4 4 7" xfId="5738"/>
    <cellStyle name="Normal 4 5" xfId="5739"/>
    <cellStyle name="Normal 4 6" xfId="5740"/>
    <cellStyle name="Normal 4 7" xfId="5741"/>
    <cellStyle name="Normal 4 8" xfId="5742"/>
    <cellStyle name="Normal 4 9" xfId="5743"/>
    <cellStyle name="Normal 40" xfId="5744"/>
    <cellStyle name="Normal 41" xfId="5745"/>
    <cellStyle name="Normal 42" xfId="5746"/>
    <cellStyle name="Normal 43" xfId="5747"/>
    <cellStyle name="Normal 44" xfId="5748"/>
    <cellStyle name="Normal 45" xfId="5749"/>
    <cellStyle name="Normal 46" xfId="5750"/>
    <cellStyle name="Normal 47" xfId="5751"/>
    <cellStyle name="Normal 48" xfId="5752"/>
    <cellStyle name="Normal 49" xfId="5753"/>
    <cellStyle name="Normal 5" xfId="5754"/>
    <cellStyle name="Normal 5 10" xfId="5755"/>
    <cellStyle name="Normal 5 11" xfId="5756"/>
    <cellStyle name="Normal 5 12" xfId="5757"/>
    <cellStyle name="Normal 5 13" xfId="5758"/>
    <cellStyle name="Normal 5 14" xfId="5759"/>
    <cellStyle name="Normal 5 15" xfId="5760"/>
    <cellStyle name="Normal 5 2" xfId="5761"/>
    <cellStyle name="Normal 5 3" xfId="5762"/>
    <cellStyle name="Normal 5 4" xfId="5763"/>
    <cellStyle name="Normal 5 5" xfId="5764"/>
    <cellStyle name="Normal 5 6" xfId="5765"/>
    <cellStyle name="Normal 5 7" xfId="5766"/>
    <cellStyle name="Normal 5 8" xfId="5767"/>
    <cellStyle name="Normal 5 9" xfId="5768"/>
    <cellStyle name="Normal 50" xfId="5769"/>
    <cellStyle name="Normal 51" xfId="5770"/>
    <cellStyle name="Normal 52" xfId="5771"/>
    <cellStyle name="Normal 52 2" xfId="5772"/>
    <cellStyle name="Normal 53" xfId="5773"/>
    <cellStyle name="Normal 53 2" xfId="5774"/>
    <cellStyle name="Normal 53 3" xfId="5775"/>
    <cellStyle name="Normal 53 4" xfId="5776"/>
    <cellStyle name="Normal 53 5" xfId="5777"/>
    <cellStyle name="Normal 53 6" xfId="5778"/>
    <cellStyle name="Normal 53 7" xfId="5779"/>
    <cellStyle name="Normal 54" xfId="5780"/>
    <cellStyle name="Normal 54 2" xfId="5781"/>
    <cellStyle name="Normal 54 3" xfId="5782"/>
    <cellStyle name="Normal 54 4" xfId="5783"/>
    <cellStyle name="Normal 54 5" xfId="5784"/>
    <cellStyle name="Normal 54 6" xfId="5785"/>
    <cellStyle name="Normal 54 7" xfId="5786"/>
    <cellStyle name="Normal 55" xfId="7365"/>
    <cellStyle name="Normal 55 2" xfId="5787"/>
    <cellStyle name="Normal 55 3" xfId="5788"/>
    <cellStyle name="Normal 55 4" xfId="5789"/>
    <cellStyle name="Normal 55 5" xfId="5790"/>
    <cellStyle name="Normal 55 6" xfId="5791"/>
    <cellStyle name="Normal 55 7" xfId="5792"/>
    <cellStyle name="Normal 56" xfId="7366"/>
    <cellStyle name="Normal 56 2" xfId="5793"/>
    <cellStyle name="Normal 56 3" xfId="5794"/>
    <cellStyle name="Normal 56 4" xfId="5795"/>
    <cellStyle name="Normal 56 5" xfId="5796"/>
    <cellStyle name="Normal 56 6" xfId="5797"/>
    <cellStyle name="Normal 56 7" xfId="5798"/>
    <cellStyle name="Normal 57" xfId="7367"/>
    <cellStyle name="Normal 57 2" xfId="5799"/>
    <cellStyle name="Normal 57 3" xfId="5800"/>
    <cellStyle name="Normal 57 4" xfId="5801"/>
    <cellStyle name="Normal 57 5" xfId="5802"/>
    <cellStyle name="Normal 57 6" xfId="5803"/>
    <cellStyle name="Normal 57 7" xfId="5804"/>
    <cellStyle name="Normal 58" xfId="7392"/>
    <cellStyle name="Normal 58 2" xfId="5805"/>
    <cellStyle name="Normal 58 3" xfId="5806"/>
    <cellStyle name="Normal 58 4" xfId="5807"/>
    <cellStyle name="Normal 58 5" xfId="5808"/>
    <cellStyle name="Normal 58 6" xfId="5809"/>
    <cellStyle name="Normal 58 7" xfId="5810"/>
    <cellStyle name="Normal 6" xfId="5811"/>
    <cellStyle name="Normal 6 10" xfId="5812"/>
    <cellStyle name="Normal 6 11" xfId="5813"/>
    <cellStyle name="Normal 6 12" xfId="5814"/>
    <cellStyle name="Normal 6 13" xfId="5815"/>
    <cellStyle name="Normal 6 14" xfId="5816"/>
    <cellStyle name="Normal 6 15" xfId="5817"/>
    <cellStyle name="Normal 6 16" xfId="5818"/>
    <cellStyle name="Normal 6 17" xfId="5819"/>
    <cellStyle name="Normal 6 18" xfId="5820"/>
    <cellStyle name="Normal 6 19" xfId="5821"/>
    <cellStyle name="Normal 6 2" xfId="5822"/>
    <cellStyle name="Normal 6 20" xfId="5823"/>
    <cellStyle name="Normal 6 21" xfId="5824"/>
    <cellStyle name="Normal 6 22" xfId="5825"/>
    <cellStyle name="Normal 6 23" xfId="5826"/>
    <cellStyle name="Normal 6 24" xfId="5827"/>
    <cellStyle name="Normal 6 25" xfId="5828"/>
    <cellStyle name="Normal 6 26" xfId="5829"/>
    <cellStyle name="Normal 6 27" xfId="5830"/>
    <cellStyle name="Normal 6 28" xfId="5831"/>
    <cellStyle name="Normal 6 29" xfId="5832"/>
    <cellStyle name="Normal 6 3" xfId="5833"/>
    <cellStyle name="Normal 6 30" xfId="5834"/>
    <cellStyle name="Normal 6 31" xfId="5835"/>
    <cellStyle name="Normal 6 32" xfId="5836"/>
    <cellStyle name="Normal 6 33" xfId="5837"/>
    <cellStyle name="Normal 6 34" xfId="5838"/>
    <cellStyle name="Normal 6 35" xfId="5839"/>
    <cellStyle name="Normal 6 36" xfId="5840"/>
    <cellStyle name="Normal 6 37" xfId="5841"/>
    <cellStyle name="Normal 6 38" xfId="5842"/>
    <cellStyle name="Normal 6 39" xfId="5843"/>
    <cellStyle name="Normal 6 4" xfId="5844"/>
    <cellStyle name="Normal 6 40" xfId="5845"/>
    <cellStyle name="Normal 6 41" xfId="5846"/>
    <cellStyle name="Normal 6 42" xfId="5847"/>
    <cellStyle name="Normal 6 43" xfId="5848"/>
    <cellStyle name="Normal 6 44" xfId="5849"/>
    <cellStyle name="Normal 6 45" xfId="5850"/>
    <cellStyle name="Normal 6 46" xfId="5851"/>
    <cellStyle name="Normal 6 47" xfId="5852"/>
    <cellStyle name="Normal 6 48" xfId="5853"/>
    <cellStyle name="Normal 6 49" xfId="5854"/>
    <cellStyle name="Normal 6 5" xfId="5855"/>
    <cellStyle name="Normal 6 50" xfId="5856"/>
    <cellStyle name="Normal 6 51" xfId="5857"/>
    <cellStyle name="Normal 6 52" xfId="5858"/>
    <cellStyle name="Normal 6 53" xfId="5859"/>
    <cellStyle name="Normal 6 54" xfId="5860"/>
    <cellStyle name="Normal 6 55" xfId="5861"/>
    <cellStyle name="Normal 6 56" xfId="5862"/>
    <cellStyle name="Normal 6 57" xfId="5863"/>
    <cellStyle name="Normal 6 58" xfId="5864"/>
    <cellStyle name="Normal 6 59" xfId="5865"/>
    <cellStyle name="Normal 6 6" xfId="5866"/>
    <cellStyle name="Normal 6 60" xfId="5867"/>
    <cellStyle name="Normal 6 61" xfId="5868"/>
    <cellStyle name="Normal 6 62" xfId="5869"/>
    <cellStyle name="Normal 6 63" xfId="5870"/>
    <cellStyle name="Normal 6 64" xfId="5871"/>
    <cellStyle name="Normal 6 65" xfId="5872"/>
    <cellStyle name="Normal 6 66" xfId="5873"/>
    <cellStyle name="Normal 6 67" xfId="5874"/>
    <cellStyle name="Normal 6 68" xfId="5875"/>
    <cellStyle name="Normal 6 69" xfId="5876"/>
    <cellStyle name="Normal 6 7" xfId="5877"/>
    <cellStyle name="Normal 6 70" xfId="5878"/>
    <cellStyle name="Normal 6 71" xfId="5879"/>
    <cellStyle name="Normal 6 72" xfId="5880"/>
    <cellStyle name="Normal 6 73" xfId="5881"/>
    <cellStyle name="Normal 6 74" xfId="5882"/>
    <cellStyle name="Normal 6 75" xfId="5883"/>
    <cellStyle name="Normal 6 76" xfId="5884"/>
    <cellStyle name="Normal 6 77" xfId="5885"/>
    <cellStyle name="Normal 6 78" xfId="5886"/>
    <cellStyle name="Normal 6 79" xfId="5887"/>
    <cellStyle name="Normal 6 8" xfId="5888"/>
    <cellStyle name="Normal 6 9" xfId="5889"/>
    <cellStyle name="Normal 7" xfId="5890"/>
    <cellStyle name="Normal 7 10" xfId="5891"/>
    <cellStyle name="Normal 7 11" xfId="5892"/>
    <cellStyle name="Normal 7 12" xfId="5893"/>
    <cellStyle name="Normal 7 13" xfId="5894"/>
    <cellStyle name="Normal 7 14" xfId="5895"/>
    <cellStyle name="Normal 7 15" xfId="5896"/>
    <cellStyle name="Normal 7 15 2" xfId="5897"/>
    <cellStyle name="Normal 7 15 3" xfId="5898"/>
    <cellStyle name="Normal 7 16" xfId="5899"/>
    <cellStyle name="Normal 7 16 2" xfId="5900"/>
    <cellStyle name="Normal 7 16 3" xfId="5901"/>
    <cellStyle name="Normal 7 17" xfId="5902"/>
    <cellStyle name="Normal 7 18" xfId="5903"/>
    <cellStyle name="Normal 7 19" xfId="5904"/>
    <cellStyle name="Normal 7 2" xfId="5905"/>
    <cellStyle name="Normal 7 20" xfId="5906"/>
    <cellStyle name="Normal 7 21" xfId="5907"/>
    <cellStyle name="Normal 7 22" xfId="5908"/>
    <cellStyle name="Normal 7 23" xfId="5909"/>
    <cellStyle name="Normal 7 24" xfId="5910"/>
    <cellStyle name="Normal 7 3" xfId="5911"/>
    <cellStyle name="Normal 7 4" xfId="5912"/>
    <cellStyle name="Normal 7 5" xfId="5913"/>
    <cellStyle name="Normal 7 6" xfId="5914"/>
    <cellStyle name="Normal 7 7" xfId="5915"/>
    <cellStyle name="Normal 7 8" xfId="5916"/>
    <cellStyle name="Normal 7 9" xfId="5917"/>
    <cellStyle name="Normal 8" xfId="5918"/>
    <cellStyle name="Normal 8 10" xfId="5919"/>
    <cellStyle name="Normal 8 11" xfId="5920"/>
    <cellStyle name="Normal 8 12" xfId="5921"/>
    <cellStyle name="Normal 8 13" xfId="5922"/>
    <cellStyle name="Normal 8 14" xfId="5923"/>
    <cellStyle name="Normal 8 15" xfId="5924"/>
    <cellStyle name="Normal 8 15 2" xfId="5925"/>
    <cellStyle name="Normal 8 15 2 2" xfId="5926"/>
    <cellStyle name="Normal 8 15 2 2 2" xfId="5927"/>
    <cellStyle name="Normal 8 15 2 2 3" xfId="5928"/>
    <cellStyle name="Normal 8 15 2 3" xfId="5929"/>
    <cellStyle name="Normal 8 15 2 4" xfId="5930"/>
    <cellStyle name="Normal 8 15 3" xfId="5931"/>
    <cellStyle name="Normal 8 15 3 2" xfId="5932"/>
    <cellStyle name="Normal 8 15 3 2 2" xfId="5933"/>
    <cellStyle name="Normal 8 15 3 2 3" xfId="5934"/>
    <cellStyle name="Normal 8 15 3 3" xfId="5935"/>
    <cellStyle name="Normal 8 15 3 4" xfId="5936"/>
    <cellStyle name="Normal 8 15 4" xfId="5937"/>
    <cellStyle name="Normal 8 15 4 2" xfId="5938"/>
    <cellStyle name="Normal 8 15 4 2 2" xfId="5939"/>
    <cellStyle name="Normal 8 15 4 2 3" xfId="5940"/>
    <cellStyle name="Normal 8 15 4 3" xfId="5941"/>
    <cellStyle name="Normal 8 15 4 4" xfId="5942"/>
    <cellStyle name="Normal 8 15 5" xfId="5943"/>
    <cellStyle name="Normal 8 15 5 2" xfId="5944"/>
    <cellStyle name="Normal 8 15 5 2 2" xfId="5945"/>
    <cellStyle name="Normal 8 15 5 2 3" xfId="5946"/>
    <cellStyle name="Normal 8 15 5 3" xfId="5947"/>
    <cellStyle name="Normal 8 15 5 4" xfId="5948"/>
    <cellStyle name="Normal 8 15 6" xfId="5949"/>
    <cellStyle name="Normal 8 15 6 2" xfId="5950"/>
    <cellStyle name="Normal 8 15 6 3" xfId="5951"/>
    <cellStyle name="Normal 8 15 7" xfId="5952"/>
    <cellStyle name="Normal 8 15 8" xfId="5953"/>
    <cellStyle name="Normal 8 16" xfId="5954"/>
    <cellStyle name="Normal 8 17" xfId="5955"/>
    <cellStyle name="Normal 8 18" xfId="5956"/>
    <cellStyle name="Normal 8 19" xfId="5957"/>
    <cellStyle name="Normal 8 2" xfId="5958"/>
    <cellStyle name="Normal 8 20" xfId="5959"/>
    <cellStyle name="Normal 8 21" xfId="5960"/>
    <cellStyle name="Normal 8 21 2" xfId="5961"/>
    <cellStyle name="Normal 8 21 2 2" xfId="5962"/>
    <cellStyle name="Normal 8 21 2 3" xfId="5963"/>
    <cellStyle name="Normal 8 21 3" xfId="5964"/>
    <cellStyle name="Normal 8 21 4" xfId="5965"/>
    <cellStyle name="Normal 8 22" xfId="5966"/>
    <cellStyle name="Normal 8 22 2" xfId="5967"/>
    <cellStyle name="Normal 8 22 2 2" xfId="5968"/>
    <cellStyle name="Normal 8 22 2 3" xfId="5969"/>
    <cellStyle name="Normal 8 22 3" xfId="5970"/>
    <cellStyle name="Normal 8 22 4" xfId="5971"/>
    <cellStyle name="Normal 8 23" xfId="5972"/>
    <cellStyle name="Normal 8 23 2" xfId="5973"/>
    <cellStyle name="Normal 8 23 2 2" xfId="5974"/>
    <cellStyle name="Normal 8 23 2 3" xfId="5975"/>
    <cellStyle name="Normal 8 23 3" xfId="5976"/>
    <cellStyle name="Normal 8 23 4" xfId="5977"/>
    <cellStyle name="Normal 8 24" xfId="5978"/>
    <cellStyle name="Normal 8 24 2" xfId="5979"/>
    <cellStyle name="Normal 8 24 2 2" xfId="5980"/>
    <cellStyle name="Normal 8 24 2 3" xfId="5981"/>
    <cellStyle name="Normal 8 24 3" xfId="5982"/>
    <cellStyle name="Normal 8 24 4" xfId="5983"/>
    <cellStyle name="Normal 8 25" xfId="5984"/>
    <cellStyle name="Normal 8 25 2" xfId="5985"/>
    <cellStyle name="Normal 8 25 3" xfId="5986"/>
    <cellStyle name="Normal 8 26" xfId="5987"/>
    <cellStyle name="Normal 8 27" xfId="5988"/>
    <cellStyle name="Normal 8 3" xfId="5989"/>
    <cellStyle name="Normal 8 4" xfId="5990"/>
    <cellStyle name="Normal 8 5" xfId="5991"/>
    <cellStyle name="Normal 8 6" xfId="5992"/>
    <cellStyle name="Normal 8 7" xfId="5993"/>
    <cellStyle name="Normal 8 8" xfId="5994"/>
    <cellStyle name="Normal 8 9" xfId="5995"/>
    <cellStyle name="Normal 9" xfId="5996"/>
    <cellStyle name="Normal 9 10" xfId="5997"/>
    <cellStyle name="Normal 9 11" xfId="5998"/>
    <cellStyle name="Normal 9 12" xfId="5999"/>
    <cellStyle name="Normal 9 13" xfId="6000"/>
    <cellStyle name="Normal 9 14" xfId="6001"/>
    <cellStyle name="Normal 9 15" xfId="6002"/>
    <cellStyle name="Normal 9 16" xfId="6003"/>
    <cellStyle name="Normal 9 17" xfId="6004"/>
    <cellStyle name="Normal 9 18" xfId="6005"/>
    <cellStyle name="Normal 9 19" xfId="6006"/>
    <cellStyle name="Normal 9 2" xfId="6007"/>
    <cellStyle name="Normal 9 20" xfId="6008"/>
    <cellStyle name="Normal 9 21" xfId="6009"/>
    <cellStyle name="Normal 9 22" xfId="6010"/>
    <cellStyle name="Normal 9 23" xfId="6011"/>
    <cellStyle name="Normal 9 24" xfId="6012"/>
    <cellStyle name="Normal 9 25" xfId="6013"/>
    <cellStyle name="Normal 9 26" xfId="6014"/>
    <cellStyle name="Normal 9 27" xfId="6015"/>
    <cellStyle name="Normal 9 28" xfId="6016"/>
    <cellStyle name="Normal 9 29" xfId="6017"/>
    <cellStyle name="Normal 9 3" xfId="6018"/>
    <cellStyle name="Normal 9 30" xfId="6019"/>
    <cellStyle name="Normal 9 31" xfId="6020"/>
    <cellStyle name="Normal 9 32" xfId="6021"/>
    <cellStyle name="Normal 9 33" xfId="6022"/>
    <cellStyle name="Normal 9 34" xfId="6023"/>
    <cellStyle name="Normal 9 35" xfId="6024"/>
    <cellStyle name="Normal 9 36" xfId="6025"/>
    <cellStyle name="Normal 9 37" xfId="6026"/>
    <cellStyle name="Normal 9 37 2" xfId="6027"/>
    <cellStyle name="Normal 9 37 3" xfId="6028"/>
    <cellStyle name="Normal 9 37 3 2" xfId="6029"/>
    <cellStyle name="Normal 9 37 3 2 2" xfId="6030"/>
    <cellStyle name="Normal 9 37 3 2 3" xfId="6031"/>
    <cellStyle name="Normal 9 37 3 3" xfId="6032"/>
    <cellStyle name="Normal 9 37 3 4" xfId="6033"/>
    <cellStyle name="Normal 9 37 4" xfId="6034"/>
    <cellStyle name="Normal 9 37 4 2" xfId="6035"/>
    <cellStyle name="Normal 9 37 4 2 2" xfId="6036"/>
    <cellStyle name="Normal 9 37 4 2 3" xfId="6037"/>
    <cellStyle name="Normal 9 37 4 3" xfId="6038"/>
    <cellStyle name="Normal 9 37 4 4" xfId="6039"/>
    <cellStyle name="Normal 9 37 5" xfId="6040"/>
    <cellStyle name="Normal 9 37 5 2" xfId="6041"/>
    <cellStyle name="Normal 9 37 5 2 2" xfId="6042"/>
    <cellStyle name="Normal 9 37 5 2 3" xfId="6043"/>
    <cellStyle name="Normal 9 37 5 3" xfId="6044"/>
    <cellStyle name="Normal 9 37 5 4" xfId="6045"/>
    <cellStyle name="Normal 9 37 6" xfId="6046"/>
    <cellStyle name="Normal 9 37 6 2" xfId="6047"/>
    <cellStyle name="Normal 9 37 6 2 2" xfId="6048"/>
    <cellStyle name="Normal 9 37 6 2 3" xfId="6049"/>
    <cellStyle name="Normal 9 37 6 3" xfId="6050"/>
    <cellStyle name="Normal 9 37 6 4" xfId="6051"/>
    <cellStyle name="Normal 9 37 7" xfId="6052"/>
    <cellStyle name="Normal 9 37 7 2" xfId="6053"/>
    <cellStyle name="Normal 9 37 7 3" xfId="6054"/>
    <cellStyle name="Normal 9 37 8" xfId="6055"/>
    <cellStyle name="Normal 9 37 9" xfId="6056"/>
    <cellStyle name="Normal 9 38" xfId="6057"/>
    <cellStyle name="Normal 9 39" xfId="6058"/>
    <cellStyle name="Normal 9 4" xfId="6059"/>
    <cellStyle name="Normal 9 40" xfId="6060"/>
    <cellStyle name="Normal 9 41" xfId="6061"/>
    <cellStyle name="Normal 9 42" xfId="6062"/>
    <cellStyle name="Normal 9 43" xfId="6063"/>
    <cellStyle name="Normal 9 44" xfId="6064"/>
    <cellStyle name="Normal 9 45" xfId="6065"/>
    <cellStyle name="Normal 9 46" xfId="6066"/>
    <cellStyle name="Normal 9 47" xfId="6067"/>
    <cellStyle name="Normal 9 48" xfId="6068"/>
    <cellStyle name="Normal 9 49" xfId="6069"/>
    <cellStyle name="Normal 9 5" xfId="6070"/>
    <cellStyle name="Normal 9 50" xfId="6071"/>
    <cellStyle name="Normal 9 51" xfId="6072"/>
    <cellStyle name="Normal 9 52" xfId="6073"/>
    <cellStyle name="Normal 9 53" xfId="6074"/>
    <cellStyle name="Normal 9 54" xfId="6075"/>
    <cellStyle name="Normal 9 55" xfId="6076"/>
    <cellStyle name="Normal 9 56" xfId="6077"/>
    <cellStyle name="Normal 9 57" xfId="6078"/>
    <cellStyle name="Normal 9 58" xfId="6079"/>
    <cellStyle name="Normal 9 59" xfId="6080"/>
    <cellStyle name="Normal 9 6" xfId="6081"/>
    <cellStyle name="Normal 9 60" xfId="6082"/>
    <cellStyle name="Normal 9 61" xfId="6083"/>
    <cellStyle name="Normal 9 62" xfId="6084"/>
    <cellStyle name="Normal 9 63" xfId="6085"/>
    <cellStyle name="Normal 9 64" xfId="6086"/>
    <cellStyle name="Normal 9 65" xfId="6087"/>
    <cellStyle name="Normal 9 66" xfId="6088"/>
    <cellStyle name="Normal 9 67" xfId="6089"/>
    <cellStyle name="Normal 9 68" xfId="6090"/>
    <cellStyle name="Normal 9 69" xfId="6091"/>
    <cellStyle name="Normal 9 7" xfId="6092"/>
    <cellStyle name="Normal 9 70" xfId="6093"/>
    <cellStyle name="Normal 9 71" xfId="6094"/>
    <cellStyle name="Normal 9 72" xfId="6095"/>
    <cellStyle name="Normal 9 73" xfId="6096"/>
    <cellStyle name="Normal 9 74" xfId="6097"/>
    <cellStyle name="Normal 9 75" xfId="6098"/>
    <cellStyle name="Normal 9 76" xfId="6099"/>
    <cellStyle name="Normal 9 77" xfId="6100"/>
    <cellStyle name="Normal 9 78" xfId="6101"/>
    <cellStyle name="Normal 9 79" xfId="6102"/>
    <cellStyle name="Normal 9 8" xfId="6103"/>
    <cellStyle name="Normal 9 80" xfId="6104"/>
    <cellStyle name="Normal 9 81" xfId="6105"/>
    <cellStyle name="Normal 9 82" xfId="6106"/>
    <cellStyle name="Normal 9 83" xfId="6107"/>
    <cellStyle name="Normal 9 84" xfId="6108"/>
    <cellStyle name="Normal 9 85" xfId="6109"/>
    <cellStyle name="Normal 9 85 2" xfId="6110"/>
    <cellStyle name="Normal 9 85 2 2" xfId="6111"/>
    <cellStyle name="Normal 9 85 2 3" xfId="6112"/>
    <cellStyle name="Normal 9 85 3" xfId="6113"/>
    <cellStyle name="Normal 9 85 4" xfId="6114"/>
    <cellStyle name="Normal 9 86" xfId="6115"/>
    <cellStyle name="Normal 9 86 2" xfId="6116"/>
    <cellStyle name="Normal 9 86 2 2" xfId="6117"/>
    <cellStyle name="Normal 9 86 2 3" xfId="6118"/>
    <cellStyle name="Normal 9 86 3" xfId="6119"/>
    <cellStyle name="Normal 9 86 4" xfId="6120"/>
    <cellStyle name="Normal 9 87" xfId="6121"/>
    <cellStyle name="Normal 9 87 2" xfId="6122"/>
    <cellStyle name="Normal 9 87 2 2" xfId="6123"/>
    <cellStyle name="Normal 9 87 2 3" xfId="6124"/>
    <cellStyle name="Normal 9 87 3" xfId="6125"/>
    <cellStyle name="Normal 9 87 4" xfId="6126"/>
    <cellStyle name="Normal 9 88" xfId="6127"/>
    <cellStyle name="Normal 9 88 2" xfId="6128"/>
    <cellStyle name="Normal 9 88 2 2" xfId="6129"/>
    <cellStyle name="Normal 9 88 2 3" xfId="6130"/>
    <cellStyle name="Normal 9 88 3" xfId="6131"/>
    <cellStyle name="Normal 9 88 4" xfId="6132"/>
    <cellStyle name="Normal 9 89" xfId="6133"/>
    <cellStyle name="Normal 9 89 2" xfId="6134"/>
    <cellStyle name="Normal 9 89 3" xfId="6135"/>
    <cellStyle name="Normal 9 9" xfId="6136"/>
    <cellStyle name="Normal 9 90" xfId="6137"/>
    <cellStyle name="Normal 9 91" xfId="6138"/>
    <cellStyle name="Normál_ADKA2000 (2)" xfId="6139"/>
    <cellStyle name="Note 10" xfId="6140"/>
    <cellStyle name="Note 10 2" xfId="6141"/>
    <cellStyle name="Note 10 3" xfId="6142"/>
    <cellStyle name="Note 11" xfId="6143"/>
    <cellStyle name="Note 11 2" xfId="6144"/>
    <cellStyle name="Note 11 3" xfId="6145"/>
    <cellStyle name="Note 2" xfId="6146"/>
    <cellStyle name="Note 2 10" xfId="6147"/>
    <cellStyle name="Note 2 10 2" xfId="6148"/>
    <cellStyle name="Note 2 10 3" xfId="6149"/>
    <cellStyle name="Note 2 11" xfId="6150"/>
    <cellStyle name="Note 2 12" xfId="6151"/>
    <cellStyle name="Note 2 2" xfId="6152"/>
    <cellStyle name="Note 2 2 2" xfId="6153"/>
    <cellStyle name="Note 2 2 2 2" xfId="6154"/>
    <cellStyle name="Note 2 2 2 2 2" xfId="6155"/>
    <cellStyle name="Note 2 2 2 2 2 2" xfId="6156"/>
    <cellStyle name="Note 2 2 2 2 2 3" xfId="6157"/>
    <cellStyle name="Note 2 2 2 2 3" xfId="6158"/>
    <cellStyle name="Note 2 2 2 2 4" xfId="6159"/>
    <cellStyle name="Note 2 2 2 3" xfId="6160"/>
    <cellStyle name="Note 2 2 2 3 2" xfId="6161"/>
    <cellStyle name="Note 2 2 2 3 2 2" xfId="6162"/>
    <cellStyle name="Note 2 2 2 3 2 3" xfId="6163"/>
    <cellStyle name="Note 2 2 2 3 3" xfId="6164"/>
    <cellStyle name="Note 2 2 2 3 4" xfId="6165"/>
    <cellStyle name="Note 2 2 2 4" xfId="6166"/>
    <cellStyle name="Note 2 2 2 4 2" xfId="6167"/>
    <cellStyle name="Note 2 2 2 4 2 2" xfId="6168"/>
    <cellStyle name="Note 2 2 2 4 2 3" xfId="6169"/>
    <cellStyle name="Note 2 2 2 4 3" xfId="6170"/>
    <cellStyle name="Note 2 2 2 4 4" xfId="6171"/>
    <cellStyle name="Note 2 2 2 5" xfId="6172"/>
    <cellStyle name="Note 2 2 2 5 2" xfId="6173"/>
    <cellStyle name="Note 2 2 2 5 2 2" xfId="6174"/>
    <cellStyle name="Note 2 2 2 5 2 3" xfId="6175"/>
    <cellStyle name="Note 2 2 2 5 3" xfId="6176"/>
    <cellStyle name="Note 2 2 2 5 4" xfId="6177"/>
    <cellStyle name="Note 2 2 2 6" xfId="6178"/>
    <cellStyle name="Note 2 2 2 6 2" xfId="6179"/>
    <cellStyle name="Note 2 2 2 6 3" xfId="6180"/>
    <cellStyle name="Note 2 2 2 7" xfId="6181"/>
    <cellStyle name="Note 2 2 2 8" xfId="6182"/>
    <cellStyle name="Note 2 2 3" xfId="6183"/>
    <cellStyle name="Note 2 2 3 2" xfId="6184"/>
    <cellStyle name="Note 2 2 3 2 2" xfId="6185"/>
    <cellStyle name="Note 2 2 3 2 3" xfId="6186"/>
    <cellStyle name="Note 2 2 3 3" xfId="6187"/>
    <cellStyle name="Note 2 2 3 4" xfId="6188"/>
    <cellStyle name="Note 2 2 4" xfId="6189"/>
    <cellStyle name="Note 2 2 4 2" xfId="6190"/>
    <cellStyle name="Note 2 2 4 2 2" xfId="6191"/>
    <cellStyle name="Note 2 2 4 2 3" xfId="6192"/>
    <cellStyle name="Note 2 2 4 3" xfId="6193"/>
    <cellStyle name="Note 2 2 4 4" xfId="6194"/>
    <cellStyle name="Note 2 2 5" xfId="6195"/>
    <cellStyle name="Note 2 2 5 2" xfId="6196"/>
    <cellStyle name="Note 2 2 5 2 2" xfId="6197"/>
    <cellStyle name="Note 2 2 5 2 3" xfId="6198"/>
    <cellStyle name="Note 2 2 5 3" xfId="6199"/>
    <cellStyle name="Note 2 2 5 4" xfId="6200"/>
    <cellStyle name="Note 2 2 6" xfId="6201"/>
    <cellStyle name="Note 2 2 6 2" xfId="6202"/>
    <cellStyle name="Note 2 2 6 2 2" xfId="6203"/>
    <cellStyle name="Note 2 2 6 2 3" xfId="6204"/>
    <cellStyle name="Note 2 2 6 3" xfId="6205"/>
    <cellStyle name="Note 2 2 6 4" xfId="6206"/>
    <cellStyle name="Note 2 2 7" xfId="6207"/>
    <cellStyle name="Note 2 2 7 2" xfId="6208"/>
    <cellStyle name="Note 2 2 7 3" xfId="6209"/>
    <cellStyle name="Note 2 2 8" xfId="6210"/>
    <cellStyle name="Note 2 2 9" xfId="6211"/>
    <cellStyle name="Note 2 3" xfId="6212"/>
    <cellStyle name="Note 2 3 2" xfId="6213"/>
    <cellStyle name="Note 2 3 2 2" xfId="6214"/>
    <cellStyle name="Note 2 3 2 2 2" xfId="6215"/>
    <cellStyle name="Note 2 3 2 2 2 2" xfId="6216"/>
    <cellStyle name="Note 2 3 2 2 2 3" xfId="6217"/>
    <cellStyle name="Note 2 3 2 2 3" xfId="6218"/>
    <cellStyle name="Note 2 3 2 2 4" xfId="6219"/>
    <cellStyle name="Note 2 3 2 3" xfId="6220"/>
    <cellStyle name="Note 2 3 2 3 2" xfId="6221"/>
    <cellStyle name="Note 2 3 2 3 2 2" xfId="6222"/>
    <cellStyle name="Note 2 3 2 3 2 3" xfId="6223"/>
    <cellStyle name="Note 2 3 2 3 3" xfId="6224"/>
    <cellStyle name="Note 2 3 2 3 4" xfId="6225"/>
    <cellStyle name="Note 2 3 2 4" xfId="6226"/>
    <cellStyle name="Note 2 3 2 4 2" xfId="6227"/>
    <cellStyle name="Note 2 3 2 4 2 2" xfId="6228"/>
    <cellStyle name="Note 2 3 2 4 2 3" xfId="6229"/>
    <cellStyle name="Note 2 3 2 4 3" xfId="6230"/>
    <cellStyle name="Note 2 3 2 4 4" xfId="6231"/>
    <cellStyle name="Note 2 3 2 5" xfId="6232"/>
    <cellStyle name="Note 2 3 2 5 2" xfId="6233"/>
    <cellStyle name="Note 2 3 2 5 2 2" xfId="6234"/>
    <cellStyle name="Note 2 3 2 5 2 3" xfId="6235"/>
    <cellStyle name="Note 2 3 2 5 3" xfId="6236"/>
    <cellStyle name="Note 2 3 2 5 4" xfId="6237"/>
    <cellStyle name="Note 2 3 2 6" xfId="6238"/>
    <cellStyle name="Note 2 3 2 6 2" xfId="6239"/>
    <cellStyle name="Note 2 3 2 6 3" xfId="6240"/>
    <cellStyle name="Note 2 3 2 7" xfId="6241"/>
    <cellStyle name="Note 2 3 2 8" xfId="6242"/>
    <cellStyle name="Note 2 3 3" xfId="6243"/>
    <cellStyle name="Note 2 3 3 2" xfId="6244"/>
    <cellStyle name="Note 2 3 3 2 2" xfId="6245"/>
    <cellStyle name="Note 2 3 3 2 3" xfId="6246"/>
    <cellStyle name="Note 2 3 3 3" xfId="6247"/>
    <cellStyle name="Note 2 3 3 4" xfId="6248"/>
    <cellStyle name="Note 2 3 4" xfId="6249"/>
    <cellStyle name="Note 2 3 4 2" xfId="6250"/>
    <cellStyle name="Note 2 3 4 2 2" xfId="6251"/>
    <cellStyle name="Note 2 3 4 2 3" xfId="6252"/>
    <cellStyle name="Note 2 3 4 3" xfId="6253"/>
    <cellStyle name="Note 2 3 4 4" xfId="6254"/>
    <cellStyle name="Note 2 3 5" xfId="6255"/>
    <cellStyle name="Note 2 3 5 2" xfId="6256"/>
    <cellStyle name="Note 2 3 5 2 2" xfId="6257"/>
    <cellStyle name="Note 2 3 5 2 3" xfId="6258"/>
    <cellStyle name="Note 2 3 5 3" xfId="6259"/>
    <cellStyle name="Note 2 3 5 4" xfId="6260"/>
    <cellStyle name="Note 2 3 6" xfId="6261"/>
    <cellStyle name="Note 2 3 6 2" xfId="6262"/>
    <cellStyle name="Note 2 3 6 2 2" xfId="6263"/>
    <cellStyle name="Note 2 3 6 2 3" xfId="6264"/>
    <cellStyle name="Note 2 3 6 3" xfId="6265"/>
    <cellStyle name="Note 2 3 6 4" xfId="6266"/>
    <cellStyle name="Note 2 3 7" xfId="6267"/>
    <cellStyle name="Note 2 3 7 2" xfId="6268"/>
    <cellStyle name="Note 2 3 7 3" xfId="6269"/>
    <cellStyle name="Note 2 3 8" xfId="6270"/>
    <cellStyle name="Note 2 3 9" xfId="6271"/>
    <cellStyle name="Note 2 4" xfId="6272"/>
    <cellStyle name="Note 2 4 2" xfId="6273"/>
    <cellStyle name="Note 2 4 2 2" xfId="6274"/>
    <cellStyle name="Note 2 4 2 2 2" xfId="6275"/>
    <cellStyle name="Note 2 4 2 2 2 2" xfId="6276"/>
    <cellStyle name="Note 2 4 2 2 2 3" xfId="6277"/>
    <cellStyle name="Note 2 4 2 2 3" xfId="6278"/>
    <cellStyle name="Note 2 4 2 2 4" xfId="6279"/>
    <cellStyle name="Note 2 4 2 3" xfId="6280"/>
    <cellStyle name="Note 2 4 2 3 2" xfId="6281"/>
    <cellStyle name="Note 2 4 2 3 2 2" xfId="6282"/>
    <cellStyle name="Note 2 4 2 3 2 3" xfId="6283"/>
    <cellStyle name="Note 2 4 2 3 3" xfId="6284"/>
    <cellStyle name="Note 2 4 2 3 4" xfId="6285"/>
    <cellStyle name="Note 2 4 2 4" xfId="6286"/>
    <cellStyle name="Note 2 4 2 4 2" xfId="6287"/>
    <cellStyle name="Note 2 4 2 4 2 2" xfId="6288"/>
    <cellStyle name="Note 2 4 2 4 2 3" xfId="6289"/>
    <cellStyle name="Note 2 4 2 4 3" xfId="6290"/>
    <cellStyle name="Note 2 4 2 4 4" xfId="6291"/>
    <cellStyle name="Note 2 4 2 5" xfId="6292"/>
    <cellStyle name="Note 2 4 2 5 2" xfId="6293"/>
    <cellStyle name="Note 2 4 2 5 2 2" xfId="6294"/>
    <cellStyle name="Note 2 4 2 5 2 3" xfId="6295"/>
    <cellStyle name="Note 2 4 2 5 3" xfId="6296"/>
    <cellStyle name="Note 2 4 2 5 4" xfId="6297"/>
    <cellStyle name="Note 2 4 2 6" xfId="6298"/>
    <cellStyle name="Note 2 4 2 6 2" xfId="6299"/>
    <cellStyle name="Note 2 4 2 6 3" xfId="6300"/>
    <cellStyle name="Note 2 4 2 7" xfId="6301"/>
    <cellStyle name="Note 2 4 2 8" xfId="6302"/>
    <cellStyle name="Note 2 4 3" xfId="6303"/>
    <cellStyle name="Note 2 4 3 2" xfId="6304"/>
    <cellStyle name="Note 2 4 3 2 2" xfId="6305"/>
    <cellStyle name="Note 2 4 3 2 3" xfId="6306"/>
    <cellStyle name="Note 2 4 3 3" xfId="6307"/>
    <cellStyle name="Note 2 4 3 4" xfId="6308"/>
    <cellStyle name="Note 2 4 4" xfId="6309"/>
    <cellStyle name="Note 2 4 4 2" xfId="6310"/>
    <cellStyle name="Note 2 4 4 2 2" xfId="6311"/>
    <cellStyle name="Note 2 4 4 2 3" xfId="6312"/>
    <cellStyle name="Note 2 4 4 3" xfId="6313"/>
    <cellStyle name="Note 2 4 4 4" xfId="6314"/>
    <cellStyle name="Note 2 4 5" xfId="6315"/>
    <cellStyle name="Note 2 4 5 2" xfId="6316"/>
    <cellStyle name="Note 2 4 5 2 2" xfId="6317"/>
    <cellStyle name="Note 2 4 5 2 3" xfId="6318"/>
    <cellStyle name="Note 2 4 5 3" xfId="6319"/>
    <cellStyle name="Note 2 4 5 4" xfId="6320"/>
    <cellStyle name="Note 2 4 6" xfId="6321"/>
    <cellStyle name="Note 2 4 6 2" xfId="6322"/>
    <cellStyle name="Note 2 4 6 2 2" xfId="6323"/>
    <cellStyle name="Note 2 4 6 2 3" xfId="6324"/>
    <cellStyle name="Note 2 4 6 3" xfId="6325"/>
    <cellStyle name="Note 2 4 6 4" xfId="6326"/>
    <cellStyle name="Note 2 4 7" xfId="6327"/>
    <cellStyle name="Note 2 4 7 2" xfId="6328"/>
    <cellStyle name="Note 2 4 7 3" xfId="6329"/>
    <cellStyle name="Note 2 4 8" xfId="6330"/>
    <cellStyle name="Note 2 4 9" xfId="6331"/>
    <cellStyle name="Note 2 5" xfId="6332"/>
    <cellStyle name="Note 2 5 2" xfId="6333"/>
    <cellStyle name="Note 2 5 2 2" xfId="6334"/>
    <cellStyle name="Note 2 5 2 2 2" xfId="6335"/>
    <cellStyle name="Note 2 5 2 2 3" xfId="6336"/>
    <cellStyle name="Note 2 5 2 3" xfId="6337"/>
    <cellStyle name="Note 2 5 2 4" xfId="6338"/>
    <cellStyle name="Note 2 5 3" xfId="6339"/>
    <cellStyle name="Note 2 5 3 2" xfId="6340"/>
    <cellStyle name="Note 2 5 3 2 2" xfId="6341"/>
    <cellStyle name="Note 2 5 3 2 3" xfId="6342"/>
    <cellStyle name="Note 2 5 3 3" xfId="6343"/>
    <cellStyle name="Note 2 5 3 4" xfId="6344"/>
    <cellStyle name="Note 2 5 4" xfId="6345"/>
    <cellStyle name="Note 2 5 4 2" xfId="6346"/>
    <cellStyle name="Note 2 5 4 2 2" xfId="6347"/>
    <cellStyle name="Note 2 5 4 2 3" xfId="6348"/>
    <cellStyle name="Note 2 5 4 3" xfId="6349"/>
    <cellStyle name="Note 2 5 4 4" xfId="6350"/>
    <cellStyle name="Note 2 5 5" xfId="6351"/>
    <cellStyle name="Note 2 5 5 2" xfId="6352"/>
    <cellStyle name="Note 2 5 5 2 2" xfId="6353"/>
    <cellStyle name="Note 2 5 5 2 3" xfId="6354"/>
    <cellStyle name="Note 2 5 5 3" xfId="6355"/>
    <cellStyle name="Note 2 5 5 4" xfId="6356"/>
    <cellStyle name="Note 2 5 6" xfId="6357"/>
    <cellStyle name="Note 2 5 6 2" xfId="6358"/>
    <cellStyle name="Note 2 5 6 3" xfId="6359"/>
    <cellStyle name="Note 2 5 7" xfId="6360"/>
    <cellStyle name="Note 2 5 8" xfId="6361"/>
    <cellStyle name="Note 2 6" xfId="6362"/>
    <cellStyle name="Note 2 6 2" xfId="6363"/>
    <cellStyle name="Note 2 6 2 2" xfId="6364"/>
    <cellStyle name="Note 2 6 2 3" xfId="6365"/>
    <cellStyle name="Note 2 6 3" xfId="6366"/>
    <cellStyle name="Note 2 6 4" xfId="6367"/>
    <cellStyle name="Note 2 7" xfId="6368"/>
    <cellStyle name="Note 2 7 2" xfId="6369"/>
    <cellStyle name="Note 2 7 2 2" xfId="6370"/>
    <cellStyle name="Note 2 7 2 3" xfId="6371"/>
    <cellStyle name="Note 2 7 3" xfId="6372"/>
    <cellStyle name="Note 2 7 4" xfId="6373"/>
    <cellStyle name="Note 2 8" xfId="6374"/>
    <cellStyle name="Note 2 8 2" xfId="6375"/>
    <cellStyle name="Note 2 8 2 2" xfId="6376"/>
    <cellStyle name="Note 2 8 2 3" xfId="6377"/>
    <cellStyle name="Note 2 8 3" xfId="6378"/>
    <cellStyle name="Note 2 8 4" xfId="6379"/>
    <cellStyle name="Note 2 9" xfId="6380"/>
    <cellStyle name="Note 2 9 2" xfId="6381"/>
    <cellStyle name="Note 2 9 2 2" xfId="6382"/>
    <cellStyle name="Note 2 9 2 3" xfId="6383"/>
    <cellStyle name="Note 2 9 3" xfId="6384"/>
    <cellStyle name="Note 2 9 4" xfId="6385"/>
    <cellStyle name="Note 3" xfId="6386"/>
    <cellStyle name="Note 3 2" xfId="6387"/>
    <cellStyle name="Note 3 2 2" xfId="6388"/>
    <cellStyle name="Note 3 2 2 2" xfId="6389"/>
    <cellStyle name="Note 3 2 2 2 2" xfId="6390"/>
    <cellStyle name="Note 3 2 2 2 3" xfId="6391"/>
    <cellStyle name="Note 3 2 2 3" xfId="6392"/>
    <cellStyle name="Note 3 2 2 4" xfId="6393"/>
    <cellStyle name="Note 3 2 3" xfId="6394"/>
    <cellStyle name="Note 3 2 3 2" xfId="6395"/>
    <cellStyle name="Note 3 2 3 2 2" xfId="6396"/>
    <cellStyle name="Note 3 2 3 2 3" xfId="6397"/>
    <cellStyle name="Note 3 2 3 3" xfId="6398"/>
    <cellStyle name="Note 3 2 3 4" xfId="6399"/>
    <cellStyle name="Note 3 2 4" xfId="6400"/>
    <cellStyle name="Note 3 2 4 2" xfId="6401"/>
    <cellStyle name="Note 3 2 4 2 2" xfId="6402"/>
    <cellStyle name="Note 3 2 4 2 3" xfId="6403"/>
    <cellStyle name="Note 3 2 4 3" xfId="6404"/>
    <cellStyle name="Note 3 2 4 4" xfId="6405"/>
    <cellStyle name="Note 3 2 5" xfId="6406"/>
    <cellStyle name="Note 3 2 5 2" xfId="6407"/>
    <cellStyle name="Note 3 2 5 2 2" xfId="6408"/>
    <cellStyle name="Note 3 2 5 2 3" xfId="6409"/>
    <cellStyle name="Note 3 2 5 3" xfId="6410"/>
    <cellStyle name="Note 3 2 5 4" xfId="6411"/>
    <cellStyle name="Note 3 2 6" xfId="6412"/>
    <cellStyle name="Note 3 2 6 2" xfId="6413"/>
    <cellStyle name="Note 3 2 6 3" xfId="6414"/>
    <cellStyle name="Note 3 2 7" xfId="6415"/>
    <cellStyle name="Note 3 2 8" xfId="6416"/>
    <cellStyle name="Note 3 3" xfId="6417"/>
    <cellStyle name="Note 3 3 2" xfId="6418"/>
    <cellStyle name="Note 3 3 2 2" xfId="6419"/>
    <cellStyle name="Note 3 3 2 3" xfId="6420"/>
    <cellStyle name="Note 3 3 3" xfId="6421"/>
    <cellStyle name="Note 3 3 4" xfId="6422"/>
    <cellStyle name="Note 3 4" xfId="6423"/>
    <cellStyle name="Note 3 4 2" xfId="6424"/>
    <cellStyle name="Note 3 4 2 2" xfId="6425"/>
    <cellStyle name="Note 3 4 2 3" xfId="6426"/>
    <cellStyle name="Note 3 4 3" xfId="6427"/>
    <cellStyle name="Note 3 4 4" xfId="6428"/>
    <cellStyle name="Note 3 5" xfId="6429"/>
    <cellStyle name="Note 3 5 2" xfId="6430"/>
    <cellStyle name="Note 3 5 2 2" xfId="6431"/>
    <cellStyle name="Note 3 5 2 3" xfId="6432"/>
    <cellStyle name="Note 3 5 3" xfId="6433"/>
    <cellStyle name="Note 3 5 4" xfId="6434"/>
    <cellStyle name="Note 3 6" xfId="6435"/>
    <cellStyle name="Note 3 6 2" xfId="6436"/>
    <cellStyle name="Note 3 6 2 2" xfId="6437"/>
    <cellStyle name="Note 3 6 2 3" xfId="6438"/>
    <cellStyle name="Note 3 6 3" xfId="6439"/>
    <cellStyle name="Note 3 6 4" xfId="6440"/>
    <cellStyle name="Note 3 7" xfId="6441"/>
    <cellStyle name="Note 3 7 2" xfId="6442"/>
    <cellStyle name="Note 3 7 3" xfId="6443"/>
    <cellStyle name="Note 3 8" xfId="6444"/>
    <cellStyle name="Note 3 9" xfId="6445"/>
    <cellStyle name="Note 4" xfId="6446"/>
    <cellStyle name="Note 4 2" xfId="6447"/>
    <cellStyle name="Note 4 2 2" xfId="6448"/>
    <cellStyle name="Note 4 2 2 2" xfId="6449"/>
    <cellStyle name="Note 4 2 2 2 2" xfId="6450"/>
    <cellStyle name="Note 4 2 2 2 3" xfId="6451"/>
    <cellStyle name="Note 4 2 2 3" xfId="6452"/>
    <cellStyle name="Note 4 2 2 4" xfId="6453"/>
    <cellStyle name="Note 4 2 3" xfId="6454"/>
    <cellStyle name="Note 4 2 3 2" xfId="6455"/>
    <cellStyle name="Note 4 2 3 2 2" xfId="6456"/>
    <cellStyle name="Note 4 2 3 2 3" xfId="6457"/>
    <cellStyle name="Note 4 2 3 3" xfId="6458"/>
    <cellStyle name="Note 4 2 3 4" xfId="6459"/>
    <cellStyle name="Note 4 2 4" xfId="6460"/>
    <cellStyle name="Note 4 2 4 2" xfId="6461"/>
    <cellStyle name="Note 4 2 4 2 2" xfId="6462"/>
    <cellStyle name="Note 4 2 4 2 3" xfId="6463"/>
    <cellStyle name="Note 4 2 4 3" xfId="6464"/>
    <cellStyle name="Note 4 2 4 4" xfId="6465"/>
    <cellStyle name="Note 4 2 5" xfId="6466"/>
    <cellStyle name="Note 4 2 5 2" xfId="6467"/>
    <cellStyle name="Note 4 2 5 2 2" xfId="6468"/>
    <cellStyle name="Note 4 2 5 2 3" xfId="6469"/>
    <cellStyle name="Note 4 2 5 3" xfId="6470"/>
    <cellStyle name="Note 4 2 5 4" xfId="6471"/>
    <cellStyle name="Note 4 2 6" xfId="6472"/>
    <cellStyle name="Note 4 2 6 2" xfId="6473"/>
    <cellStyle name="Note 4 2 6 3" xfId="6474"/>
    <cellStyle name="Note 4 2 7" xfId="6475"/>
    <cellStyle name="Note 4 2 8" xfId="6476"/>
    <cellStyle name="Note 4 3" xfId="6477"/>
    <cellStyle name="Note 4 3 2" xfId="6478"/>
    <cellStyle name="Note 4 3 2 2" xfId="6479"/>
    <cellStyle name="Note 4 3 2 3" xfId="6480"/>
    <cellStyle name="Note 4 3 3" xfId="6481"/>
    <cellStyle name="Note 4 3 4" xfId="6482"/>
    <cellStyle name="Note 4 4" xfId="6483"/>
    <cellStyle name="Note 4 4 2" xfId="6484"/>
    <cellStyle name="Note 4 4 2 2" xfId="6485"/>
    <cellStyle name="Note 4 4 2 3" xfId="6486"/>
    <cellStyle name="Note 4 4 3" xfId="6487"/>
    <cellStyle name="Note 4 4 4" xfId="6488"/>
    <cellStyle name="Note 4 5" xfId="6489"/>
    <cellStyle name="Note 4 5 2" xfId="6490"/>
    <cellStyle name="Note 4 5 2 2" xfId="6491"/>
    <cellStyle name="Note 4 5 2 3" xfId="6492"/>
    <cellStyle name="Note 4 5 3" xfId="6493"/>
    <cellStyle name="Note 4 5 4" xfId="6494"/>
    <cellStyle name="Note 4 6" xfId="6495"/>
    <cellStyle name="Note 4 6 2" xfId="6496"/>
    <cellStyle name="Note 4 6 2 2" xfId="6497"/>
    <cellStyle name="Note 4 6 2 3" xfId="6498"/>
    <cellStyle name="Note 4 6 3" xfId="6499"/>
    <cellStyle name="Note 4 6 4" xfId="6500"/>
    <cellStyle name="Note 4 7" xfId="6501"/>
    <cellStyle name="Note 4 7 2" xfId="6502"/>
    <cellStyle name="Note 4 7 3" xfId="6503"/>
    <cellStyle name="Note 4 8" xfId="6504"/>
    <cellStyle name="Note 4 9" xfId="6505"/>
    <cellStyle name="Note 5" xfId="6506"/>
    <cellStyle name="Note 5 2" xfId="6507"/>
    <cellStyle name="Note 5 2 2" xfId="6508"/>
    <cellStyle name="Note 5 2 2 2" xfId="6509"/>
    <cellStyle name="Note 5 2 2 2 2" xfId="6510"/>
    <cellStyle name="Note 5 2 2 2 3" xfId="6511"/>
    <cellStyle name="Note 5 2 2 3" xfId="6512"/>
    <cellStyle name="Note 5 2 2 4" xfId="6513"/>
    <cellStyle name="Note 5 2 3" xfId="6514"/>
    <cellStyle name="Note 5 2 3 2" xfId="6515"/>
    <cellStyle name="Note 5 2 3 2 2" xfId="6516"/>
    <cellStyle name="Note 5 2 3 2 3" xfId="6517"/>
    <cellStyle name="Note 5 2 3 3" xfId="6518"/>
    <cellStyle name="Note 5 2 3 4" xfId="6519"/>
    <cellStyle name="Note 5 2 4" xfId="6520"/>
    <cellStyle name="Note 5 2 4 2" xfId="6521"/>
    <cellStyle name="Note 5 2 4 2 2" xfId="6522"/>
    <cellStyle name="Note 5 2 4 2 3" xfId="6523"/>
    <cellStyle name="Note 5 2 4 3" xfId="6524"/>
    <cellStyle name="Note 5 2 4 4" xfId="6525"/>
    <cellStyle name="Note 5 2 5" xfId="6526"/>
    <cellStyle name="Note 5 2 5 2" xfId="6527"/>
    <cellStyle name="Note 5 2 5 2 2" xfId="6528"/>
    <cellStyle name="Note 5 2 5 2 3" xfId="6529"/>
    <cellStyle name="Note 5 2 5 3" xfId="6530"/>
    <cellStyle name="Note 5 2 5 4" xfId="6531"/>
    <cellStyle name="Note 5 2 6" xfId="6532"/>
    <cellStyle name="Note 5 2 6 2" xfId="6533"/>
    <cellStyle name="Note 5 2 6 3" xfId="6534"/>
    <cellStyle name="Note 5 2 7" xfId="6535"/>
    <cellStyle name="Note 5 2 8" xfId="6536"/>
    <cellStyle name="Note 5 3" xfId="6537"/>
    <cellStyle name="Note 5 3 2" xfId="6538"/>
    <cellStyle name="Note 5 3 2 2" xfId="6539"/>
    <cellStyle name="Note 5 3 2 3" xfId="6540"/>
    <cellStyle name="Note 5 3 3" xfId="6541"/>
    <cellStyle name="Note 5 3 4" xfId="6542"/>
    <cellStyle name="Note 5 4" xfId="6543"/>
    <cellStyle name="Note 5 4 2" xfId="6544"/>
    <cellStyle name="Note 5 4 2 2" xfId="6545"/>
    <cellStyle name="Note 5 4 2 3" xfId="6546"/>
    <cellStyle name="Note 5 4 3" xfId="6547"/>
    <cellStyle name="Note 5 4 4" xfId="6548"/>
    <cellStyle name="Note 5 5" xfId="6549"/>
    <cellStyle name="Note 5 5 2" xfId="6550"/>
    <cellStyle name="Note 5 5 2 2" xfId="6551"/>
    <cellStyle name="Note 5 5 2 3" xfId="6552"/>
    <cellStyle name="Note 5 5 3" xfId="6553"/>
    <cellStyle name="Note 5 5 4" xfId="6554"/>
    <cellStyle name="Note 5 6" xfId="6555"/>
    <cellStyle name="Note 5 6 2" xfId="6556"/>
    <cellStyle name="Note 5 6 2 2" xfId="6557"/>
    <cellStyle name="Note 5 6 2 3" xfId="6558"/>
    <cellStyle name="Note 5 6 3" xfId="6559"/>
    <cellStyle name="Note 5 6 4" xfId="6560"/>
    <cellStyle name="Note 5 7" xfId="6561"/>
    <cellStyle name="Note 5 7 2" xfId="6562"/>
    <cellStyle name="Note 5 7 3" xfId="6563"/>
    <cellStyle name="Note 5 8" xfId="6564"/>
    <cellStyle name="Note 5 9" xfId="6565"/>
    <cellStyle name="Note 6" xfId="6566"/>
    <cellStyle name="Note 6 2" xfId="6567"/>
    <cellStyle name="Note 6 3" xfId="6568"/>
    <cellStyle name="Note 7" xfId="6569"/>
    <cellStyle name="Note 7 2" xfId="6570"/>
    <cellStyle name="Note 7 3" xfId="6571"/>
    <cellStyle name="Note 8" xfId="6572"/>
    <cellStyle name="Note 8 2" xfId="6573"/>
    <cellStyle name="Note 8 3" xfId="6574"/>
    <cellStyle name="Note 9" xfId="6575"/>
    <cellStyle name="Note 9 2" xfId="6576"/>
    <cellStyle name="Note 9 3" xfId="6577"/>
    <cellStyle name="Nuovo" xfId="6578"/>
    <cellStyle name="Output 2" xfId="6579"/>
    <cellStyle name="Percent" xfId="3" builtinId="5"/>
    <cellStyle name="Percent 10" xfId="6580"/>
    <cellStyle name="Percent 10 2" xfId="6581"/>
    <cellStyle name="Percent 10 2 2" xfId="6582"/>
    <cellStyle name="Percent 10 2 2 2" xfId="6583"/>
    <cellStyle name="Percent 10 2 2 3" xfId="6584"/>
    <cellStyle name="Percent 10 2 3" xfId="6585"/>
    <cellStyle name="Percent 10 2 4" xfId="6586"/>
    <cellStyle name="Percent 10 3" xfId="6587"/>
    <cellStyle name="Percent 10 3 2" xfId="6588"/>
    <cellStyle name="Percent 10 3 2 2" xfId="6589"/>
    <cellStyle name="Percent 10 3 2 3" xfId="6590"/>
    <cellStyle name="Percent 10 3 3" xfId="6591"/>
    <cellStyle name="Percent 10 3 4" xfId="6592"/>
    <cellStyle name="Percent 10 4" xfId="6593"/>
    <cellStyle name="Percent 10 4 2" xfId="6594"/>
    <cellStyle name="Percent 10 4 2 2" xfId="6595"/>
    <cellStyle name="Percent 10 4 2 3" xfId="6596"/>
    <cellStyle name="Percent 10 4 3" xfId="6597"/>
    <cellStyle name="Percent 10 4 4" xfId="6598"/>
    <cellStyle name="Percent 10 5" xfId="6599"/>
    <cellStyle name="Percent 10 5 2" xfId="6600"/>
    <cellStyle name="Percent 10 5 2 2" xfId="6601"/>
    <cellStyle name="Percent 10 5 2 3" xfId="6602"/>
    <cellStyle name="Percent 10 5 3" xfId="6603"/>
    <cellStyle name="Percent 10 5 4" xfId="6604"/>
    <cellStyle name="Percent 10 6" xfId="6605"/>
    <cellStyle name="Percent 10 6 2" xfId="6606"/>
    <cellStyle name="Percent 10 6 3" xfId="6607"/>
    <cellStyle name="Percent 10 7" xfId="6608"/>
    <cellStyle name="Percent 10 8" xfId="6609"/>
    <cellStyle name="Percent 11" xfId="6610"/>
    <cellStyle name="Percent 12" xfId="6611"/>
    <cellStyle name="Percent 12 2" xfId="6612"/>
    <cellStyle name="Percent 12 3" xfId="6613"/>
    <cellStyle name="Percent 13" xfId="6614"/>
    <cellStyle name="Percent 13 2" xfId="6615"/>
    <cellStyle name="Percent 13 3" xfId="6616"/>
    <cellStyle name="Percent 14" xfId="6617"/>
    <cellStyle name="Percent 15" xfId="6618"/>
    <cellStyle name="Percent 16" xfId="6619"/>
    <cellStyle name="Percent 17" xfId="6620"/>
    <cellStyle name="Percent 18" xfId="6621"/>
    <cellStyle name="Percent 19" xfId="6622"/>
    <cellStyle name="Percent 2" xfId="6623"/>
    <cellStyle name="Percent 2 10" xfId="6624"/>
    <cellStyle name="Percent 2 10 2" xfId="6625"/>
    <cellStyle name="Percent 2 10 2 2" xfId="6626"/>
    <cellStyle name="Percent 2 10 2 2 2" xfId="6627"/>
    <cellStyle name="Percent 2 10 2 2 3" xfId="6628"/>
    <cellStyle name="Percent 2 10 2 3" xfId="6629"/>
    <cellStyle name="Percent 2 10 2 4" xfId="6630"/>
    <cellStyle name="Percent 2 10 3" xfId="6631"/>
    <cellStyle name="Percent 2 10 3 2" xfId="6632"/>
    <cellStyle name="Percent 2 10 3 2 2" xfId="6633"/>
    <cellStyle name="Percent 2 10 3 2 3" xfId="6634"/>
    <cellStyle name="Percent 2 10 3 3" xfId="6635"/>
    <cellStyle name="Percent 2 10 3 4" xfId="6636"/>
    <cellStyle name="Percent 2 10 4" xfId="6637"/>
    <cellStyle name="Percent 2 10 4 2" xfId="6638"/>
    <cellStyle name="Percent 2 10 4 2 2" xfId="6639"/>
    <cellStyle name="Percent 2 10 4 2 3" xfId="6640"/>
    <cellStyle name="Percent 2 10 4 3" xfId="6641"/>
    <cellStyle name="Percent 2 10 4 4" xfId="6642"/>
    <cellStyle name="Percent 2 10 5" xfId="6643"/>
    <cellStyle name="Percent 2 10 5 2" xfId="6644"/>
    <cellStyle name="Percent 2 10 5 2 2" xfId="6645"/>
    <cellStyle name="Percent 2 10 5 2 3" xfId="6646"/>
    <cellStyle name="Percent 2 10 5 3" xfId="6647"/>
    <cellStyle name="Percent 2 10 5 4" xfId="6648"/>
    <cellStyle name="Percent 2 10 6" xfId="6649"/>
    <cellStyle name="Percent 2 10 6 2" xfId="6650"/>
    <cellStyle name="Percent 2 10 6 3" xfId="6651"/>
    <cellStyle name="Percent 2 10 7" xfId="6652"/>
    <cellStyle name="Percent 2 10 8" xfId="6653"/>
    <cellStyle name="Percent 2 11" xfId="6654"/>
    <cellStyle name="Percent 2 11 2" xfId="6655"/>
    <cellStyle name="Percent 2 11 2 2" xfId="6656"/>
    <cellStyle name="Percent 2 11 2 2 2" xfId="6657"/>
    <cellStyle name="Percent 2 11 2 2 3" xfId="6658"/>
    <cellStyle name="Percent 2 11 2 3" xfId="6659"/>
    <cellStyle name="Percent 2 11 2 4" xfId="6660"/>
    <cellStyle name="Percent 2 11 3" xfId="6661"/>
    <cellStyle name="Percent 2 11 3 2" xfId="6662"/>
    <cellStyle name="Percent 2 11 3 2 2" xfId="6663"/>
    <cellStyle name="Percent 2 11 3 2 3" xfId="6664"/>
    <cellStyle name="Percent 2 11 3 3" xfId="6665"/>
    <cellStyle name="Percent 2 11 3 4" xfId="6666"/>
    <cellStyle name="Percent 2 11 4" xfId="6667"/>
    <cellStyle name="Percent 2 11 4 2" xfId="6668"/>
    <cellStyle name="Percent 2 11 4 2 2" xfId="6669"/>
    <cellStyle name="Percent 2 11 4 2 3" xfId="6670"/>
    <cellStyle name="Percent 2 11 4 3" xfId="6671"/>
    <cellStyle name="Percent 2 11 4 4" xfId="6672"/>
    <cellStyle name="Percent 2 11 5" xfId="6673"/>
    <cellStyle name="Percent 2 11 5 2" xfId="6674"/>
    <cellStyle name="Percent 2 11 5 2 2" xfId="6675"/>
    <cellStyle name="Percent 2 11 5 2 3" xfId="6676"/>
    <cellStyle name="Percent 2 11 5 3" xfId="6677"/>
    <cellStyle name="Percent 2 11 5 4" xfId="6678"/>
    <cellStyle name="Percent 2 11 6" xfId="6679"/>
    <cellStyle name="Percent 2 11 6 2" xfId="6680"/>
    <cellStyle name="Percent 2 11 6 3" xfId="6681"/>
    <cellStyle name="Percent 2 11 7" xfId="6682"/>
    <cellStyle name="Percent 2 11 8" xfId="6683"/>
    <cellStyle name="Percent 2 12" xfId="6684"/>
    <cellStyle name="Percent 2 12 2" xfId="6685"/>
    <cellStyle name="Percent 2 12 2 2" xfId="6686"/>
    <cellStyle name="Percent 2 12 2 2 2" xfId="6687"/>
    <cellStyle name="Percent 2 12 2 2 3" xfId="6688"/>
    <cellStyle name="Percent 2 12 2 3" xfId="6689"/>
    <cellStyle name="Percent 2 12 2 4" xfId="6690"/>
    <cellStyle name="Percent 2 12 3" xfId="6691"/>
    <cellStyle name="Percent 2 12 3 2" xfId="6692"/>
    <cellStyle name="Percent 2 12 3 2 2" xfId="6693"/>
    <cellStyle name="Percent 2 12 3 2 3" xfId="6694"/>
    <cellStyle name="Percent 2 12 3 3" xfId="6695"/>
    <cellStyle name="Percent 2 12 3 4" xfId="6696"/>
    <cellStyle name="Percent 2 12 4" xfId="6697"/>
    <cellStyle name="Percent 2 12 4 2" xfId="6698"/>
    <cellStyle name="Percent 2 12 4 2 2" xfId="6699"/>
    <cellStyle name="Percent 2 12 4 2 3" xfId="6700"/>
    <cellStyle name="Percent 2 12 4 3" xfId="6701"/>
    <cellStyle name="Percent 2 12 4 4" xfId="6702"/>
    <cellStyle name="Percent 2 12 5" xfId="6703"/>
    <cellStyle name="Percent 2 12 5 2" xfId="6704"/>
    <cellStyle name="Percent 2 12 5 2 2" xfId="6705"/>
    <cellStyle name="Percent 2 12 5 2 3" xfId="6706"/>
    <cellStyle name="Percent 2 12 5 3" xfId="6707"/>
    <cellStyle name="Percent 2 12 5 4" xfId="6708"/>
    <cellStyle name="Percent 2 12 6" xfId="6709"/>
    <cellStyle name="Percent 2 12 6 2" xfId="6710"/>
    <cellStyle name="Percent 2 12 6 3" xfId="6711"/>
    <cellStyle name="Percent 2 12 7" xfId="6712"/>
    <cellStyle name="Percent 2 12 8" xfId="6713"/>
    <cellStyle name="Percent 2 13" xfId="6714"/>
    <cellStyle name="Percent 2 13 2" xfId="6715"/>
    <cellStyle name="Percent 2 13 2 2" xfId="6716"/>
    <cellStyle name="Percent 2 13 2 2 2" xfId="6717"/>
    <cellStyle name="Percent 2 13 2 2 3" xfId="6718"/>
    <cellStyle name="Percent 2 13 2 3" xfId="6719"/>
    <cellStyle name="Percent 2 13 2 4" xfId="6720"/>
    <cellStyle name="Percent 2 13 3" xfId="6721"/>
    <cellStyle name="Percent 2 13 3 2" xfId="6722"/>
    <cellStyle name="Percent 2 13 3 2 2" xfId="6723"/>
    <cellStyle name="Percent 2 13 3 2 3" xfId="6724"/>
    <cellStyle name="Percent 2 13 3 3" xfId="6725"/>
    <cellStyle name="Percent 2 13 3 4" xfId="6726"/>
    <cellStyle name="Percent 2 13 4" xfId="6727"/>
    <cellStyle name="Percent 2 13 4 2" xfId="6728"/>
    <cellStyle name="Percent 2 13 4 2 2" xfId="6729"/>
    <cellStyle name="Percent 2 13 4 2 3" xfId="6730"/>
    <cellStyle name="Percent 2 13 4 3" xfId="6731"/>
    <cellStyle name="Percent 2 13 4 4" xfId="6732"/>
    <cellStyle name="Percent 2 13 5" xfId="6733"/>
    <cellStyle name="Percent 2 13 5 2" xfId="6734"/>
    <cellStyle name="Percent 2 13 5 2 2" xfId="6735"/>
    <cellStyle name="Percent 2 13 5 2 3" xfId="6736"/>
    <cellStyle name="Percent 2 13 5 3" xfId="6737"/>
    <cellStyle name="Percent 2 13 5 4" xfId="6738"/>
    <cellStyle name="Percent 2 13 6" xfId="6739"/>
    <cellStyle name="Percent 2 13 6 2" xfId="6740"/>
    <cellStyle name="Percent 2 13 6 3" xfId="6741"/>
    <cellStyle name="Percent 2 13 7" xfId="6742"/>
    <cellStyle name="Percent 2 13 8" xfId="6743"/>
    <cellStyle name="Percent 2 14" xfId="6744"/>
    <cellStyle name="Percent 2 15" xfId="6745"/>
    <cellStyle name="Percent 2 16" xfId="6746"/>
    <cellStyle name="Percent 2 17" xfId="6747"/>
    <cellStyle name="Percent 2 18" xfId="6748"/>
    <cellStyle name="Percent 2 19" xfId="6749"/>
    <cellStyle name="Percent 2 2" xfId="6750"/>
    <cellStyle name="Percent 2 2 10" xfId="6751"/>
    <cellStyle name="Percent 2 2 10 2" xfId="9049"/>
    <cellStyle name="Percent 2 2 10 2 2" xfId="9050"/>
    <cellStyle name="Percent 2 2 10 2 2 2" xfId="9051"/>
    <cellStyle name="Percent 2 2 10 2 2 2 2" xfId="9052"/>
    <cellStyle name="Percent 2 2 10 2 2 2 3" xfId="9053"/>
    <cellStyle name="Percent 2 2 10 2 2 2 4" xfId="9054"/>
    <cellStyle name="Percent 2 2 10 2 2 2 5" xfId="9055"/>
    <cellStyle name="Percent 2 2 10 2 2 2 6" xfId="9056"/>
    <cellStyle name="Percent 2 2 10 2 2 3" xfId="9057"/>
    <cellStyle name="Percent 2 2 10 2 2 4" xfId="9058"/>
    <cellStyle name="Percent 2 2 10 2 2 5" xfId="9059"/>
    <cellStyle name="Percent 2 2 10 2 2 6" xfId="9060"/>
    <cellStyle name="Percent 2 2 10 2 3" xfId="9061"/>
    <cellStyle name="Percent 2 2 10 2 4" xfId="9062"/>
    <cellStyle name="Percent 2 2 10 2 5" xfId="9063"/>
    <cellStyle name="Percent 2 2 10 2 6" xfId="9064"/>
    <cellStyle name="Percent 2 2 10 2 7" xfId="9065"/>
    <cellStyle name="Percent 2 2 10 3" xfId="9066"/>
    <cellStyle name="Percent 2 2 10 4" xfId="9067"/>
    <cellStyle name="Percent 2 2 10 4 2" xfId="9068"/>
    <cellStyle name="Percent 2 2 10 4 3" xfId="9069"/>
    <cellStyle name="Percent 2 2 10 4 4" xfId="9070"/>
    <cellStyle name="Percent 2 2 10 4 5" xfId="9071"/>
    <cellStyle name="Percent 2 2 10 4 6" xfId="9072"/>
    <cellStyle name="Percent 2 2 10 5" xfId="9073"/>
    <cellStyle name="Percent 2 2 10 6" xfId="9074"/>
    <cellStyle name="Percent 2 2 10 7" xfId="9075"/>
    <cellStyle name="Percent 2 2 10 8" xfId="9076"/>
    <cellStyle name="Percent 2 2 100" xfId="9077"/>
    <cellStyle name="Percent 2 2 101" xfId="9078"/>
    <cellStyle name="Percent 2 2 102" xfId="9079"/>
    <cellStyle name="Percent 2 2 103" xfId="9080"/>
    <cellStyle name="Percent 2 2 104" xfId="9081"/>
    <cellStyle name="Percent 2 2 105" xfId="9082"/>
    <cellStyle name="Percent 2 2 106" xfId="9083"/>
    <cellStyle name="Percent 2 2 107" xfId="9084"/>
    <cellStyle name="Percent 2 2 108" xfId="9085"/>
    <cellStyle name="Percent 2 2 109" xfId="9086"/>
    <cellStyle name="Percent 2 2 11" xfId="6752"/>
    <cellStyle name="Percent 2 2 110" xfId="9087"/>
    <cellStyle name="Percent 2 2 111" xfId="9088"/>
    <cellStyle name="Percent 2 2 112" xfId="9089"/>
    <cellStyle name="Percent 2 2 113" xfId="9090"/>
    <cellStyle name="Percent 2 2 114" xfId="9091"/>
    <cellStyle name="Percent 2 2 115" xfId="9092"/>
    <cellStyle name="Percent 2 2 116" xfId="9093"/>
    <cellStyle name="Percent 2 2 117" xfId="9094"/>
    <cellStyle name="Percent 2 2 118" xfId="9095"/>
    <cellStyle name="Percent 2 2 118 2" xfId="9096"/>
    <cellStyle name="Percent 2 2 119" xfId="9097"/>
    <cellStyle name="Percent 2 2 12" xfId="6753"/>
    <cellStyle name="Percent 2 2 120" xfId="9098"/>
    <cellStyle name="Percent 2 2 121" xfId="9099"/>
    <cellStyle name="Percent 2 2 122" xfId="9100"/>
    <cellStyle name="Percent 2 2 123" xfId="9101"/>
    <cellStyle name="Percent 2 2 124" xfId="9102"/>
    <cellStyle name="Percent 2 2 125" xfId="9103"/>
    <cellStyle name="Percent 2 2 126" xfId="9104"/>
    <cellStyle name="Percent 2 2 13" xfId="6754"/>
    <cellStyle name="Percent 2 2 14" xfId="6755"/>
    <cellStyle name="Percent 2 2 15" xfId="6756"/>
    <cellStyle name="Percent 2 2 15 2" xfId="6757"/>
    <cellStyle name="Percent 2 2 15 2 2" xfId="6758"/>
    <cellStyle name="Percent 2 2 15 2 3" xfId="6759"/>
    <cellStyle name="Percent 2 2 15 3" xfId="6760"/>
    <cellStyle name="Percent 2 2 15 4" xfId="6761"/>
    <cellStyle name="Percent 2 2 16" xfId="6762"/>
    <cellStyle name="Percent 2 2 16 2" xfId="6763"/>
    <cellStyle name="Percent 2 2 16 2 2" xfId="6764"/>
    <cellStyle name="Percent 2 2 16 2 2 2" xfId="9105"/>
    <cellStyle name="Percent 2 2 16 2 2 3" xfId="9106"/>
    <cellStyle name="Percent 2 2 16 2 2 4" xfId="9107"/>
    <cellStyle name="Percent 2 2 16 2 2 5" xfId="9108"/>
    <cellStyle name="Percent 2 2 16 2 2 6" xfId="9109"/>
    <cellStyle name="Percent 2 2 16 2 3" xfId="6765"/>
    <cellStyle name="Percent 2 2 16 2 4" xfId="9110"/>
    <cellStyle name="Percent 2 2 16 2 5" xfId="9111"/>
    <cellStyle name="Percent 2 2 16 2 6" xfId="9112"/>
    <cellStyle name="Percent 2 2 16 3" xfId="6766"/>
    <cellStyle name="Percent 2 2 16 4" xfId="6767"/>
    <cellStyle name="Percent 2 2 16 5" xfId="9113"/>
    <cellStyle name="Percent 2 2 16 6" xfId="9114"/>
    <cellStyle name="Percent 2 2 16 7" xfId="9115"/>
    <cellStyle name="Percent 2 2 17" xfId="6768"/>
    <cellStyle name="Percent 2 2 17 2" xfId="6769"/>
    <cellStyle name="Percent 2 2 17 2 2" xfId="6770"/>
    <cellStyle name="Percent 2 2 17 2 3" xfId="6771"/>
    <cellStyle name="Percent 2 2 17 3" xfId="6772"/>
    <cellStyle name="Percent 2 2 17 4" xfId="6773"/>
    <cellStyle name="Percent 2 2 17 5" xfId="9116"/>
    <cellStyle name="Percent 2 2 17 6" xfId="9117"/>
    <cellStyle name="Percent 2 2 18" xfId="6774"/>
    <cellStyle name="Percent 2 2 18 2" xfId="6775"/>
    <cellStyle name="Percent 2 2 18 2 2" xfId="6776"/>
    <cellStyle name="Percent 2 2 18 2 3" xfId="6777"/>
    <cellStyle name="Percent 2 2 18 3" xfId="6778"/>
    <cellStyle name="Percent 2 2 18 4" xfId="6779"/>
    <cellStyle name="Percent 2 2 19" xfId="9118"/>
    <cellStyle name="Percent 2 2 2" xfId="6780"/>
    <cellStyle name="Percent 2 2 2 10" xfId="6781"/>
    <cellStyle name="Percent 2 2 2 2" xfId="6782"/>
    <cellStyle name="Percent 2 2 2 3" xfId="6783"/>
    <cellStyle name="Percent 2 2 2 4" xfId="6784"/>
    <cellStyle name="Percent 2 2 2 5" xfId="6785"/>
    <cellStyle name="Percent 2 2 2 6" xfId="6786"/>
    <cellStyle name="Percent 2 2 2 7" xfId="6787"/>
    <cellStyle name="Percent 2 2 2 8" xfId="6788"/>
    <cellStyle name="Percent 2 2 2 9" xfId="6789"/>
    <cellStyle name="Percent 2 2 20" xfId="9119"/>
    <cellStyle name="Percent 2 2 21" xfId="9120"/>
    <cellStyle name="Percent 2 2 22" xfId="9121"/>
    <cellStyle name="Percent 2 2 23" xfId="9122"/>
    <cellStyle name="Percent 2 2 24" xfId="9123"/>
    <cellStyle name="Percent 2 2 25" xfId="9124"/>
    <cellStyle name="Percent 2 2 26" xfId="9125"/>
    <cellStyle name="Percent 2 2 27" xfId="9126"/>
    <cellStyle name="Percent 2 2 28" xfId="9127"/>
    <cellStyle name="Percent 2 2 29" xfId="9128"/>
    <cellStyle name="Percent 2 2 3" xfId="6790"/>
    <cellStyle name="Percent 2 2 30" xfId="9129"/>
    <cellStyle name="Percent 2 2 31" xfId="9130"/>
    <cellStyle name="Percent 2 2 32" xfId="9131"/>
    <cellStyle name="Percent 2 2 33" xfId="9132"/>
    <cellStyle name="Percent 2 2 34" xfId="9133"/>
    <cellStyle name="Percent 2 2 35" xfId="9134"/>
    <cellStyle name="Percent 2 2 36" xfId="9135"/>
    <cellStyle name="Percent 2 2 37" xfId="9136"/>
    <cellStyle name="Percent 2 2 38" xfId="9137"/>
    <cellStyle name="Percent 2 2 39" xfId="9138"/>
    <cellStyle name="Percent 2 2 4" xfId="6791"/>
    <cellStyle name="Percent 2 2 40" xfId="9139"/>
    <cellStyle name="Percent 2 2 41" xfId="9140"/>
    <cellStyle name="Percent 2 2 42" xfId="9141"/>
    <cellStyle name="Percent 2 2 43" xfId="9142"/>
    <cellStyle name="Percent 2 2 44" xfId="9143"/>
    <cellStyle name="Percent 2 2 45" xfId="9144"/>
    <cellStyle name="Percent 2 2 46" xfId="9145"/>
    <cellStyle name="Percent 2 2 47" xfId="9146"/>
    <cellStyle name="Percent 2 2 48" xfId="9147"/>
    <cellStyle name="Percent 2 2 49" xfId="9148"/>
    <cellStyle name="Percent 2 2 5" xfId="6792"/>
    <cellStyle name="Percent 2 2 50" xfId="9149"/>
    <cellStyle name="Percent 2 2 51" xfId="9150"/>
    <cellStyle name="Percent 2 2 52" xfId="9151"/>
    <cellStyle name="Percent 2 2 53" xfId="9152"/>
    <cellStyle name="Percent 2 2 54" xfId="9153"/>
    <cellStyle name="Percent 2 2 55" xfId="9154"/>
    <cellStyle name="Percent 2 2 56" xfId="9155"/>
    <cellStyle name="Percent 2 2 57" xfId="9156"/>
    <cellStyle name="Percent 2 2 58" xfId="9157"/>
    <cellStyle name="Percent 2 2 59" xfId="9158"/>
    <cellStyle name="Percent 2 2 6" xfId="6793"/>
    <cellStyle name="Percent 2 2 60" xfId="9159"/>
    <cellStyle name="Percent 2 2 61" xfId="9160"/>
    <cellStyle name="Percent 2 2 62" xfId="9161"/>
    <cellStyle name="Percent 2 2 63" xfId="9162"/>
    <cellStyle name="Percent 2 2 64" xfId="9163"/>
    <cellStyle name="Percent 2 2 65" xfId="9164"/>
    <cellStyle name="Percent 2 2 66" xfId="9165"/>
    <cellStyle name="Percent 2 2 67" xfId="9166"/>
    <cellStyle name="Percent 2 2 68" xfId="9167"/>
    <cellStyle name="Percent 2 2 69" xfId="9168"/>
    <cellStyle name="Percent 2 2 7" xfId="6794"/>
    <cellStyle name="Percent 2 2 70" xfId="9169"/>
    <cellStyle name="Percent 2 2 71" xfId="9170"/>
    <cellStyle name="Percent 2 2 72" xfId="9171"/>
    <cellStyle name="Percent 2 2 73" xfId="9172"/>
    <cellStyle name="Percent 2 2 74" xfId="9173"/>
    <cellStyle name="Percent 2 2 75" xfId="9174"/>
    <cellStyle name="Percent 2 2 76" xfId="9175"/>
    <cellStyle name="Percent 2 2 77" xfId="9176"/>
    <cellStyle name="Percent 2 2 78" xfId="9177"/>
    <cellStyle name="Percent 2 2 79" xfId="9178"/>
    <cellStyle name="Percent 2 2 8" xfId="6795"/>
    <cellStyle name="Percent 2 2 80" xfId="9179"/>
    <cellStyle name="Percent 2 2 81" xfId="9180"/>
    <cellStyle name="Percent 2 2 82" xfId="9181"/>
    <cellStyle name="Percent 2 2 83" xfId="9182"/>
    <cellStyle name="Percent 2 2 84" xfId="9183"/>
    <cellStyle name="Percent 2 2 85" xfId="9184"/>
    <cellStyle name="Percent 2 2 86" xfId="9185"/>
    <cellStyle name="Percent 2 2 87" xfId="9186"/>
    <cellStyle name="Percent 2 2 88" xfId="9187"/>
    <cellStyle name="Percent 2 2 89" xfId="9188"/>
    <cellStyle name="Percent 2 2 9" xfId="6796"/>
    <cellStyle name="Percent 2 2 90" xfId="9189"/>
    <cellStyle name="Percent 2 2 91" xfId="9190"/>
    <cellStyle name="Percent 2 2 92" xfId="9191"/>
    <cellStyle name="Percent 2 2 93" xfId="9192"/>
    <cellStyle name="Percent 2 2 94" xfId="9193"/>
    <cellStyle name="Percent 2 2 95" xfId="9194"/>
    <cellStyle name="Percent 2 2 96" xfId="9195"/>
    <cellStyle name="Percent 2 2 97" xfId="9196"/>
    <cellStyle name="Percent 2 2 98" xfId="9197"/>
    <cellStyle name="Percent 2 2 99" xfId="9198"/>
    <cellStyle name="Percent 2 20" xfId="6797"/>
    <cellStyle name="Percent 2 21" xfId="6798"/>
    <cellStyle name="Percent 2 22" xfId="6799"/>
    <cellStyle name="Percent 2 23" xfId="6800"/>
    <cellStyle name="Percent 2 24" xfId="6801"/>
    <cellStyle name="Percent 2 24 2" xfId="6802"/>
    <cellStyle name="Percent 2 24 3" xfId="6803"/>
    <cellStyle name="Percent 2 25" xfId="6804"/>
    <cellStyle name="Percent 2 26" xfId="6805"/>
    <cellStyle name="Percent 2 3" xfId="6806"/>
    <cellStyle name="Percent 2 3 2" xfId="6807"/>
    <cellStyle name="Percent 2 3 2 2" xfId="6808"/>
    <cellStyle name="Percent 2 3 2 2 2" xfId="6809"/>
    <cellStyle name="Percent 2 3 2 2 2 2" xfId="6810"/>
    <cellStyle name="Percent 2 3 2 2 2 3" xfId="6811"/>
    <cellStyle name="Percent 2 3 2 2 2 4" xfId="9199"/>
    <cellStyle name="Percent 2 3 2 2 2 5" xfId="9200"/>
    <cellStyle name="Percent 2 3 2 2 2 6" xfId="9201"/>
    <cellStyle name="Percent 2 3 2 2 3" xfId="6812"/>
    <cellStyle name="Percent 2 3 2 2 4" xfId="6813"/>
    <cellStyle name="Percent 2 3 2 2 5" xfId="9202"/>
    <cellStyle name="Percent 2 3 2 2 6" xfId="9203"/>
    <cellStyle name="Percent 2 3 2 3" xfId="6814"/>
    <cellStyle name="Percent 2 3 2 3 2" xfId="6815"/>
    <cellStyle name="Percent 2 3 2 3 2 2" xfId="6816"/>
    <cellStyle name="Percent 2 3 2 3 2 3" xfId="6817"/>
    <cellStyle name="Percent 2 3 2 3 3" xfId="6818"/>
    <cellStyle name="Percent 2 3 2 3 4" xfId="6819"/>
    <cellStyle name="Percent 2 3 2 4" xfId="6820"/>
    <cellStyle name="Percent 2 3 2 4 2" xfId="6821"/>
    <cellStyle name="Percent 2 3 2 4 2 2" xfId="6822"/>
    <cellStyle name="Percent 2 3 2 4 2 3" xfId="6823"/>
    <cellStyle name="Percent 2 3 2 4 3" xfId="6824"/>
    <cellStyle name="Percent 2 3 2 4 4" xfId="6825"/>
    <cellStyle name="Percent 2 3 2 5" xfId="6826"/>
    <cellStyle name="Percent 2 3 2 5 2" xfId="6827"/>
    <cellStyle name="Percent 2 3 2 5 2 2" xfId="6828"/>
    <cellStyle name="Percent 2 3 2 5 2 3" xfId="6829"/>
    <cellStyle name="Percent 2 3 2 5 3" xfId="6830"/>
    <cellStyle name="Percent 2 3 2 5 4" xfId="6831"/>
    <cellStyle name="Percent 2 3 2 6" xfId="6832"/>
    <cellStyle name="Percent 2 3 2 6 2" xfId="6833"/>
    <cellStyle name="Percent 2 3 2 6 3" xfId="6834"/>
    <cellStyle name="Percent 2 3 2 7" xfId="6835"/>
    <cellStyle name="Percent 2 3 2 8" xfId="6836"/>
    <cellStyle name="Percent 2 3 3" xfId="6837"/>
    <cellStyle name="Percent 2 3 3 2" xfId="6838"/>
    <cellStyle name="Percent 2 3 3 2 2" xfId="6839"/>
    <cellStyle name="Percent 2 3 3 2 3" xfId="6840"/>
    <cellStyle name="Percent 2 3 3 3" xfId="6841"/>
    <cellStyle name="Percent 2 3 3 4" xfId="6842"/>
    <cellStyle name="Percent 2 3 4" xfId="6843"/>
    <cellStyle name="Percent 2 3 4 2" xfId="6844"/>
    <cellStyle name="Percent 2 3 4 2 2" xfId="6845"/>
    <cellStyle name="Percent 2 3 4 2 3" xfId="6846"/>
    <cellStyle name="Percent 2 3 4 3" xfId="6847"/>
    <cellStyle name="Percent 2 3 4 4" xfId="6848"/>
    <cellStyle name="Percent 2 3 4 5" xfId="9204"/>
    <cellStyle name="Percent 2 3 4 6" xfId="9205"/>
    <cellStyle name="Percent 2 3 5" xfId="6849"/>
    <cellStyle name="Percent 2 3 5 2" xfId="6850"/>
    <cellStyle name="Percent 2 3 5 2 2" xfId="6851"/>
    <cellStyle name="Percent 2 3 5 2 3" xfId="6852"/>
    <cellStyle name="Percent 2 3 5 3" xfId="6853"/>
    <cellStyle name="Percent 2 3 5 4" xfId="6854"/>
    <cellStyle name="Percent 2 3 6" xfId="6855"/>
    <cellStyle name="Percent 2 3 6 2" xfId="6856"/>
    <cellStyle name="Percent 2 3 6 2 2" xfId="6857"/>
    <cellStyle name="Percent 2 3 6 2 3" xfId="6858"/>
    <cellStyle name="Percent 2 3 6 3" xfId="6859"/>
    <cellStyle name="Percent 2 3 6 4" xfId="6860"/>
    <cellStyle name="Percent 2 3 7" xfId="6861"/>
    <cellStyle name="Percent 2 3 7 2" xfId="6862"/>
    <cellStyle name="Percent 2 3 7 3" xfId="6863"/>
    <cellStyle name="Percent 2 3 8" xfId="6864"/>
    <cellStyle name="Percent 2 3 9" xfId="6865"/>
    <cellStyle name="Percent 2 4" xfId="6866"/>
    <cellStyle name="Percent 2 4 2" xfId="6867"/>
    <cellStyle name="Percent 2 4 2 2" xfId="6868"/>
    <cellStyle name="Percent 2 4 2 2 2" xfId="6869"/>
    <cellStyle name="Percent 2 4 2 2 2 2" xfId="6870"/>
    <cellStyle name="Percent 2 4 2 2 2 3" xfId="6871"/>
    <cellStyle name="Percent 2 4 2 2 3" xfId="6872"/>
    <cellStyle name="Percent 2 4 2 2 4" xfId="6873"/>
    <cellStyle name="Percent 2 4 2 3" xfId="6874"/>
    <cellStyle name="Percent 2 4 2 3 2" xfId="6875"/>
    <cellStyle name="Percent 2 4 2 3 2 2" xfId="6876"/>
    <cellStyle name="Percent 2 4 2 3 2 3" xfId="6877"/>
    <cellStyle name="Percent 2 4 2 3 3" xfId="6878"/>
    <cellStyle name="Percent 2 4 2 3 4" xfId="6879"/>
    <cellStyle name="Percent 2 4 2 4" xfId="6880"/>
    <cellStyle name="Percent 2 4 2 4 2" xfId="6881"/>
    <cellStyle name="Percent 2 4 2 4 2 2" xfId="6882"/>
    <cellStyle name="Percent 2 4 2 4 2 3" xfId="6883"/>
    <cellStyle name="Percent 2 4 2 4 3" xfId="6884"/>
    <cellStyle name="Percent 2 4 2 4 4" xfId="6885"/>
    <cellStyle name="Percent 2 4 2 5" xfId="6886"/>
    <cellStyle name="Percent 2 4 2 5 2" xfId="6887"/>
    <cellStyle name="Percent 2 4 2 5 2 2" xfId="6888"/>
    <cellStyle name="Percent 2 4 2 5 2 3" xfId="6889"/>
    <cellStyle name="Percent 2 4 2 5 3" xfId="6890"/>
    <cellStyle name="Percent 2 4 2 5 4" xfId="6891"/>
    <cellStyle name="Percent 2 4 2 6" xfId="6892"/>
    <cellStyle name="Percent 2 4 2 6 2" xfId="6893"/>
    <cellStyle name="Percent 2 4 2 6 3" xfId="6894"/>
    <cellStyle name="Percent 2 4 2 7" xfId="6895"/>
    <cellStyle name="Percent 2 4 2 8" xfId="6896"/>
    <cellStyle name="Percent 2 4 3" xfId="6897"/>
    <cellStyle name="Percent 2 4 3 2" xfId="6898"/>
    <cellStyle name="Percent 2 4 3 2 2" xfId="6899"/>
    <cellStyle name="Percent 2 4 3 2 3" xfId="6900"/>
    <cellStyle name="Percent 2 4 3 3" xfId="6901"/>
    <cellStyle name="Percent 2 4 3 4" xfId="6902"/>
    <cellStyle name="Percent 2 4 4" xfId="6903"/>
    <cellStyle name="Percent 2 4 4 2" xfId="6904"/>
    <cellStyle name="Percent 2 4 4 2 2" xfId="6905"/>
    <cellStyle name="Percent 2 4 4 2 3" xfId="6906"/>
    <cellStyle name="Percent 2 4 4 3" xfId="6907"/>
    <cellStyle name="Percent 2 4 4 4" xfId="6908"/>
    <cellStyle name="Percent 2 4 5" xfId="6909"/>
    <cellStyle name="Percent 2 4 5 2" xfId="6910"/>
    <cellStyle name="Percent 2 4 5 2 2" xfId="6911"/>
    <cellStyle name="Percent 2 4 5 2 3" xfId="6912"/>
    <cellStyle name="Percent 2 4 5 3" xfId="6913"/>
    <cellStyle name="Percent 2 4 5 4" xfId="6914"/>
    <cellStyle name="Percent 2 4 6" xfId="6915"/>
    <cellStyle name="Percent 2 4 6 2" xfId="6916"/>
    <cellStyle name="Percent 2 4 6 2 2" xfId="6917"/>
    <cellStyle name="Percent 2 4 6 2 3" xfId="6918"/>
    <cellStyle name="Percent 2 4 6 3" xfId="6919"/>
    <cellStyle name="Percent 2 4 6 4" xfId="6920"/>
    <cellStyle name="Percent 2 4 7" xfId="6921"/>
    <cellStyle name="Percent 2 4 7 2" xfId="6922"/>
    <cellStyle name="Percent 2 4 7 3" xfId="6923"/>
    <cellStyle name="Percent 2 4 8" xfId="6924"/>
    <cellStyle name="Percent 2 4 9" xfId="6925"/>
    <cellStyle name="Percent 2 5" xfId="6926"/>
    <cellStyle name="Percent 2 5 2" xfId="6927"/>
    <cellStyle name="Percent 2 5 2 2" xfId="6928"/>
    <cellStyle name="Percent 2 5 2 2 2" xfId="6929"/>
    <cellStyle name="Percent 2 5 2 2 2 2" xfId="6930"/>
    <cellStyle name="Percent 2 5 2 2 2 3" xfId="6931"/>
    <cellStyle name="Percent 2 5 2 2 3" xfId="6932"/>
    <cellStyle name="Percent 2 5 2 2 4" xfId="6933"/>
    <cellStyle name="Percent 2 5 2 3" xfId="6934"/>
    <cellStyle name="Percent 2 5 2 3 2" xfId="6935"/>
    <cellStyle name="Percent 2 5 2 3 2 2" xfId="6936"/>
    <cellStyle name="Percent 2 5 2 3 2 3" xfId="6937"/>
    <cellStyle name="Percent 2 5 2 3 3" xfId="6938"/>
    <cellStyle name="Percent 2 5 2 3 4" xfId="6939"/>
    <cellStyle name="Percent 2 5 2 4" xfId="6940"/>
    <cellStyle name="Percent 2 5 2 4 2" xfId="6941"/>
    <cellStyle name="Percent 2 5 2 4 2 2" xfId="6942"/>
    <cellStyle name="Percent 2 5 2 4 2 3" xfId="6943"/>
    <cellStyle name="Percent 2 5 2 4 3" xfId="6944"/>
    <cellStyle name="Percent 2 5 2 4 4" xfId="6945"/>
    <cellStyle name="Percent 2 5 2 5" xfId="6946"/>
    <cellStyle name="Percent 2 5 2 5 2" xfId="6947"/>
    <cellStyle name="Percent 2 5 2 5 2 2" xfId="6948"/>
    <cellStyle name="Percent 2 5 2 5 2 3" xfId="6949"/>
    <cellStyle name="Percent 2 5 2 5 3" xfId="6950"/>
    <cellStyle name="Percent 2 5 2 5 4" xfId="6951"/>
    <cellStyle name="Percent 2 5 2 6" xfId="6952"/>
    <cellStyle name="Percent 2 5 2 6 2" xfId="6953"/>
    <cellStyle name="Percent 2 5 2 6 3" xfId="6954"/>
    <cellStyle name="Percent 2 5 2 7" xfId="6955"/>
    <cellStyle name="Percent 2 5 2 8" xfId="6956"/>
    <cellStyle name="Percent 2 5 3" xfId="6957"/>
    <cellStyle name="Percent 2 5 3 2" xfId="6958"/>
    <cellStyle name="Percent 2 5 3 2 2" xfId="6959"/>
    <cellStyle name="Percent 2 5 3 2 3" xfId="6960"/>
    <cellStyle name="Percent 2 5 3 3" xfId="6961"/>
    <cellStyle name="Percent 2 5 3 4" xfId="6962"/>
    <cellStyle name="Percent 2 5 4" xfId="6963"/>
    <cellStyle name="Percent 2 5 4 2" xfId="6964"/>
    <cellStyle name="Percent 2 5 4 2 2" xfId="6965"/>
    <cellStyle name="Percent 2 5 4 2 3" xfId="6966"/>
    <cellStyle name="Percent 2 5 4 3" xfId="6967"/>
    <cellStyle name="Percent 2 5 4 4" xfId="6968"/>
    <cellStyle name="Percent 2 5 5" xfId="6969"/>
    <cellStyle name="Percent 2 5 5 2" xfId="6970"/>
    <cellStyle name="Percent 2 5 5 2 2" xfId="6971"/>
    <cellStyle name="Percent 2 5 5 2 3" xfId="6972"/>
    <cellStyle name="Percent 2 5 5 3" xfId="6973"/>
    <cellStyle name="Percent 2 5 5 4" xfId="6974"/>
    <cellStyle name="Percent 2 5 6" xfId="6975"/>
    <cellStyle name="Percent 2 5 6 2" xfId="6976"/>
    <cellStyle name="Percent 2 5 6 2 2" xfId="6977"/>
    <cellStyle name="Percent 2 5 6 2 3" xfId="6978"/>
    <cellStyle name="Percent 2 5 6 3" xfId="6979"/>
    <cellStyle name="Percent 2 5 6 4" xfId="6980"/>
    <cellStyle name="Percent 2 5 7" xfId="6981"/>
    <cellStyle name="Percent 2 5 7 2" xfId="6982"/>
    <cellStyle name="Percent 2 5 7 3" xfId="6983"/>
    <cellStyle name="Percent 2 5 8" xfId="6984"/>
    <cellStyle name="Percent 2 5 9" xfId="6985"/>
    <cellStyle name="Percent 2 6" xfId="6986"/>
    <cellStyle name="Percent 2 6 2" xfId="6987"/>
    <cellStyle name="Percent 2 6 2 2" xfId="6988"/>
    <cellStyle name="Percent 2 6 2 2 2" xfId="6989"/>
    <cellStyle name="Percent 2 6 2 2 2 2" xfId="6990"/>
    <cellStyle name="Percent 2 6 2 2 2 3" xfId="6991"/>
    <cellStyle name="Percent 2 6 2 2 3" xfId="6992"/>
    <cellStyle name="Percent 2 6 2 2 4" xfId="6993"/>
    <cellStyle name="Percent 2 6 2 3" xfId="6994"/>
    <cellStyle name="Percent 2 6 2 3 2" xfId="6995"/>
    <cellStyle name="Percent 2 6 2 3 2 2" xfId="6996"/>
    <cellStyle name="Percent 2 6 2 3 2 3" xfId="6997"/>
    <cellStyle name="Percent 2 6 2 3 3" xfId="6998"/>
    <cellStyle name="Percent 2 6 2 3 4" xfId="6999"/>
    <cellStyle name="Percent 2 6 2 4" xfId="7000"/>
    <cellStyle name="Percent 2 6 2 4 2" xfId="7001"/>
    <cellStyle name="Percent 2 6 2 4 2 2" xfId="7002"/>
    <cellStyle name="Percent 2 6 2 4 2 3" xfId="7003"/>
    <cellStyle name="Percent 2 6 2 4 3" xfId="7004"/>
    <cellStyle name="Percent 2 6 2 4 4" xfId="7005"/>
    <cellStyle name="Percent 2 6 2 5" xfId="7006"/>
    <cellStyle name="Percent 2 6 2 5 2" xfId="7007"/>
    <cellStyle name="Percent 2 6 2 5 2 2" xfId="7008"/>
    <cellStyle name="Percent 2 6 2 5 2 3" xfId="7009"/>
    <cellStyle name="Percent 2 6 2 5 3" xfId="7010"/>
    <cellStyle name="Percent 2 6 2 5 4" xfId="7011"/>
    <cellStyle name="Percent 2 6 2 6" xfId="7012"/>
    <cellStyle name="Percent 2 6 2 6 2" xfId="7013"/>
    <cellStyle name="Percent 2 6 2 6 3" xfId="7014"/>
    <cellStyle name="Percent 2 6 2 7" xfId="7015"/>
    <cellStyle name="Percent 2 6 2 8" xfId="7016"/>
    <cellStyle name="Percent 2 6 3" xfId="7017"/>
    <cellStyle name="Percent 2 6 3 2" xfId="7018"/>
    <cellStyle name="Percent 2 6 3 2 2" xfId="7019"/>
    <cellStyle name="Percent 2 6 3 2 3" xfId="7020"/>
    <cellStyle name="Percent 2 6 3 3" xfId="7021"/>
    <cellStyle name="Percent 2 6 3 4" xfId="7022"/>
    <cellStyle name="Percent 2 6 4" xfId="7023"/>
    <cellStyle name="Percent 2 6 4 2" xfId="7024"/>
    <cellStyle name="Percent 2 6 4 2 2" xfId="7025"/>
    <cellStyle name="Percent 2 6 4 2 3" xfId="7026"/>
    <cellStyle name="Percent 2 6 4 3" xfId="7027"/>
    <cellStyle name="Percent 2 6 4 4" xfId="7028"/>
    <cellStyle name="Percent 2 6 5" xfId="7029"/>
    <cellStyle name="Percent 2 6 5 2" xfId="7030"/>
    <cellStyle name="Percent 2 6 5 2 2" xfId="7031"/>
    <cellStyle name="Percent 2 6 5 2 3" xfId="7032"/>
    <cellStyle name="Percent 2 6 5 3" xfId="7033"/>
    <cellStyle name="Percent 2 6 5 4" xfId="7034"/>
    <cellStyle name="Percent 2 6 6" xfId="7035"/>
    <cellStyle name="Percent 2 6 6 2" xfId="7036"/>
    <cellStyle name="Percent 2 6 6 2 2" xfId="7037"/>
    <cellStyle name="Percent 2 6 6 2 3" xfId="7038"/>
    <cellStyle name="Percent 2 6 6 3" xfId="7039"/>
    <cellStyle name="Percent 2 6 6 4" xfId="7040"/>
    <cellStyle name="Percent 2 6 7" xfId="7041"/>
    <cellStyle name="Percent 2 6 7 2" xfId="7042"/>
    <cellStyle name="Percent 2 6 7 3" xfId="7043"/>
    <cellStyle name="Percent 2 6 8" xfId="7044"/>
    <cellStyle name="Percent 2 6 9" xfId="7045"/>
    <cellStyle name="Percent 2 7" xfId="7046"/>
    <cellStyle name="Percent 2 7 2" xfId="7047"/>
    <cellStyle name="Percent 2 7 2 2" xfId="7048"/>
    <cellStyle name="Percent 2 7 2 2 2" xfId="7049"/>
    <cellStyle name="Percent 2 7 2 2 2 2" xfId="7050"/>
    <cellStyle name="Percent 2 7 2 2 2 3" xfId="7051"/>
    <cellStyle name="Percent 2 7 2 2 3" xfId="7052"/>
    <cellStyle name="Percent 2 7 2 2 4" xfId="7053"/>
    <cellStyle name="Percent 2 7 2 3" xfId="7054"/>
    <cellStyle name="Percent 2 7 2 3 2" xfId="7055"/>
    <cellStyle name="Percent 2 7 2 3 2 2" xfId="7056"/>
    <cellStyle name="Percent 2 7 2 3 2 3" xfId="7057"/>
    <cellStyle name="Percent 2 7 2 3 3" xfId="7058"/>
    <cellStyle name="Percent 2 7 2 3 4" xfId="7059"/>
    <cellStyle name="Percent 2 7 2 4" xfId="7060"/>
    <cellStyle name="Percent 2 7 2 4 2" xfId="7061"/>
    <cellStyle name="Percent 2 7 2 4 2 2" xfId="7062"/>
    <cellStyle name="Percent 2 7 2 4 2 3" xfId="7063"/>
    <cellStyle name="Percent 2 7 2 4 3" xfId="7064"/>
    <cellStyle name="Percent 2 7 2 4 4" xfId="7065"/>
    <cellStyle name="Percent 2 7 2 5" xfId="7066"/>
    <cellStyle name="Percent 2 7 2 5 2" xfId="7067"/>
    <cellStyle name="Percent 2 7 2 5 2 2" xfId="7068"/>
    <cellStyle name="Percent 2 7 2 5 2 3" xfId="7069"/>
    <cellStyle name="Percent 2 7 2 5 3" xfId="7070"/>
    <cellStyle name="Percent 2 7 2 5 4" xfId="7071"/>
    <cellStyle name="Percent 2 7 2 6" xfId="7072"/>
    <cellStyle name="Percent 2 7 2 6 2" xfId="7073"/>
    <cellStyle name="Percent 2 7 2 6 3" xfId="7074"/>
    <cellStyle name="Percent 2 7 2 7" xfId="7075"/>
    <cellStyle name="Percent 2 7 2 8" xfId="7076"/>
    <cellStyle name="Percent 2 7 3" xfId="7077"/>
    <cellStyle name="Percent 2 7 3 2" xfId="7078"/>
    <cellStyle name="Percent 2 7 3 2 2" xfId="7079"/>
    <cellStyle name="Percent 2 7 3 2 3" xfId="7080"/>
    <cellStyle name="Percent 2 7 3 3" xfId="7081"/>
    <cellStyle name="Percent 2 7 3 4" xfId="7082"/>
    <cellStyle name="Percent 2 7 4" xfId="7083"/>
    <cellStyle name="Percent 2 7 4 2" xfId="7084"/>
    <cellStyle name="Percent 2 7 4 2 2" xfId="7085"/>
    <cellStyle name="Percent 2 7 4 2 3" xfId="7086"/>
    <cellStyle name="Percent 2 7 4 3" xfId="7087"/>
    <cellStyle name="Percent 2 7 4 4" xfId="7088"/>
    <cellStyle name="Percent 2 7 5" xfId="7089"/>
    <cellStyle name="Percent 2 7 5 2" xfId="7090"/>
    <cellStyle name="Percent 2 7 5 2 2" xfId="7091"/>
    <cellStyle name="Percent 2 7 5 2 3" xfId="7092"/>
    <cellStyle name="Percent 2 7 5 3" xfId="7093"/>
    <cellStyle name="Percent 2 7 5 4" xfId="7094"/>
    <cellStyle name="Percent 2 7 6" xfId="7095"/>
    <cellStyle name="Percent 2 7 6 2" xfId="7096"/>
    <cellStyle name="Percent 2 7 6 2 2" xfId="7097"/>
    <cellStyle name="Percent 2 7 6 2 3" xfId="7098"/>
    <cellStyle name="Percent 2 7 6 3" xfId="7099"/>
    <cellStyle name="Percent 2 7 6 4" xfId="7100"/>
    <cellStyle name="Percent 2 7 7" xfId="7101"/>
    <cellStyle name="Percent 2 7 7 2" xfId="7102"/>
    <cellStyle name="Percent 2 7 7 3" xfId="7103"/>
    <cellStyle name="Percent 2 7 8" xfId="7104"/>
    <cellStyle name="Percent 2 7 9" xfId="7105"/>
    <cellStyle name="Percent 2 8" xfId="7106"/>
    <cellStyle name="Percent 2 9" xfId="7107"/>
    <cellStyle name="Percent 2 9 2" xfId="9206"/>
    <cellStyle name="Percent 2 9 2 2" xfId="9207"/>
    <cellStyle name="Percent 2 9 2 2 2" xfId="9208"/>
    <cellStyle name="Percent 2 9 2 2 3" xfId="9209"/>
    <cellStyle name="Percent 2 9 2 2 4" xfId="9210"/>
    <cellStyle name="Percent 2 9 2 2 5" xfId="9211"/>
    <cellStyle name="Percent 2 9 2 2 6" xfId="9212"/>
    <cellStyle name="Percent 2 9 2 3" xfId="9213"/>
    <cellStyle name="Percent 2 9 2 4" xfId="9214"/>
    <cellStyle name="Percent 2 9 2 5" xfId="9215"/>
    <cellStyle name="Percent 2 9 2 6" xfId="9216"/>
    <cellStyle name="Percent 2 9 3" xfId="9217"/>
    <cellStyle name="Percent 2 9 4" xfId="9218"/>
    <cellStyle name="Percent 2 9 5" xfId="9219"/>
    <cellStyle name="Percent 2 9 6" xfId="9220"/>
    <cellStyle name="Percent 2 9 7" xfId="9221"/>
    <cellStyle name="Percent 20" xfId="7368"/>
    <cellStyle name="Percent 20 10" xfId="9222"/>
    <cellStyle name="Percent 20 100" xfId="9223"/>
    <cellStyle name="Percent 20 11" xfId="9224"/>
    <cellStyle name="Percent 20 12" xfId="9225"/>
    <cellStyle name="Percent 20 13" xfId="9226"/>
    <cellStyle name="Percent 20 14" xfId="9227"/>
    <cellStyle name="Percent 20 15" xfId="9228"/>
    <cellStyle name="Percent 20 16" xfId="9229"/>
    <cellStyle name="Percent 20 17" xfId="9230"/>
    <cellStyle name="Percent 20 18" xfId="9231"/>
    <cellStyle name="Percent 20 19" xfId="9232"/>
    <cellStyle name="Percent 20 2" xfId="9233"/>
    <cellStyle name="Percent 20 20" xfId="9234"/>
    <cellStyle name="Percent 20 21" xfId="9235"/>
    <cellStyle name="Percent 20 22" xfId="9236"/>
    <cellStyle name="Percent 20 23" xfId="9237"/>
    <cellStyle name="Percent 20 24" xfId="9238"/>
    <cellStyle name="Percent 20 25" xfId="9239"/>
    <cellStyle name="Percent 20 26" xfId="9240"/>
    <cellStyle name="Percent 20 27" xfId="9241"/>
    <cellStyle name="Percent 20 28" xfId="9242"/>
    <cellStyle name="Percent 20 29" xfId="9243"/>
    <cellStyle name="Percent 20 3" xfId="9244"/>
    <cellStyle name="Percent 20 30" xfId="9245"/>
    <cellStyle name="Percent 20 31" xfId="9246"/>
    <cellStyle name="Percent 20 32" xfId="9247"/>
    <cellStyle name="Percent 20 33" xfId="9248"/>
    <cellStyle name="Percent 20 34" xfId="9249"/>
    <cellStyle name="Percent 20 35" xfId="9250"/>
    <cellStyle name="Percent 20 36" xfId="9251"/>
    <cellStyle name="Percent 20 37" xfId="9252"/>
    <cellStyle name="Percent 20 38" xfId="9253"/>
    <cellStyle name="Percent 20 39" xfId="9254"/>
    <cellStyle name="Percent 20 4" xfId="9255"/>
    <cellStyle name="Percent 20 40" xfId="9256"/>
    <cellStyle name="Percent 20 41" xfId="9257"/>
    <cellStyle name="Percent 20 42" xfId="9258"/>
    <cellStyle name="Percent 20 43" xfId="9259"/>
    <cellStyle name="Percent 20 44" xfId="9260"/>
    <cellStyle name="Percent 20 45" xfId="9261"/>
    <cellStyle name="Percent 20 46" xfId="9262"/>
    <cellStyle name="Percent 20 47" xfId="9263"/>
    <cellStyle name="Percent 20 48" xfId="9264"/>
    <cellStyle name="Percent 20 49" xfId="9265"/>
    <cellStyle name="Percent 20 5" xfId="9266"/>
    <cellStyle name="Percent 20 50" xfId="9267"/>
    <cellStyle name="Percent 20 51" xfId="9268"/>
    <cellStyle name="Percent 20 52" xfId="9269"/>
    <cellStyle name="Percent 20 53" xfId="9270"/>
    <cellStyle name="Percent 20 54" xfId="9271"/>
    <cellStyle name="Percent 20 55" xfId="9272"/>
    <cellStyle name="Percent 20 56" xfId="9273"/>
    <cellStyle name="Percent 20 57" xfId="9274"/>
    <cellStyle name="Percent 20 58" xfId="9275"/>
    <cellStyle name="Percent 20 59" xfId="9276"/>
    <cellStyle name="Percent 20 6" xfId="9277"/>
    <cellStyle name="Percent 20 60" xfId="9278"/>
    <cellStyle name="Percent 20 61" xfId="9279"/>
    <cellStyle name="Percent 20 62" xfId="9280"/>
    <cellStyle name="Percent 20 63" xfId="9281"/>
    <cellStyle name="Percent 20 64" xfId="9282"/>
    <cellStyle name="Percent 20 65" xfId="9283"/>
    <cellStyle name="Percent 20 66" xfId="9284"/>
    <cellStyle name="Percent 20 67" xfId="9285"/>
    <cellStyle name="Percent 20 68" xfId="9286"/>
    <cellStyle name="Percent 20 69" xfId="9287"/>
    <cellStyle name="Percent 20 7" xfId="9288"/>
    <cellStyle name="Percent 20 70" xfId="9289"/>
    <cellStyle name="Percent 20 71" xfId="9290"/>
    <cellStyle name="Percent 20 72" xfId="9291"/>
    <cellStyle name="Percent 20 73" xfId="9292"/>
    <cellStyle name="Percent 20 74" xfId="9293"/>
    <cellStyle name="Percent 20 75" xfId="9294"/>
    <cellStyle name="Percent 20 76" xfId="9295"/>
    <cellStyle name="Percent 20 77" xfId="9296"/>
    <cellStyle name="Percent 20 78" xfId="9297"/>
    <cellStyle name="Percent 20 79" xfId="9298"/>
    <cellStyle name="Percent 20 8" xfId="9299"/>
    <cellStyle name="Percent 20 80" xfId="9300"/>
    <cellStyle name="Percent 20 81" xfId="9301"/>
    <cellStyle name="Percent 20 82" xfId="9302"/>
    <cellStyle name="Percent 20 83" xfId="9303"/>
    <cellStyle name="Percent 20 84" xfId="9304"/>
    <cellStyle name="Percent 20 85" xfId="9305"/>
    <cellStyle name="Percent 20 86" xfId="9306"/>
    <cellStyle name="Percent 20 87" xfId="9307"/>
    <cellStyle name="Percent 20 88" xfId="9308"/>
    <cellStyle name="Percent 20 89" xfId="9309"/>
    <cellStyle name="Percent 20 9" xfId="9310"/>
    <cellStyle name="Percent 20 90" xfId="9311"/>
    <cellStyle name="Percent 20 91" xfId="9312"/>
    <cellStyle name="Percent 20 92" xfId="9313"/>
    <cellStyle name="Percent 20 93" xfId="9314"/>
    <cellStyle name="Percent 20 94" xfId="9315"/>
    <cellStyle name="Percent 20 95" xfId="9316"/>
    <cellStyle name="Percent 20 96" xfId="9317"/>
    <cellStyle name="Percent 20 97" xfId="9318"/>
    <cellStyle name="Percent 20 98" xfId="9319"/>
    <cellStyle name="Percent 20 99" xfId="9320"/>
    <cellStyle name="Percent 21" xfId="7108"/>
    <cellStyle name="Percent 21 2" xfId="9321"/>
    <cellStyle name="Percent 23" xfId="9322"/>
    <cellStyle name="Percent 3" xfId="7109"/>
    <cellStyle name="Percent 3 10" xfId="7110"/>
    <cellStyle name="Percent 3 11" xfId="7111"/>
    <cellStyle name="Percent 3 11 2" xfId="7112"/>
    <cellStyle name="Percent 3 11 3" xfId="7113"/>
    <cellStyle name="Percent 3 12" xfId="7114"/>
    <cellStyle name="Percent 3 13" xfId="7115"/>
    <cellStyle name="Percent 3 2" xfId="7116"/>
    <cellStyle name="Percent 3 2 2" xfId="7117"/>
    <cellStyle name="Percent 3 2 2 2" xfId="7118"/>
    <cellStyle name="Percent 3 2 2 3" xfId="7119"/>
    <cellStyle name="Percent 3 2 2 4" xfId="7120"/>
    <cellStyle name="Percent 3 2 2 5" xfId="7121"/>
    <cellStyle name="Percent 3 2 2 6" xfId="7122"/>
    <cellStyle name="Percent 3 2 2 6 2" xfId="7123"/>
    <cellStyle name="Percent 3 2 2 6 3" xfId="7124"/>
    <cellStyle name="Percent 3 2 2 7" xfId="7125"/>
    <cellStyle name="Percent 3 2 2 8" xfId="7126"/>
    <cellStyle name="Percent 3 2 3" xfId="7127"/>
    <cellStyle name="Percent 3 2 3 2" xfId="7128"/>
    <cellStyle name="Percent 3 2 3 2 2" xfId="7129"/>
    <cellStyle name="Percent 3 2 3 2 3" xfId="7130"/>
    <cellStyle name="Percent 3 2 3 3" xfId="7131"/>
    <cellStyle name="Percent 3 2 3 4" xfId="7132"/>
    <cellStyle name="Percent 3 2 4" xfId="7133"/>
    <cellStyle name="Percent 3 2 4 2" xfId="7134"/>
    <cellStyle name="Percent 3 2 4 2 2" xfId="7135"/>
    <cellStyle name="Percent 3 2 4 2 3" xfId="7136"/>
    <cellStyle name="Percent 3 2 4 3" xfId="7137"/>
    <cellStyle name="Percent 3 2 4 4" xfId="7138"/>
    <cellStyle name="Percent 3 2 5" xfId="7139"/>
    <cellStyle name="Percent 3 2 5 2" xfId="7140"/>
    <cellStyle name="Percent 3 2 5 2 2" xfId="7141"/>
    <cellStyle name="Percent 3 2 5 2 3" xfId="7142"/>
    <cellStyle name="Percent 3 2 5 3" xfId="7143"/>
    <cellStyle name="Percent 3 2 5 4" xfId="7144"/>
    <cellStyle name="Percent 3 3" xfId="7145"/>
    <cellStyle name="Percent 3 4" xfId="7146"/>
    <cellStyle name="Percent 3 5" xfId="7147"/>
    <cellStyle name="Percent 3 5 2" xfId="7148"/>
    <cellStyle name="Percent 3 5 3" xfId="7149"/>
    <cellStyle name="Percent 3 5 3 2" xfId="7150"/>
    <cellStyle name="Percent 3 5 3 2 2" xfId="7151"/>
    <cellStyle name="Percent 3 5 3 2 3" xfId="7152"/>
    <cellStyle name="Percent 3 5 3 3" xfId="7153"/>
    <cellStyle name="Percent 3 5 3 4" xfId="7154"/>
    <cellStyle name="Percent 3 5 4" xfId="7155"/>
    <cellStyle name="Percent 3 5 4 2" xfId="7156"/>
    <cellStyle name="Percent 3 5 4 2 2" xfId="7157"/>
    <cellStyle name="Percent 3 5 4 2 3" xfId="7158"/>
    <cellStyle name="Percent 3 5 4 3" xfId="7159"/>
    <cellStyle name="Percent 3 5 4 4" xfId="7160"/>
    <cellStyle name="Percent 3 5 5" xfId="7161"/>
    <cellStyle name="Percent 3 5 5 2" xfId="7162"/>
    <cellStyle name="Percent 3 5 5 2 2" xfId="7163"/>
    <cellStyle name="Percent 3 5 5 2 3" xfId="7164"/>
    <cellStyle name="Percent 3 5 5 3" xfId="7165"/>
    <cellStyle name="Percent 3 5 5 4" xfId="7166"/>
    <cellStyle name="Percent 3 5 6" xfId="7167"/>
    <cellStyle name="Percent 3 5 6 2" xfId="7168"/>
    <cellStyle name="Percent 3 5 6 2 2" xfId="7169"/>
    <cellStyle name="Percent 3 5 6 2 3" xfId="7170"/>
    <cellStyle name="Percent 3 5 6 3" xfId="7171"/>
    <cellStyle name="Percent 3 5 6 4" xfId="7172"/>
    <cellStyle name="Percent 3 5 7" xfId="7173"/>
    <cellStyle name="Percent 3 5 7 2" xfId="7174"/>
    <cellStyle name="Percent 3 5 7 3" xfId="7175"/>
    <cellStyle name="Percent 3 5 8" xfId="7176"/>
    <cellStyle name="Percent 3 5 9" xfId="7177"/>
    <cellStyle name="Percent 3 6" xfId="7178"/>
    <cellStyle name="Percent 3 7" xfId="7179"/>
    <cellStyle name="Percent 3 8" xfId="7180"/>
    <cellStyle name="Percent 3 9" xfId="7181"/>
    <cellStyle name="Percent 4" xfId="7182"/>
    <cellStyle name="Percent 5" xfId="7183"/>
    <cellStyle name="Percent 56" xfId="9323"/>
    <cellStyle name="Percent 6" xfId="7184"/>
    <cellStyle name="Percent 7" xfId="7185"/>
    <cellStyle name="Percent 76" xfId="9324"/>
    <cellStyle name="Percent 77" xfId="9325"/>
    <cellStyle name="Percent 8" xfId="7186"/>
    <cellStyle name="Percent 8 2" xfId="7187"/>
    <cellStyle name="Percent 8 3" xfId="7188"/>
    <cellStyle name="Percent 83" xfId="9326"/>
    <cellStyle name="Percent 84" xfId="9327"/>
    <cellStyle name="Percent 9" xfId="7189"/>
    <cellStyle name="Percent 9 2" xfId="7190"/>
    <cellStyle name="Percent 9 2 2" xfId="7191"/>
    <cellStyle name="Percent 9 2 2 2" xfId="7192"/>
    <cellStyle name="Percent 9 2 2 2 2" xfId="7193"/>
    <cellStyle name="Percent 9 2 2 2 3" xfId="7194"/>
    <cellStyle name="Percent 9 2 2 3" xfId="7195"/>
    <cellStyle name="Percent 9 2 2 4" xfId="7196"/>
    <cellStyle name="Percent 9 2 3" xfId="7197"/>
    <cellStyle name="Percent 9 2 3 2" xfId="7198"/>
    <cellStyle name="Percent 9 2 3 2 2" xfId="7199"/>
    <cellStyle name="Percent 9 2 3 2 3" xfId="7200"/>
    <cellStyle name="Percent 9 2 3 3" xfId="7201"/>
    <cellStyle name="Percent 9 2 3 4" xfId="7202"/>
    <cellStyle name="Percent 9 2 4" xfId="7203"/>
    <cellStyle name="Percent 9 2 4 2" xfId="7204"/>
    <cellStyle name="Percent 9 2 4 2 2" xfId="7205"/>
    <cellStyle name="Percent 9 2 4 2 3" xfId="7206"/>
    <cellStyle name="Percent 9 2 4 3" xfId="7207"/>
    <cellStyle name="Percent 9 2 4 4" xfId="7208"/>
    <cellStyle name="Percent 9 2 5" xfId="7209"/>
    <cellStyle name="Percent 9 2 5 2" xfId="7210"/>
    <cellStyle name="Percent 9 2 5 2 2" xfId="7211"/>
    <cellStyle name="Percent 9 2 5 2 3" xfId="7212"/>
    <cellStyle name="Percent 9 2 5 3" xfId="7213"/>
    <cellStyle name="Percent 9 2 5 4" xfId="7214"/>
    <cellStyle name="Percent 9 2 6" xfId="7215"/>
    <cellStyle name="Percent 9 2 6 2" xfId="7216"/>
    <cellStyle name="Percent 9 2 6 3" xfId="7217"/>
    <cellStyle name="Percent 9 2 7" xfId="7218"/>
    <cellStyle name="Percent 9 2 8" xfId="7219"/>
    <cellStyle name="Percent 9 3" xfId="7220"/>
    <cellStyle name="Percent 9 3 2" xfId="7221"/>
    <cellStyle name="Percent 9 3 2 2" xfId="7222"/>
    <cellStyle name="Percent 9 3 2 3" xfId="7223"/>
    <cellStyle name="Percent 9 3 3" xfId="7224"/>
    <cellStyle name="Percent 9 3 4" xfId="7225"/>
    <cellStyle name="Percent 9 4" xfId="7226"/>
    <cellStyle name="Percent 9 4 2" xfId="7227"/>
    <cellStyle name="Percent 9 4 2 2" xfId="7228"/>
    <cellStyle name="Percent 9 4 2 3" xfId="7229"/>
    <cellStyle name="Percent 9 4 3" xfId="7230"/>
    <cellStyle name="Percent 9 4 4" xfId="7231"/>
    <cellStyle name="Percent 9 5" xfId="7232"/>
    <cellStyle name="Percent 9 5 2" xfId="7233"/>
    <cellStyle name="Percent 9 5 2 2" xfId="7234"/>
    <cellStyle name="Percent 9 5 2 3" xfId="7235"/>
    <cellStyle name="Percent 9 5 3" xfId="7236"/>
    <cellStyle name="Percent 9 5 4" xfId="7237"/>
    <cellStyle name="Percent 9 6" xfId="7238"/>
    <cellStyle name="Percent 9 6 2" xfId="7239"/>
    <cellStyle name="Percent 9 6 2 2" xfId="7240"/>
    <cellStyle name="Percent 9 6 2 3" xfId="7241"/>
    <cellStyle name="Percent 9 6 3" xfId="7242"/>
    <cellStyle name="Percent 9 6 4" xfId="7243"/>
    <cellStyle name="Percent 9 7" xfId="7244"/>
    <cellStyle name="Percent 9 7 2" xfId="7245"/>
    <cellStyle name="Percent 9 7 3" xfId="7246"/>
    <cellStyle name="Percent 9 8" xfId="7247"/>
    <cellStyle name="Percent 9 9" xfId="7248"/>
    <cellStyle name="Row_CategoryHeadings" xfId="7369"/>
    <cellStyle name="Source" xfId="7370"/>
    <cellStyle name="Standaard_t13.1ek 1982" xfId="7249"/>
    <cellStyle name="Standaard2" xfId="7250"/>
    <cellStyle name="Standard 2" xfId="7371"/>
    <cellStyle name="Standard 2 2" xfId="7372"/>
    <cellStyle name="Standard 2 2 2" xfId="7373"/>
    <cellStyle name="Standard 2 3" xfId="7374"/>
    <cellStyle name="Standard 3" xfId="7375"/>
    <cellStyle name="Standard 4" xfId="7376"/>
    <cellStyle name="Standard 5" xfId="7377"/>
    <cellStyle name="Standard 6" xfId="7378"/>
    <cellStyle name="Standard 7" xfId="7379"/>
    <cellStyle name="Standard 8" xfId="7380"/>
    <cellStyle name="Standard_Arbeitsdok. jpw - Vorabdruck98" xfId="7381"/>
    <cellStyle name="Style 1" xfId="7251"/>
    <cellStyle name="Style 1 10" xfId="7252"/>
    <cellStyle name="Style 1 11" xfId="7253"/>
    <cellStyle name="Style 1 12" xfId="7254"/>
    <cellStyle name="Style 1 13" xfId="7255"/>
    <cellStyle name="Style 1 14" xfId="7256"/>
    <cellStyle name="Style 1 15" xfId="7257"/>
    <cellStyle name="Style 1 16" xfId="7258"/>
    <cellStyle name="Style 1 17" xfId="7259"/>
    <cellStyle name="Style 1 18" xfId="7260"/>
    <cellStyle name="Style 1 19" xfId="7261"/>
    <cellStyle name="Style 1 2" xfId="7262"/>
    <cellStyle name="Style 1 20" xfId="7263"/>
    <cellStyle name="Style 1 21" xfId="7264"/>
    <cellStyle name="Style 1 22" xfId="7265"/>
    <cellStyle name="Style 1 23" xfId="7266"/>
    <cellStyle name="Style 1 24" xfId="7267"/>
    <cellStyle name="Style 1 25" xfId="7268"/>
    <cellStyle name="Style 1 26" xfId="7269"/>
    <cellStyle name="Style 1 27" xfId="7270"/>
    <cellStyle name="Style 1 28" xfId="7271"/>
    <cellStyle name="Style 1 29" xfId="7272"/>
    <cellStyle name="Style 1 3" xfId="7273"/>
    <cellStyle name="Style 1 30" xfId="7274"/>
    <cellStyle name="Style 1 31" xfId="7275"/>
    <cellStyle name="Style 1 32" xfId="7276"/>
    <cellStyle name="Style 1 33" xfId="7277"/>
    <cellStyle name="Style 1 34" xfId="7278"/>
    <cellStyle name="Style 1 35" xfId="7279"/>
    <cellStyle name="Style 1 36" xfId="7280"/>
    <cellStyle name="Style 1 37" xfId="7281"/>
    <cellStyle name="Style 1 38" xfId="7282"/>
    <cellStyle name="Style 1 39" xfId="7283"/>
    <cellStyle name="Style 1 4" xfId="7284"/>
    <cellStyle name="Style 1 40" xfId="7285"/>
    <cellStyle name="Style 1 41" xfId="7286"/>
    <cellStyle name="Style 1 42" xfId="7287"/>
    <cellStyle name="Style 1 43" xfId="7288"/>
    <cellStyle name="Style 1 44" xfId="7289"/>
    <cellStyle name="Style 1 45" xfId="7290"/>
    <cellStyle name="Style 1 46" xfId="7291"/>
    <cellStyle name="Style 1 47" xfId="7292"/>
    <cellStyle name="Style 1 48" xfId="7293"/>
    <cellStyle name="Style 1 49" xfId="7294"/>
    <cellStyle name="Style 1 5" xfId="7295"/>
    <cellStyle name="Style 1 50" xfId="7296"/>
    <cellStyle name="Style 1 51" xfId="7297"/>
    <cellStyle name="Style 1 52" xfId="7298"/>
    <cellStyle name="Style 1 53" xfId="7299"/>
    <cellStyle name="Style 1 54" xfId="7300"/>
    <cellStyle name="Style 1 55" xfId="7301"/>
    <cellStyle name="Style 1 56" xfId="7302"/>
    <cellStyle name="Style 1 57" xfId="7303"/>
    <cellStyle name="Style 1 58" xfId="7304"/>
    <cellStyle name="Style 1 59" xfId="7305"/>
    <cellStyle name="Style 1 6" xfId="7306"/>
    <cellStyle name="Style 1 60" xfId="7307"/>
    <cellStyle name="Style 1 61" xfId="7308"/>
    <cellStyle name="Style 1 62" xfId="7309"/>
    <cellStyle name="Style 1 63" xfId="7310"/>
    <cellStyle name="Style 1 64" xfId="7311"/>
    <cellStyle name="Style 1 7" xfId="7312"/>
    <cellStyle name="Style 1 8" xfId="7313"/>
    <cellStyle name="Style 1 9" xfId="7314"/>
    <cellStyle name="Sub_head_e" xfId="7315"/>
    <cellStyle name="Table_Name" xfId="7382"/>
    <cellStyle name="Text_e" xfId="7316"/>
    <cellStyle name="Title 2" xfId="7317"/>
    <cellStyle name="Title 3" xfId="7383"/>
    <cellStyle name="Total 2" xfId="7318"/>
    <cellStyle name="Total 2 10" xfId="7319"/>
    <cellStyle name="Total 2 100" xfId="9328"/>
    <cellStyle name="Total 2 101" xfId="9329"/>
    <cellStyle name="Total 2 102" xfId="9330"/>
    <cellStyle name="Total 2 103" xfId="9331"/>
    <cellStyle name="Total 2 104" xfId="9332"/>
    <cellStyle name="Total 2 105" xfId="9333"/>
    <cellStyle name="Total 2 106" xfId="9334"/>
    <cellStyle name="Total 2 107" xfId="9335"/>
    <cellStyle name="Total 2 108" xfId="9336"/>
    <cellStyle name="Total 2 109" xfId="9337"/>
    <cellStyle name="Total 2 11" xfId="7320"/>
    <cellStyle name="Total 2 110" xfId="9338"/>
    <cellStyle name="Total 2 111" xfId="9339"/>
    <cellStyle name="Total 2 112" xfId="9340"/>
    <cellStyle name="Total 2 113" xfId="9341"/>
    <cellStyle name="Total 2 114" xfId="9342"/>
    <cellStyle name="Total 2 115" xfId="9343"/>
    <cellStyle name="Total 2 116" xfId="9344"/>
    <cellStyle name="Total 2 117" xfId="9345"/>
    <cellStyle name="Total 2 12" xfId="7321"/>
    <cellStyle name="Total 2 13" xfId="9346"/>
    <cellStyle name="Total 2 14" xfId="9347"/>
    <cellStyle name="Total 2 15" xfId="9348"/>
    <cellStyle name="Total 2 16" xfId="9349"/>
    <cellStyle name="Total 2 17" xfId="9350"/>
    <cellStyle name="Total 2 18" xfId="9351"/>
    <cellStyle name="Total 2 19" xfId="9352"/>
    <cellStyle name="Total 2 2" xfId="7322"/>
    <cellStyle name="Total 2 20" xfId="9353"/>
    <cellStyle name="Total 2 21" xfId="9354"/>
    <cellStyle name="Total 2 22" xfId="9355"/>
    <cellStyle name="Total 2 23" xfId="9356"/>
    <cellStyle name="Total 2 24" xfId="9357"/>
    <cellStyle name="Total 2 25" xfId="9358"/>
    <cellStyle name="Total 2 26" xfId="9359"/>
    <cellStyle name="Total 2 27" xfId="9360"/>
    <cellStyle name="Total 2 28" xfId="9361"/>
    <cellStyle name="Total 2 29" xfId="9362"/>
    <cellStyle name="Total 2 3" xfId="7323"/>
    <cellStyle name="Total 2 30" xfId="9363"/>
    <cellStyle name="Total 2 31" xfId="9364"/>
    <cellStyle name="Total 2 32" xfId="9365"/>
    <cellStyle name="Total 2 33" xfId="9366"/>
    <cellStyle name="Total 2 34" xfId="9367"/>
    <cellStyle name="Total 2 35" xfId="9368"/>
    <cellStyle name="Total 2 36" xfId="9369"/>
    <cellStyle name="Total 2 37" xfId="9370"/>
    <cellStyle name="Total 2 38" xfId="9371"/>
    <cellStyle name="Total 2 39" xfId="9372"/>
    <cellStyle name="Total 2 4" xfId="7324"/>
    <cellStyle name="Total 2 40" xfId="9373"/>
    <cellStyle name="Total 2 41" xfId="9374"/>
    <cellStyle name="Total 2 42" xfId="9375"/>
    <cellStyle name="Total 2 43" xfId="9376"/>
    <cellStyle name="Total 2 44" xfId="9377"/>
    <cellStyle name="Total 2 45" xfId="9378"/>
    <cellStyle name="Total 2 46" xfId="9379"/>
    <cellStyle name="Total 2 47" xfId="9380"/>
    <cellStyle name="Total 2 48" xfId="9381"/>
    <cellStyle name="Total 2 49" xfId="9382"/>
    <cellStyle name="Total 2 5" xfId="7325"/>
    <cellStyle name="Total 2 50" xfId="9383"/>
    <cellStyle name="Total 2 51" xfId="9384"/>
    <cellStyle name="Total 2 52" xfId="9385"/>
    <cellStyle name="Total 2 53" xfId="9386"/>
    <cellStyle name="Total 2 54" xfId="9387"/>
    <cellStyle name="Total 2 55" xfId="9388"/>
    <cellStyle name="Total 2 56" xfId="9389"/>
    <cellStyle name="Total 2 57" xfId="9390"/>
    <cellStyle name="Total 2 58" xfId="9391"/>
    <cellStyle name="Total 2 59" xfId="9392"/>
    <cellStyle name="Total 2 6" xfId="7326"/>
    <cellStyle name="Total 2 60" xfId="9393"/>
    <cellStyle name="Total 2 61" xfId="9394"/>
    <cellStyle name="Total 2 62" xfId="9395"/>
    <cellStyle name="Total 2 63" xfId="9396"/>
    <cellStyle name="Total 2 64" xfId="9397"/>
    <cellStyle name="Total 2 65" xfId="9398"/>
    <cellStyle name="Total 2 66" xfId="9399"/>
    <cellStyle name="Total 2 67" xfId="9400"/>
    <cellStyle name="Total 2 68" xfId="9401"/>
    <cellStyle name="Total 2 69" xfId="9402"/>
    <cellStyle name="Total 2 7" xfId="7327"/>
    <cellStyle name="Total 2 70" xfId="9403"/>
    <cellStyle name="Total 2 71" xfId="9404"/>
    <cellStyle name="Total 2 72" xfId="9405"/>
    <cellStyle name="Total 2 73" xfId="9406"/>
    <cellStyle name="Total 2 74" xfId="9407"/>
    <cellStyle name="Total 2 75" xfId="9408"/>
    <cellStyle name="Total 2 76" xfId="9409"/>
    <cellStyle name="Total 2 77" xfId="9410"/>
    <cellStyle name="Total 2 78" xfId="9411"/>
    <cellStyle name="Total 2 79" xfId="9412"/>
    <cellStyle name="Total 2 8" xfId="7328"/>
    <cellStyle name="Total 2 80" xfId="9413"/>
    <cellStyle name="Total 2 81" xfId="9414"/>
    <cellStyle name="Total 2 82" xfId="9415"/>
    <cellStyle name="Total 2 83" xfId="9416"/>
    <cellStyle name="Total 2 84" xfId="9417"/>
    <cellStyle name="Total 2 85" xfId="9418"/>
    <cellStyle name="Total 2 86" xfId="9419"/>
    <cellStyle name="Total 2 87" xfId="9420"/>
    <cellStyle name="Total 2 88" xfId="9421"/>
    <cellStyle name="Total 2 89" xfId="9422"/>
    <cellStyle name="Total 2 9" xfId="7329"/>
    <cellStyle name="Total 2 90" xfId="9423"/>
    <cellStyle name="Total 2 91" xfId="9424"/>
    <cellStyle name="Total 2 92" xfId="9425"/>
    <cellStyle name="Total 2 93" xfId="9426"/>
    <cellStyle name="Total 2 94" xfId="9427"/>
    <cellStyle name="Total 2 95" xfId="9428"/>
    <cellStyle name="Total 2 96" xfId="9429"/>
    <cellStyle name="Total 2 97" xfId="9430"/>
    <cellStyle name="Total 2 98" xfId="9431"/>
    <cellStyle name="Total 2 99" xfId="9432"/>
    <cellStyle name="Tsd" xfId="7384"/>
    <cellStyle name="Warning Text 2" xfId="7330"/>
    <cellStyle name="Warnings" xfId="7385"/>
    <cellStyle name="Обычный_VVP_new" xfId="7331"/>
    <cellStyle name="Тысячи [0]_1995-нові" xfId="7332"/>
    <cellStyle name="Тысячи_1995-нові" xfId="7333"/>
    <cellStyle name="ハイパーリンク 2" xfId="7386"/>
    <cellStyle name="ハイパーリンク 3" xfId="7387"/>
    <cellStyle name="백분율 2" xfId="7334"/>
    <cellStyle name="쉼표 [0] 2" xfId="7335"/>
    <cellStyle name="쉼표 [0] 3" xfId="7336"/>
    <cellStyle name="쉼표 [0] 4" xfId="7337"/>
    <cellStyle name="콤마 [0]_동향(99.7-1)" xfId="7338"/>
    <cellStyle name="콤마_동향(99.7-1)" xfId="7339"/>
    <cellStyle name="표준 2" xfId="7340"/>
    <cellStyle name="표준 3" xfId="7341"/>
    <cellStyle name="표준_1.종합계정" xfId="7342"/>
    <cellStyle name="桁区切り 2" xfId="7388"/>
    <cellStyle name="標準 2" xfId="7389"/>
    <cellStyle name="標準 3" xfId="7390"/>
    <cellStyle name="標準_g075x_TMSシステム（２係用） 2" xfId="7391"/>
  </cellStyles>
  <dxfs count="19">
    <dxf>
      <font>
        <condense val="0"/>
        <extend val="0"/>
        <color rgb="FF9C0006"/>
      </font>
      <fill>
        <patternFill>
          <bgColor rgb="FFFFC7CE"/>
        </patternFill>
      </fill>
    </dxf>
    <dxf>
      <font>
        <condense val="0"/>
        <extend val="0"/>
        <color rgb="FF9C6500"/>
      </font>
      <fill>
        <patternFill>
          <bgColor rgb="FFFFEB9C"/>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s>
  <tableStyles count="0" defaultTableStyle="TableStyleMedium9" defaultPivotStyle="PivotStyleLight16"/>
  <colors>
    <mruColors>
      <color rgb="FFFFFF99"/>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6.xml"/><Relationship Id="rId47"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2.xml"/><Relationship Id="rId46"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externalLink" Target="externalLinks/externalLink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1.xml"/><Relationship Id="rId40" Type="http://schemas.openxmlformats.org/officeDocument/2006/relationships/externalLink" Target="externalLinks/externalLink4.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8.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7.xml"/><Relationship Id="rId48"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WMI\WMI%20TT\Production\Database\2012\WIP\Market%20Database\Tunisia\Tunisia_Tourism_Hotel.xlsx"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TDF-Secondary%20cum%20Calculation"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WMI\WMI%20TT\Production\Database\2012\Final%20Approved\TDF\Tunisia\Tunisia_TDF.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WMI\WMI%20TT\Production\Database\2012\WIP\Market%20Database\France\Hotel\France_Hotel%20Database-QC.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WMI\WMI%20TT\Working%20Folders\Databases\2013\Final%20Approved\Medium\Travel%20Intermediaries\Sources\Copy%20of%20UAE_Travel%20Intermediation.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WMI\WMI%20TT\Production\Database\2012\WIP\EI\Egypt\Economic%20Impact%20Database%20_Egypt.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WMI\WMI%20TT\Production\Database\2012\Final%20Approved\EI\Turkey\Economic%20Impact%20Database%20_Turkey.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WMI\WMI%20TT\Production\Database\2012\Final%20Approved\EI\Turkey\Economic%20Impact%20Database%20_Turkey-Fina2l.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Home"/>
      <sheetName val="Tourism Medium DB-US$"/>
      <sheetName val="Tourism Medium DB-LCU"/>
      <sheetName val="Hotel-Forecasting"/>
      <sheetName val="Growth rate"/>
      <sheetName val="Hotel- WS"/>
      <sheetName val="WTTC Export"/>
      <sheetName val="Checks"/>
    </sheetNames>
    <sheetDataSet>
      <sheetData sheetId="0">
        <row r="1">
          <cell r="B1" t="str">
            <v>Tunisia</v>
          </cell>
        </row>
        <row r="5">
          <cell r="C5">
            <v>0.82479999999999998</v>
          </cell>
          <cell r="D5">
            <v>0.75449999999999995</v>
          </cell>
          <cell r="E5">
            <v>0.70609999999999995</v>
          </cell>
          <cell r="F5">
            <v>0.71419999999999995</v>
          </cell>
          <cell r="G5">
            <v>0.64270000000000005</v>
          </cell>
          <cell r="H5">
            <v>0.64270000000000005</v>
          </cell>
          <cell r="I5">
            <v>0.64270000000000005</v>
          </cell>
          <cell r="J5">
            <v>0.64270000000000005</v>
          </cell>
          <cell r="K5">
            <v>0.64270000000000005</v>
          </cell>
          <cell r="L5">
            <v>0.64270000000000005</v>
          </cell>
        </row>
      </sheetData>
      <sheetData sheetId="1" refreshError="1"/>
      <sheetData sheetId="2">
        <row r="150">
          <cell r="G150">
            <v>836</v>
          </cell>
        </row>
      </sheetData>
      <sheetData sheetId="3" refreshError="1"/>
      <sheetData sheetId="4" refreshError="1"/>
      <sheetData sheetId="5" refreshError="1"/>
      <sheetData sheetId="6">
        <row r="32">
          <cell r="B32">
            <v>0.84493111974567292</v>
          </cell>
        </row>
      </sheetData>
      <sheetData sheetId="7"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TDF-Secondary cum Calculation"/>
    </sheetNames>
    <sheetDataSet>
      <sheetData sheetId="0"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Home"/>
      <sheetName val="TDF-Secondary cum Calculation"/>
      <sheetName val="TDF-Forecasting"/>
      <sheetName val="TDF-Final Sheet"/>
      <sheetName val="Check Points for TDF"/>
      <sheetName val="TDF-Growth Rate"/>
      <sheetName val="TDF-Sum Checks"/>
      <sheetName val="Working sheet"/>
      <sheetName val="weoreptc (37)"/>
      <sheetName val="WTTC Export"/>
      <sheetName val="weoreptc (45)"/>
      <sheetName val="weoreptc (40)"/>
      <sheetName val="WTTC Export (2)"/>
      <sheetName val="Sheet3"/>
    </sheetNames>
    <sheetDataSet>
      <sheetData sheetId="0" refreshError="1"/>
      <sheetData sheetId="1" refreshError="1">
        <row r="1">
          <cell r="A1" t="str">
            <v>Country</v>
          </cell>
          <cell r="B1" t="str">
            <v>Subject</v>
          </cell>
          <cell r="C1" t="str">
            <v>Metric</v>
          </cell>
          <cell r="D1" t="str">
            <v>Metric-1</v>
          </cell>
          <cell r="E1" t="str">
            <v>Metric-2</v>
          </cell>
          <cell r="J1" t="str">
            <v>Units</v>
          </cell>
          <cell r="M1">
            <v>2008</v>
          </cell>
          <cell r="N1">
            <v>2009</v>
          </cell>
          <cell r="O1">
            <v>2010</v>
          </cell>
          <cell r="P1">
            <v>2011</v>
          </cell>
          <cell r="Q1">
            <v>2012</v>
          </cell>
          <cell r="R1">
            <v>2013</v>
          </cell>
          <cell r="S1">
            <v>2014</v>
          </cell>
          <cell r="T1">
            <v>2015</v>
          </cell>
          <cell r="U1">
            <v>2016</v>
          </cell>
        </row>
        <row r="2">
          <cell r="A2" t="str">
            <v>Tunisia</v>
          </cell>
          <cell r="B2" t="str">
            <v>Tourism Demand Factors</v>
          </cell>
        </row>
        <row r="4">
          <cell r="A4" t="str">
            <v>Tunisia</v>
          </cell>
          <cell r="B4" t="str">
            <v>Tourism Demand Factors</v>
          </cell>
          <cell r="C4" t="str">
            <v>Typical Holiday Entitlement of Employees per Annum by Type</v>
          </cell>
        </row>
        <row r="5">
          <cell r="C5" t="str">
            <v>Growth Rate</v>
          </cell>
          <cell r="J5" t="str">
            <v>%</v>
          </cell>
        </row>
        <row r="6">
          <cell r="A6" t="str">
            <v>Tunisia</v>
          </cell>
          <cell r="B6" t="str">
            <v>Tourism Demand Factors</v>
          </cell>
          <cell r="C6" t="str">
            <v>Typical Holiday Entitlement of Employees per Annum by Type</v>
          </cell>
          <cell r="D6" t="str">
            <v>Paid Holidays</v>
          </cell>
        </row>
        <row r="7">
          <cell r="C7" t="str">
            <v>Growth Rate</v>
          </cell>
          <cell r="J7" t="str">
            <v>%</v>
          </cell>
        </row>
        <row r="8">
          <cell r="A8" t="str">
            <v>Tunisia</v>
          </cell>
          <cell r="B8" t="str">
            <v>Tourism Demand Factors</v>
          </cell>
          <cell r="C8" t="str">
            <v>Typical Holiday Entitlement of Employees per Annum by Type</v>
          </cell>
          <cell r="D8" t="str">
            <v>Public Holidays</v>
          </cell>
        </row>
        <row r="9">
          <cell r="C9" t="str">
            <v>Growth Rate</v>
          </cell>
          <cell r="J9" t="str">
            <v>%</v>
          </cell>
        </row>
        <row r="150">
          <cell r="A150" t="str">
            <v>Tunisia</v>
          </cell>
          <cell r="B150" t="str">
            <v>Tourism Demand Factors</v>
          </cell>
          <cell r="C150" t="str">
            <v>Number of Trips by Season</v>
          </cell>
        </row>
        <row r="151">
          <cell r="C151" t="str">
            <v>Growth Rate</v>
          </cell>
          <cell r="J151" t="str">
            <v>%</v>
          </cell>
        </row>
        <row r="152">
          <cell r="A152" t="str">
            <v>Tunisia</v>
          </cell>
          <cell r="B152" t="str">
            <v>Tourism Demand Factors</v>
          </cell>
          <cell r="C152" t="str">
            <v>Number of Holiday Takers by Season</v>
          </cell>
          <cell r="D152" t="str">
            <v>January - March</v>
          </cell>
        </row>
        <row r="153">
          <cell r="C153" t="str">
            <v>Growth Rate</v>
          </cell>
          <cell r="J153" t="str">
            <v>%</v>
          </cell>
        </row>
        <row r="154">
          <cell r="A154" t="str">
            <v>Tunisia</v>
          </cell>
          <cell r="B154" t="str">
            <v>Tourism Demand Factors</v>
          </cell>
          <cell r="C154" t="str">
            <v>Number of Holiday Takers by Season</v>
          </cell>
          <cell r="D154" t="str">
            <v>April - June</v>
          </cell>
        </row>
        <row r="155">
          <cell r="C155" t="str">
            <v>Growth Rate</v>
          </cell>
          <cell r="J155" t="str">
            <v>%</v>
          </cell>
        </row>
        <row r="156">
          <cell r="A156" t="str">
            <v>Tunisia</v>
          </cell>
          <cell r="B156" t="str">
            <v>Tourism Demand Factors</v>
          </cell>
          <cell r="C156" t="str">
            <v>Number of Holiday Takers by Season</v>
          </cell>
          <cell r="D156" t="str">
            <v>July - September</v>
          </cell>
        </row>
        <row r="157">
          <cell r="C157" t="str">
            <v>Growth Rate</v>
          </cell>
          <cell r="J157" t="str">
            <v>%</v>
          </cell>
        </row>
        <row r="158">
          <cell r="A158" t="str">
            <v>Tunisia</v>
          </cell>
          <cell r="B158" t="str">
            <v>Tourism Demand Factors</v>
          </cell>
          <cell r="C158" t="str">
            <v>Number of Holiday Takers by Season</v>
          </cell>
          <cell r="D158" t="str">
            <v>October - December</v>
          </cell>
        </row>
        <row r="159">
          <cell r="C159" t="str">
            <v>Growth Rate</v>
          </cell>
          <cell r="J159" t="str">
            <v>%</v>
          </cell>
        </row>
        <row r="160">
          <cell r="D160" t="str">
            <v>January - March</v>
          </cell>
        </row>
        <row r="162">
          <cell r="D162" t="str">
            <v>April - June</v>
          </cell>
        </row>
        <row r="164">
          <cell r="D164" t="str">
            <v>July - September</v>
          </cell>
        </row>
        <row r="166">
          <cell r="D166" t="str">
            <v>October - December</v>
          </cell>
        </row>
        <row r="167">
          <cell r="A167" t="str">
            <v>Tunisia</v>
          </cell>
          <cell r="B167" t="str">
            <v>Tourism Demand Factors</v>
          </cell>
          <cell r="C167" t="str">
            <v>Number of Trips by Residents by Type</v>
          </cell>
        </row>
        <row r="168">
          <cell r="C168" t="str">
            <v>Growth Rate</v>
          </cell>
          <cell r="J168" t="str">
            <v>%</v>
          </cell>
        </row>
        <row r="169">
          <cell r="A169" t="str">
            <v>Tunisia</v>
          </cell>
          <cell r="B169" t="str">
            <v>Tourism Demand Factors</v>
          </cell>
          <cell r="C169" t="str">
            <v>Number of Return Trips by Residents by Length &amp; Type</v>
          </cell>
          <cell r="D169" t="str">
            <v>Domestic Trips</v>
          </cell>
        </row>
        <row r="170">
          <cell r="C170" t="str">
            <v>Growth Rate</v>
          </cell>
          <cell r="J170" t="str">
            <v>%</v>
          </cell>
        </row>
        <row r="171">
          <cell r="A171" t="str">
            <v>Tunisia</v>
          </cell>
          <cell r="B171" t="str">
            <v>Tourism Demand Factors</v>
          </cell>
          <cell r="C171" t="str">
            <v>Number of Return Trips by Residents by Length &amp; Type</v>
          </cell>
          <cell r="D171" t="str">
            <v>International Trips</v>
          </cell>
        </row>
        <row r="172">
          <cell r="C172" t="str">
            <v>Growth Rate</v>
          </cell>
          <cell r="J172" t="str">
            <v>%</v>
          </cell>
        </row>
        <row r="173">
          <cell r="A173" t="str">
            <v>Tunisia</v>
          </cell>
          <cell r="B173" t="str">
            <v>Tourism Demand Factors</v>
          </cell>
          <cell r="C173" t="str">
            <v>Average Length of Tourism Trips by Type</v>
          </cell>
          <cell r="V173" t="e">
            <v>#DIV/0!</v>
          </cell>
          <cell r="W173" t="e">
            <v>#DIV/0!</v>
          </cell>
        </row>
        <row r="175">
          <cell r="A175" t="str">
            <v>Tunisia</v>
          </cell>
          <cell r="B175" t="str">
            <v>Tourism Demand Factors</v>
          </cell>
          <cell r="C175" t="str">
            <v>Average Length of Tourism Trips by Type</v>
          </cell>
          <cell r="D175" t="str">
            <v>Domestic Trips</v>
          </cell>
        </row>
        <row r="176">
          <cell r="C176" t="str">
            <v>Growth Rate</v>
          </cell>
          <cell r="J176" t="str">
            <v>%</v>
          </cell>
        </row>
        <row r="177">
          <cell r="A177" t="str">
            <v>Tunisia</v>
          </cell>
          <cell r="B177" t="str">
            <v>Tourism Demand Factors</v>
          </cell>
          <cell r="C177" t="str">
            <v>Average Length of Tourism Trips by Type</v>
          </cell>
          <cell r="D177" t="str">
            <v>International Trips</v>
          </cell>
          <cell r="J177" t="str">
            <v>Average No. of nights spent</v>
          </cell>
        </row>
        <row r="178">
          <cell r="C178" t="str">
            <v>Growth Rate</v>
          </cell>
        </row>
        <row r="242">
          <cell r="A242" t="str">
            <v>Tunisia</v>
          </cell>
          <cell r="B242" t="str">
            <v>Tourism Flows</v>
          </cell>
        </row>
        <row r="376">
          <cell r="A376" t="str">
            <v>Tunisia</v>
          </cell>
          <cell r="B376" t="str">
            <v>Tourism Flows</v>
          </cell>
          <cell r="C376" t="str">
            <v>International Arrivals by Place of Origin</v>
          </cell>
          <cell r="J376" t="str">
            <v>Thousand</v>
          </cell>
        </row>
        <row r="377">
          <cell r="C377" t="str">
            <v>Growth Rate</v>
          </cell>
          <cell r="J377" t="str">
            <v>%</v>
          </cell>
        </row>
        <row r="378">
          <cell r="A378" t="str">
            <v>Tunisia</v>
          </cell>
          <cell r="B378" t="str">
            <v>Tourism Flows</v>
          </cell>
          <cell r="C378" t="str">
            <v>International Arrivals by Place of Origin</v>
          </cell>
          <cell r="D378" t="str">
            <v>Africa</v>
          </cell>
          <cell r="J378" t="str">
            <v>Thousand</v>
          </cell>
        </row>
        <row r="379">
          <cell r="C379" t="str">
            <v>Growth Rate</v>
          </cell>
          <cell r="J379" t="str">
            <v>%</v>
          </cell>
        </row>
        <row r="490">
          <cell r="A490" t="str">
            <v>Tunisia</v>
          </cell>
          <cell r="B490" t="str">
            <v>Tourism Flows</v>
          </cell>
          <cell r="C490" t="str">
            <v>International Arrivals by Place of Origin</v>
          </cell>
          <cell r="D490" t="str">
            <v>Asia-Pacific</v>
          </cell>
          <cell r="J490" t="str">
            <v>Thousand</v>
          </cell>
        </row>
        <row r="491">
          <cell r="C491" t="str">
            <v>Growth Rate</v>
          </cell>
          <cell r="J491" t="str">
            <v>%</v>
          </cell>
        </row>
        <row r="582">
          <cell r="A582" t="str">
            <v>Tunisia</v>
          </cell>
          <cell r="B582" t="str">
            <v>Tourism Flows</v>
          </cell>
          <cell r="C582" t="str">
            <v>International Arrivals by Place of Origin</v>
          </cell>
          <cell r="D582" t="str">
            <v>Europe</v>
          </cell>
          <cell r="J582" t="str">
            <v>Thousand</v>
          </cell>
        </row>
        <row r="583">
          <cell r="C583" t="str">
            <v>Growth Rate</v>
          </cell>
          <cell r="J583" t="str">
            <v>%</v>
          </cell>
        </row>
        <row r="674">
          <cell r="A674" t="str">
            <v>Tunisia</v>
          </cell>
          <cell r="B674" t="str">
            <v>Tourism Flows</v>
          </cell>
          <cell r="C674" t="str">
            <v>International Arrivals by Place of Origin</v>
          </cell>
          <cell r="D674" t="str">
            <v>Middle East</v>
          </cell>
          <cell r="J674" t="str">
            <v>Thousand</v>
          </cell>
        </row>
        <row r="675">
          <cell r="C675" t="str">
            <v>Growth Rate</v>
          </cell>
          <cell r="J675" t="str">
            <v>%</v>
          </cell>
        </row>
        <row r="706">
          <cell r="A706" t="str">
            <v>Tunisia</v>
          </cell>
          <cell r="B706" t="str">
            <v>Tourism Flows</v>
          </cell>
          <cell r="C706" t="str">
            <v>International Arrivals by Place of Origin</v>
          </cell>
          <cell r="D706" t="str">
            <v>North America</v>
          </cell>
          <cell r="J706" t="str">
            <v>Thousand</v>
          </cell>
        </row>
        <row r="707">
          <cell r="C707" t="str">
            <v>Growth Rate</v>
          </cell>
          <cell r="J707" t="str">
            <v>%</v>
          </cell>
        </row>
        <row r="714">
          <cell r="A714" t="str">
            <v>Tunisia</v>
          </cell>
          <cell r="B714" t="str">
            <v>Tourism Flows</v>
          </cell>
          <cell r="C714" t="str">
            <v>International Arrivals by Place of Origin</v>
          </cell>
          <cell r="D714" t="str">
            <v>South &amp; Central America</v>
          </cell>
          <cell r="J714" t="str">
            <v>Thousand</v>
          </cell>
        </row>
        <row r="715">
          <cell r="C715" t="str">
            <v>Growth Rate</v>
          </cell>
          <cell r="J715" t="str">
            <v>%</v>
          </cell>
        </row>
        <row r="792">
          <cell r="A792" t="str">
            <v>Tunisia</v>
          </cell>
          <cell r="B792" t="str">
            <v>Tourism Flows</v>
          </cell>
          <cell r="C792" t="str">
            <v>International Arrivals by Purpose of Visit</v>
          </cell>
          <cell r="J792" t="str">
            <v>Thousand</v>
          </cell>
        </row>
        <row r="793">
          <cell r="C793" t="str">
            <v>Growth Rate</v>
          </cell>
          <cell r="J793" t="str">
            <v>%</v>
          </cell>
        </row>
        <row r="794">
          <cell r="A794" t="str">
            <v>Tunisia</v>
          </cell>
          <cell r="B794" t="str">
            <v>Tourism Flows</v>
          </cell>
          <cell r="C794" t="str">
            <v>International Arrivals by Purpose of Visit</v>
          </cell>
          <cell r="D794" t="str">
            <v>Business</v>
          </cell>
          <cell r="J794" t="str">
            <v>Thousand</v>
          </cell>
        </row>
        <row r="795">
          <cell r="C795" t="str">
            <v>Growth Rate</v>
          </cell>
          <cell r="J795" t="str">
            <v>%</v>
          </cell>
        </row>
        <row r="796">
          <cell r="A796" t="str">
            <v>Tunisia</v>
          </cell>
          <cell r="B796" t="str">
            <v>Tourism Flows</v>
          </cell>
          <cell r="C796" t="str">
            <v>International Arrivals by Purpose of Visit</v>
          </cell>
          <cell r="D796" t="str">
            <v>Leisure</v>
          </cell>
          <cell r="J796" t="str">
            <v>Thousand</v>
          </cell>
        </row>
        <row r="797">
          <cell r="C797" t="str">
            <v>Growth Rate</v>
          </cell>
          <cell r="J797" t="str">
            <v>%</v>
          </cell>
        </row>
        <row r="798">
          <cell r="A798" t="str">
            <v>Tunisia</v>
          </cell>
          <cell r="B798" t="str">
            <v>Tourism Flows</v>
          </cell>
          <cell r="C798" t="str">
            <v>International Arrivals by Purpose of Visit</v>
          </cell>
          <cell r="D798" t="str">
            <v>Other Personal</v>
          </cell>
          <cell r="J798" t="str">
            <v>Thousand</v>
          </cell>
        </row>
        <row r="799">
          <cell r="C799" t="str">
            <v>Growth Rate</v>
          </cell>
          <cell r="J799" t="str">
            <v>%</v>
          </cell>
        </row>
        <row r="800">
          <cell r="D800" t="str">
            <v>Business</v>
          </cell>
        </row>
        <row r="802">
          <cell r="D802" t="str">
            <v>Leisure</v>
          </cell>
        </row>
        <row r="804">
          <cell r="D804" t="str">
            <v>Other Personal</v>
          </cell>
        </row>
        <row r="823">
          <cell r="A823" t="str">
            <v>Tunisia</v>
          </cell>
          <cell r="B823" t="str">
            <v>Tourism Flows</v>
          </cell>
          <cell r="C823" t="str">
            <v>International Departures by Destination</v>
          </cell>
          <cell r="J823" t="str">
            <v>Thousand</v>
          </cell>
        </row>
        <row r="824">
          <cell r="C824" t="str">
            <v>Growth Rate</v>
          </cell>
          <cell r="J824" t="str">
            <v>%</v>
          </cell>
        </row>
        <row r="825">
          <cell r="A825" t="str">
            <v>Tunisia</v>
          </cell>
          <cell r="B825" t="str">
            <v>Tourism Flows</v>
          </cell>
          <cell r="C825" t="str">
            <v>International Departures by Destination</v>
          </cell>
          <cell r="D825" t="str">
            <v>Africa</v>
          </cell>
          <cell r="J825" t="str">
            <v>Thousand</v>
          </cell>
        </row>
        <row r="826">
          <cell r="C826" t="str">
            <v>Growth Rate</v>
          </cell>
          <cell r="J826" t="str">
            <v>%</v>
          </cell>
        </row>
        <row r="937">
          <cell r="A937" t="str">
            <v>Tunisia</v>
          </cell>
          <cell r="B937" t="str">
            <v>Tourism Flows</v>
          </cell>
          <cell r="C937" t="str">
            <v>International Departures by Destination</v>
          </cell>
          <cell r="D937" t="str">
            <v>Asia-Pacific</v>
          </cell>
          <cell r="J937" t="str">
            <v>Thousand</v>
          </cell>
        </row>
        <row r="938">
          <cell r="C938" t="str">
            <v>Growth Rate</v>
          </cell>
          <cell r="J938" t="str">
            <v>%</v>
          </cell>
        </row>
        <row r="1029">
          <cell r="A1029" t="str">
            <v>Tunisia</v>
          </cell>
          <cell r="B1029" t="str">
            <v>Tourism Flows</v>
          </cell>
          <cell r="C1029" t="str">
            <v>International Departures by Destination</v>
          </cell>
          <cell r="D1029" t="str">
            <v>Europe</v>
          </cell>
          <cell r="J1029" t="str">
            <v>Thousand</v>
          </cell>
        </row>
        <row r="1030">
          <cell r="C1030" t="str">
            <v>Growth Rate</v>
          </cell>
          <cell r="J1030" t="str">
            <v>%</v>
          </cell>
        </row>
        <row r="1121">
          <cell r="A1121" t="str">
            <v>Tunisia</v>
          </cell>
          <cell r="B1121" t="str">
            <v>Tourism Flows</v>
          </cell>
          <cell r="C1121" t="str">
            <v>International Departures by Destination</v>
          </cell>
          <cell r="D1121" t="str">
            <v>Middle East</v>
          </cell>
          <cell r="J1121" t="str">
            <v>Thousand</v>
          </cell>
        </row>
        <row r="1122">
          <cell r="C1122" t="str">
            <v>Growth Rate</v>
          </cell>
          <cell r="J1122" t="str">
            <v>%</v>
          </cell>
        </row>
        <row r="1153">
          <cell r="A1153" t="str">
            <v>Tunisia</v>
          </cell>
          <cell r="B1153" t="str">
            <v>Tourism Flows</v>
          </cell>
          <cell r="C1153" t="str">
            <v>International Departures by Destination</v>
          </cell>
          <cell r="D1153" t="str">
            <v>North America</v>
          </cell>
          <cell r="J1153" t="str">
            <v>Thousand</v>
          </cell>
        </row>
        <row r="1154">
          <cell r="C1154" t="str">
            <v>Growth Rate</v>
          </cell>
          <cell r="J1154" t="str">
            <v>%</v>
          </cell>
        </row>
        <row r="1161">
          <cell r="A1161" t="str">
            <v>Tunisia</v>
          </cell>
          <cell r="B1161" t="str">
            <v>Tourism Flows</v>
          </cell>
          <cell r="C1161" t="str">
            <v>International Departures by Destination</v>
          </cell>
          <cell r="D1161" t="str">
            <v>South &amp; Central America</v>
          </cell>
          <cell r="J1161" t="str">
            <v>Thousand</v>
          </cell>
        </row>
        <row r="1162">
          <cell r="C1162" t="str">
            <v>Growth Rate</v>
          </cell>
          <cell r="J1162" t="str">
            <v>%</v>
          </cell>
        </row>
        <row r="1239">
          <cell r="A1239" t="str">
            <v>Tunisia</v>
          </cell>
          <cell r="B1239" t="str">
            <v>Tourism Flows</v>
          </cell>
          <cell r="C1239" t="str">
            <v>International Departures by Purpose of Visit</v>
          </cell>
          <cell r="J1239" t="str">
            <v>Thousand</v>
          </cell>
        </row>
        <row r="1240">
          <cell r="C1240" t="str">
            <v>Growth Rate</v>
          </cell>
          <cell r="J1240" t="str">
            <v>%</v>
          </cell>
        </row>
        <row r="1241">
          <cell r="A1241" t="str">
            <v>Tunisia</v>
          </cell>
          <cell r="B1241" t="str">
            <v>Tourism Flows</v>
          </cell>
          <cell r="C1241" t="str">
            <v>International Departures by Purpose of Visit</v>
          </cell>
          <cell r="D1241" t="str">
            <v>Business</v>
          </cell>
          <cell r="J1241" t="str">
            <v>Thousand</v>
          </cell>
        </row>
        <row r="1242">
          <cell r="C1242" t="str">
            <v>Growth Rate</v>
          </cell>
          <cell r="J1242" t="str">
            <v>%</v>
          </cell>
        </row>
        <row r="1243">
          <cell r="A1243" t="str">
            <v>Tunisia</v>
          </cell>
          <cell r="B1243" t="str">
            <v>Tourism Flows</v>
          </cell>
          <cell r="C1243" t="str">
            <v>International Departures by Purpose of Visit</v>
          </cell>
          <cell r="D1243" t="str">
            <v>Leisure</v>
          </cell>
          <cell r="J1243" t="str">
            <v>Thousand</v>
          </cell>
        </row>
        <row r="1244">
          <cell r="C1244" t="str">
            <v>Growth Rate</v>
          </cell>
          <cell r="J1244" t="str">
            <v>%</v>
          </cell>
        </row>
        <row r="1245">
          <cell r="A1245" t="str">
            <v>Tunisia</v>
          </cell>
          <cell r="B1245" t="str">
            <v>Tourism Flows</v>
          </cell>
          <cell r="C1245" t="str">
            <v>International Departures by Purpose of Visit</v>
          </cell>
          <cell r="D1245" t="str">
            <v>Other Personal</v>
          </cell>
          <cell r="J1245" t="str">
            <v>Thousand</v>
          </cell>
        </row>
        <row r="1246">
          <cell r="C1246" t="str">
            <v>Growth Rate</v>
          </cell>
          <cell r="J1246" t="str">
            <v>%</v>
          </cell>
        </row>
        <row r="1247">
          <cell r="D1247" t="str">
            <v>Business</v>
          </cell>
        </row>
        <row r="1249">
          <cell r="D1249" t="str">
            <v>Leisure</v>
          </cell>
        </row>
        <row r="1251">
          <cell r="D1251" t="str">
            <v>Other Personal</v>
          </cell>
        </row>
        <row r="1270">
          <cell r="D1270" t="str">
            <v>Tourism Packages</v>
          </cell>
          <cell r="M1270" t="e">
            <v>#DIV/0!</v>
          </cell>
          <cell r="N1270" t="e">
            <v>#DIV/0!</v>
          </cell>
          <cell r="O1270" t="e">
            <v>#DIV/0!</v>
          </cell>
          <cell r="P1270" t="e">
            <v>#DIV/0!</v>
          </cell>
          <cell r="V1270">
            <v>0</v>
          </cell>
          <cell r="W1270">
            <v>0</v>
          </cell>
        </row>
        <row r="1271">
          <cell r="M1271">
            <v>0</v>
          </cell>
          <cell r="N1271">
            <v>0</v>
          </cell>
          <cell r="O1271">
            <v>0</v>
          </cell>
          <cell r="P1271">
            <v>0</v>
          </cell>
          <cell r="V1271">
            <v>0</v>
          </cell>
          <cell r="W1271">
            <v>0</v>
          </cell>
        </row>
        <row r="1272">
          <cell r="D1272" t="str">
            <v>Accommodation</v>
          </cell>
          <cell r="M1272" t="e">
            <v>#DIV/0!</v>
          </cell>
          <cell r="N1272" t="e">
            <v>#DIV/0!</v>
          </cell>
          <cell r="O1272" t="e">
            <v>#DIV/0!</v>
          </cell>
          <cell r="P1272" t="e">
            <v>#DIV/0!</v>
          </cell>
          <cell r="V1272">
            <v>0</v>
          </cell>
          <cell r="W1272">
            <v>0</v>
          </cell>
        </row>
        <row r="1273">
          <cell r="M1273">
            <v>0</v>
          </cell>
          <cell r="N1273">
            <v>0</v>
          </cell>
          <cell r="O1273">
            <v>0</v>
          </cell>
          <cell r="P1273">
            <v>0</v>
          </cell>
          <cell r="V1273">
            <v>0</v>
          </cell>
          <cell r="W1273">
            <v>0</v>
          </cell>
        </row>
        <row r="1274">
          <cell r="D1274" t="str">
            <v>Entertainment &amp; Sightseeing</v>
          </cell>
          <cell r="M1274" t="e">
            <v>#DIV/0!</v>
          </cell>
          <cell r="N1274" t="e">
            <v>#DIV/0!</v>
          </cell>
          <cell r="O1274" t="e">
            <v>#DIV/0!</v>
          </cell>
          <cell r="P1274" t="e">
            <v>#DIV/0!</v>
          </cell>
          <cell r="V1274">
            <v>0</v>
          </cell>
          <cell r="W1274">
            <v>0</v>
          </cell>
        </row>
        <row r="1275">
          <cell r="M1275">
            <v>0</v>
          </cell>
          <cell r="N1275">
            <v>0</v>
          </cell>
          <cell r="O1275">
            <v>0</v>
          </cell>
          <cell r="P1275">
            <v>0</v>
          </cell>
          <cell r="V1275">
            <v>0</v>
          </cell>
          <cell r="W1275">
            <v>0</v>
          </cell>
        </row>
        <row r="1276">
          <cell r="D1276" t="str">
            <v>Food &amp; Beverage</v>
          </cell>
          <cell r="M1276" t="e">
            <v>#DIV/0!</v>
          </cell>
          <cell r="N1276" t="e">
            <v>#DIV/0!</v>
          </cell>
          <cell r="O1276" t="e">
            <v>#DIV/0!</v>
          </cell>
          <cell r="P1276" t="e">
            <v>#DIV/0!</v>
          </cell>
          <cell r="V1276">
            <v>0</v>
          </cell>
          <cell r="W1276">
            <v>0</v>
          </cell>
        </row>
        <row r="1277">
          <cell r="M1277">
            <v>0</v>
          </cell>
          <cell r="N1277">
            <v>0</v>
          </cell>
          <cell r="O1277">
            <v>0</v>
          </cell>
          <cell r="P1277">
            <v>0</v>
          </cell>
          <cell r="V1277">
            <v>0</v>
          </cell>
          <cell r="W1277">
            <v>0</v>
          </cell>
        </row>
        <row r="1278">
          <cell r="D1278" t="str">
            <v>Shopping</v>
          </cell>
          <cell r="M1278" t="e">
            <v>#DIV/0!</v>
          </cell>
          <cell r="N1278" t="e">
            <v>#DIV/0!</v>
          </cell>
          <cell r="O1278" t="e">
            <v>#DIV/0!</v>
          </cell>
          <cell r="P1278" t="e">
            <v>#DIV/0!</v>
          </cell>
          <cell r="V1278">
            <v>0</v>
          </cell>
          <cell r="W1278">
            <v>0</v>
          </cell>
        </row>
        <row r="1279">
          <cell r="M1279">
            <v>0</v>
          </cell>
          <cell r="N1279">
            <v>0</v>
          </cell>
          <cell r="O1279">
            <v>0</v>
          </cell>
          <cell r="P1279">
            <v>0</v>
          </cell>
          <cell r="V1279">
            <v>0</v>
          </cell>
          <cell r="W1279">
            <v>0</v>
          </cell>
        </row>
        <row r="1280">
          <cell r="D1280" t="str">
            <v>International Travel</v>
          </cell>
          <cell r="M1280" t="e">
            <v>#DIV/0!</v>
          </cell>
          <cell r="N1280" t="e">
            <v>#DIV/0!</v>
          </cell>
          <cell r="O1280" t="e">
            <v>#DIV/0!</v>
          </cell>
          <cell r="P1280" t="e">
            <v>#DIV/0!</v>
          </cell>
          <cell r="V1280">
            <v>0</v>
          </cell>
          <cell r="W1280">
            <v>0</v>
          </cell>
        </row>
        <row r="1281">
          <cell r="M1281">
            <v>0</v>
          </cell>
          <cell r="N1281">
            <v>0</v>
          </cell>
          <cell r="O1281">
            <v>0</v>
          </cell>
          <cell r="P1281">
            <v>0</v>
          </cell>
          <cell r="V1281">
            <v>0</v>
          </cell>
          <cell r="W1281">
            <v>0</v>
          </cell>
        </row>
        <row r="1282">
          <cell r="D1282" t="str">
            <v>Local Travel</v>
          </cell>
          <cell r="M1282" t="e">
            <v>#DIV/0!</v>
          </cell>
          <cell r="N1282" t="e">
            <v>#DIV/0!</v>
          </cell>
          <cell r="O1282" t="e">
            <v>#DIV/0!</v>
          </cell>
          <cell r="P1282" t="e">
            <v>#DIV/0!</v>
          </cell>
          <cell r="V1282">
            <v>0</v>
          </cell>
          <cell r="W1282">
            <v>0</v>
          </cell>
        </row>
        <row r="1283">
          <cell r="M1283">
            <v>0</v>
          </cell>
          <cell r="N1283">
            <v>0</v>
          </cell>
          <cell r="O1283">
            <v>0</v>
          </cell>
          <cell r="P1283">
            <v>0</v>
          </cell>
          <cell r="V1283">
            <v>0</v>
          </cell>
          <cell r="W1283">
            <v>0</v>
          </cell>
        </row>
        <row r="1284">
          <cell r="D1284" t="str">
            <v>Other Spending</v>
          </cell>
          <cell r="M1284" t="e">
            <v>#DIV/0!</v>
          </cell>
          <cell r="N1284" t="e">
            <v>#DIV/0!</v>
          </cell>
          <cell r="O1284" t="e">
            <v>#DIV/0!</v>
          </cell>
          <cell r="P1284" t="e">
            <v>#DIV/0!</v>
          </cell>
          <cell r="V1284">
            <v>0</v>
          </cell>
          <cell r="W1284">
            <v>0</v>
          </cell>
        </row>
        <row r="1285">
          <cell r="A1285" t="str">
            <v>Tunisia</v>
          </cell>
          <cell r="B1285" t="str">
            <v>Tourism Flows</v>
          </cell>
          <cell r="C1285" t="str">
            <v>Number of Overnight stays</v>
          </cell>
          <cell r="J1285" t="str">
            <v>Thousand</v>
          </cell>
        </row>
        <row r="1286">
          <cell r="C1286" t="str">
            <v>Growth Rate</v>
          </cell>
        </row>
        <row r="1287">
          <cell r="D1287" t="str">
            <v>International trips</v>
          </cell>
          <cell r="J1287" t="str">
            <v>Thousand</v>
          </cell>
        </row>
        <row r="1288">
          <cell r="C1288" t="str">
            <v>Growth Rate</v>
          </cell>
        </row>
        <row r="1289">
          <cell r="D1289" t="str">
            <v>Domestic Trips</v>
          </cell>
          <cell r="J1289" t="str">
            <v>Thousand</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Document History "/>
      <sheetName val="Checklist"/>
      <sheetName val="Research Summary"/>
      <sheetName val="Storyboard"/>
      <sheetName val="Home"/>
      <sheetName val="Final Data-US$"/>
      <sheetName val="Final Data"/>
      <sheetName val="Work Sheet"/>
      <sheetName val="Guests"/>
      <sheetName val="Forecasting"/>
      <sheetName val="Growth rate"/>
      <sheetName val="WTTC Export"/>
      <sheetName val="Issue and Call Taken"/>
      <sheetName val="Final Data_GR"/>
      <sheetName val="Germany US$ Final data"/>
      <sheetName val="Checks"/>
      <sheetName val="Sum Checks"/>
      <sheetName val="KPI comparison"/>
      <sheetName val="Reports"/>
    </sheetNames>
    <sheetDataSet>
      <sheetData sheetId="0" refreshError="1"/>
      <sheetData sheetId="1" refreshError="1"/>
      <sheetData sheetId="2" refreshError="1"/>
      <sheetData sheetId="3" refreshError="1"/>
      <sheetData sheetId="4">
        <row r="1">
          <cell r="B1" t="str">
            <v>France</v>
          </cell>
        </row>
      </sheetData>
      <sheetData sheetId="5" refreshError="1"/>
      <sheetData sheetId="6">
        <row r="66">
          <cell r="I66">
            <v>107281.34508544994</v>
          </cell>
        </row>
      </sheetData>
      <sheetData sheetId="7" refreshError="1"/>
      <sheetData sheetId="8" refreshError="1"/>
      <sheetData sheetId="9" refreshError="1"/>
      <sheetData sheetId="10" refreshError="1"/>
      <sheetData sheetId="11">
        <row r="18">
          <cell r="C18">
            <v>59.005000000000003</v>
          </cell>
        </row>
      </sheetData>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Checklist"/>
      <sheetName val="Document History "/>
      <sheetName val="Research Summary"/>
      <sheetName val="Home"/>
      <sheetName val="Final Data"/>
      <sheetName val="Final Data-US$"/>
      <sheetName val="Tourism Medium DB-LCU"/>
      <sheetName val="Sum Checks"/>
      <sheetName val="Forecasting"/>
      <sheetName val="Working Sheet"/>
      <sheetName val="UAE EI-LCU"/>
      <sheetName val="Saudi-TI-LCU"/>
      <sheetName val="Issues &amp; Call Taken"/>
      <sheetName val="Saudi TI-US$ "/>
      <sheetName val="Saudi-EI-US$"/>
      <sheetName val="Checks"/>
      <sheetName val="UAE EI-US$"/>
      <sheetName val="Final_GR"/>
      <sheetName val="Growth rate"/>
    </sheetNames>
    <sheetDataSet>
      <sheetData sheetId="0" refreshError="1"/>
      <sheetData sheetId="1" refreshError="1"/>
      <sheetData sheetId="2" refreshError="1"/>
      <sheetData sheetId="3" refreshError="1"/>
      <sheetData sheetId="4" refreshError="1">
        <row r="1">
          <cell r="A1" t="str">
            <v>Country</v>
          </cell>
          <cell r="B1" t="str">
            <v>Subject</v>
          </cell>
          <cell r="E1" t="str">
            <v>Metric-2</v>
          </cell>
          <cell r="F1" t="str">
            <v>Metric-3</v>
          </cell>
          <cell r="I1">
            <v>2008</v>
          </cell>
          <cell r="J1">
            <v>2009</v>
          </cell>
          <cell r="K1">
            <v>2010</v>
          </cell>
          <cell r="L1">
            <v>2011</v>
          </cell>
          <cell r="M1">
            <v>2012</v>
          </cell>
          <cell r="N1">
            <v>2013</v>
          </cell>
          <cell r="O1">
            <v>2014</v>
          </cell>
          <cell r="P1">
            <v>2015</v>
          </cell>
          <cell r="Q1">
            <v>2016</v>
          </cell>
          <cell r="R1">
            <v>2017</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Drivers-arun"/>
      <sheetName val="Visitor Export - Forecast"/>
      <sheetName val="Germany-TDF"/>
      <sheetName val="US-TDF"/>
      <sheetName val="US-EI"/>
      <sheetName val="Home"/>
      <sheetName val="Document History "/>
      <sheetName val="Checklist"/>
      <sheetName val="Research Summary"/>
      <sheetName val="Final Sheet -US$"/>
      <sheetName val="Final Sheet-LCU"/>
      <sheetName val="Benchmarking Country"/>
      <sheetName val="Forecasting"/>
      <sheetName val="Growth Rate"/>
      <sheetName val="Working Sheet"/>
      <sheetName val="Checks"/>
      <sheetName val="Sum Checks"/>
      <sheetName val="Input sheet"/>
      <sheetName val="Drivers"/>
      <sheetName val="Checks_UAE"/>
      <sheetName val="WTTC Export"/>
    </sheetNames>
    <sheetDataSet>
      <sheetData sheetId="0"/>
      <sheetData sheetId="1"/>
      <sheetData sheetId="2"/>
      <sheetData sheetId="3"/>
      <sheetData sheetId="4"/>
      <sheetData sheetId="5">
        <row r="1">
          <cell r="B1" t="str">
            <v>Egypt</v>
          </cell>
        </row>
      </sheetData>
      <sheetData sheetId="6"/>
      <sheetData sheetId="7"/>
      <sheetData sheetId="8"/>
      <sheetData sheetId="9">
        <row r="1">
          <cell r="A1" t="str">
            <v>Country</v>
          </cell>
          <cell r="B1" t="str">
            <v>Subject</v>
          </cell>
          <cell r="C1" t="str">
            <v>Metric</v>
          </cell>
          <cell r="D1" t="str">
            <v>Metric-1</v>
          </cell>
          <cell r="E1" t="str">
            <v>Metric-2</v>
          </cell>
          <cell r="F1" t="str">
            <v>Metric-3</v>
          </cell>
          <cell r="G1" t="str">
            <v>Unit</v>
          </cell>
        </row>
        <row r="2">
          <cell r="B2" t="str">
            <v>Tourism Receipts &amp; Expenditure</v>
          </cell>
        </row>
        <row r="3">
          <cell r="B3" t="str">
            <v>Tourism Receipts &amp; Expenditure</v>
          </cell>
          <cell r="C3" t="str">
            <v>Domestic Tourist Expenditure by Sector</v>
          </cell>
        </row>
        <row r="4">
          <cell r="B4" t="str">
            <v>Tourism Receipts &amp; Expenditure</v>
          </cell>
          <cell r="C4" t="str">
            <v>Domestic Tourist Expenditure by Sector</v>
          </cell>
          <cell r="D4" t="str">
            <v>Accommodation</v>
          </cell>
        </row>
        <row r="5">
          <cell r="B5" t="str">
            <v>Tourism Receipts &amp; Expenditure</v>
          </cell>
          <cell r="C5" t="str">
            <v>Domestic Tourist Expenditure by Sector</v>
          </cell>
          <cell r="D5" t="str">
            <v>Entertainment &amp; Sightseeing</v>
          </cell>
        </row>
        <row r="6">
          <cell r="B6" t="str">
            <v>Tourism Receipts &amp; Expenditure</v>
          </cell>
          <cell r="C6" t="str">
            <v>Domestic Tourist Expenditure by Sector</v>
          </cell>
          <cell r="D6" t="str">
            <v>Foodservice</v>
          </cell>
        </row>
        <row r="7">
          <cell r="B7" t="str">
            <v>Tourism Receipts &amp; Expenditure</v>
          </cell>
          <cell r="C7" t="str">
            <v>Domestic Tourist Expenditure by Sector</v>
          </cell>
          <cell r="D7" t="str">
            <v>Retail</v>
          </cell>
        </row>
        <row r="8">
          <cell r="B8" t="str">
            <v>Tourism Receipts &amp; Expenditure</v>
          </cell>
          <cell r="C8" t="str">
            <v>Domestic Tourist Expenditure by Sector</v>
          </cell>
          <cell r="D8" t="str">
            <v>Transportation</v>
          </cell>
        </row>
        <row r="9">
          <cell r="B9" t="str">
            <v>Tourism Receipts &amp; Expenditure</v>
          </cell>
          <cell r="C9" t="str">
            <v>Domestic Tourist Expenditure by Sector</v>
          </cell>
          <cell r="D9" t="str">
            <v>Travel Intermediation</v>
          </cell>
        </row>
        <row r="10">
          <cell r="B10" t="str">
            <v>Tourism Receipts &amp; Expenditure</v>
          </cell>
          <cell r="C10" t="str">
            <v>Domestic Tourist Expenditure by Sector</v>
          </cell>
          <cell r="D10" t="str">
            <v>Other Sectors</v>
          </cell>
        </row>
        <row r="11">
          <cell r="A11" t="str">
            <v>Egypt</v>
          </cell>
          <cell r="B11" t="str">
            <v>Tourism Receipts &amp; Expenditure</v>
          </cell>
          <cell r="C11" t="str">
            <v>Inbound Tourist Expenditure by Sector</v>
          </cell>
          <cell r="H11">
            <v>10327</v>
          </cell>
          <cell r="I11">
            <v>12104</v>
          </cell>
          <cell r="J11">
            <v>11757</v>
          </cell>
          <cell r="K11">
            <v>13633</v>
          </cell>
          <cell r="L11">
            <v>10440</v>
          </cell>
          <cell r="M11">
            <v>11102.191823809924</v>
          </cell>
          <cell r="N11">
            <v>11990.607592277995</v>
          </cell>
          <cell r="O11">
            <v>13138.428604839548</v>
          </cell>
          <cell r="P11">
            <v>14436.402588274941</v>
          </cell>
          <cell r="Q11">
            <v>15774.928378936613</v>
          </cell>
        </row>
        <row r="12">
          <cell r="A12" t="str">
            <v>Egypt</v>
          </cell>
          <cell r="B12" t="str">
            <v>Tourism Receipts &amp; Expenditure</v>
          </cell>
          <cell r="C12" t="str">
            <v>Inbound Tourist Expenditure by Sector</v>
          </cell>
          <cell r="D12" t="str">
            <v>Accommodation</v>
          </cell>
          <cell r="H12">
            <v>2580.8429940670544</v>
          </cell>
          <cell r="I12">
            <v>3039.5322821990244</v>
          </cell>
          <cell r="J12">
            <v>2935.5460229086993</v>
          </cell>
          <cell r="K12">
            <v>3424.8352527023117</v>
          </cell>
          <cell r="L12">
            <v>2606.4502913633819</v>
          </cell>
          <cell r="M12">
            <v>2786.7890473112957</v>
          </cell>
          <cell r="N12">
            <v>3025.7868544028861</v>
          </cell>
          <cell r="O12">
            <v>3320.982883265393</v>
          </cell>
          <cell r="P12">
            <v>3626.4195563933285</v>
          </cell>
          <cell r="Q12">
            <v>3969.8046489563244</v>
          </cell>
        </row>
        <row r="13">
          <cell r="A13" t="str">
            <v>Egypt</v>
          </cell>
          <cell r="B13" t="str">
            <v>Tourism Receipts &amp; Expenditure</v>
          </cell>
          <cell r="C13" t="str">
            <v>Inbound Tourist Expenditure by Sector</v>
          </cell>
          <cell r="D13" t="str">
            <v>Entertainment &amp; Sightseeing</v>
          </cell>
          <cell r="H13">
            <v>98.537408182549569</v>
          </cell>
          <cell r="I13">
            <v>115.81610670091491</v>
          </cell>
          <cell r="J13">
            <v>112.18207688604969</v>
          </cell>
          <cell r="K13">
            <v>130.49740823053835</v>
          </cell>
          <cell r="L13">
            <v>99.615623261917065</v>
          </cell>
          <cell r="M13">
            <v>107.00028643211999</v>
          </cell>
          <cell r="N13">
            <v>116.54045007947289</v>
          </cell>
          <cell r="O13">
            <v>127.33840900914601</v>
          </cell>
          <cell r="P13">
            <v>140.40701425192114</v>
          </cell>
          <cell r="Q13">
            <v>154.21362704079934</v>
          </cell>
        </row>
        <row r="14">
          <cell r="A14" t="str">
            <v>Egypt</v>
          </cell>
          <cell r="B14" t="str">
            <v>Tourism Receipts &amp; Expenditure</v>
          </cell>
          <cell r="C14" t="str">
            <v>Inbound Tourist Expenditure by Sector</v>
          </cell>
          <cell r="D14" t="str">
            <v>Foodservice</v>
          </cell>
          <cell r="H14">
            <v>483.38073013995142</v>
          </cell>
          <cell r="I14">
            <v>570.42175325490234</v>
          </cell>
          <cell r="J14">
            <v>550.31541050212149</v>
          </cell>
          <cell r="K14">
            <v>635.66766606981878</v>
          </cell>
          <cell r="L14">
            <v>488.66997411262651</v>
          </cell>
          <cell r="M14">
            <v>520.76468548104242</v>
          </cell>
          <cell r="N14">
            <v>560.6219711203729</v>
          </cell>
          <cell r="O14">
            <v>609.25332116354195</v>
          </cell>
          <cell r="P14">
            <v>670.48188745975438</v>
          </cell>
          <cell r="Q14">
            <v>729.28761980184959</v>
          </cell>
        </row>
        <row r="15">
          <cell r="A15" t="str">
            <v>Egypt</v>
          </cell>
          <cell r="B15" t="str">
            <v>Tourism Receipts &amp; Expenditure</v>
          </cell>
          <cell r="C15" t="str">
            <v>Inbound Tourist Expenditure by Sector</v>
          </cell>
          <cell r="D15" t="str">
            <v>Retail</v>
          </cell>
          <cell r="H15">
            <v>2912.2139999999999</v>
          </cell>
          <cell r="I15">
            <v>3406.5013439999993</v>
          </cell>
          <cell r="J15">
            <v>3315.4739999999997</v>
          </cell>
          <cell r="K15">
            <v>3832.9724819999992</v>
          </cell>
          <cell r="L15">
            <v>2944.0799999999995</v>
          </cell>
          <cell r="M15">
            <v>3115.7303089748984</v>
          </cell>
          <cell r="N15">
            <v>3375.1702094375937</v>
          </cell>
          <cell r="O15">
            <v>3705.429611183386</v>
          </cell>
          <cell r="P15">
            <v>4058.8089173767489</v>
          </cell>
          <cell r="Q15">
            <v>4460.4289537444311</v>
          </cell>
        </row>
        <row r="16">
          <cell r="A16" t="str">
            <v>Egypt</v>
          </cell>
          <cell r="B16" t="str">
            <v>Tourism Receipts &amp; Expenditure</v>
          </cell>
          <cell r="C16" t="str">
            <v>Inbound Tourist Expenditure by Sector</v>
          </cell>
          <cell r="D16" t="str">
            <v>Transportation</v>
          </cell>
          <cell r="H16">
            <v>2375.5726822676324</v>
          </cell>
          <cell r="I16">
            <v>2772.5295613414355</v>
          </cell>
          <cell r="J16">
            <v>2704.5229035945149</v>
          </cell>
          <cell r="K16">
            <v>3123.9862252661142</v>
          </cell>
          <cell r="L16">
            <v>2408.8075552808432</v>
          </cell>
          <cell r="M16">
            <v>2555.0751628955527</v>
          </cell>
          <cell r="N16">
            <v>2745.5292565664945</v>
          </cell>
          <cell r="O16">
            <v>2989.9169748196209</v>
          </cell>
          <cell r="P16">
            <v>3312.5051953161028</v>
          </cell>
          <cell r="Q16">
            <v>3597.0714211529294</v>
          </cell>
        </row>
        <row r="17">
          <cell r="A17" t="str">
            <v>Egypt</v>
          </cell>
          <cell r="B17" t="str">
            <v>Tourism Receipts &amp; Expenditure</v>
          </cell>
          <cell r="C17" t="str">
            <v>Inbound Tourist Expenditure by Sector</v>
          </cell>
          <cell r="D17" t="str">
            <v>Travel Intermediation</v>
          </cell>
          <cell r="H17">
            <v>1524.3163089338275</v>
          </cell>
          <cell r="I17">
            <v>1780.8257183498897</v>
          </cell>
          <cell r="J17">
            <v>1735.3913860884095</v>
          </cell>
          <cell r="K17">
            <v>2014.6693072042397</v>
          </cell>
          <cell r="L17">
            <v>1537.8981894475062</v>
          </cell>
          <cell r="M17">
            <v>1636.9422856369029</v>
          </cell>
          <cell r="N17">
            <v>1752.8792605943595</v>
          </cell>
          <cell r="O17">
            <v>1936.161137495317</v>
          </cell>
          <cell r="P17">
            <v>2138.8194071048201</v>
          </cell>
          <cell r="Q17">
            <v>2335.9481101410574</v>
          </cell>
        </row>
        <row r="18">
          <cell r="A18" t="str">
            <v>Egypt</v>
          </cell>
          <cell r="B18" t="str">
            <v>Tourism Receipts &amp; Expenditure</v>
          </cell>
          <cell r="C18" t="str">
            <v>Inbound Tourist Expenditure by Sector</v>
          </cell>
          <cell r="D18" t="str">
            <v>Other Sectors</v>
          </cell>
          <cell r="H18">
            <v>352.13587640898538</v>
          </cell>
          <cell r="I18">
            <v>418.37323415383491</v>
          </cell>
          <cell r="J18">
            <v>403.56820002020464</v>
          </cell>
          <cell r="K18">
            <v>470.37165852697836</v>
          </cell>
          <cell r="L18">
            <v>354.47836653372582</v>
          </cell>
          <cell r="M18">
            <v>379.89004707811023</v>
          </cell>
          <cell r="N18">
            <v>414.07959007681393</v>
          </cell>
          <cell r="O18">
            <v>449.34626790314218</v>
          </cell>
          <cell r="P18">
            <v>488.96061037226463</v>
          </cell>
          <cell r="Q18">
            <v>528.17399809921972</v>
          </cell>
        </row>
        <row r="19">
          <cell r="B19" t="str">
            <v>Tourism Receipts &amp; Expenditure</v>
          </cell>
          <cell r="C19" t="str">
            <v>Total Outbound Tourist Expenditure by Sector</v>
          </cell>
        </row>
        <row r="20">
          <cell r="B20" t="str">
            <v>Tourism Receipts &amp; Expenditure</v>
          </cell>
          <cell r="C20" t="str">
            <v>Total Outbound Tourist Expenditure by Sector</v>
          </cell>
          <cell r="D20" t="str">
            <v>Accommodation</v>
          </cell>
        </row>
        <row r="21">
          <cell r="B21" t="str">
            <v>Tourism Receipts &amp; Expenditure</v>
          </cell>
          <cell r="C21" t="str">
            <v>Total Outbound Tourist Expenditure by Sector</v>
          </cell>
          <cell r="D21" t="str">
            <v>Entertainment &amp; Sightseeing</v>
          </cell>
        </row>
        <row r="22">
          <cell r="B22" t="str">
            <v>Tourism Receipts &amp; Expenditure</v>
          </cell>
          <cell r="C22" t="str">
            <v>Total Outbound Tourist Expenditure by Sector</v>
          </cell>
          <cell r="D22" t="str">
            <v>Foodservice</v>
          </cell>
        </row>
        <row r="23">
          <cell r="B23" t="str">
            <v>Tourism Receipts &amp; Expenditure</v>
          </cell>
          <cell r="C23" t="str">
            <v>Total Outbound Tourist Expenditure by Sector</v>
          </cell>
          <cell r="D23" t="str">
            <v>Retail</v>
          </cell>
        </row>
        <row r="24">
          <cell r="B24" t="str">
            <v>Tourism Receipts &amp; Expenditure</v>
          </cell>
          <cell r="C24" t="str">
            <v>Total Outbound Tourist Expenditure by Sector</v>
          </cell>
          <cell r="D24" t="str">
            <v>Transportation</v>
          </cell>
        </row>
        <row r="25">
          <cell r="B25" t="str">
            <v>Tourism Receipts &amp; Expenditure</v>
          </cell>
          <cell r="C25" t="str">
            <v>Total Outbound Tourist Expenditure by Sector</v>
          </cell>
          <cell r="D25" t="str">
            <v>Travel Intermediation</v>
          </cell>
        </row>
        <row r="26">
          <cell r="B26" t="str">
            <v>Tourism Receipts &amp; Expenditure</v>
          </cell>
          <cell r="C26" t="str">
            <v>Total Outbound Tourist Expenditure by Sector</v>
          </cell>
          <cell r="D26" t="str">
            <v>Other Sectors</v>
          </cell>
        </row>
        <row r="27">
          <cell r="B27" t="str">
            <v>Tourism Receipts &amp; Expenditure</v>
          </cell>
        </row>
        <row r="147">
          <cell r="B147" t="str">
            <v>Tourism Spend Factors</v>
          </cell>
          <cell r="C147" t="str">
            <v>Average National Tourism Spend per Day of Trip</v>
          </cell>
          <cell r="D147" t="str">
            <v>Domestic Trips</v>
          </cell>
          <cell r="G147" t="str">
            <v>US$</v>
          </cell>
        </row>
        <row r="148">
          <cell r="B148" t="str">
            <v>Tourism Spend Factors</v>
          </cell>
          <cell r="C148" t="str">
            <v>Average National Tourism Spend per Day of Trip</v>
          </cell>
          <cell r="D148" t="str">
            <v>International Trips</v>
          </cell>
          <cell r="G148" t="str">
            <v>US$</v>
          </cell>
        </row>
        <row r="150">
          <cell r="B150" t="str">
            <v>Tourism Spend Factors</v>
          </cell>
          <cell r="C150" t="str">
            <v>Percentage of Total Resident Income Spent on Tourism</v>
          </cell>
          <cell r="D150" t="str">
            <v>Domestic Trips</v>
          </cell>
          <cell r="G150" t="str">
            <v>%</v>
          </cell>
        </row>
        <row r="151">
          <cell r="B151" t="str">
            <v>Tourism Spend Factors</v>
          </cell>
          <cell r="C151" t="str">
            <v>Percentage of Total Resident Income Spent on Tourism</v>
          </cell>
          <cell r="D151" t="str">
            <v>International Trips</v>
          </cell>
          <cell r="G151" t="str">
            <v>%</v>
          </cell>
        </row>
        <row r="153">
          <cell r="B153" t="str">
            <v>Tourism Spend Factors</v>
          </cell>
        </row>
        <row r="155">
          <cell r="B155" t="str">
            <v>Tourism Spend Factors</v>
          </cell>
          <cell r="D155" t="str">
            <v>International Trips</v>
          </cell>
          <cell r="E155" t="str">
            <v>Africa</v>
          </cell>
        </row>
        <row r="156">
          <cell r="B156" t="str">
            <v>Tourism Spend Factors</v>
          </cell>
          <cell r="D156" t="str">
            <v>International Trips</v>
          </cell>
          <cell r="E156" t="str">
            <v>Asia-Pacific</v>
          </cell>
        </row>
        <row r="157">
          <cell r="B157" t="str">
            <v>Tourism Spend Factors</v>
          </cell>
          <cell r="D157" t="str">
            <v>International Trips</v>
          </cell>
          <cell r="E157" t="str">
            <v>Europe</v>
          </cell>
        </row>
        <row r="158">
          <cell r="B158" t="str">
            <v>Tourism Spend Factors</v>
          </cell>
          <cell r="D158" t="str">
            <v>International Trips</v>
          </cell>
          <cell r="E158" t="str">
            <v>Middle East</v>
          </cell>
        </row>
        <row r="159">
          <cell r="B159" t="str">
            <v>Tourism Spend Factors</v>
          </cell>
          <cell r="D159" t="str">
            <v>International Trips</v>
          </cell>
          <cell r="E159" t="str">
            <v>North America</v>
          </cell>
        </row>
        <row r="160">
          <cell r="B160" t="str">
            <v>Tourism Spend Factors</v>
          </cell>
          <cell r="D160" t="str">
            <v>International Trips</v>
          </cell>
          <cell r="E160" t="str">
            <v>South &amp; Central America</v>
          </cell>
        </row>
        <row r="161">
          <cell r="B161" t="str">
            <v>Tourism Spend Factors</v>
          </cell>
        </row>
        <row r="169">
          <cell r="B169" t="str">
            <v>Tourism Spend Factors</v>
          </cell>
          <cell r="C169" t="str">
            <v>Average Expenditure per Domestic Tourist by Sector</v>
          </cell>
          <cell r="G169" t="str">
            <v>US$</v>
          </cell>
        </row>
        <row r="170">
          <cell r="B170" t="str">
            <v>Tourism Spend Factors</v>
          </cell>
          <cell r="C170" t="str">
            <v>Average Expenditure per Domestic Tourist by Sector</v>
          </cell>
          <cell r="D170" t="str">
            <v>Accommodation</v>
          </cell>
          <cell r="G170" t="str">
            <v>US$</v>
          </cell>
        </row>
        <row r="171">
          <cell r="B171" t="str">
            <v>Tourism Spend Factors</v>
          </cell>
          <cell r="C171" t="str">
            <v>Average Expenditure per Domestic Tourist by Sector</v>
          </cell>
          <cell r="D171" t="str">
            <v>Entertainment &amp; Sightseeing</v>
          </cell>
          <cell r="G171" t="str">
            <v>US$</v>
          </cell>
        </row>
        <row r="172">
          <cell r="B172" t="str">
            <v>Tourism Spend Factors</v>
          </cell>
          <cell r="C172" t="str">
            <v>Average Expenditure per Domestic Tourist by Sector</v>
          </cell>
          <cell r="D172" t="str">
            <v>Foodservice</v>
          </cell>
          <cell r="G172" t="str">
            <v>US$</v>
          </cell>
        </row>
        <row r="173">
          <cell r="B173" t="str">
            <v>Tourism Spend Factors</v>
          </cell>
          <cell r="C173" t="str">
            <v>Average Expenditure per Domestic Tourist by Sector</v>
          </cell>
          <cell r="D173" t="str">
            <v>Retail</v>
          </cell>
          <cell r="G173" t="str">
            <v>US$</v>
          </cell>
        </row>
        <row r="174">
          <cell r="B174" t="str">
            <v>Tourism Spend Factors</v>
          </cell>
          <cell r="C174" t="str">
            <v>Average Expenditure per Domestic Tourist by Sector</v>
          </cell>
          <cell r="D174" t="str">
            <v>Transportation</v>
          </cell>
          <cell r="G174" t="str">
            <v>US$</v>
          </cell>
        </row>
        <row r="175">
          <cell r="B175" t="str">
            <v>Tourism Spend Factors</v>
          </cell>
          <cell r="C175" t="str">
            <v>Average Expenditure per Domestic Tourist by Sector</v>
          </cell>
          <cell r="D175" t="str">
            <v>Travel Intermediation</v>
          </cell>
          <cell r="G175" t="str">
            <v>US$</v>
          </cell>
        </row>
        <row r="176">
          <cell r="B176" t="str">
            <v>Tourism Spend Factors</v>
          </cell>
          <cell r="C176" t="str">
            <v>Average Expenditure per Domestic Tourist by Sector</v>
          </cell>
          <cell r="D176" t="str">
            <v>Other Sectors</v>
          </cell>
          <cell r="G176" t="str">
            <v>US$</v>
          </cell>
        </row>
        <row r="177">
          <cell r="B177" t="str">
            <v>Tourism Spend Factors</v>
          </cell>
          <cell r="C177" t="str">
            <v>Average Expenditure per International Tourist by Sector</v>
          </cell>
          <cell r="G177" t="str">
            <v>US$</v>
          </cell>
        </row>
        <row r="178">
          <cell r="B178" t="str">
            <v>Tourism Spend Factors</v>
          </cell>
          <cell r="C178" t="str">
            <v>Average Expenditure per International Tourist by Sector</v>
          </cell>
          <cell r="D178" t="str">
            <v>Accommodation</v>
          </cell>
          <cell r="G178" t="str">
            <v>US$</v>
          </cell>
        </row>
        <row r="179">
          <cell r="B179" t="str">
            <v>Tourism Spend Factors</v>
          </cell>
          <cell r="C179" t="str">
            <v>Average Expenditure per International Tourist by Sector</v>
          </cell>
          <cell r="D179" t="str">
            <v>Entertainment &amp; Sightseeing</v>
          </cell>
          <cell r="G179" t="str">
            <v>US$</v>
          </cell>
        </row>
        <row r="180">
          <cell r="B180" t="str">
            <v>Tourism Spend Factors</v>
          </cell>
          <cell r="C180" t="str">
            <v>Average Expenditure per International Tourist by Sector</v>
          </cell>
          <cell r="D180" t="str">
            <v>Foodservice</v>
          </cell>
          <cell r="G180" t="str">
            <v>US$</v>
          </cell>
        </row>
        <row r="181">
          <cell r="B181" t="str">
            <v>Tourism Spend Factors</v>
          </cell>
          <cell r="C181" t="str">
            <v>Average Expenditure per International Tourist by Sector</v>
          </cell>
          <cell r="D181" t="str">
            <v>Retail</v>
          </cell>
          <cell r="G181" t="str">
            <v>US$</v>
          </cell>
        </row>
        <row r="182">
          <cell r="B182" t="str">
            <v>Tourism Spend Factors</v>
          </cell>
          <cell r="C182" t="str">
            <v>Average Expenditure per International Tourist by Sector</v>
          </cell>
          <cell r="D182" t="str">
            <v>Transportation</v>
          </cell>
          <cell r="G182" t="str">
            <v>US$</v>
          </cell>
        </row>
        <row r="183">
          <cell r="B183" t="str">
            <v>Tourism Spend Factors</v>
          </cell>
          <cell r="C183" t="str">
            <v>Average Expenditure per International Tourist by Sector</v>
          </cell>
          <cell r="D183" t="str">
            <v>Travel Intermediation</v>
          </cell>
          <cell r="G183" t="str">
            <v>US$</v>
          </cell>
        </row>
        <row r="184">
          <cell r="B184" t="str">
            <v>Tourism Spend Factors</v>
          </cell>
          <cell r="C184" t="str">
            <v>Average Expenditure per International Tourist by Sector</v>
          </cell>
          <cell r="D184" t="str">
            <v>Other Sectors</v>
          </cell>
          <cell r="G184" t="str">
            <v>US$</v>
          </cell>
        </row>
        <row r="185">
          <cell r="B185" t="str">
            <v>Tourism Spend Factors</v>
          </cell>
          <cell r="C185" t="str">
            <v>Average Overseas Tourism Expenditure per Resident by Sector</v>
          </cell>
          <cell r="G185" t="str">
            <v>US$</v>
          </cell>
        </row>
        <row r="186">
          <cell r="B186" t="str">
            <v>Tourism Spend Factors</v>
          </cell>
          <cell r="C186" t="str">
            <v>Average Overseas Tourism Expenditure per Resident by Sector</v>
          </cell>
          <cell r="D186" t="str">
            <v>Accommodation</v>
          </cell>
          <cell r="G186" t="str">
            <v>US$</v>
          </cell>
        </row>
        <row r="187">
          <cell r="B187" t="str">
            <v>Tourism Spend Factors</v>
          </cell>
          <cell r="C187" t="str">
            <v>Average Overseas Tourism Expenditure per Resident by Sector</v>
          </cell>
          <cell r="D187" t="str">
            <v>Entertainment &amp; Sightseeing</v>
          </cell>
          <cell r="G187" t="str">
            <v>US$</v>
          </cell>
        </row>
        <row r="188">
          <cell r="B188" t="str">
            <v>Tourism Spend Factors</v>
          </cell>
          <cell r="C188" t="str">
            <v>Average Overseas Tourism Expenditure per Resident by Sector</v>
          </cell>
          <cell r="D188" t="str">
            <v>Foodservice</v>
          </cell>
          <cell r="G188" t="str">
            <v>US$</v>
          </cell>
        </row>
        <row r="189">
          <cell r="B189" t="str">
            <v>Tourism Spend Factors</v>
          </cell>
          <cell r="C189" t="str">
            <v>Average Overseas Tourism Expenditure per Resident by Sector</v>
          </cell>
          <cell r="D189" t="str">
            <v>Retail</v>
          </cell>
          <cell r="G189" t="str">
            <v>US$</v>
          </cell>
        </row>
        <row r="190">
          <cell r="B190" t="str">
            <v>Tourism Spend Factors</v>
          </cell>
          <cell r="C190" t="str">
            <v>Average Overseas Tourism Expenditure per Resident by Sector</v>
          </cell>
          <cell r="D190" t="str">
            <v>Transportation</v>
          </cell>
          <cell r="G190" t="str">
            <v>US$</v>
          </cell>
        </row>
        <row r="191">
          <cell r="B191" t="str">
            <v>Tourism Spend Factors</v>
          </cell>
          <cell r="C191" t="str">
            <v>Average Overseas Tourism Expenditure per Resident by Sector</v>
          </cell>
          <cell r="D191" t="str">
            <v>Travel Intermediation</v>
          </cell>
          <cell r="G191" t="str">
            <v>US$</v>
          </cell>
        </row>
        <row r="192">
          <cell r="B192" t="str">
            <v>Tourism Spend Factors</v>
          </cell>
          <cell r="C192" t="str">
            <v>Average Overseas Tourism Expenditure per Resident by Sector</v>
          </cell>
          <cell r="D192" t="str">
            <v>Other Sectors</v>
          </cell>
          <cell r="G192" t="str">
            <v>US$</v>
          </cell>
        </row>
      </sheetData>
      <sheetData sheetId="10"/>
      <sheetData sheetId="11"/>
      <sheetData sheetId="12">
        <row r="103">
          <cell r="C103" t="str">
            <v>Ratio of Indirect tourism output to direct tourism output</v>
          </cell>
        </row>
      </sheetData>
      <sheetData sheetId="13"/>
      <sheetData sheetId="14"/>
      <sheetData sheetId="15"/>
      <sheetData sheetId="16"/>
      <sheetData sheetId="17"/>
      <sheetData sheetId="18"/>
      <sheetData sheetId="19">
        <row r="5">
          <cell r="H5">
            <v>0.18056522727292007</v>
          </cell>
        </row>
        <row r="44">
          <cell r="Q44">
            <v>399.26808435094688</v>
          </cell>
        </row>
        <row r="45">
          <cell r="Q45">
            <v>74.614762887337406</v>
          </cell>
        </row>
        <row r="46">
          <cell r="Q46">
            <v>44.825786855389502</v>
          </cell>
        </row>
        <row r="47">
          <cell r="Q47">
            <v>65.716112707284793</v>
          </cell>
        </row>
        <row r="48">
          <cell r="Q48">
            <v>113.97795385683948</v>
          </cell>
        </row>
        <row r="49">
          <cell r="Q49">
            <v>75.562201585650527</v>
          </cell>
        </row>
        <row r="50">
          <cell r="Q50">
            <v>17.915542110762839</v>
          </cell>
        </row>
        <row r="51">
          <cell r="Q51">
            <v>6.6557243476823595</v>
          </cell>
        </row>
      </sheetData>
      <sheetData sheetId="20"/>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Drivers-arun"/>
      <sheetName val="Visitor Export - Forecast"/>
      <sheetName val="Germany-TDF"/>
      <sheetName val="US-TDF"/>
      <sheetName val="US-EI"/>
      <sheetName val="Home"/>
      <sheetName val="Final Sheet -US$"/>
      <sheetName val="Final Sheet-LCU"/>
      <sheetName val="Input sheet"/>
      <sheetName val="Forecasting"/>
      <sheetName val="working sheet"/>
      <sheetName val="Growth Rate"/>
      <sheetName val="Drivers"/>
      <sheetName val="Sum Checks"/>
      <sheetName val=" Checks"/>
      <sheetName val=" Checks_KSA"/>
      <sheetName val=" Checks_UK"/>
      <sheetName val="For Reports"/>
      <sheetName val="Issues &amp; Call taken"/>
    </sheetNames>
    <sheetDataSet>
      <sheetData sheetId="0" refreshError="1"/>
      <sheetData sheetId="1" refreshError="1"/>
      <sheetData sheetId="2" refreshError="1"/>
      <sheetData sheetId="3" refreshError="1"/>
      <sheetData sheetId="4" refreshError="1"/>
      <sheetData sheetId="5" refreshError="1">
        <row r="1">
          <cell r="B1" t="str">
            <v>Turkey</v>
          </cell>
        </row>
      </sheetData>
      <sheetData sheetId="6" refreshError="1"/>
      <sheetData sheetId="7" refreshError="1"/>
      <sheetData sheetId="8" refreshError="1">
        <row r="2">
          <cell r="A2" t="str">
            <v>Turkey</v>
          </cell>
        </row>
        <row r="3">
          <cell r="A3" t="str">
            <v>Turkey</v>
          </cell>
          <cell r="B3" t="str">
            <v>Tourism Receipts &amp; Expenditure</v>
          </cell>
          <cell r="C3" t="str">
            <v>Domestic Tourist Expenditure by Sector</v>
          </cell>
          <cell r="S3" t="str">
            <v>Exists</v>
          </cell>
          <cell r="U3" t="str">
            <v>http://www.statssa.gov.za/publications/Report-04-05-07/Report-04-05-072009.pdf</v>
          </cell>
          <cell r="W3">
            <v>0</v>
          </cell>
        </row>
        <row r="4">
          <cell r="A4" t="str">
            <v>Turkey</v>
          </cell>
          <cell r="B4" t="str">
            <v>Tourism Receipts &amp; Expenditure</v>
          </cell>
          <cell r="C4" t="str">
            <v>Domestic Tourist Expenditure by Sector</v>
          </cell>
          <cell r="D4" t="str">
            <v>Accommodation</v>
          </cell>
          <cell r="S4" t="str">
            <v>Exists</v>
          </cell>
          <cell r="U4">
            <v>0</v>
          </cell>
        </row>
        <row r="5">
          <cell r="A5" t="str">
            <v>Turkey</v>
          </cell>
          <cell r="B5" t="str">
            <v>Tourism Receipts &amp; Expenditure</v>
          </cell>
          <cell r="C5" t="str">
            <v>Domestic Tourist Expenditure by Sector</v>
          </cell>
          <cell r="D5" t="str">
            <v>Entertainment &amp; Sightseeing</v>
          </cell>
          <cell r="S5" t="str">
            <v>New</v>
          </cell>
          <cell r="U5">
            <v>0</v>
          </cell>
        </row>
        <row r="6">
          <cell r="A6" t="str">
            <v>Turkey</v>
          </cell>
          <cell r="B6" t="str">
            <v>Tourism Receipts &amp; Expenditure</v>
          </cell>
          <cell r="C6" t="str">
            <v>Domestic Tourist Expenditure by Sector</v>
          </cell>
          <cell r="D6" t="str">
            <v>Foodservice</v>
          </cell>
          <cell r="S6" t="str">
            <v>Exists</v>
          </cell>
          <cell r="U6">
            <v>0</v>
          </cell>
        </row>
        <row r="7">
          <cell r="A7" t="str">
            <v>Turkey</v>
          </cell>
          <cell r="B7" t="str">
            <v>Tourism Receipts &amp; Expenditure</v>
          </cell>
          <cell r="C7" t="str">
            <v>Domestic Tourist Expenditure by Sector</v>
          </cell>
          <cell r="D7" t="str">
            <v>Retail</v>
          </cell>
          <cell r="S7" t="str">
            <v>Exists</v>
          </cell>
          <cell r="U7">
            <v>0</v>
          </cell>
        </row>
        <row r="8">
          <cell r="A8" t="str">
            <v>Turkey</v>
          </cell>
          <cell r="B8" t="str">
            <v>Tourism Receipts &amp; Expenditure</v>
          </cell>
          <cell r="C8" t="str">
            <v>Domestic Tourist Expenditure by Sector</v>
          </cell>
          <cell r="D8" t="str">
            <v>Transportation</v>
          </cell>
          <cell r="S8" t="str">
            <v>Exists</v>
          </cell>
          <cell r="U8">
            <v>0</v>
          </cell>
        </row>
        <row r="9">
          <cell r="A9" t="str">
            <v>Turkey</v>
          </cell>
          <cell r="B9" t="str">
            <v>Tourism Receipts &amp; Expenditure</v>
          </cell>
          <cell r="C9" t="str">
            <v>Domestic Tourist Expenditure by Sector</v>
          </cell>
          <cell r="D9" t="str">
            <v>Travel Intermediation</v>
          </cell>
          <cell r="S9" t="str">
            <v>New</v>
          </cell>
          <cell r="U9">
            <v>0</v>
          </cell>
        </row>
        <row r="10">
          <cell r="A10" t="str">
            <v>Turkey</v>
          </cell>
          <cell r="B10" t="str">
            <v>Tourism Receipts &amp; Expenditure</v>
          </cell>
          <cell r="C10" t="str">
            <v>Domestic Tourist Expenditure by Sector</v>
          </cell>
          <cell r="D10" t="str">
            <v>Other Sectors</v>
          </cell>
          <cell r="S10" t="str">
            <v>New</v>
          </cell>
          <cell r="U10">
            <v>0</v>
          </cell>
        </row>
        <row r="11">
          <cell r="A11" t="str">
            <v>Turkey</v>
          </cell>
          <cell r="B11" t="str">
            <v>Tourism Receipts &amp; Expenditure</v>
          </cell>
          <cell r="C11" t="str">
            <v>Inbound Tourist Expenditure by Sector</v>
          </cell>
          <cell r="S11" t="str">
            <v>Exists</v>
          </cell>
          <cell r="U11" t="str">
            <v>http://www.statssa.gov.za/publications/Report-04-05-07/Report-04-05-072009.pdf</v>
          </cell>
          <cell r="W11">
            <v>0</v>
          </cell>
        </row>
        <row r="12">
          <cell r="A12" t="str">
            <v>Turkey</v>
          </cell>
          <cell r="B12" t="str">
            <v>Tourism Receipts &amp; Expenditure</v>
          </cell>
          <cell r="C12" t="str">
            <v>Inbound Tourist Expenditure by Sector</v>
          </cell>
          <cell r="D12" t="str">
            <v>Accommodation</v>
          </cell>
          <cell r="S12" t="str">
            <v>Exists</v>
          </cell>
          <cell r="U12">
            <v>0</v>
          </cell>
        </row>
        <row r="13">
          <cell r="A13" t="str">
            <v>Turkey</v>
          </cell>
          <cell r="B13" t="str">
            <v>Tourism Receipts &amp; Expenditure</v>
          </cell>
          <cell r="C13" t="str">
            <v>Inbound Tourist Expenditure by Sector</v>
          </cell>
          <cell r="D13" t="str">
            <v>Entertainment &amp; Sightseeing</v>
          </cell>
          <cell r="S13" t="str">
            <v>New</v>
          </cell>
          <cell r="U13">
            <v>0</v>
          </cell>
        </row>
        <row r="14">
          <cell r="A14" t="str">
            <v>Turkey</v>
          </cell>
          <cell r="B14" t="str">
            <v>Tourism Receipts &amp; Expenditure</v>
          </cell>
          <cell r="C14" t="str">
            <v>Inbound Tourist Expenditure by Sector</v>
          </cell>
          <cell r="D14" t="str">
            <v>Foodservice</v>
          </cell>
          <cell r="S14" t="str">
            <v>Exists</v>
          </cell>
          <cell r="U14">
            <v>0</v>
          </cell>
        </row>
        <row r="15">
          <cell r="A15" t="str">
            <v>Turkey</v>
          </cell>
          <cell r="B15" t="str">
            <v>Tourism Receipts &amp; Expenditure</v>
          </cell>
          <cell r="C15" t="str">
            <v>Inbound Tourist Expenditure by Sector</v>
          </cell>
          <cell r="D15" t="str">
            <v>Retail</v>
          </cell>
          <cell r="S15" t="str">
            <v>Exists</v>
          </cell>
          <cell r="U15">
            <v>0</v>
          </cell>
        </row>
        <row r="16">
          <cell r="A16" t="str">
            <v>Turkey</v>
          </cell>
          <cell r="B16" t="str">
            <v>Tourism Receipts &amp; Expenditure</v>
          </cell>
          <cell r="C16" t="str">
            <v>Inbound Tourist Expenditure by Sector</v>
          </cell>
          <cell r="D16" t="str">
            <v>Transportation</v>
          </cell>
          <cell r="S16" t="str">
            <v>Exists</v>
          </cell>
          <cell r="U16">
            <v>0</v>
          </cell>
        </row>
        <row r="17">
          <cell r="A17" t="str">
            <v>Turkey</v>
          </cell>
          <cell r="B17" t="str">
            <v>Tourism Receipts &amp; Expenditure</v>
          </cell>
          <cell r="C17" t="str">
            <v>Inbound Tourist Expenditure by Sector</v>
          </cell>
          <cell r="D17" t="str">
            <v>Travel Intermediation</v>
          </cell>
          <cell r="S17" t="str">
            <v>New</v>
          </cell>
          <cell r="U17">
            <v>0</v>
          </cell>
        </row>
        <row r="18">
          <cell r="A18" t="str">
            <v>Turkey</v>
          </cell>
          <cell r="B18" t="str">
            <v>Tourism Receipts &amp; Expenditure</v>
          </cell>
          <cell r="C18" t="str">
            <v>Inbound Tourist Expenditure by Sector</v>
          </cell>
          <cell r="D18" t="str">
            <v>Other Sectors</v>
          </cell>
          <cell r="S18" t="str">
            <v>New</v>
          </cell>
          <cell r="U18">
            <v>0</v>
          </cell>
        </row>
        <row r="19">
          <cell r="A19" t="str">
            <v>Turkey</v>
          </cell>
          <cell r="B19" t="str">
            <v>Tourism Receipts &amp; Expenditure</v>
          </cell>
          <cell r="C19" t="str">
            <v>Total Outbound Tourist Expenditure by Sector</v>
          </cell>
          <cell r="S19" t="str">
            <v>New</v>
          </cell>
          <cell r="U19" t="str">
            <v>http://www.statssa.gov.za/publications/Report-04-05-07/Report-04-05-072009.pdf</v>
          </cell>
        </row>
        <row r="20">
          <cell r="A20" t="str">
            <v>Turkey</v>
          </cell>
          <cell r="B20" t="str">
            <v>Tourism Receipts &amp; Expenditure</v>
          </cell>
          <cell r="C20" t="str">
            <v>Total Outbound Tourist Expenditure by Sector</v>
          </cell>
          <cell r="D20" t="str">
            <v>Accommodation</v>
          </cell>
        </row>
        <row r="21">
          <cell r="A21" t="str">
            <v>Turkey</v>
          </cell>
          <cell r="B21" t="str">
            <v>Tourism Receipts &amp; Expenditure</v>
          </cell>
          <cell r="C21" t="str">
            <v>Total Outbound Tourist Expenditure by Sector</v>
          </cell>
          <cell r="D21" t="str">
            <v>Entertainment &amp; Sightseeing</v>
          </cell>
        </row>
        <row r="22">
          <cell r="A22" t="str">
            <v>Turkey</v>
          </cell>
          <cell r="B22" t="str">
            <v>Tourism Receipts &amp; Expenditure</v>
          </cell>
          <cell r="C22" t="str">
            <v>Total Outbound Tourist Expenditure by Sector</v>
          </cell>
          <cell r="D22" t="str">
            <v>Foodservice</v>
          </cell>
        </row>
        <row r="23">
          <cell r="A23" t="str">
            <v>Turkey</v>
          </cell>
          <cell r="B23" t="str">
            <v>Tourism Receipts &amp; Expenditure</v>
          </cell>
          <cell r="C23" t="str">
            <v>Total Outbound Tourist Expenditure by Sector</v>
          </cell>
          <cell r="D23" t="str">
            <v>Retail</v>
          </cell>
        </row>
        <row r="24">
          <cell r="A24" t="str">
            <v>Turkey</v>
          </cell>
          <cell r="B24" t="str">
            <v>Tourism Receipts &amp; Expenditure</v>
          </cell>
          <cell r="C24" t="str">
            <v>Total Outbound Tourist Expenditure by Sector</v>
          </cell>
          <cell r="D24" t="str">
            <v>Transportation</v>
          </cell>
        </row>
        <row r="25">
          <cell r="A25" t="str">
            <v>Turkey</v>
          </cell>
          <cell r="B25" t="str">
            <v>Tourism Receipts &amp; Expenditure</v>
          </cell>
          <cell r="C25" t="str">
            <v>Total Outbound Tourist Expenditure by Sector</v>
          </cell>
          <cell r="D25" t="str">
            <v>Travel Intermediation</v>
          </cell>
          <cell r="S25" t="str">
            <v>New</v>
          </cell>
          <cell r="U25">
            <v>0</v>
          </cell>
        </row>
        <row r="26">
          <cell r="A26" t="str">
            <v>Turkey</v>
          </cell>
          <cell r="B26" t="str">
            <v>Tourism Receipts &amp; Expenditure</v>
          </cell>
          <cell r="C26" t="str">
            <v>Total Outbound Tourist Expenditure by Sector</v>
          </cell>
          <cell r="D26" t="str">
            <v>Other Sectors</v>
          </cell>
          <cell r="S26" t="str">
            <v>New</v>
          </cell>
          <cell r="U26">
            <v>0</v>
          </cell>
        </row>
        <row r="27">
          <cell r="A27" t="str">
            <v>Turkey</v>
          </cell>
          <cell r="B27" t="str">
            <v>Tourism Receipts &amp; Expenditure</v>
          </cell>
          <cell r="C27" t="str">
            <v>Outbound Tourist Expenditure by Location of Provider</v>
          </cell>
          <cell r="S27" t="str">
            <v>Exists</v>
          </cell>
          <cell r="U27">
            <v>0</v>
          </cell>
        </row>
        <row r="28">
          <cell r="A28" t="str">
            <v>Turkey</v>
          </cell>
          <cell r="B28" t="str">
            <v>Tourism Receipts &amp; Expenditure</v>
          </cell>
          <cell r="C28" t="str">
            <v>Outbound Tourist Expenditure by Location of Provider</v>
          </cell>
          <cell r="D28" t="str">
            <v>Domestic Providers</v>
          </cell>
          <cell r="S28" t="str">
            <v>Exists</v>
          </cell>
          <cell r="U28">
            <v>0</v>
          </cell>
        </row>
        <row r="29">
          <cell r="A29" t="str">
            <v>Turkey</v>
          </cell>
          <cell r="B29" t="str">
            <v>Tourism Receipts &amp; Expenditure</v>
          </cell>
          <cell r="C29" t="str">
            <v>Outbound Tourist Expenditure by Location of Provider</v>
          </cell>
          <cell r="D29" t="str">
            <v>International Providers</v>
          </cell>
          <cell r="S29" t="str">
            <v>New</v>
          </cell>
        </row>
        <row r="30">
          <cell r="A30" t="str">
            <v>Turkey</v>
          </cell>
          <cell r="B30" t="str">
            <v>Tourism Receipts &amp; Expenditure</v>
          </cell>
          <cell r="C30" t="str">
            <v>Tourism Balance of Payments</v>
          </cell>
          <cell r="G30" t="str">
            <v>TRY Million</v>
          </cell>
          <cell r="S30" t="str">
            <v>New</v>
          </cell>
          <cell r="U30">
            <v>0</v>
          </cell>
        </row>
        <row r="31">
          <cell r="A31" t="str">
            <v>Turkey</v>
          </cell>
          <cell r="B31" t="str">
            <v>Tourism Receipts &amp; Expenditure</v>
          </cell>
          <cell r="C31" t="str">
            <v>Direct Tourism Output by Sector</v>
          </cell>
          <cell r="S31" t="str">
            <v>New</v>
          </cell>
        </row>
        <row r="32">
          <cell r="A32" t="str">
            <v>Turkey</v>
          </cell>
          <cell r="B32" t="str">
            <v>Tourism Receipts &amp; Expenditure</v>
          </cell>
          <cell r="C32" t="str">
            <v>Direct Tourism Output by Sector</v>
          </cell>
          <cell r="D32" t="str">
            <v>Accommodation</v>
          </cell>
          <cell r="S32" t="str">
            <v>New</v>
          </cell>
          <cell r="T32" t="str">
            <v>Used the direct tourism output numbers from the tourism satellite accounts - Note that this will include inflationary effects</v>
          </cell>
          <cell r="U32">
            <v>0</v>
          </cell>
          <cell r="W32">
            <v>0</v>
          </cell>
          <cell r="X32">
            <v>0</v>
          </cell>
        </row>
        <row r="33">
          <cell r="A33" t="str">
            <v>Turkey</v>
          </cell>
          <cell r="B33" t="str">
            <v>Tourism Receipts &amp; Expenditure</v>
          </cell>
          <cell r="C33" t="str">
            <v>Direct Tourism Output by Sector</v>
          </cell>
          <cell r="D33" t="str">
            <v>Entertainment &amp; Sightseeing</v>
          </cell>
          <cell r="S33" t="str">
            <v>New</v>
          </cell>
          <cell r="T33" t="str">
            <v>Used the direct tourism output numbers from the tourism satellite accounts - Note that this will include inflationary effects</v>
          </cell>
          <cell r="U33">
            <v>0</v>
          </cell>
          <cell r="W33">
            <v>0</v>
          </cell>
          <cell r="X33">
            <v>0</v>
          </cell>
        </row>
        <row r="34">
          <cell r="A34" t="str">
            <v>Turkey</v>
          </cell>
          <cell r="B34" t="str">
            <v>Tourism Receipts &amp; Expenditure</v>
          </cell>
          <cell r="C34" t="str">
            <v>Direct Tourism Output by Sector</v>
          </cell>
          <cell r="D34" t="str">
            <v>Foodservice</v>
          </cell>
          <cell r="S34" t="str">
            <v>New</v>
          </cell>
          <cell r="T34" t="str">
            <v>Used the direct tourism output numbers from the tourism satellite accounts - Note that this will include inflationary effects</v>
          </cell>
          <cell r="U34">
            <v>0</v>
          </cell>
          <cell r="W34">
            <v>0</v>
          </cell>
          <cell r="X34">
            <v>0</v>
          </cell>
        </row>
        <row r="35">
          <cell r="A35" t="str">
            <v>Turkey</v>
          </cell>
          <cell r="B35" t="str">
            <v>Tourism Receipts &amp; Expenditure</v>
          </cell>
          <cell r="C35" t="str">
            <v>Direct Tourism Output by Sector</v>
          </cell>
          <cell r="D35" t="str">
            <v>Retail</v>
          </cell>
          <cell r="S35" t="str">
            <v>New</v>
          </cell>
          <cell r="T35" t="str">
            <v>Used the direct tourism output numbers from the tourism satellite accounts - Note that this will include inflationary effects</v>
          </cell>
          <cell r="U35">
            <v>0</v>
          </cell>
          <cell r="W35">
            <v>0</v>
          </cell>
          <cell r="X35">
            <v>0</v>
          </cell>
        </row>
        <row r="36">
          <cell r="A36" t="str">
            <v>Turkey</v>
          </cell>
          <cell r="B36" t="str">
            <v>Tourism Receipts &amp; Expenditure</v>
          </cell>
          <cell r="C36" t="str">
            <v>Direct Tourism Output by Sector</v>
          </cell>
          <cell r="D36" t="str">
            <v>Transportation</v>
          </cell>
          <cell r="S36" t="str">
            <v>New</v>
          </cell>
          <cell r="T36" t="str">
            <v>Used the direct tourism output numbers from the tourism satellite accounts - Note that this will include inflationary effects</v>
          </cell>
          <cell r="U36">
            <v>0</v>
          </cell>
          <cell r="W36">
            <v>0</v>
          </cell>
          <cell r="X36">
            <v>0</v>
          </cell>
        </row>
        <row r="37">
          <cell r="A37" t="str">
            <v>Turkey</v>
          </cell>
          <cell r="B37" t="str">
            <v>Tourism Receipts &amp; Expenditure</v>
          </cell>
          <cell r="C37" t="str">
            <v>Direct Tourism Output by Sector</v>
          </cell>
          <cell r="D37" t="str">
            <v>Travel Intermediation</v>
          </cell>
          <cell r="S37" t="str">
            <v>New</v>
          </cell>
          <cell r="T37" t="str">
            <v>Used the direct tourism output numbers from the tourism satellite accounts - Note that this will include inflationary effects</v>
          </cell>
          <cell r="U37">
            <v>0</v>
          </cell>
          <cell r="W37">
            <v>0</v>
          </cell>
          <cell r="X37">
            <v>0</v>
          </cell>
        </row>
        <row r="38">
          <cell r="A38" t="str">
            <v>Turkey</v>
          </cell>
          <cell r="B38" t="str">
            <v>Tourism Receipts &amp; Expenditure</v>
          </cell>
          <cell r="C38" t="str">
            <v>Direct Tourism Output by Sector</v>
          </cell>
          <cell r="D38" t="str">
            <v>Other Sectors</v>
          </cell>
          <cell r="S38" t="str">
            <v>New</v>
          </cell>
          <cell r="T38" t="str">
            <v>Used the direct tourism output numbers from the tourism satellite accounts - Note that this will include inflationary effects</v>
          </cell>
          <cell r="U38">
            <v>0</v>
          </cell>
          <cell r="W38">
            <v>0</v>
          </cell>
          <cell r="X38">
            <v>0</v>
          </cell>
        </row>
        <row r="39">
          <cell r="A39" t="str">
            <v>Turkey</v>
          </cell>
          <cell r="B39" t="str">
            <v>Tourism Receipts &amp; Expenditure</v>
          </cell>
          <cell r="C39" t="str">
            <v>Indirect Tourism Output by Sector</v>
          </cell>
          <cell r="S39" t="str">
            <v>New</v>
          </cell>
          <cell r="T39" t="str">
            <v>Total tourism output - direct tourism output</v>
          </cell>
          <cell r="X39">
            <v>0</v>
          </cell>
        </row>
        <row r="40">
          <cell r="A40" t="str">
            <v>Turkey</v>
          </cell>
          <cell r="B40" t="str">
            <v>Tourism Receipts &amp; Expenditure</v>
          </cell>
          <cell r="C40" t="str">
            <v>Indirect Tourism Output by Sector</v>
          </cell>
          <cell r="D40" t="str">
            <v>Accommodation</v>
          </cell>
          <cell r="S40" t="str">
            <v>New</v>
          </cell>
          <cell r="T40" t="str">
            <v>Total tourism output - direct tourism output</v>
          </cell>
        </row>
        <row r="41">
          <cell r="A41" t="str">
            <v>Turkey</v>
          </cell>
          <cell r="B41" t="str">
            <v>Tourism Receipts &amp; Expenditure</v>
          </cell>
          <cell r="C41" t="str">
            <v>Indirect Tourism Output by Sector</v>
          </cell>
          <cell r="D41" t="str">
            <v>Entertainment &amp; Sightseeing</v>
          </cell>
          <cell r="S41" t="str">
            <v>New</v>
          </cell>
          <cell r="T41" t="str">
            <v>Total tourism output - direct tourism output</v>
          </cell>
        </row>
        <row r="42">
          <cell r="A42" t="str">
            <v>Turkey</v>
          </cell>
          <cell r="B42" t="str">
            <v>Tourism Receipts &amp; Expenditure</v>
          </cell>
          <cell r="C42" t="str">
            <v>Indirect Tourism Output by Sector</v>
          </cell>
          <cell r="D42" t="str">
            <v>Foodservice</v>
          </cell>
          <cell r="S42" t="str">
            <v>New</v>
          </cell>
          <cell r="T42" t="str">
            <v>Total tourism output - direct tourism output</v>
          </cell>
        </row>
        <row r="43">
          <cell r="A43" t="str">
            <v>Turkey</v>
          </cell>
          <cell r="B43" t="str">
            <v>Tourism Receipts &amp; Expenditure</v>
          </cell>
          <cell r="C43" t="str">
            <v>Indirect Tourism Output by Sector</v>
          </cell>
          <cell r="D43" t="str">
            <v>Retail</v>
          </cell>
          <cell r="S43" t="str">
            <v>New</v>
          </cell>
          <cell r="T43" t="str">
            <v>Total tourism output - direct tourism output</v>
          </cell>
        </row>
        <row r="44">
          <cell r="A44" t="str">
            <v>Turkey</v>
          </cell>
          <cell r="B44" t="str">
            <v>Tourism Receipts &amp; Expenditure</v>
          </cell>
          <cell r="C44" t="str">
            <v>Indirect Tourism Output by Sector</v>
          </cell>
          <cell r="D44" t="str">
            <v>Transportation</v>
          </cell>
          <cell r="S44" t="str">
            <v>New</v>
          </cell>
          <cell r="T44" t="str">
            <v>Total tourism output - direct tourism output</v>
          </cell>
        </row>
        <row r="45">
          <cell r="A45" t="str">
            <v>Turkey</v>
          </cell>
          <cell r="B45" t="str">
            <v>Tourism Receipts &amp; Expenditure</v>
          </cell>
          <cell r="C45" t="str">
            <v>Indirect Tourism Output by Sector</v>
          </cell>
          <cell r="D45" t="str">
            <v>Travel Intermediation</v>
          </cell>
          <cell r="S45" t="str">
            <v>New</v>
          </cell>
          <cell r="T45" t="str">
            <v>Total tourism output - direct tourism output</v>
          </cell>
        </row>
        <row r="46">
          <cell r="A46" t="str">
            <v>Turkey</v>
          </cell>
          <cell r="B46" t="str">
            <v>Tourism Receipts &amp; Expenditure</v>
          </cell>
          <cell r="C46" t="str">
            <v>Indirect Tourism Output by Sector</v>
          </cell>
          <cell r="D46" t="str">
            <v>Other Sectors</v>
          </cell>
          <cell r="S46" t="str">
            <v>New</v>
          </cell>
          <cell r="T46" t="str">
            <v>Total tourism output - direct tourism output</v>
          </cell>
        </row>
        <row r="47">
          <cell r="A47" t="str">
            <v>Turkey</v>
          </cell>
          <cell r="B47" t="str">
            <v>Tourism Receipts &amp; Expenditure</v>
          </cell>
          <cell r="C47" t="str">
            <v>Total Tourism Output by Sector</v>
          </cell>
          <cell r="S47" t="str">
            <v>New</v>
          </cell>
          <cell r="T47" t="str">
            <v>Used the total tourism-related output numbers from the Tourism Satellite Account</v>
          </cell>
        </row>
        <row r="48">
          <cell r="A48" t="str">
            <v>Turkey</v>
          </cell>
          <cell r="B48" t="str">
            <v>Tourism Receipts &amp; Expenditure</v>
          </cell>
          <cell r="C48" t="str">
            <v>Total Tourism Output by Sector</v>
          </cell>
          <cell r="D48" t="str">
            <v>Accommodation</v>
          </cell>
          <cell r="S48" t="str">
            <v>New</v>
          </cell>
          <cell r="T48" t="str">
            <v>Used the total tourism-related output numbers from the Tourism Satellite Account</v>
          </cell>
        </row>
        <row r="49">
          <cell r="A49" t="str">
            <v>Turkey</v>
          </cell>
          <cell r="B49" t="str">
            <v>Tourism Receipts &amp; Expenditure</v>
          </cell>
          <cell r="C49" t="str">
            <v>Total Tourism Output by Sector</v>
          </cell>
          <cell r="D49" t="str">
            <v>Entertainment &amp; Sightseeing</v>
          </cell>
          <cell r="S49" t="str">
            <v>New</v>
          </cell>
          <cell r="T49" t="str">
            <v>Used the total tourism-related output numbers from the Tourism Satellite Account</v>
          </cell>
        </row>
        <row r="50">
          <cell r="A50" t="str">
            <v>Turkey</v>
          </cell>
          <cell r="B50" t="str">
            <v>Tourism Receipts &amp; Expenditure</v>
          </cell>
          <cell r="C50" t="str">
            <v>Total Tourism Output by Sector</v>
          </cell>
          <cell r="D50" t="str">
            <v>Foodservice</v>
          </cell>
          <cell r="S50" t="str">
            <v>New</v>
          </cell>
          <cell r="T50" t="str">
            <v>Used the total tourism-related output numbers from the Tourism Satellite Account</v>
          </cell>
        </row>
        <row r="51">
          <cell r="A51" t="str">
            <v>Turkey</v>
          </cell>
          <cell r="B51" t="str">
            <v>Tourism Receipts &amp; Expenditure</v>
          </cell>
          <cell r="C51" t="str">
            <v>Total Tourism Output by Sector</v>
          </cell>
          <cell r="D51" t="str">
            <v>Retail</v>
          </cell>
          <cell r="S51" t="str">
            <v>New</v>
          </cell>
          <cell r="T51" t="str">
            <v>Used the total tourism-related output numbers from the Tourism Satellite Account</v>
          </cell>
        </row>
        <row r="52">
          <cell r="A52" t="str">
            <v>Turkey</v>
          </cell>
          <cell r="B52" t="str">
            <v>Tourism Receipts &amp; Expenditure</v>
          </cell>
          <cell r="C52" t="str">
            <v>Total Tourism Output by Sector</v>
          </cell>
          <cell r="D52" t="str">
            <v>Transportation</v>
          </cell>
          <cell r="S52" t="str">
            <v>New</v>
          </cell>
          <cell r="T52" t="str">
            <v>Used the total tourism-related output numbers from the Tourism Satellite Account</v>
          </cell>
        </row>
        <row r="53">
          <cell r="A53" t="str">
            <v>Turkey</v>
          </cell>
          <cell r="B53" t="str">
            <v>Tourism Receipts &amp; Expenditure</v>
          </cell>
          <cell r="C53" t="str">
            <v>Total Tourism Output by Sector</v>
          </cell>
          <cell r="D53" t="str">
            <v>Travel Intermediation</v>
          </cell>
          <cell r="S53" t="str">
            <v>New</v>
          </cell>
          <cell r="T53" t="str">
            <v>Used the total tourism-related output numbers from the Tourism Satellite Account</v>
          </cell>
        </row>
        <row r="54">
          <cell r="A54" t="str">
            <v>Turkey</v>
          </cell>
          <cell r="B54" t="str">
            <v>Tourism Receipts &amp; Expenditure</v>
          </cell>
          <cell r="C54" t="str">
            <v>Total Tourism Output by Sector</v>
          </cell>
          <cell r="D54" t="str">
            <v>Other Sectors</v>
          </cell>
          <cell r="S54" t="str">
            <v>New</v>
          </cell>
          <cell r="T54" t="str">
            <v>Used the total tourism-related output numbers from the Tourism Satellite Account</v>
          </cell>
        </row>
        <row r="55">
          <cell r="A55" t="str">
            <v>Turkey</v>
          </cell>
          <cell r="B55" t="str">
            <v>Employment</v>
          </cell>
          <cell r="S55" t="str">
            <v>N/A</v>
          </cell>
        </row>
        <row r="56">
          <cell r="A56" t="str">
            <v>Turkey</v>
          </cell>
          <cell r="B56" t="str">
            <v>Employment</v>
          </cell>
          <cell r="C56" t="str">
            <v>Direct Tourism Employment by Sector</v>
          </cell>
          <cell r="G56" t="str">
            <v>Thousands</v>
          </cell>
          <cell r="S56" t="str">
            <v>New</v>
          </cell>
          <cell r="T56" t="str">
            <v>Used the direct tourism employment numbers from the tourism satellite accounts</v>
          </cell>
          <cell r="U56">
            <v>18139.497250299009</v>
          </cell>
        </row>
        <row r="57">
          <cell r="A57" t="str">
            <v>Turkey</v>
          </cell>
          <cell r="B57" t="str">
            <v>Employment</v>
          </cell>
          <cell r="C57" t="str">
            <v>Direct Tourism Employment by Sector</v>
          </cell>
          <cell r="D57" t="str">
            <v>Accommodation</v>
          </cell>
          <cell r="G57" t="str">
            <v>Thousands</v>
          </cell>
          <cell r="S57" t="str">
            <v>New</v>
          </cell>
          <cell r="T57" t="str">
            <v>Used the direct tourism employment numbers from the tourism satellite accounts</v>
          </cell>
          <cell r="U57">
            <v>0</v>
          </cell>
          <cell r="W57">
            <v>0</v>
          </cell>
          <cell r="X57">
            <v>0</v>
          </cell>
        </row>
        <row r="58">
          <cell r="A58" t="str">
            <v>Turkey</v>
          </cell>
          <cell r="B58" t="str">
            <v>Employment</v>
          </cell>
          <cell r="C58" t="str">
            <v>Direct Tourism Employment by Sector</v>
          </cell>
          <cell r="D58" t="str">
            <v>Entertainment &amp; Sightseeing</v>
          </cell>
          <cell r="G58" t="str">
            <v>Thousands</v>
          </cell>
          <cell r="S58" t="str">
            <v>New</v>
          </cell>
          <cell r="T58" t="str">
            <v>Used the direct tourism employment numbers from the tourism satellite accounts</v>
          </cell>
          <cell r="U58">
            <v>0</v>
          </cell>
          <cell r="W58">
            <v>0</v>
          </cell>
          <cell r="X58">
            <v>0</v>
          </cell>
        </row>
        <row r="59">
          <cell r="A59" t="str">
            <v>Turkey</v>
          </cell>
          <cell r="B59" t="str">
            <v>Employment</v>
          </cell>
          <cell r="C59" t="str">
            <v>Direct Tourism Employment by Sector</v>
          </cell>
          <cell r="D59" t="str">
            <v>Foodservice</v>
          </cell>
          <cell r="G59" t="str">
            <v>Thousands</v>
          </cell>
          <cell r="S59" t="str">
            <v>New</v>
          </cell>
          <cell r="T59" t="str">
            <v>Used the direct tourism employment numbers from the tourism satellite accounts</v>
          </cell>
          <cell r="U59">
            <v>0</v>
          </cell>
          <cell r="W59">
            <v>0</v>
          </cell>
          <cell r="X59">
            <v>0</v>
          </cell>
        </row>
        <row r="60">
          <cell r="A60" t="str">
            <v>Turkey</v>
          </cell>
          <cell r="B60" t="str">
            <v>Employment</v>
          </cell>
          <cell r="C60" t="str">
            <v>Direct Tourism Employment by Sector</v>
          </cell>
          <cell r="D60" t="str">
            <v>Retail</v>
          </cell>
          <cell r="G60" t="str">
            <v>Thousands</v>
          </cell>
          <cell r="S60" t="str">
            <v>New</v>
          </cell>
          <cell r="T60" t="str">
            <v>Used the direct tourism employment numbers from the tourism satellite accounts</v>
          </cell>
          <cell r="U60">
            <v>0</v>
          </cell>
          <cell r="W60">
            <v>0</v>
          </cell>
          <cell r="X60">
            <v>0</v>
          </cell>
        </row>
        <row r="61">
          <cell r="A61" t="str">
            <v>Turkey</v>
          </cell>
          <cell r="B61" t="str">
            <v>Employment</v>
          </cell>
          <cell r="C61" t="str">
            <v>Direct Tourism Employment by Sector</v>
          </cell>
          <cell r="D61" t="str">
            <v>Transportation</v>
          </cell>
          <cell r="G61" t="str">
            <v>Thousands</v>
          </cell>
          <cell r="S61" t="str">
            <v>New</v>
          </cell>
          <cell r="T61" t="str">
            <v>Used the direct tourism employment numbers from the tourism satellite accounts</v>
          </cell>
          <cell r="U61">
            <v>0</v>
          </cell>
          <cell r="W61">
            <v>0</v>
          </cell>
          <cell r="X61">
            <v>0</v>
          </cell>
        </row>
        <row r="62">
          <cell r="A62" t="str">
            <v>Turkey</v>
          </cell>
          <cell r="B62" t="str">
            <v>Employment</v>
          </cell>
          <cell r="C62" t="str">
            <v>Direct Tourism Employment by Sector</v>
          </cell>
          <cell r="D62" t="str">
            <v>Travel Intermediation</v>
          </cell>
          <cell r="G62" t="str">
            <v>Thousands</v>
          </cell>
          <cell r="S62" t="str">
            <v>New</v>
          </cell>
          <cell r="T62" t="str">
            <v>Used the direct tourism employment numbers from the tourism satellite accounts</v>
          </cell>
          <cell r="U62">
            <v>0</v>
          </cell>
          <cell r="W62">
            <v>0</v>
          </cell>
          <cell r="X62">
            <v>0</v>
          </cell>
        </row>
        <row r="63">
          <cell r="A63" t="str">
            <v>Turkey</v>
          </cell>
          <cell r="B63" t="str">
            <v>Employment</v>
          </cell>
          <cell r="C63" t="str">
            <v>Direct Tourism Employment by Sector</v>
          </cell>
          <cell r="D63" t="str">
            <v>Other Sectors</v>
          </cell>
          <cell r="G63" t="str">
            <v>Thousands</v>
          </cell>
          <cell r="S63" t="str">
            <v>New</v>
          </cell>
          <cell r="T63" t="str">
            <v>Used the direct tourism employment numbers from the tourism satellite accounts</v>
          </cell>
          <cell r="U63">
            <v>0</v>
          </cell>
          <cell r="W63">
            <v>0</v>
          </cell>
          <cell r="X63">
            <v>0</v>
          </cell>
        </row>
        <row r="64">
          <cell r="A64" t="str">
            <v>Turkey</v>
          </cell>
          <cell r="B64" t="str">
            <v>Employment</v>
          </cell>
          <cell r="C64" t="str">
            <v>Direct Tourism Employment as a Percentage of Total Employment</v>
          </cell>
          <cell r="G64" t="str">
            <v>%</v>
          </cell>
          <cell r="S64" t="str">
            <v>New</v>
          </cell>
          <cell r="T64" t="str">
            <v>Divided the direct tourism employment number by total non-farm employment</v>
          </cell>
          <cell r="U64">
            <v>0</v>
          </cell>
        </row>
        <row r="65">
          <cell r="A65" t="str">
            <v>Turkey</v>
          </cell>
          <cell r="B65" t="str">
            <v>Employment</v>
          </cell>
          <cell r="C65" t="str">
            <v>Direct Tourism Employment as a Percentage of Total Employment</v>
          </cell>
          <cell r="D65" t="str">
            <v>Accommodation</v>
          </cell>
          <cell r="G65" t="str">
            <v>%</v>
          </cell>
          <cell r="S65" t="str">
            <v>New</v>
          </cell>
          <cell r="T65" t="str">
            <v>Divided the direct tourism employment number by total non-farm employment</v>
          </cell>
          <cell r="U65">
            <v>0</v>
          </cell>
        </row>
        <row r="66">
          <cell r="A66" t="str">
            <v>Turkey</v>
          </cell>
          <cell r="B66" t="str">
            <v>Employment</v>
          </cell>
          <cell r="C66" t="str">
            <v>Direct Tourism Employment as a Percentage of Total Employment</v>
          </cell>
          <cell r="D66" t="str">
            <v>Entertainment &amp; Sightseeing</v>
          </cell>
          <cell r="G66" t="str">
            <v>%</v>
          </cell>
          <cell r="S66" t="str">
            <v>New</v>
          </cell>
          <cell r="T66" t="str">
            <v>Divided the direct tourism employment number by total non-farm employment</v>
          </cell>
          <cell r="U66">
            <v>0</v>
          </cell>
        </row>
        <row r="67">
          <cell r="A67" t="str">
            <v>Turkey</v>
          </cell>
          <cell r="B67" t="str">
            <v>Employment</v>
          </cell>
          <cell r="C67" t="str">
            <v>Direct Tourism Employment as a Percentage of Total Employment</v>
          </cell>
          <cell r="D67" t="str">
            <v>Foodservice</v>
          </cell>
          <cell r="G67" t="str">
            <v>%</v>
          </cell>
          <cell r="S67" t="str">
            <v>New</v>
          </cell>
          <cell r="T67" t="str">
            <v>Divided the direct tourism employment number by total non-farm employment</v>
          </cell>
          <cell r="U67">
            <v>0</v>
          </cell>
        </row>
        <row r="68">
          <cell r="A68" t="str">
            <v>Turkey</v>
          </cell>
          <cell r="B68" t="str">
            <v>Employment</v>
          </cell>
          <cell r="C68" t="str">
            <v>Direct Tourism Employment as a Percentage of Total Employment</v>
          </cell>
          <cell r="D68" t="str">
            <v>Retail</v>
          </cell>
          <cell r="G68" t="str">
            <v>%</v>
          </cell>
          <cell r="S68" t="str">
            <v>New</v>
          </cell>
          <cell r="T68" t="str">
            <v>Divided the direct tourism employment number by total non-farm employment</v>
          </cell>
          <cell r="U68">
            <v>0</v>
          </cell>
        </row>
        <row r="69">
          <cell r="A69" t="str">
            <v>Turkey</v>
          </cell>
          <cell r="B69" t="str">
            <v>Employment</v>
          </cell>
          <cell r="C69" t="str">
            <v>Direct Tourism Employment as a Percentage of Total Employment</v>
          </cell>
          <cell r="D69" t="str">
            <v>Transportation</v>
          </cell>
          <cell r="G69" t="str">
            <v>%</v>
          </cell>
          <cell r="S69" t="str">
            <v>New</v>
          </cell>
          <cell r="T69" t="str">
            <v>Divided the direct tourism employment number by total non-farm employment</v>
          </cell>
          <cell r="U69">
            <v>0</v>
          </cell>
        </row>
        <row r="70">
          <cell r="A70" t="str">
            <v>Turkey</v>
          </cell>
          <cell r="B70" t="str">
            <v>Employment</v>
          </cell>
          <cell r="C70" t="str">
            <v>Direct Tourism Employment as a Percentage of Total Employment</v>
          </cell>
          <cell r="D70" t="str">
            <v>Travel Intermediation</v>
          </cell>
          <cell r="G70" t="str">
            <v>%</v>
          </cell>
          <cell r="S70" t="str">
            <v>New</v>
          </cell>
          <cell r="T70" t="str">
            <v>Divided the direct tourism employment number by total non-farm employment</v>
          </cell>
          <cell r="U70">
            <v>0</v>
          </cell>
        </row>
        <row r="71">
          <cell r="A71" t="str">
            <v>Turkey</v>
          </cell>
          <cell r="B71" t="str">
            <v>Employment</v>
          </cell>
          <cell r="C71" t="str">
            <v>Direct Tourism Employment as a Percentage of Total Employment</v>
          </cell>
          <cell r="D71" t="str">
            <v>Other Sectors</v>
          </cell>
          <cell r="G71" t="str">
            <v>%</v>
          </cell>
          <cell r="S71" t="str">
            <v>New</v>
          </cell>
          <cell r="T71" t="str">
            <v>Divided the direct tourism employment number by total non-farm employment</v>
          </cell>
          <cell r="U71">
            <v>0</v>
          </cell>
        </row>
        <row r="72">
          <cell r="A72" t="str">
            <v>Turkey</v>
          </cell>
          <cell r="B72" t="str">
            <v>Employment</v>
          </cell>
          <cell r="C72" t="str">
            <v>Indirect Tourism Employment by Sector</v>
          </cell>
          <cell r="G72" t="str">
            <v>Thousands</v>
          </cell>
          <cell r="T72" t="str">
            <v>Total tourism employment - direct tourism employment</v>
          </cell>
        </row>
        <row r="73">
          <cell r="A73" t="str">
            <v>Turkey</v>
          </cell>
          <cell r="B73" t="str">
            <v>Employment</v>
          </cell>
          <cell r="C73" t="str">
            <v>Indirect Tourism Employment by Sector</v>
          </cell>
          <cell r="D73" t="str">
            <v>Accommodation</v>
          </cell>
          <cell r="G73" t="str">
            <v>Thousands</v>
          </cell>
        </row>
        <row r="74">
          <cell r="A74" t="str">
            <v>Turkey</v>
          </cell>
          <cell r="B74" t="str">
            <v>Employment</v>
          </cell>
          <cell r="C74" t="str">
            <v>Indirect Tourism Employment by Sector</v>
          </cell>
          <cell r="D74" t="str">
            <v>Entertainment &amp; Sightseeing</v>
          </cell>
          <cell r="G74" t="str">
            <v>Thousands</v>
          </cell>
        </row>
        <row r="75">
          <cell r="A75" t="str">
            <v>Turkey</v>
          </cell>
          <cell r="B75" t="str">
            <v>Employment</v>
          </cell>
          <cell r="C75" t="str">
            <v>Indirect Tourism Employment by Sector</v>
          </cell>
          <cell r="D75" t="str">
            <v>Foodservice</v>
          </cell>
          <cell r="G75" t="str">
            <v>Thousands</v>
          </cell>
        </row>
        <row r="76">
          <cell r="A76" t="str">
            <v>Turkey</v>
          </cell>
          <cell r="B76" t="str">
            <v>Employment</v>
          </cell>
          <cell r="C76" t="str">
            <v>Indirect Tourism Employment by Sector</v>
          </cell>
          <cell r="D76" t="str">
            <v>Retail</v>
          </cell>
          <cell r="G76" t="str">
            <v>Thousands</v>
          </cell>
        </row>
        <row r="77">
          <cell r="A77" t="str">
            <v>Turkey</v>
          </cell>
          <cell r="B77" t="str">
            <v>Employment</v>
          </cell>
          <cell r="C77" t="str">
            <v>Indirect Tourism Employment by Sector</v>
          </cell>
          <cell r="D77" t="str">
            <v>Transportation</v>
          </cell>
          <cell r="G77" t="str">
            <v>Thousands</v>
          </cell>
        </row>
        <row r="78">
          <cell r="A78" t="str">
            <v>Turkey</v>
          </cell>
          <cell r="B78" t="str">
            <v>Employment</v>
          </cell>
          <cell r="C78" t="str">
            <v>Indirect Tourism Employment by Sector</v>
          </cell>
          <cell r="D78" t="str">
            <v>Travel Intermediation</v>
          </cell>
          <cell r="G78" t="str">
            <v>Thousands</v>
          </cell>
        </row>
        <row r="79">
          <cell r="A79" t="str">
            <v>Turkey</v>
          </cell>
          <cell r="B79" t="str">
            <v>Employment</v>
          </cell>
          <cell r="C79" t="str">
            <v>Indirect Tourism Employment by Sector</v>
          </cell>
          <cell r="D79" t="str">
            <v>Other Sectors</v>
          </cell>
          <cell r="G79" t="str">
            <v>Thousands</v>
          </cell>
        </row>
        <row r="80">
          <cell r="A80" t="str">
            <v>Turkey</v>
          </cell>
          <cell r="B80" t="str">
            <v>Employment</v>
          </cell>
          <cell r="C80" t="str">
            <v>Indirect Tourism Employment as a Percentage of Total Employment</v>
          </cell>
          <cell r="G80" t="str">
            <v>%</v>
          </cell>
          <cell r="T80" t="str">
            <v>(Total tourism employment - direct tourism employment)/total non-farm employment</v>
          </cell>
          <cell r="U80">
            <v>0</v>
          </cell>
        </row>
        <row r="81">
          <cell r="A81" t="str">
            <v>Turkey</v>
          </cell>
          <cell r="B81" t="str">
            <v>Employment</v>
          </cell>
          <cell r="C81" t="str">
            <v>Indirect Tourism Employment as a Percentage of Total Employment</v>
          </cell>
          <cell r="D81" t="str">
            <v>Accommodation</v>
          </cell>
          <cell r="G81" t="str">
            <v>%</v>
          </cell>
        </row>
        <row r="82">
          <cell r="A82" t="str">
            <v>Turkey</v>
          </cell>
          <cell r="B82" t="str">
            <v>Employment</v>
          </cell>
          <cell r="C82" t="str">
            <v>Indirect Tourism Employment as a Percentage of Total Employment</v>
          </cell>
          <cell r="D82" t="str">
            <v>Entertainment &amp; Sightseeing</v>
          </cell>
          <cell r="G82" t="str">
            <v>%</v>
          </cell>
        </row>
        <row r="83">
          <cell r="A83" t="str">
            <v>Turkey</v>
          </cell>
          <cell r="B83" t="str">
            <v>Employment</v>
          </cell>
          <cell r="C83" t="str">
            <v>Indirect Tourism Employment as a Percentage of Total Employment</v>
          </cell>
          <cell r="D83" t="str">
            <v>Foodservice</v>
          </cell>
          <cell r="G83" t="str">
            <v>%</v>
          </cell>
        </row>
        <row r="84">
          <cell r="A84" t="str">
            <v>Turkey</v>
          </cell>
          <cell r="B84" t="str">
            <v>Employment</v>
          </cell>
          <cell r="C84" t="str">
            <v>Indirect Tourism Employment as a Percentage of Total Employment</v>
          </cell>
          <cell r="D84" t="str">
            <v>Retail</v>
          </cell>
          <cell r="G84" t="str">
            <v>%</v>
          </cell>
        </row>
        <row r="85">
          <cell r="A85" t="str">
            <v>Turkey</v>
          </cell>
          <cell r="B85" t="str">
            <v>Employment</v>
          </cell>
          <cell r="C85" t="str">
            <v>Indirect Tourism Employment as a Percentage of Total Employment</v>
          </cell>
          <cell r="D85" t="str">
            <v>Transportation</v>
          </cell>
          <cell r="G85" t="str">
            <v>%</v>
          </cell>
        </row>
        <row r="86">
          <cell r="A86" t="str">
            <v>Turkey</v>
          </cell>
          <cell r="B86" t="str">
            <v>Employment</v>
          </cell>
          <cell r="C86" t="str">
            <v>Indirect Tourism Employment as a Percentage of Total Employment</v>
          </cell>
          <cell r="D86" t="str">
            <v>Travel Intermediation</v>
          </cell>
          <cell r="G86" t="str">
            <v>%</v>
          </cell>
        </row>
        <row r="87">
          <cell r="A87" t="str">
            <v>Turkey</v>
          </cell>
          <cell r="B87" t="str">
            <v>Employment</v>
          </cell>
          <cell r="C87" t="str">
            <v>Indirect Tourism Employment as a Percentage of Total Employment</v>
          </cell>
          <cell r="D87" t="str">
            <v>Other Sectors</v>
          </cell>
          <cell r="G87" t="str">
            <v>%</v>
          </cell>
        </row>
        <row r="88">
          <cell r="A88" t="str">
            <v>Turkey</v>
          </cell>
          <cell r="B88" t="str">
            <v>Employment</v>
          </cell>
          <cell r="C88" t="str">
            <v>Total Tourism Employment by Sector</v>
          </cell>
          <cell r="G88" t="str">
            <v>Thousands</v>
          </cell>
        </row>
        <row r="89">
          <cell r="A89" t="str">
            <v>Turkey</v>
          </cell>
          <cell r="B89" t="str">
            <v>Employment</v>
          </cell>
          <cell r="C89" t="str">
            <v>Total Tourism Employment by Sector</v>
          </cell>
          <cell r="D89" t="str">
            <v>Accommodation</v>
          </cell>
          <cell r="G89" t="str">
            <v>Thousands</v>
          </cell>
        </row>
        <row r="90">
          <cell r="A90" t="str">
            <v>Turkey</v>
          </cell>
          <cell r="B90" t="str">
            <v>Employment</v>
          </cell>
          <cell r="C90" t="str">
            <v>Total Tourism Employment by Sector</v>
          </cell>
          <cell r="D90" t="str">
            <v>Entertainment &amp; Sightseeing</v>
          </cell>
          <cell r="G90" t="str">
            <v>Thousands</v>
          </cell>
          <cell r="T90" t="str">
            <v>Used the total tourism-related employment numbers from the TSA</v>
          </cell>
        </row>
        <row r="91">
          <cell r="A91" t="str">
            <v>Turkey</v>
          </cell>
          <cell r="B91" t="str">
            <v>Employment</v>
          </cell>
          <cell r="C91" t="str">
            <v>Total Tourism Employment by Sector</v>
          </cell>
          <cell r="D91" t="str">
            <v>Foodservice</v>
          </cell>
          <cell r="G91" t="str">
            <v>Thousands</v>
          </cell>
          <cell r="T91" t="str">
            <v>Used the total tourism-related employment numbers from the TSA</v>
          </cell>
        </row>
        <row r="92">
          <cell r="A92" t="str">
            <v>Turkey</v>
          </cell>
          <cell r="B92" t="str">
            <v>Employment</v>
          </cell>
          <cell r="C92" t="str">
            <v>Total Tourism Employment by Sector</v>
          </cell>
          <cell r="D92" t="str">
            <v>Retail</v>
          </cell>
          <cell r="G92" t="str">
            <v>Thousands</v>
          </cell>
          <cell r="T92" t="str">
            <v>Used the total tourism-related employment numbers from the TSA</v>
          </cell>
        </row>
        <row r="93">
          <cell r="A93" t="str">
            <v>Turkey</v>
          </cell>
          <cell r="B93" t="str">
            <v>Employment</v>
          </cell>
          <cell r="C93" t="str">
            <v>Total Tourism Employment by Sector</v>
          </cell>
          <cell r="D93" t="str">
            <v>Transportation</v>
          </cell>
          <cell r="G93" t="str">
            <v>Thousands</v>
          </cell>
          <cell r="T93" t="str">
            <v>Used the total tourism-related employment numbers from the TSA</v>
          </cell>
        </row>
        <row r="94">
          <cell r="A94" t="str">
            <v>Turkey</v>
          </cell>
          <cell r="B94" t="str">
            <v>Employment</v>
          </cell>
          <cell r="C94" t="str">
            <v>Total Tourism Employment by Sector</v>
          </cell>
          <cell r="D94" t="str">
            <v>Travel Intermediation</v>
          </cell>
          <cell r="G94" t="str">
            <v>Thousands</v>
          </cell>
          <cell r="T94" t="str">
            <v>Used the total tourism-related employment numbers from the TSA</v>
          </cell>
        </row>
        <row r="95">
          <cell r="A95" t="str">
            <v>Turkey</v>
          </cell>
          <cell r="B95" t="str">
            <v>Employment</v>
          </cell>
          <cell r="C95" t="str">
            <v>Total Tourism Employment by Sector</v>
          </cell>
          <cell r="D95" t="str">
            <v>Other Sectors</v>
          </cell>
          <cell r="G95" t="str">
            <v>Thousands</v>
          </cell>
          <cell r="T95" t="str">
            <v>Used the total tourism-related employment numbers from the TSA</v>
          </cell>
        </row>
        <row r="96">
          <cell r="A96" t="str">
            <v>Turkey</v>
          </cell>
          <cell r="B96" t="str">
            <v>Employment</v>
          </cell>
          <cell r="C96" t="str">
            <v>Total Tourism Employment as a Percentage of Total Employment</v>
          </cell>
          <cell r="G96" t="str">
            <v>%</v>
          </cell>
        </row>
        <row r="97">
          <cell r="A97" t="str">
            <v>Turkey</v>
          </cell>
          <cell r="B97" t="str">
            <v>Employment</v>
          </cell>
          <cell r="C97" t="str">
            <v>Total Tourism Employment as a Percentage of Total Employment</v>
          </cell>
          <cell r="D97" t="str">
            <v>Accommodation</v>
          </cell>
          <cell r="G97" t="str">
            <v>%</v>
          </cell>
        </row>
        <row r="98">
          <cell r="A98" t="str">
            <v>Turkey</v>
          </cell>
          <cell r="B98" t="str">
            <v>Employment</v>
          </cell>
          <cell r="C98" t="str">
            <v>Total Tourism Employment as a Percentage of Total Employment</v>
          </cell>
          <cell r="D98" t="str">
            <v>Entertainment &amp; Sightseeing</v>
          </cell>
          <cell r="G98" t="str">
            <v>%</v>
          </cell>
        </row>
        <row r="99">
          <cell r="A99" t="str">
            <v>Turkey</v>
          </cell>
          <cell r="B99" t="str">
            <v>Employment</v>
          </cell>
          <cell r="C99" t="str">
            <v>Total Tourism Employment as a Percentage of Total Employment</v>
          </cell>
          <cell r="D99" t="str">
            <v>Foodservice</v>
          </cell>
          <cell r="G99" t="str">
            <v>%</v>
          </cell>
        </row>
        <row r="100">
          <cell r="A100" t="str">
            <v>Turkey</v>
          </cell>
          <cell r="B100" t="str">
            <v>Employment</v>
          </cell>
          <cell r="C100" t="str">
            <v>Total Tourism Employment as a Percentage of Total Employment</v>
          </cell>
          <cell r="D100" t="str">
            <v>Retail</v>
          </cell>
          <cell r="G100" t="str">
            <v>%</v>
          </cell>
        </row>
        <row r="101">
          <cell r="A101" t="str">
            <v>Turkey</v>
          </cell>
          <cell r="B101" t="str">
            <v>Employment</v>
          </cell>
          <cell r="C101" t="str">
            <v>Total Tourism Employment as a Percentage of Total Employment</v>
          </cell>
          <cell r="D101" t="str">
            <v>Transportation</v>
          </cell>
          <cell r="G101" t="str">
            <v>%</v>
          </cell>
        </row>
        <row r="102">
          <cell r="A102" t="str">
            <v>Turkey</v>
          </cell>
          <cell r="B102" t="str">
            <v>Employment</v>
          </cell>
          <cell r="C102" t="str">
            <v>Total Tourism Employment as a Percentage of Total Employment</v>
          </cell>
          <cell r="D102" t="str">
            <v>Travel Intermediation</v>
          </cell>
          <cell r="G102" t="str">
            <v>%</v>
          </cell>
        </row>
        <row r="103">
          <cell r="A103" t="str">
            <v>Turkey</v>
          </cell>
          <cell r="B103" t="str">
            <v>Employment</v>
          </cell>
          <cell r="C103" t="str">
            <v>Total Tourism Employment as a Percentage of Total Employment</v>
          </cell>
          <cell r="D103" t="str">
            <v>Other Sectors</v>
          </cell>
          <cell r="G103" t="str">
            <v>%</v>
          </cell>
        </row>
        <row r="104">
          <cell r="A104" t="str">
            <v>Turkey</v>
          </cell>
          <cell r="B104" t="str">
            <v>Salaries</v>
          </cell>
        </row>
        <row r="105">
          <cell r="A105" t="str">
            <v>Turkey</v>
          </cell>
          <cell r="B105" t="str">
            <v>Salaries</v>
          </cell>
          <cell r="C105" t="str">
            <v>Average Salary by Sector</v>
          </cell>
          <cell r="G105" t="str">
            <v>TRY</v>
          </cell>
          <cell r="H105">
            <v>17652.675517714299</v>
          </cell>
          <cell r="I105">
            <v>19250.353162971889</v>
          </cell>
          <cell r="J105">
            <v>18872.145796990586</v>
          </cell>
          <cell r="K105">
            <v>21032.210519490363</v>
          </cell>
          <cell r="L105">
            <v>22907.407743490643</v>
          </cell>
        </row>
        <row r="106">
          <cell r="A106" t="str">
            <v>Turkey</v>
          </cell>
          <cell r="B106" t="str">
            <v>Salaries</v>
          </cell>
          <cell r="C106" t="str">
            <v>Average Salary by Sector</v>
          </cell>
          <cell r="D106" t="str">
            <v>Accommodation</v>
          </cell>
          <cell r="G106" t="str">
            <v>TRY</v>
          </cell>
          <cell r="H106">
            <v>13690.492200650448</v>
          </cell>
          <cell r="I106">
            <v>15017.309687472951</v>
          </cell>
          <cell r="J106">
            <v>14702.790008199167</v>
          </cell>
          <cell r="K106">
            <v>16484.349447188059</v>
          </cell>
          <cell r="L106">
            <v>18063.14163269287</v>
          </cell>
        </row>
        <row r="107">
          <cell r="A107" t="str">
            <v>Turkey</v>
          </cell>
          <cell r="B107" t="str">
            <v>Salaries</v>
          </cell>
          <cell r="C107" t="str">
            <v>Average Salary by Sector</v>
          </cell>
          <cell r="D107" t="str">
            <v>Entertainment &amp; Sightseeing</v>
          </cell>
          <cell r="G107" t="str">
            <v>TRY</v>
          </cell>
          <cell r="H107">
            <v>21310.909988782867</v>
          </cell>
          <cell r="I107">
            <v>23216.150792866905</v>
          </cell>
          <cell r="J107">
            <v>22843.000304018755</v>
          </cell>
          <cell r="K107">
            <v>25313.119999999999</v>
          </cell>
          <cell r="L107">
            <v>27611.974506293598</v>
          </cell>
        </row>
        <row r="108">
          <cell r="A108" t="str">
            <v>Turkey</v>
          </cell>
          <cell r="B108" t="str">
            <v>Salaries</v>
          </cell>
          <cell r="C108" t="str">
            <v>Average Salary by Sector</v>
          </cell>
          <cell r="D108" t="str">
            <v>Foodservice</v>
          </cell>
          <cell r="G108" t="str">
            <v>TRY</v>
          </cell>
          <cell r="H108">
            <v>13183.125289568747</v>
          </cell>
          <cell r="I108">
            <v>14418.155945647848</v>
          </cell>
          <cell r="J108">
            <v>13977.790859536224</v>
          </cell>
          <cell r="K108">
            <v>15519.350552811944</v>
          </cell>
          <cell r="L108">
            <v>16960.251217215628</v>
          </cell>
          <cell r="S108" t="str">
            <v>New</v>
          </cell>
          <cell r="T108" t="str">
            <v>Used mean salary of food preparation and serving related occupations</v>
          </cell>
          <cell r="W108">
            <v>0</v>
          </cell>
          <cell r="X108">
            <v>0</v>
          </cell>
        </row>
        <row r="109">
          <cell r="A109" t="str">
            <v>Turkey</v>
          </cell>
          <cell r="B109" t="str">
            <v>Salaries</v>
          </cell>
          <cell r="C109" t="str">
            <v>Average Salary by Sector</v>
          </cell>
          <cell r="D109" t="str">
            <v>Retail</v>
          </cell>
          <cell r="G109" t="str">
            <v>TRY</v>
          </cell>
          <cell r="H109">
            <v>17086.636549355757</v>
          </cell>
          <cell r="I109">
            <v>18469.64184578299</v>
          </cell>
          <cell r="J109">
            <v>18281.927277138766</v>
          </cell>
          <cell r="K109">
            <v>20397.189999999999</v>
          </cell>
          <cell r="L109">
            <v>22135.222662752392</v>
          </cell>
          <cell r="S109" t="str">
            <v>New</v>
          </cell>
          <cell r="T109" t="str">
            <v>Used mean salary of retail sales workers</v>
          </cell>
          <cell r="W109">
            <v>0</v>
          </cell>
          <cell r="X109">
            <v>0</v>
          </cell>
        </row>
        <row r="110">
          <cell r="A110" t="str">
            <v>Turkey</v>
          </cell>
          <cell r="B110" t="str">
            <v>Salaries</v>
          </cell>
          <cell r="C110" t="str">
            <v>Average Salary by Sector</v>
          </cell>
          <cell r="D110" t="str">
            <v>Transportation</v>
          </cell>
          <cell r="G110" t="str">
            <v>TRY</v>
          </cell>
          <cell r="H110">
            <v>17764.745820847747</v>
          </cell>
          <cell r="I110">
            <v>19296.309198898092</v>
          </cell>
          <cell r="J110">
            <v>18929.655433508367</v>
          </cell>
          <cell r="K110">
            <v>21476.05</v>
          </cell>
          <cell r="L110">
            <v>23335.639894339656</v>
          </cell>
          <cell r="S110" t="str">
            <v>New</v>
          </cell>
          <cell r="T110" t="str">
            <v>Used mean salary of transportation and material moving occupations</v>
          </cell>
          <cell r="W110">
            <v>0</v>
          </cell>
          <cell r="X110">
            <v>0</v>
          </cell>
        </row>
        <row r="111">
          <cell r="A111" t="str">
            <v>Turkey</v>
          </cell>
          <cell r="B111" t="str">
            <v>Salaries</v>
          </cell>
          <cell r="C111" t="str">
            <v>Average Salary by Sector</v>
          </cell>
          <cell r="D111" t="str">
            <v>Travel Intermediation</v>
          </cell>
          <cell r="G111" t="str">
            <v>TRY</v>
          </cell>
          <cell r="H111">
            <v>23726.477514946007</v>
          </cell>
          <cell r="I111">
            <v>26154.776299274894</v>
          </cell>
          <cell r="J111">
            <v>25455.773221361836</v>
          </cell>
          <cell r="K111">
            <v>28373.385730437938</v>
          </cell>
          <cell r="L111">
            <v>30869.362412108734</v>
          </cell>
          <cell r="S111" t="str">
            <v>New</v>
          </cell>
          <cell r="T111" t="str">
            <v>Used mean salary of travel agents</v>
          </cell>
          <cell r="W111">
            <v>0</v>
          </cell>
          <cell r="X111">
            <v>0</v>
          </cell>
        </row>
        <row r="112">
          <cell r="A112" t="str">
            <v>Turkey</v>
          </cell>
          <cell r="B112" t="str">
            <v>Salaries</v>
          </cell>
          <cell r="C112" t="str">
            <v>Average Salary by Sector</v>
          </cell>
          <cell r="D112" t="str">
            <v>Other Sectors</v>
          </cell>
          <cell r="G112" t="str">
            <v>TRY</v>
          </cell>
          <cell r="H112">
            <v>20186.974334250561</v>
          </cell>
          <cell r="I112">
            <v>22034.853938622469</v>
          </cell>
          <cell r="J112">
            <v>21723.921982121487</v>
          </cell>
          <cell r="K112">
            <v>23956.959999999999</v>
          </cell>
          <cell r="L112">
            <v>26124.967454064725</v>
          </cell>
          <cell r="S112" t="str">
            <v>New</v>
          </cell>
          <cell r="T112" t="str">
            <v>Used national average salary</v>
          </cell>
          <cell r="W112">
            <v>0</v>
          </cell>
          <cell r="X112">
            <v>0</v>
          </cell>
        </row>
        <row r="113">
          <cell r="A113" t="str">
            <v>Turkey</v>
          </cell>
          <cell r="B113" t="str">
            <v>Salaries</v>
          </cell>
          <cell r="C113" t="str">
            <v>Total Gross Income Generated by Total Tourism Employment by Sector</v>
          </cell>
        </row>
        <row r="114">
          <cell r="A114" t="str">
            <v>Turkey</v>
          </cell>
          <cell r="B114" t="str">
            <v>Salaries</v>
          </cell>
          <cell r="C114" t="str">
            <v>Total Gross Income Generated by Total Tourism Employment by Sector</v>
          </cell>
          <cell r="D114" t="str">
            <v>Accommodation</v>
          </cell>
        </row>
        <row r="115">
          <cell r="A115" t="str">
            <v>Turkey</v>
          </cell>
          <cell r="B115" t="str">
            <v>Salaries</v>
          </cell>
          <cell r="C115" t="str">
            <v>Total Gross Income Generated by Total Tourism Employment by Sector</v>
          </cell>
          <cell r="D115" t="str">
            <v>Entertainment &amp; Sightseeing</v>
          </cell>
        </row>
        <row r="116">
          <cell r="A116" t="str">
            <v>Turkey</v>
          </cell>
          <cell r="B116" t="str">
            <v>Salaries</v>
          </cell>
          <cell r="C116" t="str">
            <v>Total Gross Income Generated by Total Tourism Employment by Sector</v>
          </cell>
          <cell r="D116" t="str">
            <v>Foodservice</v>
          </cell>
        </row>
        <row r="117">
          <cell r="A117" t="str">
            <v>Turkey</v>
          </cell>
          <cell r="B117" t="str">
            <v>Salaries</v>
          </cell>
          <cell r="C117" t="str">
            <v>Total Gross Income Generated by Total Tourism Employment by Sector</v>
          </cell>
          <cell r="D117" t="str">
            <v>Retail</v>
          </cell>
        </row>
        <row r="118">
          <cell r="A118" t="str">
            <v>Turkey</v>
          </cell>
          <cell r="B118" t="str">
            <v>Salaries</v>
          </cell>
          <cell r="C118" t="str">
            <v>Total Gross Income Generated by Total Tourism Employment by Sector</v>
          </cell>
          <cell r="D118" t="str">
            <v>Transportation</v>
          </cell>
        </row>
        <row r="119">
          <cell r="A119" t="str">
            <v>Turkey</v>
          </cell>
          <cell r="B119" t="str">
            <v>Salaries</v>
          </cell>
          <cell r="C119" t="str">
            <v>Total Gross Income Generated by Total Tourism Employment by Sector</v>
          </cell>
          <cell r="D119" t="str">
            <v>Travel Intermediation</v>
          </cell>
        </row>
        <row r="120">
          <cell r="A120" t="str">
            <v>Turkey</v>
          </cell>
          <cell r="B120" t="str">
            <v>Salaries</v>
          </cell>
          <cell r="C120" t="str">
            <v>Total Gross Income Generated by Total Tourism Employment by Sector</v>
          </cell>
          <cell r="D120" t="str">
            <v>Other Sectors</v>
          </cell>
        </row>
        <row r="121">
          <cell r="A121" t="str">
            <v>Turkey</v>
          </cell>
          <cell r="B121" t="str">
            <v>Tourism Spend Factors</v>
          </cell>
        </row>
        <row r="122">
          <cell r="A122" t="str">
            <v>Turkey</v>
          </cell>
          <cell r="B122" t="str">
            <v>Tourism Spend Factors</v>
          </cell>
          <cell r="C122" t="str">
            <v>Average National Tourism Spend per Day of Trip</v>
          </cell>
        </row>
        <row r="123">
          <cell r="A123" t="str">
            <v>Turkey</v>
          </cell>
          <cell r="B123" t="str">
            <v>Tourism Spend Factors</v>
          </cell>
          <cell r="C123" t="str">
            <v>Average National Tourism Spend per Day of Trip</v>
          </cell>
          <cell r="D123" t="str">
            <v>Domestic Trips</v>
          </cell>
        </row>
        <row r="124">
          <cell r="A124" t="str">
            <v>Turkey</v>
          </cell>
          <cell r="B124" t="str">
            <v>Tourism Spend Factors</v>
          </cell>
          <cell r="C124" t="str">
            <v>Average National Tourism Spend per Day of Trip</v>
          </cell>
          <cell r="D124" t="str">
            <v>International Trips</v>
          </cell>
        </row>
        <row r="125">
          <cell r="A125" t="str">
            <v>Turkey</v>
          </cell>
          <cell r="B125" t="str">
            <v>Tourism Spend Factors</v>
          </cell>
          <cell r="C125" t="str">
            <v>Percentage of Total Resident Income Spent on Tourism</v>
          </cell>
          <cell r="G125" t="str">
            <v>%</v>
          </cell>
        </row>
        <row r="126">
          <cell r="A126" t="str">
            <v>Turkey</v>
          </cell>
          <cell r="B126" t="str">
            <v>Tourism Spend Factors</v>
          </cell>
          <cell r="C126" t="str">
            <v>Percentage of Total Resident Income Spent on Tourism</v>
          </cell>
          <cell r="D126" t="str">
            <v>Domestic Trips</v>
          </cell>
          <cell r="G126" t="str">
            <v>%</v>
          </cell>
        </row>
        <row r="127">
          <cell r="A127" t="str">
            <v>Turkey</v>
          </cell>
          <cell r="B127" t="str">
            <v>Tourism Spend Factors</v>
          </cell>
          <cell r="C127" t="str">
            <v>Percentage of Total Resident Income Spent on Tourism</v>
          </cell>
          <cell r="D127" t="str">
            <v>International Trips</v>
          </cell>
          <cell r="G127" t="str">
            <v>%</v>
          </cell>
        </row>
        <row r="128">
          <cell r="A128" t="str">
            <v>Turkey</v>
          </cell>
          <cell r="B128" t="str">
            <v>Tourism Spend Factors</v>
          </cell>
          <cell r="C128" t="str">
            <v>Total National Tourism Expenditure by Tourist Destination</v>
          </cell>
        </row>
        <row r="129">
          <cell r="A129" t="str">
            <v>Turkey</v>
          </cell>
          <cell r="B129" t="str">
            <v>Tourism Spend Factors</v>
          </cell>
          <cell r="C129" t="str">
            <v>Total National Tourism Expenditure by Tourist Destination</v>
          </cell>
          <cell r="D129" t="str">
            <v>Domestic Trips</v>
          </cell>
        </row>
        <row r="130">
          <cell r="A130" t="str">
            <v>Turkey</v>
          </cell>
          <cell r="B130" t="str">
            <v>Tourism Spend Factors</v>
          </cell>
          <cell r="C130" t="str">
            <v>Total National Tourism Expenditure by Tourist Destination</v>
          </cell>
          <cell r="D130" t="str">
            <v>International Trips</v>
          </cell>
        </row>
        <row r="131">
          <cell r="A131" t="str">
            <v>Turkey</v>
          </cell>
          <cell r="B131" t="str">
            <v>Tourism Spend Factors</v>
          </cell>
          <cell r="C131" t="str">
            <v>Total National Tourism Expenditure by Tourist Destination</v>
          </cell>
          <cell r="D131" t="str">
            <v>International Trips</v>
          </cell>
          <cell r="E131" t="str">
            <v>Africa</v>
          </cell>
        </row>
        <row r="132">
          <cell r="A132" t="str">
            <v>Turkey</v>
          </cell>
          <cell r="B132" t="str">
            <v>Tourism Spend Factors</v>
          </cell>
          <cell r="C132" t="str">
            <v>Total National Tourism Expenditure by Tourist Destination</v>
          </cell>
          <cell r="D132" t="str">
            <v>International Trips</v>
          </cell>
          <cell r="E132" t="str">
            <v>Asia-Pacific</v>
          </cell>
        </row>
        <row r="133">
          <cell r="A133" t="str">
            <v>Turkey</v>
          </cell>
          <cell r="B133" t="str">
            <v>Tourism Spend Factors</v>
          </cell>
          <cell r="C133" t="str">
            <v>Total National Tourism Expenditure by Tourist Destination</v>
          </cell>
          <cell r="D133" t="str">
            <v>International Trips</v>
          </cell>
          <cell r="E133" t="str">
            <v>Europe</v>
          </cell>
        </row>
        <row r="134">
          <cell r="A134" t="str">
            <v>Turkey</v>
          </cell>
          <cell r="B134" t="str">
            <v>Tourism Spend Factors</v>
          </cell>
          <cell r="C134" t="str">
            <v>Total National Tourism Expenditure by Tourist Destination</v>
          </cell>
          <cell r="D134" t="str">
            <v>International Trips</v>
          </cell>
          <cell r="E134" t="str">
            <v>Middle East</v>
          </cell>
        </row>
        <row r="135">
          <cell r="A135" t="str">
            <v>Turkey</v>
          </cell>
          <cell r="B135" t="str">
            <v>Tourism Spend Factors</v>
          </cell>
          <cell r="C135" t="str">
            <v>Total National Tourism Expenditure by Tourist Destination</v>
          </cell>
          <cell r="D135" t="str">
            <v>International Trips</v>
          </cell>
          <cell r="E135" t="str">
            <v>North America</v>
          </cell>
        </row>
        <row r="136">
          <cell r="A136" t="str">
            <v>Turkey</v>
          </cell>
          <cell r="B136" t="str">
            <v>Tourism Spend Factors</v>
          </cell>
          <cell r="C136" t="str">
            <v>Total National Tourism Expenditure by Tourist Destination</v>
          </cell>
          <cell r="D136" t="str">
            <v>International Trips</v>
          </cell>
          <cell r="E136" t="str">
            <v>South &amp; Central America</v>
          </cell>
        </row>
        <row r="137">
          <cell r="A137" t="str">
            <v>Turkey</v>
          </cell>
          <cell r="B137" t="str">
            <v>Tourism Spend Factors</v>
          </cell>
          <cell r="C137" t="str">
            <v>Total National Tourism Expenditure by Sector</v>
          </cell>
        </row>
        <row r="138">
          <cell r="A138" t="str">
            <v>Turkey</v>
          </cell>
          <cell r="B138" t="str">
            <v>Tourism Spend Factors</v>
          </cell>
          <cell r="C138" t="str">
            <v>Total National Tourism Expenditure by Sector</v>
          </cell>
          <cell r="D138" t="str">
            <v>Accommodation</v>
          </cell>
        </row>
        <row r="139">
          <cell r="A139" t="str">
            <v>Turkey</v>
          </cell>
          <cell r="B139" t="str">
            <v>Tourism Spend Factors</v>
          </cell>
          <cell r="C139" t="str">
            <v>Total National Tourism Expenditure by Sector</v>
          </cell>
          <cell r="D139" t="str">
            <v>Entertainment &amp; Sightseeing</v>
          </cell>
        </row>
        <row r="140">
          <cell r="A140" t="str">
            <v>Turkey</v>
          </cell>
          <cell r="B140" t="str">
            <v>Tourism Spend Factors</v>
          </cell>
          <cell r="C140" t="str">
            <v>Total National Tourism Expenditure by Sector</v>
          </cell>
          <cell r="D140" t="str">
            <v>Foodservice</v>
          </cell>
        </row>
        <row r="141">
          <cell r="A141" t="str">
            <v>Turkey</v>
          </cell>
          <cell r="B141" t="str">
            <v>Tourism Spend Factors</v>
          </cell>
          <cell r="C141" t="str">
            <v>Total National Tourism Expenditure by Sector</v>
          </cell>
          <cell r="D141" t="str">
            <v>Retail</v>
          </cell>
        </row>
        <row r="142">
          <cell r="A142" t="str">
            <v>Turkey</v>
          </cell>
          <cell r="B142" t="str">
            <v>Tourism Spend Factors</v>
          </cell>
          <cell r="C142" t="str">
            <v>Total National Tourism Expenditure by Sector</v>
          </cell>
          <cell r="D142" t="str">
            <v>Transportation</v>
          </cell>
        </row>
        <row r="143">
          <cell r="A143" t="str">
            <v>Turkey</v>
          </cell>
          <cell r="B143" t="str">
            <v>Tourism Spend Factors</v>
          </cell>
          <cell r="C143" t="str">
            <v>Total National Tourism Expenditure by Sector</v>
          </cell>
          <cell r="D143" t="str">
            <v>Travel Intermediation</v>
          </cell>
        </row>
        <row r="144">
          <cell r="A144" t="str">
            <v>Turkey</v>
          </cell>
          <cell r="B144" t="str">
            <v>Tourism Spend Factors</v>
          </cell>
          <cell r="C144" t="str">
            <v>Total National Tourism Expenditure by Sector</v>
          </cell>
          <cell r="D144" t="str">
            <v>Other Sectors</v>
          </cell>
        </row>
        <row r="145">
          <cell r="A145" t="str">
            <v>Turkey</v>
          </cell>
          <cell r="B145" t="str">
            <v>Tourism Spend Factors</v>
          </cell>
          <cell r="C145" t="str">
            <v>Average Expenditure per Domestic Tourist by Sector</v>
          </cell>
        </row>
        <row r="146">
          <cell r="A146" t="str">
            <v>Turkey</v>
          </cell>
          <cell r="B146" t="str">
            <v>Tourism Spend Factors</v>
          </cell>
          <cell r="C146" t="str">
            <v>Average Expenditure per Domestic Tourist by Sector</v>
          </cell>
          <cell r="D146" t="str">
            <v>Accommodation</v>
          </cell>
        </row>
        <row r="147">
          <cell r="A147" t="str">
            <v>Turkey</v>
          </cell>
          <cell r="B147" t="str">
            <v>Tourism Spend Factors</v>
          </cell>
          <cell r="C147" t="str">
            <v>Average Expenditure per Domestic Tourist by Sector</v>
          </cell>
          <cell r="D147" t="str">
            <v>Entertainment &amp; Sightseeing</v>
          </cell>
        </row>
        <row r="148">
          <cell r="A148" t="str">
            <v>Turkey</v>
          </cell>
          <cell r="B148" t="str">
            <v>Tourism Spend Factors</v>
          </cell>
          <cell r="C148" t="str">
            <v>Average Expenditure per Domestic Tourist by Sector</v>
          </cell>
          <cell r="D148" t="str">
            <v>Foodservice</v>
          </cell>
        </row>
        <row r="149">
          <cell r="A149" t="str">
            <v>Turkey</v>
          </cell>
          <cell r="B149" t="str">
            <v>Tourism Spend Factors</v>
          </cell>
          <cell r="C149" t="str">
            <v>Average Expenditure per Domestic Tourist by Sector</v>
          </cell>
          <cell r="D149" t="str">
            <v>Retail</v>
          </cell>
        </row>
        <row r="150">
          <cell r="A150" t="str">
            <v>Turkey</v>
          </cell>
          <cell r="B150" t="str">
            <v>Tourism Spend Factors</v>
          </cell>
          <cell r="C150" t="str">
            <v>Average Expenditure per Domestic Tourist by Sector</v>
          </cell>
          <cell r="D150" t="str">
            <v>Transportation</v>
          </cell>
        </row>
        <row r="151">
          <cell r="A151" t="str">
            <v>Turkey</v>
          </cell>
          <cell r="B151" t="str">
            <v>Tourism Spend Factors</v>
          </cell>
          <cell r="C151" t="str">
            <v>Average Expenditure per Domestic Tourist by Sector</v>
          </cell>
          <cell r="D151" t="str">
            <v>Travel Intermediation</v>
          </cell>
        </row>
        <row r="152">
          <cell r="A152" t="str">
            <v>Turkey</v>
          </cell>
          <cell r="B152" t="str">
            <v>Tourism Spend Factors</v>
          </cell>
          <cell r="C152" t="str">
            <v>Average Expenditure per Domestic Tourist by Sector</v>
          </cell>
          <cell r="D152" t="str">
            <v>Other Sectors</v>
          </cell>
        </row>
        <row r="153">
          <cell r="A153" t="str">
            <v>Turkey</v>
          </cell>
          <cell r="B153" t="str">
            <v>Tourism Spend Factors</v>
          </cell>
          <cell r="C153" t="str">
            <v>Average Expenditure per International Tourist by Sector</v>
          </cell>
          <cell r="R153" t="str">
            <v>The average value of expenditure on travel and tourism activities by an international tourist to a country, segmented by the type of tourism product that the money was spent on.</v>
          </cell>
          <cell r="S153" t="str">
            <v>New</v>
          </cell>
          <cell r="T153" t="str">
            <v>Need to divide inbound tourism expenditure by the number of inbound tourists</v>
          </cell>
          <cell r="U153">
            <v>0</v>
          </cell>
          <cell r="W153">
            <v>0</v>
          </cell>
          <cell r="X153">
            <v>0</v>
          </cell>
        </row>
        <row r="154">
          <cell r="A154" t="str">
            <v>Turkey</v>
          </cell>
          <cell r="B154" t="str">
            <v>Tourism Spend Factors</v>
          </cell>
          <cell r="C154" t="str">
            <v>Average Expenditure per International Tourist by Sector</v>
          </cell>
          <cell r="D154" t="str">
            <v>Accommodation</v>
          </cell>
        </row>
        <row r="155">
          <cell r="A155" t="str">
            <v>Turkey</v>
          </cell>
          <cell r="B155" t="str">
            <v>Tourism Spend Factors</v>
          </cell>
          <cell r="C155" t="str">
            <v>Average Expenditure per International Tourist by Sector</v>
          </cell>
          <cell r="D155" t="str">
            <v>Entertainment &amp; Sightseeing</v>
          </cell>
        </row>
        <row r="156">
          <cell r="A156" t="str">
            <v>Turkey</v>
          </cell>
          <cell r="B156" t="str">
            <v>Tourism Spend Factors</v>
          </cell>
          <cell r="C156" t="str">
            <v>Average Expenditure per International Tourist by Sector</v>
          </cell>
          <cell r="D156" t="str">
            <v>Foodservice</v>
          </cell>
        </row>
        <row r="157">
          <cell r="A157" t="str">
            <v>Turkey</v>
          </cell>
          <cell r="B157" t="str">
            <v>Tourism Spend Factors</v>
          </cell>
          <cell r="C157" t="str">
            <v>Average Expenditure per International Tourist by Sector</v>
          </cell>
          <cell r="D157" t="str">
            <v>Retail</v>
          </cell>
        </row>
        <row r="158">
          <cell r="A158" t="str">
            <v>Turkey</v>
          </cell>
          <cell r="B158" t="str">
            <v>Tourism Spend Factors</v>
          </cell>
          <cell r="C158" t="str">
            <v>Average Expenditure per International Tourist by Sector</v>
          </cell>
          <cell r="D158" t="str">
            <v>Transportation</v>
          </cell>
        </row>
        <row r="159">
          <cell r="A159" t="str">
            <v>Turkey</v>
          </cell>
          <cell r="B159" t="str">
            <v>Tourism Spend Factors</v>
          </cell>
          <cell r="C159" t="str">
            <v>Average Expenditure per International Tourist by Sector</v>
          </cell>
          <cell r="D159" t="str">
            <v>Travel Intermediation</v>
          </cell>
        </row>
        <row r="160">
          <cell r="A160" t="str">
            <v>Turkey</v>
          </cell>
          <cell r="B160" t="str">
            <v>Tourism Spend Factors</v>
          </cell>
          <cell r="C160" t="str">
            <v>Average Expenditure per International Tourist by Sector</v>
          </cell>
          <cell r="D160" t="str">
            <v>Other Sectors</v>
          </cell>
        </row>
        <row r="161">
          <cell r="A161" t="str">
            <v>Turkey</v>
          </cell>
          <cell r="B161" t="str">
            <v>Tourism Spend Factors</v>
          </cell>
          <cell r="C161" t="str">
            <v>Average Overseas Tourism Expenditure per Resident by Sector</v>
          </cell>
          <cell r="R161" t="str">
            <v>The average value of expenditure on travel and tourism activities by international tourists from a country, segmented by the type of tourism product that the money was spent on.</v>
          </cell>
          <cell r="S161" t="str">
            <v>New</v>
          </cell>
          <cell r="T161" t="str">
            <v>Need to divide outbound tourism expenditure by the number of outbound tourists</v>
          </cell>
          <cell r="U161">
            <v>0</v>
          </cell>
          <cell r="W161">
            <v>0</v>
          </cell>
          <cell r="X161">
            <v>0</v>
          </cell>
        </row>
        <row r="162">
          <cell r="A162" t="str">
            <v>Turkey</v>
          </cell>
          <cell r="B162" t="str">
            <v>Tourism Spend Factors</v>
          </cell>
          <cell r="C162" t="str">
            <v>Average Overseas Tourism Expenditure per Resident by Sector</v>
          </cell>
          <cell r="D162" t="str">
            <v>Accommodation</v>
          </cell>
        </row>
        <row r="163">
          <cell r="A163" t="str">
            <v>Turkey</v>
          </cell>
          <cell r="B163" t="str">
            <v>Tourism Spend Factors</v>
          </cell>
          <cell r="C163" t="str">
            <v>Average Overseas Tourism Expenditure per Resident by Sector</v>
          </cell>
          <cell r="D163" t="str">
            <v>Entertainment &amp; Sightseeing</v>
          </cell>
        </row>
        <row r="164">
          <cell r="A164" t="str">
            <v>Turkey</v>
          </cell>
          <cell r="B164" t="str">
            <v>Tourism Spend Factors</v>
          </cell>
          <cell r="C164" t="str">
            <v>Average Overseas Tourism Expenditure per Resident by Sector</v>
          </cell>
          <cell r="D164" t="str">
            <v>Foodservice</v>
          </cell>
        </row>
        <row r="165">
          <cell r="A165" t="str">
            <v>Turkey</v>
          </cell>
          <cell r="B165" t="str">
            <v>Tourism Spend Factors</v>
          </cell>
          <cell r="C165" t="str">
            <v>Average Overseas Tourism Expenditure per Resident by Sector</v>
          </cell>
          <cell r="D165" t="str">
            <v>Retail</v>
          </cell>
        </row>
        <row r="166">
          <cell r="A166" t="str">
            <v>Turkey</v>
          </cell>
          <cell r="B166" t="str">
            <v>Tourism Spend Factors</v>
          </cell>
          <cell r="C166" t="str">
            <v>Average Overseas Tourism Expenditure per Resident by Sector</v>
          </cell>
          <cell r="D166" t="str">
            <v>Transportation</v>
          </cell>
        </row>
        <row r="167">
          <cell r="A167" t="str">
            <v>Turkey</v>
          </cell>
          <cell r="B167" t="str">
            <v>Tourism Spend Factors</v>
          </cell>
          <cell r="C167" t="str">
            <v>Average Overseas Tourism Expenditure per Resident by Sector</v>
          </cell>
          <cell r="D167" t="str">
            <v>Travel Intermediation</v>
          </cell>
        </row>
        <row r="168">
          <cell r="A168" t="str">
            <v>Turkey</v>
          </cell>
          <cell r="B168" t="str">
            <v>Tourism Spend Factors</v>
          </cell>
          <cell r="C168" t="str">
            <v>Average Overseas Tourism Expenditure per Resident by Sector</v>
          </cell>
          <cell r="D168" t="str">
            <v>Other Sectors</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Drivers-arun"/>
      <sheetName val="Visitor Export - Forecast"/>
      <sheetName val="Germany-TDF"/>
      <sheetName val="US-TDF"/>
      <sheetName val="US-EI"/>
      <sheetName val="Home"/>
      <sheetName val="Final Sheet -US$"/>
      <sheetName val="Final Sheet-LCU"/>
      <sheetName val="Input sheet"/>
      <sheetName val="Forecasting"/>
      <sheetName val="Growth Rate"/>
      <sheetName val="Drivers"/>
      <sheetName val="Sum Checks"/>
      <sheetName val=" Checks"/>
      <sheetName val="working sheet"/>
      <sheetName val=" Checks_KSA"/>
      <sheetName val=" Checks_UK"/>
      <sheetName val="For Reports"/>
      <sheetName val="Issues &amp; Call take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file:///C:\Documents%20and%20Settings\EI\Egypt\Economic%20Impact%20Database%20_Egypt.xlsx" TargetMode="External"/><Relationship Id="rId2" Type="http://schemas.openxmlformats.org/officeDocument/2006/relationships/hyperlink" Target="file:///C:\Documents%20and%20Settings\arindams\Local%20Settings\Final%20Approved\Medium\tunisia2012_WTTC.pdf" TargetMode="External"/><Relationship Id="rId1" Type="http://schemas.openxmlformats.org/officeDocument/2006/relationships/hyperlink" Target="file:///C:\WMI%20Construction\Industry%20Forecast\Database\2012\Final%20Approved\Tunisia\The%20Future%20of%20Construction%20in%20Tunisia%20to%202017.xlsx"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8.bin"/><Relationship Id="rId3" Type="http://schemas.openxmlformats.org/officeDocument/2006/relationships/printerSettings" Target="../printerSettings/printerSettings3.bin"/><Relationship Id="rId7" Type="http://schemas.openxmlformats.org/officeDocument/2006/relationships/printerSettings" Target="../printerSettings/printerSettings7.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6" Type="http://schemas.openxmlformats.org/officeDocument/2006/relationships/printerSettings" Target="../printerSettings/printerSettings6.bin"/><Relationship Id="rId5" Type="http://schemas.openxmlformats.org/officeDocument/2006/relationships/printerSettings" Target="../printerSettings/printerSettings5.bin"/><Relationship Id="rId10" Type="http://schemas.openxmlformats.org/officeDocument/2006/relationships/printerSettings" Target="../printerSettings/printerSettings9.bin"/><Relationship Id="rId4" Type="http://schemas.openxmlformats.org/officeDocument/2006/relationships/printerSettings" Target="../printerSettings/printerSettings4.bin"/><Relationship Id="rId9" Type="http://schemas.openxmlformats.org/officeDocument/2006/relationships/hyperlink" Target="http://www.tourism-ic.com/InteractiveData/global-base-drivers-database" TargetMode="External"/></Relationships>
</file>

<file path=xl/worksheets/_rels/sheet3.xml.rels><?xml version="1.0" encoding="UTF-8" standalone="yes"?>
<Relationships xmlns="http://schemas.openxmlformats.org/package/2006/relationships"><Relationship Id="rId8" Type="http://schemas.openxmlformats.org/officeDocument/2006/relationships/comments" Target="../comments1.xml"/><Relationship Id="rId3" Type="http://schemas.openxmlformats.org/officeDocument/2006/relationships/printerSettings" Target="../printerSettings/printerSettings12.bin"/><Relationship Id="rId7" Type="http://schemas.openxmlformats.org/officeDocument/2006/relationships/vmlDrawing" Target="../drawings/vmlDrawing1.vml"/><Relationship Id="rId2" Type="http://schemas.openxmlformats.org/officeDocument/2006/relationships/printerSettings" Target="../printerSettings/printerSettings11.bin"/><Relationship Id="rId1" Type="http://schemas.openxmlformats.org/officeDocument/2006/relationships/printerSettings" Target="../printerSettings/printerSettings10.bin"/><Relationship Id="rId6" Type="http://schemas.openxmlformats.org/officeDocument/2006/relationships/printerSettings" Target="../printerSettings/printerSettings15.bin"/><Relationship Id="rId5" Type="http://schemas.openxmlformats.org/officeDocument/2006/relationships/printerSettings" Target="../printerSettings/printerSettings14.bin"/><Relationship Id="rId4" Type="http://schemas.openxmlformats.org/officeDocument/2006/relationships/printerSettings" Target="../printerSettings/printerSettings13.bin"/></Relationships>
</file>

<file path=xl/worksheets/_rels/sheet4.xml.rels><?xml version="1.0" encoding="UTF-8" standalone="yes"?>
<Relationships xmlns="http://schemas.openxmlformats.org/package/2006/relationships"><Relationship Id="rId8" Type="http://schemas.openxmlformats.org/officeDocument/2006/relationships/hyperlink" Target="http://www.imf.org/external/pubs/ft/weo/2012/02/weodata/weorept.aspx?pr.x=65&amp;pr.y=10&amp;sy=2005&amp;ey=2017&amp;scsm=1&amp;ssd=1&amp;sort=country&amp;ds=.&amp;br=1&amp;c=744&amp;s=LP&amp;grp=0&amp;a=" TargetMode="External"/><Relationship Id="rId13" Type="http://schemas.openxmlformats.org/officeDocument/2006/relationships/hyperlink" Target="http://www.veilleinfotourisme.fr/servlet/com.univ.collaboratif.utils.LectureFichiergw?ID_FICHIER=1333691711389" TargetMode="External"/><Relationship Id="rId3" Type="http://schemas.openxmlformats.org/officeDocument/2006/relationships/printerSettings" Target="../printerSettings/printerSettings18.bin"/><Relationship Id="rId7" Type="http://schemas.openxmlformats.org/officeDocument/2006/relationships/hyperlink" Target="http://www.itu.int/ITU-D/ict/statistics/" TargetMode="External"/><Relationship Id="rId12" Type="http://schemas.openxmlformats.org/officeDocument/2006/relationships/hyperlink" Target="http://www.veilleinfotourisme.fr/servlet/com.univ.collaboratif.utils.LectureFichiergw?ID_FICHIER=1333691711389" TargetMode="External"/><Relationship Id="rId17" Type="http://schemas.openxmlformats.org/officeDocument/2006/relationships/printerSettings" Target="../printerSettings/printerSettings21.bin"/><Relationship Id="rId2" Type="http://schemas.openxmlformats.org/officeDocument/2006/relationships/printerSettings" Target="../printerSettings/printerSettings17.bin"/><Relationship Id="rId16" Type="http://schemas.openxmlformats.org/officeDocument/2006/relationships/hyperlink" Target="http://www.imf.org/external/pubs/ft/weo/2013/01/weodata/weorept.aspx?pr.x=75&amp;pr.y=12&amp;sy=2007&amp;ey=2017&amp;scsm=1&amp;ssd=1&amp;sort=country&amp;ds=.&amp;br=1&amp;c=144&amp;s=LP&amp;grp=0&amp;a=" TargetMode="External"/><Relationship Id="rId1" Type="http://schemas.openxmlformats.org/officeDocument/2006/relationships/printerSettings" Target="../printerSettings/printerSettings16.bin"/><Relationship Id="rId6" Type="http://schemas.openxmlformats.org/officeDocument/2006/relationships/hyperlink" Target="http://www.veilleinfotourisme.fr/servlet/com.univ.collaboratif.utils.LectureFichiergw?ID_FICHIER=1333691711389" TargetMode="External"/><Relationship Id="rId11" Type="http://schemas.openxmlformats.org/officeDocument/2006/relationships/hyperlink" Target="http://www.cbi.eu/system/files/marketintel/2011_Community_based_tourism_CBT_in_Sweden.pdf" TargetMode="External"/><Relationship Id="rId5" Type="http://schemas.openxmlformats.org/officeDocument/2006/relationships/printerSettings" Target="../printerSettings/printerSettings20.bin"/><Relationship Id="rId15" Type="http://schemas.openxmlformats.org/officeDocument/2006/relationships/hyperlink" Target="http://www.euromonitor.com/sweden/country-factfile" TargetMode="External"/><Relationship Id="rId10" Type="http://schemas.openxmlformats.org/officeDocument/2006/relationships/hyperlink" Target="http://www.euromonitor.com/travel-and-tourism-in-sweden/report" TargetMode="External"/><Relationship Id="rId4" Type="http://schemas.openxmlformats.org/officeDocument/2006/relationships/printerSettings" Target="../printerSettings/printerSettings19.bin"/><Relationship Id="rId9" Type="http://schemas.openxmlformats.org/officeDocument/2006/relationships/hyperlink" Target="http://www.oanda.com/currency/historical-rates/" TargetMode="External"/><Relationship Id="rId14" Type="http://schemas.openxmlformats.org/officeDocument/2006/relationships/hyperlink" Target="http://www.itu.int/ITU-D/ict/statistics/" TargetMode="External"/></Relationships>
</file>

<file path=xl/worksheets/_rels/sheet5.xml.rels><?xml version="1.0" encoding="UTF-8" standalone="yes"?>
<Relationships xmlns="http://schemas.openxmlformats.org/package/2006/relationships"><Relationship Id="rId8" Type="http://schemas.openxmlformats.org/officeDocument/2006/relationships/printerSettings" Target="../printerSettings/printerSettings29.bin"/><Relationship Id="rId13" Type="http://schemas.openxmlformats.org/officeDocument/2006/relationships/hyperlink" Target="http://www.data.gov.tn/index.php?option=com_mtree&amp;task=viewlink&amp;link_id=72&amp;Itemid=187" TargetMode="External"/><Relationship Id="rId18" Type="http://schemas.openxmlformats.org/officeDocument/2006/relationships/hyperlink" Target="http://www.indexmundi.com/facts/tunisia/international-tourism" TargetMode="External"/><Relationship Id="rId3" Type="http://schemas.openxmlformats.org/officeDocument/2006/relationships/printerSettings" Target="../printerSettings/printerSettings24.bin"/><Relationship Id="rId7" Type="http://schemas.openxmlformats.org/officeDocument/2006/relationships/printerSettings" Target="../printerSettings/printerSettings28.bin"/><Relationship Id="rId12" Type="http://schemas.openxmlformats.org/officeDocument/2006/relationships/hyperlink" Target="http://www.indexmundi.com/facts/tunisia/international-tourism" TargetMode="External"/><Relationship Id="rId17" Type="http://schemas.openxmlformats.org/officeDocument/2006/relationships/hyperlink" Target="http://www.indexmundi.com/facts/tunisia/international-tourism" TargetMode="External"/><Relationship Id="rId2" Type="http://schemas.openxmlformats.org/officeDocument/2006/relationships/printerSettings" Target="../printerSettings/printerSettings23.bin"/><Relationship Id="rId16" Type="http://schemas.openxmlformats.org/officeDocument/2006/relationships/hyperlink" Target="http://resources.metapress.com/pdf-preview.axd?code=h37pkpw3ww9y9j33&amp;size=largest" TargetMode="External"/><Relationship Id="rId1" Type="http://schemas.openxmlformats.org/officeDocument/2006/relationships/printerSettings" Target="../printerSettings/printerSettings22.bin"/><Relationship Id="rId6" Type="http://schemas.openxmlformats.org/officeDocument/2006/relationships/printerSettings" Target="../printerSettings/printerSettings27.bin"/><Relationship Id="rId11" Type="http://schemas.openxmlformats.org/officeDocument/2006/relationships/hyperlink" Target="http://www.indexmundi.com/facts/tunisia/international-tourism" TargetMode="External"/><Relationship Id="rId5" Type="http://schemas.openxmlformats.org/officeDocument/2006/relationships/printerSettings" Target="../printerSettings/printerSettings26.bin"/><Relationship Id="rId15" Type="http://schemas.openxmlformats.org/officeDocument/2006/relationships/hyperlink" Target="http://resources.metapress.com/pdf-preview.axd?code=m0mh6wwml10066vu&amp;size=largest" TargetMode="External"/><Relationship Id="rId10" Type="http://schemas.openxmlformats.org/officeDocument/2006/relationships/hyperlink" Target="http://dniwolne.eu/en-Africa-holidays-Tunisia.html" TargetMode="External"/><Relationship Id="rId19" Type="http://schemas.openxmlformats.org/officeDocument/2006/relationships/printerSettings" Target="../printerSettings/printerSettings30.bin"/><Relationship Id="rId4" Type="http://schemas.openxmlformats.org/officeDocument/2006/relationships/printerSettings" Target="../printerSettings/printerSettings25.bin"/><Relationship Id="rId9" Type="http://schemas.openxmlformats.org/officeDocument/2006/relationships/hyperlink" Target="http://www.doingbusiness.org/data/exploreeconomies/tunisia/employing-workers/" TargetMode="External"/><Relationship Id="rId14" Type="http://schemas.openxmlformats.org/officeDocument/2006/relationships/hyperlink" Target="http://resources.metapress.com/pdf-preview.axd?code=h37pkpw3ww9y9j33&amp;size=largest" TargetMode="Externa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33.bin"/><Relationship Id="rId2" Type="http://schemas.openxmlformats.org/officeDocument/2006/relationships/printerSettings" Target="../printerSettings/printerSettings32.bin"/><Relationship Id="rId1" Type="http://schemas.openxmlformats.org/officeDocument/2006/relationships/printerSettings" Target="../printerSettings/printerSettings31.bin"/><Relationship Id="rId6" Type="http://schemas.openxmlformats.org/officeDocument/2006/relationships/printerSettings" Target="../printerSettings/printerSettings36.bin"/><Relationship Id="rId5" Type="http://schemas.openxmlformats.org/officeDocument/2006/relationships/printerSettings" Target="../printerSettings/printerSettings35.bin"/><Relationship Id="rId4" Type="http://schemas.openxmlformats.org/officeDocument/2006/relationships/printerSettings" Target="../printerSettings/printerSettings34.bin"/></Relationships>
</file>

<file path=xl/worksheets/_rels/sheet9.xml.rels><?xml version="1.0" encoding="UTF-8" standalone="yes"?>
<Relationships xmlns="http://schemas.openxmlformats.org/package/2006/relationships"><Relationship Id="rId8" Type="http://schemas.openxmlformats.org/officeDocument/2006/relationships/printerSettings" Target="../printerSettings/printerSettings44.bin"/><Relationship Id="rId3" Type="http://schemas.openxmlformats.org/officeDocument/2006/relationships/printerSettings" Target="../printerSettings/printerSettings39.bin"/><Relationship Id="rId7" Type="http://schemas.openxmlformats.org/officeDocument/2006/relationships/printerSettings" Target="../printerSettings/printerSettings43.bin"/><Relationship Id="rId2" Type="http://schemas.openxmlformats.org/officeDocument/2006/relationships/printerSettings" Target="../printerSettings/printerSettings38.bin"/><Relationship Id="rId1" Type="http://schemas.openxmlformats.org/officeDocument/2006/relationships/printerSettings" Target="../printerSettings/printerSettings37.bin"/><Relationship Id="rId6" Type="http://schemas.openxmlformats.org/officeDocument/2006/relationships/printerSettings" Target="../printerSettings/printerSettings42.bin"/><Relationship Id="rId5" Type="http://schemas.openxmlformats.org/officeDocument/2006/relationships/printerSettings" Target="../printerSettings/printerSettings41.bin"/><Relationship Id="rId4" Type="http://schemas.openxmlformats.org/officeDocument/2006/relationships/printerSettings" Target="../printerSettings/printerSettings40.bin"/><Relationship Id="rId9" Type="http://schemas.openxmlformats.org/officeDocument/2006/relationships/printerSettings" Target="../printerSettings/printerSettings45.bin"/></Relationships>
</file>

<file path=xl/worksheets/_rels/sheet10.xml.rels><?xml version="1.0" encoding="UTF-8" standalone="yes"?>
<Relationships xmlns="http://schemas.openxmlformats.org/package/2006/relationships"><Relationship Id="rId13" Type="http://schemas.openxmlformats.org/officeDocument/2006/relationships/hyperlink" Target="http://www.biluthyrarna.se/data/Rapport_04.5_Biluthyrarna_2008-2012.pdf" TargetMode="External"/><Relationship Id="rId18" Type="http://schemas.openxmlformats.org/officeDocument/2006/relationships/hyperlink" Target="http://data.worldbank.org/indicator/ST.INT.ARVL" TargetMode="External"/><Relationship Id="rId26" Type="http://schemas.openxmlformats.org/officeDocument/2006/relationships/hyperlink" Target="file:///C:\Documents%20and%20Settings\arindams\Local%20Settings\Final%20Approved\Medium\Sources\TDF\tour_dem_tnq%20-No.of%20overnight%20stays.xls" TargetMode="External"/><Relationship Id="rId39" Type="http://schemas.openxmlformats.org/officeDocument/2006/relationships/hyperlink" Target="file:///C:\Documents%20and%20Settings\arindams\Local%20Settings\Final%20Approved\Medium\Sources\TDF\tour_occ_arnraw%20(2)%20-%20Arrivals%20region%20wise.xls" TargetMode="External"/><Relationship Id="rId21" Type="http://schemas.openxmlformats.org/officeDocument/2006/relationships/hyperlink" Target="file:///C:\Documents%20and%20Settings\arindams\Local%20Settings\Final%20Approved\Medium\Sources\TDF\tour_dem_ttq%20(6)%20-%20business%20lesuire%20&amp;%20personal%20%20-%20outbound.xls" TargetMode="External"/><Relationship Id="rId34" Type="http://schemas.openxmlformats.org/officeDocument/2006/relationships/hyperlink" Target="file:///C:\Documents%20and%20Settings\arindams\Local%20Settings\Final%20Approved\Medium\Sources\TDF\tour_dem_ttq%20(8)%20-%20No.%20of%20trips%20by%20season.xls" TargetMode="External"/><Relationship Id="rId42" Type="http://schemas.openxmlformats.org/officeDocument/2006/relationships/hyperlink" Target="file:///C:\Documents%20and%20Settings\arindams\Local%20Settings\Final%20Approved\Medium\Sources\TDF\tour_occ_arnraw%20(2)%20-%20Arrivals%20region%20wise.xls" TargetMode="External"/><Relationship Id="rId47" Type="http://schemas.openxmlformats.org/officeDocument/2006/relationships/hyperlink" Target="http://data.worldbank.org/indicator/ST.INT.ARVL" TargetMode="External"/><Relationship Id="rId50" Type="http://schemas.openxmlformats.org/officeDocument/2006/relationships/hyperlink" Target="DATA\AVAILABLE%20ESTABLISHMENTS%20AND%20ROOMS.xlsx" TargetMode="External"/><Relationship Id="rId55" Type="http://schemas.openxmlformats.org/officeDocument/2006/relationships/hyperlink" Target="DATA\DOMESTIC%20AND%20OUTBOUND%20TRIPS%202012.xlsx" TargetMode="External"/><Relationship Id="rId63" Type="http://schemas.openxmlformats.org/officeDocument/2006/relationships/comments" Target="../comments2.xml"/><Relationship Id="rId7" Type="http://schemas.openxmlformats.org/officeDocument/2006/relationships/printerSettings" Target="../printerSettings/printerSettings52.bin"/><Relationship Id="rId2" Type="http://schemas.openxmlformats.org/officeDocument/2006/relationships/printerSettings" Target="../printerSettings/printerSettings47.bin"/><Relationship Id="rId16" Type="http://schemas.openxmlformats.org/officeDocument/2006/relationships/hyperlink" Target="file:///C:\Documents%20and%20Settings\arindams\Local%20Settings\Final%20Approved\Medium\Sources\TDF\tour_dem_ttw%20(19)%20Eurostat%20data%20for%20domestic%20&amp;%20outbound%20%20-%20Sweden.xls" TargetMode="External"/><Relationship Id="rId20" Type="http://schemas.openxmlformats.org/officeDocument/2006/relationships/hyperlink" Target="file:///C:\Documents%20and%20Settings\arindams\Local%20Settings\Final%20Approved\Medium\Sources\TDF\tour_dem_ttq%20(6)%20-%20business%20lesuire%20&amp;%20personal%20%20-%20outbound.xls" TargetMode="External"/><Relationship Id="rId29" Type="http://schemas.openxmlformats.org/officeDocument/2006/relationships/hyperlink" Target="file:///C:\Documents%20and%20Settings\arindams\Local%20Settings\Final%20Approved\Medium\Sources\TDF\tour_dem_ttq%20(8)%20-%20No.%20of%20trips%20by%20season.xls" TargetMode="External"/><Relationship Id="rId41" Type="http://schemas.openxmlformats.org/officeDocument/2006/relationships/hyperlink" Target="file:///C:\Documents%20and%20Settings\arindams\Local%20Settings\Final%20Approved\Medium\Sources\TDF\tour_occ_arnraw%20(2)%20-%20Arrivals%20region%20wise.xls" TargetMode="External"/><Relationship Id="rId54" Type="http://schemas.openxmlformats.org/officeDocument/2006/relationships/hyperlink" Target="DATA\DOMESTIC%20AND%20OUTBOUND%20TRIPS%202012.xlsx" TargetMode="External"/><Relationship Id="rId62" Type="http://schemas.openxmlformats.org/officeDocument/2006/relationships/vmlDrawing" Target="../drawings/vmlDrawing2.vml"/><Relationship Id="rId1" Type="http://schemas.openxmlformats.org/officeDocument/2006/relationships/printerSettings" Target="../printerSettings/printerSettings46.bin"/><Relationship Id="rId6" Type="http://schemas.openxmlformats.org/officeDocument/2006/relationships/printerSettings" Target="../printerSettings/printerSettings51.bin"/><Relationship Id="rId11" Type="http://schemas.openxmlformats.org/officeDocument/2006/relationships/hyperlink" Target="http://www.biluthyrarna.se/data/Rapport_04.5_Biluthyrarna_2008-2012.pdf" TargetMode="External"/><Relationship Id="rId24" Type="http://schemas.openxmlformats.org/officeDocument/2006/relationships/hyperlink" Target="file:///C:\Documents%20and%20Settings\arindams\Local%20Settings\Final%20Approved\Medium\Sources\TDF\tour_dem_tnq%20-No.of%20overnight%20stays.xls" TargetMode="External"/><Relationship Id="rId32" Type="http://schemas.openxmlformats.org/officeDocument/2006/relationships/hyperlink" Target="file:///C:\Documents%20and%20Settings\arindams\Local%20Settings\Final%20Approved\Medium\Sources\TDF\tour_dem_ttq%20(8)%20-%20No.%20of%20trips%20by%20season.xls" TargetMode="External"/><Relationship Id="rId37" Type="http://schemas.openxmlformats.org/officeDocument/2006/relationships/hyperlink" Target="file:///C:\Documents%20and%20Settings\arindams\Local%20Settings\Final%20Approved\Medium\Sources\TDF\tour_occ_arnraw%20(2)%20-%20Arrivals%20region%20wise.xls" TargetMode="External"/><Relationship Id="rId40" Type="http://schemas.openxmlformats.org/officeDocument/2006/relationships/hyperlink" Target="file:///C:\Documents%20and%20Settings\arindams\Local%20Settings\Final%20Approved\Medium\Sources\TDF\tour_occ_arnraw%20(2)%20-%20Arrivals%20region%20wise.xls" TargetMode="External"/><Relationship Id="rId45" Type="http://schemas.openxmlformats.org/officeDocument/2006/relationships/hyperlink" Target="file:///C:\Documents%20and%20Settings\arindams\Local%20Settings\Temporary%20Internet%20Files\Content.Outlook\T0LZLRUH\Sources\EI\info_0482_web.pdf" TargetMode="External"/><Relationship Id="rId53" Type="http://schemas.openxmlformats.org/officeDocument/2006/relationships/hyperlink" Target="DATA\DOMESTIC%20AND%20OUTBOUND%20TRIPS%202012.xlsx" TargetMode="External"/><Relationship Id="rId58" Type="http://schemas.openxmlformats.org/officeDocument/2006/relationships/hyperlink" Target="DATA\Outbound%20and%20domestic%20trips%20by%20purpose%20of%20visit%202008%20to%202012.xlsx" TargetMode="External"/><Relationship Id="rId5" Type="http://schemas.openxmlformats.org/officeDocument/2006/relationships/printerSettings" Target="../printerSettings/printerSettings50.bin"/><Relationship Id="rId15" Type="http://schemas.openxmlformats.org/officeDocument/2006/relationships/hyperlink" Target="DATA\Tourist%20arrivals.xlsx" TargetMode="External"/><Relationship Id="rId23" Type="http://schemas.openxmlformats.org/officeDocument/2006/relationships/hyperlink" Target="file:///C:\Documents%20and%20Settings\arindams\Local%20Settings\Final%20Approved\Medium\Sources\TDF\tour_dem_tnq%20-No.of%20overnight%20stays.xls" TargetMode="External"/><Relationship Id="rId28" Type="http://schemas.openxmlformats.org/officeDocument/2006/relationships/hyperlink" Target="file:///C:\Documents%20and%20Settings\arindams\Local%20Settings\Final%20Approved\Medium\Sources\TDF\tour_dem_ttq%20(8)%20-%20No.%20of%20trips%20by%20season.xls" TargetMode="External"/><Relationship Id="rId36" Type="http://schemas.openxmlformats.org/officeDocument/2006/relationships/hyperlink" Target="file:///C:\Documents%20and%20Settings\arindams\Local%20Settings\Final%20Approved\Medium\Sources\TDF\tour_occ_arnraw%20(2)%20-%20Arrivals%20region%20wise.xls" TargetMode="External"/><Relationship Id="rId49" Type="http://schemas.openxmlformats.org/officeDocument/2006/relationships/hyperlink" Target="DATA\AVAILABLE%20ESTABLISHMENTS%20AND%20ROOMS.xlsx" TargetMode="External"/><Relationship Id="rId57" Type="http://schemas.openxmlformats.org/officeDocument/2006/relationships/hyperlink" Target="DATA\Outbound%20and%20domestic%20trips%20by%20purpose%20of%20visit%202008%20to%202012.xlsx" TargetMode="External"/><Relationship Id="rId61" Type="http://schemas.openxmlformats.org/officeDocument/2006/relationships/printerSettings" Target="../printerSettings/printerSettings54.bin"/><Relationship Id="rId10" Type="http://schemas.openxmlformats.org/officeDocument/2006/relationships/hyperlink" Target="file:///C:\Documents%20and%20Settings\arindams\Local%20Settings\Final%20Approved\Medium\Sources\Car%20Rental\Rapport_04.5_Biluthyrarna_2008-2012.sv.en.pdf.doc" TargetMode="External"/><Relationship Id="rId19" Type="http://schemas.openxmlformats.org/officeDocument/2006/relationships/hyperlink" Target="file:///C:\Documents%20and%20Settings\arindams\Local%20Settings\Final%20Approved\Medium\Sources\TDF\tour_dem_ttq%20(6)%20-%20business%20lesuire%20&amp;%20personal%20%20-%20outbound.xls" TargetMode="External"/><Relationship Id="rId31" Type="http://schemas.openxmlformats.org/officeDocument/2006/relationships/hyperlink" Target="file:///C:\Documents%20and%20Settings\arindams\Local%20Settings\Final%20Approved\Medium\Sources\TDF\tour_dem_ttq%20(8)%20-%20No.%20of%20trips%20by%20season.xls" TargetMode="External"/><Relationship Id="rId44" Type="http://schemas.openxmlformats.org/officeDocument/2006/relationships/hyperlink" Target="file:///C:\Documents%20and%20Settings\arindams\Local%20Settings\Temporary%20Internet%20Files\Content.Outlook\T0LZLRUH\Sources\EI\info_0482_web.pdf" TargetMode="External"/><Relationship Id="rId52" Type="http://schemas.openxmlformats.org/officeDocument/2006/relationships/hyperlink" Target="DATA\Tourist%20arrivals%20in%20hotels%20and%20establishments%202012.xlsx" TargetMode="External"/><Relationship Id="rId60" Type="http://schemas.openxmlformats.org/officeDocument/2006/relationships/hyperlink" Target="DATA\Outbound%20and%20domestic%20trips%20by%20purpose%20of%20visit%202008%20to%202012.xlsx" TargetMode="External"/><Relationship Id="rId4" Type="http://schemas.openxmlformats.org/officeDocument/2006/relationships/printerSettings" Target="../printerSettings/printerSettings49.bin"/><Relationship Id="rId9" Type="http://schemas.openxmlformats.org/officeDocument/2006/relationships/hyperlink" Target="http://www.biluthyrarna.se/data/Rapport_04.5_Biluthyrarna_2008-2012.pdf" TargetMode="External"/><Relationship Id="rId14" Type="http://schemas.openxmlformats.org/officeDocument/2006/relationships/hyperlink" Target="file:///C:\Documents%20and%20Settings\arindams\Local%20Settings\Final%20Approved\Medium\Sources\Car%20Rental\Rapport_04.5_Biluthyrarna_2008-2012.sv.en.pdf.doc" TargetMode="External"/><Relationship Id="rId22" Type="http://schemas.openxmlformats.org/officeDocument/2006/relationships/hyperlink" Target="file:///C:\Documents%20and%20Settings\arindams\Local%20Settings\Final%20Approved\Medium\Sources\TDF\tour_dem_ttq%20(6)%20-%20business%20lesuire%20&amp;%20personal%20%20-%20outbound.xls" TargetMode="External"/><Relationship Id="rId27" Type="http://schemas.openxmlformats.org/officeDocument/2006/relationships/hyperlink" Target="file:///C:\Documents%20and%20Settings\arindams\Local%20Settings\Final%20Approved\Medium\Sources\TDF\tour_dem_ttq%20(8)%20-%20No.%20of%20trips%20by%20season.xls" TargetMode="External"/><Relationship Id="rId30" Type="http://schemas.openxmlformats.org/officeDocument/2006/relationships/hyperlink" Target="file:///C:\Documents%20and%20Settings\arindams\Local%20Settings\Final%20Approved\Medium\Sources\TDF\tour_dem_ttq%20(8)%20-%20No.%20of%20trips%20by%20season.xls" TargetMode="External"/><Relationship Id="rId35" Type="http://schemas.openxmlformats.org/officeDocument/2006/relationships/hyperlink" Target="file:///C:\Documents%20and%20Settings\arindams\Local%20Settings\Final%20Approved\Medium\Sources\TDF\tour_occ_arnraw%20(2)%20-%20Arrivals%20region%20wise.xls" TargetMode="External"/><Relationship Id="rId43" Type="http://schemas.openxmlformats.org/officeDocument/2006/relationships/hyperlink" Target="file:///C:\Documents%20and%20Settings\arindams\Local%20Settings\Temporary%20Internet%20Files\Content.Outlook\T0LZLRUH\Sources\EI\info_0482_web.pdf" TargetMode="External"/><Relationship Id="rId48" Type="http://schemas.openxmlformats.org/officeDocument/2006/relationships/hyperlink" Target="DATA\AVAILABLE%20ESTABLISHMENTS%20AND%20ROOMS.xlsx" TargetMode="External"/><Relationship Id="rId56" Type="http://schemas.openxmlformats.org/officeDocument/2006/relationships/hyperlink" Target="DATA\DOMESTIC%20AND%20OUTBOUND%20TRIPS%202012.xlsx" TargetMode="External"/><Relationship Id="rId8" Type="http://schemas.openxmlformats.org/officeDocument/2006/relationships/printerSettings" Target="../printerSettings/printerSettings53.bin"/><Relationship Id="rId51" Type="http://schemas.openxmlformats.org/officeDocument/2006/relationships/hyperlink" Target="DATA\Tourist%20arrivals.xlsx" TargetMode="External"/><Relationship Id="rId3" Type="http://schemas.openxmlformats.org/officeDocument/2006/relationships/printerSettings" Target="../printerSettings/printerSettings48.bin"/><Relationship Id="rId12" Type="http://schemas.openxmlformats.org/officeDocument/2006/relationships/hyperlink" Target="file:///C:\Documents%20and%20Settings\arindams\Local%20Settings\Final%20Approved\Medium\Sources\Car%20Rental\Rapport_04.5_Biluthyrarna_2008-2012.sv.en.pdf.doc" TargetMode="External"/><Relationship Id="rId17" Type="http://schemas.openxmlformats.org/officeDocument/2006/relationships/hyperlink" Target="file:///C:\Documents%20and%20Settings\arindams\Local%20Settings\Final%20Approved\Medium\Sources\TDF\tour_dem_ttw%20(19)%20Eurostat%20data%20for%20domestic%20&amp;%20outbound%20%20-%20Sweden.xls" TargetMode="External"/><Relationship Id="rId25" Type="http://schemas.openxmlformats.org/officeDocument/2006/relationships/hyperlink" Target="file:///C:\Documents%20and%20Settings\arindams\Local%20Settings\Final%20Approved\Medium\Sources\TDF\tour_dem_tnq%20-No.of%20overnight%20stays.xls" TargetMode="External"/><Relationship Id="rId33" Type="http://schemas.openxmlformats.org/officeDocument/2006/relationships/hyperlink" Target="file:///C:\Documents%20and%20Settings\arindams\Local%20Settings\Final%20Approved\Medium\Sources\TDF\tour_dem_ttq%20(8)%20-%20No.%20of%20trips%20by%20season.xls" TargetMode="External"/><Relationship Id="rId38" Type="http://schemas.openxmlformats.org/officeDocument/2006/relationships/hyperlink" Target="file:///C:\Documents%20and%20Settings\arindams\Local%20Settings\Final%20Approved\Medium\Sources\TDF\tour_occ_arnraw%20(2)%20-%20Arrivals%20region%20wise.xls" TargetMode="External"/><Relationship Id="rId46" Type="http://schemas.openxmlformats.org/officeDocument/2006/relationships/hyperlink" Target="file:///C:\Documents%20and%20Settings\arindams\Local%20Settings\Temporary%20Internet%20Files\Content.Outlook\T0LZLRUH\Sources\EI\info_0482_web.pdf" TargetMode="External"/><Relationship Id="rId59" Type="http://schemas.openxmlformats.org/officeDocument/2006/relationships/hyperlink" Target="DATA\Outbound%20and%20domestic%20trips%20by%20purpose%20of%20visit%202008%20to%202012.xlsx" TargetMode="Externa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hyperlink" Target="http://www.wttc.org/site_media/uploads/downloads/tunisia2012.pdf" TargetMode="External"/><Relationship Id="rId1" Type="http://schemas.openxmlformats.org/officeDocument/2006/relationships/hyperlink" Target="http://www.comercio.mityc.es/tmpDocsCanalPais/D0B05DED62AA496BBB0B552726B661AE.pdf" TargetMode="External"/><Relationship Id="rId4" Type="http://schemas.openxmlformats.org/officeDocument/2006/relationships/comments" Target="../comments3.xml"/></Relationships>
</file>

<file path=xl/worksheets/_rels/sheet12.xml.rels><?xml version="1.0" encoding="UTF-8" standalone="yes"?>
<Relationships xmlns="http://schemas.openxmlformats.org/package/2006/relationships"><Relationship Id="rId8" Type="http://schemas.openxmlformats.org/officeDocument/2006/relationships/comments" Target="../comments4.xml"/><Relationship Id="rId3" Type="http://schemas.openxmlformats.org/officeDocument/2006/relationships/printerSettings" Target="../printerSettings/printerSettings57.bin"/><Relationship Id="rId7" Type="http://schemas.openxmlformats.org/officeDocument/2006/relationships/vmlDrawing" Target="../drawings/vmlDrawing4.vml"/><Relationship Id="rId2" Type="http://schemas.openxmlformats.org/officeDocument/2006/relationships/printerSettings" Target="../printerSettings/printerSettings56.bin"/><Relationship Id="rId1" Type="http://schemas.openxmlformats.org/officeDocument/2006/relationships/printerSettings" Target="../printerSettings/printerSettings55.bin"/><Relationship Id="rId6" Type="http://schemas.openxmlformats.org/officeDocument/2006/relationships/printerSettings" Target="../printerSettings/printerSettings60.bin"/><Relationship Id="rId5" Type="http://schemas.openxmlformats.org/officeDocument/2006/relationships/printerSettings" Target="../printerSettings/printerSettings59.bin"/><Relationship Id="rId4" Type="http://schemas.openxmlformats.org/officeDocument/2006/relationships/printerSettings" Target="../printerSettings/printerSettings58.bin"/></Relationships>
</file>

<file path=xl/worksheets/_rels/sheet13.xml.rels><?xml version="1.0" encoding="UTF-8" standalone="yes"?>
<Relationships xmlns="http://schemas.openxmlformats.org/package/2006/relationships"><Relationship Id="rId8" Type="http://schemas.openxmlformats.org/officeDocument/2006/relationships/printerSettings" Target="../printerSettings/printerSettings68.bin"/><Relationship Id="rId3" Type="http://schemas.openxmlformats.org/officeDocument/2006/relationships/printerSettings" Target="../printerSettings/printerSettings63.bin"/><Relationship Id="rId7" Type="http://schemas.openxmlformats.org/officeDocument/2006/relationships/printerSettings" Target="../printerSettings/printerSettings67.bin"/><Relationship Id="rId2" Type="http://schemas.openxmlformats.org/officeDocument/2006/relationships/printerSettings" Target="../printerSettings/printerSettings62.bin"/><Relationship Id="rId1" Type="http://schemas.openxmlformats.org/officeDocument/2006/relationships/printerSettings" Target="../printerSettings/printerSettings61.bin"/><Relationship Id="rId6" Type="http://schemas.openxmlformats.org/officeDocument/2006/relationships/printerSettings" Target="../printerSettings/printerSettings66.bin"/><Relationship Id="rId5" Type="http://schemas.openxmlformats.org/officeDocument/2006/relationships/printerSettings" Target="../printerSettings/printerSettings65.bin"/><Relationship Id="rId4" Type="http://schemas.openxmlformats.org/officeDocument/2006/relationships/printerSettings" Target="../printerSettings/printerSettings64.bin"/></Relationships>
</file>

<file path=xl/worksheets/_rels/sheet14.xml.rels><?xml version="1.0" encoding="UTF-8" standalone="yes"?>
<Relationships xmlns="http://schemas.openxmlformats.org/package/2006/relationships"><Relationship Id="rId8" Type="http://schemas.openxmlformats.org/officeDocument/2006/relationships/hyperlink" Target="file:///C:\Documents%20and%20Settings\arindams\Local%20Settings\Final%20Approved\Medium\Hotel\source\WTTC_Data_Export_1358340880.xlsx" TargetMode="External"/><Relationship Id="rId13" Type="http://schemas.openxmlformats.org/officeDocument/2006/relationships/hyperlink" Target="file:///C:\Documents%20and%20Settings\arindams\Local%20Settings\Final%20Approved\Medium\Hotel\source\WTTC_Data_Export_1358340880.xlsx" TargetMode="External"/><Relationship Id="rId18" Type="http://schemas.openxmlformats.org/officeDocument/2006/relationships/hyperlink" Target="http://www.euromonitor.com/sweden/country-factfile" TargetMode="External"/><Relationship Id="rId3" Type="http://schemas.openxmlformats.org/officeDocument/2006/relationships/printerSettings" Target="../printerSettings/printerSettings71.bin"/><Relationship Id="rId7" Type="http://schemas.openxmlformats.org/officeDocument/2006/relationships/hyperlink" Target="file:///C:\Documents%20and%20Settings\arindams\Local%20Settings\Final%20Approved\Medium\Hotel\source\WTTC_Data_Export_1358340880.xlsx" TargetMode="External"/><Relationship Id="rId12" Type="http://schemas.openxmlformats.org/officeDocument/2006/relationships/hyperlink" Target="file:///C:\Documents%20and%20Settings\arindams\Local%20Settings\Final%20Approved\Medium\Hotel\source\WTTC_Data_Export_1358340880.xlsx" TargetMode="External"/><Relationship Id="rId17" Type="http://schemas.openxmlformats.org/officeDocument/2006/relationships/hyperlink" Target="file:///C:\WMI%20Construction\Industry%20Forecast\Database\2012\Final%20Approved\Tunisia\The%20Future%20of%20Construction%20in%20Tunisia%20to%202017.xlsx" TargetMode="External"/><Relationship Id="rId2" Type="http://schemas.openxmlformats.org/officeDocument/2006/relationships/printerSettings" Target="../printerSettings/printerSettings70.bin"/><Relationship Id="rId16" Type="http://schemas.openxmlformats.org/officeDocument/2006/relationships/hyperlink" Target="file:///C:\Documents%20and%20Settings\arindams\Final%20Approved\TDF\Tunisia\Tunisia_TDF.xlsx" TargetMode="External"/><Relationship Id="rId1" Type="http://schemas.openxmlformats.org/officeDocument/2006/relationships/printerSettings" Target="../printerSettings/printerSettings69.bin"/><Relationship Id="rId6" Type="http://schemas.openxmlformats.org/officeDocument/2006/relationships/hyperlink" Target="file:///C:\Documents%20and%20Settings\arindams\Final%20Approved\TDF\Tunisia\Tunisia_TDF.xlsx" TargetMode="External"/><Relationship Id="rId11" Type="http://schemas.openxmlformats.org/officeDocument/2006/relationships/hyperlink" Target="file:///C:\WMI%20Construction\Industry%20Forecast\Database\2012\Final%20Approved\Tunisia\The%20Future%20of%20Construction%20in%20Tunisia%20to%202017.xlsx" TargetMode="External"/><Relationship Id="rId5" Type="http://schemas.openxmlformats.org/officeDocument/2006/relationships/printerSettings" Target="../printerSettings/printerSettings73.bin"/><Relationship Id="rId15" Type="http://schemas.openxmlformats.org/officeDocument/2006/relationships/hyperlink" Target="file:///C:\Documents%20and%20Settings\arindams\Final%20Approved\TDF\Tunisia\Tunisia_TDF.xlsx" TargetMode="External"/><Relationship Id="rId10" Type="http://schemas.openxmlformats.org/officeDocument/2006/relationships/hyperlink" Target="http://www.imf.org/external/pubs/ft/weo/2012/01/weodata/weorept.aspx?pr.x=65&amp;pr.y=14&amp;sy=2008&amp;ey=2017&amp;scsm=1&amp;ssd=1&amp;sort=country&amp;ds=.&amp;br=1&amp;c=744&amp;s=NGDPD&amp;grp=0&amp;a=" TargetMode="External"/><Relationship Id="rId19" Type="http://schemas.openxmlformats.org/officeDocument/2006/relationships/printerSettings" Target="../printerSettings/printerSettings74.bin"/><Relationship Id="rId4" Type="http://schemas.openxmlformats.org/officeDocument/2006/relationships/printerSettings" Target="../printerSettings/printerSettings72.bin"/><Relationship Id="rId9" Type="http://schemas.openxmlformats.org/officeDocument/2006/relationships/hyperlink" Target="file:///C:\Documents%20and%20Settings\arindams\Local%20Settings\Final%20Approved\Medium\Hotel\source\WTTC_Data_Export_1358340880.xlsx" TargetMode="External"/><Relationship Id="rId14" Type="http://schemas.openxmlformats.org/officeDocument/2006/relationships/hyperlink" Target="file:///C:\Documents%20and%20Settings\arindams\Local%20Settings\Final%20Approved\Medium\Hotel\source\WTTC_Data_Export_1358340880.xlsx"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data.worldbank.org/indicator/ST.INT.ARVL" TargetMode="External"/><Relationship Id="rId13" Type="http://schemas.openxmlformats.org/officeDocument/2006/relationships/comments" Target="../comments5.xml"/><Relationship Id="rId3" Type="http://schemas.openxmlformats.org/officeDocument/2006/relationships/printerSettings" Target="../printerSettings/printerSettings77.bin"/><Relationship Id="rId7" Type="http://schemas.openxmlformats.org/officeDocument/2006/relationships/printerSettings" Target="../printerSettings/printerSettings81.bin"/><Relationship Id="rId12" Type="http://schemas.openxmlformats.org/officeDocument/2006/relationships/vmlDrawing" Target="../drawings/vmlDrawing5.vml"/><Relationship Id="rId2" Type="http://schemas.openxmlformats.org/officeDocument/2006/relationships/printerSettings" Target="../printerSettings/printerSettings76.bin"/><Relationship Id="rId1" Type="http://schemas.openxmlformats.org/officeDocument/2006/relationships/printerSettings" Target="../printerSettings/printerSettings75.bin"/><Relationship Id="rId6" Type="http://schemas.openxmlformats.org/officeDocument/2006/relationships/printerSettings" Target="../printerSettings/printerSettings80.bin"/><Relationship Id="rId11" Type="http://schemas.openxmlformats.org/officeDocument/2006/relationships/printerSettings" Target="../printerSettings/printerSettings82.bin"/><Relationship Id="rId5" Type="http://schemas.openxmlformats.org/officeDocument/2006/relationships/printerSettings" Target="../printerSettings/printerSettings79.bin"/><Relationship Id="rId10" Type="http://schemas.openxmlformats.org/officeDocument/2006/relationships/hyperlink" Target="http://www.e-unwto.org/content/qhtjvj3q3q94khnx/fulltext.pdf?page=1" TargetMode="External"/><Relationship Id="rId4" Type="http://schemas.openxmlformats.org/officeDocument/2006/relationships/printerSettings" Target="../printerSettings/printerSettings78.bin"/><Relationship Id="rId9" Type="http://schemas.openxmlformats.org/officeDocument/2006/relationships/hyperlink" Target="http://www.e-unwto.org/content/qhtjvj3q3q94khnx/fulltext.pdf?page=1" TargetMode="External"/></Relationships>
</file>

<file path=xl/worksheets/_rels/sheet17.xml.rels><?xml version="1.0" encoding="UTF-8" standalone="yes"?>
<Relationships xmlns="http://schemas.openxmlformats.org/package/2006/relationships"><Relationship Id="rId3" Type="http://schemas.openxmlformats.org/officeDocument/2006/relationships/hyperlink" Target="http://files.shareholder.com/downloads/ABEA-36XVJR/2518596445x0x542938/ea121a41-aa87-45a5-8042-171169e7b3e5/ABG_Pro-forma_website_disclosure_2010-2011_FINAL_4-25-12.pdf" TargetMode="External"/><Relationship Id="rId2" Type="http://schemas.openxmlformats.org/officeDocument/2006/relationships/hyperlink" Target="http://microsite.europcar.com/pdf/raeuropcar-2011.pdf" TargetMode="External"/><Relationship Id="rId1" Type="http://schemas.openxmlformats.org/officeDocument/2006/relationships/hyperlink" Target="http://microsite.europcar.com/pdf/raeuropcar-2009.pdf" TargetMode="Externa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85.bin"/><Relationship Id="rId2" Type="http://schemas.openxmlformats.org/officeDocument/2006/relationships/printerSettings" Target="../printerSettings/printerSettings84.bin"/><Relationship Id="rId1" Type="http://schemas.openxmlformats.org/officeDocument/2006/relationships/printerSettings" Target="../printerSettings/printerSettings83.bin"/><Relationship Id="rId6" Type="http://schemas.openxmlformats.org/officeDocument/2006/relationships/printerSettings" Target="../printerSettings/printerSettings88.bin"/><Relationship Id="rId5" Type="http://schemas.openxmlformats.org/officeDocument/2006/relationships/printerSettings" Target="../printerSettings/printerSettings87.bin"/><Relationship Id="rId4" Type="http://schemas.openxmlformats.org/officeDocument/2006/relationships/printerSettings" Target="../printerSettings/printerSettings86.bin"/></Relationships>
</file>

<file path=xl/worksheets/_rels/sheet20.xml.rels><?xml version="1.0" encoding="UTF-8" standalone="yes"?>
<Relationships xmlns="http://schemas.openxmlformats.org/package/2006/relationships"><Relationship Id="rId8" Type="http://schemas.openxmlformats.org/officeDocument/2006/relationships/comments" Target="../comments7.xml"/><Relationship Id="rId3" Type="http://schemas.openxmlformats.org/officeDocument/2006/relationships/printerSettings" Target="../printerSettings/printerSettings91.bin"/><Relationship Id="rId7" Type="http://schemas.openxmlformats.org/officeDocument/2006/relationships/vmlDrawing" Target="../drawings/vmlDrawing7.vml"/><Relationship Id="rId2" Type="http://schemas.openxmlformats.org/officeDocument/2006/relationships/printerSettings" Target="../printerSettings/printerSettings90.bin"/><Relationship Id="rId1" Type="http://schemas.openxmlformats.org/officeDocument/2006/relationships/printerSettings" Target="../printerSettings/printerSettings89.bin"/><Relationship Id="rId6" Type="http://schemas.openxmlformats.org/officeDocument/2006/relationships/printerSettings" Target="../printerSettings/printerSettings94.bin"/><Relationship Id="rId5" Type="http://schemas.openxmlformats.org/officeDocument/2006/relationships/printerSettings" Target="../printerSettings/printerSettings93.bin"/><Relationship Id="rId4" Type="http://schemas.openxmlformats.org/officeDocument/2006/relationships/printerSettings" Target="../printerSettings/printerSettings92.bin"/></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97.bin"/><Relationship Id="rId2" Type="http://schemas.openxmlformats.org/officeDocument/2006/relationships/printerSettings" Target="../printerSettings/printerSettings96.bin"/><Relationship Id="rId1" Type="http://schemas.openxmlformats.org/officeDocument/2006/relationships/printerSettings" Target="../printerSettings/printerSettings95.bin"/><Relationship Id="rId6" Type="http://schemas.openxmlformats.org/officeDocument/2006/relationships/printerSettings" Target="../printerSettings/printerSettings100.bin"/><Relationship Id="rId5" Type="http://schemas.openxmlformats.org/officeDocument/2006/relationships/printerSettings" Target="../printerSettings/printerSettings99.bin"/><Relationship Id="rId4" Type="http://schemas.openxmlformats.org/officeDocument/2006/relationships/printerSettings" Target="../printerSettings/printerSettings98.bin"/></Relationships>
</file>

<file path=xl/worksheets/_rels/sheet2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103.bin"/><Relationship Id="rId2" Type="http://schemas.openxmlformats.org/officeDocument/2006/relationships/printerSettings" Target="../printerSettings/printerSettings102.bin"/><Relationship Id="rId1" Type="http://schemas.openxmlformats.org/officeDocument/2006/relationships/printerSettings" Target="../printerSettings/printerSettings101.bin"/><Relationship Id="rId6" Type="http://schemas.openxmlformats.org/officeDocument/2006/relationships/printerSettings" Target="../printerSettings/printerSettings106.bin"/><Relationship Id="rId5" Type="http://schemas.openxmlformats.org/officeDocument/2006/relationships/printerSettings" Target="../printerSettings/printerSettings105.bin"/><Relationship Id="rId4" Type="http://schemas.openxmlformats.org/officeDocument/2006/relationships/printerSettings" Target="../printerSettings/printerSettings104.bin"/></Relationships>
</file>

<file path=xl/worksheets/_rels/sheet25.xml.rels><?xml version="1.0" encoding="UTF-8" standalone="yes"?>
<Relationships xmlns="http://schemas.openxmlformats.org/package/2006/relationships"><Relationship Id="rId3" Type="http://schemas.openxmlformats.org/officeDocument/2006/relationships/printerSettings" Target="../printerSettings/printerSettings109.bin"/><Relationship Id="rId2" Type="http://schemas.openxmlformats.org/officeDocument/2006/relationships/printerSettings" Target="../printerSettings/printerSettings108.bin"/><Relationship Id="rId1" Type="http://schemas.openxmlformats.org/officeDocument/2006/relationships/printerSettings" Target="../printerSettings/printerSettings107.bin"/><Relationship Id="rId6" Type="http://schemas.openxmlformats.org/officeDocument/2006/relationships/printerSettings" Target="../printerSettings/printerSettings112.bin"/><Relationship Id="rId5" Type="http://schemas.openxmlformats.org/officeDocument/2006/relationships/printerSettings" Target="../printerSettings/printerSettings111.bin"/><Relationship Id="rId4" Type="http://schemas.openxmlformats.org/officeDocument/2006/relationships/printerSettings" Target="../printerSettings/printerSettings110.bin"/></Relationships>
</file>

<file path=xl/worksheets/_rels/sheet26.xml.rels><?xml version="1.0" encoding="UTF-8" standalone="yes"?>
<Relationships xmlns="http://schemas.openxmlformats.org/package/2006/relationships"><Relationship Id="rId8" Type="http://schemas.openxmlformats.org/officeDocument/2006/relationships/printerSettings" Target="../printerSettings/printerSettings120.bin"/><Relationship Id="rId3" Type="http://schemas.openxmlformats.org/officeDocument/2006/relationships/printerSettings" Target="../printerSettings/printerSettings115.bin"/><Relationship Id="rId7" Type="http://schemas.openxmlformats.org/officeDocument/2006/relationships/printerSettings" Target="../printerSettings/printerSettings119.bin"/><Relationship Id="rId2" Type="http://schemas.openxmlformats.org/officeDocument/2006/relationships/printerSettings" Target="../printerSettings/printerSettings114.bin"/><Relationship Id="rId1" Type="http://schemas.openxmlformats.org/officeDocument/2006/relationships/printerSettings" Target="../printerSettings/printerSettings113.bin"/><Relationship Id="rId6" Type="http://schemas.openxmlformats.org/officeDocument/2006/relationships/printerSettings" Target="../printerSettings/printerSettings118.bin"/><Relationship Id="rId5" Type="http://schemas.openxmlformats.org/officeDocument/2006/relationships/printerSettings" Target="../printerSettings/printerSettings117.bin"/><Relationship Id="rId10" Type="http://schemas.openxmlformats.org/officeDocument/2006/relationships/comments" Target="../comments9.xml"/><Relationship Id="rId4" Type="http://schemas.openxmlformats.org/officeDocument/2006/relationships/printerSettings" Target="../printerSettings/printerSettings116.bin"/><Relationship Id="rId9" Type="http://schemas.openxmlformats.org/officeDocument/2006/relationships/vmlDrawing" Target="../drawings/vmlDrawing9.vml"/></Relationships>
</file>

<file path=xl/worksheets/_rels/sheet27.xml.rels><?xml version="1.0" encoding="UTF-8" standalone="yes"?>
<Relationships xmlns="http://schemas.openxmlformats.org/package/2006/relationships"><Relationship Id="rId8" Type="http://schemas.openxmlformats.org/officeDocument/2006/relationships/printerSettings" Target="../printerSettings/printerSettings128.bin"/><Relationship Id="rId3" Type="http://schemas.openxmlformats.org/officeDocument/2006/relationships/printerSettings" Target="../printerSettings/printerSettings123.bin"/><Relationship Id="rId7" Type="http://schemas.openxmlformats.org/officeDocument/2006/relationships/printerSettings" Target="../printerSettings/printerSettings127.bin"/><Relationship Id="rId2" Type="http://schemas.openxmlformats.org/officeDocument/2006/relationships/printerSettings" Target="../printerSettings/printerSettings122.bin"/><Relationship Id="rId1" Type="http://schemas.openxmlformats.org/officeDocument/2006/relationships/printerSettings" Target="../printerSettings/printerSettings121.bin"/><Relationship Id="rId6" Type="http://schemas.openxmlformats.org/officeDocument/2006/relationships/printerSettings" Target="../printerSettings/printerSettings126.bin"/><Relationship Id="rId11" Type="http://schemas.openxmlformats.org/officeDocument/2006/relationships/comments" Target="../comments10.xml"/><Relationship Id="rId5" Type="http://schemas.openxmlformats.org/officeDocument/2006/relationships/printerSettings" Target="../printerSettings/printerSettings125.bin"/><Relationship Id="rId10" Type="http://schemas.openxmlformats.org/officeDocument/2006/relationships/vmlDrawing" Target="../drawings/vmlDrawing10.vml"/><Relationship Id="rId4" Type="http://schemas.openxmlformats.org/officeDocument/2006/relationships/printerSettings" Target="../printerSettings/printerSettings124.bin"/><Relationship Id="rId9" Type="http://schemas.openxmlformats.org/officeDocument/2006/relationships/printerSettings" Target="../printerSettings/printerSettings129.bin"/></Relationships>
</file>

<file path=xl/worksheets/_rels/sheet28.xml.rels><?xml version="1.0" encoding="UTF-8" standalone="yes"?>
<Relationships xmlns="http://schemas.openxmlformats.org/package/2006/relationships"><Relationship Id="rId8" Type="http://schemas.openxmlformats.org/officeDocument/2006/relationships/printerSettings" Target="../printerSettings/printerSettings137.bin"/><Relationship Id="rId3" Type="http://schemas.openxmlformats.org/officeDocument/2006/relationships/printerSettings" Target="../printerSettings/printerSettings132.bin"/><Relationship Id="rId7" Type="http://schemas.openxmlformats.org/officeDocument/2006/relationships/printerSettings" Target="../printerSettings/printerSettings136.bin"/><Relationship Id="rId2" Type="http://schemas.openxmlformats.org/officeDocument/2006/relationships/printerSettings" Target="../printerSettings/printerSettings131.bin"/><Relationship Id="rId1" Type="http://schemas.openxmlformats.org/officeDocument/2006/relationships/printerSettings" Target="../printerSettings/printerSettings130.bin"/><Relationship Id="rId6" Type="http://schemas.openxmlformats.org/officeDocument/2006/relationships/printerSettings" Target="../printerSettings/printerSettings135.bin"/><Relationship Id="rId5" Type="http://schemas.openxmlformats.org/officeDocument/2006/relationships/printerSettings" Target="../printerSettings/printerSettings134.bin"/><Relationship Id="rId4" Type="http://schemas.openxmlformats.org/officeDocument/2006/relationships/printerSettings" Target="../printerSettings/printerSettings133.bin"/><Relationship Id="rId9" Type="http://schemas.openxmlformats.org/officeDocument/2006/relationships/printerSettings" Target="../printerSettings/printerSettings138.bin"/></Relationships>
</file>

<file path=xl/worksheets/_rels/sheet29.xml.rels><?xml version="1.0" encoding="UTF-8" standalone="yes"?>
<Relationships xmlns="http://schemas.openxmlformats.org/package/2006/relationships"><Relationship Id="rId8" Type="http://schemas.openxmlformats.org/officeDocument/2006/relationships/printerSettings" Target="../printerSettings/printerSettings146.bin"/><Relationship Id="rId3" Type="http://schemas.openxmlformats.org/officeDocument/2006/relationships/printerSettings" Target="../printerSettings/printerSettings141.bin"/><Relationship Id="rId7" Type="http://schemas.openxmlformats.org/officeDocument/2006/relationships/printerSettings" Target="../printerSettings/printerSettings145.bin"/><Relationship Id="rId2" Type="http://schemas.openxmlformats.org/officeDocument/2006/relationships/printerSettings" Target="../printerSettings/printerSettings140.bin"/><Relationship Id="rId1" Type="http://schemas.openxmlformats.org/officeDocument/2006/relationships/printerSettings" Target="../printerSettings/printerSettings139.bin"/><Relationship Id="rId6" Type="http://schemas.openxmlformats.org/officeDocument/2006/relationships/printerSettings" Target="../printerSettings/printerSettings144.bin"/><Relationship Id="rId11" Type="http://schemas.openxmlformats.org/officeDocument/2006/relationships/comments" Target="../comments11.xml"/><Relationship Id="rId5" Type="http://schemas.openxmlformats.org/officeDocument/2006/relationships/printerSettings" Target="../printerSettings/printerSettings143.bin"/><Relationship Id="rId10" Type="http://schemas.openxmlformats.org/officeDocument/2006/relationships/vmlDrawing" Target="../drawings/vmlDrawing11.vml"/><Relationship Id="rId4" Type="http://schemas.openxmlformats.org/officeDocument/2006/relationships/printerSettings" Target="../printerSettings/printerSettings142.bin"/><Relationship Id="rId9" Type="http://schemas.openxmlformats.org/officeDocument/2006/relationships/printerSettings" Target="../printerSettings/printerSettings147.bin"/></Relationships>
</file>

<file path=xl/worksheets/_rels/sheet30.xml.rels><?xml version="1.0" encoding="UTF-8" standalone="yes"?>
<Relationships xmlns="http://schemas.openxmlformats.org/package/2006/relationships"><Relationship Id="rId3" Type="http://schemas.openxmlformats.org/officeDocument/2006/relationships/hyperlink" Target="file:///C:\Documents%20and%20Settings\EI\Egypt\Economic%20Impact%20Database%20_Egypt.xlsx" TargetMode="External"/><Relationship Id="rId2" Type="http://schemas.openxmlformats.org/officeDocument/2006/relationships/hyperlink" Target="file:///C:\Documents%20and%20Settings\arindams\Local%20Settings\Final%20Approved\Medium\tunisia2012_WTTC.pdf" TargetMode="External"/><Relationship Id="rId1" Type="http://schemas.openxmlformats.org/officeDocument/2006/relationships/hyperlink" Target="file:///C:\WMI%20Construction\Industry%20Forecast\Database\2012\Final%20Approved\Tunisia\The%20Future%20of%20Construction%20in%20Tunisia%20to%202017.xlsx" TargetMode="External"/></Relationships>
</file>

<file path=xl/worksheets/_rels/sheet31.xml.rels><?xml version="1.0" encoding="UTF-8" standalone="yes"?>
<Relationships xmlns="http://schemas.openxmlformats.org/package/2006/relationships"><Relationship Id="rId3" Type="http://schemas.openxmlformats.org/officeDocument/2006/relationships/hyperlink" Target="file:///C:\Documents%20and%20Settings\arindams\Local%20Settings\Final%20Approved\Medium\Sources\TDF\tour_dem_ttq%20(1)%20-%20Domestic%20trips.xls" TargetMode="External"/><Relationship Id="rId2" Type="http://schemas.openxmlformats.org/officeDocument/2006/relationships/hyperlink" Target="file:///C:\Documents%20and%20Settings\arindams\Local%20Settings\Final%20Approved\Medium\Sources\TDF\tour_dem_ttq%20(1)%20-%20Domestic%20trips.xls" TargetMode="External"/><Relationship Id="rId1" Type="http://schemas.openxmlformats.org/officeDocument/2006/relationships/hyperlink" Target="file:///C:\Documents%20and%20Settings\arindams\Local%20Settings\Final%20Approved\Medium\Sources\TDF\tour_dem_ttq%20(1)%20-%20Domestic%20trips.xls" TargetMode="External"/><Relationship Id="rId5" Type="http://schemas.openxmlformats.org/officeDocument/2006/relationships/comments" Target="../comments12.xml"/><Relationship Id="rId4" Type="http://schemas.openxmlformats.org/officeDocument/2006/relationships/vmlDrawing" Target="../drawings/vmlDrawing12.vml"/></Relationships>
</file>

<file path=xl/worksheets/_rels/sheet33.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34.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sheet1.xml><?xml version="1.0" encoding="utf-8"?>
<worksheet xmlns="http://schemas.openxmlformats.org/spreadsheetml/2006/main" xmlns:r="http://schemas.openxmlformats.org/officeDocument/2006/relationships">
  <sheetPr>
    <outlinePr summaryBelow="0"/>
  </sheetPr>
  <dimension ref="A1:P73"/>
  <sheetViews>
    <sheetView topLeftCell="A55" workbookViewId="0">
      <selection activeCell="C75" sqref="C75"/>
    </sheetView>
  </sheetViews>
  <sheetFormatPr defaultRowHeight="12.75"/>
  <cols>
    <col min="1" max="1" width="40.7109375" style="88" customWidth="1"/>
    <col min="2" max="255" width="9.140625" style="88"/>
    <col min="256" max="256" width="40.7109375" style="88" customWidth="1"/>
    <col min="257" max="511" width="9.140625" style="88"/>
    <col min="512" max="512" width="40.7109375" style="88" customWidth="1"/>
    <col min="513" max="767" width="9.140625" style="88"/>
    <col min="768" max="768" width="40.7109375" style="88" customWidth="1"/>
    <col min="769" max="1023" width="9.140625" style="88"/>
    <col min="1024" max="1024" width="40.7109375" style="88" customWidth="1"/>
    <col min="1025" max="1279" width="9.140625" style="88"/>
    <col min="1280" max="1280" width="40.7109375" style="88" customWidth="1"/>
    <col min="1281" max="1535" width="9.140625" style="88"/>
    <col min="1536" max="1536" width="40.7109375" style="88" customWidth="1"/>
    <col min="1537" max="1791" width="9.140625" style="88"/>
    <col min="1792" max="1792" width="40.7109375" style="88" customWidth="1"/>
    <col min="1793" max="2047" width="9.140625" style="88"/>
    <col min="2048" max="2048" width="40.7109375" style="88" customWidth="1"/>
    <col min="2049" max="2303" width="9.140625" style="88"/>
    <col min="2304" max="2304" width="40.7109375" style="88" customWidth="1"/>
    <col min="2305" max="2559" width="9.140625" style="88"/>
    <col min="2560" max="2560" width="40.7109375" style="88" customWidth="1"/>
    <col min="2561" max="2815" width="9.140625" style="88"/>
    <col min="2816" max="2816" width="40.7109375" style="88" customWidth="1"/>
    <col min="2817" max="3071" width="9.140625" style="88"/>
    <col min="3072" max="3072" width="40.7109375" style="88" customWidth="1"/>
    <col min="3073" max="3327" width="9.140625" style="88"/>
    <col min="3328" max="3328" width="40.7109375" style="88" customWidth="1"/>
    <col min="3329" max="3583" width="9.140625" style="88"/>
    <col min="3584" max="3584" width="40.7109375" style="88" customWidth="1"/>
    <col min="3585" max="3839" width="9.140625" style="88"/>
    <col min="3840" max="3840" width="40.7109375" style="88" customWidth="1"/>
    <col min="3841" max="4095" width="9.140625" style="88"/>
    <col min="4096" max="4096" width="40.7109375" style="88" customWidth="1"/>
    <col min="4097" max="4351" width="9.140625" style="88"/>
    <col min="4352" max="4352" width="40.7109375" style="88" customWidth="1"/>
    <col min="4353" max="4607" width="9.140625" style="88"/>
    <col min="4608" max="4608" width="40.7109375" style="88" customWidth="1"/>
    <col min="4609" max="4863" width="9.140625" style="88"/>
    <col min="4864" max="4864" width="40.7109375" style="88" customWidth="1"/>
    <col min="4865" max="5119" width="9.140625" style="88"/>
    <col min="5120" max="5120" width="40.7109375" style="88" customWidth="1"/>
    <col min="5121" max="5375" width="9.140625" style="88"/>
    <col min="5376" max="5376" width="40.7109375" style="88" customWidth="1"/>
    <col min="5377" max="5631" width="9.140625" style="88"/>
    <col min="5632" max="5632" width="40.7109375" style="88" customWidth="1"/>
    <col min="5633" max="5887" width="9.140625" style="88"/>
    <col min="5888" max="5888" width="40.7109375" style="88" customWidth="1"/>
    <col min="5889" max="6143" width="9.140625" style="88"/>
    <col min="6144" max="6144" width="40.7109375" style="88" customWidth="1"/>
    <col min="6145" max="6399" width="9.140625" style="88"/>
    <col min="6400" max="6400" width="40.7109375" style="88" customWidth="1"/>
    <col min="6401" max="6655" width="9.140625" style="88"/>
    <col min="6656" max="6656" width="40.7109375" style="88" customWidth="1"/>
    <col min="6657" max="6911" width="9.140625" style="88"/>
    <col min="6912" max="6912" width="40.7109375" style="88" customWidth="1"/>
    <col min="6913" max="7167" width="9.140625" style="88"/>
    <col min="7168" max="7168" width="40.7109375" style="88" customWidth="1"/>
    <col min="7169" max="7423" width="9.140625" style="88"/>
    <col min="7424" max="7424" width="40.7109375" style="88" customWidth="1"/>
    <col min="7425" max="7679" width="9.140625" style="88"/>
    <col min="7680" max="7680" width="40.7109375" style="88" customWidth="1"/>
    <col min="7681" max="7935" width="9.140625" style="88"/>
    <col min="7936" max="7936" width="40.7109375" style="88" customWidth="1"/>
    <col min="7937" max="8191" width="9.140625" style="88"/>
    <col min="8192" max="8192" width="40.7109375" style="88" customWidth="1"/>
    <col min="8193" max="8447" width="9.140625" style="88"/>
    <col min="8448" max="8448" width="40.7109375" style="88" customWidth="1"/>
    <col min="8449" max="8703" width="9.140625" style="88"/>
    <col min="8704" max="8704" width="40.7109375" style="88" customWidth="1"/>
    <col min="8705" max="8959" width="9.140625" style="88"/>
    <col min="8960" max="8960" width="40.7109375" style="88" customWidth="1"/>
    <col min="8961" max="9215" width="9.140625" style="88"/>
    <col min="9216" max="9216" width="40.7109375" style="88" customWidth="1"/>
    <col min="9217" max="9471" width="9.140625" style="88"/>
    <col min="9472" max="9472" width="40.7109375" style="88" customWidth="1"/>
    <col min="9473" max="9727" width="9.140625" style="88"/>
    <col min="9728" max="9728" width="40.7109375" style="88" customWidth="1"/>
    <col min="9729" max="9983" width="9.140625" style="88"/>
    <col min="9984" max="9984" width="40.7109375" style="88" customWidth="1"/>
    <col min="9985" max="10239" width="9.140625" style="88"/>
    <col min="10240" max="10240" width="40.7109375" style="88" customWidth="1"/>
    <col min="10241" max="10495" width="9.140625" style="88"/>
    <col min="10496" max="10496" width="40.7109375" style="88" customWidth="1"/>
    <col min="10497" max="10751" width="9.140625" style="88"/>
    <col min="10752" max="10752" width="40.7109375" style="88" customWidth="1"/>
    <col min="10753" max="11007" width="9.140625" style="88"/>
    <col min="11008" max="11008" width="40.7109375" style="88" customWidth="1"/>
    <col min="11009" max="11263" width="9.140625" style="88"/>
    <col min="11264" max="11264" width="40.7109375" style="88" customWidth="1"/>
    <col min="11265" max="11519" width="9.140625" style="88"/>
    <col min="11520" max="11520" width="40.7109375" style="88" customWidth="1"/>
    <col min="11521" max="11775" width="9.140625" style="88"/>
    <col min="11776" max="11776" width="40.7109375" style="88" customWidth="1"/>
    <col min="11777" max="12031" width="9.140625" style="88"/>
    <col min="12032" max="12032" width="40.7109375" style="88" customWidth="1"/>
    <col min="12033" max="12287" width="9.140625" style="88"/>
    <col min="12288" max="12288" width="40.7109375" style="88" customWidth="1"/>
    <col min="12289" max="12543" width="9.140625" style="88"/>
    <col min="12544" max="12544" width="40.7109375" style="88" customWidth="1"/>
    <col min="12545" max="12799" width="9.140625" style="88"/>
    <col min="12800" max="12800" width="40.7109375" style="88" customWidth="1"/>
    <col min="12801" max="13055" width="9.140625" style="88"/>
    <col min="13056" max="13056" width="40.7109375" style="88" customWidth="1"/>
    <col min="13057" max="13311" width="9.140625" style="88"/>
    <col min="13312" max="13312" width="40.7109375" style="88" customWidth="1"/>
    <col min="13313" max="13567" width="9.140625" style="88"/>
    <col min="13568" max="13568" width="40.7109375" style="88" customWidth="1"/>
    <col min="13569" max="13823" width="9.140625" style="88"/>
    <col min="13824" max="13824" width="40.7109375" style="88" customWidth="1"/>
    <col min="13825" max="14079" width="9.140625" style="88"/>
    <col min="14080" max="14080" width="40.7109375" style="88" customWidth="1"/>
    <col min="14081" max="14335" width="9.140625" style="88"/>
    <col min="14336" max="14336" width="40.7109375" style="88" customWidth="1"/>
    <col min="14337" max="14591" width="9.140625" style="88"/>
    <col min="14592" max="14592" width="40.7109375" style="88" customWidth="1"/>
    <col min="14593" max="14847" width="9.140625" style="88"/>
    <col min="14848" max="14848" width="40.7109375" style="88" customWidth="1"/>
    <col min="14849" max="15103" width="9.140625" style="88"/>
    <col min="15104" max="15104" width="40.7109375" style="88" customWidth="1"/>
    <col min="15105" max="15359" width="9.140625" style="88"/>
    <col min="15360" max="15360" width="40.7109375" style="88" customWidth="1"/>
    <col min="15361" max="15615" width="9.140625" style="88"/>
    <col min="15616" max="15616" width="40.7109375" style="88" customWidth="1"/>
    <col min="15617" max="15871" width="9.140625" style="88"/>
    <col min="15872" max="15872" width="40.7109375" style="88" customWidth="1"/>
    <col min="15873" max="16127" width="9.140625" style="88"/>
    <col min="16128" max="16128" width="40.7109375" style="88" customWidth="1"/>
    <col min="16129" max="16384" width="9.140625" style="88"/>
  </cols>
  <sheetData>
    <row r="1" spans="1:11" ht="25.5" customHeight="1">
      <c r="A1" s="87" t="s">
        <v>247</v>
      </c>
    </row>
    <row r="2" spans="1:11" ht="25.5" customHeight="1">
      <c r="A2" s="87" t="s">
        <v>248</v>
      </c>
      <c r="B2" s="87"/>
      <c r="C2" s="87"/>
      <c r="D2" s="87"/>
      <c r="E2" s="87"/>
      <c r="F2" s="87"/>
      <c r="G2" s="87"/>
      <c r="H2" s="87"/>
      <c r="I2" s="87"/>
      <c r="J2" s="87"/>
      <c r="K2" s="87"/>
    </row>
    <row r="3" spans="1:11" ht="25.5" customHeight="1">
      <c r="A3" s="87" t="s">
        <v>249</v>
      </c>
      <c r="B3" s="87"/>
      <c r="C3" s="87"/>
      <c r="D3" s="87"/>
      <c r="E3" s="87"/>
      <c r="F3" s="87"/>
      <c r="G3" s="87"/>
      <c r="H3" s="87"/>
      <c r="I3" s="87"/>
      <c r="J3" s="87"/>
      <c r="K3" s="87"/>
    </row>
    <row r="4" spans="1:11" ht="25.5" customHeight="1">
      <c r="A4" s="87" t="s">
        <v>250</v>
      </c>
      <c r="B4" s="87"/>
      <c r="C4" s="87"/>
      <c r="D4" s="87"/>
      <c r="E4" s="87"/>
      <c r="F4" s="87"/>
      <c r="G4" s="87"/>
      <c r="H4" s="87"/>
      <c r="I4" s="87"/>
      <c r="J4" s="87"/>
      <c r="K4" s="87"/>
    </row>
    <row r="5" spans="1:11" ht="25.5" customHeight="1">
      <c r="A5" s="87" t="s">
        <v>251</v>
      </c>
      <c r="B5" s="87"/>
      <c r="C5" s="87"/>
      <c r="D5" s="87"/>
      <c r="E5" s="87"/>
      <c r="F5" s="87"/>
      <c r="G5" s="87"/>
      <c r="H5" s="87"/>
      <c r="I5" s="87"/>
      <c r="J5" s="87"/>
      <c r="K5" s="87"/>
    </row>
    <row r="6" spans="1:11" ht="14.25">
      <c r="A6" s="87"/>
      <c r="B6" s="87"/>
      <c r="C6" s="87"/>
      <c r="D6" s="87"/>
      <c r="E6" s="87"/>
      <c r="F6" s="87"/>
      <c r="G6" s="87"/>
      <c r="H6" s="87"/>
      <c r="I6" s="87"/>
      <c r="J6" s="87"/>
      <c r="K6" s="87"/>
    </row>
    <row r="7" spans="1:11" ht="14.25">
      <c r="A7" s="87"/>
      <c r="B7" s="87"/>
      <c r="C7" s="87"/>
      <c r="D7" s="87"/>
      <c r="E7" s="87"/>
      <c r="F7" s="87"/>
      <c r="G7" s="87"/>
      <c r="H7" s="87"/>
      <c r="I7" s="87"/>
      <c r="J7" s="87"/>
    </row>
    <row r="8" spans="1:11" ht="25.5" customHeight="1">
      <c r="A8" s="89" t="s">
        <v>153</v>
      </c>
      <c r="B8" s="90">
        <v>2008</v>
      </c>
      <c r="C8" s="90">
        <v>2009</v>
      </c>
      <c r="D8" s="90">
        <v>2010</v>
      </c>
      <c r="E8" s="90">
        <v>2011</v>
      </c>
      <c r="F8" s="90">
        <v>2012</v>
      </c>
      <c r="G8" s="90">
        <v>2013</v>
      </c>
      <c r="H8" s="90">
        <v>2014</v>
      </c>
      <c r="I8" s="90">
        <v>2015</v>
      </c>
      <c r="J8" s="90">
        <v>2016</v>
      </c>
      <c r="K8" s="90">
        <v>2017</v>
      </c>
    </row>
    <row r="9" spans="1:11" ht="18" customHeight="1">
      <c r="A9" s="93" t="s">
        <v>252</v>
      </c>
      <c r="B9" s="91"/>
      <c r="C9" s="91"/>
      <c r="D9" s="91"/>
      <c r="E9" s="91"/>
      <c r="F9" s="91"/>
      <c r="G9" s="91"/>
      <c r="H9" s="91"/>
      <c r="I9" s="91"/>
      <c r="J9" s="91"/>
      <c r="K9" s="91"/>
    </row>
    <row r="10" spans="1:11" ht="18" customHeight="1">
      <c r="A10" s="94" t="s">
        <v>253</v>
      </c>
      <c r="B10" s="92">
        <v>3.9830000000000001</v>
      </c>
      <c r="C10" s="92">
        <v>4.0110000000000001</v>
      </c>
      <c r="D10" s="92">
        <v>4.0439999999999996</v>
      </c>
      <c r="E10" s="92">
        <v>3.0590000000000002</v>
      </c>
      <c r="F10" s="92">
        <v>3.3029999999999999</v>
      </c>
      <c r="G10" s="92">
        <v>3.4249999999999998</v>
      </c>
      <c r="H10" s="92">
        <v>3.653</v>
      </c>
      <c r="I10" s="92">
        <v>3.7959999999999998</v>
      </c>
      <c r="J10" s="92">
        <v>3.9470000000000001</v>
      </c>
      <c r="K10" s="92">
        <v>4.0469999999999997</v>
      </c>
    </row>
    <row r="11" spans="1:11" ht="18" customHeight="1">
      <c r="A11" s="93" t="s">
        <v>254</v>
      </c>
      <c r="B11" s="91"/>
      <c r="C11" s="91"/>
      <c r="D11" s="91"/>
      <c r="E11" s="91"/>
      <c r="F11" s="91"/>
      <c r="G11" s="91"/>
      <c r="H11" s="91"/>
      <c r="I11" s="91"/>
      <c r="J11" s="91"/>
      <c r="K11" s="91"/>
    </row>
    <row r="12" spans="1:11" ht="18" customHeight="1">
      <c r="A12" s="94" t="s">
        <v>253</v>
      </c>
      <c r="B12" s="92">
        <v>8.3580000000000005</v>
      </c>
      <c r="C12" s="92">
        <v>8.4149999999999991</v>
      </c>
      <c r="D12" s="92">
        <v>8.3610000000000007</v>
      </c>
      <c r="E12" s="92">
        <v>6.6189999999999998</v>
      </c>
      <c r="F12" s="92">
        <v>6.984</v>
      </c>
      <c r="G12" s="92">
        <v>7.2350000000000003</v>
      </c>
      <c r="H12" s="92">
        <v>7.7169999999999996</v>
      </c>
      <c r="I12" s="92">
        <v>8.0410000000000004</v>
      </c>
      <c r="J12" s="92">
        <v>8.36</v>
      </c>
      <c r="K12" s="92">
        <v>8.6059999999999999</v>
      </c>
    </row>
    <row r="13" spans="1:11" ht="18" customHeight="1">
      <c r="A13" s="93" t="s">
        <v>255</v>
      </c>
      <c r="B13" s="91"/>
      <c r="C13" s="91"/>
      <c r="D13" s="91"/>
      <c r="E13" s="91"/>
      <c r="F13" s="91"/>
      <c r="G13" s="91"/>
      <c r="H13" s="91"/>
      <c r="I13" s="91"/>
      <c r="J13" s="91"/>
      <c r="K13" s="91"/>
    </row>
    <row r="14" spans="1:11" ht="18" customHeight="1">
      <c r="A14" s="94" t="s">
        <v>256</v>
      </c>
      <c r="B14" s="92">
        <v>256.89999999999998</v>
      </c>
      <c r="C14" s="92">
        <v>254.4</v>
      </c>
      <c r="D14" s="92">
        <v>255.8</v>
      </c>
      <c r="E14" s="92">
        <v>191.7</v>
      </c>
      <c r="F14" s="92">
        <v>205.5</v>
      </c>
      <c r="G14" s="92">
        <v>208.6</v>
      </c>
      <c r="H14" s="92">
        <v>216.1</v>
      </c>
      <c r="I14" s="92">
        <v>218.2</v>
      </c>
      <c r="J14" s="92">
        <v>220.4</v>
      </c>
      <c r="K14" s="92">
        <v>220.1</v>
      </c>
    </row>
    <row r="15" spans="1:11" ht="18" customHeight="1">
      <c r="A15" s="93" t="s">
        <v>257</v>
      </c>
      <c r="B15" s="91"/>
      <c r="C15" s="91"/>
      <c r="D15" s="91"/>
      <c r="E15" s="91"/>
      <c r="F15" s="91"/>
      <c r="G15" s="91"/>
      <c r="H15" s="91"/>
      <c r="I15" s="91"/>
      <c r="J15" s="91"/>
      <c r="K15" s="91"/>
    </row>
    <row r="16" spans="1:11" ht="18" customHeight="1">
      <c r="A16" s="94" t="s">
        <v>256</v>
      </c>
      <c r="B16" s="92">
        <v>540.9</v>
      </c>
      <c r="C16" s="92">
        <v>536.4</v>
      </c>
      <c r="D16" s="92">
        <v>530.9</v>
      </c>
      <c r="E16" s="92">
        <v>415.5</v>
      </c>
      <c r="F16" s="92">
        <v>435.1</v>
      </c>
      <c r="G16" s="92">
        <v>440.9</v>
      </c>
      <c r="H16" s="92">
        <v>455.9</v>
      </c>
      <c r="I16" s="92">
        <v>460.9</v>
      </c>
      <c r="J16" s="92">
        <v>464.9</v>
      </c>
      <c r="K16" s="92">
        <v>465.2</v>
      </c>
    </row>
    <row r="17" spans="1:11" ht="18" customHeight="1">
      <c r="A17" s="93" t="s">
        <v>258</v>
      </c>
      <c r="B17" s="91"/>
      <c r="C17" s="91"/>
      <c r="D17" s="91"/>
      <c r="E17" s="91"/>
      <c r="F17" s="91"/>
      <c r="G17" s="91"/>
      <c r="H17" s="91"/>
      <c r="I17" s="91"/>
      <c r="J17" s="91"/>
      <c r="K17" s="91"/>
    </row>
    <row r="18" spans="1:11" ht="18" customHeight="1">
      <c r="A18" s="94" t="s">
        <v>253</v>
      </c>
      <c r="B18" s="92">
        <v>3.7850000000000001</v>
      </c>
      <c r="C18" s="92">
        <v>3.66</v>
      </c>
      <c r="D18" s="92">
        <v>3.6560000000000001</v>
      </c>
      <c r="E18" s="92">
        <v>2.306</v>
      </c>
      <c r="F18" s="92">
        <v>2.5539999999999998</v>
      </c>
      <c r="G18" s="92">
        <v>2.746</v>
      </c>
      <c r="H18" s="92">
        <v>2.9870000000000001</v>
      </c>
      <c r="I18" s="92">
        <v>3.1219999999999999</v>
      </c>
      <c r="J18" s="92">
        <v>3.2269999999999999</v>
      </c>
      <c r="K18" s="92">
        <v>3.2490000000000001</v>
      </c>
    </row>
    <row r="19" spans="1:11" ht="18" customHeight="1">
      <c r="A19" s="93" t="s">
        <v>259</v>
      </c>
      <c r="B19" s="91"/>
      <c r="C19" s="91"/>
      <c r="D19" s="91"/>
      <c r="E19" s="91"/>
      <c r="F19" s="91"/>
      <c r="G19" s="91"/>
      <c r="H19" s="91"/>
      <c r="I19" s="91"/>
      <c r="J19" s="91"/>
      <c r="K19" s="91"/>
    </row>
    <row r="20" spans="1:11" ht="18" customHeight="1">
      <c r="A20" s="94" t="s">
        <v>253</v>
      </c>
      <c r="B20" s="92">
        <v>1.8120000000000001</v>
      </c>
      <c r="C20" s="92">
        <v>1.9239999999999999</v>
      </c>
      <c r="D20" s="92">
        <v>1.9850000000000001</v>
      </c>
      <c r="E20" s="92">
        <v>1.984</v>
      </c>
      <c r="F20" s="92">
        <v>2.0910000000000002</v>
      </c>
      <c r="G20" s="92">
        <v>2.0649999999999999</v>
      </c>
      <c r="H20" s="92">
        <v>2.1509999999999998</v>
      </c>
      <c r="I20" s="92">
        <v>2.222</v>
      </c>
      <c r="J20" s="92">
        <v>2.331</v>
      </c>
      <c r="K20" s="92">
        <v>2.452</v>
      </c>
    </row>
    <row r="21" spans="1:11" ht="18" customHeight="1">
      <c r="A21" s="93" t="s">
        <v>260</v>
      </c>
      <c r="B21" s="91"/>
      <c r="C21" s="91"/>
      <c r="D21" s="91"/>
      <c r="E21" s="91"/>
      <c r="F21" s="91"/>
      <c r="G21" s="91"/>
      <c r="H21" s="91"/>
      <c r="I21" s="91"/>
      <c r="J21" s="91"/>
      <c r="K21" s="91"/>
    </row>
    <row r="22" spans="1:11" ht="18" customHeight="1">
      <c r="A22" s="94" t="s">
        <v>253</v>
      </c>
      <c r="B22" s="92">
        <v>0.06</v>
      </c>
      <c r="C22" s="92">
        <v>7.0000000000000007E-2</v>
      </c>
      <c r="D22" s="92">
        <v>7.0000000000000007E-2</v>
      </c>
      <c r="E22" s="92">
        <v>7.0000000000000007E-2</v>
      </c>
      <c r="F22" s="92">
        <v>0.08</v>
      </c>
      <c r="G22" s="92">
        <v>0.08</v>
      </c>
      <c r="H22" s="92">
        <v>0.08</v>
      </c>
      <c r="I22" s="92">
        <v>0.09</v>
      </c>
      <c r="J22" s="92">
        <v>0.09</v>
      </c>
      <c r="K22" s="92">
        <v>0.1</v>
      </c>
    </row>
    <row r="23" spans="1:11" ht="18" customHeight="1">
      <c r="A23" s="93" t="s">
        <v>261</v>
      </c>
      <c r="B23" s="91"/>
      <c r="C23" s="91"/>
      <c r="D23" s="91"/>
      <c r="E23" s="91"/>
      <c r="F23" s="91"/>
      <c r="G23" s="91"/>
      <c r="H23" s="91"/>
      <c r="I23" s="91"/>
      <c r="J23" s="91"/>
      <c r="K23" s="91"/>
    </row>
    <row r="24" spans="1:11" ht="18" customHeight="1">
      <c r="A24" s="94" t="s">
        <v>253</v>
      </c>
      <c r="B24" s="92">
        <v>5.6619999999999999</v>
      </c>
      <c r="C24" s="92">
        <v>5.6529999999999996</v>
      </c>
      <c r="D24" s="92">
        <v>5.7119999999999997</v>
      </c>
      <c r="E24" s="92">
        <v>4.3620000000000001</v>
      </c>
      <c r="F24" s="92">
        <v>4.7210000000000001</v>
      </c>
      <c r="G24" s="92">
        <v>4.891</v>
      </c>
      <c r="H24" s="92">
        <v>5.2229999999999999</v>
      </c>
      <c r="I24" s="92">
        <v>5.4329999999999998</v>
      </c>
      <c r="J24" s="92">
        <v>5.6509999999999998</v>
      </c>
      <c r="K24" s="92">
        <v>5.7990000000000004</v>
      </c>
    </row>
    <row r="25" spans="1:11" ht="18" customHeight="1">
      <c r="A25" s="93" t="s">
        <v>262</v>
      </c>
      <c r="B25" s="91"/>
      <c r="C25" s="91"/>
      <c r="D25" s="91"/>
      <c r="E25" s="91"/>
      <c r="F25" s="91"/>
      <c r="G25" s="91"/>
      <c r="H25" s="91"/>
      <c r="I25" s="91"/>
      <c r="J25" s="91"/>
      <c r="K25" s="91"/>
    </row>
    <row r="26" spans="1:11" ht="18" customHeight="1">
      <c r="A26" s="94" t="s">
        <v>253</v>
      </c>
      <c r="B26" s="92">
        <v>4.7839999999999998</v>
      </c>
      <c r="C26" s="92">
        <v>4.7210000000000001</v>
      </c>
      <c r="D26" s="92">
        <v>4.758</v>
      </c>
      <c r="E26" s="92">
        <v>3.4369999999999998</v>
      </c>
      <c r="F26" s="92">
        <v>3.7410000000000001</v>
      </c>
      <c r="G26" s="92">
        <v>3.9169999999999998</v>
      </c>
      <c r="H26" s="92">
        <v>4.2080000000000002</v>
      </c>
      <c r="I26" s="92">
        <v>4.3869999999999996</v>
      </c>
      <c r="J26" s="92">
        <v>4.5570000000000004</v>
      </c>
      <c r="K26" s="92">
        <v>4.6529999999999996</v>
      </c>
    </row>
    <row r="27" spans="1:11" ht="18" customHeight="1">
      <c r="A27" s="93" t="s">
        <v>263</v>
      </c>
      <c r="B27" s="91"/>
      <c r="C27" s="91"/>
      <c r="D27" s="91"/>
      <c r="E27" s="91"/>
      <c r="F27" s="91"/>
      <c r="G27" s="91"/>
      <c r="H27" s="91"/>
      <c r="I27" s="91"/>
      <c r="J27" s="91"/>
      <c r="K27" s="91"/>
    </row>
    <row r="28" spans="1:11" ht="18" customHeight="1">
      <c r="A28" s="94" t="s">
        <v>253</v>
      </c>
      <c r="B28" s="92">
        <v>0.878</v>
      </c>
      <c r="C28" s="92">
        <v>0.93200000000000005</v>
      </c>
      <c r="D28" s="92">
        <v>0.95399999999999996</v>
      </c>
      <c r="E28" s="92">
        <v>0.92600000000000005</v>
      </c>
      <c r="F28" s="92">
        <v>0.98099999999999998</v>
      </c>
      <c r="G28" s="92">
        <v>0.97499999999999998</v>
      </c>
      <c r="H28" s="92">
        <v>1.016</v>
      </c>
      <c r="I28" s="92">
        <v>1.0469999999999999</v>
      </c>
      <c r="J28" s="92">
        <v>1.095</v>
      </c>
      <c r="K28" s="92">
        <v>1.147</v>
      </c>
    </row>
    <row r="29" spans="1:11" ht="18" customHeight="1">
      <c r="A29" s="93" t="s">
        <v>264</v>
      </c>
      <c r="B29" s="91"/>
      <c r="C29" s="91"/>
      <c r="D29" s="91"/>
      <c r="E29" s="91"/>
      <c r="F29" s="91"/>
      <c r="G29" s="91"/>
      <c r="H29" s="91"/>
      <c r="I29" s="91"/>
      <c r="J29" s="91"/>
      <c r="K29" s="91"/>
    </row>
    <row r="30" spans="1:11" ht="18" customHeight="1">
      <c r="A30" s="94" t="s">
        <v>253</v>
      </c>
      <c r="B30" s="92">
        <v>1.169</v>
      </c>
      <c r="C30" s="92">
        <v>1.0660000000000001</v>
      </c>
      <c r="D30" s="92">
        <v>1.0209999999999999</v>
      </c>
      <c r="E30" s="92">
        <v>0.93300000000000005</v>
      </c>
      <c r="F30" s="92">
        <v>0.91400000000000003</v>
      </c>
      <c r="G30" s="92">
        <v>0.91200000000000003</v>
      </c>
      <c r="H30" s="92">
        <v>0.997</v>
      </c>
      <c r="I30" s="92">
        <v>1.0580000000000001</v>
      </c>
      <c r="J30" s="92">
        <v>1.0900000000000001</v>
      </c>
      <c r="K30" s="92">
        <v>1.125</v>
      </c>
    </row>
    <row r="32" spans="1:11">
      <c r="A32" s="88" t="s">
        <v>266</v>
      </c>
      <c r="B32" s="96">
        <f>B26/(B26+B28)</f>
        <v>0.84493111974567292</v>
      </c>
      <c r="C32" s="96">
        <f t="shared" ref="C32:K32" si="0">C26/(C26+C28)</f>
        <v>0.83513178843092162</v>
      </c>
      <c r="D32" s="96">
        <f t="shared" si="0"/>
        <v>0.83298319327731096</v>
      </c>
      <c r="E32" s="96">
        <f t="shared" si="0"/>
        <v>0.78776071510428614</v>
      </c>
      <c r="F32" s="96">
        <f t="shared" si="0"/>
        <v>0.79224904701397703</v>
      </c>
      <c r="G32" s="96">
        <f t="shared" si="0"/>
        <v>0.80069501226492235</v>
      </c>
      <c r="H32" s="96">
        <f t="shared" si="0"/>
        <v>0.80551301684532928</v>
      </c>
      <c r="I32" s="96">
        <f t="shared" si="0"/>
        <v>0.80732425469267577</v>
      </c>
      <c r="J32" s="96">
        <f t="shared" si="0"/>
        <v>0.80626326963906592</v>
      </c>
      <c r="K32" s="96">
        <f t="shared" si="0"/>
        <v>0.80224137931034478</v>
      </c>
    </row>
    <row r="33" spans="1:15">
      <c r="A33" s="88" t="s">
        <v>267</v>
      </c>
      <c r="B33" s="96">
        <f>B28/(B26+B28)</f>
        <v>0.15506888025432711</v>
      </c>
      <c r="C33" s="96">
        <f t="shared" ref="C33:K33" si="1">C28/(C26+C28)</f>
        <v>0.16486821156907835</v>
      </c>
      <c r="D33" s="96">
        <f t="shared" si="1"/>
        <v>0.16701680672268907</v>
      </c>
      <c r="E33" s="96">
        <f t="shared" si="1"/>
        <v>0.212239284895714</v>
      </c>
      <c r="F33" s="96">
        <f t="shared" si="1"/>
        <v>0.20775095298602286</v>
      </c>
      <c r="G33" s="96">
        <f t="shared" si="1"/>
        <v>0.19930498773507768</v>
      </c>
      <c r="H33" s="96">
        <f t="shared" si="1"/>
        <v>0.19448698315467075</v>
      </c>
      <c r="I33" s="96">
        <f t="shared" si="1"/>
        <v>0.19267574530732426</v>
      </c>
      <c r="J33" s="96">
        <f t="shared" si="1"/>
        <v>0.19373673036093417</v>
      </c>
      <c r="K33" s="96">
        <f t="shared" si="1"/>
        <v>0.19775862068965519</v>
      </c>
    </row>
    <row r="34" spans="1:15" ht="15">
      <c r="A34" s="95" t="s">
        <v>265</v>
      </c>
      <c r="B34" s="106"/>
      <c r="C34" s="106"/>
      <c r="D34" s="106"/>
      <c r="E34" s="106"/>
      <c r="F34" s="106"/>
    </row>
    <row r="35" spans="1:15" ht="15">
      <c r="A35" s="107" t="s">
        <v>276</v>
      </c>
      <c r="B35" s="106">
        <v>600.1</v>
      </c>
      <c r="C35" s="106">
        <v>549.6</v>
      </c>
      <c r="D35" s="106">
        <v>767.2</v>
      </c>
      <c r="E35" s="106">
        <v>629</v>
      </c>
      <c r="F35" s="106">
        <v>741.2</v>
      </c>
    </row>
    <row r="36" spans="1:15" ht="15">
      <c r="A36" s="107" t="s">
        <v>277</v>
      </c>
      <c r="B36" s="106">
        <f>B35*B38</f>
        <v>494.96248000000003</v>
      </c>
      <c r="C36" s="106">
        <f>C35*C38</f>
        <v>414.67320000000001</v>
      </c>
      <c r="D36" s="106">
        <f>D35*D38</f>
        <v>541.71992</v>
      </c>
      <c r="E36" s="106">
        <f>E35*E38</f>
        <v>449.23179999999996</v>
      </c>
      <c r="F36" s="106">
        <f>F35*F38</f>
        <v>476.36924000000005</v>
      </c>
    </row>
    <row r="37" spans="1:15" ht="15">
      <c r="A37"/>
      <c r="B37" s="8">
        <v>2008</v>
      </c>
      <c r="C37" s="8">
        <v>2009</v>
      </c>
      <c r="D37" s="8">
        <v>2010</v>
      </c>
      <c r="E37" s="8">
        <v>2011</v>
      </c>
      <c r="F37" s="8">
        <v>2012</v>
      </c>
    </row>
    <row r="38" spans="1:15" ht="15">
      <c r="A38" s="9" t="str">
        <f>"Exchange Rate  (TND to US$)"</f>
        <v>Exchange Rate  (TND to US$)</v>
      </c>
      <c r="B38" s="8">
        <v>0.82479999999999998</v>
      </c>
      <c r="C38" s="8">
        <v>0.75449999999999995</v>
      </c>
      <c r="D38" s="8">
        <v>0.70609999999999995</v>
      </c>
      <c r="E38" s="8">
        <v>0.71419999999999995</v>
      </c>
      <c r="F38" s="11">
        <v>0.64270000000000005</v>
      </c>
    </row>
    <row r="39" spans="1:15">
      <c r="A39" s="104" t="s">
        <v>272</v>
      </c>
    </row>
    <row r="40" spans="1:15" ht="15">
      <c r="A40" s="88" t="s">
        <v>274</v>
      </c>
      <c r="B40">
        <v>10186.01987</v>
      </c>
      <c r="C40">
        <v>10000.575949999999</v>
      </c>
      <c r="D40">
        <v>10294.7132</v>
      </c>
      <c r="E40">
        <v>10507.540849999999</v>
      </c>
      <c r="F40">
        <v>10915.741803898003</v>
      </c>
      <c r="G40">
        <v>11250.260249581785</v>
      </c>
      <c r="H40">
        <v>11598.159433092918</v>
      </c>
      <c r="I40">
        <v>11959.974583944495</v>
      </c>
      <c r="J40">
        <v>12450.339676013267</v>
      </c>
      <c r="K40">
        <v>12920.687367733983</v>
      </c>
      <c r="L40" s="70" t="s">
        <v>271</v>
      </c>
    </row>
    <row r="41" spans="1:15" ht="15">
      <c r="A41" s="88" t="s">
        <v>275</v>
      </c>
      <c r="B41">
        <f>B40*[1]Home!C5</f>
        <v>8401.4291887759991</v>
      </c>
      <c r="C41">
        <f>C40*[1]Home!D5</f>
        <v>7545.4345542749988</v>
      </c>
      <c r="D41">
        <f>D40*[1]Home!E5</f>
        <v>7269.09699052</v>
      </c>
      <c r="E41">
        <f>E40*[1]Home!F5</f>
        <v>7504.4856750699992</v>
      </c>
      <c r="F41">
        <f>F40*[1]Home!G5</f>
        <v>7015.5472573652469</v>
      </c>
      <c r="G41">
        <f>G40*[1]Home!H5</f>
        <v>7230.5422624062139</v>
      </c>
      <c r="H41">
        <f>H40*[1]Home!I5</f>
        <v>7454.1370676488195</v>
      </c>
      <c r="I41">
        <f>I40*[1]Home!J5</f>
        <v>7686.6756651011274</v>
      </c>
      <c r="J41">
        <f>J40*[1]Home!K5</f>
        <v>8001.8333097737277</v>
      </c>
      <c r="K41">
        <f>K40*[1]Home!L5</f>
        <v>8304.1257712426304</v>
      </c>
    </row>
    <row r="44" spans="1:15" customFormat="1" ht="15">
      <c r="C44" s="108">
        <v>2008</v>
      </c>
      <c r="D44" s="108">
        <v>2009</v>
      </c>
      <c r="E44" s="108">
        <v>2010</v>
      </c>
      <c r="F44" s="108">
        <v>2011</v>
      </c>
      <c r="G44" s="108">
        <v>2012</v>
      </c>
      <c r="H44" s="108">
        <v>2013</v>
      </c>
      <c r="I44" s="108">
        <v>2014</v>
      </c>
      <c r="J44" s="108">
        <v>2015</v>
      </c>
      <c r="K44" s="108">
        <v>2016</v>
      </c>
      <c r="L44" s="108">
        <v>2017</v>
      </c>
    </row>
    <row r="45" spans="1:15" customFormat="1" ht="15">
      <c r="A45" s="109" t="s">
        <v>207</v>
      </c>
      <c r="C45" s="85">
        <f t="shared" ref="C45:L45" si="2">(B18)*1000</f>
        <v>3785</v>
      </c>
      <c r="D45" s="85">
        <f t="shared" si="2"/>
        <v>3660</v>
      </c>
      <c r="E45" s="85">
        <f t="shared" si="2"/>
        <v>3656</v>
      </c>
      <c r="F45" s="85">
        <f t="shared" si="2"/>
        <v>2306</v>
      </c>
      <c r="G45" s="85">
        <f t="shared" si="2"/>
        <v>2554</v>
      </c>
      <c r="H45" s="85">
        <f t="shared" si="2"/>
        <v>2746</v>
      </c>
      <c r="I45" s="85">
        <f t="shared" si="2"/>
        <v>2987</v>
      </c>
      <c r="J45" s="85">
        <f t="shared" si="2"/>
        <v>3122</v>
      </c>
      <c r="K45" s="85">
        <f t="shared" si="2"/>
        <v>3227</v>
      </c>
      <c r="L45" s="85">
        <f t="shared" si="2"/>
        <v>3249</v>
      </c>
      <c r="N45" s="110">
        <f>(G45/C45)^(1/4)-1</f>
        <v>-9.3664998379168307E-2</v>
      </c>
      <c r="O45" s="111">
        <f>(L45/G45)^(1/5)-1</f>
        <v>4.9314716151225069E-2</v>
      </c>
    </row>
    <row r="46" spans="1:15" customFormat="1" ht="15">
      <c r="C46" s="85"/>
      <c r="D46" s="101">
        <f>D45/C45-1</f>
        <v>-3.3025099075297271E-2</v>
      </c>
      <c r="E46" s="101">
        <f t="shared" ref="E46:L46" si="3">E45/D45-1</f>
        <v>-1.0928961748634114E-3</v>
      </c>
      <c r="F46" s="101">
        <f t="shared" si="3"/>
        <v>-0.36925601750547044</v>
      </c>
      <c r="G46" s="101">
        <f t="shared" si="3"/>
        <v>0.10754553339115347</v>
      </c>
      <c r="H46" s="101">
        <f t="shared" si="3"/>
        <v>7.5176194205168301E-2</v>
      </c>
      <c r="I46" s="101">
        <f t="shared" si="3"/>
        <v>8.7764020393299447E-2</v>
      </c>
      <c r="J46" s="101">
        <f t="shared" si="3"/>
        <v>4.5195848677602957E-2</v>
      </c>
      <c r="K46" s="101">
        <f t="shared" si="3"/>
        <v>3.3632286995515681E-2</v>
      </c>
      <c r="L46" s="101">
        <f t="shared" si="3"/>
        <v>6.8174775333127435E-3</v>
      </c>
    </row>
    <row r="47" spans="1:15" customFormat="1" ht="15">
      <c r="A47" s="116" t="s">
        <v>279</v>
      </c>
      <c r="C47" s="85">
        <f>C70/C60*C45</f>
        <v>950.48163318930176</v>
      </c>
      <c r="D47" s="85">
        <f t="shared" ref="D47:L47" si="4">D70/D60*D45</f>
        <v>913.84693747093979</v>
      </c>
      <c r="E47" s="85">
        <f t="shared" si="4"/>
        <v>918.44771392060829</v>
      </c>
      <c r="F47" s="85">
        <f t="shared" si="4"/>
        <v>575.71593600421056</v>
      </c>
      <c r="G47" s="85">
        <f t="shared" si="4"/>
        <v>641.08595309701286</v>
      </c>
      <c r="H47" s="85">
        <f t="shared" si="4"/>
        <v>692.94325898390969</v>
      </c>
      <c r="I47" s="85">
        <f t="shared" si="4"/>
        <v>755.01996248316743</v>
      </c>
      <c r="J47" s="85">
        <f t="shared" si="4"/>
        <v>784.24536762747903</v>
      </c>
      <c r="K47" s="85">
        <f t="shared" si="4"/>
        <v>812.08353499007251</v>
      </c>
      <c r="L47" s="85">
        <f t="shared" si="4"/>
        <v>821.06081258516031</v>
      </c>
      <c r="N47" s="110">
        <f>(G47/C47)^(1/4)-1</f>
        <v>-9.3760196851912836E-2</v>
      </c>
      <c r="O47" s="111">
        <f>(L47/G47)^(1/5)-1</f>
        <v>5.0731646379265971E-2</v>
      </c>
    </row>
    <row r="48" spans="1:15" customFormat="1" ht="15">
      <c r="C48" s="85"/>
      <c r="D48" s="101">
        <f>D47/C47-1</f>
        <v>-3.8543296828825402E-2</v>
      </c>
      <c r="E48" s="101">
        <f t="shared" ref="E48:L48" si="5">E47/D47-1</f>
        <v>5.0345153668742704E-3</v>
      </c>
      <c r="F48" s="101">
        <f t="shared" si="5"/>
        <v>-0.37316416897960059</v>
      </c>
      <c r="G48" s="101">
        <f t="shared" si="5"/>
        <v>0.11354560991746498</v>
      </c>
      <c r="H48" s="101">
        <f t="shared" si="5"/>
        <v>8.0889786519857676E-2</v>
      </c>
      <c r="I48" s="101">
        <f t="shared" si="5"/>
        <v>8.9584107637158183E-2</v>
      </c>
      <c r="J48" s="101">
        <f t="shared" si="5"/>
        <v>3.8708122429230718E-2</v>
      </c>
      <c r="K48" s="101">
        <f t="shared" si="5"/>
        <v>3.5496757152433389E-2</v>
      </c>
      <c r="L48" s="101">
        <f t="shared" si="5"/>
        <v>1.1054623334036062E-2</v>
      </c>
    </row>
    <row r="49" spans="1:16" customFormat="1" ht="15">
      <c r="A49" s="116" t="s">
        <v>280</v>
      </c>
      <c r="C49" s="85">
        <f>C72/C60*C45</f>
        <v>178.37461467860257</v>
      </c>
      <c r="D49" s="85">
        <f t="shared" ref="D49:L49" si="6">D72/D60*D45</f>
        <v>171.31533575212765</v>
      </c>
      <c r="E49" s="85">
        <f t="shared" si="6"/>
        <v>170.46878802547184</v>
      </c>
      <c r="F49" s="85">
        <f t="shared" si="6"/>
        <v>107.93802301759739</v>
      </c>
      <c r="G49" s="85">
        <f t="shared" si="6"/>
        <v>119.79913766812909</v>
      </c>
      <c r="H49" s="85">
        <f t="shared" si="6"/>
        <v>128.38948492384725</v>
      </c>
      <c r="I49" s="85">
        <f t="shared" si="6"/>
        <v>138.51273428887538</v>
      </c>
      <c r="J49" s="85">
        <f t="shared" si="6"/>
        <v>144.99765020057416</v>
      </c>
      <c r="K49" s="85">
        <f t="shared" si="6"/>
        <v>149.18680405820086</v>
      </c>
      <c r="L49" s="85">
        <f t="shared" si="6"/>
        <v>148.79728500169793</v>
      </c>
      <c r="N49" s="110">
        <f>(G49/C49)^(1/4)-1</f>
        <v>-9.4725763126129237E-2</v>
      </c>
      <c r="O49" s="111">
        <f>(L49/G49)^(1/5)-1</f>
        <v>4.4307177749132176E-2</v>
      </c>
    </row>
    <row r="50" spans="1:16" customFormat="1" ht="15">
      <c r="C50" s="85"/>
      <c r="D50" s="101">
        <f>D49/C49-1</f>
        <v>-3.9575580523015574E-2</v>
      </c>
      <c r="E50" s="101">
        <f t="shared" ref="E50:L50" si="7">E49/D49-1</f>
        <v>-4.9414591107048711E-3</v>
      </c>
      <c r="F50" s="101">
        <f t="shared" si="7"/>
        <v>-0.36681650484035211</v>
      </c>
      <c r="G50" s="101">
        <f t="shared" si="7"/>
        <v>0.1098881961975342</v>
      </c>
      <c r="H50" s="101">
        <f t="shared" si="7"/>
        <v>7.170625284061205E-2</v>
      </c>
      <c r="I50" s="101">
        <f t="shared" si="7"/>
        <v>7.8847963063584325E-2</v>
      </c>
      <c r="J50" s="101">
        <f t="shared" si="7"/>
        <v>4.6818192890295318E-2</v>
      </c>
      <c r="K50" s="101">
        <f t="shared" si="7"/>
        <v>2.8891184455968055E-2</v>
      </c>
      <c r="L50" s="101">
        <f t="shared" si="7"/>
        <v>-2.6109484613060507E-3</v>
      </c>
    </row>
    <row r="51" spans="1:16" customFormat="1" ht="15">
      <c r="A51" t="s">
        <v>208</v>
      </c>
      <c r="C51" s="85">
        <f>B36</f>
        <v>494.96248000000003</v>
      </c>
      <c r="D51" s="85">
        <f>C36</f>
        <v>414.67320000000001</v>
      </c>
      <c r="E51" s="85">
        <f>D36</f>
        <v>541.71992</v>
      </c>
      <c r="F51" s="85">
        <f>E36</f>
        <v>449.23179999999996</v>
      </c>
      <c r="G51" s="85">
        <f>F36</f>
        <v>476.36924000000005</v>
      </c>
      <c r="H51" s="85">
        <v>483.56888719762526</v>
      </c>
      <c r="I51" s="85">
        <v>516.40177131274118</v>
      </c>
      <c r="J51" s="85">
        <v>555.65631350815443</v>
      </c>
      <c r="K51" s="85">
        <v>601.58644099183402</v>
      </c>
      <c r="L51" s="85">
        <v>621.53518011514188</v>
      </c>
      <c r="N51" s="110">
        <f>(G51/C51)^(1/4)-1</f>
        <v>-9.5265060532284673E-3</v>
      </c>
      <c r="O51" s="111">
        <f>(L51/G51)^(1/5)-1</f>
        <v>5.4640393249544283E-2</v>
      </c>
    </row>
    <row r="52" spans="1:16" customFormat="1" ht="15">
      <c r="C52" s="85"/>
      <c r="D52" s="101">
        <f>D51/C51-1</f>
        <v>-0.16221286106373156</v>
      </c>
      <c r="E52" s="101">
        <f t="shared" ref="E52:L52" si="8">E51/D51-1</f>
        <v>0.30637793809679525</v>
      </c>
      <c r="F52" s="101">
        <f t="shared" si="8"/>
        <v>-0.17073051328812139</v>
      </c>
      <c r="G52" s="101">
        <f t="shared" si="8"/>
        <v>6.0408546322856305E-2</v>
      </c>
      <c r="H52" s="101">
        <f t="shared" si="8"/>
        <v>1.5113585414594066E-2</v>
      </c>
      <c r="I52" s="101">
        <f t="shared" si="8"/>
        <v>6.7897015263717275E-2</v>
      </c>
      <c r="J52" s="101">
        <f t="shared" si="8"/>
        <v>7.6015506483691153E-2</v>
      </c>
      <c r="K52" s="101">
        <f t="shared" si="8"/>
        <v>8.265923803456543E-2</v>
      </c>
      <c r="L52" s="101">
        <f t="shared" si="8"/>
        <v>3.3160220649950833E-2</v>
      </c>
    </row>
    <row r="53" spans="1:16" customFormat="1" ht="15">
      <c r="A53" t="s">
        <v>209</v>
      </c>
      <c r="C53" s="85">
        <f t="shared" ref="C53:L53" si="9">(B20)*1000</f>
        <v>1812</v>
      </c>
      <c r="D53" s="85">
        <f t="shared" si="9"/>
        <v>1924</v>
      </c>
      <c r="E53" s="85">
        <f t="shared" si="9"/>
        <v>1985</v>
      </c>
      <c r="F53" s="85">
        <f t="shared" si="9"/>
        <v>1984</v>
      </c>
      <c r="G53" s="85">
        <f t="shared" si="9"/>
        <v>2091</v>
      </c>
      <c r="H53" s="85">
        <f t="shared" si="9"/>
        <v>2065</v>
      </c>
      <c r="I53" s="85">
        <f t="shared" si="9"/>
        <v>2151</v>
      </c>
      <c r="J53" s="85">
        <f t="shared" si="9"/>
        <v>2222</v>
      </c>
      <c r="K53" s="85">
        <f t="shared" si="9"/>
        <v>2331</v>
      </c>
      <c r="L53" s="85">
        <f t="shared" si="9"/>
        <v>2452</v>
      </c>
      <c r="N53" s="110">
        <f>(G53/C53)^(1/4)-1</f>
        <v>3.6451441436630372E-2</v>
      </c>
      <c r="O53" s="111">
        <f>(L53/G53)^(1/5)-1</f>
        <v>3.236503388880152E-2</v>
      </c>
    </row>
    <row r="54" spans="1:16" customFormat="1" ht="15">
      <c r="D54" s="101">
        <f>D53/C53-1</f>
        <v>6.1810154525386407E-2</v>
      </c>
      <c r="E54" s="101">
        <f t="shared" ref="E54:L54" si="10">E53/D53-1</f>
        <v>3.1704781704781748E-2</v>
      </c>
      <c r="F54" s="101">
        <f t="shared" si="10"/>
        <v>-5.0377833753145751E-4</v>
      </c>
      <c r="G54" s="101">
        <f t="shared" si="10"/>
        <v>5.3931451612903247E-2</v>
      </c>
      <c r="H54" s="101">
        <f t="shared" si="10"/>
        <v>-1.2434241989478734E-2</v>
      </c>
      <c r="I54" s="101">
        <f t="shared" si="10"/>
        <v>4.1646489104116169E-2</v>
      </c>
      <c r="J54" s="101">
        <f t="shared" si="10"/>
        <v>3.3007903300790398E-2</v>
      </c>
      <c r="K54" s="101">
        <f t="shared" si="10"/>
        <v>4.9054905490549139E-2</v>
      </c>
      <c r="L54" s="101">
        <f t="shared" si="10"/>
        <v>5.1909051909051929E-2</v>
      </c>
    </row>
    <row r="55" spans="1:16" customFormat="1" ht="15">
      <c r="A55" s="116" t="s">
        <v>281</v>
      </c>
      <c r="C55">
        <f>C66/C64*C53</f>
        <v>317.99711886806239</v>
      </c>
      <c r="D55">
        <f t="shared" ref="D55:L55" si="11">D66/D64*D53</f>
        <v>336.75137423792933</v>
      </c>
      <c r="E55">
        <f t="shared" si="11"/>
        <v>349.20059489920828</v>
      </c>
      <c r="F55">
        <f t="shared" si="11"/>
        <v>350.79637406294881</v>
      </c>
      <c r="G55">
        <f t="shared" si="11"/>
        <v>368.59103869575995</v>
      </c>
      <c r="H55">
        <f t="shared" si="11"/>
        <v>365.95016932755937</v>
      </c>
      <c r="I55">
        <f t="shared" si="11"/>
        <v>385.66640064691774</v>
      </c>
      <c r="J55">
        <f t="shared" si="11"/>
        <v>398.46436191066095</v>
      </c>
      <c r="K55">
        <f t="shared" si="11"/>
        <v>419.9760456559971</v>
      </c>
      <c r="L55">
        <f t="shared" si="11"/>
        <v>445.69012203716221</v>
      </c>
      <c r="N55" s="110">
        <f>(G55/C55)^(1/4)-1</f>
        <v>3.7601036187427495E-2</v>
      </c>
      <c r="O55" s="111">
        <f>(L55/G55)^(1/5)-1</f>
        <v>3.8717975364601864E-2</v>
      </c>
    </row>
    <row r="56" spans="1:16" customFormat="1" ht="15">
      <c r="D56" s="101">
        <f>D55/C55-1</f>
        <v>5.8976180151016244E-2</v>
      </c>
      <c r="E56" s="101">
        <f t="shared" ref="E56:L56" si="12">E55/D55-1</f>
        <v>3.6968581611438456E-2</v>
      </c>
      <c r="F56" s="101">
        <f t="shared" si="12"/>
        <v>4.5698065440040736E-3</v>
      </c>
      <c r="G56" s="101">
        <f t="shared" si="12"/>
        <v>5.0726478232121064E-2</v>
      </c>
      <c r="H56" s="101">
        <f t="shared" si="12"/>
        <v>-7.1647682416402514E-3</v>
      </c>
      <c r="I56" s="101">
        <f t="shared" si="12"/>
        <v>5.3876819774635765E-2</v>
      </c>
      <c r="J56" s="101">
        <f t="shared" si="12"/>
        <v>3.318401925154979E-2</v>
      </c>
      <c r="K56" s="101">
        <f t="shared" si="12"/>
        <v>5.3986468556902478E-2</v>
      </c>
      <c r="L56" s="101">
        <f t="shared" si="12"/>
        <v>6.1227483441347319E-2</v>
      </c>
    </row>
    <row r="57" spans="1:16" customFormat="1" ht="15">
      <c r="A57" s="116" t="s">
        <v>282</v>
      </c>
      <c r="C57">
        <f>C68/C64*C53</f>
        <v>289.3686281732983</v>
      </c>
      <c r="D57">
        <f t="shared" ref="D57:L57" si="13">D68/D64*D53</f>
        <v>308.76811699645191</v>
      </c>
      <c r="E57">
        <f t="shared" si="13"/>
        <v>319.49447669246558</v>
      </c>
      <c r="F57">
        <f t="shared" si="13"/>
        <v>317.34230848216902</v>
      </c>
      <c r="G57">
        <f t="shared" si="13"/>
        <v>335.33184536975409</v>
      </c>
      <c r="H57">
        <f t="shared" si="13"/>
        <v>332.71085990901048</v>
      </c>
      <c r="I57">
        <f t="shared" si="13"/>
        <v>345.02043559875165</v>
      </c>
      <c r="J57">
        <f t="shared" si="13"/>
        <v>355.57486446473968</v>
      </c>
      <c r="K57">
        <f t="shared" si="13"/>
        <v>373.55238444220811</v>
      </c>
      <c r="L57">
        <f t="shared" si="13"/>
        <v>392.307158456671</v>
      </c>
      <c r="N57" s="110">
        <f>(G57/C57)^(1/4)-1</f>
        <v>3.754236377884812E-2</v>
      </c>
      <c r="O57" s="111">
        <f>(L57/G57)^(1/5)-1</f>
        <v>3.1882594066059422E-2</v>
      </c>
    </row>
    <row r="58" spans="1:16" customFormat="1" ht="15">
      <c r="D58" s="101">
        <f>D57/C57-1</f>
        <v>6.7040746419599895E-2</v>
      </c>
      <c r="E58" s="101">
        <f t="shared" ref="E58:L58" si="14">E57/D57-1</f>
        <v>3.4739207533324823E-2</v>
      </c>
      <c r="F58" s="101">
        <f t="shared" si="14"/>
        <v>-6.7361671869156092E-3</v>
      </c>
      <c r="G58" s="101">
        <f t="shared" si="14"/>
        <v>5.6688113770987814E-2</v>
      </c>
      <c r="H58" s="101">
        <f t="shared" si="14"/>
        <v>-7.8160947041984175E-3</v>
      </c>
      <c r="I58" s="101">
        <f t="shared" si="14"/>
        <v>3.6997817543760414E-2</v>
      </c>
      <c r="J58" s="101">
        <f t="shared" si="14"/>
        <v>3.059073543766111E-2</v>
      </c>
      <c r="K58" s="101">
        <f t="shared" si="14"/>
        <v>5.0559029262461141E-2</v>
      </c>
      <c r="L58" s="101">
        <f t="shared" si="14"/>
        <v>5.0206543434243356E-2</v>
      </c>
    </row>
    <row r="59" spans="1:16" customFormat="1" ht="15">
      <c r="A59" s="112" t="s">
        <v>283</v>
      </c>
      <c r="C59" s="108">
        <v>2008</v>
      </c>
      <c r="D59" s="108">
        <v>2009</v>
      </c>
      <c r="E59" s="108">
        <v>2010</v>
      </c>
      <c r="F59" s="108">
        <v>2011</v>
      </c>
      <c r="G59" s="108">
        <v>2012</v>
      </c>
      <c r="H59" s="108">
        <v>2013</v>
      </c>
      <c r="I59" s="108">
        <v>2014</v>
      </c>
      <c r="J59" s="108">
        <v>2015</v>
      </c>
      <c r="K59" s="108">
        <v>2016</v>
      </c>
      <c r="L59" s="108">
        <v>2017</v>
      </c>
    </row>
    <row r="60" spans="1:16" customFormat="1" ht="15">
      <c r="A60" t="s">
        <v>207</v>
      </c>
      <c r="C60" s="85">
        <v>12104</v>
      </c>
      <c r="D60" s="85">
        <v>11757</v>
      </c>
      <c r="E60" s="85">
        <v>13633</v>
      </c>
      <c r="F60" s="85">
        <v>10440</v>
      </c>
      <c r="G60" s="85">
        <v>11102.191823809924</v>
      </c>
      <c r="H60">
        <v>11990.607592277995</v>
      </c>
      <c r="I60">
        <v>13138.428604839548</v>
      </c>
      <c r="J60">
        <v>14436.402588274941</v>
      </c>
      <c r="K60">
        <v>15774.928378936613</v>
      </c>
      <c r="L60">
        <v>17097.284640208822</v>
      </c>
      <c r="N60" s="110">
        <f>(G60/C60)^(1/4)-1</f>
        <v>-2.1366782216504121E-2</v>
      </c>
      <c r="O60" s="111">
        <f>(L60/G60)^(1/5)-1</f>
        <v>9.0193737747706226E-2</v>
      </c>
    </row>
    <row r="61" spans="1:16" customFormat="1" ht="15">
      <c r="C61" s="85"/>
      <c r="D61" s="113">
        <f>D60/C60-1</f>
        <v>-2.8668208856576394E-2</v>
      </c>
      <c r="E61" s="113">
        <f t="shared" ref="E61:L61" si="15">E60/D60-1</f>
        <v>0.15956451475716604</v>
      </c>
      <c r="F61" s="113">
        <f t="shared" si="15"/>
        <v>-0.2342111054060001</v>
      </c>
      <c r="G61" s="113">
        <f t="shared" si="15"/>
        <v>6.3428335613977316E-2</v>
      </c>
      <c r="H61" s="101">
        <f t="shared" si="15"/>
        <v>8.0021655414272308E-2</v>
      </c>
      <c r="I61" s="101">
        <f t="shared" si="15"/>
        <v>9.5726676377997366E-2</v>
      </c>
      <c r="J61" s="101">
        <f t="shared" si="15"/>
        <v>9.87921784616832E-2</v>
      </c>
      <c r="K61" s="101">
        <f t="shared" si="15"/>
        <v>9.271879074284084E-2</v>
      </c>
      <c r="L61" s="101">
        <f t="shared" si="15"/>
        <v>8.3826451030857063E-2</v>
      </c>
      <c r="M61" s="101"/>
    </row>
    <row r="62" spans="1:16" customFormat="1" ht="15">
      <c r="A62" t="s">
        <v>208</v>
      </c>
      <c r="C62" s="85">
        <v>5559.0256480736716</v>
      </c>
      <c r="D62" s="85">
        <v>4900.5213191922094</v>
      </c>
      <c r="E62" s="85">
        <v>4516.3264353720315</v>
      </c>
      <c r="F62" s="85">
        <v>4069.4131175547859</v>
      </c>
      <c r="G62" s="85">
        <v>4132.0112980858494</v>
      </c>
      <c r="H62" s="114">
        <v>4322.3090645704833</v>
      </c>
      <c r="I62" s="114">
        <v>4494.2142833272592</v>
      </c>
      <c r="J62" s="114">
        <v>4682.1999517462264</v>
      </c>
      <c r="K62" s="114">
        <v>4874.4658042044812</v>
      </c>
      <c r="L62" s="114">
        <v>5036.042622740104</v>
      </c>
      <c r="N62" s="110">
        <f>(G62/C62)^(1/4)-1</f>
        <v>-7.1481191057867988E-2</v>
      </c>
      <c r="O62" s="111">
        <f>(L62/G62)^(1/5)-1</f>
        <v>4.036463142309521E-2</v>
      </c>
      <c r="P62" s="101">
        <f>(L62/G62)^(1/5)-1</f>
        <v>4.036463142309521E-2</v>
      </c>
    </row>
    <row r="63" spans="1:16" customFormat="1" ht="15">
      <c r="C63" s="85"/>
      <c r="D63" s="113">
        <f>D62/C62-1</f>
        <v>-0.11845678911548985</v>
      </c>
      <c r="E63" s="113">
        <f t="shared" ref="E63:L63" si="16">E62/D62-1</f>
        <v>-7.8398778169892269E-2</v>
      </c>
      <c r="F63" s="113">
        <f t="shared" si="16"/>
        <v>-9.8955052123115839E-2</v>
      </c>
      <c r="G63" s="113">
        <f t="shared" si="16"/>
        <v>1.5382606465051518E-2</v>
      </c>
      <c r="H63" s="115">
        <f t="shared" si="16"/>
        <v>4.60545126226517E-2</v>
      </c>
      <c r="I63" s="115">
        <f t="shared" si="16"/>
        <v>3.9771616556961487E-2</v>
      </c>
      <c r="J63" s="115">
        <f t="shared" si="16"/>
        <v>4.1828372340046327E-2</v>
      </c>
      <c r="K63" s="115">
        <f t="shared" si="16"/>
        <v>4.1063144342340374E-2</v>
      </c>
      <c r="L63" s="115">
        <f t="shared" si="16"/>
        <v>3.3147595044415779E-2</v>
      </c>
      <c r="M63" s="101"/>
    </row>
    <row r="64" spans="1:16" customFormat="1" ht="15">
      <c r="A64" t="s">
        <v>209</v>
      </c>
      <c r="C64" s="85">
        <v>6217.9543519263279</v>
      </c>
      <c r="D64" s="85">
        <v>8077.3336808077911</v>
      </c>
      <c r="E64" s="85">
        <v>9294.9587646279706</v>
      </c>
      <c r="F64" s="85">
        <v>10043.874982445215</v>
      </c>
      <c r="G64" s="85">
        <v>10721.735099533058</v>
      </c>
      <c r="H64">
        <v>11705.56050281171</v>
      </c>
      <c r="I64">
        <v>12839.751207255094</v>
      </c>
      <c r="J64">
        <v>14244.944094781971</v>
      </c>
      <c r="K64">
        <v>15598.044172901195</v>
      </c>
      <c r="L64">
        <v>17013.291744579768</v>
      </c>
      <c r="N64" s="110">
        <f>(G64/C64)^(1/4)-1</f>
        <v>0.1459202283826988</v>
      </c>
      <c r="O64" s="111">
        <f>(L64/G64)^(1/5)-1</f>
        <v>9.6742454763107499E-2</v>
      </c>
    </row>
    <row r="65" spans="1:15" customFormat="1" ht="15">
      <c r="D65" s="113">
        <f>D64/C64-1</f>
        <v>0.29903393039632498</v>
      </c>
      <c r="E65" s="113">
        <f t="shared" ref="E65:L65" si="17">E64/D64-1</f>
        <v>0.15074591838558393</v>
      </c>
      <c r="F65" s="113">
        <f t="shared" si="17"/>
        <v>8.0572301263696966E-2</v>
      </c>
      <c r="G65" s="113">
        <f t="shared" si="17"/>
        <v>6.7489899891487459E-2</v>
      </c>
      <c r="H65" s="101">
        <f t="shared" si="17"/>
        <v>9.1759905849706946E-2</v>
      </c>
      <c r="I65" s="101">
        <f t="shared" si="17"/>
        <v>9.6893327249980787E-2</v>
      </c>
      <c r="J65" s="101">
        <f t="shared" si="17"/>
        <v>0.10944081897263502</v>
      </c>
      <c r="K65" s="101">
        <f t="shared" si="17"/>
        <v>9.4988093257233119E-2</v>
      </c>
      <c r="L65" s="101">
        <f t="shared" si="17"/>
        <v>9.0732373622669504E-2</v>
      </c>
      <c r="M65" s="101"/>
    </row>
    <row r="66" spans="1:15" customFormat="1" ht="15">
      <c r="A66" t="s">
        <v>284</v>
      </c>
      <c r="C66">
        <v>1091.2205127846039</v>
      </c>
      <c r="D66">
        <v>1413.7490733837503</v>
      </c>
      <c r="E66">
        <v>1635.1663124290667</v>
      </c>
      <c r="F66">
        <v>1775.8845390037025</v>
      </c>
      <c r="G66">
        <v>1889.9739248960673</v>
      </c>
      <c r="H66">
        <v>2074.4076746140126</v>
      </c>
      <c r="I66">
        <v>2302.1202386350483</v>
      </c>
      <c r="J66">
        <v>2554.5016017913304</v>
      </c>
      <c r="K66">
        <v>2810.2981174185379</v>
      </c>
      <c r="L66">
        <v>3092.4372242641116</v>
      </c>
      <c r="N66" s="110">
        <f>(G66/C66)^(1/4)-1</f>
        <v>0.14719124198421873</v>
      </c>
      <c r="O66" s="111">
        <f>(L66/G66)^(1/5)-1</f>
        <v>0.10349156036085283</v>
      </c>
    </row>
    <row r="67" spans="1:15" customFormat="1" ht="15">
      <c r="D67" s="113">
        <f>D66/C66-1</f>
        <v>0.29556680507783883</v>
      </c>
      <c r="E67" s="113">
        <f t="shared" ref="E67:L67" si="18">E66/D66-1</f>
        <v>0.15661707103040801</v>
      </c>
      <c r="F67" s="113">
        <f t="shared" si="18"/>
        <v>8.6057439848792106E-2</v>
      </c>
      <c r="G67" s="113">
        <f t="shared" si="18"/>
        <v>6.4243695683262603E-2</v>
      </c>
      <c r="H67" s="101">
        <f t="shared" si="18"/>
        <v>9.7585340881402693E-2</v>
      </c>
      <c r="I67" s="101">
        <f t="shared" si="18"/>
        <v>0.10977233010064258</v>
      </c>
      <c r="J67" s="101">
        <f t="shared" si="18"/>
        <v>0.10962996585526819</v>
      </c>
      <c r="K67" s="101">
        <f t="shared" si="18"/>
        <v>0.10013558631078245</v>
      </c>
      <c r="L67" s="101">
        <f t="shared" si="18"/>
        <v>0.10039472506380887</v>
      </c>
      <c r="M67" s="101"/>
    </row>
    <row r="68" spans="1:15" customFormat="1" ht="15">
      <c r="A68" t="s">
        <v>285</v>
      </c>
      <c r="C68">
        <v>992.98064065182746</v>
      </c>
      <c r="D68">
        <v>1296.2698081990861</v>
      </c>
      <c r="E68">
        <v>1496.0644767671838</v>
      </c>
      <c r="F68">
        <v>1606.5254400380388</v>
      </c>
      <c r="G68">
        <v>1719.4353020048229</v>
      </c>
      <c r="H68">
        <v>1885.9889107057786</v>
      </c>
      <c r="I68">
        <v>2059.4963061398189</v>
      </c>
      <c r="J68">
        <v>2279.5427838928413</v>
      </c>
      <c r="K68">
        <v>2499.6510482291428</v>
      </c>
      <c r="L68">
        <v>2722.0375776143674</v>
      </c>
      <c r="N68" s="110">
        <f>(G68/C68)^(1/4)-1</f>
        <v>0.1471263726645855</v>
      </c>
      <c r="O68" s="111">
        <f>(L68/G68)^(1/5)-1</f>
        <v>9.6229930396143581E-2</v>
      </c>
    </row>
    <row r="69" spans="1:15" customFormat="1" ht="15">
      <c r="D69" s="113">
        <f>D68/C68-1</f>
        <v>0.3054331123194598</v>
      </c>
      <c r="E69" s="113">
        <f t="shared" ref="E69:L69" si="19">E68/D68-1</f>
        <v>0.15413046520436469</v>
      </c>
      <c r="F69" s="113">
        <f t="shared" si="19"/>
        <v>7.3834360073536276E-2</v>
      </c>
      <c r="G69" s="113">
        <f t="shared" si="19"/>
        <v>7.0282025514709856E-2</v>
      </c>
      <c r="H69" s="101">
        <f t="shared" si="19"/>
        <v>9.686529554601897E-2</v>
      </c>
      <c r="I69" s="101">
        <f t="shared" si="19"/>
        <v>9.1998099484641216E-2</v>
      </c>
      <c r="J69" s="101">
        <f t="shared" si="19"/>
        <v>0.10684480331283663</v>
      </c>
      <c r="K69" s="101">
        <f t="shared" si="19"/>
        <v>9.6558075545490007E-2</v>
      </c>
      <c r="L69" s="101">
        <f t="shared" si="19"/>
        <v>8.8967029835133271E-2</v>
      </c>
      <c r="M69" s="101"/>
    </row>
    <row r="70" spans="1:15" customFormat="1" ht="15">
      <c r="A70" t="s">
        <v>286</v>
      </c>
      <c r="C70">
        <v>3039.5322821990244</v>
      </c>
      <c r="D70">
        <v>2935.5460229086993</v>
      </c>
      <c r="E70">
        <v>3424.8352527023117</v>
      </c>
      <c r="F70">
        <v>2606.4502913633819</v>
      </c>
      <c r="G70">
        <v>2786.7890473112957</v>
      </c>
      <c r="H70">
        <v>3025.7868544028861</v>
      </c>
      <c r="I70">
        <v>3320.982883265393</v>
      </c>
      <c r="J70">
        <v>3626.4195563933285</v>
      </c>
      <c r="K70">
        <v>3969.8046489563244</v>
      </c>
      <c r="L70">
        <v>4320.6864942104139</v>
      </c>
      <c r="N70" s="110">
        <f>(G70/C70)^(1/4)-1</f>
        <v>-2.146957465808863E-2</v>
      </c>
      <c r="O70" s="111">
        <f>(L70/G70)^(1/5)-1</f>
        <v>9.1665868499003933E-2</v>
      </c>
    </row>
    <row r="71" spans="1:15" customFormat="1" ht="15">
      <c r="D71" s="113">
        <f>D70/C70-1</f>
        <v>-3.421126990468859E-2</v>
      </c>
      <c r="E71" s="113">
        <f t="shared" ref="E71:K71" si="20">E70/D70-1</f>
        <v>0.1666774174123824</v>
      </c>
      <c r="F71" s="113">
        <f t="shared" si="20"/>
        <v>-0.23895600837827047</v>
      </c>
      <c r="G71" s="113">
        <f t="shared" si="20"/>
        <v>6.9189409268796132E-2</v>
      </c>
      <c r="H71" s="101">
        <f t="shared" si="20"/>
        <v>8.5760996987617855E-2</v>
      </c>
      <c r="I71" s="101">
        <f t="shared" si="20"/>
        <v>9.756008703420771E-2</v>
      </c>
      <c r="J71" s="101">
        <f t="shared" si="20"/>
        <v>9.1971769763417699E-2</v>
      </c>
      <c r="K71" s="101">
        <f t="shared" si="20"/>
        <v>9.4689841377457951E-2</v>
      </c>
      <c r="L71" s="101">
        <f>L70/K70-1</f>
        <v>8.8387685612272504E-2</v>
      </c>
      <c r="M71" s="101"/>
    </row>
    <row r="72" spans="1:15" customFormat="1" ht="15">
      <c r="A72" t="s">
        <v>287</v>
      </c>
      <c r="C72">
        <v>570.42175325490234</v>
      </c>
      <c r="D72">
        <v>550.31541050212149</v>
      </c>
      <c r="E72">
        <v>635.66766606981878</v>
      </c>
      <c r="F72">
        <v>488.66997411262651</v>
      </c>
      <c r="G72">
        <v>520.76468548104242</v>
      </c>
      <c r="H72">
        <v>560.6219711203729</v>
      </c>
      <c r="I72">
        <v>609.25332116354195</v>
      </c>
      <c r="J72">
        <v>670.48188745975438</v>
      </c>
      <c r="K72">
        <v>729.28761980184959</v>
      </c>
      <c r="L72">
        <v>783.01924757288532</v>
      </c>
      <c r="N72" s="110">
        <f>(G72/C72)^(1/4)-1</f>
        <v>-2.2512164018788305E-2</v>
      </c>
      <c r="O72" s="111">
        <f>(L72/G72)^(1/5)-1</f>
        <v>8.4991116528863042E-2</v>
      </c>
    </row>
    <row r="73" spans="1:15" customFormat="1" ht="15">
      <c r="D73" s="113">
        <f>D72/C72-1</f>
        <v>-3.524820475034729E-2</v>
      </c>
      <c r="E73" s="113">
        <f t="shared" ref="E73:L73" si="21">E72/D72-1</f>
        <v>0.15509697518704724</v>
      </c>
      <c r="F73" s="113">
        <f t="shared" si="21"/>
        <v>-0.23124928292490299</v>
      </c>
      <c r="G73" s="113">
        <f t="shared" si="21"/>
        <v>6.5677682420935524E-2</v>
      </c>
      <c r="H73" s="101">
        <f t="shared" si="21"/>
        <v>7.6536076179039236E-2</v>
      </c>
      <c r="I73" s="101">
        <f t="shared" si="21"/>
        <v>8.6745351677855131E-2</v>
      </c>
      <c r="J73" s="101">
        <f t="shared" si="21"/>
        <v>0.10049771444705313</v>
      </c>
      <c r="K73" s="101">
        <f t="shared" si="21"/>
        <v>8.7706668057643933E-2</v>
      </c>
      <c r="L73" s="101">
        <f t="shared" si="21"/>
        <v>7.36768680999067E-2</v>
      </c>
      <c r="M73" s="101"/>
    </row>
  </sheetData>
  <customSheetViews>
    <customSheetView guid="{BD5E9955-DC4B-4EA0-9160-9EF1C693DE04}" state="hidden" topLeftCell="A55">
      <selection activeCell="C75" sqref="C75"/>
      <pageMargins left="0.75" right="0.75" top="1" bottom="1" header="0.5" footer="0.5"/>
      <pageSetup paperSize="0" fitToWidth="0" fitToHeight="0" orientation="portrait"/>
      <headerFooter alignWithMargins="0"/>
    </customSheetView>
    <customSheetView guid="{1ACDCC85-59E3-4410-927D-E7E5C71B61F5}" state="hidden" topLeftCell="A55">
      <selection activeCell="C75" sqref="C75"/>
      <pageMargins left="0.75" right="0.75" top="1" bottom="1" header="0.5" footer="0.5"/>
      <pageSetup paperSize="0" fitToWidth="0" fitToHeight="0" orientation="portrait"/>
      <headerFooter alignWithMargins="0"/>
    </customSheetView>
    <customSheetView guid="{9144D9B3-2327-4B3A-89B1-6A595780C3C5}" state="hidden" topLeftCell="A55">
      <selection activeCell="C75" sqref="C75"/>
      <pageMargins left="0.75" right="0.75" top="1" bottom="1" header="0.5" footer="0.5"/>
      <pageSetup paperSize="0" fitToWidth="0" fitToHeight="0" orientation="portrait"/>
      <headerFooter alignWithMargins="0"/>
    </customSheetView>
    <customSheetView guid="{513032B5-C585-49C2-98E7-9FDE6F7A4BA7}" state="hidden" topLeftCell="A55">
      <selection activeCell="C75" sqref="C75"/>
      <pageMargins left="0.75" right="0.75" top="1" bottom="1" header="0.5" footer="0.5"/>
      <pageSetup paperSize="0" fitToWidth="0" fitToHeight="0" orientation="portrait"/>
      <headerFooter alignWithMargins="0"/>
    </customSheetView>
    <customSheetView guid="{AF983ECA-536A-40E6-8A04-FF0A375E9ACC}" state="hidden" topLeftCell="A55">
      <selection activeCell="C75" sqref="C75"/>
      <pageMargins left="0.75" right="0.75" top="1" bottom="1" header="0.5" footer="0.5"/>
      <pageSetup paperSize="0" fitToWidth="0" fitToHeight="0" orientation="portrait"/>
      <headerFooter alignWithMargins="0"/>
    </customSheetView>
  </customSheetViews>
  <hyperlinks>
    <hyperlink ref="A39" r:id="rId1"/>
    <hyperlink ref="A34" r:id="rId2"/>
    <hyperlink ref="A59" r:id="rId3"/>
  </hyperlinks>
  <pageMargins left="0.75" right="0.75" top="1" bottom="1" header="0.5" footer="0.5"/>
  <pageSetup paperSize="0" fitToWidth="0" fitToHeight="0" orientation="portrait"/>
  <headerFooter alignWithMargins="0"/>
</worksheet>
</file>

<file path=xl/worksheets/sheet2.xml><?xml version="1.0" encoding="utf-8"?>
<worksheet xmlns="http://schemas.openxmlformats.org/spreadsheetml/2006/main" xmlns:r="http://schemas.openxmlformats.org/officeDocument/2006/relationships">
  <dimension ref="A1:N157"/>
  <sheetViews>
    <sheetView showGridLines="0" workbookViewId="0">
      <selection activeCell="B5" sqref="B5"/>
    </sheetView>
  </sheetViews>
  <sheetFormatPr defaultRowHeight="15"/>
  <cols>
    <col min="1" max="1" width="27.5703125" customWidth="1"/>
    <col min="2" max="2" width="10" customWidth="1"/>
    <col min="3" max="3" width="11.5703125" customWidth="1"/>
    <col min="4" max="6" width="9.5703125" bestFit="1" customWidth="1"/>
    <col min="7" max="7" width="12.42578125" customWidth="1"/>
    <col min="8" max="12" width="9.28515625" bestFit="1" customWidth="1"/>
  </cols>
  <sheetData>
    <row r="1" spans="1:14">
      <c r="A1" t="s">
        <v>168</v>
      </c>
      <c r="B1" t="s">
        <v>128</v>
      </c>
    </row>
    <row r="2" spans="1:14">
      <c r="A2" t="s">
        <v>169</v>
      </c>
      <c r="B2" t="s">
        <v>1060</v>
      </c>
    </row>
    <row r="4" spans="1:14">
      <c r="B4" s="8">
        <v>2007</v>
      </c>
      <c r="C4" s="8">
        <v>2008</v>
      </c>
      <c r="D4" s="8">
        <v>2009</v>
      </c>
      <c r="E4" s="8">
        <v>2010</v>
      </c>
      <c r="F4" s="8">
        <v>2011</v>
      </c>
      <c r="G4" s="8">
        <v>2012</v>
      </c>
      <c r="H4" s="8">
        <v>2013</v>
      </c>
      <c r="I4" s="8">
        <v>2014</v>
      </c>
      <c r="J4" s="8">
        <v>2015</v>
      </c>
      <c r="K4" s="8">
        <v>2016</v>
      </c>
      <c r="L4" s="8">
        <v>2017</v>
      </c>
    </row>
    <row r="5" spans="1:14">
      <c r="A5" s="9" t="str">
        <f>"Exchange Rate  ("&amp;B2&amp;" to US$)"</f>
        <v>Exchange Rate  (Foriant to US$)</v>
      </c>
      <c r="B5" s="10">
        <v>5.4458568375990281E-3</v>
      </c>
      <c r="C5" s="790">
        <v>5.810125111473257E-3</v>
      </c>
      <c r="D5" s="790">
        <v>4.9421358262848793E-3</v>
      </c>
      <c r="E5" s="790">
        <v>4.8089831805042385E-3</v>
      </c>
      <c r="F5" s="790">
        <v>4.9737633980751535E-3</v>
      </c>
      <c r="G5" s="790">
        <v>4.4423877833678124E-3</v>
      </c>
      <c r="H5" s="10">
        <v>4.4317192359856223E-3</v>
      </c>
      <c r="I5" s="10">
        <v>4.4438181166620858E-3</v>
      </c>
      <c r="J5" s="10">
        <v>4.5579753635706238E-3</v>
      </c>
      <c r="K5" s="10">
        <v>4.6366413026438912E-3</v>
      </c>
      <c r="L5" s="10">
        <v>4.6436234626932573E-3</v>
      </c>
      <c r="M5" t="s">
        <v>972</v>
      </c>
      <c r="N5" s="82"/>
    </row>
    <row r="6" spans="1:14" ht="18">
      <c r="B6" s="863" t="s">
        <v>181</v>
      </c>
      <c r="C6" s="863"/>
      <c r="D6" s="863"/>
      <c r="E6" s="863"/>
      <c r="F6" s="863"/>
      <c r="G6" s="863"/>
    </row>
    <row r="12" spans="1:14">
      <c r="B12" s="5"/>
    </row>
    <row r="96" spans="4:4" ht="15.75" thickBot="1">
      <c r="D96" t="s">
        <v>128</v>
      </c>
    </row>
    <row r="97" spans="4:4" ht="15.75" thickBot="1">
      <c r="D97" s="12" t="s">
        <v>117</v>
      </c>
    </row>
    <row r="98" spans="4:4" ht="15.75" thickBot="1">
      <c r="D98" s="13" t="s">
        <v>155</v>
      </c>
    </row>
    <row r="99" spans="4:4" ht="15.75" thickBot="1">
      <c r="D99" s="13" t="s">
        <v>133</v>
      </c>
    </row>
    <row r="100" spans="4:4" ht="15.75" thickBot="1">
      <c r="D100" s="13" t="s">
        <v>142</v>
      </c>
    </row>
    <row r="101" spans="4:4" ht="15.75" thickBot="1">
      <c r="D101" s="13" t="s">
        <v>140</v>
      </c>
    </row>
    <row r="102" spans="4:4" ht="15.75" thickBot="1">
      <c r="D102" s="13" t="s">
        <v>158</v>
      </c>
    </row>
    <row r="103" spans="4:4" ht="15.75" thickBot="1">
      <c r="D103" s="13" t="s">
        <v>115</v>
      </c>
    </row>
    <row r="104" spans="4:4" ht="15.75" thickBot="1">
      <c r="D104" s="13" t="s">
        <v>170</v>
      </c>
    </row>
    <row r="105" spans="4:4" ht="15.75" thickBot="1">
      <c r="D105" s="13" t="s">
        <v>137</v>
      </c>
    </row>
    <row r="106" spans="4:4" ht="15.75" thickBot="1">
      <c r="D106" s="13" t="s">
        <v>132</v>
      </c>
    </row>
    <row r="107" spans="4:4" ht="15.75" thickBot="1">
      <c r="D107" s="13" t="s">
        <v>125</v>
      </c>
    </row>
    <row r="108" spans="4:4" ht="15.75" thickBot="1">
      <c r="D108" s="13" t="s">
        <v>111</v>
      </c>
    </row>
    <row r="109" spans="4:4" ht="15.75" thickBot="1">
      <c r="D109" s="13" t="s">
        <v>120</v>
      </c>
    </row>
    <row r="110" spans="4:4" ht="15.75" thickBot="1">
      <c r="D110" s="13" t="s">
        <v>152</v>
      </c>
    </row>
    <row r="111" spans="4:4" ht="15.75" thickBot="1">
      <c r="D111" s="13" t="s">
        <v>153</v>
      </c>
    </row>
    <row r="112" spans="4:4" ht="15.75" thickBot="1">
      <c r="D112" s="13" t="s">
        <v>128</v>
      </c>
    </row>
    <row r="113" spans="4:4" ht="15.75" thickBot="1">
      <c r="D113" s="13" t="s">
        <v>150</v>
      </c>
    </row>
    <row r="114" spans="4:4" ht="15.75" thickBot="1">
      <c r="D114" s="13" t="s">
        <v>110</v>
      </c>
    </row>
    <row r="115" spans="4:4" ht="15.75" thickBot="1">
      <c r="D115" s="13" t="s">
        <v>151</v>
      </c>
    </row>
    <row r="116" spans="4:4" ht="15.75" thickBot="1">
      <c r="D116" s="13" t="s">
        <v>124</v>
      </c>
    </row>
    <row r="117" spans="4:4" ht="15.75" thickBot="1">
      <c r="D117" s="13" t="s">
        <v>157</v>
      </c>
    </row>
    <row r="118" spans="4:4" ht="15.75" thickBot="1">
      <c r="D118" s="13" t="s">
        <v>121</v>
      </c>
    </row>
    <row r="119" spans="4:4" ht="15.75" thickBot="1">
      <c r="D119" s="13" t="s">
        <v>131</v>
      </c>
    </row>
    <row r="120" spans="4:4" ht="15.75" thickBot="1">
      <c r="D120" s="13" t="s">
        <v>147</v>
      </c>
    </row>
    <row r="121" spans="4:4" ht="15.75" thickBot="1">
      <c r="D121" s="13" t="s">
        <v>123</v>
      </c>
    </row>
    <row r="122" spans="4:4" ht="15.75" thickBot="1">
      <c r="D122" s="13" t="s">
        <v>146</v>
      </c>
    </row>
    <row r="123" spans="4:4" ht="15.75" thickBot="1">
      <c r="D123" s="13" t="s">
        <v>139</v>
      </c>
    </row>
    <row r="124" spans="4:4" ht="15.75" thickBot="1">
      <c r="D124" s="13" t="s">
        <v>149</v>
      </c>
    </row>
    <row r="125" spans="4:4" ht="15.75" thickBot="1">
      <c r="D125" s="13" t="s">
        <v>108</v>
      </c>
    </row>
    <row r="126" spans="4:4" ht="15.75" thickBot="1">
      <c r="D126" s="13" t="s">
        <v>107</v>
      </c>
    </row>
    <row r="127" spans="4:4" ht="15.75" thickBot="1">
      <c r="D127" s="13" t="s">
        <v>114</v>
      </c>
    </row>
    <row r="128" spans="4:4" ht="15.75" thickBot="1">
      <c r="D128" s="13" t="s">
        <v>136</v>
      </c>
    </row>
    <row r="129" spans="4:4" ht="15.75" thickBot="1">
      <c r="D129" s="13" t="s">
        <v>144</v>
      </c>
    </row>
    <row r="130" spans="4:4" ht="15.75" thickBot="1">
      <c r="D130" s="13" t="s">
        <v>109</v>
      </c>
    </row>
    <row r="131" spans="4:4" ht="15.75" thickBot="1">
      <c r="D131" s="13" t="s">
        <v>126</v>
      </c>
    </row>
    <row r="132" spans="4:4" ht="15.75" thickBot="1">
      <c r="D132" s="13" t="s">
        <v>143</v>
      </c>
    </row>
    <row r="133" spans="4:4" ht="15.75" thickBot="1">
      <c r="D133" s="13" t="s">
        <v>156</v>
      </c>
    </row>
    <row r="134" spans="4:4" ht="15.75" thickBot="1">
      <c r="D134" s="13" t="s">
        <v>134</v>
      </c>
    </row>
    <row r="135" spans="4:4" ht="15.75" thickBot="1">
      <c r="D135" s="13" t="s">
        <v>171</v>
      </c>
    </row>
    <row r="136" spans="4:4" ht="15.75" thickBot="1">
      <c r="D136" s="13" t="s">
        <v>145</v>
      </c>
    </row>
    <row r="137" spans="4:4" ht="15.75" thickBot="1">
      <c r="D137" s="13" t="s">
        <v>113</v>
      </c>
    </row>
    <row r="138" spans="4:4" ht="15.75" thickBot="1">
      <c r="D138" s="13" t="s">
        <v>160</v>
      </c>
    </row>
    <row r="139" spans="4:4" ht="15.75" thickBot="1">
      <c r="D139" s="13" t="s">
        <v>127</v>
      </c>
    </row>
    <row r="140" spans="4:4" ht="15.75" thickBot="1">
      <c r="D140" s="13" t="s">
        <v>119</v>
      </c>
    </row>
    <row r="141" spans="4:4" ht="15.75" thickBot="1">
      <c r="D141" s="13" t="s">
        <v>138</v>
      </c>
    </row>
    <row r="142" spans="4:4" ht="15.75" thickBot="1">
      <c r="D142" s="13" t="s">
        <v>161</v>
      </c>
    </row>
    <row r="143" spans="4:4" ht="15.75" thickBot="1">
      <c r="D143" s="13" t="s">
        <v>162</v>
      </c>
    </row>
    <row r="144" spans="4:4" ht="15.75" thickBot="1">
      <c r="D144" s="13" t="s">
        <v>118</v>
      </c>
    </row>
    <row r="145" spans="4:4" ht="15.75" thickBot="1">
      <c r="D145" s="13" t="s">
        <v>129</v>
      </c>
    </row>
    <row r="146" spans="4:4" ht="15.75" thickBot="1">
      <c r="D146" s="13" t="s">
        <v>112</v>
      </c>
    </row>
    <row r="147" spans="4:4" ht="15.75" thickBot="1">
      <c r="D147" s="13" t="s">
        <v>116</v>
      </c>
    </row>
    <row r="148" spans="4:4" ht="15.75" thickBot="1">
      <c r="D148" s="13" t="s">
        <v>172</v>
      </c>
    </row>
    <row r="149" spans="4:4" ht="15.75" thickBot="1">
      <c r="D149" s="13" t="s">
        <v>135</v>
      </c>
    </row>
    <row r="150" spans="4:4" ht="15.75" thickBot="1">
      <c r="D150" s="13" t="s">
        <v>173</v>
      </c>
    </row>
    <row r="151" spans="4:4" ht="15.75" thickBot="1">
      <c r="D151" s="13" t="s">
        <v>130</v>
      </c>
    </row>
    <row r="152" spans="4:4" ht="15.75" thickBot="1">
      <c r="D152" s="13" t="s">
        <v>154</v>
      </c>
    </row>
    <row r="153" spans="4:4" ht="15.75" thickBot="1">
      <c r="D153" s="13" t="s">
        <v>148</v>
      </c>
    </row>
    <row r="154" spans="4:4" ht="15.75" thickBot="1">
      <c r="D154" s="13" t="s">
        <v>122</v>
      </c>
    </row>
    <row r="155" spans="4:4" ht="15.75" thickBot="1">
      <c r="D155" s="13" t="s">
        <v>141</v>
      </c>
    </row>
    <row r="156" spans="4:4" ht="15.75" thickBot="1">
      <c r="D156" s="13" t="s">
        <v>153</v>
      </c>
    </row>
    <row r="157" spans="4:4" ht="15.75" thickBot="1">
      <c r="D157" s="13" t="s">
        <v>159</v>
      </c>
    </row>
  </sheetData>
  <customSheetViews>
    <customSheetView guid="{BD5E9955-DC4B-4EA0-9160-9EF1C693DE04}" showGridLines="0">
      <selection activeCell="B5" sqref="B5"/>
      <pageMargins left="0.7" right="0.7" top="0.75" bottom="0.75" header="0.3" footer="0.3"/>
      <pageSetup orientation="portrait" r:id="rId1"/>
    </customSheetView>
    <customSheetView guid="{1ACDCC85-59E3-4410-927D-E7E5C71B61F5}" showGridLines="0">
      <selection activeCell="F5" sqref="F5"/>
      <pageMargins left="0.7" right="0.7" top="0.75" bottom="0.75" header="0.3" footer="0.3"/>
      <pageSetup orientation="portrait" r:id="rId2"/>
    </customSheetView>
    <customSheetView guid="{28AA611C-F120-4D09-9666-0AAAA1997A5D}" showGridLines="0">
      <selection activeCell="D9" sqref="D9"/>
      <pageMargins left="0.7" right="0.7" top="0.75" bottom="0.75" header="0.3" footer="0.3"/>
      <pageSetup orientation="portrait" r:id="rId3"/>
    </customSheetView>
    <customSheetView guid="{63078F6D-D19C-47E9-B618-80B24EAAED3A}" showGridLines="0">
      <selection activeCell="B1" sqref="B1"/>
      <pageMargins left="0.7" right="0.7" top="0.75" bottom="0.75" header="0.3" footer="0.3"/>
      <pageSetup orientation="portrait" r:id="rId4"/>
    </customSheetView>
    <customSheetView guid="{92F60ACF-D6F3-4086-9F2B-BC0D304DAC43}" showGridLines="0">
      <selection activeCell="B1" sqref="B1"/>
      <pageMargins left="0.7" right="0.7" top="0.75" bottom="0.75" header="0.3" footer="0.3"/>
      <pageSetup orientation="portrait" r:id="rId5"/>
    </customSheetView>
    <customSheetView guid="{9144D9B3-2327-4B3A-89B1-6A595780C3C5}" showGridLines="0">
      <selection activeCell="A5" sqref="A5"/>
      <pageMargins left="0.7" right="0.7" top="0.75" bottom="0.75" header="0.3" footer="0.3"/>
      <pageSetup orientation="portrait" r:id="rId6"/>
    </customSheetView>
    <customSheetView guid="{513032B5-C585-49C2-98E7-9FDE6F7A4BA7}" showGridLines="0">
      <selection activeCell="C15" sqref="C15"/>
      <pageMargins left="0.7" right="0.7" top="0.75" bottom="0.75" header="0.3" footer="0.3"/>
      <pageSetup orientation="portrait" r:id="rId7"/>
    </customSheetView>
    <customSheetView guid="{AF983ECA-536A-40E6-8A04-FF0A375E9ACC}" showGridLines="0">
      <selection activeCell="B5" sqref="B5"/>
      <pageMargins left="0.7" right="0.7" top="0.75" bottom="0.75" header="0.3" footer="0.3"/>
      <pageSetup orientation="portrait" r:id="rId8"/>
    </customSheetView>
  </customSheetViews>
  <mergeCells count="1">
    <mergeCell ref="B6:G6"/>
  </mergeCells>
  <dataValidations count="1">
    <dataValidation type="list" allowBlank="1" showInputMessage="1" showErrorMessage="1" sqref="B1">
      <formula1>$D$96:$D$157</formula1>
    </dataValidation>
  </dataValidations>
  <hyperlinks>
    <hyperlink ref="M5" r:id="rId9"/>
  </hyperlinks>
  <pageMargins left="0.7" right="0.7" top="0.75" bottom="0.75" header="0.3" footer="0.3"/>
  <pageSetup orientation="portrait" r:id="rId10"/>
</worksheet>
</file>

<file path=xl/worksheets/sheet3.xml><?xml version="1.0" encoding="utf-8"?>
<worksheet xmlns="http://schemas.openxmlformats.org/spreadsheetml/2006/main" xmlns:r="http://schemas.openxmlformats.org/officeDocument/2006/relationships">
  <dimension ref="A1:N85"/>
  <sheetViews>
    <sheetView workbookViewId="0">
      <selection activeCell="C14" sqref="C14"/>
    </sheetView>
  </sheetViews>
  <sheetFormatPr defaultRowHeight="15"/>
  <cols>
    <col min="1" max="1" width="3.28515625" customWidth="1"/>
    <col min="2" max="2" width="11.5703125" bestFit="1" customWidth="1"/>
    <col min="3" max="3" width="50.85546875" customWidth="1"/>
    <col min="4" max="4" width="24.85546875" customWidth="1"/>
    <col min="5" max="5" width="10.140625" customWidth="1"/>
    <col min="6" max="6" width="47.7109375" bestFit="1" customWidth="1"/>
    <col min="7" max="7" width="24.85546875" customWidth="1"/>
    <col min="8" max="8" width="10.85546875" customWidth="1"/>
    <col min="9" max="9" width="50.7109375" customWidth="1"/>
    <col min="10" max="10" width="24.85546875" customWidth="1"/>
    <col min="11" max="11" width="13.5703125" customWidth="1"/>
    <col min="12" max="12" width="50.85546875" customWidth="1"/>
    <col min="13" max="13" width="24.85546875" customWidth="1"/>
    <col min="14" max="14" width="3.42578125" customWidth="1"/>
  </cols>
  <sheetData>
    <row r="1" spans="1:14">
      <c r="A1" s="590"/>
      <c r="B1" s="590"/>
      <c r="C1" s="590"/>
      <c r="D1" s="590"/>
      <c r="E1" s="590"/>
      <c r="F1" s="590"/>
      <c r="G1" s="590"/>
      <c r="H1" s="590"/>
      <c r="I1" s="590"/>
      <c r="J1" s="590"/>
      <c r="K1" s="590"/>
      <c r="L1" s="590"/>
      <c r="M1" s="590"/>
      <c r="N1" s="590"/>
    </row>
    <row r="2" spans="1:14">
      <c r="A2" s="591"/>
      <c r="B2" s="864" t="s">
        <v>593</v>
      </c>
      <c r="C2" s="864"/>
      <c r="D2" s="592" t="s">
        <v>335</v>
      </c>
      <c r="E2" s="864" t="s">
        <v>594</v>
      </c>
      <c r="F2" s="864"/>
      <c r="G2" s="592" t="s">
        <v>335</v>
      </c>
      <c r="H2" s="864" t="s">
        <v>595</v>
      </c>
      <c r="I2" s="864"/>
      <c r="J2" s="592" t="s">
        <v>335</v>
      </c>
      <c r="K2" s="864" t="s">
        <v>596</v>
      </c>
      <c r="L2" s="864"/>
      <c r="M2" s="592" t="s">
        <v>335</v>
      </c>
      <c r="N2" s="590"/>
    </row>
    <row r="3" spans="1:14">
      <c r="A3" s="591"/>
      <c r="B3" s="593" t="s">
        <v>950</v>
      </c>
      <c r="C3" s="594"/>
      <c r="D3" s="592"/>
      <c r="E3" s="593" t="s">
        <v>597</v>
      </c>
      <c r="F3" s="594"/>
      <c r="G3" s="592"/>
      <c r="H3" s="593" t="s">
        <v>597</v>
      </c>
      <c r="I3" s="594"/>
      <c r="J3" s="592"/>
      <c r="K3" s="593" t="s">
        <v>597</v>
      </c>
      <c r="L3" s="594"/>
      <c r="M3" s="592"/>
      <c r="N3" s="590"/>
    </row>
    <row r="4" spans="1:14">
      <c r="A4" s="591"/>
      <c r="B4" s="592" t="s">
        <v>951</v>
      </c>
      <c r="C4" s="595"/>
      <c r="D4" s="592"/>
      <c r="E4" s="592" t="s">
        <v>598</v>
      </c>
      <c r="F4" s="595"/>
      <c r="G4" s="592"/>
      <c r="H4" s="592" t="s">
        <v>598</v>
      </c>
      <c r="I4" s="594"/>
      <c r="J4" s="592"/>
      <c r="K4" s="592" t="s">
        <v>598</v>
      </c>
      <c r="L4" s="594"/>
      <c r="M4" s="592"/>
      <c r="N4" s="590"/>
    </row>
    <row r="5" spans="1:14" ht="26.25">
      <c r="A5" s="591"/>
      <c r="B5" s="596" t="s">
        <v>599</v>
      </c>
      <c r="C5" s="597"/>
      <c r="D5" s="598"/>
      <c r="E5" s="596" t="s">
        <v>599</v>
      </c>
      <c r="F5" s="597"/>
      <c r="G5" s="598"/>
      <c r="H5" s="596" t="s">
        <v>599</v>
      </c>
      <c r="I5" s="597"/>
      <c r="J5" s="598"/>
      <c r="K5" s="596" t="s">
        <v>599</v>
      </c>
      <c r="L5" s="597"/>
      <c r="M5" s="598"/>
      <c r="N5" s="590"/>
    </row>
    <row r="6" spans="1:14" ht="26.25">
      <c r="A6" s="591"/>
      <c r="B6" s="597"/>
      <c r="C6" s="599" t="s">
        <v>600</v>
      </c>
      <c r="D6" s="598" t="s">
        <v>601</v>
      </c>
      <c r="E6" s="597"/>
      <c r="F6" s="599" t="s">
        <v>602</v>
      </c>
      <c r="G6" s="598" t="s">
        <v>603</v>
      </c>
      <c r="H6" s="597"/>
      <c r="I6" s="600" t="s">
        <v>604</v>
      </c>
      <c r="J6" s="598" t="s">
        <v>603</v>
      </c>
      <c r="K6" s="597"/>
      <c r="L6" s="600" t="s">
        <v>605</v>
      </c>
      <c r="M6" s="598" t="s">
        <v>603</v>
      </c>
      <c r="N6" s="590"/>
    </row>
    <row r="7" spans="1:14" ht="26.25">
      <c r="A7" s="591"/>
      <c r="B7" s="597"/>
      <c r="C7" s="599" t="s">
        <v>606</v>
      </c>
      <c r="D7" s="598" t="s">
        <v>601</v>
      </c>
      <c r="E7" s="597"/>
      <c r="F7" s="599" t="s">
        <v>607</v>
      </c>
      <c r="G7" s="598" t="s">
        <v>603</v>
      </c>
      <c r="H7" s="597"/>
      <c r="I7" s="601" t="s">
        <v>608</v>
      </c>
      <c r="J7" s="598" t="s">
        <v>603</v>
      </c>
      <c r="K7" s="597"/>
      <c r="L7" s="600" t="s">
        <v>609</v>
      </c>
      <c r="M7" s="598" t="s">
        <v>603</v>
      </c>
      <c r="N7" s="590"/>
    </row>
    <row r="8" spans="1:14" ht="26.25">
      <c r="A8" s="591"/>
      <c r="B8" s="597"/>
      <c r="C8" s="599" t="s">
        <v>610</v>
      </c>
      <c r="D8" s="598" t="s">
        <v>640</v>
      </c>
      <c r="E8" s="597"/>
      <c r="F8" s="599" t="s">
        <v>612</v>
      </c>
      <c r="G8" s="598" t="s">
        <v>603</v>
      </c>
      <c r="H8" s="597"/>
      <c r="I8" s="601" t="s">
        <v>613</v>
      </c>
      <c r="J8" s="598" t="s">
        <v>603</v>
      </c>
      <c r="K8" s="597"/>
      <c r="L8" s="600" t="s">
        <v>614</v>
      </c>
      <c r="M8" s="598" t="s">
        <v>603</v>
      </c>
      <c r="N8" s="590"/>
    </row>
    <row r="9" spans="1:14" ht="26.25">
      <c r="A9" s="591"/>
      <c r="B9" s="597"/>
      <c r="C9" s="599" t="s">
        <v>615</v>
      </c>
      <c r="D9" s="598" t="s">
        <v>611</v>
      </c>
      <c r="E9" s="597"/>
      <c r="F9" s="599" t="s">
        <v>616</v>
      </c>
      <c r="G9" s="598" t="s">
        <v>603</v>
      </c>
      <c r="H9" s="597"/>
      <c r="I9" s="602" t="s">
        <v>617</v>
      </c>
      <c r="J9" s="598" t="s">
        <v>603</v>
      </c>
      <c r="K9" s="597"/>
      <c r="L9" s="600" t="s">
        <v>618</v>
      </c>
      <c r="M9" s="598" t="s">
        <v>603</v>
      </c>
      <c r="N9" s="590"/>
    </row>
    <row r="10" spans="1:14" ht="26.25">
      <c r="A10" s="591"/>
      <c r="B10" s="597"/>
      <c r="C10" s="599" t="s">
        <v>619</v>
      </c>
      <c r="D10" s="598" t="s">
        <v>611</v>
      </c>
      <c r="E10" s="599"/>
      <c r="F10" s="599" t="s">
        <v>620</v>
      </c>
      <c r="G10" s="598" t="s">
        <v>603</v>
      </c>
      <c r="H10" s="597"/>
      <c r="I10" s="601" t="s">
        <v>621</v>
      </c>
      <c r="J10" s="598" t="s">
        <v>603</v>
      </c>
      <c r="K10" s="597"/>
      <c r="L10" s="600" t="s">
        <v>622</v>
      </c>
      <c r="M10" s="598" t="s">
        <v>603</v>
      </c>
      <c r="N10" s="590"/>
    </row>
    <row r="11" spans="1:14" ht="26.25">
      <c r="A11" s="591"/>
      <c r="B11" s="597"/>
      <c r="C11" s="599" t="s">
        <v>623</v>
      </c>
      <c r="D11" s="598" t="s">
        <v>611</v>
      </c>
      <c r="E11" s="599"/>
      <c r="F11" s="599" t="s">
        <v>624</v>
      </c>
      <c r="G11" s="598" t="s">
        <v>603</v>
      </c>
      <c r="H11" s="597"/>
      <c r="I11" s="601" t="s">
        <v>625</v>
      </c>
      <c r="J11" s="598" t="s">
        <v>603</v>
      </c>
      <c r="K11" s="597"/>
      <c r="L11" s="600" t="s">
        <v>626</v>
      </c>
      <c r="M11" s="598" t="s">
        <v>603</v>
      </c>
      <c r="N11" s="590"/>
    </row>
    <row r="12" spans="1:14" ht="39">
      <c r="A12" s="591"/>
      <c r="B12" s="597"/>
      <c r="C12" s="599" t="s">
        <v>627</v>
      </c>
      <c r="D12" s="598" t="s">
        <v>611</v>
      </c>
      <c r="E12" s="599"/>
      <c r="F12" s="599" t="s">
        <v>628</v>
      </c>
      <c r="G12" s="598" t="s">
        <v>603</v>
      </c>
      <c r="H12" s="597"/>
      <c r="I12" s="601" t="s">
        <v>629</v>
      </c>
      <c r="J12" s="598" t="s">
        <v>603</v>
      </c>
      <c r="K12" s="597"/>
      <c r="L12" s="597"/>
      <c r="M12" s="598" t="s">
        <v>603</v>
      </c>
      <c r="N12" s="590"/>
    </row>
    <row r="13" spans="1:14" ht="26.25">
      <c r="A13" s="591"/>
      <c r="B13" s="597"/>
      <c r="C13" s="599" t="s">
        <v>624</v>
      </c>
      <c r="D13" s="598" t="s">
        <v>611</v>
      </c>
      <c r="E13" s="599"/>
      <c r="F13" s="599" t="s">
        <v>630</v>
      </c>
      <c r="G13" s="598" t="s">
        <v>603</v>
      </c>
      <c r="H13" s="597"/>
      <c r="I13" s="601" t="s">
        <v>631</v>
      </c>
      <c r="J13" s="598" t="s">
        <v>603</v>
      </c>
      <c r="K13" s="596" t="s">
        <v>632</v>
      </c>
      <c r="L13" s="597"/>
      <c r="M13" s="598" t="s">
        <v>603</v>
      </c>
      <c r="N13" s="590"/>
    </row>
    <row r="14" spans="1:14" ht="26.25">
      <c r="A14" s="591"/>
      <c r="B14" s="597"/>
      <c r="C14" s="599" t="s">
        <v>628</v>
      </c>
      <c r="D14" s="598" t="s">
        <v>601</v>
      </c>
      <c r="E14" s="599"/>
      <c r="F14" s="603" t="s">
        <v>633</v>
      </c>
      <c r="G14" s="598" t="s">
        <v>603</v>
      </c>
      <c r="H14" s="597"/>
      <c r="I14" s="601" t="s">
        <v>634</v>
      </c>
      <c r="J14" s="598" t="s">
        <v>603</v>
      </c>
      <c r="K14" s="596" t="s">
        <v>635</v>
      </c>
      <c r="L14" s="597"/>
      <c r="M14" s="598" t="s">
        <v>603</v>
      </c>
      <c r="N14" s="590"/>
    </row>
    <row r="15" spans="1:14" ht="39">
      <c r="A15" s="591"/>
      <c r="B15" s="597"/>
      <c r="C15" s="603" t="s">
        <v>636</v>
      </c>
      <c r="D15" s="598" t="s">
        <v>611</v>
      </c>
      <c r="E15" s="599"/>
      <c r="F15" s="599" t="s">
        <v>637</v>
      </c>
      <c r="G15" s="598" t="s">
        <v>603</v>
      </c>
      <c r="H15" s="597"/>
      <c r="I15" s="604" t="s">
        <v>638</v>
      </c>
      <c r="J15" s="598" t="s">
        <v>603</v>
      </c>
      <c r="K15" s="597"/>
      <c r="L15" s="605" t="s">
        <v>639</v>
      </c>
      <c r="M15" s="598" t="s">
        <v>603</v>
      </c>
      <c r="N15" s="590"/>
    </row>
    <row r="16" spans="1:14" ht="26.25">
      <c r="A16" s="591"/>
      <c r="B16" s="597"/>
      <c r="C16" s="603" t="s">
        <v>633</v>
      </c>
      <c r="D16" s="598" t="s">
        <v>640</v>
      </c>
      <c r="E16" s="597"/>
      <c r="F16" s="599"/>
      <c r="G16" s="598"/>
      <c r="H16" s="597"/>
      <c r="I16" s="600" t="s">
        <v>641</v>
      </c>
      <c r="J16" s="598" t="s">
        <v>603</v>
      </c>
      <c r="K16" s="597"/>
      <c r="L16" s="605" t="s">
        <v>642</v>
      </c>
      <c r="M16" s="598" t="s">
        <v>603</v>
      </c>
      <c r="N16" s="590"/>
    </row>
    <row r="17" spans="1:14" ht="26.25">
      <c r="A17" s="591"/>
      <c r="B17" s="597"/>
      <c r="C17" s="599" t="s">
        <v>643</v>
      </c>
      <c r="D17" s="598" t="s">
        <v>601</v>
      </c>
      <c r="E17" s="597"/>
      <c r="F17" s="599"/>
      <c r="G17" s="598"/>
      <c r="H17" s="597"/>
      <c r="I17" s="597"/>
      <c r="J17" s="598" t="s">
        <v>603</v>
      </c>
      <c r="K17" s="597"/>
      <c r="L17" s="605" t="s">
        <v>644</v>
      </c>
      <c r="M17" s="598" t="s">
        <v>603</v>
      </c>
      <c r="N17" s="590"/>
    </row>
    <row r="18" spans="1:14">
      <c r="A18" s="591"/>
      <c r="B18" s="597"/>
      <c r="C18" s="599"/>
      <c r="D18" s="598"/>
      <c r="E18" s="597"/>
      <c r="F18" s="599"/>
      <c r="G18" s="598"/>
      <c r="H18" s="597"/>
      <c r="I18" s="597"/>
      <c r="J18" s="598"/>
      <c r="K18" s="597"/>
      <c r="L18" s="605" t="s">
        <v>645</v>
      </c>
      <c r="M18" s="598" t="s">
        <v>603</v>
      </c>
      <c r="N18" s="590"/>
    </row>
    <row r="19" spans="1:14" ht="26.25">
      <c r="A19" s="591"/>
      <c r="B19" s="596" t="s">
        <v>632</v>
      </c>
      <c r="C19" s="597"/>
      <c r="D19" s="606"/>
      <c r="E19" s="596" t="s">
        <v>632</v>
      </c>
      <c r="F19" s="597"/>
      <c r="G19" s="606"/>
      <c r="H19" s="596" t="s">
        <v>632</v>
      </c>
      <c r="I19" s="597"/>
      <c r="J19" s="606"/>
      <c r="K19" s="597"/>
      <c r="L19" s="605" t="s">
        <v>646</v>
      </c>
      <c r="M19" s="606"/>
      <c r="N19" s="590"/>
    </row>
    <row r="20" spans="1:14" ht="39">
      <c r="A20" s="591"/>
      <c r="B20" s="597"/>
      <c r="C20" s="599" t="s">
        <v>647</v>
      </c>
      <c r="D20" s="598" t="s">
        <v>640</v>
      </c>
      <c r="E20" s="597"/>
      <c r="F20" s="599" t="s">
        <v>648</v>
      </c>
      <c r="G20" s="598" t="s">
        <v>603</v>
      </c>
      <c r="H20" s="597"/>
      <c r="I20" s="600" t="s">
        <v>649</v>
      </c>
      <c r="J20" s="598" t="s">
        <v>603</v>
      </c>
      <c r="K20" s="596" t="s">
        <v>650</v>
      </c>
      <c r="L20" s="597"/>
      <c r="M20" s="598" t="s">
        <v>603</v>
      </c>
      <c r="N20" s="590"/>
    </row>
    <row r="21" spans="1:14" ht="26.25">
      <c r="A21" s="591"/>
      <c r="B21" s="597"/>
      <c r="C21" s="599" t="s">
        <v>651</v>
      </c>
      <c r="D21" s="598" t="s">
        <v>601</v>
      </c>
      <c r="E21" s="597"/>
      <c r="F21" s="599" t="s">
        <v>652</v>
      </c>
      <c r="G21" s="598" t="s">
        <v>603</v>
      </c>
      <c r="H21" s="597"/>
      <c r="I21" s="600" t="s">
        <v>653</v>
      </c>
      <c r="J21" s="598" t="s">
        <v>603</v>
      </c>
      <c r="K21" s="597"/>
      <c r="L21" s="605" t="s">
        <v>654</v>
      </c>
      <c r="M21" s="598" t="s">
        <v>603</v>
      </c>
      <c r="N21" s="590"/>
    </row>
    <row r="22" spans="1:14" ht="39">
      <c r="A22" s="591"/>
      <c r="B22" s="597"/>
      <c r="C22" s="599" t="s">
        <v>655</v>
      </c>
      <c r="D22" s="598" t="s">
        <v>601</v>
      </c>
      <c r="E22" s="599"/>
      <c r="F22" s="599" t="s">
        <v>656</v>
      </c>
      <c r="G22" s="598" t="s">
        <v>603</v>
      </c>
      <c r="H22" s="597"/>
      <c r="I22" s="600" t="s">
        <v>657</v>
      </c>
      <c r="J22" s="598" t="s">
        <v>603</v>
      </c>
      <c r="K22" s="597"/>
      <c r="L22" s="605" t="s">
        <v>658</v>
      </c>
      <c r="M22" s="598" t="s">
        <v>603</v>
      </c>
      <c r="N22" s="590"/>
    </row>
    <row r="23" spans="1:14" ht="26.25">
      <c r="A23" s="591"/>
      <c r="B23" s="597"/>
      <c r="C23" s="599" t="s">
        <v>648</v>
      </c>
      <c r="D23" s="598" t="s">
        <v>601</v>
      </c>
      <c r="E23" s="597"/>
      <c r="F23" s="599" t="s">
        <v>659</v>
      </c>
      <c r="G23" s="598" t="s">
        <v>603</v>
      </c>
      <c r="H23" s="597"/>
      <c r="I23" s="600" t="s">
        <v>660</v>
      </c>
      <c r="J23" s="598" t="s">
        <v>603</v>
      </c>
      <c r="K23" s="597"/>
      <c r="L23" s="605" t="s">
        <v>661</v>
      </c>
      <c r="M23" s="598" t="s">
        <v>603</v>
      </c>
      <c r="N23" s="590"/>
    </row>
    <row r="24" spans="1:14" ht="26.25">
      <c r="A24" s="591"/>
      <c r="B24" s="597"/>
      <c r="C24" s="599" t="s">
        <v>652</v>
      </c>
      <c r="D24" s="598" t="s">
        <v>601</v>
      </c>
      <c r="E24" s="597"/>
      <c r="F24" s="599" t="s">
        <v>662</v>
      </c>
      <c r="G24" s="598" t="s">
        <v>603</v>
      </c>
      <c r="H24" s="597"/>
      <c r="I24" s="600" t="s">
        <v>663</v>
      </c>
      <c r="J24" s="598" t="s">
        <v>603</v>
      </c>
      <c r="K24" s="597"/>
      <c r="L24" s="605" t="s">
        <v>664</v>
      </c>
      <c r="M24" s="598" t="s">
        <v>603</v>
      </c>
      <c r="N24" s="590"/>
    </row>
    <row r="25" spans="1:14" ht="26.25">
      <c r="A25" s="591"/>
      <c r="B25" s="597"/>
      <c r="C25" s="599" t="s">
        <v>656</v>
      </c>
      <c r="D25" s="598" t="s">
        <v>601</v>
      </c>
      <c r="E25" s="597"/>
      <c r="F25" s="599" t="s">
        <v>665</v>
      </c>
      <c r="G25" s="598" t="s">
        <v>603</v>
      </c>
      <c r="H25" s="597"/>
      <c r="I25" s="599" t="s">
        <v>666</v>
      </c>
      <c r="J25" s="598" t="s">
        <v>603</v>
      </c>
      <c r="K25" s="597"/>
      <c r="L25" s="605"/>
      <c r="M25" s="598" t="s">
        <v>603</v>
      </c>
      <c r="N25" s="590"/>
    </row>
    <row r="26" spans="1:14" ht="26.25">
      <c r="B26" s="597"/>
      <c r="C26" s="599" t="s">
        <v>659</v>
      </c>
      <c r="D26" s="598" t="s">
        <v>601</v>
      </c>
      <c r="E26" s="597"/>
      <c r="F26" s="599" t="s">
        <v>667</v>
      </c>
      <c r="G26" s="598" t="s">
        <v>603</v>
      </c>
      <c r="H26" s="597"/>
      <c r="I26" s="599" t="s">
        <v>668</v>
      </c>
      <c r="J26" s="598" t="s">
        <v>603</v>
      </c>
      <c r="K26" s="597"/>
      <c r="L26" s="605"/>
      <c r="M26" s="598"/>
    </row>
    <row r="27" spans="1:14" ht="39">
      <c r="B27" s="597"/>
      <c r="C27" s="599" t="s">
        <v>662</v>
      </c>
      <c r="D27" s="598" t="s">
        <v>601</v>
      </c>
      <c r="E27" s="597"/>
      <c r="F27" s="599" t="s">
        <v>669</v>
      </c>
      <c r="G27" s="598" t="s">
        <v>603</v>
      </c>
      <c r="H27" s="597"/>
      <c r="I27" s="599" t="s">
        <v>670</v>
      </c>
      <c r="J27" s="598" t="s">
        <v>603</v>
      </c>
      <c r="K27" s="597"/>
      <c r="L27" s="605"/>
      <c r="M27" s="598"/>
    </row>
    <row r="28" spans="1:14" ht="26.25">
      <c r="B28" s="597"/>
      <c r="C28" s="599" t="s">
        <v>665</v>
      </c>
      <c r="D28" s="598" t="s">
        <v>601</v>
      </c>
      <c r="E28" s="597"/>
      <c r="F28" s="599" t="s">
        <v>671</v>
      </c>
      <c r="G28" s="598" t="s">
        <v>672</v>
      </c>
      <c r="H28" s="597"/>
      <c r="I28" s="599" t="s">
        <v>673</v>
      </c>
      <c r="J28" s="598" t="s">
        <v>603</v>
      </c>
      <c r="K28" s="597"/>
      <c r="L28" s="605"/>
      <c r="M28" s="598"/>
    </row>
    <row r="29" spans="1:14" ht="26.25">
      <c r="B29" s="597"/>
      <c r="C29" s="599" t="s">
        <v>667</v>
      </c>
      <c r="D29" s="598" t="s">
        <v>674</v>
      </c>
      <c r="E29" s="597"/>
      <c r="F29" s="599"/>
      <c r="G29" s="598"/>
      <c r="H29" s="597"/>
      <c r="I29" s="599" t="s">
        <v>675</v>
      </c>
      <c r="J29" s="598" t="s">
        <v>603</v>
      </c>
      <c r="K29" s="597"/>
      <c r="L29" s="605"/>
      <c r="M29" s="598"/>
    </row>
    <row r="30" spans="1:14" ht="39">
      <c r="B30" s="597"/>
      <c r="C30" s="599" t="s">
        <v>669</v>
      </c>
      <c r="D30" s="598" t="s">
        <v>601</v>
      </c>
      <c r="E30" s="597"/>
      <c r="F30" s="599" t="s">
        <v>676</v>
      </c>
      <c r="G30" s="598" t="s">
        <v>672</v>
      </c>
      <c r="H30" s="597"/>
      <c r="I30" s="599" t="s">
        <v>677</v>
      </c>
      <c r="J30" s="598" t="s">
        <v>603</v>
      </c>
      <c r="K30" s="597"/>
      <c r="L30" s="605"/>
      <c r="M30" s="598"/>
    </row>
    <row r="31" spans="1:14" ht="39">
      <c r="B31" s="597"/>
      <c r="C31" s="599" t="s">
        <v>671</v>
      </c>
      <c r="D31" s="598" t="s">
        <v>672</v>
      </c>
      <c r="E31" s="597"/>
      <c r="F31" s="599" t="s">
        <v>678</v>
      </c>
      <c r="G31" s="598" t="s">
        <v>672</v>
      </c>
      <c r="H31" s="597"/>
      <c r="I31" s="599" t="s">
        <v>679</v>
      </c>
      <c r="J31" s="598" t="s">
        <v>603</v>
      </c>
      <c r="K31" s="597"/>
      <c r="L31" s="605"/>
      <c r="M31" s="598"/>
    </row>
    <row r="32" spans="1:14" ht="39">
      <c r="B32" s="597"/>
      <c r="C32" s="599"/>
      <c r="D32" s="598"/>
      <c r="E32" s="597"/>
      <c r="F32" s="599" t="s">
        <v>680</v>
      </c>
      <c r="G32" s="598" t="s">
        <v>672</v>
      </c>
      <c r="H32" s="597"/>
      <c r="I32" s="599" t="s">
        <v>677</v>
      </c>
      <c r="J32" s="598" t="s">
        <v>603</v>
      </c>
      <c r="K32" s="597"/>
      <c r="L32" s="605"/>
      <c r="M32" s="598"/>
    </row>
    <row r="33" spans="2:13" ht="51.75">
      <c r="B33" s="597"/>
      <c r="C33" s="599" t="s">
        <v>676</v>
      </c>
      <c r="D33" s="598" t="s">
        <v>672</v>
      </c>
      <c r="E33" s="597"/>
      <c r="F33" s="599" t="s">
        <v>681</v>
      </c>
      <c r="G33" s="598" t="s">
        <v>672</v>
      </c>
      <c r="H33" s="597"/>
      <c r="I33" s="599" t="s">
        <v>682</v>
      </c>
      <c r="J33" s="598" t="s">
        <v>603</v>
      </c>
      <c r="K33" s="597"/>
      <c r="L33" s="605"/>
      <c r="M33" s="598"/>
    </row>
    <row r="34" spans="2:13" ht="39">
      <c r="B34" s="597"/>
      <c r="C34" s="599" t="s">
        <v>678</v>
      </c>
      <c r="D34" s="598" t="s">
        <v>672</v>
      </c>
      <c r="E34" s="597"/>
      <c r="F34" s="599" t="s">
        <v>683</v>
      </c>
      <c r="G34" s="598" t="s">
        <v>672</v>
      </c>
      <c r="H34" s="597"/>
      <c r="I34" s="599" t="s">
        <v>684</v>
      </c>
      <c r="J34" s="598" t="s">
        <v>603</v>
      </c>
      <c r="K34" s="597"/>
      <c r="L34" s="605"/>
      <c r="M34" s="598"/>
    </row>
    <row r="35" spans="2:13" ht="39">
      <c r="B35" s="597"/>
      <c r="C35" s="599" t="s">
        <v>680</v>
      </c>
      <c r="D35" s="598" t="s">
        <v>672</v>
      </c>
      <c r="E35" s="597"/>
      <c r="F35" s="599" t="s">
        <v>685</v>
      </c>
      <c r="G35" s="598" t="s">
        <v>672</v>
      </c>
      <c r="H35" s="597"/>
      <c r="I35" s="599" t="s">
        <v>686</v>
      </c>
      <c r="J35" s="598" t="s">
        <v>603</v>
      </c>
      <c r="K35" s="597"/>
      <c r="L35" s="605"/>
      <c r="M35" s="598"/>
    </row>
    <row r="36" spans="2:13" ht="51.75">
      <c r="B36" s="597"/>
      <c r="C36" s="599" t="s">
        <v>681</v>
      </c>
      <c r="D36" s="598" t="s">
        <v>672</v>
      </c>
      <c r="E36" s="597"/>
      <c r="F36" s="599" t="s">
        <v>687</v>
      </c>
      <c r="G36" s="598" t="s">
        <v>672</v>
      </c>
      <c r="H36" s="597"/>
      <c r="I36" s="599" t="s">
        <v>688</v>
      </c>
      <c r="J36" s="606"/>
      <c r="K36" s="597"/>
      <c r="L36" s="605"/>
      <c r="M36" s="598"/>
    </row>
    <row r="37" spans="2:13" ht="39">
      <c r="B37" s="597"/>
      <c r="C37" s="599" t="s">
        <v>683</v>
      </c>
      <c r="D37" s="598" t="s">
        <v>672</v>
      </c>
      <c r="E37" s="597"/>
      <c r="F37" s="599" t="s">
        <v>689</v>
      </c>
      <c r="G37" s="598" t="s">
        <v>672</v>
      </c>
      <c r="H37" s="597"/>
      <c r="I37" s="599" t="s">
        <v>690</v>
      </c>
      <c r="J37" s="606"/>
      <c r="K37" s="597"/>
      <c r="L37" s="605"/>
      <c r="M37" s="598"/>
    </row>
    <row r="38" spans="2:13" ht="26.25">
      <c r="B38" s="597"/>
      <c r="C38" s="599" t="s">
        <v>685</v>
      </c>
      <c r="D38" s="598" t="s">
        <v>672</v>
      </c>
      <c r="E38" s="597"/>
      <c r="F38" s="599" t="s">
        <v>691</v>
      </c>
      <c r="G38" s="598" t="s">
        <v>672</v>
      </c>
      <c r="H38" s="597"/>
      <c r="I38" s="599" t="s">
        <v>692</v>
      </c>
      <c r="J38" s="606"/>
      <c r="K38" s="597"/>
      <c r="L38" s="605"/>
      <c r="M38" s="598"/>
    </row>
    <row r="39" spans="2:13" ht="90">
      <c r="B39" s="597"/>
      <c r="C39" s="599" t="s">
        <v>687</v>
      </c>
      <c r="D39" s="598" t="s">
        <v>672</v>
      </c>
      <c r="E39" s="597"/>
      <c r="F39" s="599" t="s">
        <v>693</v>
      </c>
      <c r="G39" s="598" t="s">
        <v>672</v>
      </c>
      <c r="H39" s="597"/>
      <c r="I39" s="599" t="s">
        <v>694</v>
      </c>
      <c r="J39" s="598" t="s">
        <v>603</v>
      </c>
      <c r="K39" s="597"/>
      <c r="L39" s="605"/>
      <c r="M39" s="598"/>
    </row>
    <row r="40" spans="2:13" ht="39">
      <c r="B40" s="597"/>
      <c r="C40" s="599" t="s">
        <v>689</v>
      </c>
      <c r="D40" s="598" t="s">
        <v>672</v>
      </c>
      <c r="E40" s="597"/>
      <c r="F40" s="599" t="s">
        <v>695</v>
      </c>
      <c r="G40" s="598" t="s">
        <v>672</v>
      </c>
      <c r="H40" s="597"/>
      <c r="I40" s="599" t="s">
        <v>696</v>
      </c>
      <c r="J40" s="598" t="s">
        <v>603</v>
      </c>
      <c r="K40" s="597"/>
      <c r="L40" s="605"/>
      <c r="M40" s="598"/>
    </row>
    <row r="41" spans="2:13" ht="26.25">
      <c r="B41" s="597"/>
      <c r="C41" s="599" t="s">
        <v>691</v>
      </c>
      <c r="D41" s="598" t="s">
        <v>672</v>
      </c>
      <c r="E41" s="597"/>
      <c r="F41" s="599" t="s">
        <v>697</v>
      </c>
      <c r="G41" s="598" t="s">
        <v>672</v>
      </c>
      <c r="H41" s="597"/>
      <c r="I41" s="599" t="s">
        <v>698</v>
      </c>
      <c r="J41" s="598" t="s">
        <v>603</v>
      </c>
      <c r="K41" s="597"/>
      <c r="L41" s="605"/>
      <c r="M41" s="598"/>
    </row>
    <row r="42" spans="2:13" ht="90">
      <c r="B42" s="597"/>
      <c r="C42" s="599" t="s">
        <v>693</v>
      </c>
      <c r="D42" s="598" t="s">
        <v>672</v>
      </c>
      <c r="E42" s="597"/>
      <c r="F42" s="599" t="s">
        <v>699</v>
      </c>
      <c r="G42" s="598" t="s">
        <v>672</v>
      </c>
      <c r="H42" s="597"/>
      <c r="I42" s="599" t="s">
        <v>700</v>
      </c>
      <c r="J42" s="598" t="s">
        <v>603</v>
      </c>
      <c r="K42" s="597"/>
      <c r="L42" s="605"/>
      <c r="M42" s="598"/>
    </row>
    <row r="43" spans="2:13" ht="51.75">
      <c r="B43" s="597"/>
      <c r="C43" s="599" t="s">
        <v>695</v>
      </c>
      <c r="D43" s="598" t="s">
        <v>672</v>
      </c>
      <c r="E43" s="597"/>
      <c r="F43" s="599" t="s">
        <v>701</v>
      </c>
      <c r="G43" s="598" t="s">
        <v>672</v>
      </c>
      <c r="H43" s="597"/>
      <c r="I43" s="599" t="s">
        <v>702</v>
      </c>
      <c r="J43" s="598" t="s">
        <v>603</v>
      </c>
      <c r="K43" s="597"/>
      <c r="L43" s="605"/>
      <c r="M43" s="598"/>
    </row>
    <row r="44" spans="2:13" ht="26.25">
      <c r="B44" s="597"/>
      <c r="C44" s="599" t="s">
        <v>697</v>
      </c>
      <c r="D44" s="598" t="s">
        <v>672</v>
      </c>
      <c r="E44" s="597"/>
      <c r="F44" s="599" t="s">
        <v>675</v>
      </c>
      <c r="G44" s="598" t="s">
        <v>601</v>
      </c>
      <c r="H44" s="597"/>
      <c r="I44" s="599" t="s">
        <v>703</v>
      </c>
      <c r="J44" s="598" t="s">
        <v>603</v>
      </c>
      <c r="K44" s="597"/>
      <c r="L44" s="605"/>
      <c r="M44" s="598"/>
    </row>
    <row r="45" spans="2:13" ht="26.25">
      <c r="B45" s="597"/>
      <c r="C45" s="599" t="s">
        <v>699</v>
      </c>
      <c r="D45" s="598" t="s">
        <v>672</v>
      </c>
      <c r="E45" s="597"/>
      <c r="F45" s="599" t="s">
        <v>677</v>
      </c>
      <c r="G45" s="598" t="s">
        <v>601</v>
      </c>
      <c r="H45" s="597"/>
      <c r="I45" s="599" t="s">
        <v>704</v>
      </c>
      <c r="J45" s="598" t="s">
        <v>603</v>
      </c>
      <c r="K45" s="597"/>
      <c r="L45" s="605"/>
      <c r="M45" s="598"/>
    </row>
    <row r="46" spans="2:13" ht="51.75">
      <c r="B46" s="597"/>
      <c r="C46" s="599" t="s">
        <v>705</v>
      </c>
      <c r="D46" s="598" t="s">
        <v>672</v>
      </c>
      <c r="E46" s="597"/>
      <c r="F46" s="599" t="s">
        <v>679</v>
      </c>
      <c r="G46" s="598" t="s">
        <v>601</v>
      </c>
      <c r="H46" s="597"/>
      <c r="I46" s="599" t="s">
        <v>706</v>
      </c>
      <c r="J46" s="598" t="s">
        <v>603</v>
      </c>
      <c r="K46" s="597"/>
      <c r="L46" s="605"/>
      <c r="M46" s="598"/>
    </row>
    <row r="47" spans="2:13" ht="26.25">
      <c r="B47" s="597"/>
      <c r="C47" s="599" t="s">
        <v>707</v>
      </c>
      <c r="D47" s="598" t="s">
        <v>603</v>
      </c>
      <c r="E47" s="597"/>
      <c r="F47" s="599" t="s">
        <v>677</v>
      </c>
      <c r="G47" s="598" t="s">
        <v>601</v>
      </c>
      <c r="H47" s="597"/>
      <c r="I47" s="599" t="s">
        <v>708</v>
      </c>
      <c r="J47" s="598" t="s">
        <v>603</v>
      </c>
      <c r="K47" s="597"/>
      <c r="L47" s="605"/>
      <c r="M47" s="598"/>
    </row>
    <row r="48" spans="2:13" ht="39">
      <c r="B48" s="597"/>
      <c r="C48" s="599" t="s">
        <v>709</v>
      </c>
      <c r="D48" s="598" t="s">
        <v>603</v>
      </c>
      <c r="E48" s="597"/>
      <c r="F48" s="599" t="s">
        <v>684</v>
      </c>
      <c r="G48" s="598" t="s">
        <v>674</v>
      </c>
      <c r="H48" s="597"/>
      <c r="I48" s="599" t="s">
        <v>710</v>
      </c>
      <c r="J48" s="606"/>
      <c r="K48" s="597"/>
      <c r="L48" s="605"/>
      <c r="M48" s="598"/>
    </row>
    <row r="49" spans="2:13" ht="39">
      <c r="B49" s="597"/>
      <c r="C49" s="599" t="s">
        <v>711</v>
      </c>
      <c r="D49" s="598" t="s">
        <v>603</v>
      </c>
      <c r="E49" s="597"/>
      <c r="F49" s="599" t="s">
        <v>686</v>
      </c>
      <c r="G49" s="598" t="s">
        <v>601</v>
      </c>
      <c r="H49" s="597"/>
      <c r="I49" s="599" t="s">
        <v>647</v>
      </c>
      <c r="J49" s="598" t="s">
        <v>603</v>
      </c>
      <c r="K49" s="597"/>
      <c r="L49" s="605"/>
      <c r="M49" s="598"/>
    </row>
    <row r="50" spans="2:13" ht="26.25">
      <c r="B50" s="597"/>
      <c r="C50" s="607" t="s">
        <v>712</v>
      </c>
      <c r="D50" s="598" t="s">
        <v>603</v>
      </c>
      <c r="E50" s="597"/>
      <c r="F50" s="599" t="s">
        <v>688</v>
      </c>
      <c r="G50" s="598" t="s">
        <v>601</v>
      </c>
      <c r="H50" s="597"/>
      <c r="I50" s="599" t="s">
        <v>713</v>
      </c>
      <c r="J50" s="598" t="s">
        <v>603</v>
      </c>
      <c r="K50" s="597"/>
      <c r="L50" s="605"/>
      <c r="M50" s="598"/>
    </row>
    <row r="51" spans="2:13" ht="51.75">
      <c r="B51" s="597"/>
      <c r="C51" s="607" t="s">
        <v>714</v>
      </c>
      <c r="D51" s="598" t="s">
        <v>603</v>
      </c>
      <c r="E51" s="597"/>
      <c r="F51" s="599" t="s">
        <v>690</v>
      </c>
      <c r="G51" s="598" t="s">
        <v>601</v>
      </c>
      <c r="H51" s="597"/>
      <c r="I51" s="599" t="s">
        <v>715</v>
      </c>
      <c r="J51" s="598" t="s">
        <v>603</v>
      </c>
      <c r="K51" s="597"/>
      <c r="L51" s="605"/>
      <c r="M51" s="598"/>
    </row>
    <row r="52" spans="2:13" ht="26.25">
      <c r="B52" s="597"/>
      <c r="C52" s="599" t="s">
        <v>675</v>
      </c>
      <c r="D52" s="598" t="s">
        <v>603</v>
      </c>
      <c r="E52" s="597"/>
      <c r="F52" s="599" t="s">
        <v>692</v>
      </c>
      <c r="G52" s="598" t="s">
        <v>601</v>
      </c>
      <c r="H52" s="597"/>
      <c r="I52" s="599" t="s">
        <v>716</v>
      </c>
      <c r="J52" s="598" t="s">
        <v>603</v>
      </c>
      <c r="K52" s="597"/>
      <c r="L52" s="605"/>
      <c r="M52" s="598"/>
    </row>
    <row r="53" spans="2:13" ht="26.25">
      <c r="B53" s="597"/>
      <c r="C53" s="599" t="s">
        <v>677</v>
      </c>
      <c r="D53" s="598" t="s">
        <v>603</v>
      </c>
      <c r="E53" s="597"/>
      <c r="F53" s="599" t="s">
        <v>717</v>
      </c>
      <c r="G53" s="598" t="s">
        <v>601</v>
      </c>
      <c r="H53" s="597"/>
      <c r="I53" s="599" t="s">
        <v>651</v>
      </c>
      <c r="J53" s="598" t="s">
        <v>603</v>
      </c>
      <c r="K53" s="597"/>
      <c r="L53" s="605"/>
      <c r="M53" s="598"/>
    </row>
    <row r="54" spans="2:13" ht="26.25">
      <c r="B54" s="597"/>
      <c r="C54" s="599" t="s">
        <v>679</v>
      </c>
      <c r="D54" s="598" t="s">
        <v>603</v>
      </c>
      <c r="E54" s="597"/>
      <c r="F54" s="599" t="s">
        <v>718</v>
      </c>
      <c r="G54" s="598" t="s">
        <v>601</v>
      </c>
      <c r="H54" s="597"/>
      <c r="I54" s="599" t="s">
        <v>655</v>
      </c>
      <c r="J54" s="598" t="s">
        <v>603</v>
      </c>
      <c r="K54" s="597"/>
      <c r="L54" s="605"/>
      <c r="M54" s="598"/>
    </row>
    <row r="55" spans="2:13" ht="39">
      <c r="B55" s="597"/>
      <c r="C55" s="599" t="s">
        <v>677</v>
      </c>
      <c r="D55" s="598" t="s">
        <v>603</v>
      </c>
      <c r="E55" s="597"/>
      <c r="F55" s="599" t="s">
        <v>719</v>
      </c>
      <c r="G55" s="598" t="s">
        <v>601</v>
      </c>
      <c r="H55" s="597"/>
      <c r="I55" s="599" t="s">
        <v>720</v>
      </c>
      <c r="J55" s="598" t="s">
        <v>603</v>
      </c>
      <c r="K55" s="597"/>
      <c r="L55" s="605"/>
      <c r="M55" s="598"/>
    </row>
    <row r="56" spans="2:13" ht="26.25">
      <c r="B56" s="597"/>
      <c r="C56" s="599" t="s">
        <v>682</v>
      </c>
      <c r="D56" s="598" t="s">
        <v>603</v>
      </c>
      <c r="E56" s="597"/>
      <c r="F56" s="599" t="s">
        <v>721</v>
      </c>
      <c r="G56" s="598" t="s">
        <v>601</v>
      </c>
      <c r="H56" s="597"/>
      <c r="I56" s="600"/>
      <c r="J56" s="598"/>
      <c r="K56" s="597"/>
      <c r="L56" s="605"/>
      <c r="M56" s="598"/>
    </row>
    <row r="57" spans="2:13" ht="39">
      <c r="B57" s="597"/>
      <c r="C57" s="599" t="s">
        <v>684</v>
      </c>
      <c r="D57" s="598" t="s">
        <v>603</v>
      </c>
      <c r="E57" s="597"/>
      <c r="F57" s="599" t="s">
        <v>722</v>
      </c>
      <c r="G57" s="598" t="s">
        <v>601</v>
      </c>
      <c r="H57" s="597"/>
      <c r="I57" s="600"/>
      <c r="J57" s="598"/>
      <c r="K57" s="597"/>
      <c r="L57" s="605"/>
      <c r="M57" s="598"/>
    </row>
    <row r="58" spans="2:13" ht="39">
      <c r="B58" s="597"/>
      <c r="C58" s="599" t="s">
        <v>686</v>
      </c>
      <c r="D58" s="598" t="s">
        <v>603</v>
      </c>
      <c r="E58" s="597"/>
      <c r="F58" s="599" t="s">
        <v>723</v>
      </c>
      <c r="G58" s="598" t="s">
        <v>601</v>
      </c>
      <c r="H58" s="597"/>
      <c r="I58" s="600"/>
      <c r="J58" s="598"/>
      <c r="K58" s="597"/>
      <c r="L58" s="605"/>
      <c r="M58" s="598"/>
    </row>
    <row r="59" spans="2:13" ht="26.25">
      <c r="B59" s="597"/>
      <c r="C59" s="599" t="s">
        <v>688</v>
      </c>
      <c r="D59" s="606"/>
      <c r="E59" s="597"/>
      <c r="F59" s="599" t="s">
        <v>696</v>
      </c>
      <c r="G59" s="598" t="s">
        <v>601</v>
      </c>
      <c r="H59" s="597"/>
      <c r="I59" s="600"/>
      <c r="J59" s="598"/>
      <c r="K59" s="597"/>
      <c r="L59" s="605"/>
      <c r="M59" s="598"/>
    </row>
    <row r="60" spans="2:13" ht="26.25">
      <c r="B60" s="597"/>
      <c r="C60" s="599" t="s">
        <v>690</v>
      </c>
      <c r="D60" s="606"/>
      <c r="E60" s="597"/>
      <c r="F60" s="599" t="s">
        <v>698</v>
      </c>
      <c r="G60" s="598" t="s">
        <v>601</v>
      </c>
      <c r="H60" s="597"/>
      <c r="I60" s="600"/>
      <c r="J60" s="598"/>
      <c r="K60" s="597"/>
      <c r="L60" s="605"/>
      <c r="M60" s="598"/>
    </row>
    <row r="61" spans="2:13" ht="26.25">
      <c r="B61" s="597"/>
      <c r="C61" s="599" t="s">
        <v>692</v>
      </c>
      <c r="D61" s="606"/>
      <c r="E61" s="597"/>
      <c r="F61" s="599" t="s">
        <v>700</v>
      </c>
      <c r="G61" s="598" t="s">
        <v>601</v>
      </c>
      <c r="H61" s="597"/>
      <c r="I61" s="600"/>
      <c r="J61" s="598"/>
      <c r="K61" s="597"/>
      <c r="L61" s="605"/>
      <c r="M61" s="598"/>
    </row>
    <row r="62" spans="2:13" ht="26.25">
      <c r="B62" s="597"/>
      <c r="C62" s="599" t="s">
        <v>696</v>
      </c>
      <c r="D62" s="598" t="s">
        <v>601</v>
      </c>
      <c r="E62" s="597"/>
      <c r="F62" s="599" t="s">
        <v>702</v>
      </c>
      <c r="G62" s="598" t="s">
        <v>601</v>
      </c>
      <c r="H62" s="597"/>
      <c r="I62" s="600"/>
      <c r="J62" s="598"/>
      <c r="K62" s="597"/>
      <c r="L62" s="605"/>
      <c r="M62" s="598"/>
    </row>
    <row r="63" spans="2:13" ht="26.25">
      <c r="B63" s="597"/>
      <c r="C63" s="599" t="s">
        <v>698</v>
      </c>
      <c r="D63" s="598" t="s">
        <v>601</v>
      </c>
      <c r="E63" s="597"/>
      <c r="F63" s="599" t="s">
        <v>703</v>
      </c>
      <c r="G63" s="598" t="s">
        <v>601</v>
      </c>
      <c r="H63" s="597"/>
      <c r="I63" s="600"/>
      <c r="J63" s="598"/>
      <c r="K63" s="597"/>
      <c r="L63" s="605"/>
      <c r="M63" s="598"/>
    </row>
    <row r="64" spans="2:13" ht="39">
      <c r="B64" s="597"/>
      <c r="C64" s="599" t="s">
        <v>700</v>
      </c>
      <c r="D64" s="598" t="s">
        <v>601</v>
      </c>
      <c r="E64" s="597"/>
      <c r="F64" s="599" t="s">
        <v>704</v>
      </c>
      <c r="G64" s="598" t="s">
        <v>601</v>
      </c>
      <c r="H64" s="597"/>
      <c r="I64" s="600"/>
      <c r="J64" s="598"/>
      <c r="K64" s="597"/>
      <c r="L64" s="605"/>
      <c r="M64" s="598"/>
    </row>
    <row r="65" spans="2:13" ht="26.25">
      <c r="B65" s="597"/>
      <c r="C65" s="599" t="s">
        <v>702</v>
      </c>
      <c r="D65" s="598" t="s">
        <v>601</v>
      </c>
      <c r="E65" s="597"/>
      <c r="F65" s="599" t="s">
        <v>706</v>
      </c>
      <c r="G65" s="598" t="s">
        <v>601</v>
      </c>
      <c r="H65" s="597"/>
      <c r="I65" s="600"/>
      <c r="J65" s="598"/>
      <c r="K65" s="597"/>
      <c r="L65" s="605"/>
      <c r="M65" s="598"/>
    </row>
    <row r="66" spans="2:13" ht="26.25">
      <c r="B66" s="597"/>
      <c r="C66" s="599" t="s">
        <v>703</v>
      </c>
      <c r="D66" s="598" t="s">
        <v>601</v>
      </c>
      <c r="E66" s="597"/>
      <c r="F66" s="599" t="s">
        <v>708</v>
      </c>
      <c r="G66" s="598" t="s">
        <v>601</v>
      </c>
      <c r="H66" s="597"/>
      <c r="I66" s="600"/>
      <c r="J66" s="598"/>
      <c r="K66" s="597"/>
      <c r="L66" s="605"/>
      <c r="M66" s="598"/>
    </row>
    <row r="67" spans="2:13" ht="26.25">
      <c r="B67" s="597"/>
      <c r="C67" s="599" t="s">
        <v>704</v>
      </c>
      <c r="D67" s="598" t="s">
        <v>601</v>
      </c>
      <c r="E67" s="597"/>
      <c r="F67" s="599" t="s">
        <v>710</v>
      </c>
      <c r="G67" s="598" t="s">
        <v>601</v>
      </c>
      <c r="H67" s="597"/>
      <c r="I67" s="600"/>
      <c r="J67" s="598"/>
      <c r="K67" s="597"/>
      <c r="L67" s="605"/>
      <c r="M67" s="598"/>
    </row>
    <row r="68" spans="2:13" ht="26.25">
      <c r="B68" s="597"/>
      <c r="C68" s="599" t="s">
        <v>706</v>
      </c>
      <c r="D68" s="598" t="s">
        <v>601</v>
      </c>
      <c r="E68" s="597"/>
      <c r="F68" s="599" t="s">
        <v>724</v>
      </c>
      <c r="G68" s="598" t="s">
        <v>601</v>
      </c>
      <c r="H68" s="597"/>
      <c r="I68" s="600"/>
      <c r="J68" s="598"/>
      <c r="K68" s="597"/>
      <c r="L68" s="605"/>
      <c r="M68" s="598"/>
    </row>
    <row r="69" spans="2:13" ht="26.25">
      <c r="B69" s="597"/>
      <c r="C69" s="599" t="s">
        <v>708</v>
      </c>
      <c r="D69" s="598" t="s">
        <v>601</v>
      </c>
      <c r="E69" s="597"/>
      <c r="F69" s="599" t="s">
        <v>709</v>
      </c>
      <c r="G69" s="598" t="s">
        <v>601</v>
      </c>
      <c r="H69" s="597"/>
      <c r="I69" s="600"/>
      <c r="J69" s="598"/>
      <c r="K69" s="597"/>
      <c r="L69" s="605"/>
      <c r="M69" s="598"/>
    </row>
    <row r="70" spans="2:13" ht="39">
      <c r="B70" s="597"/>
      <c r="C70" s="599" t="s">
        <v>710</v>
      </c>
      <c r="D70" s="598" t="s">
        <v>601</v>
      </c>
      <c r="E70" s="597"/>
      <c r="F70" s="599" t="s">
        <v>711</v>
      </c>
      <c r="G70" s="598" t="s">
        <v>601</v>
      </c>
      <c r="H70" s="597"/>
      <c r="I70" s="600"/>
      <c r="J70" s="598"/>
      <c r="K70" s="597"/>
      <c r="L70" s="605"/>
      <c r="M70" s="598"/>
    </row>
    <row r="71" spans="2:13" ht="26.25">
      <c r="B71" s="597"/>
      <c r="C71" s="599" t="s">
        <v>713</v>
      </c>
      <c r="D71" s="598" t="s">
        <v>601</v>
      </c>
      <c r="E71" s="597"/>
      <c r="F71" s="599" t="s">
        <v>714</v>
      </c>
      <c r="G71" s="598" t="s">
        <v>601</v>
      </c>
      <c r="H71" s="597"/>
      <c r="I71" s="600"/>
      <c r="J71" s="598"/>
      <c r="K71" s="597"/>
      <c r="L71" s="605"/>
      <c r="M71" s="598"/>
    </row>
    <row r="72" spans="2:13" ht="51.75">
      <c r="B72" s="597"/>
      <c r="C72" s="599" t="s">
        <v>715</v>
      </c>
      <c r="D72" s="598" t="s">
        <v>601</v>
      </c>
      <c r="E72" s="597"/>
      <c r="F72" s="599" t="s">
        <v>694</v>
      </c>
      <c r="G72" s="598" t="s">
        <v>611</v>
      </c>
      <c r="H72" s="597"/>
      <c r="I72" s="600"/>
      <c r="J72" s="598"/>
      <c r="K72" s="597"/>
      <c r="L72" s="605"/>
      <c r="M72" s="598"/>
    </row>
    <row r="73" spans="2:13">
      <c r="B73" s="597"/>
      <c r="C73" s="599" t="s">
        <v>725</v>
      </c>
      <c r="D73" s="598" t="s">
        <v>601</v>
      </c>
      <c r="E73" s="597"/>
      <c r="F73" s="599" t="s">
        <v>647</v>
      </c>
      <c r="G73" s="598" t="s">
        <v>601</v>
      </c>
      <c r="H73" s="597"/>
      <c r="I73" s="600"/>
      <c r="J73" s="598"/>
      <c r="K73" s="597"/>
      <c r="L73" s="605"/>
      <c r="M73" s="598"/>
    </row>
    <row r="74" spans="2:13" ht="26.25">
      <c r="B74" s="597"/>
      <c r="C74" s="599" t="s">
        <v>726</v>
      </c>
      <c r="D74" s="598" t="s">
        <v>601</v>
      </c>
      <c r="E74" s="597"/>
      <c r="F74" s="599" t="s">
        <v>651</v>
      </c>
      <c r="G74" s="598" t="s">
        <v>601</v>
      </c>
      <c r="H74" s="597"/>
      <c r="I74" s="600"/>
      <c r="J74" s="598"/>
      <c r="K74" s="597"/>
      <c r="L74" s="605"/>
      <c r="M74" s="598"/>
    </row>
    <row r="75" spans="2:13" ht="26.25">
      <c r="B75" s="597"/>
      <c r="C75" s="599" t="s">
        <v>727</v>
      </c>
      <c r="D75" s="598" t="s">
        <v>601</v>
      </c>
      <c r="E75" s="597"/>
      <c r="F75" s="599" t="s">
        <v>655</v>
      </c>
      <c r="G75" s="598" t="s">
        <v>601</v>
      </c>
      <c r="H75" s="597"/>
      <c r="I75" s="600"/>
      <c r="J75" s="598"/>
      <c r="K75" s="597"/>
      <c r="L75" s="605"/>
      <c r="M75" s="598"/>
    </row>
    <row r="76" spans="2:13" ht="39">
      <c r="B76" s="597"/>
      <c r="C76" s="599" t="s">
        <v>728</v>
      </c>
      <c r="D76" s="598" t="s">
        <v>601</v>
      </c>
      <c r="E76" s="597"/>
      <c r="F76" s="599" t="s">
        <v>713</v>
      </c>
      <c r="G76" s="598" t="s">
        <v>601</v>
      </c>
      <c r="H76" s="597"/>
      <c r="I76" s="600"/>
      <c r="J76" s="598"/>
      <c r="K76" s="597"/>
      <c r="L76" s="605"/>
      <c r="M76" s="598"/>
    </row>
    <row r="77" spans="2:13" ht="51.75">
      <c r="B77" s="597"/>
      <c r="C77" s="599" t="s">
        <v>729</v>
      </c>
      <c r="D77" s="598" t="s">
        <v>601</v>
      </c>
      <c r="E77" s="597"/>
      <c r="F77" s="599" t="s">
        <v>715</v>
      </c>
      <c r="G77" s="598" t="s">
        <v>601</v>
      </c>
      <c r="H77" s="597"/>
      <c r="I77" s="600"/>
      <c r="J77" s="598"/>
      <c r="K77" s="597"/>
      <c r="L77" s="605"/>
      <c r="M77" s="598"/>
    </row>
    <row r="78" spans="2:13" ht="26.25">
      <c r="B78" s="597"/>
      <c r="C78" s="599" t="s">
        <v>730</v>
      </c>
      <c r="D78" s="598" t="s">
        <v>601</v>
      </c>
      <c r="E78" s="597"/>
      <c r="F78" s="599" t="s">
        <v>726</v>
      </c>
      <c r="G78" s="598" t="s">
        <v>601</v>
      </c>
      <c r="H78" s="597"/>
      <c r="I78" s="600"/>
      <c r="J78" s="598"/>
      <c r="K78" s="597"/>
      <c r="L78" s="605"/>
      <c r="M78" s="598"/>
    </row>
    <row r="79" spans="2:13">
      <c r="B79" s="597"/>
      <c r="C79" s="599" t="s">
        <v>731</v>
      </c>
      <c r="D79" s="598" t="s">
        <v>601</v>
      </c>
      <c r="E79" s="597"/>
      <c r="F79" s="599" t="s">
        <v>727</v>
      </c>
      <c r="G79" s="598" t="s">
        <v>601</v>
      </c>
      <c r="H79" s="597"/>
      <c r="I79" s="600"/>
      <c r="J79" s="598"/>
      <c r="K79" s="597"/>
      <c r="L79" s="605"/>
      <c r="M79" s="598"/>
    </row>
    <row r="80" spans="2:13" ht="26.25">
      <c r="B80" s="597"/>
      <c r="C80" s="599" t="s">
        <v>732</v>
      </c>
      <c r="D80" s="598" t="s">
        <v>601</v>
      </c>
      <c r="E80" s="597"/>
      <c r="F80" s="599" t="s">
        <v>728</v>
      </c>
      <c r="G80" s="598" t="s">
        <v>601</v>
      </c>
      <c r="H80" s="597"/>
      <c r="I80" s="600"/>
      <c r="J80" s="598"/>
      <c r="K80" s="597"/>
      <c r="L80" s="605"/>
      <c r="M80" s="598"/>
    </row>
    <row r="81" spans="2:13" ht="26.25">
      <c r="B81" s="597"/>
      <c r="C81" s="599"/>
      <c r="D81" s="598"/>
      <c r="E81" s="597"/>
      <c r="F81" s="599" t="s">
        <v>729</v>
      </c>
      <c r="G81" s="598" t="s">
        <v>601</v>
      </c>
      <c r="H81" s="597"/>
      <c r="I81" s="600"/>
      <c r="J81" s="598"/>
      <c r="K81" s="597"/>
      <c r="L81" s="605"/>
      <c r="M81" s="598"/>
    </row>
    <row r="82" spans="2:13" ht="39">
      <c r="B82" s="597"/>
      <c r="C82" s="599"/>
      <c r="D82" s="598"/>
      <c r="E82" s="597"/>
      <c r="F82" s="599" t="s">
        <v>730</v>
      </c>
      <c r="G82" s="598" t="s">
        <v>601</v>
      </c>
      <c r="H82" s="597"/>
      <c r="I82" s="600"/>
      <c r="J82" s="598"/>
      <c r="K82" s="597"/>
      <c r="L82" s="605"/>
      <c r="M82" s="598"/>
    </row>
    <row r="83" spans="2:13">
      <c r="B83" s="597"/>
      <c r="C83" s="599"/>
      <c r="D83" s="598"/>
      <c r="E83" s="597"/>
      <c r="F83" s="599" t="s">
        <v>731</v>
      </c>
      <c r="G83" s="598" t="s">
        <v>601</v>
      </c>
      <c r="H83" s="597"/>
      <c r="I83" s="600"/>
      <c r="J83" s="598"/>
      <c r="K83" s="597"/>
      <c r="L83" s="605"/>
      <c r="M83" s="598"/>
    </row>
    <row r="84" spans="2:13" ht="26.25">
      <c r="B84" s="597"/>
      <c r="C84" s="599"/>
      <c r="D84" s="598"/>
      <c r="E84" s="597"/>
      <c r="F84" s="599" t="s">
        <v>720</v>
      </c>
      <c r="G84" s="598" t="s">
        <v>601</v>
      </c>
      <c r="H84" s="597"/>
      <c r="I84" s="600"/>
      <c r="J84" s="598"/>
      <c r="K84" s="597"/>
      <c r="L84" s="605"/>
      <c r="M84" s="598"/>
    </row>
    <row r="85" spans="2:13">
      <c r="B85" s="597"/>
      <c r="C85" s="599"/>
      <c r="D85" s="598"/>
      <c r="E85" s="597"/>
      <c r="F85" s="599"/>
      <c r="G85" s="598"/>
      <c r="H85" s="597"/>
      <c r="I85" s="600"/>
      <c r="J85" s="598"/>
      <c r="K85" s="597"/>
      <c r="L85" s="605"/>
      <c r="M85" s="598"/>
    </row>
  </sheetData>
  <customSheetViews>
    <customSheetView guid="{BD5E9955-DC4B-4EA0-9160-9EF1C693DE04}" state="hidden">
      <selection activeCell="C14" sqref="C14"/>
      <pageMargins left="0.7" right="0.7" top="0.75" bottom="0.75" header="0.3" footer="0.3"/>
      <pageSetup orientation="portrait" r:id="rId1"/>
    </customSheetView>
    <customSheetView guid="{1ACDCC85-59E3-4410-927D-E7E5C71B61F5}" state="hidden">
      <selection activeCell="C14" sqref="C14"/>
      <pageMargins left="0.7" right="0.7" top="0.75" bottom="0.75" header="0.3" footer="0.3"/>
      <pageSetup orientation="portrait" r:id="rId2"/>
    </customSheetView>
    <customSheetView guid="{9144D9B3-2327-4B3A-89B1-6A595780C3C5}" topLeftCell="A43">
      <selection activeCell="D11" sqref="D11"/>
      <pageMargins left="0.7" right="0.7" top="0.75" bottom="0.75" header="0.3" footer="0.3"/>
      <pageSetup orientation="portrait" r:id="rId3"/>
    </customSheetView>
    <customSheetView guid="{513032B5-C585-49C2-98E7-9FDE6F7A4BA7}" state="hidden">
      <selection activeCell="C14" sqref="C14"/>
      <pageMargins left="0.7" right="0.7" top="0.75" bottom="0.75" header="0.3" footer="0.3"/>
      <pageSetup orientation="portrait" r:id="rId4"/>
    </customSheetView>
    <customSheetView guid="{AF983ECA-536A-40E6-8A04-FF0A375E9ACC}" state="hidden">
      <selection activeCell="C14" sqref="C14"/>
      <pageMargins left="0.7" right="0.7" top="0.75" bottom="0.75" header="0.3" footer="0.3"/>
      <pageSetup orientation="portrait" r:id="rId5"/>
    </customSheetView>
  </customSheetViews>
  <mergeCells count="4">
    <mergeCell ref="B2:C2"/>
    <mergeCell ref="E2:F2"/>
    <mergeCell ref="H2:I2"/>
    <mergeCell ref="K2:L2"/>
  </mergeCells>
  <conditionalFormatting sqref="L1:L85">
    <cfRule type="duplicateValues" dxfId="18" priority="1"/>
  </conditionalFormatting>
  <pageMargins left="0.7" right="0.7" top="0.75" bottom="0.75" header="0.3" footer="0.3"/>
  <pageSetup orientation="portrait" r:id="rId6"/>
  <legacyDrawing r:id="rId7"/>
</worksheet>
</file>

<file path=xl/worksheets/sheet4.xml><?xml version="1.0" encoding="utf-8"?>
<worksheet xmlns="http://schemas.openxmlformats.org/spreadsheetml/2006/main" xmlns:r="http://schemas.openxmlformats.org/officeDocument/2006/relationships">
  <dimension ref="A1:P98"/>
  <sheetViews>
    <sheetView workbookViewId="0">
      <pane ySplit="1" topLeftCell="A20" activePane="bottomLeft" state="frozen"/>
      <selection pane="bottomLeft" activeCell="K31" sqref="K31"/>
    </sheetView>
  </sheetViews>
  <sheetFormatPr defaultRowHeight="15"/>
  <cols>
    <col min="1" max="1" width="34.28515625" customWidth="1"/>
    <col min="3" max="3" width="16.140625" customWidth="1"/>
    <col min="6" max="6" width="12" bestFit="1" customWidth="1"/>
    <col min="7" max="10" width="11.7109375" bestFit="1" customWidth="1"/>
    <col min="11" max="11" width="11.85546875" bestFit="1" customWidth="1"/>
    <col min="12" max="16" width="10.5703125" bestFit="1" customWidth="1"/>
  </cols>
  <sheetData>
    <row r="1" spans="1:16">
      <c r="A1" s="251" t="s">
        <v>570</v>
      </c>
      <c r="B1" s="251" t="s">
        <v>166</v>
      </c>
      <c r="C1" s="251" t="s">
        <v>313</v>
      </c>
      <c r="D1" s="251">
        <v>2005</v>
      </c>
      <c r="E1" s="251">
        <v>2006</v>
      </c>
      <c r="F1" s="251">
        <v>2007</v>
      </c>
      <c r="G1" s="251">
        <v>2008</v>
      </c>
      <c r="H1" s="251">
        <v>2009</v>
      </c>
      <c r="I1" s="251">
        <v>2010</v>
      </c>
      <c r="J1" s="251">
        <v>2011</v>
      </c>
      <c r="K1" s="251">
        <v>2012</v>
      </c>
      <c r="L1" s="251">
        <v>2013</v>
      </c>
      <c r="M1" s="251">
        <v>2014</v>
      </c>
      <c r="N1" s="251">
        <v>2015</v>
      </c>
      <c r="O1" s="251">
        <v>2016</v>
      </c>
      <c r="P1" s="251">
        <v>2017</v>
      </c>
    </row>
    <row r="2" spans="1:16">
      <c r="A2" s="744" t="s">
        <v>1000</v>
      </c>
    </row>
    <row r="3" spans="1:16">
      <c r="A3" s="745"/>
      <c r="C3" s="70"/>
      <c r="F3" s="746"/>
      <c r="G3" s="746"/>
      <c r="H3" s="746"/>
      <c r="I3" s="746"/>
      <c r="J3" s="747"/>
    </row>
    <row r="4" spans="1:16">
      <c r="A4" s="745" t="s">
        <v>1001</v>
      </c>
      <c r="B4" s="70" t="s">
        <v>1002</v>
      </c>
      <c r="C4" t="s">
        <v>1003</v>
      </c>
      <c r="D4" s="253">
        <v>6441</v>
      </c>
      <c r="E4" s="748">
        <v>4800</v>
      </c>
      <c r="G4" s="755" t="s">
        <v>1010</v>
      </c>
      <c r="H4" s="748">
        <v>57530.000002000001</v>
      </c>
      <c r="I4" s="729"/>
    </row>
    <row r="5" spans="1:16">
      <c r="A5" s="745"/>
      <c r="F5" s="446"/>
      <c r="G5" s="446"/>
      <c r="H5" s="446"/>
      <c r="I5" s="446"/>
    </row>
    <row r="6" spans="1:16">
      <c r="A6" s="745"/>
      <c r="F6" s="748"/>
      <c r="H6" s="266"/>
      <c r="L6" s="266"/>
    </row>
    <row r="7" spans="1:16">
      <c r="A7" s="745" t="s">
        <v>1004</v>
      </c>
      <c r="B7" s="70" t="s">
        <v>1005</v>
      </c>
      <c r="C7" s="5" t="s">
        <v>1003</v>
      </c>
      <c r="E7" s="749"/>
      <c r="F7" s="749"/>
      <c r="G7" s="759">
        <v>5842.5</v>
      </c>
      <c r="H7" s="759">
        <v>4975.6000000000004</v>
      </c>
      <c r="I7" s="759">
        <v>5821.8</v>
      </c>
      <c r="J7" s="749"/>
      <c r="K7" s="749"/>
      <c r="L7" s="749"/>
    </row>
    <row r="8" spans="1:16">
      <c r="A8" s="745"/>
      <c r="E8" s="746"/>
      <c r="F8" s="446" t="e">
        <f t="shared" ref="F8" si="0">F7/E7-1</f>
        <v>#DIV/0!</v>
      </c>
      <c r="G8" s="446" t="e">
        <f t="shared" ref="G8" si="1">G7/F7-1</f>
        <v>#DIV/0!</v>
      </c>
      <c r="H8" s="446">
        <f t="shared" ref="H8" si="2">H7/G7-1</f>
        <v>-0.14837826272999566</v>
      </c>
      <c r="I8" s="446">
        <f t="shared" ref="I8" si="3">I7/H7-1</f>
        <v>0.17006994131361042</v>
      </c>
      <c r="J8" s="446">
        <f t="shared" ref="J8" si="4">J7/I7-1</f>
        <v>-1</v>
      </c>
      <c r="K8" s="446" t="e">
        <f t="shared" ref="K8" si="5">K7/J7-1</f>
        <v>#DIV/0!</v>
      </c>
      <c r="L8" s="446"/>
    </row>
    <row r="9" spans="1:16">
      <c r="A9" s="745" t="s">
        <v>1006</v>
      </c>
      <c r="B9" s="70" t="s">
        <v>1005</v>
      </c>
      <c r="C9" t="s">
        <v>1003</v>
      </c>
      <c r="E9" s="756"/>
      <c r="F9" s="759"/>
      <c r="G9" s="759">
        <v>5686.5</v>
      </c>
      <c r="H9" s="759">
        <v>4841.8</v>
      </c>
      <c r="I9" s="759">
        <v>5671.2</v>
      </c>
      <c r="J9" s="759"/>
      <c r="K9" s="759"/>
      <c r="L9" s="756"/>
    </row>
    <row r="10" spans="1:16">
      <c r="A10" s="745"/>
      <c r="E10" s="756"/>
      <c r="F10" s="756"/>
      <c r="G10" s="756"/>
      <c r="H10" s="757">
        <f t="shared" ref="H10" si="6">H9/G9-1</f>
        <v>-0.14854479908555351</v>
      </c>
      <c r="I10" s="757">
        <f>I9/H9-1</f>
        <v>0.17129992977818165</v>
      </c>
      <c r="J10" s="757">
        <f>J9/I9-1</f>
        <v>-1</v>
      </c>
      <c r="K10" s="757" t="e">
        <f>K9/J9-1</f>
        <v>#DIV/0!</v>
      </c>
      <c r="L10" s="757"/>
    </row>
    <row r="11" spans="1:16">
      <c r="A11" s="745" t="s">
        <v>1007</v>
      </c>
      <c r="B11" s="70" t="s">
        <v>1005</v>
      </c>
      <c r="C11" t="s">
        <v>1003</v>
      </c>
      <c r="E11" s="746"/>
      <c r="F11" s="746"/>
      <c r="G11" s="746">
        <v>2225.6</v>
      </c>
      <c r="H11" s="248">
        <v>1798.2</v>
      </c>
      <c r="I11" s="248">
        <v>2067.5</v>
      </c>
      <c r="J11" t="s">
        <v>1011</v>
      </c>
      <c r="K11" s="750"/>
      <c r="L11" s="750"/>
    </row>
    <row r="12" spans="1:16">
      <c r="A12" s="745"/>
      <c r="E12" s="746"/>
      <c r="F12" s="746"/>
      <c r="G12" s="746"/>
      <c r="H12" s="446">
        <f>H11/G11-1</f>
        <v>-0.19203810208483096</v>
      </c>
      <c r="I12" s="446">
        <f>I11/H11-1</f>
        <v>0.14976087198309407</v>
      </c>
      <c r="J12" s="446" t="e">
        <f>J11/I11-1</f>
        <v>#VALUE!</v>
      </c>
      <c r="K12" s="446" t="e">
        <f>K11/J11-1</f>
        <v>#VALUE!</v>
      </c>
      <c r="L12" s="446"/>
    </row>
    <row r="13" spans="1:16">
      <c r="A13" s="745" t="s">
        <v>1008</v>
      </c>
      <c r="B13" s="70" t="s">
        <v>1005</v>
      </c>
      <c r="C13" t="s">
        <v>1003</v>
      </c>
      <c r="E13" s="746"/>
      <c r="F13" s="746"/>
      <c r="G13" s="248">
        <v>3460.9</v>
      </c>
      <c r="H13" s="248">
        <v>3043.6</v>
      </c>
      <c r="I13" s="758">
        <v>3603.7</v>
      </c>
      <c r="J13" t="s">
        <v>1011</v>
      </c>
      <c r="K13" s="750"/>
      <c r="L13" s="750"/>
    </row>
    <row r="14" spans="1:16">
      <c r="A14" s="745"/>
      <c r="E14" s="746"/>
      <c r="F14" s="746"/>
      <c r="G14" s="746"/>
      <c r="H14" s="446">
        <f>H13/G13-1</f>
        <v>-0.12057557282787723</v>
      </c>
      <c r="I14" s="446">
        <f>I13/H13-1</f>
        <v>0.18402549612301211</v>
      </c>
      <c r="J14" s="446" t="e">
        <f>J13/I13-1</f>
        <v>#VALUE!</v>
      </c>
      <c r="K14" s="446" t="e">
        <f>K13/J13-1</f>
        <v>#VALUE!</v>
      </c>
      <c r="L14" s="446"/>
    </row>
    <row r="15" spans="1:16">
      <c r="A15" s="745" t="s">
        <v>1009</v>
      </c>
      <c r="B15" s="70" t="s">
        <v>1005</v>
      </c>
      <c r="C15" t="s">
        <v>1003</v>
      </c>
      <c r="E15" s="746"/>
      <c r="F15" s="746"/>
      <c r="G15" s="248">
        <v>156</v>
      </c>
      <c r="H15" s="758">
        <v>133.80000000000001</v>
      </c>
      <c r="I15" s="248">
        <v>150.6</v>
      </c>
      <c r="J15" s="746"/>
      <c r="K15" s="746"/>
      <c r="L15" s="746"/>
    </row>
    <row r="16" spans="1:16">
      <c r="A16" s="745"/>
      <c r="H16" s="446">
        <f>H15/G15-1</f>
        <v>-0.14230769230769225</v>
      </c>
      <c r="I16" s="446">
        <f>I15/H15-1</f>
        <v>0.12556053811659185</v>
      </c>
      <c r="J16" s="446">
        <f>J15/I15-1</f>
        <v>-1</v>
      </c>
      <c r="K16" s="446" t="e">
        <f>K15/J15-1</f>
        <v>#DIV/0!</v>
      </c>
      <c r="L16" s="446"/>
    </row>
    <row r="17" spans="1:12">
      <c r="A17" s="745"/>
      <c r="H17" s="446"/>
      <c r="I17" s="446"/>
      <c r="J17" s="446"/>
      <c r="K17" s="446"/>
      <c r="L17" s="446"/>
    </row>
    <row r="18" spans="1:12">
      <c r="A18" s="745" t="s">
        <v>1014</v>
      </c>
      <c r="B18" s="82" t="s">
        <v>1013</v>
      </c>
      <c r="D18">
        <v>9.2866</v>
      </c>
      <c r="E18">
        <v>9.2583000000000002</v>
      </c>
      <c r="F18">
        <v>9.2530000000000001</v>
      </c>
      <c r="G18" s="248">
        <v>9.6268999999999991</v>
      </c>
      <c r="H18" s="248">
        <v>10.629200000000001</v>
      </c>
      <c r="I18" s="248">
        <v>9.5563000000000002</v>
      </c>
      <c r="J18" s="248">
        <v>9.0361999999999991</v>
      </c>
      <c r="K18" s="248">
        <v>8.7112999999999996</v>
      </c>
    </row>
    <row r="19" spans="1:12">
      <c r="A19" s="745"/>
      <c r="B19" s="82"/>
      <c r="G19" s="446"/>
      <c r="H19" s="446"/>
      <c r="I19" s="446"/>
      <c r="J19" s="446"/>
      <c r="K19" s="446"/>
    </row>
    <row r="20" spans="1:12">
      <c r="A20" s="744" t="s">
        <v>1004</v>
      </c>
      <c r="C20" s="5" t="s">
        <v>1012</v>
      </c>
      <c r="F20" s="762">
        <f>FORECAST(F31,G20:I20,G31:I31)</f>
        <v>54475.363658565184</v>
      </c>
      <c r="G20" s="760">
        <f>G7*G$18</f>
        <v>56245.163249999998</v>
      </c>
      <c r="H20" s="760">
        <f t="shared" ref="H20:I28" si="7">H7*H$18</f>
        <v>52886.647520000006</v>
      </c>
      <c r="I20" s="760">
        <f t="shared" si="7"/>
        <v>55634.867340000004</v>
      </c>
      <c r="J20" s="762">
        <f>FORECAST(J31,G20:I20,G31:I31)</f>
        <v>57802.691043436396</v>
      </c>
      <c r="K20" s="762">
        <f>FORECAST(K31,H20:J20,H31:J31)*0.988</f>
        <v>59692.642640828475</v>
      </c>
    </row>
    <row r="21" spans="1:12">
      <c r="A21" s="745"/>
      <c r="F21" s="5"/>
      <c r="G21" s="761">
        <f t="shared" ref="G21" si="8">G20/F20-1</f>
        <v>3.2488073003557494E-2</v>
      </c>
      <c r="H21" s="761">
        <f t="shared" ref="H21" si="9">H20/G20-1</f>
        <v>-5.9712080753894781E-2</v>
      </c>
      <c r="I21" s="761">
        <f t="shared" ref="I21" si="10">I20/H20-1</f>
        <v>5.1964341641445699E-2</v>
      </c>
      <c r="J21" s="761">
        <f t="shared" ref="J21" si="11">J20/I20-1</f>
        <v>3.8965199470832212E-2</v>
      </c>
      <c r="K21" s="761">
        <f t="shared" ref="K21" si="12">K20/J20-1</f>
        <v>3.2696602239017825E-2</v>
      </c>
    </row>
    <row r="22" spans="1:12">
      <c r="A22" s="744" t="s">
        <v>1006</v>
      </c>
      <c r="C22" s="5" t="s">
        <v>1012</v>
      </c>
      <c r="F22" s="762">
        <f>FORECAST(F$20,G22:I22,G$20:I$20)*0.999</f>
        <v>52976.144097866309</v>
      </c>
      <c r="G22" s="760">
        <f>G9*G$18</f>
        <v>54743.366849999999</v>
      </c>
      <c r="H22" s="760">
        <f t="shared" si="7"/>
        <v>51464.460560000007</v>
      </c>
      <c r="I22" s="760">
        <f t="shared" si="7"/>
        <v>54195.688560000002</v>
      </c>
      <c r="J22" s="764">
        <f>FORECAST(J$20,G22:I22,G$20:I$20)*1.00105</f>
        <v>56354.576269926241</v>
      </c>
      <c r="K22" s="764">
        <f>FORECAST(K$20,H22:J22,H$20:J$20)</f>
        <v>58233.558379070157</v>
      </c>
    </row>
    <row r="23" spans="1:12">
      <c r="A23" s="745"/>
      <c r="F23" s="5"/>
      <c r="G23" s="761">
        <f t="shared" ref="G23" si="13">G22/F22-1</f>
        <v>3.3358840705147941E-2</v>
      </c>
      <c r="H23" s="761">
        <f t="shared" ref="H23" si="14">H22/G22-1</f>
        <v>-5.9895955960918235E-2</v>
      </c>
      <c r="I23" s="761">
        <f t="shared" ref="I23" si="15">I22/H22-1</f>
        <v>5.3070176395141333E-2</v>
      </c>
      <c r="J23" s="761">
        <f t="shared" ref="J23" si="16">J22/I22-1</f>
        <v>3.9835045319816187E-2</v>
      </c>
      <c r="K23" s="761">
        <f t="shared" ref="K23" si="17">K22/J22-1</f>
        <v>3.334213889115234E-2</v>
      </c>
    </row>
    <row r="24" spans="1:12">
      <c r="A24" s="745" t="s">
        <v>1007</v>
      </c>
      <c r="C24" s="238" t="s">
        <v>1012</v>
      </c>
      <c r="F24" s="762">
        <f>FORECAST(F$22,G24:I24,G$22:I$22)*1.078</f>
        <v>21372.98342759673</v>
      </c>
      <c r="G24" s="266">
        <f>G11*G$18</f>
        <v>21425.628639999995</v>
      </c>
      <c r="H24" s="266">
        <f t="shared" si="7"/>
        <v>19113.427440000003</v>
      </c>
      <c r="I24" s="266">
        <f t="shared" si="7"/>
        <v>19757.650249999999</v>
      </c>
      <c r="J24" s="764">
        <f>FORECAST(J$22,G24:I24,G$22:I$22)*0.932</f>
        <v>20222.615031314584</v>
      </c>
      <c r="K24" s="764">
        <f>FORECAST(K$22,H24:J24,H$22:J$22)*1.011</f>
        <v>20885.95603009735</v>
      </c>
    </row>
    <row r="25" spans="1:12">
      <c r="A25" s="745"/>
      <c r="G25" s="446">
        <f t="shared" ref="G25" si="18">G24/F24-1</f>
        <v>2.4631662950380662E-3</v>
      </c>
      <c r="H25" s="446">
        <f t="shared" ref="H25" si="19">H24/G24-1</f>
        <v>-0.10791754299723511</v>
      </c>
      <c r="I25" s="446">
        <f t="shared" ref="I25" si="20">I24/H24-1</f>
        <v>3.3705247895612134E-2</v>
      </c>
      <c r="J25" s="446">
        <f t="shared" ref="J25" si="21">J24/I24-1</f>
        <v>2.3533404804277458E-2</v>
      </c>
      <c r="K25" s="446">
        <f t="shared" ref="K25" si="22">K24/J24-1</f>
        <v>3.2801939697491456E-2</v>
      </c>
    </row>
    <row r="26" spans="1:12">
      <c r="A26" s="745" t="s">
        <v>1008</v>
      </c>
      <c r="C26" s="238" t="s">
        <v>1012</v>
      </c>
      <c r="F26" s="763">
        <f>F22-F24</f>
        <v>31603.160670269579</v>
      </c>
      <c r="G26" s="266">
        <f>G13*G$18</f>
        <v>33317.738209999996</v>
      </c>
      <c r="H26" s="266">
        <f t="shared" si="7"/>
        <v>32351.03312</v>
      </c>
      <c r="I26" s="266">
        <f t="shared" si="7"/>
        <v>34438.038309999996</v>
      </c>
      <c r="J26" s="730">
        <f>J22-J24</f>
        <v>36131.961238611657</v>
      </c>
      <c r="K26" s="730">
        <f>K22-K24</f>
        <v>37347.60234897281</v>
      </c>
    </row>
    <row r="27" spans="1:12">
      <c r="A27" s="745"/>
      <c r="G27" s="446">
        <f t="shared" ref="G27" si="23">G26/F26-1</f>
        <v>5.425335641644824E-2</v>
      </c>
      <c r="H27" s="446">
        <f t="shared" ref="H27" si="24">H26/G26-1</f>
        <v>-2.9014727347543956E-2</v>
      </c>
      <c r="I27" s="446">
        <f t="shared" ref="I27" si="25">I26/H26-1</f>
        <v>6.451123777898049E-2</v>
      </c>
      <c r="J27" s="446">
        <f t="shared" ref="J27" si="26">J26/I26-1</f>
        <v>4.9187555730193511E-2</v>
      </c>
      <c r="K27" s="446">
        <f t="shared" ref="K27" si="27">K26/J26-1</f>
        <v>3.3644481746595067E-2</v>
      </c>
    </row>
    <row r="28" spans="1:12">
      <c r="A28" s="745" t="s">
        <v>1009</v>
      </c>
      <c r="C28" s="238" t="s">
        <v>1012</v>
      </c>
      <c r="F28" s="763">
        <f>F20-F22</f>
        <v>1499.2195606988753</v>
      </c>
      <c r="G28" s="266">
        <f>G15*G$18</f>
        <v>1501.7963999999999</v>
      </c>
      <c r="H28" s="266">
        <f t="shared" si="7"/>
        <v>1422.1869600000002</v>
      </c>
      <c r="I28" s="266">
        <f t="shared" si="7"/>
        <v>1439.17878</v>
      </c>
      <c r="J28" s="763">
        <f>J20-J22</f>
        <v>1448.1147735101549</v>
      </c>
      <c r="K28" s="763">
        <f>K20-K22</f>
        <v>1459.0842617583185</v>
      </c>
    </row>
    <row r="29" spans="1:12">
      <c r="A29" s="745"/>
      <c r="G29" s="446">
        <f t="shared" ref="G29" si="28">G28/F28-1</f>
        <v>1.7187871401060928E-3</v>
      </c>
      <c r="H29" s="446">
        <f t="shared" ref="H29" si="29">H28/G28-1</f>
        <v>-5.3009475851719778E-2</v>
      </c>
      <c r="I29" s="446">
        <f t="shared" ref="I29" si="30">I28/H28-1</f>
        <v>1.1947669665034466E-2</v>
      </c>
      <c r="J29" s="446">
        <f t="shared" ref="J29" si="31">J28/I28-1</f>
        <v>6.2090920421680185E-3</v>
      </c>
      <c r="K29" s="446">
        <f t="shared" ref="K29" si="32">K28/J28-1</f>
        <v>7.5750130092064882E-3</v>
      </c>
    </row>
    <row r="30" spans="1:12">
      <c r="A30" s="745"/>
    </row>
    <row r="31" spans="1:12">
      <c r="A31" s="745" t="s">
        <v>1048</v>
      </c>
      <c r="B31" s="266" t="s">
        <v>1050</v>
      </c>
      <c r="C31" s="266" t="s">
        <v>1012</v>
      </c>
      <c r="D31" s="266"/>
      <c r="F31" s="266">
        <f>'Tourism Medium DB-LCU'!G64</f>
        <v>2826386.3076646924</v>
      </c>
      <c r="G31" s="266">
        <f>'Tourism Medium DB-LCU'!H64</f>
        <v>2856948.7937026611</v>
      </c>
      <c r="H31" s="266">
        <f>'Tourism Medium DB-LCU'!I64</f>
        <v>2739472.1867417577</v>
      </c>
      <c r="I31" s="266">
        <f>'Tourism Medium DB-LCU'!J64</f>
        <v>3177008.7562627406</v>
      </c>
      <c r="J31" s="266">
        <f>'Tourism Medium DB-LCU'!K64</f>
        <v>3556764.2980098589</v>
      </c>
      <c r="K31" s="266">
        <f>'Tourism Medium DB-LCU'!L64</f>
        <v>3984129.4225283298</v>
      </c>
    </row>
    <row r="32" spans="1:12">
      <c r="A32" s="745"/>
      <c r="G32" s="446">
        <f t="shared" ref="G32:H32" si="33">G31/F31-1</f>
        <v>1.0813272748699809E-2</v>
      </c>
      <c r="H32" s="446">
        <f t="shared" si="33"/>
        <v>-4.1119605370543377E-2</v>
      </c>
      <c r="I32" s="446">
        <f t="shared" ref="I32" si="34">I31/H31-1</f>
        <v>0.15971564582350273</v>
      </c>
      <c r="J32" s="446">
        <f t="shared" ref="J32" si="35">J31/I31-1</f>
        <v>0.11953241897697575</v>
      </c>
      <c r="K32" s="446">
        <f t="shared" ref="K32" si="36">K31/J31-1</f>
        <v>0.12015559331766723</v>
      </c>
    </row>
    <row r="33" spans="1:16">
      <c r="A33" s="745"/>
    </row>
    <row r="34" spans="1:16">
      <c r="A34" s="745" t="s">
        <v>1015</v>
      </c>
      <c r="B34" s="82" t="s">
        <v>1016</v>
      </c>
      <c r="C34" s="765" t="s">
        <v>1017</v>
      </c>
      <c r="G34" s="266"/>
      <c r="H34" s="266"/>
      <c r="I34" s="266"/>
      <c r="J34" s="266"/>
      <c r="K34" s="266"/>
    </row>
    <row r="35" spans="1:16">
      <c r="A35" s="745"/>
      <c r="B35" s="82" t="s">
        <v>1019</v>
      </c>
      <c r="C35" s="765" t="s">
        <v>1018</v>
      </c>
      <c r="G35" s="446"/>
      <c r="H35" s="446"/>
      <c r="I35" s="446"/>
      <c r="J35" s="446"/>
      <c r="K35" s="446"/>
    </row>
    <row r="36" spans="1:16">
      <c r="A36" s="745"/>
    </row>
    <row r="37" spans="1:16">
      <c r="A37" s="745" t="s">
        <v>1021</v>
      </c>
      <c r="B37" s="82" t="s">
        <v>1020</v>
      </c>
      <c r="G37" s="444">
        <v>0.42</v>
      </c>
    </row>
    <row r="38" spans="1:16">
      <c r="A38" s="745"/>
    </row>
    <row r="39" spans="1:16">
      <c r="A39" s="766" t="s">
        <v>1023</v>
      </c>
      <c r="B39" s="82" t="s">
        <v>1020</v>
      </c>
      <c r="C39" t="s">
        <v>1022</v>
      </c>
      <c r="G39">
        <v>5.7</v>
      </c>
    </row>
    <row r="40" spans="1:16">
      <c r="A40" s="745"/>
    </row>
    <row r="41" spans="1:16">
      <c r="A41" s="745" t="s">
        <v>1024</v>
      </c>
      <c r="B41" s="82" t="s">
        <v>1020</v>
      </c>
      <c r="C41" t="s">
        <v>176</v>
      </c>
      <c r="G41" s="444">
        <v>0.79</v>
      </c>
    </row>
    <row r="42" spans="1:16">
      <c r="A42" s="745"/>
    </row>
    <row r="43" spans="1:16">
      <c r="A43" s="745"/>
    </row>
    <row r="44" spans="1:16">
      <c r="A44" s="745" t="s">
        <v>1026</v>
      </c>
      <c r="B44" s="82" t="s">
        <v>1027</v>
      </c>
      <c r="C44" t="s">
        <v>176</v>
      </c>
      <c r="D44" s="85">
        <v>84.83</v>
      </c>
      <c r="E44" s="85">
        <v>87.76</v>
      </c>
      <c r="F44" s="85">
        <v>82.01</v>
      </c>
      <c r="G44" s="85">
        <v>90</v>
      </c>
      <c r="H44" s="85">
        <v>91</v>
      </c>
      <c r="I44" s="85">
        <v>90</v>
      </c>
      <c r="J44" s="85">
        <v>91</v>
      </c>
      <c r="K44" s="767">
        <f>FORECAST(K47,F44:J44,F47:J47)</f>
        <v>93.677930980553072</v>
      </c>
      <c r="L44" s="767">
        <f t="shared" ref="L44:P44" si="37">FORECAST(L47,G44:K44,G47:K47)</f>
        <v>93.598134352434698</v>
      </c>
      <c r="M44" s="767">
        <f t="shared" si="37"/>
        <v>93.898880005000564</v>
      </c>
      <c r="N44" s="767">
        <f t="shared" si="37"/>
        <v>95.393605022953366</v>
      </c>
      <c r="O44" s="767">
        <f t="shared" si="37"/>
        <v>96.187381566708638</v>
      </c>
      <c r="P44" s="767">
        <f t="shared" si="37"/>
        <v>96.583336295950517</v>
      </c>
    </row>
    <row r="45" spans="1:16">
      <c r="A45" s="745"/>
    </row>
    <row r="46" spans="1:16">
      <c r="A46" s="745" t="s">
        <v>1026</v>
      </c>
    </row>
    <row r="47" spans="1:16">
      <c r="A47" s="745"/>
      <c r="F47" s="101">
        <f>(F48/1000)/F49</f>
        <v>0.88818753975248554</v>
      </c>
      <c r="G47" s="101">
        <f t="shared" ref="G47:P47" si="38">(G48/1000)/G49</f>
        <v>0.89103652634422681</v>
      </c>
      <c r="H47" s="101">
        <f t="shared" si="38"/>
        <v>0.90175570067444599</v>
      </c>
      <c r="I47" s="101">
        <f t="shared" si="38"/>
        <v>0.89279949022939686</v>
      </c>
      <c r="J47" s="101">
        <f t="shared" si="38"/>
        <v>0.90353263735104927</v>
      </c>
      <c r="K47" s="101">
        <f t="shared" si="38"/>
        <v>0.90786163522012586</v>
      </c>
      <c r="L47" s="101">
        <f t="shared" si="38"/>
        <v>0.91299364384703563</v>
      </c>
      <c r="M47" s="101">
        <f t="shared" si="38"/>
        <v>0.91388293473209858</v>
      </c>
      <c r="N47" s="101">
        <f t="shared" si="38"/>
        <v>0.92132877832029669</v>
      </c>
      <c r="O47" s="101">
        <f t="shared" si="38"/>
        <v>0.92429938788535559</v>
      </c>
      <c r="P47" s="101">
        <f t="shared" si="38"/>
        <v>0.9282988284124768</v>
      </c>
    </row>
    <row r="48" spans="1:16">
      <c r="A48" s="745" t="s">
        <v>1030</v>
      </c>
      <c r="B48" s="82" t="s">
        <v>792</v>
      </c>
      <c r="C48" t="s">
        <v>178</v>
      </c>
      <c r="F48" s="767">
        <f>FORECAST(F49,G48:K48,G49:K49)</f>
        <v>8156.2261775470743</v>
      </c>
      <c r="G48" s="767">
        <f>FORECAST(G49,H48:L48,H49:L49)</f>
        <v>8247.4340878421644</v>
      </c>
      <c r="H48" s="85">
        <v>8423.2999999999993</v>
      </c>
      <c r="I48" s="85">
        <v>8406.6</v>
      </c>
      <c r="J48" s="85">
        <v>8568.2000000000007</v>
      </c>
      <c r="K48" s="85">
        <v>8661</v>
      </c>
      <c r="L48" s="85">
        <v>8762</v>
      </c>
      <c r="M48" s="767">
        <f>FORECAST(M49,H48:L48,H49:L49)</f>
        <v>8823.5397348384104</v>
      </c>
      <c r="N48" s="767">
        <f t="shared" ref="N48:P48" si="39">FORECAST(N49,I48:M48,I49:M49)</f>
        <v>8948.8664238250421</v>
      </c>
      <c r="O48" s="767">
        <f t="shared" si="39"/>
        <v>9031.3293190278091</v>
      </c>
      <c r="P48" s="767">
        <f t="shared" si="39"/>
        <v>9124.2491844662345</v>
      </c>
    </row>
    <row r="49" spans="1:16">
      <c r="A49" s="745" t="s">
        <v>1031</v>
      </c>
      <c r="B49" s="82" t="s">
        <v>1032</v>
      </c>
      <c r="C49" t="s">
        <v>1033</v>
      </c>
      <c r="F49" s="85">
        <v>9.1829999999999998</v>
      </c>
      <c r="G49" s="85">
        <v>9.2560000000000002</v>
      </c>
      <c r="H49" s="85">
        <v>9.3409999999999993</v>
      </c>
      <c r="I49" s="85">
        <v>9.4160000000000004</v>
      </c>
      <c r="J49" s="85">
        <v>9.4830000000000005</v>
      </c>
      <c r="K49" s="85">
        <v>9.5399999999999991</v>
      </c>
      <c r="L49" s="85">
        <v>9.5969999999999995</v>
      </c>
      <c r="M49" s="85">
        <v>9.6549999999999994</v>
      </c>
      <c r="N49" s="85">
        <v>9.7129999999999992</v>
      </c>
      <c r="O49" s="85">
        <v>9.7710000000000008</v>
      </c>
      <c r="P49" s="85">
        <v>9.8290000000000006</v>
      </c>
    </row>
    <row r="50" spans="1:16">
      <c r="A50" s="745"/>
    </row>
    <row r="51" spans="1:16">
      <c r="A51" s="745" t="s">
        <v>1028</v>
      </c>
      <c r="B51" t="s">
        <v>1029</v>
      </c>
      <c r="C51" t="s">
        <v>176</v>
      </c>
      <c r="F51" s="85">
        <v>85.03</v>
      </c>
      <c r="G51" s="85">
        <v>85.02</v>
      </c>
      <c r="H51" s="85">
        <v>86.84</v>
      </c>
      <c r="I51" s="85">
        <v>88.72</v>
      </c>
      <c r="J51" s="85">
        <v>90</v>
      </c>
      <c r="K51" s="85">
        <v>90.358096656559013</v>
      </c>
    </row>
    <row r="52" spans="1:16">
      <c r="A52" s="745"/>
    </row>
    <row r="53" spans="1:16">
      <c r="A53" s="745" t="s">
        <v>1028</v>
      </c>
      <c r="B53" t="s">
        <v>1056</v>
      </c>
      <c r="C53" t="s">
        <v>176</v>
      </c>
      <c r="F53" s="85">
        <v>88.994103656776275</v>
      </c>
      <c r="G53" s="85">
        <v>89.628159598913726</v>
      </c>
      <c r="H53" s="85">
        <v>91.249225686557907</v>
      </c>
      <c r="I53" s="85">
        <v>92.442950285248585</v>
      </c>
      <c r="J53" s="85">
        <v>92.974059923587376</v>
      </c>
      <c r="K53" s="85">
        <v>93.632028611166305</v>
      </c>
      <c r="L53" s="85">
        <v>94.694810081179654</v>
      </c>
      <c r="M53" s="85">
        <v>95.231805150758774</v>
      </c>
      <c r="N53" s="85">
        <v>95.868489917484411</v>
      </c>
      <c r="O53" s="85">
        <v>96.639047140842109</v>
      </c>
      <c r="P53" s="85">
        <v>97.341295705012783</v>
      </c>
    </row>
    <row r="54" spans="1:16">
      <c r="A54" s="745"/>
    </row>
    <row r="55" spans="1:16">
      <c r="A55" s="745"/>
    </row>
    <row r="56" spans="1:16">
      <c r="A56" s="745"/>
    </row>
    <row r="57" spans="1:16">
      <c r="A57" s="744" t="s">
        <v>1036</v>
      </c>
      <c r="B57" s="5"/>
      <c r="C57" s="5"/>
      <c r="D57" s="5"/>
      <c r="E57" s="5"/>
      <c r="F57" s="414">
        <f>'Tourism Medium DB-LCU'!G174</f>
        <v>54475.363658565184</v>
      </c>
      <c r="G57" s="414">
        <f>'Tourism Medium DB-LCU'!H174</f>
        <v>56245.163249999998</v>
      </c>
      <c r="H57" s="414">
        <f>'Tourism Medium DB-LCU'!I174</f>
        <v>52886.647520000006</v>
      </c>
      <c r="I57" s="414">
        <f>'Tourism Medium DB-LCU'!J174</f>
        <v>55634.867340000004</v>
      </c>
      <c r="J57" s="414">
        <f>'Tourism Medium DB-LCU'!K174</f>
        <v>57802.691043436396</v>
      </c>
      <c r="K57" s="414">
        <f>'Tourism Medium DB-LCU'!L174</f>
        <v>59692.642640828475</v>
      </c>
    </row>
    <row r="58" spans="1:16">
      <c r="A58" s="744"/>
      <c r="B58" s="5"/>
      <c r="C58" s="5"/>
      <c r="D58" s="5"/>
      <c r="E58" s="5"/>
      <c r="F58" s="5"/>
      <c r="G58" s="761">
        <f>G57/F57-1</f>
        <v>3.2488073003557494E-2</v>
      </c>
      <c r="H58" s="761">
        <f t="shared" ref="H58" si="40">H57/G57-1</f>
        <v>-5.9712080753894781E-2</v>
      </c>
      <c r="I58" s="761">
        <f t="shared" ref="I58" si="41">I57/H57-1</f>
        <v>5.1964341641445699E-2</v>
      </c>
      <c r="J58" s="761">
        <f t="shared" ref="J58" si="42">J57/I57-1</f>
        <v>3.8965199470832212E-2</v>
      </c>
      <c r="K58" s="761">
        <f t="shared" ref="K58" si="43">K57/J57-1</f>
        <v>3.2696602239017825E-2</v>
      </c>
    </row>
    <row r="59" spans="1:16">
      <c r="A59" s="745" t="s">
        <v>1034</v>
      </c>
      <c r="F59" s="615">
        <f>(('Norway TI'!H14/'Norway TI'!H13)*(F44/F51))*F57*1.05</f>
        <v>13247.977544161855</v>
      </c>
      <c r="G59" s="615">
        <f>(('Norway TI'!I14/'Norway TI'!I13)*(G44/G51))*G57*0.95</f>
        <v>15198.998202003122</v>
      </c>
      <c r="H59" s="615">
        <f>(('Norway TI'!J14/'Norway TI'!J13)*(H44/H51))*H57*0.92</f>
        <v>18327.390647970864</v>
      </c>
      <c r="I59" s="615">
        <f>(('Norway TI'!K14/'Norway TI'!K13)*(I44/I51))*I57*0.97</f>
        <v>21780.440422632353</v>
      </c>
      <c r="J59" s="615">
        <f>(('Norway TI'!L14/'Norway TI'!L13)*(J44/J51))*J57*0.995</f>
        <v>25224.328422694241</v>
      </c>
      <c r="K59" s="615">
        <f>(('Norway TI'!M14/'Norway TI'!M13)*(K44/K51))*K57*0.96</f>
        <v>27783.746881484709</v>
      </c>
    </row>
    <row r="60" spans="1:16">
      <c r="A60" s="745"/>
      <c r="G60" s="446">
        <f>G59/F59-1</f>
        <v>0.14726932102183765</v>
      </c>
      <c r="H60" s="446">
        <f t="shared" ref="H60:K60" si="44">H59/G59-1</f>
        <v>0.20582885821747388</v>
      </c>
      <c r="I60" s="446">
        <f t="shared" si="44"/>
        <v>0.18840924171842199</v>
      </c>
      <c r="J60" s="446">
        <f t="shared" si="44"/>
        <v>0.15811838205453821</v>
      </c>
      <c r="K60" s="446">
        <f t="shared" si="44"/>
        <v>0.10146626764055955</v>
      </c>
    </row>
    <row r="61" spans="1:16">
      <c r="A61" s="745" t="s">
        <v>1035</v>
      </c>
      <c r="F61" s="154">
        <f>F57-F59</f>
        <v>41227.386114403329</v>
      </c>
      <c r="G61" s="154">
        <f t="shared" ref="G61:K61" si="45">G57-G59</f>
        <v>41046.165047996874</v>
      </c>
      <c r="H61" s="154">
        <f t="shared" si="45"/>
        <v>34559.256872029146</v>
      </c>
      <c r="I61" s="154">
        <f t="shared" si="45"/>
        <v>33854.426917367651</v>
      </c>
      <c r="J61" s="154">
        <f t="shared" si="45"/>
        <v>32578.362620742155</v>
      </c>
      <c r="K61" s="154">
        <f t="shared" si="45"/>
        <v>31908.895759343766</v>
      </c>
    </row>
    <row r="62" spans="1:16">
      <c r="A62" s="745"/>
      <c r="G62" s="446">
        <f>G61/F61-1</f>
        <v>-4.3956477353082057E-3</v>
      </c>
      <c r="H62" s="446">
        <f t="shared" ref="H62" si="46">H61/G61-1</f>
        <v>-0.15803932397539056</v>
      </c>
      <c r="I62" s="446">
        <f t="shared" ref="I62" si="47">I61/H61-1</f>
        <v>-2.0394823802821871E-2</v>
      </c>
      <c r="J62" s="446">
        <f t="shared" ref="J62" si="48">J61/I61-1</f>
        <v>-3.7692686387518326E-2</v>
      </c>
      <c r="K62" s="446">
        <f t="shared" ref="K62" si="49">K61/J61-1</f>
        <v>-2.0549432431332448E-2</v>
      </c>
    </row>
    <row r="63" spans="1:16">
      <c r="A63" s="745"/>
    </row>
    <row r="64" spans="1:16">
      <c r="A64" s="745"/>
    </row>
    <row r="65" spans="1:11">
      <c r="A65" s="744" t="s">
        <v>1037</v>
      </c>
      <c r="B65" s="5" t="s">
        <v>1038</v>
      </c>
      <c r="F65" s="444">
        <f>'Tourism Medium DB-LCU'!G54/('Tourism Medium DB-LCU'!G54+'Tourism Medium DB-LCU'!G62+('Tourism Medium DB-LCU'!G73*('Working Sheet_EI'!B71/'Working Sheet_EI'!B59)))</f>
        <v>0.55619483715990092</v>
      </c>
      <c r="G65" s="444">
        <f>'Tourism Medium DB-LCU'!H54/('Tourism Medium DB-LCU'!H54+'Tourism Medium DB-LCU'!H62+('Tourism Medium DB-LCU'!H73*('Working Sheet_EI'!C71/'Working Sheet_EI'!C59)))</f>
        <v>0.54494427455213468</v>
      </c>
      <c r="H65" s="444">
        <f>('Tourism Medium DB-LCU'!I54/('Tourism Medium DB-LCU'!I54+'Tourism Medium DB-LCU'!I62+('Tourism Medium DB-LCU'!I73*('Working Sheet_EI'!D71/'Working Sheet_EI'!D59))))*0.95</f>
        <v>0.55404624365674182</v>
      </c>
      <c r="I65" s="444">
        <f>('Tourism Medium DB-LCU'!J54/('Tourism Medium DB-LCU'!J54+'Tourism Medium DB-LCU'!J62+('Tourism Medium DB-LCU'!J73*('Working Sheet_EI'!E71/'Working Sheet_EI'!E59))))*0.975</f>
        <v>0.55611621690719371</v>
      </c>
      <c r="J65" s="444">
        <f>('Tourism Medium DB-LCU'!K54/('Tourism Medium DB-LCU'!K54+'Tourism Medium DB-LCU'!K62+('Tourism Medium DB-LCU'!K73*('Working Sheet_EI'!F71/'Working Sheet_EI'!F59))))*0.985</f>
        <v>0.55918482069488595</v>
      </c>
      <c r="K65" s="444">
        <f>'Tourism Medium DB-LCU'!L54/('Tourism Medium DB-LCU'!L54+'Tourism Medium DB-LCU'!L62+('Tourism Medium DB-LCU'!L73*('Working Sheet_EI'!G71/'Working Sheet_EI'!G59)))</f>
        <v>0.57478160383390253</v>
      </c>
    </row>
    <row r="66" spans="1:11">
      <c r="A66" s="745"/>
      <c r="B66" s="5"/>
    </row>
    <row r="67" spans="1:11">
      <c r="A67" s="744" t="s">
        <v>1039</v>
      </c>
      <c r="B67" s="5" t="s">
        <v>1040</v>
      </c>
      <c r="C67" s="5"/>
      <c r="D67" s="5"/>
      <c r="E67" s="5"/>
      <c r="F67" s="719"/>
      <c r="G67" s="719"/>
      <c r="H67" s="719"/>
      <c r="I67" s="719"/>
      <c r="J67" s="719"/>
      <c r="K67" s="719"/>
    </row>
    <row r="68" spans="1:11">
      <c r="A68" s="745"/>
    </row>
    <row r="69" spans="1:11">
      <c r="A69" s="744" t="s">
        <v>1043</v>
      </c>
      <c r="B69" s="5"/>
    </row>
    <row r="70" spans="1:11">
      <c r="A70" s="745" t="s">
        <v>19</v>
      </c>
      <c r="B70" t="s">
        <v>1046</v>
      </c>
      <c r="C70" t="s">
        <v>200</v>
      </c>
      <c r="F70" s="121">
        <v>1922.2490043836983</v>
      </c>
      <c r="G70" s="121">
        <v>2198.2785218804574</v>
      </c>
      <c r="H70" s="121">
        <v>1692.3269121404742</v>
      </c>
      <c r="I70" s="121">
        <v>2145.2054310480348</v>
      </c>
      <c r="J70" s="121">
        <v>2121.1247133936054</v>
      </c>
      <c r="K70" s="121">
        <v>2167.0499342716157</v>
      </c>
    </row>
    <row r="71" spans="1:11">
      <c r="A71" s="745" t="s">
        <v>1044</v>
      </c>
      <c r="B71" t="s">
        <v>1046</v>
      </c>
      <c r="C71" t="s">
        <v>200</v>
      </c>
      <c r="F71" s="121">
        <v>5650.4699092693736</v>
      </c>
      <c r="G71" s="121">
        <v>5847.1279391610078</v>
      </c>
      <c r="H71" s="121">
        <v>5674.5719775513571</v>
      </c>
      <c r="I71" s="121">
        <v>6075.6401601918024</v>
      </c>
      <c r="J71" s="121">
        <v>6204.1428645936412</v>
      </c>
      <c r="K71" s="121">
        <v>6692.0886648085479</v>
      </c>
    </row>
    <row r="72" spans="1:11">
      <c r="A72" s="745" t="s">
        <v>1045</v>
      </c>
      <c r="B72" t="s">
        <v>1046</v>
      </c>
      <c r="C72" t="s">
        <v>200</v>
      </c>
      <c r="F72" s="121">
        <v>1187.5910863469278</v>
      </c>
      <c r="G72" s="121">
        <v>1317.3035389585348</v>
      </c>
      <c r="H72" s="121">
        <v>1327.5811103081683</v>
      </c>
      <c r="I72" s="121">
        <v>1355.4391587601626</v>
      </c>
      <c r="J72" s="121">
        <v>1339.3367320127531</v>
      </c>
      <c r="K72" s="121">
        <v>1354.28365794601</v>
      </c>
    </row>
    <row r="73" spans="1:11">
      <c r="A73" s="745"/>
      <c r="F73" s="444"/>
      <c r="G73" s="444"/>
      <c r="H73" s="444"/>
      <c r="I73" s="444"/>
      <c r="J73" s="444"/>
      <c r="K73" s="444"/>
    </row>
    <row r="74" spans="1:11">
      <c r="A74" s="745" t="s">
        <v>1041</v>
      </c>
      <c r="C74" t="s">
        <v>176</v>
      </c>
      <c r="F74" s="444">
        <f>F70/SUM(F$70:F$72)</f>
        <v>0.21942705273942342</v>
      </c>
      <c r="G74" s="444">
        <f t="shared" ref="G74:K74" si="50">G70/SUM(G$70:G$72)</f>
        <v>0.234790837469115</v>
      </c>
      <c r="H74" s="444">
        <f t="shared" si="50"/>
        <v>0.19464383288482742</v>
      </c>
      <c r="I74" s="444">
        <f t="shared" si="50"/>
        <v>0.22401228524956249</v>
      </c>
      <c r="J74" s="444">
        <f t="shared" si="50"/>
        <v>0.21947351855873401</v>
      </c>
      <c r="K74" s="444">
        <f t="shared" si="50"/>
        <v>0.21217667102530943</v>
      </c>
    </row>
    <row r="75" spans="1:11">
      <c r="A75" s="745" t="s">
        <v>1042</v>
      </c>
      <c r="B75" s="5"/>
      <c r="C75" t="s">
        <v>176</v>
      </c>
      <c r="F75" s="444">
        <f>('Norway TI'!H24+'Norway TI'!H28)/'Norway TI'!H22</f>
        <v>0.19755497342923667</v>
      </c>
      <c r="G75" s="444">
        <f>('Norway TI'!I24+'Norway TI'!I28)/'Norway TI'!I22</f>
        <v>0.22029214277430115</v>
      </c>
      <c r="H75" s="444">
        <f>('Norway TI'!J24+'Norway TI'!J28)/'Norway TI'!J22</f>
        <v>0.15292492249520218</v>
      </c>
      <c r="I75" s="444">
        <f>('Norway TI'!K24+'Norway TI'!K28)/'Norway TI'!K22</f>
        <v>0.16275623050869911</v>
      </c>
      <c r="J75" s="444">
        <f>('Norway TI'!L24+'Norway TI'!L28)/'Norway TI'!L22</f>
        <v>0.14784038781533793</v>
      </c>
      <c r="K75" s="444">
        <f>('Norway TI'!M24+'Norway TI'!M28)/'Norway TI'!M22</f>
        <v>0.13892353647675856</v>
      </c>
    </row>
    <row r="76" spans="1:11">
      <c r="A76" s="745"/>
      <c r="F76" s="444"/>
      <c r="G76" s="444"/>
      <c r="H76" s="444"/>
      <c r="I76" s="444"/>
      <c r="J76" s="444"/>
      <c r="K76" s="444"/>
    </row>
    <row r="77" spans="1:11">
      <c r="A77" s="744" t="s">
        <v>1047</v>
      </c>
      <c r="B77" s="5"/>
    </row>
    <row r="78" spans="1:11">
      <c r="A78" s="745" t="s">
        <v>19</v>
      </c>
      <c r="C78" t="s">
        <v>200</v>
      </c>
      <c r="F78" s="121">
        <f>('Tourism Medium DB-LCU'!G19*27%)+('Tourism Medium DB-LCU'!G30*3%)+('Tourism Medium DB-LCU'!G41*70%)</f>
        <v>2759.8199999999997</v>
      </c>
      <c r="G78" s="121">
        <f>('Tourism Medium DB-LCU'!H19*27%)+('Tourism Medium DB-LCU'!H30*3%)+('Tourism Medium DB-LCU'!H41*70%)</f>
        <v>579.44592999999998</v>
      </c>
      <c r="H78" s="121">
        <f>('Tourism Medium DB-LCU'!I19*27%)+('Tourism Medium DB-LCU'!I30*3%)+('Tourism Medium DB-LCU'!I41*70%)</f>
        <v>518.21012999999994</v>
      </c>
      <c r="I78" s="121">
        <f>('Tourism Medium DB-LCU'!J19*27%)+('Tourism Medium DB-LCU'!J30*3%)+('Tourism Medium DB-LCU'!J41*70%)</f>
        <v>475.81725999999998</v>
      </c>
      <c r="J78" s="121">
        <f>('Tourism Medium DB-LCU'!K19*27%)+('Tourism Medium DB-LCU'!K30*3%)+('Tourism Medium DB-LCU'!K41*70%)</f>
        <v>455.70892999999995</v>
      </c>
      <c r="K78" s="121">
        <f>('Tourism Medium DB-LCU'!L19*27%)+('Tourism Medium DB-LCU'!L30*3%)+('Tourism Medium DB-LCU'!L41*70%)</f>
        <v>389.06621032166095</v>
      </c>
    </row>
    <row r="79" spans="1:11">
      <c r="A79" s="745" t="s">
        <v>1044</v>
      </c>
      <c r="C79" t="s">
        <v>200</v>
      </c>
      <c r="F79" s="121" t="e">
        <f>('Tourism Medium DB-LCU'!G20*27%)+('Tourism Medium DB-LCU'!G31*3%)+('Tourism Medium DB-LCU'!G42*70%)</f>
        <v>#VALUE!</v>
      </c>
      <c r="G79" s="121" t="e">
        <f>('Tourism Medium DB-LCU'!H20*27%)+('Tourism Medium DB-LCU'!H31*3%)+('Tourism Medium DB-LCU'!H42*70%)</f>
        <v>#VALUE!</v>
      </c>
      <c r="H79" s="121" t="e">
        <f>('Tourism Medium DB-LCU'!I20*27%)+('Tourism Medium DB-LCU'!I31*3%)+('Tourism Medium DB-LCU'!I42*70%)</f>
        <v>#VALUE!</v>
      </c>
      <c r="I79" s="121" t="e">
        <f>('Tourism Medium DB-LCU'!J20*27%)+('Tourism Medium DB-LCU'!J31*3%)+('Tourism Medium DB-LCU'!J42*70%)</f>
        <v>#VALUE!</v>
      </c>
      <c r="J79" s="121" t="e">
        <f>('Tourism Medium DB-LCU'!K20*27%)+('Tourism Medium DB-LCU'!K31*3%)+('Tourism Medium DB-LCU'!K42*70%)</f>
        <v>#VALUE!</v>
      </c>
      <c r="K79" s="121">
        <f>('Tourism Medium DB-LCU'!L20*27%)+('Tourism Medium DB-LCU'!L31*3%)+('Tourism Medium DB-LCU'!L42*70%)</f>
        <v>121.5264</v>
      </c>
    </row>
    <row r="80" spans="1:11">
      <c r="A80" s="745" t="s">
        <v>1045</v>
      </c>
      <c r="C80" t="s">
        <v>200</v>
      </c>
      <c r="F80" s="121">
        <f>('Tourism Medium DB-LCU'!G21*27%)+('Tourism Medium DB-LCU'!G32*3%)+('Tourism Medium DB-LCU'!G43*70%)</f>
        <v>1440.3452828262975</v>
      </c>
      <c r="G80" s="121">
        <f>('Tourism Medium DB-LCU'!H21*27%)+('Tourism Medium DB-LCU'!H32*3%)+('Tourism Medium DB-LCU'!H43*70%)</f>
        <v>0</v>
      </c>
      <c r="H80" s="121">
        <f>('Tourism Medium DB-LCU'!I21*27%)+('Tourism Medium DB-LCU'!I32*3%)+('Tourism Medium DB-LCU'!I43*70%)</f>
        <v>0</v>
      </c>
      <c r="I80" s="121">
        <f>('Tourism Medium DB-LCU'!J21*27%)+('Tourism Medium DB-LCU'!J32*3%)+('Tourism Medium DB-LCU'!J43*70%)</f>
        <v>0</v>
      </c>
      <c r="J80" s="121">
        <f>('Tourism Medium DB-LCU'!K21*27%)+('Tourism Medium DB-LCU'!K32*3%)+('Tourism Medium DB-LCU'!K43*70%)</f>
        <v>0</v>
      </c>
      <c r="K80" s="121">
        <f>('Tourism Medium DB-LCU'!L21*27%)+('Tourism Medium DB-LCU'!L32*3%)+('Tourism Medium DB-LCU'!L43*70%)</f>
        <v>0</v>
      </c>
    </row>
    <row r="81" spans="1:11">
      <c r="A81" s="745"/>
      <c r="F81" s="444"/>
      <c r="G81" s="444"/>
      <c r="H81" s="444"/>
      <c r="I81" s="444"/>
      <c r="J81" s="444"/>
      <c r="K81" s="444"/>
    </row>
    <row r="82" spans="1:11">
      <c r="A82" s="745" t="s">
        <v>1041</v>
      </c>
      <c r="C82" t="s">
        <v>176</v>
      </c>
      <c r="F82" s="444" t="e">
        <f>F78/SUM(F78:F80)</f>
        <v>#VALUE!</v>
      </c>
      <c r="G82" s="444" t="e">
        <f t="shared" ref="G82:K82" si="51">G78/SUM(G78:G80)</f>
        <v>#VALUE!</v>
      </c>
      <c r="H82" s="444" t="e">
        <f t="shared" si="51"/>
        <v>#VALUE!</v>
      </c>
      <c r="I82" s="444" t="e">
        <f t="shared" si="51"/>
        <v>#VALUE!</v>
      </c>
      <c r="J82" s="444" t="e">
        <f t="shared" si="51"/>
        <v>#VALUE!</v>
      </c>
      <c r="K82" s="444">
        <f t="shared" si="51"/>
        <v>0.76198950485507166</v>
      </c>
    </row>
    <row r="83" spans="1:11">
      <c r="A83" s="745" t="s">
        <v>1042</v>
      </c>
      <c r="B83" s="5"/>
      <c r="C83" t="s">
        <v>176</v>
      </c>
      <c r="F83" s="444" t="e">
        <f>(F75/F74)*F82</f>
        <v>#VALUE!</v>
      </c>
      <c r="G83" s="444" t="e">
        <f t="shared" ref="G83" si="52">(G75/G74)*G82</f>
        <v>#VALUE!</v>
      </c>
      <c r="H83" s="444" t="e">
        <f>(H75/H74)*H82*1.24</f>
        <v>#VALUE!</v>
      </c>
      <c r="I83" s="444" t="e">
        <f>(I75/I74)*I82*1.23</f>
        <v>#VALUE!</v>
      </c>
      <c r="J83" s="444" t="e">
        <f>(J75/J74)*J82*1.27</f>
        <v>#VALUE!</v>
      </c>
      <c r="K83" s="444">
        <f>(K75/K74)*K82*1.27</f>
        <v>0.63362296548246388</v>
      </c>
    </row>
    <row r="84" spans="1:11">
      <c r="A84" s="745"/>
      <c r="F84" s="101"/>
      <c r="G84" s="101"/>
      <c r="H84" s="101"/>
      <c r="I84" s="101"/>
      <c r="J84" s="101"/>
    </row>
    <row r="85" spans="1:11">
      <c r="A85" s="745"/>
      <c r="B85" s="5"/>
      <c r="F85" s="101"/>
      <c r="G85" s="101"/>
      <c r="H85" s="101"/>
      <c r="I85" s="101"/>
      <c r="J85" s="101"/>
    </row>
    <row r="86" spans="1:11">
      <c r="A86" s="745"/>
      <c r="F86" s="101"/>
      <c r="G86" s="101"/>
      <c r="H86" s="101"/>
      <c r="I86" s="101"/>
      <c r="J86" s="101"/>
      <c r="K86" s="101"/>
    </row>
    <row r="87" spans="1:11">
      <c r="A87" s="745"/>
      <c r="F87" s="101"/>
      <c r="G87" s="101"/>
      <c r="H87" s="101"/>
      <c r="I87" s="101"/>
      <c r="J87" s="101"/>
    </row>
    <row r="88" spans="1:11">
      <c r="A88" s="745"/>
      <c r="B88" s="5"/>
      <c r="F88" s="101"/>
      <c r="G88" s="101"/>
      <c r="H88" s="101"/>
      <c r="I88" s="101"/>
      <c r="J88" s="101"/>
    </row>
    <row r="89" spans="1:11">
      <c r="A89" s="745"/>
      <c r="F89" s="101"/>
      <c r="G89" s="101"/>
      <c r="H89" s="101"/>
      <c r="I89" s="101"/>
      <c r="J89" s="101"/>
      <c r="K89" s="101"/>
    </row>
    <row r="90" spans="1:11">
      <c r="A90" s="745"/>
    </row>
    <row r="91" spans="1:11">
      <c r="A91" s="745"/>
    </row>
    <row r="92" spans="1:11">
      <c r="A92" s="745"/>
    </row>
    <row r="93" spans="1:11">
      <c r="A93" s="745"/>
    </row>
    <row r="94" spans="1:11">
      <c r="A94" s="745"/>
    </row>
    <row r="95" spans="1:11">
      <c r="A95" s="745"/>
    </row>
    <row r="96" spans="1:11">
      <c r="A96" s="745"/>
    </row>
    <row r="97" spans="1:1">
      <c r="A97" s="745"/>
    </row>
    <row r="98" spans="1:1">
      <c r="A98" s="745"/>
    </row>
  </sheetData>
  <customSheetViews>
    <customSheetView guid="{BD5E9955-DC4B-4EA0-9160-9EF1C693DE04}">
      <pane ySplit="1" topLeftCell="A20" activePane="bottomLeft" state="frozen"/>
      <selection pane="bottomLeft" activeCell="K31" sqref="K31"/>
      <pageMargins left="0.7" right="0.7" top="0.75" bottom="0.75" header="0.3" footer="0.3"/>
      <pageSetup orientation="portrait" horizontalDpi="300" verticalDpi="0" copies="0" r:id="rId1"/>
    </customSheetView>
    <customSheetView guid="{1ACDCC85-59E3-4410-927D-E7E5C71B61F5}" state="hidden">
      <pane ySplit="1" topLeftCell="A2" activePane="bottomLeft" state="frozen"/>
      <selection pane="bottomLeft" activeCell="G12" sqref="G12"/>
      <pageMargins left="0.7" right="0.7" top="0.75" bottom="0.75" header="0.3" footer="0.3"/>
      <pageSetup orientation="portrait" horizontalDpi="300" verticalDpi="0" copies="0" r:id="rId2"/>
    </customSheetView>
    <customSheetView guid="{9144D9B3-2327-4B3A-89B1-6A595780C3C5}" state="hidden">
      <pane ySplit="1" topLeftCell="A62" activePane="bottomLeft" state="frozen"/>
      <selection pane="bottomLeft" activeCell="G12" sqref="G12"/>
      <pageMargins left="0.7" right="0.7" top="0.75" bottom="0.75" header="0.3" footer="0.3"/>
      <pageSetup orientation="portrait" horizontalDpi="300" verticalDpi="0" copies="0" r:id="rId3"/>
    </customSheetView>
    <customSheetView guid="{513032B5-C585-49C2-98E7-9FDE6F7A4BA7}">
      <pane ySplit="1" topLeftCell="A2" activePane="bottomLeft" state="frozen"/>
      <selection pane="bottomLeft" activeCell="A2" sqref="A2"/>
      <pageMargins left="0.7" right="0.7" top="0.75" bottom="0.75" header="0.3" footer="0.3"/>
      <pageSetup orientation="portrait" horizontalDpi="300" verticalDpi="0" copies="0" r:id="rId4"/>
    </customSheetView>
    <customSheetView guid="{AF983ECA-536A-40E6-8A04-FF0A375E9ACC}">
      <pane ySplit="1" topLeftCell="A2" activePane="bottomLeft" state="frozen"/>
      <selection pane="bottomLeft" activeCell="G12" sqref="G12"/>
      <pageMargins left="0.7" right="0.7" top="0.75" bottom="0.75" header="0.3" footer="0.3"/>
      <pageSetup orientation="portrait" horizontalDpi="300" verticalDpi="0" copies="0" r:id="rId5"/>
    </customSheetView>
  </customSheetViews>
  <hyperlinks>
    <hyperlink ref="B37" r:id="rId6"/>
    <hyperlink ref="B52" r:id="rId7" display="http://www.itu.int/ITU-D/ict/statistics/"/>
    <hyperlink ref="B59" r:id="rId8" display="http://www.imf.org/external/pubs/ft/weo/2012/02/weodata/weorept.aspx?pr.x=65&amp;pr.y=10&amp;sy=2005&amp;ey=2017&amp;scsm=1&amp;ssd=1&amp;sort=country&amp;ds=.&amp;br=1&amp;c=744&amp;s=LP&amp;grp=0&amp;a="/>
    <hyperlink ref="B18" r:id="rId9"/>
    <hyperlink ref="B34" r:id="rId10"/>
    <hyperlink ref="B35" r:id="rId11"/>
    <hyperlink ref="B39" r:id="rId12"/>
    <hyperlink ref="B41" r:id="rId13"/>
    <hyperlink ref="B44" r:id="rId14"/>
    <hyperlink ref="B48" r:id="rId15"/>
    <hyperlink ref="B49" r:id="rId16"/>
  </hyperlinks>
  <pageMargins left="0.7" right="0.7" top="0.75" bottom="0.75" header="0.3" footer="0.3"/>
  <pageSetup orientation="portrait" horizontalDpi="300" verticalDpi="0" copies="0" r:id="rId17"/>
</worksheet>
</file>

<file path=xl/worksheets/sheet5.xml><?xml version="1.0" encoding="utf-8"?>
<worksheet xmlns="http://schemas.openxmlformats.org/spreadsheetml/2006/main" xmlns:r="http://schemas.openxmlformats.org/officeDocument/2006/relationships">
  <dimension ref="A1:AD183"/>
  <sheetViews>
    <sheetView showGridLines="0" workbookViewId="0">
      <pane ySplit="1" topLeftCell="A66" activePane="bottomLeft" state="frozen"/>
      <selection pane="bottomLeft" activeCell="H83" sqref="H83"/>
    </sheetView>
  </sheetViews>
  <sheetFormatPr defaultRowHeight="15" customHeight="1"/>
  <cols>
    <col min="1" max="1" width="9.140625" style="1"/>
    <col min="2" max="2" width="8.5703125" style="1" customWidth="1"/>
    <col min="3" max="3" width="52.42578125" style="1" bestFit="1" customWidth="1"/>
    <col min="4" max="5" width="8.5703125" style="1" customWidth="1"/>
    <col min="6" max="16384" width="9.140625" style="1"/>
  </cols>
  <sheetData>
    <row r="1" spans="1:26" ht="15" customHeight="1">
      <c r="A1" s="3" t="str">
        <f>'Tourism Medium DB-LCU'!A1</f>
        <v>Country</v>
      </c>
      <c r="B1" s="3" t="str">
        <f>'Tourism Medium DB-LCU'!B1</f>
        <v>Subject</v>
      </c>
      <c r="C1" s="3" t="str">
        <f>'Tourism Medium DB-LCU'!C1</f>
        <v>Metric</v>
      </c>
      <c r="D1" s="3" t="str">
        <f>'Tourism Medium DB-LCU'!D1</f>
        <v>Metric-1</v>
      </c>
      <c r="E1" s="3" t="str">
        <f>'Tourism Medium DB-LCU'!E1</f>
        <v>Metric-2</v>
      </c>
      <c r="F1" s="3" t="str">
        <f>'Tourism Medium DB-LCU'!F1</f>
        <v>Units</v>
      </c>
      <c r="G1" s="3">
        <f>'Tourism Medium DB-LCU'!H1</f>
        <v>2008</v>
      </c>
      <c r="H1" s="3">
        <f>'Tourism Medium DB-LCU'!I1</f>
        <v>2009</v>
      </c>
      <c r="I1" s="3">
        <f>'Tourism Medium DB-LCU'!J1</f>
        <v>2010</v>
      </c>
      <c r="J1" s="3">
        <f>'Tourism Medium DB-LCU'!K1</f>
        <v>2011</v>
      </c>
      <c r="K1" s="3">
        <f>'Tourism Medium DB-LCU'!L1</f>
        <v>2012</v>
      </c>
      <c r="L1" s="3">
        <f>'Tourism Medium DB-LCU'!M1</f>
        <v>2013</v>
      </c>
      <c r="M1" s="3">
        <f>'Tourism Medium DB-LCU'!N1</f>
        <v>2014</v>
      </c>
      <c r="N1" s="3">
        <f>'Tourism Medium DB-LCU'!O1</f>
        <v>2015</v>
      </c>
      <c r="O1" s="3">
        <f>'Tourism Medium DB-LCU'!P1</f>
        <v>2016</v>
      </c>
      <c r="P1" s="3">
        <f>'Tourism Medium DB-LCU'!Q1</f>
        <v>2017</v>
      </c>
      <c r="Q1" s="3" t="str">
        <f>'Tourism Medium DB-LCU'!R1</f>
        <v>CAGR 2008-2012</v>
      </c>
      <c r="R1" s="3" t="str">
        <f>'Tourism Medium DB-LCU'!S1</f>
        <v>CAGR 2013-2017</v>
      </c>
      <c r="S1" s="3" t="str">
        <f>'Tourism Medium DB-LCU'!V1</f>
        <v>Source</v>
      </c>
      <c r="T1" s="3" t="str">
        <f>'Tourism Medium DB-LCU'!W1</f>
        <v>Source</v>
      </c>
      <c r="U1" s="3" t="str">
        <f>'Tourism Medium DB-LCU'!X1</f>
        <v>Source</v>
      </c>
      <c r="V1" s="3" t="str">
        <f>'Tourism Medium DB-LCU'!Y1</f>
        <v>Source</v>
      </c>
      <c r="W1" s="3" t="str">
        <f>'Tourism Medium DB-LCU'!Z1</f>
        <v>Source</v>
      </c>
      <c r="X1" s="3" t="str">
        <f>'Tourism Medium DB-LCU'!AA1</f>
        <v>Confidence Score</v>
      </c>
      <c r="Y1" s="3"/>
      <c r="Z1" s="3" t="str">
        <f>'Tourism Medium DB-LCU'!AB1</f>
        <v>Methodology</v>
      </c>
    </row>
    <row r="2" spans="1:26" s="6" customFormat="1" ht="15" customHeight="1">
      <c r="A2" s="16" t="str">
        <f>'Tourism Medium DB-LCU'!A2</f>
        <v>Hungary</v>
      </c>
      <c r="B2" s="16"/>
      <c r="C2" s="16"/>
      <c r="D2" s="16"/>
      <c r="E2" s="16"/>
      <c r="F2" s="16"/>
      <c r="G2" s="16"/>
      <c r="H2" s="16"/>
      <c r="I2" s="16"/>
      <c r="J2" s="16"/>
      <c r="K2" s="16"/>
      <c r="L2" s="16"/>
      <c r="M2" s="16"/>
      <c r="N2" s="16"/>
      <c r="O2" s="16"/>
      <c r="P2" s="16"/>
      <c r="Q2" s="16"/>
      <c r="R2" s="16"/>
      <c r="S2" s="16"/>
      <c r="T2" s="16"/>
      <c r="U2" s="16"/>
      <c r="V2" s="16"/>
      <c r="W2" s="16"/>
      <c r="X2" s="16"/>
      <c r="Y2" s="16"/>
      <c r="Z2" s="16"/>
    </row>
    <row r="3" spans="1:26" ht="15" customHeight="1">
      <c r="A3" s="4" t="str">
        <f>'Tourism Medium DB-LCU'!A2</f>
        <v>Hungary</v>
      </c>
      <c r="B3" s="14" t="str">
        <f>'Tourism Medium DB-LCU'!B2</f>
        <v>Tourism Demand Factors</v>
      </c>
      <c r="C3" s="4"/>
      <c r="D3" s="4"/>
      <c r="E3" s="4"/>
      <c r="F3" s="4"/>
    </row>
    <row r="4" spans="1:26" ht="15" customHeight="1">
      <c r="A4" s="4" t="str">
        <f>'Tourism Medium DB-LCU'!A3</f>
        <v>Hungary</v>
      </c>
      <c r="B4" s="4" t="str">
        <f>'Tourism Medium DB-LCU'!B3</f>
        <v>Tourism Demand Factors</v>
      </c>
      <c r="C4" s="14" t="str">
        <f>'Tourism Medium DB-LCU'!C3</f>
        <v>Annual Tourist Days per Resident by Entitlement Type</v>
      </c>
      <c r="D4" s="4"/>
      <c r="E4" s="4"/>
      <c r="F4" s="4" t="str">
        <f>'Tourism Medium DB-LCU'!F3</f>
        <v>Days</v>
      </c>
      <c r="G4" s="1">
        <f>'Tourism Medium DB-LCU'!H3</f>
        <v>33</v>
      </c>
      <c r="H4" s="1">
        <f>'Tourism Medium DB-LCU'!I3</f>
        <v>33</v>
      </c>
      <c r="I4" s="1">
        <f>'Tourism Medium DB-LCU'!J3</f>
        <v>33</v>
      </c>
      <c r="J4" s="1">
        <f>'Tourism Medium DB-LCU'!K3</f>
        <v>33</v>
      </c>
      <c r="K4" s="1">
        <f>'Tourism Medium DB-LCU'!L3</f>
        <v>33</v>
      </c>
      <c r="Q4" s="32"/>
      <c r="R4" s="32"/>
      <c r="X4" s="1">
        <v>4</v>
      </c>
    </row>
    <row r="5" spans="1:26" ht="15" customHeight="1">
      <c r="A5" s="4" t="str">
        <f>'Tourism Medium DB-LCU'!A4</f>
        <v>Hungary</v>
      </c>
      <c r="B5" s="4" t="str">
        <f>'Tourism Medium DB-LCU'!B4</f>
        <v>Tourism Demand Factors</v>
      </c>
      <c r="C5" s="4" t="str">
        <f>'Tourism Medium DB-LCU'!C4</f>
        <v>Annual Tourist Days per Resident by Entitlement Type</v>
      </c>
      <c r="D5" s="14" t="str">
        <f>'Tourism Medium DB-LCU'!D4</f>
        <v>Paid Holidays</v>
      </c>
      <c r="E5" s="4"/>
      <c r="F5" s="4" t="str">
        <f>'Tourism Medium DB-LCU'!F4</f>
        <v>Days</v>
      </c>
      <c r="G5" s="1">
        <f>'Tourism Medium DB-LCU'!H4</f>
        <v>23</v>
      </c>
      <c r="H5" s="1">
        <f>'Tourism Medium DB-LCU'!I4</f>
        <v>23</v>
      </c>
      <c r="I5" s="1">
        <f>'Tourism Medium DB-LCU'!J4</f>
        <v>23</v>
      </c>
      <c r="J5" s="1">
        <f>'Tourism Medium DB-LCU'!K4</f>
        <v>23</v>
      </c>
      <c r="K5" s="1">
        <f>'Tourism Medium DB-LCU'!L4</f>
        <v>23</v>
      </c>
      <c r="Q5" s="32"/>
      <c r="R5" s="32"/>
      <c r="T5" s="82" t="s">
        <v>304</v>
      </c>
      <c r="X5" s="1">
        <v>4</v>
      </c>
      <c r="Y5" s="1" t="s">
        <v>455</v>
      </c>
    </row>
    <row r="6" spans="1:26" ht="15" customHeight="1">
      <c r="A6" s="4" t="str">
        <f>'Tourism Medium DB-LCU'!A5</f>
        <v>Hungary</v>
      </c>
      <c r="B6" s="4" t="str">
        <f>'Tourism Medium DB-LCU'!B5</f>
        <v>Tourism Demand Factors</v>
      </c>
      <c r="C6" s="4" t="str">
        <f>'Tourism Medium DB-LCU'!C5</f>
        <v>Annual Tourist Days per Resident by Entitlement Type</v>
      </c>
      <c r="D6" s="14" t="str">
        <f>'Tourism Medium DB-LCU'!D5</f>
        <v>Public Holidays</v>
      </c>
      <c r="E6" s="4"/>
      <c r="F6" s="4" t="str">
        <f>'Tourism Medium DB-LCU'!F5</f>
        <v>Days</v>
      </c>
      <c r="G6" s="1">
        <f>'Tourism Medium DB-LCU'!H5</f>
        <v>10</v>
      </c>
      <c r="H6" s="1">
        <f>'Tourism Medium DB-LCU'!I5</f>
        <v>10</v>
      </c>
      <c r="I6" s="1">
        <f>'Tourism Medium DB-LCU'!J5</f>
        <v>10</v>
      </c>
      <c r="J6" s="1">
        <f>'Tourism Medium DB-LCU'!K5</f>
        <v>10</v>
      </c>
      <c r="K6" s="1">
        <f>'Tourism Medium DB-LCU'!L5</f>
        <v>10</v>
      </c>
      <c r="Q6" s="32"/>
      <c r="R6" s="32"/>
      <c r="T6" s="82" t="s">
        <v>303</v>
      </c>
      <c r="X6" s="1">
        <v>4</v>
      </c>
    </row>
    <row r="7" spans="1:26" ht="15" customHeight="1">
      <c r="A7" s="4" t="str">
        <f>'Tourism Medium DB-LCU'!A6</f>
        <v>Hungary</v>
      </c>
      <c r="B7" s="4" t="str">
        <f>'Tourism Medium DB-LCU'!B6</f>
        <v>Tourism Demand Factors</v>
      </c>
      <c r="C7" s="2" t="str">
        <f>'Tourism Medium DB-LCU'!C6</f>
        <v>Number of  Trips by Season</v>
      </c>
      <c r="D7" s="4"/>
      <c r="E7" s="4"/>
      <c r="F7" s="4" t="str">
        <f>'Tourism Medium DB-LCU'!F6</f>
        <v>Thousand</v>
      </c>
      <c r="G7" s="416">
        <f>'Tourism Medium DB-LCU'!H6</f>
        <v>23179.153999999999</v>
      </c>
      <c r="H7" s="416">
        <f>'Tourism Medium DB-LCU'!I6</f>
        <v>19399.268</v>
      </c>
      <c r="I7" s="416">
        <f>'Tourism Medium DB-LCU'!J6</f>
        <v>19170.006000000001</v>
      </c>
      <c r="J7" s="416">
        <f>'Tourism Medium DB-LCU'!K6</f>
        <v>20077.920999999998</v>
      </c>
      <c r="K7" s="416">
        <f>'Tourism Medium DB-LCU'!L6</f>
        <v>18493.900000000001</v>
      </c>
      <c r="L7" s="264">
        <f>'Tourism Medium DB-LCU'!M6</f>
        <v>17368.874762650797</v>
      </c>
      <c r="M7" s="264">
        <f>'Tourism Medium DB-LCU'!N6</f>
        <v>16970.260899469889</v>
      </c>
      <c r="N7" s="264">
        <f>'Tourism Medium DB-LCU'!O6</f>
        <v>16803.300694536974</v>
      </c>
      <c r="O7" s="264">
        <f>'Tourism Medium DB-LCU'!P6</f>
        <v>16671.38572346501</v>
      </c>
      <c r="P7" s="264">
        <f>'Tourism Medium DB-LCU'!Q6</f>
        <v>16515.509206374561</v>
      </c>
      <c r="Q7" s="161">
        <f t="shared" ref="Q7:Q14" si="0">(K7/G7)^(1/4)-1</f>
        <v>-5.4889189024128537E-2</v>
      </c>
      <c r="R7" s="161">
        <f t="shared" ref="R7:R14" si="1">(P7/K7)^(1/5)-1</f>
        <v>-2.2374113557698139E-2</v>
      </c>
      <c r="X7" s="1">
        <v>2</v>
      </c>
      <c r="Y7" s="1" t="s">
        <v>456</v>
      </c>
    </row>
    <row r="8" spans="1:26" ht="15" customHeight="1">
      <c r="A8" s="4" t="str">
        <f>'Tourism Medium DB-LCU'!A7</f>
        <v>Hungary</v>
      </c>
      <c r="B8" s="4" t="str">
        <f>'Tourism Medium DB-LCU'!B7</f>
        <v>Tourism Demand Factors</v>
      </c>
      <c r="C8" s="4" t="str">
        <f>'Tourism Medium DB-LCU'!C7</f>
        <v>Number of  Trips by Season</v>
      </c>
      <c r="D8" s="2" t="str">
        <f>'Tourism Medium DB-LCU'!D7</f>
        <v>January - March</v>
      </c>
      <c r="E8" s="4"/>
      <c r="F8" s="4" t="str">
        <f>'Tourism Medium DB-LCU'!F7</f>
        <v>Thousand</v>
      </c>
      <c r="G8" s="417">
        <f>'Tourism Medium DB-LCU'!H7</f>
        <v>0</v>
      </c>
      <c r="H8" s="417">
        <f>'Tourism Medium DB-LCU'!I7</f>
        <v>0</v>
      </c>
      <c r="I8" s="417">
        <f>'Tourism Medium DB-LCU'!J7</f>
        <v>0</v>
      </c>
      <c r="J8" s="417">
        <f>'Tourism Medium DB-LCU'!K7</f>
        <v>0</v>
      </c>
      <c r="K8" s="417">
        <f>'Tourism Medium DB-LCU'!L7</f>
        <v>0</v>
      </c>
      <c r="L8" s="73" t="e">
        <f>'Tourism Medium DB-LCU'!M7</f>
        <v>#DIV/0!</v>
      </c>
      <c r="M8" s="73" t="e">
        <f>'Tourism Medium DB-LCU'!N7</f>
        <v>#DIV/0!</v>
      </c>
      <c r="N8" s="73" t="e">
        <f>'Tourism Medium DB-LCU'!O7</f>
        <v>#DIV/0!</v>
      </c>
      <c r="O8" s="73" t="e">
        <f>'Tourism Medium DB-LCU'!P7</f>
        <v>#DIV/0!</v>
      </c>
      <c r="P8" s="73" t="e">
        <f>'Tourism Medium DB-LCU'!Q7</f>
        <v>#DIV/0!</v>
      </c>
      <c r="Q8" s="32" t="e">
        <f t="shared" si="0"/>
        <v>#DIV/0!</v>
      </c>
      <c r="R8" s="32" t="e">
        <f t="shared" si="1"/>
        <v>#DIV/0!</v>
      </c>
      <c r="X8" s="1">
        <v>2</v>
      </c>
    </row>
    <row r="9" spans="1:26" ht="15" customHeight="1">
      <c r="A9" s="4" t="str">
        <f>'Tourism Medium DB-LCU'!A8</f>
        <v>Hungary</v>
      </c>
      <c r="B9" s="4" t="str">
        <f>'Tourism Medium DB-LCU'!B8</f>
        <v>Tourism Demand Factors</v>
      </c>
      <c r="C9" s="4" t="str">
        <f>'Tourism Medium DB-LCU'!C8</f>
        <v>Number of  Trips by Season</v>
      </c>
      <c r="D9" s="2" t="str">
        <f>'Tourism Medium DB-LCU'!D8</f>
        <v>April - June</v>
      </c>
      <c r="E9" s="4"/>
      <c r="F9" s="4" t="str">
        <f>'Tourism Medium DB-LCU'!F8</f>
        <v>Thousand</v>
      </c>
      <c r="G9" s="417">
        <f>'Tourism Medium DB-LCU'!H8</f>
        <v>0</v>
      </c>
      <c r="H9" s="417">
        <f>'Tourism Medium DB-LCU'!I8</f>
        <v>0</v>
      </c>
      <c r="I9" s="417">
        <f>'Tourism Medium DB-LCU'!J8</f>
        <v>0</v>
      </c>
      <c r="J9" s="417">
        <f>'Tourism Medium DB-LCU'!K8</f>
        <v>0</v>
      </c>
      <c r="K9" s="417">
        <f>'Tourism Medium DB-LCU'!L8</f>
        <v>0</v>
      </c>
      <c r="L9" s="73" t="e">
        <f>'Tourism Medium DB-LCU'!M8</f>
        <v>#DIV/0!</v>
      </c>
      <c r="M9" s="73" t="e">
        <f>'Tourism Medium DB-LCU'!N8</f>
        <v>#DIV/0!</v>
      </c>
      <c r="N9" s="73" t="e">
        <f>'Tourism Medium DB-LCU'!O8</f>
        <v>#DIV/0!</v>
      </c>
      <c r="O9" s="73" t="e">
        <f>'Tourism Medium DB-LCU'!P8</f>
        <v>#DIV/0!</v>
      </c>
      <c r="P9" s="73" t="e">
        <f>'Tourism Medium DB-LCU'!Q8</f>
        <v>#DIV/0!</v>
      </c>
      <c r="Q9" s="32" t="e">
        <f t="shared" si="0"/>
        <v>#DIV/0!</v>
      </c>
      <c r="R9" s="32" t="e">
        <f t="shared" si="1"/>
        <v>#DIV/0!</v>
      </c>
      <c r="X9" s="1">
        <v>2</v>
      </c>
    </row>
    <row r="10" spans="1:26" ht="15" customHeight="1">
      <c r="A10" s="4" t="str">
        <f>'Tourism Medium DB-LCU'!A9</f>
        <v>Hungary</v>
      </c>
      <c r="B10" s="4" t="str">
        <f>'Tourism Medium DB-LCU'!B9</f>
        <v>Tourism Demand Factors</v>
      </c>
      <c r="C10" s="4" t="str">
        <f>'Tourism Medium DB-LCU'!C9</f>
        <v>Number of  Trips by Season</v>
      </c>
      <c r="D10" s="2" t="str">
        <f>'Tourism Medium DB-LCU'!D9</f>
        <v>July - September</v>
      </c>
      <c r="E10" s="4"/>
      <c r="F10" s="4" t="str">
        <f>'Tourism Medium DB-LCU'!F9</f>
        <v>Thousand</v>
      </c>
      <c r="G10" s="417">
        <f>'Tourism Medium DB-LCU'!H9</f>
        <v>0</v>
      </c>
      <c r="H10" s="417">
        <f>'Tourism Medium DB-LCU'!I9</f>
        <v>0</v>
      </c>
      <c r="I10" s="417">
        <f>'Tourism Medium DB-LCU'!J9</f>
        <v>0</v>
      </c>
      <c r="J10" s="417">
        <f>'Tourism Medium DB-LCU'!K9</f>
        <v>0</v>
      </c>
      <c r="K10" s="417">
        <f>'Tourism Medium DB-LCU'!L9</f>
        <v>0</v>
      </c>
      <c r="L10" s="73" t="e">
        <f>'Tourism Medium DB-LCU'!M9</f>
        <v>#DIV/0!</v>
      </c>
      <c r="M10" s="73" t="e">
        <f>'Tourism Medium DB-LCU'!N9</f>
        <v>#DIV/0!</v>
      </c>
      <c r="N10" s="73" t="e">
        <f>'Tourism Medium DB-LCU'!O9</f>
        <v>#DIV/0!</v>
      </c>
      <c r="O10" s="73" t="e">
        <f>'Tourism Medium DB-LCU'!P9</f>
        <v>#DIV/0!</v>
      </c>
      <c r="P10" s="73" t="e">
        <f>'Tourism Medium DB-LCU'!Q9</f>
        <v>#DIV/0!</v>
      </c>
      <c r="Q10" s="32" t="e">
        <f t="shared" si="0"/>
        <v>#DIV/0!</v>
      </c>
      <c r="R10" s="32" t="e">
        <f t="shared" si="1"/>
        <v>#DIV/0!</v>
      </c>
      <c r="X10" s="1">
        <v>2</v>
      </c>
    </row>
    <row r="11" spans="1:26" ht="15" customHeight="1">
      <c r="A11" s="4" t="str">
        <f>'Tourism Medium DB-LCU'!A10</f>
        <v>Hungary</v>
      </c>
      <c r="B11" s="4" t="str">
        <f>'Tourism Medium DB-LCU'!B10</f>
        <v>Tourism Demand Factors</v>
      </c>
      <c r="C11" s="4" t="str">
        <f>'Tourism Medium DB-LCU'!C10</f>
        <v>Number of  Trips by Season</v>
      </c>
      <c r="D11" s="2" t="str">
        <f>'Tourism Medium DB-LCU'!D10</f>
        <v>October - December</v>
      </c>
      <c r="E11" s="4"/>
      <c r="F11" s="4" t="str">
        <f>'Tourism Medium DB-LCU'!F10</f>
        <v>Thousand</v>
      </c>
      <c r="G11" s="417">
        <f>'Tourism Medium DB-LCU'!H10</f>
        <v>0</v>
      </c>
      <c r="H11" s="417">
        <f>'Tourism Medium DB-LCU'!I10</f>
        <v>0</v>
      </c>
      <c r="I11" s="417">
        <f>'Tourism Medium DB-LCU'!J10</f>
        <v>0</v>
      </c>
      <c r="J11" s="417">
        <f>'Tourism Medium DB-LCU'!K10</f>
        <v>0</v>
      </c>
      <c r="K11" s="417">
        <f>'Tourism Medium DB-LCU'!L10</f>
        <v>0</v>
      </c>
      <c r="L11" s="73" t="e">
        <f>'Tourism Medium DB-LCU'!M10</f>
        <v>#DIV/0!</v>
      </c>
      <c r="M11" s="73" t="e">
        <f>'Tourism Medium DB-LCU'!N10</f>
        <v>#DIV/0!</v>
      </c>
      <c r="N11" s="73" t="e">
        <f>'Tourism Medium DB-LCU'!O10</f>
        <v>#DIV/0!</v>
      </c>
      <c r="O11" s="73" t="e">
        <f>'Tourism Medium DB-LCU'!P10</f>
        <v>#DIV/0!</v>
      </c>
      <c r="P11" s="73" t="e">
        <f>'Tourism Medium DB-LCU'!Q10</f>
        <v>#DIV/0!</v>
      </c>
      <c r="Q11" s="32" t="e">
        <f t="shared" si="0"/>
        <v>#DIV/0!</v>
      </c>
      <c r="R11" s="32" t="e">
        <f t="shared" si="1"/>
        <v>#DIV/0!</v>
      </c>
      <c r="X11" s="1">
        <v>2</v>
      </c>
    </row>
    <row r="12" spans="1:26" ht="15" customHeight="1">
      <c r="A12" s="4" t="str">
        <f>'Tourism Medium DB-LCU'!A11</f>
        <v>Hungary</v>
      </c>
      <c r="B12" s="4" t="str">
        <f>'Tourism Medium DB-LCU'!B11</f>
        <v>Tourism Demand Factors</v>
      </c>
      <c r="C12" s="2" t="str">
        <f>'Tourism Medium DB-LCU'!C11</f>
        <v>Number of Trips by Residents by Type</v>
      </c>
      <c r="D12" s="4"/>
      <c r="E12" s="4"/>
      <c r="F12" s="4" t="str">
        <f>'Tourism Medium DB-LCU'!F11</f>
        <v>Thousand</v>
      </c>
      <c r="G12" s="416">
        <f>'Tourism Medium DB-LCU'!H11</f>
        <v>23179.153999999999</v>
      </c>
      <c r="H12" s="416">
        <f>'Tourism Medium DB-LCU'!I11</f>
        <v>19399.268</v>
      </c>
      <c r="I12" s="416">
        <f>'Tourism Medium DB-LCU'!J11</f>
        <v>19170.006000000001</v>
      </c>
      <c r="J12" s="416">
        <f>'Tourism Medium DB-LCU'!K11</f>
        <v>20077.920999999998</v>
      </c>
      <c r="K12" s="416">
        <f>'Tourism Medium DB-LCU'!L11</f>
        <v>18493.900000000001</v>
      </c>
      <c r="L12" s="155">
        <f>'Tourism Medium DB-LCU'!M11</f>
        <v>17368.874762650797</v>
      </c>
      <c r="M12" s="155">
        <f>'Tourism Medium DB-LCU'!N11</f>
        <v>16970.260899469889</v>
      </c>
      <c r="N12" s="155">
        <f>'Tourism Medium DB-LCU'!O11</f>
        <v>16803.300694536974</v>
      </c>
      <c r="O12" s="155">
        <f>'Tourism Medium DB-LCU'!P11</f>
        <v>16671.38572346501</v>
      </c>
      <c r="P12" s="155">
        <f>'Tourism Medium DB-LCU'!Q11</f>
        <v>16515.509206374561</v>
      </c>
      <c r="Q12" s="161">
        <f t="shared" si="0"/>
        <v>-5.4889189024128537E-2</v>
      </c>
      <c r="R12" s="161">
        <f t="shared" si="1"/>
        <v>-2.2374113557698139E-2</v>
      </c>
      <c r="X12" s="1">
        <v>2</v>
      </c>
    </row>
    <row r="13" spans="1:26" ht="15" customHeight="1">
      <c r="A13" s="4" t="str">
        <f>'Tourism Medium DB-LCU'!A12</f>
        <v>Hungary</v>
      </c>
      <c r="B13" s="4" t="str">
        <f>'Tourism Medium DB-LCU'!B12</f>
        <v>Tourism Demand Factors</v>
      </c>
      <c r="C13" s="4" t="str">
        <f>'Tourism Medium DB-LCU'!C12</f>
        <v>Number of Trips by Residents by Type</v>
      </c>
      <c r="D13" s="2" t="str">
        <f>'Tourism Medium DB-LCU'!D12</f>
        <v>Domestic Trips</v>
      </c>
      <c r="E13" s="4"/>
      <c r="F13" s="4" t="str">
        <f>'Tourism Medium DB-LCU'!F12</f>
        <v>Thousand</v>
      </c>
      <c r="G13" s="417">
        <f>'Tourism Medium DB-LCU'!H12</f>
        <v>18121.427</v>
      </c>
      <c r="H13" s="417">
        <f>'Tourism Medium DB-LCU'!I12</f>
        <v>14843.013999999999</v>
      </c>
      <c r="I13" s="417">
        <f>'Tourism Medium DB-LCU'!J12</f>
        <v>14771.822</v>
      </c>
      <c r="J13" s="417">
        <f>'Tourism Medium DB-LCU'!K12</f>
        <v>15663.802</v>
      </c>
      <c r="K13" s="417">
        <f>'Tourism Medium DB-LCU'!L12</f>
        <v>14443.02</v>
      </c>
      <c r="L13" s="120">
        <f>'Tourism Medium DB-LCU'!M12</f>
        <v>13808.951337287452</v>
      </c>
      <c r="M13" s="120">
        <f>'Tourism Medium DB-LCU'!N12</f>
        <v>13666.405585739971</v>
      </c>
      <c r="N13" s="120">
        <f>'Tourism Medium DB-LCU'!O12</f>
        <v>13494.007109354587</v>
      </c>
      <c r="O13" s="120">
        <f>'Tourism Medium DB-LCU'!P12</f>
        <v>13196.318682617461</v>
      </c>
      <c r="P13" s="120">
        <f>'Tourism Medium DB-LCU'!Q12</f>
        <v>12917.400924362986</v>
      </c>
      <c r="Q13" s="32">
        <f t="shared" si="0"/>
        <v>-5.514230426393163E-2</v>
      </c>
      <c r="R13" s="32">
        <f t="shared" si="1"/>
        <v>-2.2079781372025264E-2</v>
      </c>
      <c r="X13" s="1">
        <v>2</v>
      </c>
      <c r="Y13" s="1" t="s">
        <v>461</v>
      </c>
    </row>
    <row r="14" spans="1:26" ht="15" customHeight="1">
      <c r="A14" s="4" t="str">
        <f>'Tourism Medium DB-LCU'!A13</f>
        <v>Hungary</v>
      </c>
      <c r="B14" s="4" t="str">
        <f>'Tourism Medium DB-LCU'!B13</f>
        <v>Tourism Demand Factors</v>
      </c>
      <c r="C14" s="4" t="str">
        <f>'Tourism Medium DB-LCU'!C13</f>
        <v>Number of Trips by Residents by Type</v>
      </c>
      <c r="D14" s="2" t="str">
        <f>'Tourism Medium DB-LCU'!D13</f>
        <v>International Trips</v>
      </c>
      <c r="E14" s="4"/>
      <c r="F14" s="4" t="str">
        <f>'Tourism Medium DB-LCU'!F13</f>
        <v>Thousand</v>
      </c>
      <c r="G14" s="120">
        <f>'Tourism Medium DB-LCU'!H13</f>
        <v>5057.7269999999999</v>
      </c>
      <c r="H14" s="120">
        <f>'Tourism Medium DB-LCU'!I13</f>
        <v>4556.2539999999999</v>
      </c>
      <c r="I14" s="120">
        <f>'Tourism Medium DB-LCU'!J13</f>
        <v>4398.1840000000002</v>
      </c>
      <c r="J14" s="417">
        <f>'Tourism Medium DB-LCU'!K13</f>
        <v>4414.1189999999997</v>
      </c>
      <c r="K14" s="417">
        <f>'Tourism Medium DB-LCU'!L13</f>
        <v>4050.88</v>
      </c>
      <c r="L14" s="120">
        <f>'Tourism Medium DB-LCU'!M13</f>
        <v>3559.9234253633458</v>
      </c>
      <c r="M14" s="120">
        <f>'Tourism Medium DB-LCU'!N13</f>
        <v>3303.85531372992</v>
      </c>
      <c r="N14" s="120">
        <f>'Tourism Medium DB-LCU'!O13</f>
        <v>3309.2935851823891</v>
      </c>
      <c r="O14" s="120">
        <f>'Tourism Medium DB-LCU'!P13</f>
        <v>3475.0670408475485</v>
      </c>
      <c r="P14" s="120">
        <f>'Tourism Medium DB-LCU'!Q13</f>
        <v>3598.1082820115757</v>
      </c>
      <c r="Q14" s="32">
        <f t="shared" si="0"/>
        <v>-5.3983963201367891E-2</v>
      </c>
      <c r="R14" s="32">
        <f t="shared" si="1"/>
        <v>-2.3426421470017722E-2</v>
      </c>
      <c r="T14" s="82" t="s">
        <v>309</v>
      </c>
      <c r="X14" s="1">
        <v>4</v>
      </c>
      <c r="Y14" s="1" t="s">
        <v>462</v>
      </c>
    </row>
    <row r="15" spans="1:26" ht="15" customHeight="1">
      <c r="A15" s="4" t="str">
        <f>'Tourism Medium DB-LCU'!A14</f>
        <v>Hungary</v>
      </c>
      <c r="B15" s="4" t="str">
        <f>'Tourism Medium DB-LCU'!B14</f>
        <v>Tourism Demand Factors</v>
      </c>
      <c r="C15" s="2" t="str">
        <f>'Tourism Medium DB-LCU'!C14</f>
        <v>Average Length of Tourism Trips by Type</v>
      </c>
      <c r="D15" s="4"/>
      <c r="E15" s="4"/>
      <c r="F15" s="4"/>
      <c r="Q15" s="32"/>
      <c r="R15" s="32"/>
    </row>
    <row r="16" spans="1:26" ht="15" customHeight="1">
      <c r="A16" s="4" t="str">
        <f>'Tourism Medium DB-LCU'!A15</f>
        <v>Hungary</v>
      </c>
      <c r="B16" s="4" t="str">
        <f>'Tourism Medium DB-LCU'!B15</f>
        <v>Tourism Demand Factors</v>
      </c>
      <c r="C16" s="4" t="str">
        <f>'Tourism Medium DB-LCU'!C15</f>
        <v>Average Length of Tourism Trips by Type</v>
      </c>
      <c r="D16" s="2" t="str">
        <f>'Tourism Medium DB-LCU'!D15</f>
        <v>Domestic Trips</v>
      </c>
      <c r="E16" s="4"/>
      <c r="F16" s="4" t="str">
        <f>'Tourism Medium DB-LCU'!F15</f>
        <v>Days</v>
      </c>
      <c r="G16" s="417">
        <f>'Tourism Medium DB-LCU'!H15</f>
        <v>5.1855739616973873</v>
      </c>
      <c r="H16" s="417">
        <f>'Tourism Medium DB-LCU'!I15</f>
        <v>6.2013685360668669</v>
      </c>
      <c r="I16" s="417">
        <f>'Tourism Medium DB-LCU'!J15</f>
        <v>7.4038260141504546</v>
      </c>
      <c r="J16" s="417">
        <f>'Tourism Medium DB-LCU'!K15</f>
        <v>6.8856207452060492</v>
      </c>
      <c r="K16" s="417">
        <f>'Tourism Medium DB-LCU'!L15</f>
        <v>7.8186653053523747</v>
      </c>
      <c r="L16" s="120">
        <f>'Tourism Medium DB-LCU'!M15</f>
        <v>7.8673910354855741</v>
      </c>
      <c r="M16" s="120">
        <f>'Tourism Medium DB-LCU'!N15</f>
        <v>8.3112573325738861</v>
      </c>
      <c r="N16" s="120">
        <f>'Tourism Medium DB-LCU'!O15</f>
        <v>8.5469523832598142</v>
      </c>
      <c r="O16" s="120">
        <f>'Tourism Medium DB-LCU'!P15</f>
        <v>9.0107961746842591</v>
      </c>
      <c r="P16" s="120">
        <f>'Tourism Medium DB-LCU'!Q15</f>
        <v>9.345642697388735</v>
      </c>
      <c r="Q16" s="32">
        <f>(K16/G16)^(1/4)-1</f>
        <v>0.10811273850358671</v>
      </c>
      <c r="R16" s="32">
        <f>(P16/K16)^(1/5)-1</f>
        <v>3.6323413192161258E-2</v>
      </c>
      <c r="X16" s="1">
        <v>2</v>
      </c>
      <c r="Y16" s="1" t="s">
        <v>474</v>
      </c>
    </row>
    <row r="17" spans="1:25" ht="15" customHeight="1">
      <c r="A17" s="4" t="str">
        <f>'Tourism Medium DB-LCU'!A16</f>
        <v>Hungary</v>
      </c>
      <c r="B17" s="4" t="str">
        <f>'Tourism Medium DB-LCU'!B16</f>
        <v>Tourism Demand Factors</v>
      </c>
      <c r="C17" s="4" t="str">
        <f>'Tourism Medium DB-LCU'!C16</f>
        <v>Average Length of Tourism Trips by Type</v>
      </c>
      <c r="D17" s="2" t="str">
        <f>'Tourism Medium DB-LCU'!D16</f>
        <v>International Trips</v>
      </c>
      <c r="E17" s="4"/>
      <c r="F17" s="4" t="str">
        <f>'Tourism Medium DB-LCU'!F16</f>
        <v>Days</v>
      </c>
      <c r="G17" s="417">
        <f>'Tourism Medium DB-LCU'!H16</f>
        <v>16.188695040281928</v>
      </c>
      <c r="H17" s="417">
        <f>'Tourism Medium DB-LCU'!I16</f>
        <v>16.237022782311961</v>
      </c>
      <c r="I17" s="417">
        <f>'Tourism Medium DB-LCU'!J16</f>
        <v>18.387134326349237</v>
      </c>
      <c r="J17" s="417">
        <f>'Tourism Medium DB-LCU'!K16</f>
        <v>20.179791256194047</v>
      </c>
      <c r="K17" s="417">
        <f>'Tourism Medium DB-LCU'!L16</f>
        <v>22.61565421618047</v>
      </c>
      <c r="L17" s="120">
        <f>'Tourism Medium DB-LCU'!M16</f>
        <v>24.481030097771672</v>
      </c>
      <c r="M17" s="120">
        <f>'Tourism Medium DB-LCU'!N16</f>
        <v>26.416793512251058</v>
      </c>
      <c r="N17" s="120">
        <f>'Tourism Medium DB-LCU'!O16</f>
        <v>28.760538379980698</v>
      </c>
      <c r="O17" s="120">
        <f>'Tourism Medium DB-LCU'!P16</f>
        <v>30.091620685579009</v>
      </c>
      <c r="P17" s="120">
        <f>'Tourism Medium DB-LCU'!Q16</f>
        <v>30.981991420973888</v>
      </c>
      <c r="Q17" s="32">
        <f>(K17/G17)^(1/4)-1</f>
        <v>8.7174677747127616E-2</v>
      </c>
      <c r="R17" s="32">
        <f>(P17/K17)^(1/5)-1</f>
        <v>6.4976524899081012E-2</v>
      </c>
      <c r="X17" s="1">
        <v>2</v>
      </c>
      <c r="Y17" s="1" t="s">
        <v>475</v>
      </c>
    </row>
    <row r="18" spans="1:25" ht="15" customHeight="1">
      <c r="A18" s="4" t="str">
        <f>'Tourism Medium DB-LCU'!A17</f>
        <v>Hungary</v>
      </c>
      <c r="B18" s="2" t="str">
        <f>'Tourism Medium DB-LCU'!B17</f>
        <v>Tourism Flows</v>
      </c>
      <c r="C18" s="4"/>
      <c r="D18" s="4"/>
      <c r="E18" s="4"/>
      <c r="F18" s="4"/>
      <c r="Q18" s="32"/>
      <c r="R18" s="32"/>
    </row>
    <row r="19" spans="1:25" ht="15" customHeight="1">
      <c r="A19" s="4" t="str">
        <f>'Tourism Medium DB-LCU'!A18</f>
        <v>Hungary</v>
      </c>
      <c r="B19" s="4" t="str">
        <f>'Tourism Medium DB-LCU'!B18</f>
        <v>Tourism Flows</v>
      </c>
      <c r="C19" s="2" t="str">
        <f>'Tourism Medium DB-LCU'!C18</f>
        <v>Number of Domestic Trips by Purpose of Visit</v>
      </c>
      <c r="D19" s="4"/>
      <c r="E19" s="4"/>
      <c r="F19" s="4" t="str">
        <f>'Tourism Medium DB-LCU'!F18</f>
        <v>Thousand</v>
      </c>
      <c r="G19" s="416">
        <f>'Tourism Medium DB-LCU'!H18</f>
        <v>18121.427</v>
      </c>
      <c r="H19" s="416">
        <f>'Tourism Medium DB-LCU'!I18</f>
        <v>14843.013999999999</v>
      </c>
      <c r="I19" s="416">
        <f>'Tourism Medium DB-LCU'!J18</f>
        <v>14771.822</v>
      </c>
      <c r="J19" s="416">
        <f>'Tourism Medium DB-LCU'!K18</f>
        <v>15663.802</v>
      </c>
      <c r="K19" s="416">
        <f>'Tourism Medium DB-LCU'!L18</f>
        <v>14443.02</v>
      </c>
      <c r="L19" s="155">
        <f>'Tourism Medium DB-LCU'!M18</f>
        <v>13808.951337287452</v>
      </c>
      <c r="M19" s="155">
        <f>'Tourism Medium DB-LCU'!N18</f>
        <v>13666.405585739971</v>
      </c>
      <c r="N19" s="155">
        <f>'Tourism Medium DB-LCU'!O18</f>
        <v>13494.007109354587</v>
      </c>
      <c r="O19" s="155">
        <f>'Tourism Medium DB-LCU'!P18</f>
        <v>13196.318682617461</v>
      </c>
      <c r="P19" s="155">
        <f>'Tourism Medium DB-LCU'!Q18</f>
        <v>12917.400924362986</v>
      </c>
      <c r="Q19" s="161">
        <f t="shared" ref="Q19:Q47" si="2">(K19/G19)^(1/4)-1</f>
        <v>-5.514230426393163E-2</v>
      </c>
      <c r="R19" s="161">
        <f t="shared" ref="R19:R47" si="3">(P19/K19)^(1/5)-1</f>
        <v>-2.2079781372025264E-2</v>
      </c>
      <c r="X19" s="1">
        <v>2</v>
      </c>
      <c r="Y19" s="1" t="s">
        <v>463</v>
      </c>
    </row>
    <row r="20" spans="1:25" ht="15" customHeight="1">
      <c r="A20" s="4" t="str">
        <f>'Tourism Medium DB-LCU'!A19</f>
        <v>Hungary</v>
      </c>
      <c r="B20" s="4" t="str">
        <f>'Tourism Medium DB-LCU'!B19</f>
        <v>Tourism Flows</v>
      </c>
      <c r="C20" s="4" t="str">
        <f>'Tourism Medium DB-LCU'!C19</f>
        <v>Number of Domestic Trips by Purpose of Visit</v>
      </c>
      <c r="D20" s="2" t="str">
        <f>'Tourism Medium DB-LCU'!D19</f>
        <v>Business</v>
      </c>
      <c r="E20" s="4"/>
      <c r="F20" s="4" t="str">
        <f>'Tourism Medium DB-LCU'!F19</f>
        <v>Thousand</v>
      </c>
      <c r="G20" s="417">
        <f>'Tourism Medium DB-LCU'!H19</f>
        <v>320.29899999999998</v>
      </c>
      <c r="H20" s="417">
        <f>'Tourism Medium DB-LCU'!I19</f>
        <v>225.28899999999999</v>
      </c>
      <c r="I20" s="417">
        <f>'Tourism Medium DB-LCU'!J19</f>
        <v>140.928</v>
      </c>
      <c r="J20" s="417">
        <f>'Tourism Medium DB-LCU'!K19</f>
        <v>110.51900000000001</v>
      </c>
      <c r="K20" s="417">
        <f>'Tourism Medium DB-LCU'!L19</f>
        <v>136.61933469808844</v>
      </c>
      <c r="L20" s="120">
        <f>'Tourism Medium DB-LCU'!M19</f>
        <v>124.9516036429889</v>
      </c>
      <c r="M20" s="120">
        <f>'Tourism Medium DB-LCU'!N19</f>
        <v>110.16165165665797</v>
      </c>
      <c r="N20" s="120">
        <f>'Tourism Medium DB-LCU'!O19</f>
        <v>103.83589176012438</v>
      </c>
      <c r="O20" s="120">
        <f>'Tourism Medium DB-LCU'!P19</f>
        <v>104.88392483170742</v>
      </c>
      <c r="P20" s="120">
        <f>'Tourism Medium DB-LCU'!Q19</f>
        <v>101.79269177191381</v>
      </c>
      <c r="Q20" s="32">
        <f t="shared" si="2"/>
        <v>-0.19185526881083026</v>
      </c>
      <c r="R20" s="32">
        <f t="shared" si="3"/>
        <v>-5.7153731612003544E-2</v>
      </c>
      <c r="X20" s="1">
        <v>2</v>
      </c>
    </row>
    <row r="21" spans="1:25" ht="15" customHeight="1">
      <c r="A21" s="4" t="str">
        <f>'Tourism Medium DB-LCU'!A20</f>
        <v>Hungary</v>
      </c>
      <c r="B21" s="4" t="str">
        <f>'Tourism Medium DB-LCU'!B20</f>
        <v>Tourism Flows</v>
      </c>
      <c r="C21" s="4" t="str">
        <f>'Tourism Medium DB-LCU'!C20</f>
        <v>Number of Domestic Trips by Purpose of Visit</v>
      </c>
      <c r="D21" s="2" t="str">
        <f>'Tourism Medium DB-LCU'!D20</f>
        <v>Leisure</v>
      </c>
      <c r="E21" s="4"/>
      <c r="F21" s="4" t="str">
        <f>'Tourism Medium DB-LCU'!F20</f>
        <v>Thousand</v>
      </c>
      <c r="G21" s="417">
        <f>'Tourism Medium DB-LCU'!H20</f>
        <v>0</v>
      </c>
      <c r="H21" s="417">
        <f>'Tourism Medium DB-LCU'!I20</f>
        <v>0</v>
      </c>
      <c r="I21" s="417">
        <f>'Tourism Medium DB-LCU'!J20</f>
        <v>0</v>
      </c>
      <c r="J21" s="417">
        <f>'Tourism Medium DB-LCU'!K20</f>
        <v>0</v>
      </c>
      <c r="K21" s="417">
        <f>'Tourism Medium DB-LCU'!L20</f>
        <v>0</v>
      </c>
      <c r="L21" s="120" t="e">
        <f>'Tourism Medium DB-LCU'!M20</f>
        <v>#DIV/0!</v>
      </c>
      <c r="M21" s="120" t="e">
        <f>'Tourism Medium DB-LCU'!N20</f>
        <v>#DIV/0!</v>
      </c>
      <c r="N21" s="120" t="e">
        <f>'Tourism Medium DB-LCU'!O20</f>
        <v>#DIV/0!</v>
      </c>
      <c r="O21" s="120" t="e">
        <f>'Tourism Medium DB-LCU'!P20</f>
        <v>#DIV/0!</v>
      </c>
      <c r="P21" s="120" t="e">
        <f>'Tourism Medium DB-LCU'!Q20</f>
        <v>#DIV/0!</v>
      </c>
      <c r="Q21" s="32" t="e">
        <f t="shared" si="2"/>
        <v>#DIV/0!</v>
      </c>
      <c r="R21" s="32" t="e">
        <f t="shared" si="3"/>
        <v>#DIV/0!</v>
      </c>
      <c r="X21" s="1">
        <v>2</v>
      </c>
    </row>
    <row r="22" spans="1:25" ht="15" customHeight="1">
      <c r="A22" s="4" t="str">
        <f>'Tourism Medium DB-LCU'!A21</f>
        <v>Hungary</v>
      </c>
      <c r="B22" s="4" t="str">
        <f>'Tourism Medium DB-LCU'!B21</f>
        <v>Tourism Flows</v>
      </c>
      <c r="C22" s="4" t="str">
        <f>'Tourism Medium DB-LCU'!C21</f>
        <v>Number of Domestic Trips by Purpose of Visit</v>
      </c>
      <c r="D22" s="2" t="str">
        <f>'Tourism Medium DB-LCU'!D21</f>
        <v>Other Personal</v>
      </c>
      <c r="E22" s="4"/>
      <c r="F22" s="4" t="str">
        <f>'Tourism Medium DB-LCU'!F21</f>
        <v>Thousand</v>
      </c>
      <c r="G22" s="417">
        <f>'Tourism Medium DB-LCU'!H21</f>
        <v>0</v>
      </c>
      <c r="H22" s="417">
        <f>'Tourism Medium DB-LCU'!I21</f>
        <v>0</v>
      </c>
      <c r="I22" s="417">
        <f>'Tourism Medium DB-LCU'!J21</f>
        <v>0</v>
      </c>
      <c r="J22" s="417">
        <f>'Tourism Medium DB-LCU'!K21</f>
        <v>0</v>
      </c>
      <c r="K22" s="417">
        <f>'Tourism Medium DB-LCU'!L21</f>
        <v>0</v>
      </c>
      <c r="L22" s="120" t="e">
        <f>'Tourism Medium DB-LCU'!M21</f>
        <v>#DIV/0!</v>
      </c>
      <c r="M22" s="120" t="e">
        <f>'Tourism Medium DB-LCU'!N21</f>
        <v>#DIV/0!</v>
      </c>
      <c r="N22" s="120" t="e">
        <f>'Tourism Medium DB-LCU'!O21</f>
        <v>#DIV/0!</v>
      </c>
      <c r="O22" s="120" t="e">
        <f>'Tourism Medium DB-LCU'!P21</f>
        <v>#DIV/0!</v>
      </c>
      <c r="P22" s="120" t="e">
        <f>'Tourism Medium DB-LCU'!Q21</f>
        <v>#DIV/0!</v>
      </c>
      <c r="Q22" s="32" t="e">
        <f t="shared" si="2"/>
        <v>#DIV/0!</v>
      </c>
      <c r="R22" s="32" t="e">
        <f t="shared" si="3"/>
        <v>#DIV/0!</v>
      </c>
      <c r="X22" s="1">
        <v>2</v>
      </c>
    </row>
    <row r="23" spans="1:25" ht="15" customHeight="1">
      <c r="A23" s="4" t="str">
        <f>'Tourism Medium DB-LCU'!A22</f>
        <v>Hungary</v>
      </c>
      <c r="B23" s="4" t="str">
        <f>'Tourism Medium DB-LCU'!B22</f>
        <v>Tourism Flows</v>
      </c>
      <c r="C23" s="2" t="str">
        <f>'Tourism Medium DB-LCU'!C22</f>
        <v>International Arrivals by Place of Origin</v>
      </c>
      <c r="D23" s="4"/>
      <c r="E23" s="4"/>
      <c r="F23" s="4" t="str">
        <f>'Tourism Medium DB-LCU'!F22</f>
        <v>Thousand</v>
      </c>
      <c r="G23" s="155">
        <f>'Tourism Medium DB-LCU'!H22</f>
        <v>8717.646556833155</v>
      </c>
      <c r="H23" s="155">
        <f>'Tourism Medium DB-LCU'!I22</f>
        <v>9244.2489954946413</v>
      </c>
      <c r="I23" s="155">
        <f>'Tourism Medium DB-LCU'!J22</f>
        <v>9353.6700759870073</v>
      </c>
      <c r="J23" s="155">
        <f>'Tourism Medium DB-LCU'!K22</f>
        <v>9959.1190000000006</v>
      </c>
      <c r="K23" s="416">
        <f>'Tourism Medium DB-LCU'!L22</f>
        <v>10913.915999999999</v>
      </c>
      <c r="L23" s="155">
        <f>'Tourism Medium DB-LCU'!M22</f>
        <v>11543.224747546275</v>
      </c>
      <c r="M23" s="155">
        <f>'Tourism Medium DB-LCU'!N22</f>
        <v>12121.058448030881</v>
      </c>
      <c r="N23" s="155">
        <f>'Tourism Medium DB-LCU'!O22</f>
        <v>12724.036091365158</v>
      </c>
      <c r="O23" s="155">
        <f>'Tourism Medium DB-LCU'!P22</f>
        <v>13353.985537537084</v>
      </c>
      <c r="P23" s="155">
        <f>'Tourism Medium DB-LCU'!Q22</f>
        <v>13942.947242026106</v>
      </c>
      <c r="Q23" s="161">
        <f t="shared" si="2"/>
        <v>5.7779966086145773E-2</v>
      </c>
      <c r="R23" s="161">
        <f t="shared" si="3"/>
        <v>5.0206726146625025E-2</v>
      </c>
      <c r="T23" s="82" t="s">
        <v>309</v>
      </c>
      <c r="U23" s="1" t="s">
        <v>310</v>
      </c>
      <c r="X23" s="1">
        <v>4</v>
      </c>
      <c r="Y23" s="1" t="s">
        <v>464</v>
      </c>
    </row>
    <row r="24" spans="1:25" ht="15" customHeight="1">
      <c r="A24" s="4" t="str">
        <f>'Tourism Medium DB-LCU'!A23</f>
        <v>Hungary</v>
      </c>
      <c r="B24" s="4" t="str">
        <f>'Tourism Medium DB-LCU'!B23</f>
        <v>Tourism Flows</v>
      </c>
      <c r="C24" s="4" t="str">
        <f>'Tourism Medium DB-LCU'!C23</f>
        <v>International Arrivals by Place of Origin</v>
      </c>
      <c r="D24" s="2" t="str">
        <f>'Tourism Medium DB-LCU'!D23</f>
        <v>Africa</v>
      </c>
      <c r="E24" s="4"/>
      <c r="F24" s="4" t="str">
        <f>'Tourism Medium DB-LCU'!F23</f>
        <v>Thousand</v>
      </c>
      <c r="G24" s="417">
        <f>'Tourism Medium DB-LCU'!H23</f>
        <v>28.294271514968301</v>
      </c>
      <c r="H24" s="417">
        <f>'Tourism Medium DB-LCU'!I23</f>
        <v>30.144787051452624</v>
      </c>
      <c r="I24" s="417">
        <f>'Tourism Medium DB-LCU'!J23</f>
        <v>30.733104006390946</v>
      </c>
      <c r="J24" s="417">
        <f>'Tourism Medium DB-LCU'!K23</f>
        <v>32.809878272139187</v>
      </c>
      <c r="K24" s="417">
        <f>'Tourism Medium DB-LCU'!L23</f>
        <v>36.084965170420752</v>
      </c>
      <c r="L24" s="120">
        <f>'Tourism Medium DB-LCU'!M23</f>
        <v>38.313372357950932</v>
      </c>
      <c r="M24" s="120">
        <f>'Tourism Medium DB-LCU'!N23</f>
        <v>40.598624758423817</v>
      </c>
      <c r="N24" s="120">
        <f>'Tourism Medium DB-LCU'!O23</f>
        <v>43.134292182954624</v>
      </c>
      <c r="O24" s="120">
        <f>'Tourism Medium DB-LCU'!P23</f>
        <v>45.415289721960725</v>
      </c>
      <c r="P24" s="120">
        <f>'Tourism Medium DB-LCU'!Q23</f>
        <v>47.364177114787459</v>
      </c>
      <c r="Q24" s="32">
        <f t="shared" si="2"/>
        <v>6.2690855382214528E-2</v>
      </c>
      <c r="R24" s="32">
        <f t="shared" si="3"/>
        <v>5.5904744261138672E-2</v>
      </c>
      <c r="T24" s="82" t="s">
        <v>306</v>
      </c>
      <c r="X24" s="1">
        <v>4</v>
      </c>
      <c r="Y24" s="1" t="s">
        <v>465</v>
      </c>
    </row>
    <row r="25" spans="1:25" ht="15" customHeight="1">
      <c r="A25" s="4" t="str">
        <f>'Tourism Medium DB-LCU'!A24</f>
        <v>Hungary</v>
      </c>
      <c r="B25" s="4" t="str">
        <f>'Tourism Medium DB-LCU'!B24</f>
        <v>Tourism Flows</v>
      </c>
      <c r="C25" s="4" t="str">
        <f>'Tourism Medium DB-LCU'!C24</f>
        <v>International Arrivals by Place of Origin</v>
      </c>
      <c r="D25" s="2" t="str">
        <f>'Tourism Medium DB-LCU'!D24</f>
        <v>Asia-Pacific</v>
      </c>
      <c r="E25" s="4"/>
      <c r="F25" s="4" t="str">
        <f>'Tourism Medium DB-LCU'!F24</f>
        <v>Thousand</v>
      </c>
      <c r="G25" s="417">
        <f>'Tourism Medium DB-LCU'!H24</f>
        <v>318.04157587558427</v>
      </c>
      <c r="H25" s="417">
        <f>'Tourism Medium DB-LCU'!I24</f>
        <v>337.94103012077073</v>
      </c>
      <c r="I25" s="417">
        <f>'Tourism Medium DB-LCU'!J24</f>
        <v>342.54838465105053</v>
      </c>
      <c r="J25" s="417">
        <f>'Tourism Medium DB-LCU'!K24</f>
        <v>367.65066458663881</v>
      </c>
      <c r="K25" s="417">
        <f>'Tourism Medium DB-LCU'!L24</f>
        <v>407.2371278291526</v>
      </c>
      <c r="L25" s="120">
        <f>'Tourism Medium DB-LCU'!M24</f>
        <v>432.77010401946814</v>
      </c>
      <c r="M25" s="120">
        <f>'Tourism Medium DB-LCU'!N24</f>
        <v>458.46060435633109</v>
      </c>
      <c r="N25" s="120">
        <f>'Tourism Medium DB-LCU'!O24</f>
        <v>482.25482199582171</v>
      </c>
      <c r="O25" s="120">
        <f>'Tourism Medium DB-LCU'!P24</f>
        <v>505.14712121772197</v>
      </c>
      <c r="P25" s="120">
        <f>'Tourism Medium DB-LCU'!Q24</f>
        <v>525.7768816361413</v>
      </c>
      <c r="Q25" s="32">
        <f t="shared" si="2"/>
        <v>6.3753169936920706E-2</v>
      </c>
      <c r="R25" s="32">
        <f t="shared" si="3"/>
        <v>5.2424195582844169E-2</v>
      </c>
      <c r="T25" s="82" t="s">
        <v>311</v>
      </c>
      <c r="X25" s="1">
        <v>4</v>
      </c>
    </row>
    <row r="26" spans="1:25" ht="15" customHeight="1">
      <c r="A26" s="4" t="str">
        <f>'Tourism Medium DB-LCU'!A25</f>
        <v>Hungary</v>
      </c>
      <c r="B26" s="4" t="str">
        <f>'Tourism Medium DB-LCU'!B25</f>
        <v>Tourism Flows</v>
      </c>
      <c r="C26" s="4" t="str">
        <f>'Tourism Medium DB-LCU'!C25</f>
        <v>International Arrivals by Place of Origin</v>
      </c>
      <c r="D26" s="2" t="str">
        <f>'Tourism Medium DB-LCU'!D25</f>
        <v>Europe</v>
      </c>
      <c r="E26" s="4"/>
      <c r="F26" s="4" t="str">
        <f>'Tourism Medium DB-LCU'!F25</f>
        <v>Thousand</v>
      </c>
      <c r="G26" s="417">
        <f>'Tourism Medium DB-LCU'!H25</f>
        <v>7866.6543217392427</v>
      </c>
      <c r="H26" s="417">
        <f>'Tourism Medium DB-LCU'!I25</f>
        <v>8344.163831356007</v>
      </c>
      <c r="I26" s="417">
        <f>'Tourism Medium DB-LCU'!J25</f>
        <v>8439.3126637373425</v>
      </c>
      <c r="J26" s="417">
        <f>'Tourism Medium DB-LCU'!K25</f>
        <v>8981.5700284097038</v>
      </c>
      <c r="K26" s="417">
        <f>'Tourism Medium DB-LCU'!L25</f>
        <v>9836.7135169560061</v>
      </c>
      <c r="L26" s="120">
        <f>'Tourism Medium DB-LCU'!M25</f>
        <v>10402.750004608706</v>
      </c>
      <c r="M26" s="120">
        <f>'Tourism Medium DB-LCU'!N25</f>
        <v>10918.861188767602</v>
      </c>
      <c r="N26" s="120">
        <f>'Tourism Medium DB-LCU'!O25</f>
        <v>11459.183327404906</v>
      </c>
      <c r="O26" s="120">
        <f>'Tourism Medium DB-LCU'!P25</f>
        <v>12030.362813459347</v>
      </c>
      <c r="P26" s="120">
        <f>'Tourism Medium DB-LCU'!Q25</f>
        <v>12564.550988019018</v>
      </c>
      <c r="Q26" s="32">
        <f t="shared" si="2"/>
        <v>5.7462533769739421E-2</v>
      </c>
      <c r="R26" s="32">
        <f t="shared" si="3"/>
        <v>5.0169473443488322E-2</v>
      </c>
      <c r="T26" s="82" t="s">
        <v>312</v>
      </c>
      <c r="X26" s="1">
        <v>4</v>
      </c>
    </row>
    <row r="27" spans="1:25" ht="15" customHeight="1">
      <c r="A27" s="4" t="str">
        <f>'Tourism Medium DB-LCU'!A26</f>
        <v>Hungary</v>
      </c>
      <c r="B27" s="4" t="str">
        <f>'Tourism Medium DB-LCU'!B26</f>
        <v>Tourism Flows</v>
      </c>
      <c r="C27" s="4" t="str">
        <f>'Tourism Medium DB-LCU'!C26</f>
        <v>International Arrivals by Place of Origin</v>
      </c>
      <c r="D27" s="2" t="str">
        <f>'Tourism Medium DB-LCU'!D26</f>
        <v>Middle East</v>
      </c>
      <c r="E27" s="4"/>
      <c r="F27" s="4" t="str">
        <f>'Tourism Medium DB-LCU'!F26</f>
        <v>Thousand</v>
      </c>
      <c r="G27" s="417">
        <f>'Tourism Medium DB-LCU'!H26</f>
        <v>38.264220231907309</v>
      </c>
      <c r="H27" s="417">
        <f>'Tourism Medium DB-LCU'!I26</f>
        <v>40.520405428405837</v>
      </c>
      <c r="I27" s="417">
        <f>'Tourism Medium DB-LCU'!J26</f>
        <v>41.121226041136822</v>
      </c>
      <c r="J27" s="417">
        <f>'Tourism Medium DB-LCU'!K26</f>
        <v>43.943387863477184</v>
      </c>
      <c r="K27" s="417">
        <f>'Tourism Medium DB-LCU'!L26</f>
        <v>48.39395592068837</v>
      </c>
      <c r="L27" s="120">
        <f>'Tourism Medium DB-LCU'!M26</f>
        <v>51.235566155611167</v>
      </c>
      <c r="M27" s="120">
        <f>'Tourism Medium DB-LCU'!N26</f>
        <v>54.447307795013451</v>
      </c>
      <c r="N27" s="120">
        <f>'Tourism Medium DB-LCU'!O26</f>
        <v>57.404860387100818</v>
      </c>
      <c r="O27" s="120">
        <f>'Tourism Medium DB-LCU'!P26</f>
        <v>60.372411167091414</v>
      </c>
      <c r="P27" s="120">
        <f>'Tourism Medium DB-LCU'!Q26</f>
        <v>63.323222644604051</v>
      </c>
      <c r="Q27" s="32">
        <f t="shared" si="2"/>
        <v>6.047287440357052E-2</v>
      </c>
      <c r="R27" s="32">
        <f t="shared" si="3"/>
        <v>5.5247609152160537E-2</v>
      </c>
      <c r="X27" s="1">
        <v>4</v>
      </c>
    </row>
    <row r="28" spans="1:25" ht="15" customHeight="1">
      <c r="A28" s="4" t="str">
        <f>'Tourism Medium DB-LCU'!A27</f>
        <v>Hungary</v>
      </c>
      <c r="B28" s="4" t="str">
        <f>'Tourism Medium DB-LCU'!B27</f>
        <v>Tourism Flows</v>
      </c>
      <c r="C28" s="4" t="str">
        <f>'Tourism Medium DB-LCU'!C27</f>
        <v>International Arrivals by Place of Origin</v>
      </c>
      <c r="D28" s="2" t="str">
        <f>'Tourism Medium DB-LCU'!D27</f>
        <v>North America</v>
      </c>
      <c r="E28" s="4"/>
      <c r="F28" s="4" t="str">
        <f>'Tourism Medium DB-LCU'!F27</f>
        <v>Thousand</v>
      </c>
      <c r="G28" s="417">
        <f>'Tourism Medium DB-LCU'!H27</f>
        <v>431.20611213830216</v>
      </c>
      <c r="H28" s="417">
        <f>'Tourism Medium DB-LCU'!I27</f>
        <v>454.00899261728284</v>
      </c>
      <c r="I28" s="417">
        <f>'Tourism Medium DB-LCU'!J27</f>
        <v>462.01333013491194</v>
      </c>
      <c r="J28" s="417">
        <f>'Tourism Medium DB-LCU'!K27</f>
        <v>492.45456352859901</v>
      </c>
      <c r="K28" s="417">
        <f>'Tourism Medium DB-LCU'!L27</f>
        <v>540.46059206019561</v>
      </c>
      <c r="L28" s="120">
        <f>'Tourism Medium DB-LCU'!M27</f>
        <v>570.49314963193831</v>
      </c>
      <c r="M28" s="120">
        <f>'Tourism Medium DB-LCU'!N27</f>
        <v>598.4144207465099</v>
      </c>
      <c r="N28" s="120">
        <f>'Tourism Medium DB-LCU'!O27</f>
        <v>628.9241193644956</v>
      </c>
      <c r="O28" s="120">
        <f>'Tourism Medium DB-LCU'!P27</f>
        <v>656.46516791992951</v>
      </c>
      <c r="P28" s="120">
        <f>'Tourism Medium DB-LCU'!Q27</f>
        <v>682.86789081066956</v>
      </c>
      <c r="Q28" s="32">
        <f t="shared" si="2"/>
        <v>5.8083108187395815E-2</v>
      </c>
      <c r="R28" s="32">
        <f t="shared" si="3"/>
        <v>4.7887191435022736E-2</v>
      </c>
      <c r="X28" s="1">
        <v>4</v>
      </c>
      <c r="Y28" s="1" t="s">
        <v>466</v>
      </c>
    </row>
    <row r="29" spans="1:25" ht="15" customHeight="1">
      <c r="A29" s="4" t="str">
        <f>'Tourism Medium DB-LCU'!A28</f>
        <v>Hungary</v>
      </c>
      <c r="B29" s="4" t="str">
        <f>'Tourism Medium DB-LCU'!B28</f>
        <v>Tourism Flows</v>
      </c>
      <c r="C29" s="4" t="str">
        <f>'Tourism Medium DB-LCU'!C28</f>
        <v>International Arrivals by Place of Origin</v>
      </c>
      <c r="D29" s="2" t="str">
        <f>'Tourism Medium DB-LCU'!D28</f>
        <v>South &amp; Central America</v>
      </c>
      <c r="E29" s="4"/>
      <c r="F29" s="4" t="str">
        <f>'Tourism Medium DB-LCU'!F28</f>
        <v>Thousand</v>
      </c>
      <c r="G29" s="417">
        <f>'Tourism Medium DB-LCU'!H28</f>
        <v>35.186055333149852</v>
      </c>
      <c r="H29" s="417">
        <f>'Tourism Medium DB-LCU'!I28</f>
        <v>37.469948920723255</v>
      </c>
      <c r="I29" s="417">
        <f>'Tourism Medium DB-LCU'!J28</f>
        <v>37.941367416173307</v>
      </c>
      <c r="J29" s="417">
        <f>'Tourism Medium DB-LCU'!K28</f>
        <v>40.690477339441713</v>
      </c>
      <c r="K29" s="417">
        <f>'Tourism Medium DB-LCU'!L28</f>
        <v>45.025842063536402</v>
      </c>
      <c r="L29" s="120">
        <f>'Tourism Medium DB-LCU'!M28</f>
        <v>47.662550772602117</v>
      </c>
      <c r="M29" s="120">
        <f>'Tourism Medium DB-LCU'!N28</f>
        <v>50.276301607000278</v>
      </c>
      <c r="N29" s="120">
        <f>'Tourism Medium DB-LCU'!O28</f>
        <v>53.13467002987818</v>
      </c>
      <c r="O29" s="120">
        <f>'Tourism Medium DB-LCU'!P28</f>
        <v>56.222734051034422</v>
      </c>
      <c r="P29" s="120">
        <f>'Tourism Medium DB-LCU'!Q28</f>
        <v>59.064081800885106</v>
      </c>
      <c r="Q29" s="32">
        <f t="shared" si="2"/>
        <v>6.3586498393016999E-2</v>
      </c>
      <c r="R29" s="32">
        <f t="shared" si="3"/>
        <v>5.5777306171793217E-2</v>
      </c>
      <c r="X29" s="1">
        <v>4</v>
      </c>
      <c r="Y29" s="1" t="s">
        <v>467</v>
      </c>
    </row>
    <row r="30" spans="1:25" ht="15" customHeight="1">
      <c r="A30" s="4" t="str">
        <f>'Tourism Medium DB-LCU'!A29</f>
        <v>Hungary</v>
      </c>
      <c r="B30" s="4" t="str">
        <f>'Tourism Medium DB-LCU'!B29</f>
        <v>Tourism Flows</v>
      </c>
      <c r="C30" s="2" t="str">
        <f>'Tourism Medium DB-LCU'!C29</f>
        <v>International Arrivals by Purpose of Visit</v>
      </c>
      <c r="D30" s="4"/>
      <c r="E30" s="4"/>
      <c r="F30" s="4" t="str">
        <f>'Tourism Medium DB-LCU'!F29</f>
        <v>Thousand</v>
      </c>
      <c r="G30" s="155">
        <f>'Tourism Medium DB-LCU'!H29</f>
        <v>8717.646556833155</v>
      </c>
      <c r="H30" s="155">
        <f>'Tourism Medium DB-LCU'!I29</f>
        <v>9244.2489954946413</v>
      </c>
      <c r="I30" s="155">
        <f>'Tourism Medium DB-LCU'!J29</f>
        <v>9353.6700759870073</v>
      </c>
      <c r="J30" s="155">
        <f>'Tourism Medium DB-LCU'!K29</f>
        <v>9959.1190000000006</v>
      </c>
      <c r="K30" s="416">
        <f>'Tourism Medium DB-LCU'!L29</f>
        <v>10913.915999999999</v>
      </c>
      <c r="L30" s="155">
        <f>'Tourism Medium DB-LCU'!M29</f>
        <v>11543.224747546275</v>
      </c>
      <c r="M30" s="155">
        <f>'Tourism Medium DB-LCU'!N29</f>
        <v>12121.058448030881</v>
      </c>
      <c r="N30" s="155">
        <f>'Tourism Medium DB-LCU'!O29</f>
        <v>12724.036091365158</v>
      </c>
      <c r="O30" s="155">
        <f>'Tourism Medium DB-LCU'!P29</f>
        <v>13353.985537537084</v>
      </c>
      <c r="P30" s="155">
        <f>'Tourism Medium DB-LCU'!Q29</f>
        <v>13942.947242026106</v>
      </c>
      <c r="Q30" s="161">
        <f t="shared" si="2"/>
        <v>5.7779966086145773E-2</v>
      </c>
      <c r="R30" s="161">
        <f t="shared" si="3"/>
        <v>5.0206726146625025E-2</v>
      </c>
      <c r="T30" s="82" t="s">
        <v>311</v>
      </c>
      <c r="X30" s="1">
        <v>4</v>
      </c>
      <c r="Y30" s="1" t="s">
        <v>468</v>
      </c>
    </row>
    <row r="31" spans="1:25" ht="15" customHeight="1">
      <c r="A31" s="4" t="str">
        <f>'Tourism Medium DB-LCU'!A30</f>
        <v>Hungary</v>
      </c>
      <c r="B31" s="4" t="str">
        <f>'Tourism Medium DB-LCU'!B30</f>
        <v>Tourism Flows</v>
      </c>
      <c r="C31" s="4" t="str">
        <f>'Tourism Medium DB-LCU'!C30</f>
        <v>International Arrivals by Purpose of Visit</v>
      </c>
      <c r="D31" s="2" t="str">
        <f>'Tourism Medium DB-LCU'!D30</f>
        <v>Business</v>
      </c>
      <c r="E31" s="4"/>
      <c r="F31" s="4" t="str">
        <f>'Tourism Medium DB-LCU'!F30</f>
        <v>Thousand</v>
      </c>
      <c r="G31" s="417">
        <f>'Tourism Medium DB-LCU'!H30</f>
        <v>0</v>
      </c>
      <c r="H31" s="417">
        <f>'Tourism Medium DB-LCU'!I30</f>
        <v>0</v>
      </c>
      <c r="I31" s="417">
        <f>'Tourism Medium DB-LCU'!J30</f>
        <v>0</v>
      </c>
      <c r="J31" s="417">
        <f>'Tourism Medium DB-LCU'!K30</f>
        <v>0</v>
      </c>
      <c r="K31" s="417">
        <f>'Tourism Medium DB-LCU'!L30</f>
        <v>0</v>
      </c>
      <c r="L31" s="120" t="e">
        <f>'Tourism Medium DB-LCU'!M30</f>
        <v>#DIV/0!</v>
      </c>
      <c r="M31" s="120" t="e">
        <f>'Tourism Medium DB-LCU'!N30</f>
        <v>#DIV/0!</v>
      </c>
      <c r="N31" s="120" t="e">
        <f>'Tourism Medium DB-LCU'!O30</f>
        <v>#DIV/0!</v>
      </c>
      <c r="O31" s="120" t="e">
        <f>'Tourism Medium DB-LCU'!P30</f>
        <v>#DIV/0!</v>
      </c>
      <c r="P31" s="120" t="e">
        <f>'Tourism Medium DB-LCU'!Q30</f>
        <v>#DIV/0!</v>
      </c>
      <c r="Q31" s="32" t="e">
        <f t="shared" si="2"/>
        <v>#DIV/0!</v>
      </c>
      <c r="R31" s="32" t="e">
        <f t="shared" si="3"/>
        <v>#DIV/0!</v>
      </c>
      <c r="X31" s="1">
        <v>2</v>
      </c>
    </row>
    <row r="32" spans="1:25" ht="15" customHeight="1">
      <c r="A32" s="4" t="str">
        <f>'Tourism Medium DB-LCU'!A31</f>
        <v>Hungary</v>
      </c>
      <c r="B32" s="4" t="str">
        <f>'Tourism Medium DB-LCU'!B31</f>
        <v>Tourism Flows</v>
      </c>
      <c r="C32" s="4" t="str">
        <f>'Tourism Medium DB-LCU'!C31</f>
        <v>International Arrivals by Purpose of Visit</v>
      </c>
      <c r="D32" s="2" t="str">
        <f>'Tourism Medium DB-LCU'!D31</f>
        <v>Leisure</v>
      </c>
      <c r="E32" s="4"/>
      <c r="F32" s="4" t="str">
        <f>'Tourism Medium DB-LCU'!F31</f>
        <v>Thousand</v>
      </c>
      <c r="G32" s="417" t="str">
        <f>'Tourism Medium DB-LCU'!H31</f>
        <v>:</v>
      </c>
      <c r="H32" s="417" t="str">
        <f>'Tourism Medium DB-LCU'!I31</f>
        <v>:</v>
      </c>
      <c r="I32" s="417" t="str">
        <f>'Tourism Medium DB-LCU'!J31</f>
        <v>:</v>
      </c>
      <c r="J32" s="417" t="str">
        <f>'Tourism Medium DB-LCU'!K31</f>
        <v>:</v>
      </c>
      <c r="K32" s="417">
        <f>'Tourism Medium DB-LCU'!L31</f>
        <v>4050.88</v>
      </c>
      <c r="L32" s="120" t="e">
        <f>'Tourism Medium DB-LCU'!M31</f>
        <v>#VALUE!</v>
      </c>
      <c r="M32" s="120" t="e">
        <f>'Tourism Medium DB-LCU'!N31</f>
        <v>#VALUE!</v>
      </c>
      <c r="N32" s="120" t="e">
        <f>'Tourism Medium DB-LCU'!O31</f>
        <v>#VALUE!</v>
      </c>
      <c r="O32" s="120" t="e">
        <f>'Tourism Medium DB-LCU'!P31</f>
        <v>#VALUE!</v>
      </c>
      <c r="P32" s="120" t="e">
        <f>'Tourism Medium DB-LCU'!Q31</f>
        <v>#VALUE!</v>
      </c>
      <c r="Q32" s="32" t="e">
        <f t="shared" si="2"/>
        <v>#VALUE!</v>
      </c>
      <c r="R32" s="32" t="e">
        <f t="shared" si="3"/>
        <v>#VALUE!</v>
      </c>
      <c r="X32" s="1">
        <v>2</v>
      </c>
    </row>
    <row r="33" spans="1:25" ht="15" customHeight="1">
      <c r="A33" s="4" t="str">
        <f>'Tourism Medium DB-LCU'!A32</f>
        <v>Hungary</v>
      </c>
      <c r="B33" s="4" t="str">
        <f>'Tourism Medium DB-LCU'!B32</f>
        <v>Tourism Flows</v>
      </c>
      <c r="C33" s="4" t="str">
        <f>'Tourism Medium DB-LCU'!C32</f>
        <v>International Arrivals by Purpose of Visit</v>
      </c>
      <c r="D33" s="2" t="str">
        <f>'Tourism Medium DB-LCU'!D32</f>
        <v>Other Personal</v>
      </c>
      <c r="E33" s="4"/>
      <c r="F33" s="4" t="str">
        <f>'Tourism Medium DB-LCU'!F32</f>
        <v>Thousand</v>
      </c>
      <c r="G33" s="417">
        <f>'Tourism Medium DB-LCU'!H32</f>
        <v>0</v>
      </c>
      <c r="H33" s="417">
        <f>'Tourism Medium DB-LCU'!I32</f>
        <v>0</v>
      </c>
      <c r="I33" s="417">
        <f>'Tourism Medium DB-LCU'!J32</f>
        <v>0</v>
      </c>
      <c r="J33" s="417">
        <f>'Tourism Medium DB-LCU'!K32</f>
        <v>0</v>
      </c>
      <c r="K33" s="417">
        <f>'Tourism Medium DB-LCU'!L32</f>
        <v>0</v>
      </c>
      <c r="L33" s="120" t="e">
        <f>'Tourism Medium DB-LCU'!M32</f>
        <v>#VALUE!</v>
      </c>
      <c r="M33" s="120" t="e">
        <f>'Tourism Medium DB-LCU'!N32</f>
        <v>#VALUE!</v>
      </c>
      <c r="N33" s="120" t="e">
        <f>'Tourism Medium DB-LCU'!O32</f>
        <v>#VALUE!</v>
      </c>
      <c r="O33" s="120" t="e">
        <f>'Tourism Medium DB-LCU'!P32</f>
        <v>#VALUE!</v>
      </c>
      <c r="P33" s="120" t="e">
        <f>'Tourism Medium DB-LCU'!Q32</f>
        <v>#VALUE!</v>
      </c>
      <c r="Q33" s="32" t="e">
        <f t="shared" si="2"/>
        <v>#DIV/0!</v>
      </c>
      <c r="R33" s="32" t="e">
        <f t="shared" si="3"/>
        <v>#VALUE!</v>
      </c>
      <c r="X33" s="1">
        <v>2</v>
      </c>
    </row>
    <row r="34" spans="1:25" ht="15" customHeight="1">
      <c r="A34" s="4" t="str">
        <f>'Tourism Medium DB-LCU'!A33</f>
        <v>Hungary</v>
      </c>
      <c r="B34" s="4" t="str">
        <f>'Tourism Medium DB-LCU'!B33</f>
        <v>Tourism Flows</v>
      </c>
      <c r="C34" s="2" t="str">
        <f>'Tourism Medium DB-LCU'!C33</f>
        <v>International Departures by Destination</v>
      </c>
      <c r="D34" s="4"/>
      <c r="E34" s="4"/>
      <c r="F34" s="4" t="str">
        <f>'Tourism Medium DB-LCU'!F33</f>
        <v>Thousand</v>
      </c>
      <c r="G34" s="155">
        <f>'Tourism Medium DB-LCU'!H33</f>
        <v>5057.7269999999999</v>
      </c>
      <c r="H34" s="155">
        <f>'Tourism Medium DB-LCU'!I33</f>
        <v>4556.2539999999999</v>
      </c>
      <c r="I34" s="155">
        <f>'Tourism Medium DB-LCU'!J33</f>
        <v>4398.1840000000002</v>
      </c>
      <c r="J34" s="416">
        <f>'Tourism Medium DB-LCU'!K33</f>
        <v>4414.1189999999997</v>
      </c>
      <c r="K34" s="416">
        <f>'Tourism Medium DB-LCU'!L33</f>
        <v>4050.88</v>
      </c>
      <c r="L34" s="155">
        <f>'Tourism Medium DB-LCU'!M33</f>
        <v>3559.9234253633458</v>
      </c>
      <c r="M34" s="155">
        <f>'Tourism Medium DB-LCU'!N33</f>
        <v>3303.85531372992</v>
      </c>
      <c r="N34" s="155">
        <f>'Tourism Medium DB-LCU'!O33</f>
        <v>3309.2935851823891</v>
      </c>
      <c r="O34" s="155">
        <f>'Tourism Medium DB-LCU'!P33</f>
        <v>3475.0670408475485</v>
      </c>
      <c r="P34" s="155">
        <f>'Tourism Medium DB-LCU'!Q33</f>
        <v>3598.1082820115757</v>
      </c>
      <c r="Q34" s="161">
        <f t="shared" si="2"/>
        <v>-5.3983963201367891E-2</v>
      </c>
      <c r="R34" s="161">
        <f t="shared" si="3"/>
        <v>-2.3426421470017722E-2</v>
      </c>
      <c r="T34" s="82" t="s">
        <v>309</v>
      </c>
      <c r="X34" s="1">
        <v>4</v>
      </c>
      <c r="Y34" s="1" t="s">
        <v>470</v>
      </c>
    </row>
    <row r="35" spans="1:25" ht="15" customHeight="1">
      <c r="A35" s="4" t="str">
        <f>'Tourism Medium DB-LCU'!A34</f>
        <v>Hungary</v>
      </c>
      <c r="B35" s="4" t="str">
        <f>'Tourism Medium DB-LCU'!B34</f>
        <v>Tourism Flows</v>
      </c>
      <c r="C35" s="4" t="str">
        <f>'Tourism Medium DB-LCU'!C34</f>
        <v>International Departures by Destination</v>
      </c>
      <c r="D35" s="2" t="str">
        <f>'Tourism Medium DB-LCU'!D34</f>
        <v>Africa</v>
      </c>
      <c r="E35" s="4"/>
      <c r="F35" s="4" t="str">
        <f>'Tourism Medium DB-LCU'!F34</f>
        <v>Thousand</v>
      </c>
      <c r="G35" s="417">
        <f>'Tourism Medium DB-LCU'!H34</f>
        <v>60.458483956878901</v>
      </c>
      <c r="H35" s="417">
        <f>'Tourism Medium DB-LCU'!I34</f>
        <v>54.464107449908383</v>
      </c>
      <c r="I35" s="417">
        <f>'Tourism Medium DB-LCU'!J34</f>
        <v>50.917463663318053</v>
      </c>
      <c r="J35" s="417">
        <f>'Tourism Medium DB-LCU'!K34</f>
        <v>51.274999999999999</v>
      </c>
      <c r="K35" s="417">
        <f>'Tourism Medium DB-LCU'!L34</f>
        <v>66.811999999999998</v>
      </c>
      <c r="L35" s="120">
        <f>'Tourism Medium DB-LCU'!M34</f>
        <v>69.991676486715264</v>
      </c>
      <c r="M35" s="120">
        <f>'Tourism Medium DB-LCU'!N34</f>
        <v>72.142610728890531</v>
      </c>
      <c r="N35" s="120">
        <f>'Tourism Medium DB-LCU'!O34</f>
        <v>75.884753562421665</v>
      </c>
      <c r="O35" s="120">
        <f>'Tourism Medium DB-LCU'!P34</f>
        <v>78.265685757909537</v>
      </c>
      <c r="P35" s="120">
        <f>'Tourism Medium DB-LCU'!Q34</f>
        <v>80.657126753683244</v>
      </c>
      <c r="Q35" s="32">
        <f t="shared" si="2"/>
        <v>2.5296098858250238E-2</v>
      </c>
      <c r="R35" s="32">
        <f t="shared" si="3"/>
        <v>3.8383204461236886E-2</v>
      </c>
      <c r="X35" s="1">
        <v>2</v>
      </c>
    </row>
    <row r="36" spans="1:25" ht="15" customHeight="1">
      <c r="A36" s="4" t="str">
        <f>'Tourism Medium DB-LCU'!A35</f>
        <v>Hungary</v>
      </c>
      <c r="B36" s="4" t="str">
        <f>'Tourism Medium DB-LCU'!B35</f>
        <v>Tourism Flows</v>
      </c>
      <c r="C36" s="4" t="str">
        <f>'Tourism Medium DB-LCU'!C35</f>
        <v>International Departures by Destination</v>
      </c>
      <c r="D36" s="2" t="str">
        <f>'Tourism Medium DB-LCU'!D35</f>
        <v>Asia-Pacific</v>
      </c>
      <c r="E36" s="4"/>
      <c r="F36" s="4" t="str">
        <f>'Tourism Medium DB-LCU'!F35</f>
        <v>Thousand</v>
      </c>
      <c r="G36" s="417">
        <f>'Tourism Medium DB-LCU'!H35</f>
        <v>931.09378323445389</v>
      </c>
      <c r="H36" s="417">
        <f>'Tourism Medium DB-LCU'!I35</f>
        <v>1101.9330945166028</v>
      </c>
      <c r="I36" s="417">
        <f>'Tourism Medium DB-LCU'!J35</f>
        <v>1042.9807068854489</v>
      </c>
      <c r="J36" s="417">
        <f>'Tourism Medium DB-LCU'!K35</f>
        <v>563.57179217197154</v>
      </c>
      <c r="K36" s="417">
        <f>'Tourism Medium DB-LCU'!L35</f>
        <v>569.28103512192229</v>
      </c>
      <c r="L36" s="120">
        <f>'Tourism Medium DB-LCU'!M35</f>
        <v>243.50086514979009</v>
      </c>
      <c r="M36" s="120">
        <f>'Tourism Medium DB-LCU'!N35</f>
        <v>128.817435368247</v>
      </c>
      <c r="N36" s="120">
        <f>'Tourism Medium DB-LCU'!O35</f>
        <v>74.318338646089288</v>
      </c>
      <c r="O36" s="120">
        <f>'Tourism Medium DB-LCU'!P35</f>
        <v>110.66248910240984</v>
      </c>
      <c r="P36" s="120">
        <f>'Tourism Medium DB-LCU'!Q35</f>
        <v>112.08653109014443</v>
      </c>
      <c r="Q36" s="32">
        <f t="shared" si="2"/>
        <v>-0.11573319460564868</v>
      </c>
      <c r="R36" s="32">
        <f t="shared" si="3"/>
        <v>-0.27748753760345002</v>
      </c>
      <c r="X36" s="1">
        <v>2</v>
      </c>
    </row>
    <row r="37" spans="1:25" ht="15" customHeight="1">
      <c r="A37" s="4" t="str">
        <f>'Tourism Medium DB-LCU'!A36</f>
        <v>Hungary</v>
      </c>
      <c r="B37" s="4" t="str">
        <f>'Tourism Medium DB-LCU'!B36</f>
        <v>Tourism Flows</v>
      </c>
      <c r="C37" s="4" t="str">
        <f>'Tourism Medium DB-LCU'!C36</f>
        <v>International Departures by Destination</v>
      </c>
      <c r="D37" s="2" t="str">
        <f>'Tourism Medium DB-LCU'!D36</f>
        <v>Europe</v>
      </c>
      <c r="E37" s="4"/>
      <c r="F37" s="4" t="str">
        <f>'Tourism Medium DB-LCU'!F36</f>
        <v>Thousand</v>
      </c>
      <c r="G37" s="417">
        <f>'Tourism Medium DB-LCU'!H36</f>
        <v>3745.7489999999998</v>
      </c>
      <c r="H37" s="417">
        <f>'Tourism Medium DB-LCU'!I36</f>
        <v>3049.3220000000001</v>
      </c>
      <c r="I37" s="417">
        <f>'Tourism Medium DB-LCU'!J36</f>
        <v>2970.1959999999999</v>
      </c>
      <c r="J37" s="417">
        <f>'Tourism Medium DB-LCU'!K36</f>
        <v>3573.95</v>
      </c>
      <c r="K37" s="417">
        <f>'Tourism Medium DB-LCU'!L36</f>
        <v>3200.7759999999998</v>
      </c>
      <c r="L37" s="120">
        <f>'Tourism Medium DB-LCU'!M36</f>
        <v>3067.0812476942829</v>
      </c>
      <c r="M37" s="120">
        <f>'Tourism Medium DB-LCU'!N36</f>
        <v>3142.1394435842262</v>
      </c>
      <c r="N37" s="120">
        <f>'Tourism Medium DB-LCU'!O36</f>
        <v>3118.7915386967343</v>
      </c>
      <c r="O37" s="120">
        <f>'Tourism Medium DB-LCU'!P36</f>
        <v>3234.6343917511854</v>
      </c>
      <c r="P37" s="120">
        <f>'Tourism Medium DB-LCU'!Q36</f>
        <v>3350.9711389762974</v>
      </c>
      <c r="Q37" s="32">
        <f t="shared" si="2"/>
        <v>-3.8544579094633935E-2</v>
      </c>
      <c r="R37" s="32">
        <f t="shared" si="3"/>
        <v>9.2135691337851267E-3</v>
      </c>
      <c r="X37" s="1">
        <v>2</v>
      </c>
    </row>
    <row r="38" spans="1:25" ht="15" customHeight="1">
      <c r="A38" s="4" t="str">
        <f>'Tourism Medium DB-LCU'!A37</f>
        <v>Hungary</v>
      </c>
      <c r="B38" s="4" t="str">
        <f>'Tourism Medium DB-LCU'!B37</f>
        <v>Tourism Flows</v>
      </c>
      <c r="C38" s="4" t="str">
        <f>'Tourism Medium DB-LCU'!C37</f>
        <v>International Departures by Destination</v>
      </c>
      <c r="D38" s="2" t="str">
        <f>'Tourism Medium DB-LCU'!D37</f>
        <v>Middle East</v>
      </c>
      <c r="E38" s="4"/>
      <c r="F38" s="4" t="str">
        <f>'Tourism Medium DB-LCU'!F37</f>
        <v>Thousand</v>
      </c>
      <c r="G38" s="417">
        <f>'Tourism Medium DB-LCU'!H37</f>
        <v>212.96726784482803</v>
      </c>
      <c r="H38" s="417">
        <f>'Tourism Medium DB-LCU'!I37</f>
        <v>217.32719573307452</v>
      </c>
      <c r="I38" s="417">
        <f>'Tourism Medium DB-LCU'!J37</f>
        <v>221.32137046968148</v>
      </c>
      <c r="J38" s="417">
        <f>'Tourism Medium DB-LCU'!K37</f>
        <v>119.50020782802865</v>
      </c>
      <c r="K38" s="417">
        <f>'Tourism Medium DB-LCU'!L37</f>
        <v>119.8239648780781</v>
      </c>
      <c r="L38" s="120">
        <f>'Tourism Medium DB-LCU'!M37</f>
        <v>86.231516528453383</v>
      </c>
      <c r="M38" s="120">
        <f>'Tourism Medium DB-LCU'!N37</f>
        <v>-135.77146357781569</v>
      </c>
      <c r="N38" s="120">
        <f>'Tourism Medium DB-LCU'!O37</f>
        <v>-59.50290950249795</v>
      </c>
      <c r="O38" s="120">
        <f>'Tourism Medium DB-LCU'!P37</f>
        <v>-51.034159188508809</v>
      </c>
      <c r="P38" s="120">
        <f>'Tourism Medium DB-LCU'!Q37</f>
        <v>-50.437013077581931</v>
      </c>
      <c r="Q38" s="32">
        <f t="shared" si="2"/>
        <v>-0.1339206044548592</v>
      </c>
      <c r="R38" s="32">
        <f t="shared" si="3"/>
        <v>-1.8410874148295537</v>
      </c>
      <c r="X38" s="1">
        <v>2</v>
      </c>
    </row>
    <row r="39" spans="1:25" ht="15" customHeight="1">
      <c r="A39" s="4" t="str">
        <f>'Tourism Medium DB-LCU'!A38</f>
        <v>Hungary</v>
      </c>
      <c r="B39" s="4" t="str">
        <f>'Tourism Medium DB-LCU'!B38</f>
        <v>Tourism Flows</v>
      </c>
      <c r="C39" s="4" t="str">
        <f>'Tourism Medium DB-LCU'!C38</f>
        <v>International Departures by Destination</v>
      </c>
      <c r="D39" s="2" t="str">
        <f>'Tourism Medium DB-LCU'!D38</f>
        <v>North America</v>
      </c>
      <c r="E39" s="4"/>
      <c r="F39" s="4" t="str">
        <f>'Tourism Medium DB-LCU'!F38</f>
        <v>Thousand</v>
      </c>
      <c r="G39" s="417">
        <f>'Tourism Medium DB-LCU'!H38</f>
        <v>102.876</v>
      </c>
      <c r="H39" s="417">
        <f>'Tourism Medium DB-LCU'!I38</f>
        <v>128.49199999999999</v>
      </c>
      <c r="I39" s="417">
        <f>'Tourism Medium DB-LCU'!J38</f>
        <v>105.122</v>
      </c>
      <c r="J39" s="417">
        <f>'Tourism Medium DB-LCU'!K38</f>
        <v>98.471000000000004</v>
      </c>
      <c r="K39" s="417">
        <f>'Tourism Medium DB-LCU'!L38</f>
        <v>80.100999999999999</v>
      </c>
      <c r="L39" s="120">
        <f>'Tourism Medium DB-LCU'!M38</f>
        <v>77.111284290710813</v>
      </c>
      <c r="M39" s="120">
        <f>'Tourism Medium DB-LCU'!N38</f>
        <v>80.009401409808049</v>
      </c>
      <c r="N39" s="120">
        <f>'Tourism Medium DB-LCU'!O38</f>
        <v>82.838367561364109</v>
      </c>
      <c r="O39" s="120">
        <f>'Tourism Medium DB-LCU'!P38</f>
        <v>85.19631311128272</v>
      </c>
      <c r="P39" s="120">
        <f>'Tourism Medium DB-LCU'!Q38</f>
        <v>87.18181906907202</v>
      </c>
      <c r="Q39" s="32">
        <f t="shared" si="2"/>
        <v>-6.0642370572640769E-2</v>
      </c>
      <c r="R39" s="32">
        <f t="shared" si="3"/>
        <v>1.7085815749272815E-2</v>
      </c>
      <c r="X39" s="1">
        <v>2</v>
      </c>
      <c r="Y39" s="1" t="s">
        <v>471</v>
      </c>
    </row>
    <row r="40" spans="1:25" ht="15" customHeight="1">
      <c r="A40" s="4" t="str">
        <f>'Tourism Medium DB-LCU'!A39</f>
        <v>Hungary</v>
      </c>
      <c r="B40" s="4" t="str">
        <f>'Tourism Medium DB-LCU'!B39</f>
        <v>Tourism Flows</v>
      </c>
      <c r="C40" s="4" t="str">
        <f>'Tourism Medium DB-LCU'!C39</f>
        <v>International Departures by Destination</v>
      </c>
      <c r="D40" s="2" t="str">
        <f>'Tourism Medium DB-LCU'!D39</f>
        <v>South &amp; Central America</v>
      </c>
      <c r="E40" s="4"/>
      <c r="F40" s="4" t="str">
        <f>'Tourism Medium DB-LCU'!F39</f>
        <v>Thousand</v>
      </c>
      <c r="G40" s="417">
        <f>'Tourism Medium DB-LCU'!H39</f>
        <v>4.5824649638392714</v>
      </c>
      <c r="H40" s="417">
        <f>'Tourism Medium DB-LCU'!I39</f>
        <v>4.7156023004137637</v>
      </c>
      <c r="I40" s="417">
        <f>'Tourism Medium DB-LCU'!J39</f>
        <v>7.6464589815520867</v>
      </c>
      <c r="J40" s="417">
        <f>'Tourism Medium DB-LCU'!K39</f>
        <v>7.351</v>
      </c>
      <c r="K40" s="417">
        <f>'Tourism Medium DB-LCU'!L39</f>
        <v>14.086</v>
      </c>
      <c r="L40" s="120">
        <f>'Tourism Medium DB-LCU'!M39</f>
        <v>16.006835213392851</v>
      </c>
      <c r="M40" s="120">
        <f>'Tourism Medium DB-LCU'!N39</f>
        <v>16.517886216564115</v>
      </c>
      <c r="N40" s="120">
        <f>'Tourism Medium DB-LCU'!O39</f>
        <v>16.963496218277751</v>
      </c>
      <c r="O40" s="120">
        <f>'Tourism Medium DB-LCU'!P39</f>
        <v>17.342320313270058</v>
      </c>
      <c r="P40" s="120">
        <f>'Tourism Medium DB-LCU'!Q39</f>
        <v>17.64867919996065</v>
      </c>
      <c r="Q40" s="32">
        <f t="shared" si="2"/>
        <v>0.32410410730160732</v>
      </c>
      <c r="R40" s="32">
        <f t="shared" si="3"/>
        <v>4.612818954333453E-2</v>
      </c>
      <c r="X40" s="1">
        <v>2</v>
      </c>
    </row>
    <row r="41" spans="1:25" ht="15" customHeight="1">
      <c r="A41" s="4" t="str">
        <f>'Tourism Medium DB-LCU'!A40</f>
        <v>Hungary</v>
      </c>
      <c r="B41" s="4" t="str">
        <f>'Tourism Medium DB-LCU'!B40</f>
        <v>Tourism Flows</v>
      </c>
      <c r="C41" s="2" t="str">
        <f>'Tourism Medium DB-LCU'!C40</f>
        <v>International Departures by Purpose of Visit</v>
      </c>
      <c r="D41" s="4"/>
      <c r="E41" s="4"/>
      <c r="F41" s="4" t="str">
        <f>'Tourism Medium DB-LCU'!F40</f>
        <v>Thousand</v>
      </c>
      <c r="G41" s="155">
        <f>'Tourism Medium DB-LCU'!H40</f>
        <v>5057.7269999999999</v>
      </c>
      <c r="H41" s="155">
        <f>'Tourism Medium DB-LCU'!I40</f>
        <v>4556.2539999999999</v>
      </c>
      <c r="I41" s="155">
        <f>'Tourism Medium DB-LCU'!J40</f>
        <v>4398.1840000000002</v>
      </c>
      <c r="J41" s="416">
        <f>'Tourism Medium DB-LCU'!K40</f>
        <v>4414.1189999999997</v>
      </c>
      <c r="K41" s="416">
        <f>'Tourism Medium DB-LCU'!L40</f>
        <v>3498.7705729627151</v>
      </c>
      <c r="L41" s="120">
        <f>'Tourism Medium DB-LCU'!M40</f>
        <v>3559.9234253633458</v>
      </c>
      <c r="M41" s="120">
        <f>'Tourism Medium DB-LCU'!N40</f>
        <v>3303.85531372992</v>
      </c>
      <c r="N41" s="120">
        <f>'Tourism Medium DB-LCU'!O40</f>
        <v>3309.2935851823891</v>
      </c>
      <c r="O41" s="120">
        <f>'Tourism Medium DB-LCU'!P40</f>
        <v>3475.0670408475485</v>
      </c>
      <c r="P41" s="120">
        <f>'Tourism Medium DB-LCU'!Q40</f>
        <v>3598.1082820115757</v>
      </c>
      <c r="Q41" s="32">
        <f t="shared" si="2"/>
        <v>-8.8010117520842757E-2</v>
      </c>
      <c r="R41" s="32">
        <f t="shared" si="3"/>
        <v>5.6150231210485568E-3</v>
      </c>
      <c r="T41" s="82" t="s">
        <v>309</v>
      </c>
      <c r="X41" s="1">
        <v>4</v>
      </c>
      <c r="Y41" s="1" t="s">
        <v>472</v>
      </c>
    </row>
    <row r="42" spans="1:25" ht="15" customHeight="1">
      <c r="A42" s="4" t="str">
        <f>'Tourism Medium DB-LCU'!A41</f>
        <v>Hungary</v>
      </c>
      <c r="B42" s="4" t="str">
        <f>'Tourism Medium DB-LCU'!B41</f>
        <v>Tourism Flows</v>
      </c>
      <c r="C42" s="4" t="str">
        <f>'Tourism Medium DB-LCU'!C41</f>
        <v>International Departures by Purpose of Visit</v>
      </c>
      <c r="D42" s="2" t="str">
        <f>'Tourism Medium DB-LCU'!D41</f>
        <v>Business</v>
      </c>
      <c r="E42" s="4"/>
      <c r="F42" s="4" t="str">
        <f>'Tourism Medium DB-LCU'!F41</f>
        <v>Thousand</v>
      </c>
      <c r="G42" s="417">
        <f>'Tourism Medium DB-LCU'!H41</f>
        <v>704.23599999999999</v>
      </c>
      <c r="H42" s="417">
        <f>'Tourism Medium DB-LCU'!I41</f>
        <v>653.40300000000002</v>
      </c>
      <c r="I42" s="417">
        <f>'Tourism Medium DB-LCU'!J41</f>
        <v>625.38099999999997</v>
      </c>
      <c r="J42" s="417">
        <f>'Tourism Medium DB-LCU'!K41</f>
        <v>608.38400000000001</v>
      </c>
      <c r="K42" s="417">
        <f>'Tourism Medium DB-LCU'!L41</f>
        <v>503.11284279025296</v>
      </c>
      <c r="L42" s="120">
        <f>'Tourism Medium DB-LCU'!M41</f>
        <v>512.11335753704952</v>
      </c>
      <c r="M42" s="120">
        <f>'Tourism Medium DB-LCU'!N41</f>
        <v>475.3506596745807</v>
      </c>
      <c r="N42" s="120">
        <f>'Tourism Medium DB-LCU'!O41</f>
        <v>476.69545460536528</v>
      </c>
      <c r="O42" s="120">
        <f>'Tourism Medium DB-LCU'!P41</f>
        <v>501.13021334716211</v>
      </c>
      <c r="P42" s="120">
        <f>'Tourism Medium DB-LCU'!Q41</f>
        <v>518.50391862442029</v>
      </c>
      <c r="Q42" s="32">
        <f t="shared" si="2"/>
        <v>-8.0637478653392658E-2</v>
      </c>
      <c r="R42" s="32">
        <f t="shared" si="3"/>
        <v>6.0448167666500296E-3</v>
      </c>
      <c r="X42" s="1">
        <v>2</v>
      </c>
    </row>
    <row r="43" spans="1:25" ht="15" customHeight="1">
      <c r="A43" s="4" t="str">
        <f>'Tourism Medium DB-LCU'!A42</f>
        <v>Hungary</v>
      </c>
      <c r="B43" s="4" t="str">
        <f>'Tourism Medium DB-LCU'!B42</f>
        <v>Tourism Flows</v>
      </c>
      <c r="C43" s="4" t="str">
        <f>'Tourism Medium DB-LCU'!C42</f>
        <v>International Departures by Purpose of Visit</v>
      </c>
      <c r="D43" s="2" t="str">
        <f>'Tourism Medium DB-LCU'!D42</f>
        <v>Leisure</v>
      </c>
      <c r="E43" s="4"/>
      <c r="F43" s="4" t="str">
        <f>'Tourism Medium DB-LCU'!F42</f>
        <v>Thousand</v>
      </c>
      <c r="G43" s="417">
        <f>'Tourism Medium DB-LCU'!H42</f>
        <v>0</v>
      </c>
      <c r="H43" s="417">
        <f>'Tourism Medium DB-LCU'!I42</f>
        <v>0</v>
      </c>
      <c r="I43" s="417">
        <f>'Tourism Medium DB-LCU'!J42</f>
        <v>0</v>
      </c>
      <c r="J43" s="417">
        <f>'Tourism Medium DB-LCU'!K42</f>
        <v>0</v>
      </c>
      <c r="K43" s="417">
        <f>'Tourism Medium DB-LCU'!L42</f>
        <v>0</v>
      </c>
      <c r="L43" s="120" t="e">
        <f>'Tourism Medium DB-LCU'!M42</f>
        <v>#DIV/0!</v>
      </c>
      <c r="M43" s="120" t="e">
        <f>'Tourism Medium DB-LCU'!N42</f>
        <v>#DIV/0!</v>
      </c>
      <c r="N43" s="120" t="e">
        <f>'Tourism Medium DB-LCU'!O42</f>
        <v>#DIV/0!</v>
      </c>
      <c r="O43" s="120" t="e">
        <f>'Tourism Medium DB-LCU'!P42</f>
        <v>#DIV/0!</v>
      </c>
      <c r="P43" s="120" t="e">
        <f>'Tourism Medium DB-LCU'!Q42</f>
        <v>#DIV/0!</v>
      </c>
      <c r="Q43" s="32" t="e">
        <f t="shared" si="2"/>
        <v>#DIV/0!</v>
      </c>
      <c r="R43" s="32" t="e">
        <f t="shared" si="3"/>
        <v>#DIV/0!</v>
      </c>
      <c r="X43" s="1">
        <v>2</v>
      </c>
    </row>
    <row r="44" spans="1:25" ht="15" customHeight="1">
      <c r="A44" s="4" t="str">
        <f>'Tourism Medium DB-LCU'!A43</f>
        <v>Hungary</v>
      </c>
      <c r="B44" s="4" t="str">
        <f>'Tourism Medium DB-LCU'!B43</f>
        <v>Tourism Flows</v>
      </c>
      <c r="C44" s="4" t="str">
        <f>'Tourism Medium DB-LCU'!C43</f>
        <v>International Departures by Purpose of Visit</v>
      </c>
      <c r="D44" s="2" t="str">
        <f>'Tourism Medium DB-LCU'!D43</f>
        <v>Other Personal</v>
      </c>
      <c r="E44" s="4"/>
      <c r="F44" s="4" t="str">
        <f>'Tourism Medium DB-LCU'!F43</f>
        <v>Thousand</v>
      </c>
      <c r="G44" s="417">
        <f>'Tourism Medium DB-LCU'!H43</f>
        <v>0</v>
      </c>
      <c r="H44" s="417">
        <f>'Tourism Medium DB-LCU'!I43</f>
        <v>0</v>
      </c>
      <c r="I44" s="417">
        <f>'Tourism Medium DB-LCU'!J43</f>
        <v>0</v>
      </c>
      <c r="J44" s="417">
        <f>'Tourism Medium DB-LCU'!K43</f>
        <v>0</v>
      </c>
      <c r="K44" s="417">
        <f>'Tourism Medium DB-LCU'!L43</f>
        <v>0</v>
      </c>
      <c r="L44" s="120" t="e">
        <f>'Tourism Medium DB-LCU'!M43</f>
        <v>#DIV/0!</v>
      </c>
      <c r="M44" s="120" t="e">
        <f>'Tourism Medium DB-LCU'!N43</f>
        <v>#DIV/0!</v>
      </c>
      <c r="N44" s="120" t="e">
        <f>'Tourism Medium DB-LCU'!O43</f>
        <v>#DIV/0!</v>
      </c>
      <c r="O44" s="120" t="e">
        <f>'Tourism Medium DB-LCU'!P43</f>
        <v>#DIV/0!</v>
      </c>
      <c r="P44" s="120" t="e">
        <f>'Tourism Medium DB-LCU'!Q43</f>
        <v>#DIV/0!</v>
      </c>
      <c r="Q44" s="32" t="e">
        <f t="shared" si="2"/>
        <v>#DIV/0!</v>
      </c>
      <c r="R44" s="32" t="e">
        <f t="shared" si="3"/>
        <v>#DIV/0!</v>
      </c>
      <c r="X44" s="1">
        <v>2</v>
      </c>
    </row>
    <row r="45" spans="1:25" ht="15" customHeight="1">
      <c r="A45" s="4" t="str">
        <f>'Tourism Medium DB-LCU'!A44</f>
        <v>Hungary</v>
      </c>
      <c r="B45" s="4" t="str">
        <f>'Tourism Medium DB-LCU'!B44</f>
        <v>Tourism Flows</v>
      </c>
      <c r="C45" s="2" t="str">
        <f>'Tourism Medium DB-LCU'!C44</f>
        <v>Number of Overnight Stays</v>
      </c>
      <c r="D45" s="4"/>
      <c r="E45" s="4"/>
      <c r="F45" s="4" t="str">
        <f>'Tourism Medium DB-LCU'!F44</f>
        <v>Thousand</v>
      </c>
      <c r="G45" s="386">
        <f>'Tourism Medium DB-LCU'!H44</f>
        <v>175848</v>
      </c>
      <c r="H45" s="386">
        <f>'Tourism Medium DB-LCU'!I44</f>
        <v>166027</v>
      </c>
      <c r="I45" s="386">
        <f>'Tourism Medium DB-LCU'!J44</f>
        <v>190238</v>
      </c>
      <c r="J45" s="386">
        <f>'Tourism Medium DB-LCU'!K44</f>
        <v>196931</v>
      </c>
      <c r="K45" s="386">
        <f>'Tourism Medium DB-LCU'!L44</f>
        <v>204538.4407297516</v>
      </c>
      <c r="L45" s="155">
        <f>'Tourism Medium DB-LCU'!M44</f>
        <v>195791.01248251431</v>
      </c>
      <c r="M45" s="155">
        <f>'Tourism Medium DB-LCU'!N44</f>
        <v>200862.27725156676</v>
      </c>
      <c r="N45" s="155">
        <f>'Tourism Medium DB-LCU'!O44</f>
        <v>210509.7013902851</v>
      </c>
      <c r="O45" s="155">
        <f>'Tourism Medium DB-LCU'!P44</f>
        <v>223479.73715538578</v>
      </c>
      <c r="P45" s="155">
        <f>'Tourism Medium DB-LCU'!Q44</f>
        <v>232197.97354303318</v>
      </c>
      <c r="Q45" s="32">
        <f t="shared" si="2"/>
        <v>3.8506877277332929E-2</v>
      </c>
      <c r="R45" s="32">
        <f t="shared" si="3"/>
        <v>2.5691359194589314E-2</v>
      </c>
      <c r="X45" s="1">
        <v>2</v>
      </c>
      <c r="Y45" s="1" t="s">
        <v>473</v>
      </c>
    </row>
    <row r="46" spans="1:25" ht="15" customHeight="1">
      <c r="A46" s="4" t="str">
        <f>'Tourism Medium DB-LCU'!A45</f>
        <v>Hungary</v>
      </c>
      <c r="B46" s="4" t="str">
        <f>'Tourism Medium DB-LCU'!B45</f>
        <v>Tourism Flows</v>
      </c>
      <c r="C46" s="4" t="str">
        <f>'Tourism Medium DB-LCU'!C45</f>
        <v>Number of Overnight Stays</v>
      </c>
      <c r="D46" s="2" t="str">
        <f>'Tourism Medium DB-LCU'!D45</f>
        <v>International trips</v>
      </c>
      <c r="E46" s="4"/>
      <c r="F46" s="4" t="str">
        <f>'Tourism Medium DB-LCU'!F45</f>
        <v>Thousand</v>
      </c>
      <c r="G46" s="385">
        <f>'Tourism Medium DB-LCU'!H45</f>
        <v>81878</v>
      </c>
      <c r="H46" s="385">
        <f>'Tourism Medium DB-LCU'!I45</f>
        <v>73980</v>
      </c>
      <c r="I46" s="385">
        <f>'Tourism Medium DB-LCU'!J45</f>
        <v>80870</v>
      </c>
      <c r="J46" s="385">
        <f>'Tourism Medium DB-LCU'!K45</f>
        <v>89076</v>
      </c>
      <c r="K46" s="385">
        <f>'Tourism Medium DB-LCU'!L45</f>
        <v>91613.301351241142</v>
      </c>
      <c r="L46" s="120">
        <f>'Tourism Medium DB-LCU'!M45</f>
        <v>87150.592522082501</v>
      </c>
      <c r="M46" s="120">
        <f>'Tourism Medium DB-LCU'!N45</f>
        <v>87277.263617156728</v>
      </c>
      <c r="N46" s="120">
        <f>'Tourism Medium DB-LCU'!O45</f>
        <v>95177.06516726203</v>
      </c>
      <c r="O46" s="120">
        <f>'Tourism Medium DB-LCU'!P45</f>
        <v>104570.39925014193</v>
      </c>
      <c r="P46" s="120">
        <f>'Tourism Medium DB-LCU'!Q45</f>
        <v>111476.55992501773</v>
      </c>
      <c r="Q46" s="32">
        <f t="shared" si="2"/>
        <v>2.848467995016768E-2</v>
      </c>
      <c r="R46" s="32">
        <f t="shared" si="3"/>
        <v>4.0027935971120199E-2</v>
      </c>
      <c r="X46" s="1">
        <v>2</v>
      </c>
    </row>
    <row r="47" spans="1:25" ht="15" customHeight="1">
      <c r="A47" s="4" t="str">
        <f>'Tourism Medium DB-LCU'!A46</f>
        <v>Hungary</v>
      </c>
      <c r="B47" s="4" t="str">
        <f>'Tourism Medium DB-LCU'!B46</f>
        <v>Tourism Flows</v>
      </c>
      <c r="C47" s="4" t="str">
        <f>'Tourism Medium DB-LCU'!C46</f>
        <v>Number of Overnight Stays</v>
      </c>
      <c r="D47" s="2" t="str">
        <f>'Tourism Medium DB-LCU'!D46</f>
        <v>Domestic Trips</v>
      </c>
      <c r="E47" s="4"/>
      <c r="F47" s="4" t="str">
        <f>'Tourism Medium DB-LCU'!F46</f>
        <v>Thousand</v>
      </c>
      <c r="G47" s="385">
        <f>'Tourism Medium DB-LCU'!H46</f>
        <v>93970</v>
      </c>
      <c r="H47" s="385">
        <f>'Tourism Medium DB-LCU'!I46</f>
        <v>92047</v>
      </c>
      <c r="I47" s="385">
        <f>'Tourism Medium DB-LCU'!J46</f>
        <v>109368</v>
      </c>
      <c r="J47" s="385">
        <f>'Tourism Medium DB-LCU'!K46</f>
        <v>107855</v>
      </c>
      <c r="K47" s="385">
        <f>'Tourism Medium DB-LCU'!L46</f>
        <v>112925.13937851046</v>
      </c>
      <c r="L47" s="120">
        <f>'Tourism Medium DB-LCU'!M46</f>
        <v>108640.41996043183</v>
      </c>
      <c r="M47" s="120">
        <f>'Tourism Medium DB-LCU'!N46</f>
        <v>113585.01363441005</v>
      </c>
      <c r="N47" s="120">
        <f>'Tourism Medium DB-LCU'!O46</f>
        <v>115332.63622302306</v>
      </c>
      <c r="O47" s="120">
        <f>'Tourism Medium DB-LCU'!P46</f>
        <v>118909.33790524384</v>
      </c>
      <c r="P47" s="120">
        <f>'Tourism Medium DB-LCU'!Q46</f>
        <v>120721.41361801543</v>
      </c>
      <c r="Q47" s="32">
        <f t="shared" si="2"/>
        <v>4.7008848718283369E-2</v>
      </c>
      <c r="R47" s="32">
        <f t="shared" si="3"/>
        <v>1.3441618798167188E-2</v>
      </c>
      <c r="X47" s="1">
        <v>2</v>
      </c>
    </row>
    <row r="48" spans="1:25" ht="15" customHeight="1">
      <c r="A48" s="4" t="str">
        <f>'Tourism Medium DB-LCU'!A47</f>
        <v>Hungary</v>
      </c>
      <c r="B48" s="2" t="str">
        <f>'Tourism Medium DB-LCU'!B47</f>
        <v>Tourism Receipts &amp; Expenditure</v>
      </c>
      <c r="C48" s="4"/>
      <c r="D48" s="4"/>
      <c r="E48" s="4"/>
      <c r="F48" s="4"/>
      <c r="Q48" s="32"/>
      <c r="R48" s="32"/>
    </row>
    <row r="49" spans="1:25" ht="15" customHeight="1">
      <c r="A49" s="4" t="str">
        <f>'Tourism Medium DB-LCU'!A48</f>
        <v>Hungary</v>
      </c>
      <c r="B49" s="4" t="str">
        <f>'Tourism Medium DB-LCU'!B48</f>
        <v>Tourism Receipts &amp; Expenditure</v>
      </c>
      <c r="C49" s="2" t="str">
        <f>'Tourism Medium DB-LCU'!C48</f>
        <v>Domestic Tourist Expenditure by Sector</v>
      </c>
      <c r="D49" s="4"/>
      <c r="E49" s="4"/>
      <c r="F49" s="4" t="s">
        <v>277</v>
      </c>
      <c r="G49" s="408">
        <f>'Tourism Medium DB-LCU'!H48*Home!C$5</f>
        <v>773.67304244329762</v>
      </c>
      <c r="H49" s="408">
        <f>'Tourism Medium DB-LCU'!I48*Home!D$5</f>
        <v>695.11674132382711</v>
      </c>
      <c r="I49" s="408">
        <f>'Tourism Medium DB-LCU'!J48*Home!E$5</f>
        <v>653.67587270135834</v>
      </c>
      <c r="J49" s="408">
        <f>'Tourism Medium DB-LCU'!K48*Home!F$5</f>
        <v>706.2810026616653</v>
      </c>
      <c r="K49" s="408">
        <f>'Tourism Medium DB-LCU'!L48*Home!G$5</f>
        <v>647.25320385179066</v>
      </c>
      <c r="L49" s="103">
        <f>'Tourism Medium DB-LCU'!M48*Home!H$5</f>
        <v>667.82698713879529</v>
      </c>
      <c r="M49" s="103">
        <f>'Tourism Medium DB-LCU'!N48*Home!I$5</f>
        <v>658.32781817005639</v>
      </c>
      <c r="N49" s="103">
        <f>'Tourism Medium DB-LCU'!O48*Home!J$5</f>
        <v>674.77662308479637</v>
      </c>
      <c r="O49" s="103">
        <f>'Tourism Medium DB-LCU'!P48*Home!K$5</f>
        <v>697.03870782081594</v>
      </c>
      <c r="P49" s="103">
        <f>'Tourism Medium DB-LCU'!Q48*Home!L$5</f>
        <v>702.23821816593772</v>
      </c>
      <c r="Q49" s="32">
        <f t="shared" ref="Q49:Q75" si="4">(K49/G49)^(1/4)-1</f>
        <v>-4.3622861608682784E-2</v>
      </c>
      <c r="R49" s="32">
        <f t="shared" ref="R49:R75" si="5">(P49/K49)^(1/5)-1</f>
        <v>1.6440709199555092E-2</v>
      </c>
      <c r="S49" s="1" t="s">
        <v>196</v>
      </c>
      <c r="T49" s="1" t="s">
        <v>196</v>
      </c>
      <c r="U49" s="1" t="s">
        <v>196</v>
      </c>
      <c r="V49" s="1" t="s">
        <v>196</v>
      </c>
      <c r="W49" s="1" t="s">
        <v>196</v>
      </c>
      <c r="X49" s="1">
        <v>1</v>
      </c>
      <c r="Y49" s="1" t="s">
        <v>496</v>
      </c>
    </row>
    <row r="50" spans="1:25" ht="15" customHeight="1">
      <c r="A50" s="4" t="str">
        <f>'Tourism Medium DB-LCU'!A49</f>
        <v>Hungary</v>
      </c>
      <c r="B50" s="4" t="str">
        <f>'Tourism Medium DB-LCU'!B49</f>
        <v>Tourism Receipts &amp; Expenditure</v>
      </c>
      <c r="C50" s="4" t="str">
        <f>'Tourism Medium DB-LCU'!C49</f>
        <v>Domestic Tourist Expenditure by Sector</v>
      </c>
      <c r="D50" s="2" t="str">
        <f>'Tourism Medium DB-LCU'!D49</f>
        <v>Accommodation</v>
      </c>
      <c r="E50" s="4"/>
      <c r="F50" s="4" t="s">
        <v>277</v>
      </c>
      <c r="G50" s="409">
        <f>'Tourism Medium DB-LCU'!H49*Home!C$5</f>
        <v>73.921495342785136</v>
      </c>
      <c r="H50" s="409">
        <f>'Tourism Medium DB-LCU'!I49*Home!D$5</f>
        <v>66.102349526917465</v>
      </c>
      <c r="I50" s="409">
        <f>'Tourism Medium DB-LCU'!J49*Home!E$5</f>
        <v>61.791997724010677</v>
      </c>
      <c r="J50" s="409">
        <f>'Tourism Medium DB-LCU'!K49*Home!F$5</f>
        <v>66.56486756847687</v>
      </c>
      <c r="K50" s="409">
        <f>'Tourism Medium DB-LCU'!L49*Home!G$5</f>
        <v>60.635664407635161</v>
      </c>
      <c r="L50" s="60">
        <f>'Tourism Medium DB-LCU'!M49*Home!H$5</f>
        <v>61.8546929058896</v>
      </c>
      <c r="M50" s="60">
        <f>'Tourism Medium DB-LCU'!N49*Home!I$5</f>
        <v>60.831722948576925</v>
      </c>
      <c r="N50" s="60">
        <f>'Tourism Medium DB-LCU'!O49*Home!J$5</f>
        <v>62.474735332054713</v>
      </c>
      <c r="O50" s="60">
        <f>'Tourism Medium DB-LCU'!P49*Home!K$5</f>
        <v>64.217928522526449</v>
      </c>
      <c r="P50" s="60">
        <f>'Tourism Medium DB-LCU'!Q49*Home!L$5</f>
        <v>64.354689216091373</v>
      </c>
      <c r="Q50" s="32">
        <f t="shared" si="4"/>
        <v>-4.832349127665736E-2</v>
      </c>
      <c r="R50" s="32">
        <f t="shared" si="5"/>
        <v>1.1976462370006269E-2</v>
      </c>
      <c r="X50" s="1">
        <v>1</v>
      </c>
      <c r="Y50" s="402" t="s">
        <v>499</v>
      </c>
    </row>
    <row r="51" spans="1:25" ht="15" customHeight="1">
      <c r="A51" s="4" t="str">
        <f>'Tourism Medium DB-LCU'!A50</f>
        <v>Hungary</v>
      </c>
      <c r="B51" s="4" t="str">
        <f>'Tourism Medium DB-LCU'!B50</f>
        <v>Tourism Receipts &amp; Expenditure</v>
      </c>
      <c r="C51" s="4" t="str">
        <f>'Tourism Medium DB-LCU'!C50</f>
        <v>Domestic Tourist Expenditure by Sector</v>
      </c>
      <c r="D51" s="2" t="str">
        <f>'Tourism Medium DB-LCU'!D50</f>
        <v>Entertainment &amp; Sightseeing</v>
      </c>
      <c r="E51" s="4"/>
      <c r="F51" s="4" t="s">
        <v>277</v>
      </c>
      <c r="G51" s="409">
        <f>'Tourism Medium DB-LCU'!H50*Home!C$5</f>
        <v>37.833797428001262</v>
      </c>
      <c r="H51" s="409">
        <f>'Tourism Medium DB-LCU'!I50*Home!D$5</f>
        <v>34.053530828759534</v>
      </c>
      <c r="I51" s="409">
        <f>'Tourism Medium DB-LCU'!J50*Home!E$5</f>
        <v>31.941971556532724</v>
      </c>
      <c r="J51" s="409">
        <f>'Tourism Medium DB-LCU'!K50*Home!F$5</f>
        <v>34.610391476749058</v>
      </c>
      <c r="K51" s="409">
        <f>'Tourism Medium DB-LCU'!L50*Home!G$5</f>
        <v>31.812963601632696</v>
      </c>
      <c r="L51" s="60">
        <f>'Tourism Medium DB-LCU'!M50*Home!H$5</f>
        <v>32.866602090226451</v>
      </c>
      <c r="M51" s="60">
        <f>'Tourism Medium DB-LCU'!N50*Home!I$5</f>
        <v>32.371559964965101</v>
      </c>
      <c r="N51" s="60">
        <f>'Tourism Medium DB-LCU'!O50*Home!J$5</f>
        <v>32.980565274808512</v>
      </c>
      <c r="O51" s="60">
        <f>'Tourism Medium DB-LCU'!P50*Home!K$5</f>
        <v>34.095693499043094</v>
      </c>
      <c r="P51" s="60">
        <f>'Tourism Medium DB-LCU'!Q50*Home!L$5</f>
        <v>34.380386473005331</v>
      </c>
      <c r="Q51" s="32">
        <f t="shared" si="4"/>
        <v>-4.2406810642473425E-2</v>
      </c>
      <c r="R51" s="32">
        <f t="shared" si="5"/>
        <v>1.5643574180611575E-2</v>
      </c>
      <c r="X51" s="1">
        <v>1</v>
      </c>
      <c r="Y51" s="402" t="s">
        <v>499</v>
      </c>
    </row>
    <row r="52" spans="1:25" ht="15" customHeight="1">
      <c r="A52" s="4" t="str">
        <f>'Tourism Medium DB-LCU'!A51</f>
        <v>Hungary</v>
      </c>
      <c r="B52" s="4" t="str">
        <f>'Tourism Medium DB-LCU'!B51</f>
        <v>Tourism Receipts &amp; Expenditure</v>
      </c>
      <c r="C52" s="4" t="str">
        <f>'Tourism Medium DB-LCU'!C51</f>
        <v>Domestic Tourist Expenditure by Sector</v>
      </c>
      <c r="D52" s="2" t="str">
        <f>'Tourism Medium DB-LCU'!D51</f>
        <v>Foodservice</v>
      </c>
      <c r="E52" s="4"/>
      <c r="F52" s="4" t="s">
        <v>277</v>
      </c>
      <c r="G52" s="409">
        <f>'Tourism Medium DB-LCU'!H51*Home!C$5</f>
        <v>123.62094168265881</v>
      </c>
      <c r="H52" s="409">
        <f>'Tourism Medium DB-LCU'!I51*Home!D$5</f>
        <v>111.43009277055116</v>
      </c>
      <c r="I52" s="409">
        <f>'Tourism Medium DB-LCU'!J51*Home!E$5</f>
        <v>104.98685114275058</v>
      </c>
      <c r="J52" s="409">
        <f>'Tourism Medium DB-LCU'!K51*Home!F$5</f>
        <v>112.95213947036328</v>
      </c>
      <c r="K52" s="409">
        <f>'Tourism Medium DB-LCU'!L51*Home!G$5</f>
        <v>104.54722726135668</v>
      </c>
      <c r="L52" s="60">
        <f>'Tourism Medium DB-LCU'!M51*Home!H$5</f>
        <v>107.69167596337255</v>
      </c>
      <c r="M52" s="60">
        <f>'Tourism Medium DB-LCU'!N51*Home!I$5</f>
        <v>105.77966147748307</v>
      </c>
      <c r="N52" s="60">
        <f>'Tourism Medium DB-LCU'!O51*Home!J$5</f>
        <v>109.33028582321624</v>
      </c>
      <c r="O52" s="60">
        <f>'Tourism Medium DB-LCU'!P51*Home!K$5</f>
        <v>113.67751366802979</v>
      </c>
      <c r="P52" s="60">
        <f>'Tourism Medium DB-LCU'!Q51*Home!L$5</f>
        <v>114.40875348837136</v>
      </c>
      <c r="Q52" s="32">
        <f t="shared" si="4"/>
        <v>-4.1029786206472685E-2</v>
      </c>
      <c r="R52" s="32">
        <f t="shared" si="5"/>
        <v>1.8191218117155072E-2</v>
      </c>
      <c r="X52" s="1">
        <v>1</v>
      </c>
      <c r="Y52" s="402" t="s">
        <v>499</v>
      </c>
    </row>
    <row r="53" spans="1:25" ht="15" customHeight="1">
      <c r="A53" s="4" t="str">
        <f>'Tourism Medium DB-LCU'!A52</f>
        <v>Hungary</v>
      </c>
      <c r="B53" s="4" t="str">
        <f>'Tourism Medium DB-LCU'!B52</f>
        <v>Tourism Receipts &amp; Expenditure</v>
      </c>
      <c r="C53" s="4" t="str">
        <f>'Tourism Medium DB-LCU'!C52</f>
        <v>Domestic Tourist Expenditure by Sector</v>
      </c>
      <c r="D53" s="2" t="str">
        <f>'Tourism Medium DB-LCU'!D52</f>
        <v>Retail</v>
      </c>
      <c r="E53" s="4"/>
      <c r="F53" s="4" t="s">
        <v>277</v>
      </c>
      <c r="G53" s="409">
        <f>'Tourism Medium DB-LCU'!H52*Home!C$5</f>
        <v>131.13228500236437</v>
      </c>
      <c r="H53" s="409">
        <f>'Tourism Medium DB-LCU'!I52*Home!D$5</f>
        <v>117.30076610627327</v>
      </c>
      <c r="I53" s="409">
        <f>'Tourism Medium DB-LCU'!J52*Home!E$5</f>
        <v>110.19710224955855</v>
      </c>
      <c r="J53" s="409">
        <f>'Tourism Medium DB-LCU'!K52*Home!F$5</f>
        <v>118.35163097349719</v>
      </c>
      <c r="K53" s="409">
        <f>'Tourism Medium DB-LCU'!L52*Home!G$5</f>
        <v>108.13495142000959</v>
      </c>
      <c r="L53" s="60">
        <f>'Tourism Medium DB-LCU'!M52*Home!H$5</f>
        <v>111.46366285048784</v>
      </c>
      <c r="M53" s="60">
        <f>'Tourism Medium DB-LCU'!N52*Home!I$5</f>
        <v>110.32445269324742</v>
      </c>
      <c r="N53" s="60">
        <f>'Tourism Medium DB-LCU'!O52*Home!J$5</f>
        <v>113.20101846351976</v>
      </c>
      <c r="O53" s="60">
        <f>'Tourism Medium DB-LCU'!P52*Home!K$5</f>
        <v>116.41022533738521</v>
      </c>
      <c r="P53" s="60">
        <f>'Tourism Medium DB-LCU'!Q52*Home!L$5</f>
        <v>117.6076436666432</v>
      </c>
      <c r="Q53" s="32">
        <f t="shared" si="4"/>
        <v>-4.7063163766898009E-2</v>
      </c>
      <c r="R53" s="32">
        <f t="shared" si="5"/>
        <v>1.6936632279989094E-2</v>
      </c>
      <c r="X53" s="1">
        <v>1</v>
      </c>
      <c r="Y53" s="402" t="s">
        <v>499</v>
      </c>
    </row>
    <row r="54" spans="1:25" ht="15" customHeight="1">
      <c r="A54" s="4" t="str">
        <f>'Tourism Medium DB-LCU'!A53</f>
        <v>Hungary</v>
      </c>
      <c r="B54" s="4" t="str">
        <f>'Tourism Medium DB-LCU'!B53</f>
        <v>Tourism Receipts &amp; Expenditure</v>
      </c>
      <c r="C54" s="4" t="str">
        <f>'Tourism Medium DB-LCU'!C53</f>
        <v>Domestic Tourist Expenditure by Sector</v>
      </c>
      <c r="D54" s="2" t="str">
        <f>'Tourism Medium DB-LCU'!D53</f>
        <v>Transportation</v>
      </c>
      <c r="E54" s="4"/>
      <c r="F54" s="4" t="s">
        <v>277</v>
      </c>
      <c r="G54" s="409">
        <f>'Tourism Medium DB-LCU'!H53*Home!C$5</f>
        <v>244.87057164751221</v>
      </c>
      <c r="H54" s="409">
        <f>'Tourism Medium DB-LCU'!I53*Home!D$5</f>
        <v>219.60044540542319</v>
      </c>
      <c r="I54" s="409">
        <f>'Tourism Medium DB-LCU'!J53*Home!E$5</f>
        <v>206.67330944842467</v>
      </c>
      <c r="J54" s="409">
        <f>'Tourism Medium DB-LCU'!K53*Home!F$5</f>
        <v>223.96442197617966</v>
      </c>
      <c r="K54" s="409">
        <f>'Tourism Medium DB-LCU'!L53*Home!G$5</f>
        <v>204.01500109990167</v>
      </c>
      <c r="L54" s="60">
        <f>'Tourism Medium DB-LCU'!M53*Home!H$5</f>
        <v>210.44299539754601</v>
      </c>
      <c r="M54" s="60">
        <f>'Tourism Medium DB-LCU'!N53*Home!I$5</f>
        <v>206.68432019153548</v>
      </c>
      <c r="N54" s="60">
        <f>'Tourism Medium DB-LCU'!O53*Home!J$5</f>
        <v>211.90764838573574</v>
      </c>
      <c r="O54" s="60">
        <f>'Tourism Medium DB-LCU'!P53*Home!K$5</f>
        <v>218.39109346336829</v>
      </c>
      <c r="P54" s="60">
        <f>'Tourism Medium DB-LCU'!Q53*Home!L$5</f>
        <v>219.69497375820868</v>
      </c>
      <c r="Q54" s="32">
        <f t="shared" si="4"/>
        <v>-4.4608492015398182E-2</v>
      </c>
      <c r="R54" s="32">
        <f t="shared" si="5"/>
        <v>1.4919516323107507E-2</v>
      </c>
      <c r="X54" s="1">
        <v>1</v>
      </c>
      <c r="Y54" s="402" t="s">
        <v>499</v>
      </c>
    </row>
    <row r="55" spans="1:25" ht="15" customHeight="1">
      <c r="A55" s="4" t="str">
        <f>'Tourism Medium DB-LCU'!A54</f>
        <v>Hungary</v>
      </c>
      <c r="B55" s="4" t="str">
        <f>'Tourism Medium DB-LCU'!B54</f>
        <v>Tourism Receipts &amp; Expenditure</v>
      </c>
      <c r="C55" s="4" t="str">
        <f>'Tourism Medium DB-LCU'!C54</f>
        <v>Domestic Tourist Expenditure by Sector</v>
      </c>
      <c r="D55" s="2" t="str">
        <f>'Tourism Medium DB-LCU'!D54</f>
        <v>Travel Intermediation</v>
      </c>
      <c r="E55" s="4"/>
      <c r="F55" s="4" t="s">
        <v>277</v>
      </c>
      <c r="G55" s="409">
        <f>'Tourism Medium DB-LCU'!H54*Home!C$5</f>
        <v>24.297481919094704</v>
      </c>
      <c r="H55" s="409">
        <f>'Tourism Medium DB-LCU'!I54*Home!D$5</f>
        <v>21.701321469039353</v>
      </c>
      <c r="I55" s="409">
        <f>'Tourism Medium DB-LCU'!J54*Home!E$5</f>
        <v>20.297844294358026</v>
      </c>
      <c r="J55" s="409">
        <f>'Tourism Medium DB-LCU'!K54*Home!F$5</f>
        <v>22.106781477082716</v>
      </c>
      <c r="K55" s="409">
        <f>'Tourism Medium DB-LCU'!L54*Home!G$5</f>
        <v>20.502306171308092</v>
      </c>
      <c r="L55" s="60">
        <f>'Tourism Medium DB-LCU'!M54*Home!H$5</f>
        <v>21.133477944243033</v>
      </c>
      <c r="M55" s="60">
        <f>'Tourism Medium DB-LCU'!N54*Home!I$5</f>
        <v>21.121372625964835</v>
      </c>
      <c r="N55" s="60">
        <f>'Tourism Medium DB-LCU'!O54*Home!J$5</f>
        <v>21.429226546978455</v>
      </c>
      <c r="O55" s="60">
        <f>'Tourism Medium DB-LCU'!P54*Home!K$5</f>
        <v>22.37019472037538</v>
      </c>
      <c r="P55" s="60">
        <f>'Tourism Medium DB-LCU'!Q54*Home!L$5</f>
        <v>22.61945581307544</v>
      </c>
      <c r="Q55" s="32">
        <f t="shared" si="4"/>
        <v>-4.157008254661998E-2</v>
      </c>
      <c r="R55" s="32">
        <f t="shared" si="5"/>
        <v>1.9849030806506018E-2</v>
      </c>
      <c r="X55" s="1">
        <v>1</v>
      </c>
      <c r="Y55" s="402" t="s">
        <v>499</v>
      </c>
    </row>
    <row r="56" spans="1:25" ht="15" customHeight="1">
      <c r="A56" s="4" t="str">
        <f>'Tourism Medium DB-LCU'!A55</f>
        <v>Hungary</v>
      </c>
      <c r="B56" s="4" t="str">
        <f>'Tourism Medium DB-LCU'!B55</f>
        <v>Tourism Receipts &amp; Expenditure</v>
      </c>
      <c r="C56" s="4" t="str">
        <f>'Tourism Medium DB-LCU'!C55</f>
        <v>Domestic Tourist Expenditure by Sector</v>
      </c>
      <c r="D56" s="2" t="str">
        <f>'Tourism Medium DB-LCU'!D55</f>
        <v>Other Sectors</v>
      </c>
      <c r="E56" s="4"/>
      <c r="F56" s="4" t="s">
        <v>277</v>
      </c>
      <c r="G56" s="409">
        <f>'Tourism Medium DB-LCU'!H55*Home!C$5</f>
        <v>137.99646942088103</v>
      </c>
      <c r="H56" s="409">
        <f>'Tourism Medium DB-LCU'!I55*Home!D$5</f>
        <v>124.92823521686319</v>
      </c>
      <c r="I56" s="409">
        <f>'Tourism Medium DB-LCU'!J55*Home!E$5</f>
        <v>117.78679628572317</v>
      </c>
      <c r="J56" s="409">
        <f>'Tourism Medium DB-LCU'!K55*Home!F$5</f>
        <v>127.73076971931646</v>
      </c>
      <c r="K56" s="409">
        <f>'Tourism Medium DB-LCU'!L55*Home!G$5</f>
        <v>117.6050898899468</v>
      </c>
      <c r="L56" s="60">
        <f>'Tourism Medium DB-LCU'!M55*Home!H$5</f>
        <v>122.37387998702995</v>
      </c>
      <c r="M56" s="60">
        <f>'Tourism Medium DB-LCU'!N55*Home!I$5</f>
        <v>121.21472826828355</v>
      </c>
      <c r="N56" s="60">
        <f>'Tourism Medium DB-LCU'!O55*Home!J$5</f>
        <v>123.453143258483</v>
      </c>
      <c r="O56" s="60">
        <f>'Tourism Medium DB-LCU'!P55*Home!K$5</f>
        <v>127.87605861008768</v>
      </c>
      <c r="P56" s="60">
        <f>'Tourism Medium DB-LCU'!Q55*Home!L$5</f>
        <v>129.17231575054245</v>
      </c>
      <c r="Q56" s="32">
        <f t="shared" si="4"/>
        <v>-3.9185528358118504E-2</v>
      </c>
      <c r="R56" s="32">
        <f t="shared" si="5"/>
        <v>1.8940126726069373E-2</v>
      </c>
      <c r="X56" s="1">
        <v>1</v>
      </c>
      <c r="Y56" s="402" t="s">
        <v>499</v>
      </c>
    </row>
    <row r="57" spans="1:25" ht="15" customHeight="1">
      <c r="A57" s="4" t="str">
        <f>'Tourism Medium DB-LCU'!A56</f>
        <v>Hungary</v>
      </c>
      <c r="B57" s="4" t="str">
        <f>'Tourism Medium DB-LCU'!B56</f>
        <v>Tourism Receipts &amp; Expenditure</v>
      </c>
      <c r="C57" s="2" t="str">
        <f>'Tourism Medium DB-LCU'!C56</f>
        <v>Inbound Tourist Expenditure by Sector</v>
      </c>
      <c r="D57" s="4"/>
      <c r="E57" s="4"/>
      <c r="F57" s="4" t="s">
        <v>277</v>
      </c>
      <c r="G57" s="103">
        <f>'Tourism Medium DB-LCU'!H56*Home!C$5</f>
        <v>473.75760158952937</v>
      </c>
      <c r="H57" s="103">
        <f>'Tourism Medium DB-LCU'!I56*Home!D$5</f>
        <v>439.15818952367437</v>
      </c>
      <c r="I57" s="103">
        <f>'Tourism Medium DB-LCU'!J56*Home!E$5</f>
        <v>434.64070883715357</v>
      </c>
      <c r="J57" s="103">
        <f>'Tourism Medium DB-LCU'!K56*Home!F$5</f>
        <v>491.39290243963092</v>
      </c>
      <c r="K57" s="103">
        <f>'Tourism Medium DB-LCU'!L56*Home!G$5</f>
        <v>497.85434854694387</v>
      </c>
      <c r="L57" s="103">
        <f>'Tourism Medium DB-LCU'!M56*Home!H$5</f>
        <v>537.81396972769528</v>
      </c>
      <c r="M57" s="103">
        <f>'Tourism Medium DB-LCU'!N56*Home!I$5</f>
        <v>577.82191107969936</v>
      </c>
      <c r="N57" s="103">
        <f>'Tourism Medium DB-LCU'!O56*Home!J$5</f>
        <v>635.78598233492494</v>
      </c>
      <c r="O57" s="103">
        <f>'Tourism Medium DB-LCU'!P56*Home!K$5</f>
        <v>690.54140790542874</v>
      </c>
      <c r="P57" s="103">
        <f>'Tourism Medium DB-LCU'!Q56*Home!L$5</f>
        <v>732.63672794634988</v>
      </c>
      <c r="Q57" s="32">
        <f t="shared" si="4"/>
        <v>1.2480175346667233E-2</v>
      </c>
      <c r="R57" s="32">
        <f t="shared" si="5"/>
        <v>8.0332089628305514E-2</v>
      </c>
      <c r="S57" s="1" t="s">
        <v>306</v>
      </c>
      <c r="T57" s="1" t="s">
        <v>306</v>
      </c>
      <c r="U57" s="1" t="s">
        <v>306</v>
      </c>
      <c r="V57" s="1" t="s">
        <v>305</v>
      </c>
      <c r="W57" s="1" t="s">
        <v>305</v>
      </c>
      <c r="X57" s="1">
        <v>5</v>
      </c>
      <c r="Y57" s="1" t="s">
        <v>497</v>
      </c>
    </row>
    <row r="58" spans="1:25" ht="15" customHeight="1">
      <c r="A58" s="4" t="str">
        <f>'Tourism Medium DB-LCU'!A57</f>
        <v>Hungary</v>
      </c>
      <c r="B58" s="4" t="str">
        <f>'Tourism Medium DB-LCU'!B57</f>
        <v>Tourism Receipts &amp; Expenditure</v>
      </c>
      <c r="C58" s="4" t="str">
        <f>'Tourism Medium DB-LCU'!C57</f>
        <v>Inbound Tourist Expenditure by Sector</v>
      </c>
      <c r="D58" s="2" t="str">
        <f>'Tourism Medium DB-LCU'!D57</f>
        <v>Accommodation</v>
      </c>
      <c r="E58" s="4"/>
      <c r="F58" s="4" t="s">
        <v>277</v>
      </c>
      <c r="G58" s="64">
        <f>'Tourism Medium DB-LCU'!H57*Home!C$5</f>
        <v>60.793915231149576</v>
      </c>
      <c r="H58" s="64">
        <f>'Tourism Medium DB-LCU'!I57*Home!D$5</f>
        <v>56.57318836695277</v>
      </c>
      <c r="I58" s="64">
        <f>'Tourism Medium DB-LCU'!J57*Home!E$5</f>
        <v>56.108830760901128</v>
      </c>
      <c r="J58" s="64">
        <f>'Tourism Medium DB-LCU'!K57*Home!F$5</f>
        <v>63.56198027655131</v>
      </c>
      <c r="K58" s="64">
        <f>'Tourism Medium DB-LCU'!L57*Home!G$5</f>
        <v>64.011385750739123</v>
      </c>
      <c r="L58" s="60">
        <f>'Tourism Medium DB-LCU'!M57*Home!H$5</f>
        <v>69.679014931444641</v>
      </c>
      <c r="M58" s="60">
        <f>'Tourism Medium DB-LCU'!N57*Home!I$5</f>
        <v>74.706688141408222</v>
      </c>
      <c r="N58" s="60">
        <f>'Tourism Medium DB-LCU'!O57*Home!J$5</f>
        <v>81.965949242374919</v>
      </c>
      <c r="O58" s="60">
        <f>'Tourism Medium DB-LCU'!P57*Home!K$5</f>
        <v>88.781550420274456</v>
      </c>
      <c r="P58" s="60">
        <f>'Tourism Medium DB-LCU'!Q57*Home!L$5</f>
        <v>94.102509533403904</v>
      </c>
      <c r="Q58" s="32">
        <f t="shared" si="4"/>
        <v>1.2976286782554469E-2</v>
      </c>
      <c r="R58" s="32">
        <f t="shared" si="5"/>
        <v>8.0112010330503747E-2</v>
      </c>
      <c r="X58" s="1">
        <v>1</v>
      </c>
      <c r="Y58" s="402" t="s">
        <v>500</v>
      </c>
    </row>
    <row r="59" spans="1:25" ht="15" customHeight="1">
      <c r="A59" s="4" t="str">
        <f>'Tourism Medium DB-LCU'!A58</f>
        <v>Hungary</v>
      </c>
      <c r="B59" s="4" t="str">
        <f>'Tourism Medium DB-LCU'!B58</f>
        <v>Tourism Receipts &amp; Expenditure</v>
      </c>
      <c r="C59" s="4" t="str">
        <f>'Tourism Medium DB-LCU'!C58</f>
        <v>Inbound Tourist Expenditure by Sector</v>
      </c>
      <c r="D59" s="2" t="str">
        <f>'Tourism Medium DB-LCU'!D58</f>
        <v>Entertainment &amp; Sightseeing</v>
      </c>
      <c r="E59" s="4"/>
      <c r="F59" s="4" t="s">
        <v>277</v>
      </c>
      <c r="G59" s="64">
        <f>'Tourism Medium DB-LCU'!H58*Home!C$5</f>
        <v>11.422078825566816</v>
      </c>
      <c r="H59" s="64">
        <f>'Tourism Medium DB-LCU'!I58*Home!D$5</f>
        <v>10.6502085305451</v>
      </c>
      <c r="I59" s="64">
        <f>'Tourism Medium DB-LCU'!J58*Home!E$5</f>
        <v>10.583102726773799</v>
      </c>
      <c r="J59" s="64">
        <f>'Tourism Medium DB-LCU'!K58*Home!F$5</f>
        <v>11.940555666537064</v>
      </c>
      <c r="K59" s="64">
        <f>'Tourism Medium DB-LCU'!L58*Home!G$5</f>
        <v>12.1580527940156</v>
      </c>
      <c r="L59" s="60">
        <f>'Tourism Medium DB-LCU'!M58*Home!H$5</f>
        <v>13.206385875806472</v>
      </c>
      <c r="M59" s="60">
        <f>'Tourism Medium DB-LCU'!N58*Home!I$5</f>
        <v>14.144908405798507</v>
      </c>
      <c r="N59" s="60">
        <f>'Tourism Medium DB-LCU'!O58*Home!J$5</f>
        <v>15.603317772570845</v>
      </c>
      <c r="O59" s="60">
        <f>'Tourism Medium DB-LCU'!P58*Home!K$5</f>
        <v>17.096065713851026</v>
      </c>
      <c r="P59" s="60">
        <f>'Tourism Medium DB-LCU'!Q58*Home!L$5</f>
        <v>18.204413359358526</v>
      </c>
      <c r="Q59" s="32">
        <f t="shared" si="4"/>
        <v>1.5733363846899939E-2</v>
      </c>
      <c r="R59" s="32">
        <f t="shared" si="5"/>
        <v>8.4082996434361235E-2</v>
      </c>
      <c r="X59" s="1">
        <v>1</v>
      </c>
      <c r="Y59" s="402" t="s">
        <v>500</v>
      </c>
    </row>
    <row r="60" spans="1:25" ht="15" customHeight="1">
      <c r="A60" s="4" t="str">
        <f>'Tourism Medium DB-LCU'!A59</f>
        <v>Hungary</v>
      </c>
      <c r="B60" s="4" t="str">
        <f>'Tourism Medium DB-LCU'!B59</f>
        <v>Tourism Receipts &amp; Expenditure</v>
      </c>
      <c r="C60" s="4" t="str">
        <f>'Tourism Medium DB-LCU'!C59</f>
        <v>Inbound Tourist Expenditure by Sector</v>
      </c>
      <c r="D60" s="2" t="str">
        <f>'Tourism Medium DB-LCU'!D59</f>
        <v>Foodservice</v>
      </c>
      <c r="E60" s="4"/>
      <c r="F60" s="4" t="s">
        <v>277</v>
      </c>
      <c r="G60" s="64">
        <f>'Tourism Medium DB-LCU'!H59*Home!C$5</f>
        <v>84.162870300297584</v>
      </c>
      <c r="H60" s="64">
        <f>'Tourism Medium DB-LCU'!I59*Home!D$5</f>
        <v>77.896430428488159</v>
      </c>
      <c r="I60" s="64">
        <f>'Tourism Medium DB-LCU'!J59*Home!E$5</f>
        <v>77.624321604022271</v>
      </c>
      <c r="J60" s="64">
        <f>'Tourism Medium DB-LCU'!K59*Home!F$5</f>
        <v>87.248638758239267</v>
      </c>
      <c r="K60" s="64">
        <f>'Tourism Medium DB-LCU'!L59*Home!G$5</f>
        <v>88.572684348771361</v>
      </c>
      <c r="L60" s="60">
        <f>'Tourism Medium DB-LCU'!M59*Home!H$5</f>
        <v>95.760668562014715</v>
      </c>
      <c r="M60" s="60">
        <f>'Tourism Medium DB-LCU'!N59*Home!I$5</f>
        <v>103.3621197759943</v>
      </c>
      <c r="N60" s="60">
        <f>'Tourism Medium DB-LCU'!O59*Home!J$5</f>
        <v>113.12317073464028</v>
      </c>
      <c r="O60" s="60">
        <f>'Tourism Medium DB-LCU'!P59*Home!K$5</f>
        <v>123.03868063673595</v>
      </c>
      <c r="P60" s="60">
        <f>'Tourism Medium DB-LCU'!Q59*Home!L$5</f>
        <v>131.0199332160812</v>
      </c>
      <c r="Q60" s="32">
        <f t="shared" si="4"/>
        <v>1.2849264726079168E-2</v>
      </c>
      <c r="R60" s="32">
        <f t="shared" si="5"/>
        <v>8.1452660430842538E-2</v>
      </c>
      <c r="X60" s="1">
        <v>1</v>
      </c>
      <c r="Y60" s="402" t="s">
        <v>500</v>
      </c>
    </row>
    <row r="61" spans="1:25" ht="15" customHeight="1">
      <c r="A61" s="4" t="str">
        <f>'Tourism Medium DB-LCU'!A60</f>
        <v>Hungary</v>
      </c>
      <c r="B61" s="4" t="str">
        <f>'Tourism Medium DB-LCU'!B60</f>
        <v>Tourism Receipts &amp; Expenditure</v>
      </c>
      <c r="C61" s="4" t="str">
        <f>'Tourism Medium DB-LCU'!C60</f>
        <v>Inbound Tourist Expenditure by Sector</v>
      </c>
      <c r="D61" s="2" t="str">
        <f>'Tourism Medium DB-LCU'!D60</f>
        <v>Retail</v>
      </c>
      <c r="E61" s="4"/>
      <c r="F61" s="4" t="s">
        <v>277</v>
      </c>
      <c r="G61" s="64">
        <f>'Tourism Medium DB-LCU'!H60*Home!C$5</f>
        <v>123.66207619629493</v>
      </c>
      <c r="H61" s="64">
        <f>'Tourism Medium DB-LCU'!I60*Home!D$5</f>
        <v>115.3534650493357</v>
      </c>
      <c r="I61" s="64">
        <f>'Tourism Medium DB-LCU'!J60*Home!E$5</f>
        <v>114.05338429017029</v>
      </c>
      <c r="J61" s="64">
        <f>'Tourism Medium DB-LCU'!K60*Home!F$5</f>
        <v>129.59296336941961</v>
      </c>
      <c r="K61" s="64">
        <f>'Tourism Medium DB-LCU'!L60*Home!G$5</f>
        <v>130.64052804601559</v>
      </c>
      <c r="L61" s="60">
        <f>'Tourism Medium DB-LCU'!M60*Home!H$5</f>
        <v>141.05460476927331</v>
      </c>
      <c r="M61" s="60">
        <f>'Tourism Medium DB-LCU'!N60*Home!I$5</f>
        <v>151.1494179554941</v>
      </c>
      <c r="N61" s="60">
        <f>'Tourism Medium DB-LCU'!O60*Home!J$5</f>
        <v>165.84207797725091</v>
      </c>
      <c r="O61" s="60">
        <f>'Tourism Medium DB-LCU'!P60*Home!K$5</f>
        <v>179.82499443972819</v>
      </c>
      <c r="P61" s="60">
        <f>'Tourism Medium DB-LCU'!Q60*Home!L$5</f>
        <v>190.72525746229309</v>
      </c>
      <c r="Q61" s="32">
        <f t="shared" si="4"/>
        <v>1.3818818553068102E-2</v>
      </c>
      <c r="R61" s="32">
        <f t="shared" si="5"/>
        <v>7.8614008869406948E-2</v>
      </c>
      <c r="X61" s="1">
        <v>1</v>
      </c>
      <c r="Y61" s="402" t="s">
        <v>500</v>
      </c>
    </row>
    <row r="62" spans="1:25" ht="15" customHeight="1">
      <c r="A62" s="4" t="str">
        <f>'Tourism Medium DB-LCU'!A61</f>
        <v>Hungary</v>
      </c>
      <c r="B62" s="4" t="str">
        <f>'Tourism Medium DB-LCU'!B61</f>
        <v>Tourism Receipts &amp; Expenditure</v>
      </c>
      <c r="C62" s="4" t="str">
        <f>'Tourism Medium DB-LCU'!C61</f>
        <v>Inbound Tourist Expenditure by Sector</v>
      </c>
      <c r="D62" s="2" t="str">
        <f>'Tourism Medium DB-LCU'!D61</f>
        <v>Transportation</v>
      </c>
      <c r="E62" s="4"/>
      <c r="F62" s="4" t="s">
        <v>277</v>
      </c>
      <c r="G62" s="64">
        <f>'Tourism Medium DB-LCU'!H61*Home!C$5</f>
        <v>154.62281300446173</v>
      </c>
      <c r="H62" s="64">
        <f>'Tourism Medium DB-LCU'!I61*Home!D$5</f>
        <v>142.93386117161751</v>
      </c>
      <c r="I62" s="64">
        <f>'Tourism Medium DB-LCU'!J61*Home!E$5</f>
        <v>141.10395384547201</v>
      </c>
      <c r="J62" s="64">
        <f>'Tourism Medium DB-LCU'!K61*Home!F$5</f>
        <v>159.19945884396105</v>
      </c>
      <c r="K62" s="64">
        <f>'Tourism Medium DB-LCU'!L61*Home!G$5</f>
        <v>162.4218613570512</v>
      </c>
      <c r="L62" s="60">
        <f>'Tourism Medium DB-LCU'!M61*Home!H$5</f>
        <v>174.68820660276992</v>
      </c>
      <c r="M62" s="60">
        <f>'Tourism Medium DB-LCU'!N61*Home!I$5</f>
        <v>187.98827085125939</v>
      </c>
      <c r="N62" s="60">
        <f>'Tourism Medium DB-LCU'!O61*Home!J$5</f>
        <v>207.99671857632893</v>
      </c>
      <c r="O62" s="60">
        <f>'Tourism Medium DB-LCU'!P61*Home!K$5</f>
        <v>226.24390435621126</v>
      </c>
      <c r="P62" s="60">
        <f>'Tourism Medium DB-LCU'!Q61*Home!L$5</f>
        <v>239.93929135251256</v>
      </c>
      <c r="Q62" s="32">
        <f t="shared" si="4"/>
        <v>1.2378068473392956E-2</v>
      </c>
      <c r="R62" s="32">
        <f t="shared" si="5"/>
        <v>8.116350549054685E-2</v>
      </c>
      <c r="X62" s="1">
        <v>1</v>
      </c>
      <c r="Y62" s="402" t="s">
        <v>500</v>
      </c>
    </row>
    <row r="63" spans="1:25" ht="15" customHeight="1">
      <c r="A63" s="4" t="str">
        <f>'Tourism Medium DB-LCU'!A62</f>
        <v>Hungary</v>
      </c>
      <c r="B63" s="4" t="str">
        <f>'Tourism Medium DB-LCU'!B62</f>
        <v>Tourism Receipts &amp; Expenditure</v>
      </c>
      <c r="C63" s="4" t="str">
        <f>'Tourism Medium DB-LCU'!C62</f>
        <v>Inbound Tourist Expenditure by Sector</v>
      </c>
      <c r="D63" s="2" t="str">
        <f>'Tourism Medium DB-LCU'!D62</f>
        <v>Travel Intermediation</v>
      </c>
      <c r="E63" s="4"/>
      <c r="F63" s="4" t="s">
        <v>277</v>
      </c>
      <c r="G63" s="64">
        <f>'Tourism Medium DB-LCU'!H62*Home!C$5</f>
        <v>1.0371488259869577</v>
      </c>
      <c r="H63" s="64">
        <f>'Tourism Medium DB-LCU'!I62*Home!D$5</f>
        <v>0.9574541443058886</v>
      </c>
      <c r="I63" s="64">
        <f>'Tourism Medium DB-LCU'!J62*Home!E$5</f>
        <v>0.94358903064225008</v>
      </c>
      <c r="J63" s="64">
        <f>'Tourism Medium DB-LCU'!K62*Home!F$5</f>
        <v>1.0624512318287775</v>
      </c>
      <c r="K63" s="64">
        <f>'Tourism Medium DB-LCU'!L62*Home!G$5</f>
        <v>1.0699631343460374</v>
      </c>
      <c r="L63" s="60">
        <f>'Tourism Medium DB-LCU'!M62*Home!H$5</f>
        <v>1.1666285087019277</v>
      </c>
      <c r="M63" s="60">
        <f>'Tourism Medium DB-LCU'!N62*Home!I$5</f>
        <v>1.2437032525090144</v>
      </c>
      <c r="N63" s="60">
        <f>'Tourism Medium DB-LCU'!O62*Home!J$5</f>
        <v>1.3807599303335572</v>
      </c>
      <c r="O63" s="60">
        <f>'Tourism Medium DB-LCU'!P62*Home!K$5</f>
        <v>1.5108737317705088</v>
      </c>
      <c r="P63" s="60">
        <f>'Tourism Medium DB-LCU'!Q62*Home!L$5</f>
        <v>1.6105477700541966</v>
      </c>
      <c r="Q63" s="32">
        <f t="shared" si="4"/>
        <v>7.8175888061486898E-3</v>
      </c>
      <c r="R63" s="32">
        <f t="shared" si="5"/>
        <v>8.5227922114053722E-2</v>
      </c>
      <c r="X63" s="1">
        <v>1</v>
      </c>
      <c r="Y63" s="402" t="s">
        <v>500</v>
      </c>
    </row>
    <row r="64" spans="1:25" ht="15" customHeight="1">
      <c r="A64" s="4" t="str">
        <f>'Tourism Medium DB-LCU'!A63</f>
        <v>Hungary</v>
      </c>
      <c r="B64" s="4" t="str">
        <f>'Tourism Medium DB-LCU'!B63</f>
        <v>Tourism Receipts &amp; Expenditure</v>
      </c>
      <c r="C64" s="4" t="str">
        <f>'Tourism Medium DB-LCU'!C63</f>
        <v>Inbound Tourist Expenditure by Sector</v>
      </c>
      <c r="D64" s="2" t="str">
        <f>'Tourism Medium DB-LCU'!D63</f>
        <v>Other Sectors</v>
      </c>
      <c r="E64" s="4"/>
      <c r="F64" s="4" t="s">
        <v>277</v>
      </c>
      <c r="G64" s="404">
        <f>'Tourism Medium DB-LCU'!H63*Home!C$5</f>
        <v>38.056699205771757</v>
      </c>
      <c r="H64" s="404">
        <f>'Tourism Medium DB-LCU'!I63*Home!D$5</f>
        <v>34.793581832429325</v>
      </c>
      <c r="I64" s="404">
        <f>'Tourism Medium DB-LCU'!J63*Home!E$5</f>
        <v>34.223526579171875</v>
      </c>
      <c r="J64" s="404">
        <f>'Tourism Medium DB-LCU'!K63*Home!F$5</f>
        <v>38.786854293093853</v>
      </c>
      <c r="K64" s="404">
        <f>'Tourism Medium DB-LCU'!L63*Home!G$5</f>
        <v>38.97987311600491</v>
      </c>
      <c r="L64" s="60">
        <f>'Tourism Medium DB-LCU'!M63*Home!H$5</f>
        <v>42.258460477684366</v>
      </c>
      <c r="M64" s="60">
        <f>'Tourism Medium DB-LCU'!N63*Home!I$5</f>
        <v>45.22680269723589</v>
      </c>
      <c r="N64" s="60">
        <f>'Tourism Medium DB-LCU'!O63*Home!J$5</f>
        <v>49.873988101425546</v>
      </c>
      <c r="O64" s="60">
        <f>'Tourism Medium DB-LCU'!P63*Home!K$5</f>
        <v>54.045338606857413</v>
      </c>
      <c r="P64" s="60">
        <f>'Tourism Medium DB-LCU'!Q63*Home!L$5</f>
        <v>57.034775252646533</v>
      </c>
      <c r="Q64" s="32">
        <f t="shared" si="4"/>
        <v>6.0100651361580937E-3</v>
      </c>
      <c r="R64" s="32">
        <f t="shared" si="5"/>
        <v>7.9095453340185973E-2</v>
      </c>
      <c r="X64" s="1">
        <v>1</v>
      </c>
      <c r="Y64" s="402" t="s">
        <v>500</v>
      </c>
    </row>
    <row r="65" spans="1:25" ht="15" customHeight="1">
      <c r="A65" s="4" t="str">
        <f>'Tourism Medium DB-LCU'!A64</f>
        <v>Hungary</v>
      </c>
      <c r="B65" s="4" t="str">
        <f>'Tourism Medium DB-LCU'!B64</f>
        <v>Tourism Receipts &amp; Expenditure</v>
      </c>
      <c r="C65" s="2" t="str">
        <f>'Tourism Medium DB-LCU'!C64</f>
        <v>Total Outbound Tourist Expenditure by Sector</v>
      </c>
      <c r="D65" s="4"/>
      <c r="E65" s="4"/>
      <c r="F65" s="4" t="s">
        <v>277</v>
      </c>
      <c r="G65" s="405">
        <f>'Tourism Medium DB-LCU'!H64*Home!C$5</f>
        <v>16599.22992848506</v>
      </c>
      <c r="H65" s="405">
        <f>'Tourism Medium DB-LCU'!I64*Home!D$5</f>
        <v>13538.843639207422</v>
      </c>
      <c r="I65" s="405">
        <f>'Tourism Medium DB-LCU'!J64*Home!E$5</f>
        <v>15278.181673182209</v>
      </c>
      <c r="J65" s="405">
        <f>'Tourism Medium DB-LCU'!K64*Home!F$5</f>
        <v>17690.504081021903</v>
      </c>
      <c r="K65" s="405">
        <f>'Tourism Medium DB-LCU'!L64*Home!G$5</f>
        <v>17699.047873996111</v>
      </c>
      <c r="L65" s="103">
        <f>'Tourism Medium DB-LCU'!M64*Home!H$5</f>
        <v>16798.427670716839</v>
      </c>
      <c r="M65" s="103">
        <f>'Tourism Medium DB-LCU'!N64*Home!I$5</f>
        <v>17180.280767580996</v>
      </c>
      <c r="N65" s="103">
        <f>'Tourism Medium DB-LCU'!O64*Home!J$5</f>
        <v>18523.838350227998</v>
      </c>
      <c r="O65" s="103">
        <f>'Tourism Medium DB-LCU'!P64*Home!K$5</f>
        <v>21550.284105920131</v>
      </c>
      <c r="P65" s="103">
        <f>'Tourism Medium DB-LCU'!Q64*Home!L$5</f>
        <v>24314.620815358972</v>
      </c>
      <c r="Q65" s="32">
        <f t="shared" si="4"/>
        <v>1.6167944618146857E-2</v>
      </c>
      <c r="R65" s="32">
        <f t="shared" si="5"/>
        <v>6.5573765108382087E-2</v>
      </c>
      <c r="X65" s="1">
        <v>1</v>
      </c>
      <c r="Y65" s="402" t="s">
        <v>503</v>
      </c>
    </row>
    <row r="66" spans="1:25" ht="15" customHeight="1">
      <c r="A66" s="4" t="str">
        <f>'Tourism Medium DB-LCU'!A65</f>
        <v>Hungary</v>
      </c>
      <c r="B66" s="4" t="str">
        <f>'Tourism Medium DB-LCU'!B65</f>
        <v>Tourism Receipts &amp; Expenditure</v>
      </c>
      <c r="C66" s="4" t="str">
        <f>'Tourism Medium DB-LCU'!C65</f>
        <v>Total Outbound Tourist Expenditure by Sector</v>
      </c>
      <c r="D66" s="2" t="str">
        <f>'Tourism Medium DB-LCU'!D65</f>
        <v>Accommodation</v>
      </c>
      <c r="E66" s="4"/>
      <c r="F66" s="4" t="s">
        <v>277</v>
      </c>
      <c r="G66" s="64">
        <f>'Tourism Medium DB-LCU'!H65*Home!C$5</f>
        <v>5052.164918677423</v>
      </c>
      <c r="H66" s="64">
        <f>'Tourism Medium DB-LCU'!I65*Home!D$5</f>
        <v>4086.5970553837478</v>
      </c>
      <c r="I66" s="64">
        <f>'Tourism Medium DB-LCU'!J65*Home!E$5</f>
        <v>4596.9556013042675</v>
      </c>
      <c r="J66" s="64">
        <f>'Tourism Medium DB-LCU'!K65*Home!F$5</f>
        <v>5289.3390890046294</v>
      </c>
      <c r="K66" s="64">
        <f>'Tourism Medium DB-LCU'!L65*Home!G$5</f>
        <v>5306.0172694483481</v>
      </c>
      <c r="L66" s="60">
        <f>'Tourism Medium DB-LCU'!M65*Home!H$5</f>
        <v>5004.0158801585285</v>
      </c>
      <c r="M66" s="60">
        <f>'Tourism Medium DB-LCU'!N65*Home!I$5</f>
        <v>5108.5664961217108</v>
      </c>
      <c r="N66" s="60">
        <f>'Tourism Medium DB-LCU'!O65*Home!J$5</f>
        <v>5482.2244483273553</v>
      </c>
      <c r="O66" s="60">
        <f>'Tourism Medium DB-LCU'!P65*Home!K$5</f>
        <v>6357.6382758274694</v>
      </c>
      <c r="P66" s="60">
        <f>'Tourism Medium DB-LCU'!Q65*Home!L$5</f>
        <v>7131.8997733598653</v>
      </c>
      <c r="Q66" s="32">
        <f t="shared" si="4"/>
        <v>1.2331580135310993E-2</v>
      </c>
      <c r="R66" s="32">
        <f t="shared" si="5"/>
        <v>6.0931427290652485E-2</v>
      </c>
      <c r="X66" s="1">
        <v>1</v>
      </c>
      <c r="Y66" s="402" t="s">
        <v>502</v>
      </c>
    </row>
    <row r="67" spans="1:25" ht="15" customHeight="1">
      <c r="A67" s="4" t="str">
        <f>'Tourism Medium DB-LCU'!A66</f>
        <v>Hungary</v>
      </c>
      <c r="B67" s="4" t="str">
        <f>'Tourism Medium DB-LCU'!B66</f>
        <v>Tourism Receipts &amp; Expenditure</v>
      </c>
      <c r="C67" s="4" t="str">
        <f>'Tourism Medium DB-LCU'!C66</f>
        <v>Total Outbound Tourist Expenditure by Sector</v>
      </c>
      <c r="D67" s="2" t="str">
        <f>'Tourism Medium DB-LCU'!D66</f>
        <v>Entertainment &amp; Sightseeing</v>
      </c>
      <c r="E67" s="4"/>
      <c r="F67" s="4" t="s">
        <v>277</v>
      </c>
      <c r="G67" s="64">
        <f>'Tourism Medium DB-LCU'!H66*Home!C$5</f>
        <v>1097.4857965766394</v>
      </c>
      <c r="H67" s="64">
        <f>'Tourism Medium DB-LCU'!I66*Home!D$5</f>
        <v>900.14019955599849</v>
      </c>
      <c r="I67" s="64">
        <f>'Tourism Medium DB-LCU'!J66*Home!E$5</f>
        <v>1017.4853781540314</v>
      </c>
      <c r="J67" s="64">
        <f>'Tourism Medium DB-LCU'!K66*Home!F$5</f>
        <v>1162.7171261275018</v>
      </c>
      <c r="K67" s="64">
        <f>'Tourism Medium DB-LCU'!L66*Home!G$5</f>
        <v>1158.2496616653584</v>
      </c>
      <c r="L67" s="60">
        <f>'Tourism Medium DB-LCU'!M66*Home!H$5</f>
        <v>1096.6359637004484</v>
      </c>
      <c r="M67" s="60">
        <f>'Tourism Medium DB-LCU'!N66*Home!I$5</f>
        <v>1116.5038051864087</v>
      </c>
      <c r="N67" s="60">
        <f>'Tourism Medium DB-LCU'!O66*Home!J$5</f>
        <v>1196.8056517644102</v>
      </c>
      <c r="O67" s="60">
        <f>'Tourism Medium DB-LCU'!P66*Home!K$5</f>
        <v>1394.0990891273764</v>
      </c>
      <c r="P67" s="60">
        <f>'Tourism Medium DB-LCU'!Q66*Home!L$5</f>
        <v>1572.1738887692597</v>
      </c>
      <c r="Q67" s="32">
        <f t="shared" si="4"/>
        <v>1.3563163617252627E-2</v>
      </c>
      <c r="R67" s="32">
        <f t="shared" si="5"/>
        <v>6.3015701508201349E-2</v>
      </c>
      <c r="X67" s="1">
        <v>1</v>
      </c>
      <c r="Y67" s="402" t="s">
        <v>502</v>
      </c>
    </row>
    <row r="68" spans="1:25" ht="15" customHeight="1">
      <c r="A68" s="4" t="str">
        <f>'Tourism Medium DB-LCU'!A67</f>
        <v>Hungary</v>
      </c>
      <c r="B68" s="4" t="str">
        <f>'Tourism Medium DB-LCU'!B67</f>
        <v>Tourism Receipts &amp; Expenditure</v>
      </c>
      <c r="C68" s="4" t="str">
        <f>'Tourism Medium DB-LCU'!C67</f>
        <v>Total Outbound Tourist Expenditure by Sector</v>
      </c>
      <c r="D68" s="2" t="str">
        <f>'Tourism Medium DB-LCU'!D67</f>
        <v>Foodservice</v>
      </c>
      <c r="E68" s="4"/>
      <c r="F68" s="4" t="s">
        <v>277</v>
      </c>
      <c r="G68" s="64">
        <f>'Tourism Medium DB-LCU'!H67*Home!C$5</f>
        <v>3028.3853096036964</v>
      </c>
      <c r="H68" s="64">
        <f>'Tourism Medium DB-LCU'!I67*Home!D$5</f>
        <v>2458.8813530835732</v>
      </c>
      <c r="I68" s="64">
        <f>'Tourism Medium DB-LCU'!J67*Home!E$5</f>
        <v>2779.3093004760062</v>
      </c>
      <c r="J68" s="64">
        <f>'Tourism Medium DB-LCU'!K67*Home!F$5</f>
        <v>3176.3268991042746</v>
      </c>
      <c r="K68" s="64">
        <f>'Tourism Medium DB-LCU'!L67*Home!G$5</f>
        <v>3173.5841712988231</v>
      </c>
      <c r="L68" s="60">
        <f>'Tourism Medium DB-LCU'!M67*Home!H$5</f>
        <v>2990.5315306513726</v>
      </c>
      <c r="M68" s="60">
        <f>'Tourism Medium DB-LCU'!N67*Home!I$5</f>
        <v>3039.0134546273862</v>
      </c>
      <c r="N68" s="60">
        <f>'Tourism Medium DB-LCU'!O67*Home!J$5</f>
        <v>3265.1420704233619</v>
      </c>
      <c r="O68" s="60">
        <f>'Tourism Medium DB-LCU'!P67*Home!K$5</f>
        <v>3784.9331733601921</v>
      </c>
      <c r="P68" s="60">
        <f>'Tourism Medium DB-LCU'!Q67*Home!L$5</f>
        <v>4237.8646576793699</v>
      </c>
      <c r="Q68" s="32">
        <f t="shared" si="4"/>
        <v>1.1776813535040676E-2</v>
      </c>
      <c r="R68" s="32">
        <f t="shared" si="5"/>
        <v>5.9545014384576156E-2</v>
      </c>
      <c r="X68" s="1">
        <v>1</v>
      </c>
      <c r="Y68" s="402" t="s">
        <v>502</v>
      </c>
    </row>
    <row r="69" spans="1:25" ht="15" customHeight="1">
      <c r="A69" s="4" t="str">
        <f>'Tourism Medium DB-LCU'!A68</f>
        <v>Hungary</v>
      </c>
      <c r="B69" s="4" t="str">
        <f>'Tourism Medium DB-LCU'!B68</f>
        <v>Tourism Receipts &amp; Expenditure</v>
      </c>
      <c r="C69" s="4" t="str">
        <f>'Tourism Medium DB-LCU'!C68</f>
        <v>Total Outbound Tourist Expenditure by Sector</v>
      </c>
      <c r="D69" s="2" t="str">
        <f>'Tourism Medium DB-LCU'!D68</f>
        <v>Retail</v>
      </c>
      <c r="E69" s="4"/>
      <c r="F69" s="4" t="s">
        <v>277</v>
      </c>
      <c r="G69" s="64">
        <f>'Tourism Medium DB-LCU'!H68*Home!C$5</f>
        <v>2451.6241685073282</v>
      </c>
      <c r="H69" s="64">
        <f>'Tourism Medium DB-LCU'!I68*Home!D$5</f>
        <v>2016.5506300030258</v>
      </c>
      <c r="I69" s="64">
        <f>'Tourism Medium DB-LCU'!J68*Home!E$5</f>
        <v>2287.8894530822899</v>
      </c>
      <c r="J69" s="64">
        <f>'Tourism Medium DB-LCU'!K68*Home!F$5</f>
        <v>2636.1301109927272</v>
      </c>
      <c r="K69" s="64">
        <f>'Tourism Medium DB-LCU'!L68*Home!G$5</f>
        <v>2657.5349050798363</v>
      </c>
      <c r="L69" s="60">
        <f>'Tourism Medium DB-LCU'!M68*Home!H$5</f>
        <v>2557.2808833551421</v>
      </c>
      <c r="M69" s="60">
        <f>'Tourism Medium DB-LCU'!N68*Home!I$5</f>
        <v>2616.3144938266564</v>
      </c>
      <c r="N69" s="60">
        <f>'Tourism Medium DB-LCU'!O68*Home!J$5</f>
        <v>2822.4950538554344</v>
      </c>
      <c r="O69" s="60">
        <f>'Tourism Medium DB-LCU'!P68*Home!K$5</f>
        <v>3308.9776819876706</v>
      </c>
      <c r="P69" s="60">
        <f>'Tourism Medium DB-LCU'!Q68*Home!L$5</f>
        <v>3752.7338238627212</v>
      </c>
      <c r="Q69" s="32">
        <f t="shared" si="4"/>
        <v>2.0366685943241203E-2</v>
      </c>
      <c r="R69" s="32">
        <f t="shared" si="5"/>
        <v>7.1454558372822552E-2</v>
      </c>
      <c r="X69" s="1">
        <v>1</v>
      </c>
      <c r="Y69" s="402" t="s">
        <v>502</v>
      </c>
    </row>
    <row r="70" spans="1:25" ht="15" customHeight="1">
      <c r="A70" s="4" t="str">
        <f>'Tourism Medium DB-LCU'!A69</f>
        <v>Hungary</v>
      </c>
      <c r="B70" s="4" t="str">
        <f>'Tourism Medium DB-LCU'!B69</f>
        <v>Tourism Receipts &amp; Expenditure</v>
      </c>
      <c r="C70" s="4" t="str">
        <f>'Tourism Medium DB-LCU'!C69</f>
        <v>Total Outbound Tourist Expenditure by Sector</v>
      </c>
      <c r="D70" s="2" t="str">
        <f>'Tourism Medium DB-LCU'!D69</f>
        <v>Transportation</v>
      </c>
      <c r="E70" s="4"/>
      <c r="F70" s="4" t="s">
        <v>277</v>
      </c>
      <c r="G70" s="64">
        <f>'Tourism Medium DB-LCU'!H69*Home!C$5</f>
        <v>1578.1904529628519</v>
      </c>
      <c r="H70" s="64">
        <f>'Tourism Medium DB-LCU'!I69*Home!D$5</f>
        <v>1348.1730984680014</v>
      </c>
      <c r="I70" s="64">
        <f>'Tourism Medium DB-LCU'!J69*Home!E$5</f>
        <v>1506.1111972973249</v>
      </c>
      <c r="J70" s="64">
        <f>'Tourism Medium DB-LCU'!K69*Home!F$5</f>
        <v>1847.2447803421292</v>
      </c>
      <c r="K70" s="64">
        <f>'Tourism Medium DB-LCU'!L69*Home!G$5</f>
        <v>1838.0146323434349</v>
      </c>
      <c r="L70" s="60">
        <f>'Tourism Medium DB-LCU'!M69*Home!H$5</f>
        <v>1789.0961113784952</v>
      </c>
      <c r="M70" s="60">
        <f>'Tourism Medium DB-LCU'!N69*Home!I$5</f>
        <v>1852.2733478581938</v>
      </c>
      <c r="N70" s="60">
        <f>'Tourism Medium DB-LCU'!O69*Home!J$5</f>
        <v>2028.4576728097725</v>
      </c>
      <c r="O70" s="60">
        <f>'Tourism Medium DB-LCU'!P69*Home!K$5</f>
        <v>2368.1254144669133</v>
      </c>
      <c r="P70" s="60">
        <f>'Tourism Medium DB-LCU'!Q69*Home!L$5</f>
        <v>2732.4074752786228</v>
      </c>
      <c r="Q70" s="32">
        <f t="shared" si="4"/>
        <v>3.8836949195048875E-2</v>
      </c>
      <c r="R70" s="32">
        <f t="shared" si="5"/>
        <v>8.2528403067337663E-2</v>
      </c>
      <c r="X70" s="1">
        <v>1</v>
      </c>
      <c r="Y70" s="402" t="s">
        <v>502</v>
      </c>
    </row>
    <row r="71" spans="1:25" ht="15" customHeight="1">
      <c r="A71" s="4" t="str">
        <f>'Tourism Medium DB-LCU'!A70</f>
        <v>Hungary</v>
      </c>
      <c r="B71" s="4" t="str">
        <f>'Tourism Medium DB-LCU'!B70</f>
        <v>Tourism Receipts &amp; Expenditure</v>
      </c>
      <c r="C71" s="4" t="str">
        <f>'Tourism Medium DB-LCU'!C70</f>
        <v>Total Outbound Tourist Expenditure by Sector</v>
      </c>
      <c r="D71" s="2" t="str">
        <f>'Tourism Medium DB-LCU'!D70</f>
        <v>Travel Intermediation</v>
      </c>
      <c r="E71" s="4"/>
      <c r="F71" s="4" t="s">
        <v>277</v>
      </c>
      <c r="G71" s="64">
        <f>'Tourism Medium DB-LCU'!H70*Home!C$5</f>
        <v>2480.476534630362</v>
      </c>
      <c r="H71" s="64">
        <f>'Tourism Medium DB-LCU'!I70*Home!D$5</f>
        <v>2006.6133681846886</v>
      </c>
      <c r="I71" s="64">
        <f>'Tourism Medium DB-LCU'!J70*Home!E$5</f>
        <v>2279.5365086337511</v>
      </c>
      <c r="J71" s="64">
        <f>'Tourism Medium DB-LCU'!K70*Home!F$5</f>
        <v>2618.3301623135544</v>
      </c>
      <c r="K71" s="64">
        <f>'Tourism Medium DB-LCU'!L70*Home!G$5</f>
        <v>2611.8673838944965</v>
      </c>
      <c r="L71" s="60">
        <f>'Tourism Medium DB-LCU'!M70*Home!H$5</f>
        <v>2462.7513339652933</v>
      </c>
      <c r="M71" s="60">
        <f>'Tourism Medium DB-LCU'!N70*Home!I$5</f>
        <v>2518.4353736858293</v>
      </c>
      <c r="N71" s="60">
        <f>'Tourism Medium DB-LCU'!O70*Home!J$5</f>
        <v>2707.7028775831891</v>
      </c>
      <c r="O71" s="60">
        <f>'Tourism Medium DB-LCU'!P70*Home!K$5</f>
        <v>3162.407845967316</v>
      </c>
      <c r="P71" s="60">
        <f>'Tourism Medium DB-LCU'!Q70*Home!L$5</f>
        <v>3547.8682379035863</v>
      </c>
      <c r="Q71" s="32">
        <f t="shared" si="4"/>
        <v>1.2987298178351425E-2</v>
      </c>
      <c r="R71" s="32">
        <f t="shared" si="5"/>
        <v>6.3171367645104004E-2</v>
      </c>
      <c r="X71" s="1">
        <v>1</v>
      </c>
      <c r="Y71" s="402" t="s">
        <v>502</v>
      </c>
    </row>
    <row r="72" spans="1:25" ht="15" customHeight="1">
      <c r="A72" s="4" t="str">
        <f>'Tourism Medium DB-LCU'!A71</f>
        <v>Hungary</v>
      </c>
      <c r="B72" s="4" t="str">
        <f>'Tourism Medium DB-LCU'!B71</f>
        <v>Tourism Receipts &amp; Expenditure</v>
      </c>
      <c r="C72" s="4" t="str">
        <f>'Tourism Medium DB-LCU'!C71</f>
        <v>Total Outbound Tourist Expenditure by Sector</v>
      </c>
      <c r="D72" s="2" t="str">
        <f>'Tourism Medium DB-LCU'!D71</f>
        <v>Other Sectors</v>
      </c>
      <c r="E72" s="4"/>
      <c r="F72" s="4" t="s">
        <v>277</v>
      </c>
      <c r="G72" s="64">
        <f>'Tourism Medium DB-LCU'!H71*Home!C$5</f>
        <v>910.90274752676316</v>
      </c>
      <c r="H72" s="64">
        <f>'Tourism Medium DB-LCU'!I71*Home!D$5</f>
        <v>721.88793452838547</v>
      </c>
      <c r="I72" s="64">
        <f>'Tourism Medium DB-LCU'!J71*Home!E$5</f>
        <v>810.89423423453809</v>
      </c>
      <c r="J72" s="64">
        <f>'Tourism Medium DB-LCU'!K71*Home!F$5</f>
        <v>960.4159131370875</v>
      </c>
      <c r="K72" s="64">
        <f>'Tourism Medium DB-LCU'!L71*Home!G$5</f>
        <v>953.77985026581564</v>
      </c>
      <c r="L72" s="60">
        <f>'Tourism Medium DB-LCU'!M71*Home!H$5</f>
        <v>898.11596750755621</v>
      </c>
      <c r="M72" s="60">
        <f>'Tourism Medium DB-LCU'!N71*Home!I$5</f>
        <v>929.17379627481193</v>
      </c>
      <c r="N72" s="60">
        <f>'Tourism Medium DB-LCU'!O71*Home!J$5</f>
        <v>1021.0105754644704</v>
      </c>
      <c r="O72" s="60">
        <f>'Tourism Medium DB-LCU'!P71*Home!K$5</f>
        <v>1174.1026251831915</v>
      </c>
      <c r="P72" s="60">
        <f>'Tourism Medium DB-LCU'!Q71*Home!L$5</f>
        <v>1339.6729585055543</v>
      </c>
      <c r="Q72" s="32">
        <f t="shared" si="4"/>
        <v>1.1565555257297744E-2</v>
      </c>
      <c r="R72" s="32">
        <f t="shared" si="5"/>
        <v>7.0311346824643683E-2</v>
      </c>
      <c r="X72" s="1">
        <v>1</v>
      </c>
      <c r="Y72" s="402" t="s">
        <v>502</v>
      </c>
    </row>
    <row r="73" spans="1:25" ht="15" customHeight="1">
      <c r="A73" s="4" t="str">
        <f>'Tourism Medium DB-LCU'!A72</f>
        <v>Hungary</v>
      </c>
      <c r="B73" s="4" t="str">
        <f>'Tourism Medium DB-LCU'!B72</f>
        <v>Tourism Receipts &amp; Expenditure</v>
      </c>
      <c r="C73" s="2" t="str">
        <f>'Tourism Medium DB-LCU'!C72</f>
        <v>Outbound Tourist Expenditure by Location of Provider</v>
      </c>
      <c r="D73" s="4"/>
      <c r="E73" s="4"/>
      <c r="F73" s="4" t="s">
        <v>277</v>
      </c>
      <c r="G73" s="406">
        <f>'Tourism Medium DB-LCU'!H72*Home!C$5</f>
        <v>16599.22992848506</v>
      </c>
      <c r="H73" s="406">
        <f>'Tourism Medium DB-LCU'!I72*Home!D$5</f>
        <v>13538.843639207422</v>
      </c>
      <c r="I73" s="406">
        <f>'Tourism Medium DB-LCU'!J72*Home!E$5</f>
        <v>15278.181673182209</v>
      </c>
      <c r="J73" s="406">
        <f>'Tourism Medium DB-LCU'!K72*Home!F$5</f>
        <v>17690.504081021903</v>
      </c>
      <c r="K73" s="406">
        <f>'Tourism Medium DB-LCU'!L72*Home!G$5</f>
        <v>17699.047873996111</v>
      </c>
      <c r="L73" s="103">
        <f>'Tourism Medium DB-LCU'!M72*Home!H$5</f>
        <v>16798.427670716839</v>
      </c>
      <c r="M73" s="103">
        <f>'Tourism Medium DB-LCU'!N72*Home!I$5</f>
        <v>17180.280767580996</v>
      </c>
      <c r="N73" s="103">
        <f>'Tourism Medium DB-LCU'!O72*Home!J$5</f>
        <v>18523.838350227998</v>
      </c>
      <c r="O73" s="103">
        <f>'Tourism Medium DB-LCU'!P72*Home!K$5</f>
        <v>21550.284105920131</v>
      </c>
      <c r="P73" s="103">
        <f>'Tourism Medium DB-LCU'!Q72*Home!L$5</f>
        <v>24314.620815358972</v>
      </c>
      <c r="Q73" s="32">
        <f t="shared" si="4"/>
        <v>1.6167944618146857E-2</v>
      </c>
      <c r="R73" s="32">
        <f t="shared" si="5"/>
        <v>6.5573765108382087E-2</v>
      </c>
      <c r="X73" s="1">
        <v>1</v>
      </c>
      <c r="Y73" s="402" t="s">
        <v>502</v>
      </c>
    </row>
    <row r="74" spans="1:25" ht="15" customHeight="1">
      <c r="A74" s="4" t="str">
        <f>'Tourism Medium DB-LCU'!A73</f>
        <v>Hungary</v>
      </c>
      <c r="B74" s="4" t="str">
        <f>'Tourism Medium DB-LCU'!B73</f>
        <v>Tourism Receipts &amp; Expenditure</v>
      </c>
      <c r="C74" s="4" t="str">
        <f>'Tourism Medium DB-LCU'!C73</f>
        <v>Outbound Tourist Expenditure by Location of Provider</v>
      </c>
      <c r="D74" s="2" t="str">
        <f>'Tourism Medium DB-LCU'!D73</f>
        <v>Domestic Providers</v>
      </c>
      <c r="E74" s="4"/>
      <c r="F74" s="4" t="s">
        <v>277</v>
      </c>
      <c r="G74" s="68">
        <f>'Tourism Medium DB-LCU'!H73*Home!C$5</f>
        <v>141.22992848506186</v>
      </c>
      <c r="H74" s="68">
        <f>'Tourism Medium DB-LCU'!I73*Home!D$5</f>
        <v>106.84363920742021</v>
      </c>
      <c r="I74" s="68">
        <f>'Tourism Medium DB-LCU'!J73*Home!E$5</f>
        <v>105.18167318221042</v>
      </c>
      <c r="J74" s="68">
        <f>'Tourism Medium DB-LCU'!K73*Home!F$5</f>
        <v>115.50408102190383</v>
      </c>
      <c r="K74" s="68">
        <f>'Tourism Medium DB-LCU'!L73*Home!G$5</f>
        <v>103.59839077806988</v>
      </c>
      <c r="L74" s="60">
        <f>'Tourism Medium DB-LCU'!M73*Home!H$5</f>
        <v>93.795837276961251</v>
      </c>
      <c r="M74" s="60">
        <f>'Tourism Medium DB-LCU'!N73*Home!I$5</f>
        <v>89.012386230688406</v>
      </c>
      <c r="N74" s="60">
        <f>'Tourism Medium DB-LCU'!O73*Home!J$5</f>
        <v>88.941872514088331</v>
      </c>
      <c r="O74" s="60">
        <f>'Tourism Medium DB-LCU'!P73*Home!K$5</f>
        <v>95.743892666943978</v>
      </c>
      <c r="P74" s="60">
        <f>'Tourism Medium DB-LCU'!Q73*Home!L$5</f>
        <v>100.30155975331159</v>
      </c>
      <c r="Q74" s="32">
        <f t="shared" si="4"/>
        <v>-7.4542312004240885E-2</v>
      </c>
      <c r="R74" s="32">
        <f t="shared" si="5"/>
        <v>-6.4472369923310735E-3</v>
      </c>
      <c r="X74" s="1">
        <v>1</v>
      </c>
      <c r="Y74" s="402" t="s">
        <v>501</v>
      </c>
    </row>
    <row r="75" spans="1:25" ht="15" customHeight="1">
      <c r="A75" s="4" t="str">
        <f>'Tourism Medium DB-LCU'!A74</f>
        <v>Hungary</v>
      </c>
      <c r="B75" s="4" t="str">
        <f>'Tourism Medium DB-LCU'!B74</f>
        <v>Tourism Receipts &amp; Expenditure</v>
      </c>
      <c r="C75" s="4" t="str">
        <f>'Tourism Medium DB-LCU'!C74</f>
        <v>Outbound Tourist Expenditure by Location of Provider</v>
      </c>
      <c r="D75" s="2" t="str">
        <f>'Tourism Medium DB-LCU'!D74</f>
        <v>International Providers</v>
      </c>
      <c r="E75" s="4"/>
      <c r="F75" s="4" t="s">
        <v>277</v>
      </c>
      <c r="G75" s="62">
        <f>'Tourism Medium DB-LCU'!H74*Home!C$5</f>
        <v>16458</v>
      </c>
      <c r="H75" s="62">
        <f>'Tourism Medium DB-LCU'!I74*Home!D$5</f>
        <v>13432</v>
      </c>
      <c r="I75" s="62">
        <f>'Tourism Medium DB-LCU'!J74*Home!E$5</f>
        <v>15173</v>
      </c>
      <c r="J75" s="62">
        <f>'Tourism Medium DB-LCU'!K74*Home!F$5</f>
        <v>17575</v>
      </c>
      <c r="K75" s="68">
        <f>'Tourism Medium DB-LCU'!L74*Home!G$5</f>
        <v>17595.449483218039</v>
      </c>
      <c r="L75" s="60">
        <f>'Tourism Medium DB-LCU'!M74*Home!H$5</f>
        <v>16704.631833439878</v>
      </c>
      <c r="M75" s="60">
        <f>'Tourism Medium DB-LCU'!N74*Home!I$5</f>
        <v>17091.26838135031</v>
      </c>
      <c r="N75" s="60">
        <f>'Tourism Medium DB-LCU'!O74*Home!J$5</f>
        <v>18434.896477713908</v>
      </c>
      <c r="O75" s="60">
        <f>'Tourism Medium DB-LCU'!P74*Home!K$5</f>
        <v>21454.540213253189</v>
      </c>
      <c r="P75" s="60">
        <f>'Tourism Medium DB-LCU'!Q74*Home!L$5</f>
        <v>24214.31925560566</v>
      </c>
      <c r="Q75" s="32">
        <f t="shared" si="4"/>
        <v>1.6847503913038464E-2</v>
      </c>
      <c r="R75" s="32">
        <f t="shared" si="5"/>
        <v>6.5943976287851314E-2</v>
      </c>
      <c r="S75" s="1" t="s">
        <v>307</v>
      </c>
      <c r="T75" s="1" t="s">
        <v>307</v>
      </c>
      <c r="U75" s="1" t="s">
        <v>307</v>
      </c>
      <c r="V75" s="1" t="s">
        <v>307</v>
      </c>
      <c r="W75" s="1" t="s">
        <v>308</v>
      </c>
      <c r="X75" s="1">
        <v>4</v>
      </c>
      <c r="Y75" s="1" t="s">
        <v>525</v>
      </c>
    </row>
    <row r="76" spans="1:25" ht="15" customHeight="1">
      <c r="A76" s="4" t="str">
        <f>'Tourism Medium DB-LCU'!A75</f>
        <v>Hungary</v>
      </c>
      <c r="B76" s="4" t="str">
        <f>'Tourism Medium DB-LCU'!B75</f>
        <v>Tourism Receipts &amp; Expenditure</v>
      </c>
      <c r="C76" s="2" t="str">
        <f>'Tourism Medium DB-LCU'!C75</f>
        <v>Tourism Balance of Payments</v>
      </c>
      <c r="D76" s="4"/>
      <c r="E76" s="4"/>
      <c r="F76" s="4" t="s">
        <v>277</v>
      </c>
      <c r="G76" s="406">
        <f>'Tourism Medium DB-LCU'!H75*Home!C$5</f>
        <v>-15984.24239841047</v>
      </c>
      <c r="H76" s="406">
        <f>'Tourism Medium DB-LCU'!I75*Home!D$5</f>
        <v>-12992.841810476326</v>
      </c>
      <c r="I76" s="406">
        <f>'Tourism Medium DB-LCU'!J75*Home!E$5</f>
        <v>-14738.359291162846</v>
      </c>
      <c r="J76" s="406">
        <f>'Tourism Medium DB-LCU'!K75*Home!F$5</f>
        <v>-17083.607097560369</v>
      </c>
      <c r="K76" s="406">
        <f>'Tourism Medium DB-LCU'!L75*Home!G$5</f>
        <v>-17097.595134671094</v>
      </c>
      <c r="L76" s="103">
        <f>'Tourism Medium DB-LCU'!M75*Home!H$5</f>
        <v>-16166.817863712182</v>
      </c>
      <c r="M76" s="103">
        <f>'Tourism Medium DB-LCU'!N75*Home!I$5</f>
        <v>-16513.44647027061</v>
      </c>
      <c r="N76" s="103">
        <f>'Tourism Medium DB-LCU'!O75*Home!J$5</f>
        <v>-17799.110495378984</v>
      </c>
      <c r="O76" s="103">
        <f>'Tourism Medium DB-LCU'!P75*Home!K$5</f>
        <v>-20763.998805347761</v>
      </c>
      <c r="P76" s="103">
        <f>'Tourism Medium DB-LCU'!Q75*Home!L$5</f>
        <v>-23481.682527659312</v>
      </c>
      <c r="Q76" s="32">
        <f>-((K76/G76)^(1/4)-1)</f>
        <v>-1.6976091398337001E-2</v>
      </c>
      <c r="R76" s="32">
        <f>-((P76/K76)^(1/5)-1)</f>
        <v>-6.5513205739209823E-2</v>
      </c>
    </row>
    <row r="77" spans="1:25" ht="15" customHeight="1">
      <c r="A77" s="4" t="str">
        <f>'Tourism Medium DB-LCU'!A76</f>
        <v>Hungary</v>
      </c>
      <c r="B77" s="2" t="str">
        <f>'Tourism Medium DB-LCU'!B76</f>
        <v>Tourism Spend Factors</v>
      </c>
      <c r="C77" s="4"/>
      <c r="D77" s="4"/>
      <c r="E77" s="4"/>
      <c r="F77" s="4"/>
      <c r="Q77" s="32"/>
      <c r="R77" s="32"/>
    </row>
    <row r="78" spans="1:25" ht="15" customHeight="1">
      <c r="A78" s="4" t="str">
        <f>'Tourism Medium DB-LCU'!A77</f>
        <v>Hungary</v>
      </c>
      <c r="B78" s="4" t="str">
        <f>'Tourism Medium DB-LCU'!B77</f>
        <v>Tourism Spend Factors</v>
      </c>
      <c r="C78" s="2" t="str">
        <f>'Tourism Medium DB-LCU'!C77</f>
        <v>Average National Tourism Spend per Day of Trip</v>
      </c>
      <c r="D78" s="4"/>
      <c r="E78" s="4"/>
      <c r="F78" s="4"/>
      <c r="Q78" s="32"/>
      <c r="R78" s="32"/>
    </row>
    <row r="79" spans="1:25" ht="15" customHeight="1">
      <c r="A79" s="4" t="str">
        <f>'Tourism Medium DB-LCU'!A78</f>
        <v>Hungary</v>
      </c>
      <c r="B79" s="4" t="str">
        <f>'Tourism Medium DB-LCU'!B78</f>
        <v>Tourism Spend Factors</v>
      </c>
      <c r="C79" s="4" t="str">
        <f>'Tourism Medium DB-LCU'!C78</f>
        <v>Average National Tourism Spend per Day of Trip</v>
      </c>
      <c r="D79" s="2" t="str">
        <f>'Tourism Medium DB-LCU'!D78</f>
        <v>Domestic Trips</v>
      </c>
      <c r="E79" s="4"/>
      <c r="F79" s="4" t="s">
        <v>454</v>
      </c>
      <c r="G79" s="64">
        <f>'Tourism Medium DB-LCU'!H78*Home!C$5</f>
        <v>8.23319189574649</v>
      </c>
      <c r="H79" s="64">
        <f>'Tourism Medium DB-LCU'!I78*Home!D$5</f>
        <v>7.5517587897902931</v>
      </c>
      <c r="I79" s="64">
        <f>'Tourism Medium DB-LCU'!J78*Home!E$5</f>
        <v>5.9768476400899573</v>
      </c>
      <c r="J79" s="64">
        <f>'Tourism Medium DB-LCU'!K78*Home!F$5</f>
        <v>6.5484307882032855</v>
      </c>
      <c r="K79" s="64">
        <f>'Tourism Medium DB-LCU'!L78*Home!G$5</f>
        <v>5.7317016159022094</v>
      </c>
      <c r="L79" s="60">
        <f>'Tourism Medium DB-LCU'!M78*Home!H$5</f>
        <v>6.1471318629109319</v>
      </c>
      <c r="M79" s="60">
        <f>'Tourism Medium DB-LCU'!N78*Home!I$5</f>
        <v>5.7959038530292437</v>
      </c>
      <c r="N79" s="60">
        <f>'Tourism Medium DB-LCU'!O78*Home!J$5</f>
        <v>5.8506997254441977</v>
      </c>
      <c r="O79" s="60">
        <f>'Tourism Medium DB-LCU'!P78*Home!K$5</f>
        <v>5.8619341432736789</v>
      </c>
      <c r="P79" s="60">
        <f>'Tourism Medium DB-LCU'!Q78*Home!L$5</f>
        <v>5.8170145388451759</v>
      </c>
      <c r="Q79" s="32">
        <f t="shared" ref="Q79:Q110" si="6">(K79/G79)^(1/4)-1</f>
        <v>-8.6562506551797314E-2</v>
      </c>
      <c r="R79" s="32">
        <f t="shared" ref="R79:R110" si="7">(P79/K79)^(1/5)-1</f>
        <v>2.9593124515099323E-3</v>
      </c>
      <c r="X79" s="1">
        <v>1</v>
      </c>
      <c r="Y79" s="402" t="s">
        <v>504</v>
      </c>
    </row>
    <row r="80" spans="1:25" ht="15" customHeight="1">
      <c r="A80" s="4" t="str">
        <f>'Tourism Medium DB-LCU'!A79</f>
        <v>Hungary</v>
      </c>
      <c r="B80" s="4" t="str">
        <f>'Tourism Medium DB-LCU'!B79</f>
        <v>Tourism Spend Factors</v>
      </c>
      <c r="C80" s="4" t="str">
        <f>'Tourism Medium DB-LCU'!C79</f>
        <v>Average National Tourism Spend per Day of Trip</v>
      </c>
      <c r="D80" s="2" t="str">
        <f>'Tourism Medium DB-LCU'!D79</f>
        <v>International Trips</v>
      </c>
      <c r="E80" s="4"/>
      <c r="F80" s="4" t="s">
        <v>454</v>
      </c>
      <c r="G80" s="64">
        <f>'Tourism Medium DB-LCU'!H79*Home!C$5</f>
        <v>202.7312578285383</v>
      </c>
      <c r="H80" s="64">
        <f>'Tourism Medium DB-LCU'!I79*Home!D$5</f>
        <v>183.00680777517468</v>
      </c>
      <c r="I80" s="64">
        <f>'Tourism Medium DB-LCU'!J79*Home!E$5</f>
        <v>188.92273615904796</v>
      </c>
      <c r="J80" s="64">
        <f>'Tourism Medium DB-LCU'!K79*Home!F$5</f>
        <v>198.6001176638141</v>
      </c>
      <c r="K80" s="64">
        <f>'Tourism Medium DB-LCU'!L79*Home!G$5</f>
        <v>193.19299286179833</v>
      </c>
      <c r="L80" s="60">
        <f>'Tourism Medium DB-LCU'!M79*Home!H$5</f>
        <v>192.75173219803867</v>
      </c>
      <c r="M80" s="60">
        <f>'Tourism Medium DB-LCU'!N79*Home!I$5</f>
        <v>196.84715188760504</v>
      </c>
      <c r="N80" s="60">
        <f>'Tourism Medium DB-LCU'!O79*Home!J$5</f>
        <v>194.62502145526992</v>
      </c>
      <c r="O80" s="60">
        <f>'Tourism Medium DB-LCU'!P79*Home!K$5</f>
        <v>206.08398036589577</v>
      </c>
      <c r="P80" s="60">
        <f>'Tourism Medium DB-LCU'!Q79*Home!L$5</f>
        <v>218.11420115326192</v>
      </c>
      <c r="Q80" s="32">
        <f t="shared" si="6"/>
        <v>-1.1975613805562557E-2</v>
      </c>
      <c r="R80" s="32">
        <f t="shared" si="7"/>
        <v>2.4562637457818504E-2</v>
      </c>
      <c r="X80" s="1">
        <v>1</v>
      </c>
      <c r="Y80" s="402" t="s">
        <v>505</v>
      </c>
    </row>
    <row r="81" spans="1:25" ht="15" customHeight="1">
      <c r="A81" s="4" t="str">
        <f>'Tourism Medium DB-LCU'!A80</f>
        <v>Hungary</v>
      </c>
      <c r="B81" s="4" t="str">
        <f>'Tourism Medium DB-LCU'!B80</f>
        <v>Tourism Spend Factors</v>
      </c>
      <c r="C81" s="2" t="str">
        <f>'Tourism Medium DB-LCU'!C80</f>
        <v>Percentage of Total Resident Income Spent on Tourism</v>
      </c>
      <c r="D81" s="4"/>
      <c r="E81" s="4"/>
      <c r="F81" s="4" t="str">
        <f>'Tourism Medium DB-LCU'!F80</f>
        <v>%</v>
      </c>
      <c r="G81" s="407">
        <f>SUM(G82:G83)</f>
        <v>7.1415364293478362E-2</v>
      </c>
      <c r="H81" s="407">
        <f>SUM(H82:H83)</f>
        <v>6.786261896149616E-2</v>
      </c>
      <c r="I81" s="407">
        <f>SUM(I82:I83)</f>
        <v>6.9310260794080161E-2</v>
      </c>
      <c r="J81" s="407">
        <f>SUM(J82:J83)</f>
        <v>6.883679566972159E-2</v>
      </c>
      <c r="K81" s="407">
        <f>SUM(K82:K83)</f>
        <v>6.8995049322970972E-2</v>
      </c>
      <c r="L81" s="161">
        <f t="shared" ref="L81:P81" si="8">SUM(L82:L83)</f>
        <v>6.4201402066190641E-2</v>
      </c>
      <c r="M81" s="161">
        <f t="shared" si="8"/>
        <v>6.4778237115317203E-2</v>
      </c>
      <c r="N81" s="161">
        <f t="shared" si="8"/>
        <v>6.8792252943396581E-2</v>
      </c>
      <c r="O81" s="161">
        <f t="shared" si="8"/>
        <v>7.8641897250610271E-2</v>
      </c>
      <c r="P81" s="161">
        <f t="shared" si="8"/>
        <v>8.7191195516236858E-2</v>
      </c>
      <c r="Q81" s="32">
        <f t="shared" si="6"/>
        <v>-8.5825278377743563E-3</v>
      </c>
      <c r="R81" s="32">
        <f t="shared" si="7"/>
        <v>4.7926783910167803E-2</v>
      </c>
    </row>
    <row r="82" spans="1:25" ht="15" customHeight="1">
      <c r="A82" s="4" t="str">
        <f>'Tourism Medium DB-LCU'!A81</f>
        <v>Hungary</v>
      </c>
      <c r="B82" s="4" t="str">
        <f>'Tourism Medium DB-LCU'!B81</f>
        <v>Tourism Spend Factors</v>
      </c>
      <c r="C82" s="4" t="str">
        <f>'Tourism Medium DB-LCU'!C81</f>
        <v>Percentage of Total Resident Income Spent on Tourism</v>
      </c>
      <c r="D82" s="2" t="str">
        <f>'Tourism Medium DB-LCU'!D81</f>
        <v>Domestic Trips</v>
      </c>
      <c r="E82" s="4"/>
      <c r="F82" s="4" t="str">
        <f>'Tourism Medium DB-LCU'!F81</f>
        <v>%</v>
      </c>
      <c r="G82" s="389">
        <f>'Tourism Medium DB-LCU'!H81</f>
        <v>3.1803632508965386E-3</v>
      </c>
      <c r="H82" s="389">
        <f>'Tourism Medium DB-LCU'!I81</f>
        <v>3.3140771288598441E-3</v>
      </c>
      <c r="I82" s="389">
        <f>'Tourism Medium DB-LCU'!J81</f>
        <v>2.8437641424577799E-3</v>
      </c>
      <c r="J82" s="389">
        <f>'Tourism Medium DB-LCU'!K81</f>
        <v>2.6427509396056057E-3</v>
      </c>
      <c r="K82" s="389">
        <f>'Tourism Medium DB-LCU'!L81</f>
        <v>2.4341291759419747E-3</v>
      </c>
      <c r="L82" s="32">
        <f>'Tourism Medium DB-LCU'!M81</f>
        <v>2.4547580320928644E-3</v>
      </c>
      <c r="M82" s="32">
        <f>'Tourism Medium DB-LCU'!N81</f>
        <v>2.3906189375719109E-3</v>
      </c>
      <c r="N82" s="32">
        <f>'Tourism Medium DB-LCU'!O81</f>
        <v>2.4178517148276584E-3</v>
      </c>
      <c r="O82" s="32">
        <f>'Tourism Medium DB-LCU'!P81</f>
        <v>2.4639569848056353E-3</v>
      </c>
      <c r="P82" s="32">
        <f>'Tourism Medium DB-LCU'!Q81</f>
        <v>2.4475090856541006E-3</v>
      </c>
      <c r="Q82" s="32">
        <f t="shared" si="6"/>
        <v>-6.4665994989096531E-2</v>
      </c>
      <c r="R82" s="32">
        <f t="shared" si="7"/>
        <v>1.0969498124893118E-3</v>
      </c>
      <c r="X82" s="1">
        <v>1</v>
      </c>
      <c r="Y82" s="402" t="s">
        <v>506</v>
      </c>
    </row>
    <row r="83" spans="1:25" ht="15" customHeight="1">
      <c r="A83" s="4" t="str">
        <f>'Tourism Medium DB-LCU'!A82</f>
        <v>Hungary</v>
      </c>
      <c r="B83" s="4" t="str">
        <f>'Tourism Medium DB-LCU'!B82</f>
        <v>Tourism Spend Factors</v>
      </c>
      <c r="C83" s="4" t="str">
        <f>'Tourism Medium DB-LCU'!C82</f>
        <v>Percentage of Total Resident Income Spent on Tourism</v>
      </c>
      <c r="D83" s="2" t="str">
        <f>'Tourism Medium DB-LCU'!D82</f>
        <v>International Trips</v>
      </c>
      <c r="E83" s="4"/>
      <c r="F83" s="4" t="str">
        <f>'Tourism Medium DB-LCU'!F82</f>
        <v>%</v>
      </c>
      <c r="G83" s="389">
        <f>'Tourism Medium DB-LCU'!H82</f>
        <v>6.8235001042581817E-2</v>
      </c>
      <c r="H83" s="389">
        <f>'Tourism Medium DB-LCU'!I82</f>
        <v>6.4548541832636322E-2</v>
      </c>
      <c r="I83" s="389">
        <f>'Tourism Medium DB-LCU'!J82</f>
        <v>6.6466496651622381E-2</v>
      </c>
      <c r="J83" s="389">
        <f>'Tourism Medium DB-LCU'!K82</f>
        <v>6.6194044730115989E-2</v>
      </c>
      <c r="K83" s="389">
        <f>'Tourism Medium DB-LCU'!L82</f>
        <v>6.6560920147028996E-2</v>
      </c>
      <c r="L83" s="32">
        <f>'Tourism Medium DB-LCU'!M82</f>
        <v>6.1746644034097777E-2</v>
      </c>
      <c r="M83" s="32">
        <f>'Tourism Medium DB-LCU'!N82</f>
        <v>6.2387618177745296E-2</v>
      </c>
      <c r="N83" s="32">
        <f>'Tourism Medium DB-LCU'!O82</f>
        <v>6.6374401228568927E-2</v>
      </c>
      <c r="O83" s="32">
        <f>'Tourism Medium DB-LCU'!P82</f>
        <v>7.6177940265804642E-2</v>
      </c>
      <c r="P83" s="32">
        <f>'Tourism Medium DB-LCU'!Q82</f>
        <v>8.4743686430582763E-2</v>
      </c>
      <c r="Q83" s="32">
        <f t="shared" si="6"/>
        <v>-6.1907638213590799E-3</v>
      </c>
      <c r="R83" s="32">
        <f t="shared" si="7"/>
        <v>4.9488313873485845E-2</v>
      </c>
      <c r="X83" s="1">
        <v>1</v>
      </c>
      <c r="Y83" s="402" t="s">
        <v>507</v>
      </c>
    </row>
    <row r="84" spans="1:25" ht="15" customHeight="1">
      <c r="A84" s="4" t="str">
        <f>'Tourism Medium DB-LCU'!A83</f>
        <v>Hungary</v>
      </c>
      <c r="B84" s="4" t="str">
        <f>'Tourism Medium DB-LCU'!B83</f>
        <v>Tourism Spend Factors</v>
      </c>
      <c r="C84" s="2" t="str">
        <f>'Tourism Medium DB-LCU'!C83</f>
        <v>Total National Tourism Expenditure by Tourist Destination</v>
      </c>
      <c r="D84" s="4"/>
      <c r="E84" s="4"/>
      <c r="F84" s="4" t="s">
        <v>277</v>
      </c>
      <c r="G84" s="406">
        <f>'Tourism Medium DB-LCU'!H83*Home!C$5</f>
        <v>17372.90297092836</v>
      </c>
      <c r="H84" s="406">
        <f>'Tourism Medium DB-LCU'!I83*Home!D$5</f>
        <v>14233.960380531249</v>
      </c>
      <c r="I84" s="406">
        <f>'Tourism Medium DB-LCU'!J83*Home!E$5</f>
        <v>15931.857545883568</v>
      </c>
      <c r="J84" s="406">
        <f>'Tourism Medium DB-LCU'!K83*Home!F$5</f>
        <v>18396.785083683568</v>
      </c>
      <c r="K84" s="406">
        <f>'Tourism Medium DB-LCU'!L83*Home!G$5</f>
        <v>18346.3010778479</v>
      </c>
      <c r="L84" s="103">
        <f>'Tourism Medium DB-LCU'!M83*Home!H$5</f>
        <v>17466.254657855636</v>
      </c>
      <c r="M84" s="103">
        <f>'Tourism Medium DB-LCU'!N83*Home!I$5</f>
        <v>17838.608585751052</v>
      </c>
      <c r="N84" s="103">
        <f>'Tourism Medium DB-LCU'!O83*Home!J$5</f>
        <v>19198.614973312793</v>
      </c>
      <c r="O84" s="103">
        <f>'Tourism Medium DB-LCU'!P83*Home!K$5</f>
        <v>22247.322813740946</v>
      </c>
      <c r="P84" s="103">
        <f>'Tourism Medium DB-LCU'!Q83*Home!L$5</f>
        <v>25016.85903352491</v>
      </c>
      <c r="Q84" s="32">
        <f t="shared" si="6"/>
        <v>1.3722370723183053E-2</v>
      </c>
      <c r="R84" s="32">
        <f t="shared" si="7"/>
        <v>6.3988301658864488E-2</v>
      </c>
      <c r="X84" s="1">
        <v>1</v>
      </c>
      <c r="Y84" s="402" t="s">
        <v>508</v>
      </c>
    </row>
    <row r="85" spans="1:25" ht="15" customHeight="1">
      <c r="A85" s="4" t="str">
        <f>'Tourism Medium DB-LCU'!A84</f>
        <v>Hungary</v>
      </c>
      <c r="B85" s="4" t="str">
        <f>'Tourism Medium DB-LCU'!B84</f>
        <v>Tourism Spend Factors</v>
      </c>
      <c r="C85" s="4" t="str">
        <f>'Tourism Medium DB-LCU'!C84</f>
        <v>Total National Tourism Expenditure by Tourist Destination</v>
      </c>
      <c r="D85" s="2" t="str">
        <f>'Tourism Medium DB-LCU'!D84</f>
        <v>Domestic Trips</v>
      </c>
      <c r="E85" s="4"/>
      <c r="F85" s="4" t="s">
        <v>277</v>
      </c>
      <c r="G85" s="406">
        <f>'Tourism Medium DB-LCU'!H84*Home!C$5</f>
        <v>773.67304244329762</v>
      </c>
      <c r="H85" s="406">
        <f>'Tourism Medium DB-LCU'!I84*Home!D$5</f>
        <v>695.11674132382711</v>
      </c>
      <c r="I85" s="406">
        <f>'Tourism Medium DB-LCU'!J84*Home!E$5</f>
        <v>653.67587270135834</v>
      </c>
      <c r="J85" s="406">
        <f>'Tourism Medium DB-LCU'!K84*Home!F$5</f>
        <v>706.2810026616653</v>
      </c>
      <c r="K85" s="406">
        <f>'Tourism Medium DB-LCU'!L84*Home!G$5</f>
        <v>647.25320385179066</v>
      </c>
      <c r="L85" s="103">
        <f>'Tourism Medium DB-LCU'!M84*Home!H$5</f>
        <v>667.82698713879529</v>
      </c>
      <c r="M85" s="103">
        <f>'Tourism Medium DB-LCU'!N84*Home!I$5</f>
        <v>658.32781817005639</v>
      </c>
      <c r="N85" s="103">
        <f>'Tourism Medium DB-LCU'!O84*Home!J$5</f>
        <v>674.77662308479637</v>
      </c>
      <c r="O85" s="103">
        <f>'Tourism Medium DB-LCU'!P84*Home!K$5</f>
        <v>697.03870782081594</v>
      </c>
      <c r="P85" s="103">
        <f>'Tourism Medium DB-LCU'!Q84*Home!L$5</f>
        <v>702.23821816593772</v>
      </c>
      <c r="Q85" s="32">
        <f t="shared" si="6"/>
        <v>-4.3622861608682784E-2</v>
      </c>
      <c r="R85" s="32">
        <f t="shared" si="7"/>
        <v>1.6440709199555092E-2</v>
      </c>
      <c r="X85" s="1">
        <v>1</v>
      </c>
      <c r="Y85" s="402" t="s">
        <v>509</v>
      </c>
    </row>
    <row r="86" spans="1:25" ht="15" customHeight="1">
      <c r="A86" s="4" t="str">
        <f>'Tourism Medium DB-LCU'!A85</f>
        <v>Hungary</v>
      </c>
      <c r="B86" s="4" t="str">
        <f>'Tourism Medium DB-LCU'!B85</f>
        <v>Tourism Spend Factors</v>
      </c>
      <c r="C86" s="4" t="str">
        <f>'Tourism Medium DB-LCU'!C85</f>
        <v>Total National Tourism Expenditure by Tourist Destination</v>
      </c>
      <c r="D86" s="2" t="str">
        <f>'Tourism Medium DB-LCU'!D85</f>
        <v>International Trips</v>
      </c>
      <c r="E86" s="4"/>
      <c r="F86" s="4" t="s">
        <v>277</v>
      </c>
      <c r="G86" s="406">
        <f>'Tourism Medium DB-LCU'!H85*Home!C$5</f>
        <v>16599.22992848506</v>
      </c>
      <c r="H86" s="406">
        <f>'Tourism Medium DB-LCU'!I85*Home!D$5</f>
        <v>13538.843639207422</v>
      </c>
      <c r="I86" s="406">
        <f>'Tourism Medium DB-LCU'!J85*Home!E$5</f>
        <v>15278.181673182209</v>
      </c>
      <c r="J86" s="406">
        <f>'Tourism Medium DB-LCU'!K85*Home!F$5</f>
        <v>17690.504081021903</v>
      </c>
      <c r="K86" s="406">
        <f>'Tourism Medium DB-LCU'!L85*Home!G$5</f>
        <v>17699.047873996111</v>
      </c>
      <c r="L86" s="103">
        <f>'Tourism Medium DB-LCU'!M85*Home!H$5</f>
        <v>16798.427670716839</v>
      </c>
      <c r="M86" s="103">
        <f>'Tourism Medium DB-LCU'!N85*Home!I$5</f>
        <v>17180.280767580996</v>
      </c>
      <c r="N86" s="103">
        <f>'Tourism Medium DB-LCU'!O85*Home!J$5</f>
        <v>18523.838350227998</v>
      </c>
      <c r="O86" s="103">
        <f>'Tourism Medium DB-LCU'!P85*Home!K$5</f>
        <v>21550.284105920131</v>
      </c>
      <c r="P86" s="103">
        <f>'Tourism Medium DB-LCU'!Q85*Home!L$5</f>
        <v>24314.620815358972</v>
      </c>
      <c r="Q86" s="32">
        <f t="shared" si="6"/>
        <v>1.6167944618146857E-2</v>
      </c>
      <c r="R86" s="32">
        <f t="shared" si="7"/>
        <v>6.5573765108382087E-2</v>
      </c>
      <c r="X86" s="1">
        <v>1</v>
      </c>
      <c r="Y86" s="402" t="s">
        <v>510</v>
      </c>
    </row>
    <row r="87" spans="1:25" ht="15" customHeight="1">
      <c r="A87" s="4" t="str">
        <f>'Tourism Medium DB-LCU'!A86</f>
        <v>Hungary</v>
      </c>
      <c r="B87" s="4" t="str">
        <f>'Tourism Medium DB-LCU'!B86</f>
        <v>Tourism Spend Factors</v>
      </c>
      <c r="C87" s="4" t="str">
        <f>'Tourism Medium DB-LCU'!C86</f>
        <v>Total National Tourism Expenditure by Tourist Destination</v>
      </c>
      <c r="D87" s="4" t="str">
        <f>'Tourism Medium DB-LCU'!D86</f>
        <v>International Trips</v>
      </c>
      <c r="E87" s="2" t="str">
        <f>'Tourism Medium DB-LCU'!E86</f>
        <v>Africa</v>
      </c>
      <c r="F87" s="4" t="s">
        <v>277</v>
      </c>
      <c r="G87" s="68">
        <f>'Tourism Medium DB-LCU'!H86*Home!C$5</f>
        <v>196.43777403655429</v>
      </c>
      <c r="H87" s="68">
        <f>'Tourism Medium DB-LCU'!I86*Home!D$5</f>
        <v>137.88709794838766</v>
      </c>
      <c r="I87" s="68">
        <f>'Tourism Medium DB-LCU'!J86*Home!E$5</f>
        <v>130.88707351432132</v>
      </c>
      <c r="J87" s="68">
        <f>'Tourism Medium DB-LCU'!K86*Home!F$5</f>
        <v>312.35281764417437</v>
      </c>
      <c r="K87" s="68">
        <f>'Tourism Medium DB-LCU'!L86*Home!G$5</f>
        <v>452.4667773826954</v>
      </c>
      <c r="L87" s="60">
        <f>'Tourism Medium DB-LCU'!M86*Home!H$5</f>
        <v>520.63140114037958</v>
      </c>
      <c r="M87" s="60">
        <f>'Tourism Medium DB-LCU'!N86*Home!I$5</f>
        <v>696.94025931572446</v>
      </c>
      <c r="N87" s="60">
        <f>'Tourism Medium DB-LCU'!O86*Home!J$5</f>
        <v>1107.3803638716738</v>
      </c>
      <c r="O87" s="60">
        <f>'Tourism Medium DB-LCU'!P86*Home!K$5</f>
        <v>1747.5850982914087</v>
      </c>
      <c r="P87" s="60">
        <f>'Tourism Medium DB-LCU'!Q86*Home!L$5</f>
        <v>2763.3516363287963</v>
      </c>
      <c r="Q87" s="32">
        <f t="shared" si="6"/>
        <v>0.23194245778451572</v>
      </c>
      <c r="R87" s="32">
        <f t="shared" si="7"/>
        <v>0.43605109078299864</v>
      </c>
      <c r="X87" s="1">
        <v>1</v>
      </c>
      <c r="Y87" s="402" t="s">
        <v>511</v>
      </c>
    </row>
    <row r="88" spans="1:25" ht="15" customHeight="1">
      <c r="A88" s="4" t="str">
        <f>'Tourism Medium DB-LCU'!A87</f>
        <v>Hungary</v>
      </c>
      <c r="B88" s="4" t="str">
        <f>'Tourism Medium DB-LCU'!B87</f>
        <v>Tourism Spend Factors</v>
      </c>
      <c r="C88" s="4" t="str">
        <f>'Tourism Medium DB-LCU'!C87</f>
        <v>Total National Tourism Expenditure by Tourist Destination</v>
      </c>
      <c r="D88" s="4" t="str">
        <f>'Tourism Medium DB-LCU'!D87</f>
        <v>International Trips</v>
      </c>
      <c r="E88" s="2" t="str">
        <f>'Tourism Medium DB-LCU'!E87</f>
        <v>Asia-Pacific</v>
      </c>
      <c r="F88" s="4" t="s">
        <v>277</v>
      </c>
      <c r="G88" s="68">
        <f>'Tourism Medium DB-LCU'!H87*Home!C$5</f>
        <v>3040.5284021710286</v>
      </c>
      <c r="H88" s="68">
        <f>'Tourism Medium DB-LCU'!I87*Home!D$5</f>
        <v>3225.2627639976467</v>
      </c>
      <c r="I88" s="68">
        <f>'Tourism Medium DB-LCU'!J87*Home!E$5</f>
        <v>3641.1671192080612</v>
      </c>
      <c r="J88" s="68">
        <f>'Tourism Medium DB-LCU'!K87*Home!F$5</f>
        <v>2687.7717198713576</v>
      </c>
      <c r="K88" s="68">
        <f>'Tourism Medium DB-LCU'!L87*Home!G$5</f>
        <v>2954.9060860170098</v>
      </c>
      <c r="L88" s="60">
        <f>'Tourism Medium DB-LCU'!M87*Home!H$5</f>
        <v>2699.1797462794684</v>
      </c>
      <c r="M88" s="60">
        <f>'Tourism Medium DB-LCU'!N87*Home!I$5</f>
        <v>2514.2265147852881</v>
      </c>
      <c r="N88" s="60">
        <f>'Tourism Medium DB-LCU'!O87*Home!J$5</f>
        <v>2337.4669796359021</v>
      </c>
      <c r="O88" s="60">
        <f>'Tourism Medium DB-LCU'!P87*Home!K$5</f>
        <v>2571.3513648829971</v>
      </c>
      <c r="P88" s="60">
        <f>'Tourism Medium DB-LCU'!Q87*Home!L$5</f>
        <v>2620.7635075071057</v>
      </c>
      <c r="Q88" s="32">
        <f t="shared" si="6"/>
        <v>-7.1156748073772924E-3</v>
      </c>
      <c r="R88" s="32">
        <f t="shared" si="7"/>
        <v>-2.3714520366736824E-2</v>
      </c>
      <c r="X88" s="1">
        <v>1</v>
      </c>
      <c r="Y88" s="402" t="s">
        <v>511</v>
      </c>
    </row>
    <row r="89" spans="1:25" ht="15" customHeight="1">
      <c r="A89" s="4" t="str">
        <f>'Tourism Medium DB-LCU'!A88</f>
        <v>Hungary</v>
      </c>
      <c r="B89" s="4" t="str">
        <f>'Tourism Medium DB-LCU'!B88</f>
        <v>Tourism Spend Factors</v>
      </c>
      <c r="C89" s="4" t="str">
        <f>'Tourism Medium DB-LCU'!C88</f>
        <v>Total National Tourism Expenditure by Tourist Destination</v>
      </c>
      <c r="D89" s="4" t="str">
        <f>'Tourism Medium DB-LCU'!D88</f>
        <v>International Trips</v>
      </c>
      <c r="E89" s="2" t="str">
        <f>'Tourism Medium DB-LCU'!E88</f>
        <v>Europe</v>
      </c>
      <c r="F89" s="4" t="s">
        <v>277</v>
      </c>
      <c r="G89" s="68">
        <f>'Tourism Medium DB-LCU'!H88*Home!C$5</f>
        <v>12563.832128802453</v>
      </c>
      <c r="H89" s="68">
        <f>'Tourism Medium DB-LCU'!I88*Home!D$5</f>
        <v>9358.2180885967246</v>
      </c>
      <c r="I89" s="68">
        <f>'Tourism Medium DB-LCU'!J88*Home!E$5</f>
        <v>10600.416901863631</v>
      </c>
      <c r="J89" s="68">
        <f>'Tourism Medium DB-LCU'!K88*Home!F$5</f>
        <v>14309.027935882077</v>
      </c>
      <c r="K89" s="68">
        <f>'Tourism Medium DB-LCU'!L88*Home!G$5</f>
        <v>13956.815872754039</v>
      </c>
      <c r="L89" s="60">
        <f>'Tourism Medium DB-LCU'!M88*Home!H$5</f>
        <v>13380.390135304751</v>
      </c>
      <c r="M89" s="60">
        <f>'Tourism Medium DB-LCU'!N88*Home!I$5</f>
        <v>14185.499440550182</v>
      </c>
      <c r="N89" s="60">
        <f>'Tourism Medium DB-LCU'!O88*Home!J$5</f>
        <v>15974.985544453903</v>
      </c>
      <c r="O89" s="60">
        <f>'Tourism Medium DB-LCU'!P88*Home!K$5</f>
        <v>18945.282112784385</v>
      </c>
      <c r="P89" s="60">
        <f>'Tourism Medium DB-LCU'!Q88*Home!L$5</f>
        <v>22093.912662413364</v>
      </c>
      <c r="Q89" s="32">
        <f t="shared" si="6"/>
        <v>2.6634976112554165E-2</v>
      </c>
      <c r="R89" s="32">
        <f t="shared" si="7"/>
        <v>9.6218827466626466E-2</v>
      </c>
      <c r="X89" s="1">
        <v>1</v>
      </c>
      <c r="Y89" s="402" t="s">
        <v>511</v>
      </c>
    </row>
    <row r="90" spans="1:25" ht="15" customHeight="1">
      <c r="A90" s="4" t="str">
        <f>'Tourism Medium DB-LCU'!A89</f>
        <v>Hungary</v>
      </c>
      <c r="B90" s="4" t="str">
        <f>'Tourism Medium DB-LCU'!B89</f>
        <v>Tourism Spend Factors</v>
      </c>
      <c r="C90" s="4" t="str">
        <f>'Tourism Medium DB-LCU'!C89</f>
        <v>Total National Tourism Expenditure by Tourist Destination</v>
      </c>
      <c r="D90" s="4" t="str">
        <f>'Tourism Medium DB-LCU'!D89</f>
        <v>International Trips</v>
      </c>
      <c r="E90" s="2" t="str">
        <f>'Tourism Medium DB-LCU'!E89</f>
        <v>Middle East</v>
      </c>
      <c r="F90" s="4" t="s">
        <v>277</v>
      </c>
      <c r="G90" s="68">
        <f>'Tourism Medium DB-LCU'!H89*Home!C$5</f>
        <v>1240.6342704935785</v>
      </c>
      <c r="H90" s="68">
        <f>'Tourism Medium DB-LCU'!I89*Home!D$5</f>
        <v>335.80802106737502</v>
      </c>
      <c r="I90" s="68">
        <f>'Tourism Medium DB-LCU'!J89*Home!E$5</f>
        <v>545.85837140905312</v>
      </c>
      <c r="J90" s="68">
        <f>'Tourism Medium DB-LCU'!K89*Home!F$5</f>
        <v>426.71954530674265</v>
      </c>
      <c r="K90" s="68">
        <f>'Tourism Medium DB-LCU'!L89*Home!G$5</f>
        <v>474.32106166837679</v>
      </c>
      <c r="L90" s="60">
        <f>'Tourism Medium DB-LCU'!M89*Home!H$5</f>
        <v>421.51999229962269</v>
      </c>
      <c r="M90" s="60">
        <f>'Tourism Medium DB-LCU'!N89*Home!I$5</f>
        <v>397.76598437739642</v>
      </c>
      <c r="N90" s="60">
        <f>'Tourism Medium DB-LCU'!O89*Home!J$5</f>
        <v>384.02206391305356</v>
      </c>
      <c r="O90" s="60">
        <f>'Tourism Medium DB-LCU'!P89*Home!K$5</f>
        <v>430.07781858814388</v>
      </c>
      <c r="P90" s="60">
        <f>'Tourism Medium DB-LCU'!Q89*Home!L$5</f>
        <v>450.76940347049577</v>
      </c>
      <c r="Q90" s="32">
        <f t="shared" si="6"/>
        <v>-0.21366581066830959</v>
      </c>
      <c r="R90" s="32">
        <f t="shared" si="7"/>
        <v>-1.0134007267050826E-2</v>
      </c>
      <c r="X90" s="1">
        <v>1</v>
      </c>
      <c r="Y90" s="402" t="s">
        <v>511</v>
      </c>
    </row>
    <row r="91" spans="1:25" ht="15" customHeight="1">
      <c r="A91" s="4" t="str">
        <f>'Tourism Medium DB-LCU'!A90</f>
        <v>Hungary</v>
      </c>
      <c r="B91" s="4" t="str">
        <f>'Tourism Medium DB-LCU'!B90</f>
        <v>Tourism Spend Factors</v>
      </c>
      <c r="C91" s="4" t="str">
        <f>'Tourism Medium DB-LCU'!C90</f>
        <v>Total National Tourism Expenditure by Tourist Destination</v>
      </c>
      <c r="D91" s="4" t="str">
        <f>'Tourism Medium DB-LCU'!D90</f>
        <v>International Trips</v>
      </c>
      <c r="E91" s="2" t="str">
        <f>'Tourism Medium DB-LCU'!E90</f>
        <v>North America</v>
      </c>
      <c r="F91" s="4" t="s">
        <v>277</v>
      </c>
      <c r="G91" s="68">
        <f>'Tourism Medium DB-LCU'!H90*Home!C$5</f>
        <v>205.95695470612114</v>
      </c>
      <c r="H91" s="68">
        <f>'Tourism Medium DB-LCU'!I90*Home!D$5</f>
        <v>229.08728489092661</v>
      </c>
      <c r="I91" s="68">
        <f>'Tourism Medium DB-LCU'!J90*Home!E$5</f>
        <v>248.31376982336732</v>
      </c>
      <c r="J91" s="68">
        <f>'Tourism Medium DB-LCU'!K90*Home!F$5</f>
        <v>236.78586291338883</v>
      </c>
      <c r="K91" s="68">
        <f>'Tourism Medium DB-LCU'!L90*Home!G$5</f>
        <v>214.88536326071045</v>
      </c>
      <c r="L91" s="60">
        <f>'Tourism Medium DB-LCU'!M90*Home!H$5</f>
        <v>203.86080222898687</v>
      </c>
      <c r="M91" s="60">
        <f>'Tourism Medium DB-LCU'!N90*Home!I$5</f>
        <v>192.44547584211182</v>
      </c>
      <c r="N91" s="60">
        <f>'Tourism Medium DB-LCU'!O90*Home!J$5</f>
        <v>189.20944282370166</v>
      </c>
      <c r="O91" s="60">
        <f>'Tourism Medium DB-LCU'!P90*Home!K$5</f>
        <v>205.53196687767053</v>
      </c>
      <c r="P91" s="60">
        <f>'Tourism Medium DB-LCU'!Q90*Home!L$5</f>
        <v>218.20718153341093</v>
      </c>
      <c r="Q91" s="32">
        <f t="shared" si="6"/>
        <v>1.0665854628473692E-2</v>
      </c>
      <c r="R91" s="32">
        <f t="shared" si="7"/>
        <v>3.0727700458086371E-3</v>
      </c>
      <c r="X91" s="1">
        <v>1</v>
      </c>
      <c r="Y91" s="402" t="s">
        <v>511</v>
      </c>
    </row>
    <row r="92" spans="1:25" ht="15" customHeight="1">
      <c r="A92" s="4" t="str">
        <f>'Tourism Medium DB-LCU'!A91</f>
        <v>Hungary</v>
      </c>
      <c r="B92" s="4" t="str">
        <f>'Tourism Medium DB-LCU'!B91</f>
        <v>Tourism Spend Factors</v>
      </c>
      <c r="C92" s="4" t="str">
        <f>'Tourism Medium DB-LCU'!C91</f>
        <v>Total National Tourism Expenditure by Tourist Destination</v>
      </c>
      <c r="D92" s="4" t="str">
        <f>'Tourism Medium DB-LCU'!D91</f>
        <v>International Trips</v>
      </c>
      <c r="E92" s="2" t="str">
        <f>'Tourism Medium DB-LCU'!E91</f>
        <v>South &amp; Central America</v>
      </c>
      <c r="F92" s="4" t="s">
        <v>277</v>
      </c>
      <c r="G92" s="68">
        <f>'Tourism Medium DB-LCU'!H91*Home!C$5</f>
        <v>-648.15960172467305</v>
      </c>
      <c r="H92" s="68">
        <f>'Tourism Medium DB-LCU'!I91*Home!D$5</f>
        <v>252.58038270636055</v>
      </c>
      <c r="I92" s="68">
        <f>'Tourism Medium DB-LCU'!J91*Home!E$5</f>
        <v>111.53843736377476</v>
      </c>
      <c r="J92" s="68">
        <f>'Tourism Medium DB-LCU'!K91*Home!F$5</f>
        <v>-282.15380059583663</v>
      </c>
      <c r="K92" s="68">
        <f>'Tourism Medium DB-LCU'!L91*Home!G$5</f>
        <v>-354.34728708672282</v>
      </c>
      <c r="L92" s="60">
        <f>'Tourism Medium DB-LCU'!M91*Home!H$5</f>
        <v>-427.15440653637296</v>
      </c>
      <c r="M92" s="60">
        <f>'Tourism Medium DB-LCU'!N91*Home!I$5</f>
        <v>-806.59690728970463</v>
      </c>
      <c r="N92" s="60">
        <f>'Tourism Medium DB-LCU'!O91*Home!J$5</f>
        <v>-1469.2260444702342</v>
      </c>
      <c r="O92" s="60">
        <f>'Tourism Medium DB-LCU'!P91*Home!K$5</f>
        <v>-2349.5442555044742</v>
      </c>
      <c r="P92" s="60">
        <f>'Tourism Medium DB-LCU'!Q91*Home!L$5</f>
        <v>-3832.3835758941932</v>
      </c>
      <c r="Q92" s="32">
        <f t="shared" si="6"/>
        <v>-0.1401220977536034</v>
      </c>
      <c r="R92" s="32">
        <f t="shared" si="7"/>
        <v>0.60993362686199548</v>
      </c>
      <c r="X92" s="1">
        <v>1</v>
      </c>
      <c r="Y92" s="402" t="s">
        <v>511</v>
      </c>
    </row>
    <row r="93" spans="1:25" ht="15" customHeight="1">
      <c r="A93" s="4" t="str">
        <f>'Tourism Medium DB-LCU'!A92</f>
        <v>Hungary</v>
      </c>
      <c r="B93" s="4" t="str">
        <f>'Tourism Medium DB-LCU'!B92</f>
        <v>Tourism Spend Factors</v>
      </c>
      <c r="C93" s="2" t="str">
        <f>'Tourism Medium DB-LCU'!C92</f>
        <v>Total National Tourism Expenditure by Sector</v>
      </c>
      <c r="D93" s="4"/>
      <c r="E93" s="4"/>
      <c r="F93" s="4" t="s">
        <v>277</v>
      </c>
      <c r="G93" s="406">
        <f>'Tourism Medium DB-LCU'!H92*Home!C$5</f>
        <v>17372.90297092836</v>
      </c>
      <c r="H93" s="406">
        <f>'Tourism Medium DB-LCU'!I92*Home!D$5</f>
        <v>14233.960380531249</v>
      </c>
      <c r="I93" s="406">
        <f>'Tourism Medium DB-LCU'!J92*Home!E$5</f>
        <v>15931.857545883568</v>
      </c>
      <c r="J93" s="406">
        <f>'Tourism Medium DB-LCU'!K92*Home!F$5</f>
        <v>18396.785083683568</v>
      </c>
      <c r="K93" s="406">
        <f>'Tourism Medium DB-LCU'!L92*Home!G$5</f>
        <v>18346.3010778479</v>
      </c>
      <c r="L93" s="103">
        <f>'Tourism Medium DB-LCU'!M92*Home!H$5</f>
        <v>17466.254657855636</v>
      </c>
      <c r="M93" s="103">
        <f>'Tourism Medium DB-LCU'!N92*Home!I$5</f>
        <v>17838.608585751052</v>
      </c>
      <c r="N93" s="103">
        <f>'Tourism Medium DB-LCU'!O92*Home!J$5</f>
        <v>19198.614973312793</v>
      </c>
      <c r="O93" s="103">
        <f>'Tourism Medium DB-LCU'!P92*Home!K$5</f>
        <v>22247.322813740946</v>
      </c>
      <c r="P93" s="103">
        <f>'Tourism Medium DB-LCU'!Q92*Home!L$5</f>
        <v>25016.85903352491</v>
      </c>
      <c r="Q93" s="32">
        <f t="shared" si="6"/>
        <v>1.3722370723183053E-2</v>
      </c>
      <c r="R93" s="32">
        <f t="shared" si="7"/>
        <v>6.3988301658864488E-2</v>
      </c>
      <c r="X93" s="1">
        <v>1</v>
      </c>
      <c r="Y93" s="402" t="s">
        <v>508</v>
      </c>
    </row>
    <row r="94" spans="1:25" ht="15" customHeight="1">
      <c r="A94" s="4" t="str">
        <f>'Tourism Medium DB-LCU'!A93</f>
        <v>Hungary</v>
      </c>
      <c r="B94" s="4" t="str">
        <f>'Tourism Medium DB-LCU'!B93</f>
        <v>Tourism Spend Factors</v>
      </c>
      <c r="C94" s="4" t="str">
        <f>'Tourism Medium DB-LCU'!C93</f>
        <v>Total National Tourism Expenditure by Sector</v>
      </c>
      <c r="D94" s="2" t="str">
        <f>'Tourism Medium DB-LCU'!D93</f>
        <v>Accommodation</v>
      </c>
      <c r="E94" s="4"/>
      <c r="F94" s="4" t="s">
        <v>277</v>
      </c>
      <c r="G94" s="68">
        <f>'Tourism Medium DB-LCU'!H93*Home!C$5</f>
        <v>5126.0864140202075</v>
      </c>
      <c r="H94" s="68">
        <f>'Tourism Medium DB-LCU'!I93*Home!D$5</f>
        <v>4152.6994049106652</v>
      </c>
      <c r="I94" s="68">
        <f>'Tourism Medium DB-LCU'!J93*Home!E$5</f>
        <v>4658.7475990282783</v>
      </c>
      <c r="J94" s="68">
        <f>'Tourism Medium DB-LCU'!K93*Home!F$5</f>
        <v>5355.9039565731064</v>
      </c>
      <c r="K94" s="68">
        <f>'Tourism Medium DB-LCU'!L93*Home!G$5</f>
        <v>5366.6529338559831</v>
      </c>
      <c r="L94" s="60">
        <f>'Tourism Medium DB-LCU'!M93*Home!H$5</f>
        <v>5065.8705730644178</v>
      </c>
      <c r="M94" s="60">
        <f>'Tourism Medium DB-LCU'!N93*Home!I$5</f>
        <v>5169.3982190702873</v>
      </c>
      <c r="N94" s="60">
        <f>'Tourism Medium DB-LCU'!O93*Home!J$5</f>
        <v>5544.6991836594107</v>
      </c>
      <c r="O94" s="60">
        <f>'Tourism Medium DB-LCU'!P93*Home!K$5</f>
        <v>6421.856204349996</v>
      </c>
      <c r="P94" s="60">
        <f>'Tourism Medium DB-LCU'!Q93*Home!L$5</f>
        <v>7196.2544625759574</v>
      </c>
      <c r="Q94" s="32">
        <f t="shared" si="6"/>
        <v>1.1531465251476858E-2</v>
      </c>
      <c r="R94" s="32">
        <f t="shared" si="7"/>
        <v>6.0426568773395362E-2</v>
      </c>
      <c r="X94" s="1">
        <v>1</v>
      </c>
      <c r="Y94" s="402" t="s">
        <v>508</v>
      </c>
    </row>
    <row r="95" spans="1:25" ht="15" customHeight="1">
      <c r="A95" s="4" t="str">
        <f>'Tourism Medium DB-LCU'!A94</f>
        <v>Hungary</v>
      </c>
      <c r="B95" s="4" t="str">
        <f>'Tourism Medium DB-LCU'!B94</f>
        <v>Tourism Spend Factors</v>
      </c>
      <c r="C95" s="4" t="str">
        <f>'Tourism Medium DB-LCU'!C94</f>
        <v>Total National Tourism Expenditure by Sector</v>
      </c>
      <c r="D95" s="2" t="str">
        <f>'Tourism Medium DB-LCU'!D94</f>
        <v>Entertainment &amp; Sightseeing</v>
      </c>
      <c r="E95" s="4"/>
      <c r="F95" s="4" t="s">
        <v>277</v>
      </c>
      <c r="G95" s="68">
        <f>'Tourism Medium DB-LCU'!H94*Home!C$5</f>
        <v>1135.3195940046405</v>
      </c>
      <c r="H95" s="68">
        <f>'Tourism Medium DB-LCU'!I94*Home!D$5</f>
        <v>934.19373038475806</v>
      </c>
      <c r="I95" s="68">
        <f>'Tourism Medium DB-LCU'!J94*Home!E$5</f>
        <v>1049.4273497105642</v>
      </c>
      <c r="J95" s="68">
        <f>'Tourism Medium DB-LCU'!K94*Home!F$5</f>
        <v>1197.3275176042509</v>
      </c>
      <c r="K95" s="68">
        <f>'Tourism Medium DB-LCU'!L94*Home!G$5</f>
        <v>1190.0626252669911</v>
      </c>
      <c r="L95" s="60">
        <f>'Tourism Medium DB-LCU'!M94*Home!H$5</f>
        <v>1129.5025657906749</v>
      </c>
      <c r="M95" s="60">
        <f>'Tourism Medium DB-LCU'!N94*Home!I$5</f>
        <v>1148.8753651513739</v>
      </c>
      <c r="N95" s="60">
        <f>'Tourism Medium DB-LCU'!O94*Home!J$5</f>
        <v>1229.7862170392186</v>
      </c>
      <c r="O95" s="60">
        <f>'Tourism Medium DB-LCU'!P94*Home!K$5</f>
        <v>1428.1947826264195</v>
      </c>
      <c r="P95" s="60">
        <f>'Tourism Medium DB-LCU'!Q94*Home!L$5</f>
        <v>1606.554275242265</v>
      </c>
      <c r="Q95" s="32">
        <f t="shared" si="6"/>
        <v>1.184250878451043E-2</v>
      </c>
      <c r="R95" s="32">
        <f t="shared" si="7"/>
        <v>6.1854757573195807E-2</v>
      </c>
      <c r="X95" s="1">
        <v>1</v>
      </c>
      <c r="Y95" s="402" t="s">
        <v>508</v>
      </c>
    </row>
    <row r="96" spans="1:25" ht="15" customHeight="1">
      <c r="A96" s="4" t="str">
        <f>'Tourism Medium DB-LCU'!A95</f>
        <v>Hungary</v>
      </c>
      <c r="B96" s="4" t="str">
        <f>'Tourism Medium DB-LCU'!B95</f>
        <v>Tourism Spend Factors</v>
      </c>
      <c r="C96" s="4" t="str">
        <f>'Tourism Medium DB-LCU'!C95</f>
        <v>Total National Tourism Expenditure by Sector</v>
      </c>
      <c r="D96" s="2" t="str">
        <f>'Tourism Medium DB-LCU'!D95</f>
        <v>Foodservice</v>
      </c>
      <c r="E96" s="4"/>
      <c r="F96" s="4" t="s">
        <v>277</v>
      </c>
      <c r="G96" s="68">
        <f>'Tourism Medium DB-LCU'!H95*Home!C$5</f>
        <v>3152.0062512863551</v>
      </c>
      <c r="H96" s="68">
        <f>'Tourism Medium DB-LCU'!I95*Home!D$5</f>
        <v>2570.3114458541245</v>
      </c>
      <c r="I96" s="68">
        <f>'Tourism Medium DB-LCU'!J95*Home!E$5</f>
        <v>2884.296151618757</v>
      </c>
      <c r="J96" s="68">
        <f>'Tourism Medium DB-LCU'!K95*Home!F$5</f>
        <v>3289.2790385746384</v>
      </c>
      <c r="K96" s="68">
        <f>'Tourism Medium DB-LCU'!L95*Home!G$5</f>
        <v>3278.1313985601796</v>
      </c>
      <c r="L96" s="60">
        <f>'Tourism Medium DB-LCU'!M95*Home!H$5</f>
        <v>3098.2232066147453</v>
      </c>
      <c r="M96" s="60">
        <f>'Tourism Medium DB-LCU'!N95*Home!I$5</f>
        <v>3144.7931161048687</v>
      </c>
      <c r="N96" s="60">
        <f>'Tourism Medium DB-LCU'!O95*Home!J$5</f>
        <v>3374.4723562465783</v>
      </c>
      <c r="O96" s="60">
        <f>'Tourism Medium DB-LCU'!P95*Home!K$5</f>
        <v>3898.6106870282219</v>
      </c>
      <c r="P96" s="60">
        <f>'Tourism Medium DB-LCU'!Q95*Home!L$5</f>
        <v>4352.273411167741</v>
      </c>
      <c r="Q96" s="32">
        <f t="shared" si="6"/>
        <v>9.8568643116050403E-3</v>
      </c>
      <c r="R96" s="32">
        <f t="shared" si="7"/>
        <v>5.8322337086546883E-2</v>
      </c>
      <c r="X96" s="1">
        <v>1</v>
      </c>
      <c r="Y96" s="402" t="s">
        <v>508</v>
      </c>
    </row>
    <row r="97" spans="1:25" ht="15" customHeight="1">
      <c r="A97" s="4" t="str">
        <f>'Tourism Medium DB-LCU'!A96</f>
        <v>Hungary</v>
      </c>
      <c r="B97" s="4" t="str">
        <f>'Tourism Medium DB-LCU'!B96</f>
        <v>Tourism Spend Factors</v>
      </c>
      <c r="C97" s="4" t="str">
        <f>'Tourism Medium DB-LCU'!C96</f>
        <v>Total National Tourism Expenditure by Sector</v>
      </c>
      <c r="D97" s="2" t="str">
        <f>'Tourism Medium DB-LCU'!D96</f>
        <v>Retail</v>
      </c>
      <c r="E97" s="4"/>
      <c r="F97" s="4" t="s">
        <v>277</v>
      </c>
      <c r="G97" s="68">
        <f>'Tourism Medium DB-LCU'!H96*Home!C$5</f>
        <v>2582.7564535096926</v>
      </c>
      <c r="H97" s="68">
        <f>'Tourism Medium DB-LCU'!I96*Home!D$5</f>
        <v>2133.8513961092995</v>
      </c>
      <c r="I97" s="68">
        <f>'Tourism Medium DB-LCU'!J96*Home!E$5</f>
        <v>2398.0865553318486</v>
      </c>
      <c r="J97" s="68">
        <f>'Tourism Medium DB-LCU'!K96*Home!F$5</f>
        <v>2754.4817419662245</v>
      </c>
      <c r="K97" s="68">
        <f>'Tourism Medium DB-LCU'!L96*Home!G$5</f>
        <v>2765.669856499846</v>
      </c>
      <c r="L97" s="60">
        <f>'Tourism Medium DB-LCU'!M96*Home!H$5</f>
        <v>2668.7445462056298</v>
      </c>
      <c r="M97" s="60">
        <f>'Tourism Medium DB-LCU'!N96*Home!I$5</f>
        <v>2726.638946519904</v>
      </c>
      <c r="N97" s="60">
        <f>'Tourism Medium DB-LCU'!O96*Home!J$5</f>
        <v>2935.6960723189541</v>
      </c>
      <c r="O97" s="60">
        <f>'Tourism Medium DB-LCU'!P96*Home!K$5</f>
        <v>3425.3879073250559</v>
      </c>
      <c r="P97" s="60">
        <f>'Tourism Medium DB-LCU'!Q96*Home!L$5</f>
        <v>3870.3414675293643</v>
      </c>
      <c r="Q97" s="32">
        <f t="shared" si="6"/>
        <v>1.7253564282920353E-2</v>
      </c>
      <c r="R97" s="32">
        <f t="shared" si="7"/>
        <v>6.9522164883358162E-2</v>
      </c>
      <c r="X97" s="1">
        <v>1</v>
      </c>
      <c r="Y97" s="402" t="s">
        <v>508</v>
      </c>
    </row>
    <row r="98" spans="1:25" ht="15" customHeight="1">
      <c r="A98" s="4" t="str">
        <f>'Tourism Medium DB-LCU'!A97</f>
        <v>Hungary</v>
      </c>
      <c r="B98" s="4" t="str">
        <f>'Tourism Medium DB-LCU'!B97</f>
        <v>Tourism Spend Factors</v>
      </c>
      <c r="C98" s="4" t="str">
        <f>'Tourism Medium DB-LCU'!C97</f>
        <v>Total National Tourism Expenditure by Sector</v>
      </c>
      <c r="D98" s="2" t="str">
        <f>'Tourism Medium DB-LCU'!D97</f>
        <v>Transportation</v>
      </c>
      <c r="E98" s="4"/>
      <c r="F98" s="4" t="s">
        <v>277</v>
      </c>
      <c r="G98" s="68">
        <f>'Tourism Medium DB-LCU'!H97*Home!C$5</f>
        <v>1823.061024610364</v>
      </c>
      <c r="H98" s="68">
        <f>'Tourism Medium DB-LCU'!I97*Home!D$5</f>
        <v>1567.7735438734246</v>
      </c>
      <c r="I98" s="68">
        <f>'Tourism Medium DB-LCU'!J97*Home!E$5</f>
        <v>1712.7845067457497</v>
      </c>
      <c r="J98" s="68">
        <f>'Tourism Medium DB-LCU'!K97*Home!F$5</f>
        <v>2071.2092023183086</v>
      </c>
      <c r="K98" s="68">
        <f>'Tourism Medium DB-LCU'!L97*Home!G$5</f>
        <v>2042.0296334433367</v>
      </c>
      <c r="L98" s="60">
        <f>'Tourism Medium DB-LCU'!M97*Home!H$5</f>
        <v>1999.5391067760413</v>
      </c>
      <c r="M98" s="60">
        <f>'Tourism Medium DB-LCU'!N97*Home!I$5</f>
        <v>2058.9576680497294</v>
      </c>
      <c r="N98" s="60">
        <f>'Tourism Medium DB-LCU'!O97*Home!J$5</f>
        <v>2240.3653211955084</v>
      </c>
      <c r="O98" s="60">
        <f>'Tourism Medium DB-LCU'!P97*Home!K$5</f>
        <v>2586.5165079302815</v>
      </c>
      <c r="P98" s="60">
        <f>'Tourism Medium DB-LCU'!Q97*Home!L$5</f>
        <v>2952.1024490368313</v>
      </c>
      <c r="Q98" s="32">
        <f t="shared" si="6"/>
        <v>2.8762697324218101E-2</v>
      </c>
      <c r="R98" s="32">
        <f t="shared" si="7"/>
        <v>7.6499610387900097E-2</v>
      </c>
      <c r="X98" s="1">
        <v>1</v>
      </c>
      <c r="Y98" s="402" t="s">
        <v>508</v>
      </c>
    </row>
    <row r="99" spans="1:25" ht="15" customHeight="1">
      <c r="A99" s="4" t="str">
        <f>'Tourism Medium DB-LCU'!A98</f>
        <v>Hungary</v>
      </c>
      <c r="B99" s="4" t="str">
        <f>'Tourism Medium DB-LCU'!B98</f>
        <v>Tourism Spend Factors</v>
      </c>
      <c r="C99" s="4" t="str">
        <f>'Tourism Medium DB-LCU'!C98</f>
        <v>Total National Tourism Expenditure by Sector</v>
      </c>
      <c r="D99" s="2" t="str">
        <f>'Tourism Medium DB-LCU'!D98</f>
        <v>Travel Intermediation</v>
      </c>
      <c r="E99" s="4"/>
      <c r="F99" s="4" t="s">
        <v>277</v>
      </c>
      <c r="G99" s="68">
        <f>'Tourism Medium DB-LCU'!H98*Home!C$5</f>
        <v>2504.7740165494565</v>
      </c>
      <c r="H99" s="68">
        <f>'Tourism Medium DB-LCU'!I98*Home!D$5</f>
        <v>2028.314689653728</v>
      </c>
      <c r="I99" s="68">
        <f>'Tourism Medium DB-LCU'!J98*Home!E$5</f>
        <v>2299.8343529281092</v>
      </c>
      <c r="J99" s="68">
        <f>'Tourism Medium DB-LCU'!K98*Home!F$5</f>
        <v>2640.4369437906371</v>
      </c>
      <c r="K99" s="68">
        <f>'Tourism Medium DB-LCU'!L98*Home!G$5</f>
        <v>2632.3696900658047</v>
      </c>
      <c r="L99" s="60">
        <f>'Tourism Medium DB-LCU'!M98*Home!H$5</f>
        <v>2483.884811909536</v>
      </c>
      <c r="M99" s="60">
        <f>'Tourism Medium DB-LCU'!N98*Home!I$5</f>
        <v>2539.5567463117941</v>
      </c>
      <c r="N99" s="60">
        <f>'Tourism Medium DB-LCU'!O98*Home!J$5</f>
        <v>2729.1321041301671</v>
      </c>
      <c r="O99" s="60">
        <f>'Tourism Medium DB-LCU'!P98*Home!K$5</f>
        <v>3184.7780406876914</v>
      </c>
      <c r="P99" s="60">
        <f>'Tourism Medium DB-LCU'!Q98*Home!L$5</f>
        <v>3570.4876937166619</v>
      </c>
      <c r="Q99" s="32">
        <f t="shared" si="6"/>
        <v>1.2498953542215752E-2</v>
      </c>
      <c r="R99" s="32">
        <f t="shared" si="7"/>
        <v>6.2860168400416638E-2</v>
      </c>
      <c r="X99" s="1">
        <v>1</v>
      </c>
      <c r="Y99" s="402" t="s">
        <v>508</v>
      </c>
    </row>
    <row r="100" spans="1:25" ht="15" customHeight="1">
      <c r="A100" s="4" t="str">
        <f>'Tourism Medium DB-LCU'!A99</f>
        <v>Hungary</v>
      </c>
      <c r="B100" s="4" t="str">
        <f>'Tourism Medium DB-LCU'!B99</f>
        <v>Tourism Spend Factors</v>
      </c>
      <c r="C100" s="4" t="str">
        <f>'Tourism Medium DB-LCU'!C99</f>
        <v>Total National Tourism Expenditure by Sector</v>
      </c>
      <c r="D100" s="2" t="str">
        <f>'Tourism Medium DB-LCU'!D99</f>
        <v>Other Sectors</v>
      </c>
      <c r="E100" s="4"/>
      <c r="F100" s="4" t="s">
        <v>277</v>
      </c>
      <c r="G100" s="68">
        <f>'Tourism Medium DB-LCU'!H99*Home!C$5</f>
        <v>1048.8992169476442</v>
      </c>
      <c r="H100" s="68">
        <f>'Tourism Medium DB-LCU'!I99*Home!D$5</f>
        <v>846.81616974524866</v>
      </c>
      <c r="I100" s="68">
        <f>'Tourism Medium DB-LCU'!J99*Home!E$5</f>
        <v>928.68103052026129</v>
      </c>
      <c r="J100" s="68">
        <f>'Tourism Medium DB-LCU'!K99*Home!F$5</f>
        <v>1088.1466828564039</v>
      </c>
      <c r="K100" s="68">
        <f>'Tourism Medium DB-LCU'!L99*Home!G$5</f>
        <v>1071.3849401557623</v>
      </c>
      <c r="L100" s="60">
        <f>'Tourism Medium DB-LCU'!M99*Home!H$5</f>
        <v>1020.4898474945861</v>
      </c>
      <c r="M100" s="60">
        <f>'Tourism Medium DB-LCU'!N99*Home!I$5</f>
        <v>1050.3885245430954</v>
      </c>
      <c r="N100" s="60">
        <f>'Tourism Medium DB-LCU'!O99*Home!J$5</f>
        <v>1144.4637187229534</v>
      </c>
      <c r="O100" s="60">
        <f>'Tourism Medium DB-LCU'!P99*Home!K$5</f>
        <v>1301.9786837932791</v>
      </c>
      <c r="P100" s="60">
        <f>'Tourism Medium DB-LCU'!Q99*Home!L$5</f>
        <v>1468.8452742560969</v>
      </c>
      <c r="Q100" s="32">
        <f t="shared" si="6"/>
        <v>5.316809002982037E-3</v>
      </c>
      <c r="R100" s="32">
        <f t="shared" si="7"/>
        <v>6.5138548565372822E-2</v>
      </c>
      <c r="X100" s="1">
        <v>1</v>
      </c>
      <c r="Y100" s="402" t="s">
        <v>508</v>
      </c>
    </row>
    <row r="101" spans="1:25" ht="15" customHeight="1">
      <c r="A101" s="4" t="str">
        <f>'Tourism Medium DB-LCU'!A100</f>
        <v>Hungary</v>
      </c>
      <c r="B101" s="4" t="str">
        <f>'Tourism Medium DB-LCU'!B100</f>
        <v>Tourism Spend Factors</v>
      </c>
      <c r="C101" s="2" t="str">
        <f>'Tourism Medium DB-LCU'!C100</f>
        <v>Average Expenditure per Domestic Tourist by Sector</v>
      </c>
      <c r="D101" s="4"/>
      <c r="E101" s="4"/>
      <c r="F101" s="4" t="s">
        <v>454</v>
      </c>
      <c r="G101" s="406">
        <f>'Tourism Medium DB-LCU'!H100*Home!C$5</f>
        <v>42.693825516240949</v>
      </c>
      <c r="H101" s="406">
        <f>'Tourism Medium DB-LCU'!I100*Home!D$5</f>
        <v>46.83123935097192</v>
      </c>
      <c r="I101" s="406">
        <f>'Tourism Medium DB-LCU'!J100*Home!E$5</f>
        <v>44.251540040311774</v>
      </c>
      <c r="J101" s="406">
        <f>'Tourism Medium DB-LCU'!K100*Home!F$5</f>
        <v>45.090010883798541</v>
      </c>
      <c r="K101" s="406">
        <f>'Tourism Medium DB-LCU'!L100*Home!G$5</f>
        <v>44.814256564886747</v>
      </c>
      <c r="L101" s="103">
        <f>'Tourism Medium DB-LCU'!M100*Home!H$5</f>
        <v>48.36189011221321</v>
      </c>
      <c r="M101" s="103">
        <f>'Tourism Medium DB-LCU'!N100*Home!I$5</f>
        <v>48.171248397382534</v>
      </c>
      <c r="N101" s="103">
        <f>'Tourism Medium DB-LCU'!O100*Home!J$5</f>
        <v>50.005651962122819</v>
      </c>
      <c r="O101" s="103">
        <f>'Tourism Medium DB-LCU'!P100*Home!K$5</f>
        <v>52.820693754461516</v>
      </c>
      <c r="P101" s="103">
        <f>'Tourism Medium DB-LCU'!Q100*Home!L$5</f>
        <v>54.363739445562523</v>
      </c>
      <c r="Q101" s="32">
        <f t="shared" si="6"/>
        <v>1.2191722316739817E-2</v>
      </c>
      <c r="R101" s="32">
        <f t="shared" si="7"/>
        <v>3.9390217972611996E-2</v>
      </c>
      <c r="X101" s="1">
        <v>1</v>
      </c>
      <c r="Y101" s="402" t="s">
        <v>512</v>
      </c>
    </row>
    <row r="102" spans="1:25" ht="15" customHeight="1">
      <c r="A102" s="4" t="str">
        <f>'Tourism Medium DB-LCU'!A101</f>
        <v>Hungary</v>
      </c>
      <c r="B102" s="4" t="str">
        <f>'Tourism Medium DB-LCU'!B101</f>
        <v>Tourism Spend Factors</v>
      </c>
      <c r="C102" s="4" t="str">
        <f>'Tourism Medium DB-LCU'!C101</f>
        <v>Average Expenditure per Domestic Tourist by Sector</v>
      </c>
      <c r="D102" s="2" t="str">
        <f>'Tourism Medium DB-LCU'!D101</f>
        <v>Accommodation</v>
      </c>
      <c r="E102" s="4"/>
      <c r="F102" s="4" t="s">
        <v>454</v>
      </c>
      <c r="G102" s="68">
        <f>'Tourism Medium DB-LCU'!H101*Home!C$5</f>
        <v>4.0792314723771552</v>
      </c>
      <c r="H102" s="68">
        <f>'Tourism Medium DB-LCU'!I101*Home!D$5</f>
        <v>4.4534317307062752</v>
      </c>
      <c r="I102" s="68">
        <f>'Tourism Medium DB-LCU'!J101*Home!E$5</f>
        <v>4.1830992631789554</v>
      </c>
      <c r="J102" s="68">
        <f>'Tourism Medium DB-LCU'!K101*Home!F$5</f>
        <v>4.2495983777423181</v>
      </c>
      <c r="K102" s="68">
        <f>'Tourism Medium DB-LCU'!L101*Home!G$5</f>
        <v>4.1982677035436602</v>
      </c>
      <c r="L102" s="60">
        <f>'Tourism Medium DB-LCU'!M101*Home!H$5</f>
        <v>4.479318624207707</v>
      </c>
      <c r="M102" s="60">
        <f>'Tourism Medium DB-LCU'!N101*Home!I$5</f>
        <v>4.4511867123313662</v>
      </c>
      <c r="N102" s="60">
        <f>'Tourism Medium DB-LCU'!O101*Home!J$5</f>
        <v>4.6298134294552673</v>
      </c>
      <c r="O102" s="60">
        <f>'Tourism Medium DB-LCU'!P101*Home!K$5</f>
        <v>4.8663517505920799</v>
      </c>
      <c r="P102" s="60">
        <f>'Tourism Medium DB-LCU'!Q101*Home!L$5</f>
        <v>4.9820153135229086</v>
      </c>
      <c r="Q102" s="32">
        <f t="shared" si="6"/>
        <v>7.2167618658831589E-3</v>
      </c>
      <c r="R102" s="32">
        <f t="shared" si="7"/>
        <v>3.482517601467805E-2</v>
      </c>
      <c r="X102" s="1">
        <v>1</v>
      </c>
      <c r="Y102" s="402" t="s">
        <v>512</v>
      </c>
    </row>
    <row r="103" spans="1:25" ht="15" customHeight="1">
      <c r="A103" s="4" t="str">
        <f>'Tourism Medium DB-LCU'!A102</f>
        <v>Hungary</v>
      </c>
      <c r="B103" s="4" t="str">
        <f>'Tourism Medium DB-LCU'!B102</f>
        <v>Tourism Spend Factors</v>
      </c>
      <c r="C103" s="4" t="str">
        <f>'Tourism Medium DB-LCU'!C102</f>
        <v>Average Expenditure per Domestic Tourist by Sector</v>
      </c>
      <c r="D103" s="2" t="str">
        <f>'Tourism Medium DB-LCU'!D102</f>
        <v>Entertainment &amp; Sightseeing</v>
      </c>
      <c r="E103" s="4"/>
      <c r="F103" s="4" t="s">
        <v>454</v>
      </c>
      <c r="G103" s="68">
        <f>'Tourism Medium DB-LCU'!H102*Home!C$5</f>
        <v>2.0877934959537825</v>
      </c>
      <c r="H103" s="68">
        <f>'Tourism Medium DB-LCU'!I102*Home!D$5</f>
        <v>2.2942463591801192</v>
      </c>
      <c r="I103" s="68">
        <f>'Tourism Medium DB-LCU'!J102*Home!E$5</f>
        <v>2.1623582762189204</v>
      </c>
      <c r="J103" s="68">
        <f>'Tourism Medium DB-LCU'!K102*Home!F$5</f>
        <v>2.2095779477261686</v>
      </c>
      <c r="K103" s="68">
        <f>'Tourism Medium DB-LCU'!L102*Home!G$5</f>
        <v>2.2026531571397601</v>
      </c>
      <c r="L103" s="60">
        <f>'Tourism Medium DB-LCU'!M102*Home!H$5</f>
        <v>2.3800939903002489</v>
      </c>
      <c r="M103" s="60">
        <f>'Tourism Medium DB-LCU'!N102*Home!I$5</f>
        <v>2.3686959794858407</v>
      </c>
      <c r="N103" s="60">
        <f>'Tourism Medium DB-LCU'!O102*Home!J$5</f>
        <v>2.4440898102050843</v>
      </c>
      <c r="O103" s="60">
        <f>'Tourism Medium DB-LCU'!P102*Home!K$5</f>
        <v>2.583727653073038</v>
      </c>
      <c r="P103" s="60">
        <f>'Tourism Medium DB-LCU'!Q102*Home!L$5</f>
        <v>2.6615560416772288</v>
      </c>
      <c r="Q103" s="32">
        <f t="shared" si="6"/>
        <v>1.3478742543909794E-2</v>
      </c>
      <c r="R103" s="32">
        <f t="shared" si="7"/>
        <v>3.8575084995750242E-2</v>
      </c>
      <c r="X103" s="1">
        <v>1</v>
      </c>
      <c r="Y103" s="402" t="s">
        <v>512</v>
      </c>
    </row>
    <row r="104" spans="1:25" ht="15" customHeight="1">
      <c r="A104" s="4" t="str">
        <f>'Tourism Medium DB-LCU'!A103</f>
        <v>Hungary</v>
      </c>
      <c r="B104" s="4" t="str">
        <f>'Tourism Medium DB-LCU'!B103</f>
        <v>Tourism Spend Factors</v>
      </c>
      <c r="C104" s="4" t="str">
        <f>'Tourism Medium DB-LCU'!C103</f>
        <v>Average Expenditure per Domestic Tourist by Sector</v>
      </c>
      <c r="D104" s="2" t="str">
        <f>'Tourism Medium DB-LCU'!D103</f>
        <v>Foodservice</v>
      </c>
      <c r="E104" s="4"/>
      <c r="F104" s="4" t="s">
        <v>454</v>
      </c>
      <c r="G104" s="68">
        <f>'Tourism Medium DB-LCU'!H103*Home!C$5</f>
        <v>6.8218105385772771</v>
      </c>
      <c r="H104" s="68">
        <f>'Tourism Medium DB-LCU'!I103*Home!D$5</f>
        <v>7.5072416404479005</v>
      </c>
      <c r="I104" s="68">
        <f>'Tourism Medium DB-LCU'!J103*Home!E$5</f>
        <v>7.1072377627316792</v>
      </c>
      <c r="J104" s="68">
        <f>'Tourism Medium DB-LCU'!K103*Home!F$5</f>
        <v>7.2110295744521844</v>
      </c>
      <c r="K104" s="68">
        <f>'Tourism Medium DB-LCU'!L103*Home!G$5</f>
        <v>7.2385988014526532</v>
      </c>
      <c r="L104" s="60">
        <f>'Tourism Medium DB-LCU'!M103*Home!H$5</f>
        <v>7.7986860358164503</v>
      </c>
      <c r="M104" s="60">
        <f>'Tourism Medium DB-LCU'!N103*Home!I$5</f>
        <v>7.7401230933653435</v>
      </c>
      <c r="N104" s="60">
        <f>'Tourism Medium DB-LCU'!O103*Home!J$5</f>
        <v>8.1021363733700813</v>
      </c>
      <c r="O104" s="60">
        <f>'Tourism Medium DB-LCU'!P103*Home!K$5</f>
        <v>8.6143352856254385</v>
      </c>
      <c r="P104" s="60">
        <f>'Tourism Medium DB-LCU'!Q103*Home!L$5</f>
        <v>8.8569484030328152</v>
      </c>
      <c r="Q104" s="32">
        <f t="shared" si="6"/>
        <v>1.49361307222724E-2</v>
      </c>
      <c r="R104" s="32">
        <f t="shared" si="7"/>
        <v>4.1180250415192798E-2</v>
      </c>
      <c r="X104" s="1">
        <v>1</v>
      </c>
      <c r="Y104" s="402" t="s">
        <v>512</v>
      </c>
    </row>
    <row r="105" spans="1:25" ht="15" customHeight="1">
      <c r="A105" s="4" t="str">
        <f>'Tourism Medium DB-LCU'!A104</f>
        <v>Hungary</v>
      </c>
      <c r="B105" s="4" t="str">
        <f>'Tourism Medium DB-LCU'!B104</f>
        <v>Tourism Spend Factors</v>
      </c>
      <c r="C105" s="4" t="str">
        <f>'Tourism Medium DB-LCU'!C104</f>
        <v>Average Expenditure per Domestic Tourist by Sector</v>
      </c>
      <c r="D105" s="2" t="str">
        <f>'Tourism Medium DB-LCU'!D104</f>
        <v>Retail</v>
      </c>
      <c r="E105" s="4"/>
      <c r="F105" s="4" t="s">
        <v>454</v>
      </c>
      <c r="G105" s="68">
        <f>'Tourism Medium DB-LCU'!H104*Home!C$5</f>
        <v>7.2363111912965996</v>
      </c>
      <c r="H105" s="68">
        <f>'Tourism Medium DB-LCU'!I104*Home!D$5</f>
        <v>7.9027592446031036</v>
      </c>
      <c r="I105" s="68">
        <f>'Tourism Medium DB-LCU'!J104*Home!E$5</f>
        <v>7.4599532982159245</v>
      </c>
      <c r="J105" s="68">
        <f>'Tourism Medium DB-LCU'!K104*Home!F$5</f>
        <v>7.5557409991199584</v>
      </c>
      <c r="K105" s="68">
        <f>'Tourism Medium DB-LCU'!L104*Home!G$5</f>
        <v>7.4870042013380571</v>
      </c>
      <c r="L105" s="60">
        <f>'Tourism Medium DB-LCU'!M104*Home!H$5</f>
        <v>8.0718412374667032</v>
      </c>
      <c r="M105" s="60">
        <f>'Tourism Medium DB-LCU'!N104*Home!I$5</f>
        <v>8.0726751449820888</v>
      </c>
      <c r="N105" s="60">
        <f>'Tourism Medium DB-LCU'!O104*Home!J$5</f>
        <v>8.3889846467506501</v>
      </c>
      <c r="O105" s="60">
        <f>'Tourism Medium DB-LCU'!P104*Home!K$5</f>
        <v>8.8214166493814545</v>
      </c>
      <c r="P105" s="60">
        <f>'Tourism Medium DB-LCU'!Q104*Home!L$5</f>
        <v>9.1045903394411312</v>
      </c>
      <c r="Q105" s="32">
        <f t="shared" si="6"/>
        <v>8.550642634857164E-3</v>
      </c>
      <c r="R105" s="32">
        <f t="shared" si="7"/>
        <v>3.9897338155820528E-2</v>
      </c>
      <c r="X105" s="1">
        <v>1</v>
      </c>
      <c r="Y105" s="402" t="s">
        <v>512</v>
      </c>
    </row>
    <row r="106" spans="1:25" ht="15" customHeight="1">
      <c r="A106" s="4" t="str">
        <f>'Tourism Medium DB-LCU'!A105</f>
        <v>Hungary</v>
      </c>
      <c r="B106" s="4" t="str">
        <f>'Tourism Medium DB-LCU'!B105</f>
        <v>Tourism Spend Factors</v>
      </c>
      <c r="C106" s="4" t="str">
        <f>'Tourism Medium DB-LCU'!C105</f>
        <v>Average Expenditure per Domestic Tourist by Sector</v>
      </c>
      <c r="D106" s="2" t="str">
        <f>'Tourism Medium DB-LCU'!D105</f>
        <v>Transportation</v>
      </c>
      <c r="E106" s="4"/>
      <c r="F106" s="4" t="s">
        <v>454</v>
      </c>
      <c r="G106" s="68">
        <f>'Tourism Medium DB-LCU'!H105*Home!C$5</f>
        <v>13.512764289893516</v>
      </c>
      <c r="H106" s="68">
        <f>'Tourism Medium DB-LCU'!I105*Home!D$5</f>
        <v>14.794868845735992</v>
      </c>
      <c r="I106" s="68">
        <f>'Tourism Medium DB-LCU'!J105*Home!E$5</f>
        <v>13.99105062655268</v>
      </c>
      <c r="J106" s="68">
        <f>'Tourism Medium DB-LCU'!K105*Home!F$5</f>
        <v>14.298215846713312</v>
      </c>
      <c r="K106" s="68">
        <f>'Tourism Medium DB-LCU'!L105*Home!G$5</f>
        <v>14.125508453211424</v>
      </c>
      <c r="L106" s="60">
        <f>'Tourism Medium DB-LCU'!M105*Home!H$5</f>
        <v>15.239607284971733</v>
      </c>
      <c r="M106" s="60">
        <f>'Tourism Medium DB-LCU'!N105*Home!I$5</f>
        <v>15.123531852969263</v>
      </c>
      <c r="N106" s="60">
        <f>'Tourism Medium DB-LCU'!O105*Home!J$5</f>
        <v>15.703834055255006</v>
      </c>
      <c r="O106" s="60">
        <f>'Tourism Medium DB-LCU'!P105*Home!K$5</f>
        <v>16.549395230280307</v>
      </c>
      <c r="P106" s="60">
        <f>'Tourism Medium DB-LCU'!Q105*Home!L$5</f>
        <v>17.007676315430519</v>
      </c>
      <c r="Q106" s="32">
        <f t="shared" si="6"/>
        <v>1.1148570092692545E-2</v>
      </c>
      <c r="R106" s="32">
        <f t="shared" si="7"/>
        <v>3.7834679138798011E-2</v>
      </c>
      <c r="X106" s="1">
        <v>1</v>
      </c>
      <c r="Y106" s="402" t="s">
        <v>512</v>
      </c>
    </row>
    <row r="107" spans="1:25" ht="15" customHeight="1">
      <c r="A107" s="4" t="str">
        <f>'Tourism Medium DB-LCU'!A106</f>
        <v>Hungary</v>
      </c>
      <c r="B107" s="4" t="str">
        <f>'Tourism Medium DB-LCU'!B106</f>
        <v>Tourism Spend Factors</v>
      </c>
      <c r="C107" s="4" t="str">
        <f>'Tourism Medium DB-LCU'!C106</f>
        <v>Average Expenditure per Domestic Tourist by Sector</v>
      </c>
      <c r="D107" s="2" t="str">
        <f>'Tourism Medium DB-LCU'!D106</f>
        <v>Travel Intermediation</v>
      </c>
      <c r="E107" s="4"/>
      <c r="F107" s="4" t="s">
        <v>454</v>
      </c>
      <c r="G107" s="68">
        <f>'Tourism Medium DB-LCU'!H106*Home!C$5</f>
        <v>1.340815042827185</v>
      </c>
      <c r="H107" s="68">
        <f>'Tourism Medium DB-LCU'!I106*Home!D$5</f>
        <v>1.4620562554909233</v>
      </c>
      <c r="I107" s="68">
        <f>'Tourism Medium DB-LCU'!J106*Home!E$5</f>
        <v>1.3740921258297067</v>
      </c>
      <c r="J107" s="68">
        <f>'Tourism Medium DB-LCU'!K106*Home!F$5</f>
        <v>1.4113292211611663</v>
      </c>
      <c r="K107" s="68">
        <f>'Tourism Medium DB-LCU'!L106*Home!G$5</f>
        <v>1.4195304147822332</v>
      </c>
      <c r="L107" s="60">
        <f>'Tourism Medium DB-LCU'!M106*Home!H$5</f>
        <v>1.5304187427453393</v>
      </c>
      <c r="M107" s="60">
        <f>'Tourism Medium DB-LCU'!N106*Home!I$5</f>
        <v>1.5454958140568906</v>
      </c>
      <c r="N107" s="60">
        <f>'Tourism Medium DB-LCU'!O106*Home!J$5</f>
        <v>1.5880550805492655</v>
      </c>
      <c r="O107" s="60">
        <f>'Tourism Medium DB-LCU'!P106*Home!K$5</f>
        <v>1.6951844873102369</v>
      </c>
      <c r="P107" s="60">
        <f>'Tourism Medium DB-LCU'!Q106*Home!L$5</f>
        <v>1.75108413414759</v>
      </c>
      <c r="Q107" s="32">
        <f t="shared" si="6"/>
        <v>1.4364302453755862E-2</v>
      </c>
      <c r="R107" s="32">
        <f t="shared" si="7"/>
        <v>4.2875493705772483E-2</v>
      </c>
      <c r="X107" s="1">
        <v>1</v>
      </c>
      <c r="Y107" s="402" t="s">
        <v>512</v>
      </c>
    </row>
    <row r="108" spans="1:25" ht="15" customHeight="1">
      <c r="A108" s="4" t="str">
        <f>'Tourism Medium DB-LCU'!A107</f>
        <v>Hungary</v>
      </c>
      <c r="B108" s="4" t="str">
        <f>'Tourism Medium DB-LCU'!B107</f>
        <v>Tourism Spend Factors</v>
      </c>
      <c r="C108" s="4" t="str">
        <f>'Tourism Medium DB-LCU'!C107</f>
        <v>Average Expenditure per Domestic Tourist by Sector</v>
      </c>
      <c r="D108" s="2" t="str">
        <f>'Tourism Medium DB-LCU'!D107</f>
        <v>Other Sectors</v>
      </c>
      <c r="E108" s="4"/>
      <c r="F108" s="4" t="s">
        <v>454</v>
      </c>
      <c r="G108" s="68">
        <f>'Tourism Medium DB-LCU'!H107*Home!C$5</f>
        <v>7.615099485315425</v>
      </c>
      <c r="H108" s="68">
        <f>'Tourism Medium DB-LCU'!I107*Home!D$5</f>
        <v>8.4166352748076108</v>
      </c>
      <c r="I108" s="68">
        <f>'Tourism Medium DB-LCU'!J107*Home!E$5</f>
        <v>7.9737486875839121</v>
      </c>
      <c r="J108" s="68">
        <f>'Tourism Medium DB-LCU'!K107*Home!F$5</f>
        <v>8.1545189168834273</v>
      </c>
      <c r="K108" s="68">
        <f>'Tourism Medium DB-LCU'!L107*Home!G$5</f>
        <v>8.1426938334189654</v>
      </c>
      <c r="L108" s="60">
        <f>'Tourism Medium DB-LCU'!M107*Home!H$5</f>
        <v>8.8619241967050311</v>
      </c>
      <c r="M108" s="60">
        <f>'Tourism Medium DB-LCU'!N107*Home!I$5</f>
        <v>8.8695398001917525</v>
      </c>
      <c r="N108" s="60">
        <f>'Tourism Medium DB-LCU'!O107*Home!J$5</f>
        <v>9.1487385665374621</v>
      </c>
      <c r="O108" s="60">
        <f>'Tourism Medium DB-LCU'!P107*Home!K$5</f>
        <v>9.6902826981989598</v>
      </c>
      <c r="P108" s="60">
        <f>'Tourism Medium DB-LCU'!Q107*Home!L$5</f>
        <v>9.999868898310325</v>
      </c>
      <c r="Q108" s="32">
        <f t="shared" si="6"/>
        <v>1.688802025725411E-2</v>
      </c>
      <c r="R108" s="32">
        <f t="shared" si="7"/>
        <v>4.194606811141055E-2</v>
      </c>
      <c r="X108" s="1">
        <v>1</v>
      </c>
      <c r="Y108" s="402" t="s">
        <v>512</v>
      </c>
    </row>
    <row r="109" spans="1:25" ht="15" customHeight="1">
      <c r="A109" s="4" t="str">
        <f>'Tourism Medium DB-LCU'!A108</f>
        <v>Hungary</v>
      </c>
      <c r="B109" s="4" t="str">
        <f>'Tourism Medium DB-LCU'!B108</f>
        <v>Tourism Spend Factors</v>
      </c>
      <c r="C109" s="2" t="str">
        <f>'Tourism Medium DB-LCU'!C108</f>
        <v>Average Expenditure per International Tourist by Sector</v>
      </c>
      <c r="D109" s="4"/>
      <c r="E109" s="4"/>
      <c r="F109" s="4" t="s">
        <v>454</v>
      </c>
      <c r="G109" s="406">
        <f>'Tourism Medium DB-LCU'!H108*Home!C$5</f>
        <v>54.34466727928811</v>
      </c>
      <c r="H109" s="406">
        <f>'Tourism Medium DB-LCU'!I108*Home!D$5</f>
        <v>47.506097005576805</v>
      </c>
      <c r="I109" s="406">
        <f>'Tourism Medium DB-LCU'!J108*Home!E$5</f>
        <v>46.46739785626766</v>
      </c>
      <c r="J109" s="406">
        <f>'Tourism Medium DB-LCU'!K108*Home!F$5</f>
        <v>49.341001190931742</v>
      </c>
      <c r="K109" s="406">
        <f>'Tourism Medium DB-LCU'!L108*Home!G$5</f>
        <v>45.616472451038099</v>
      </c>
      <c r="L109" s="103">
        <f>'Tourism Medium DB-LCU'!M108*Home!H$5</f>
        <v>46.591310616387126</v>
      </c>
      <c r="M109" s="103">
        <f>'Tourism Medium DB-LCU'!N108*Home!I$5</f>
        <v>47.670912037683401</v>
      </c>
      <c r="N109" s="103">
        <f>'Tourism Medium DB-LCU'!O108*Home!J$5</f>
        <v>49.967319942324337</v>
      </c>
      <c r="O109" s="103">
        <f>'Tourism Medium DB-LCU'!P108*Home!K$5</f>
        <v>51.710510391400902</v>
      </c>
      <c r="P109" s="103">
        <f>'Tourism Medium DB-LCU'!Q108*Home!L$5</f>
        <v>52.545327413853684</v>
      </c>
      <c r="Q109" s="32">
        <f t="shared" si="6"/>
        <v>-4.2825343825607431E-2</v>
      </c>
      <c r="R109" s="32">
        <f t="shared" si="7"/>
        <v>2.8685174767652866E-2</v>
      </c>
      <c r="X109" s="1">
        <v>1</v>
      </c>
      <c r="Y109" s="402" t="s">
        <v>513</v>
      </c>
    </row>
    <row r="110" spans="1:25" ht="15" customHeight="1">
      <c r="A110" s="4" t="str">
        <f>'Tourism Medium DB-LCU'!A109</f>
        <v>Hungary</v>
      </c>
      <c r="B110" s="4" t="str">
        <f>'Tourism Medium DB-LCU'!B109</f>
        <v>Tourism Spend Factors</v>
      </c>
      <c r="C110" s="4" t="str">
        <f>'Tourism Medium DB-LCU'!C109</f>
        <v>Average Expenditure per International Tourist by Sector</v>
      </c>
      <c r="D110" s="2" t="str">
        <f>'Tourism Medium DB-LCU'!D109</f>
        <v>Accommodation</v>
      </c>
      <c r="E110" s="4"/>
      <c r="F110" s="4" t="s">
        <v>454</v>
      </c>
      <c r="G110" s="68">
        <f>'Tourism Medium DB-LCU'!H109*Home!C$5</f>
        <v>6.9736613929934403</v>
      </c>
      <c r="H110" s="68">
        <f>'Tourism Medium DB-LCU'!I109*Home!D$5</f>
        <v>6.119825244270765</v>
      </c>
      <c r="I110" s="68">
        <f>'Tourism Medium DB-LCU'!J109*Home!E$5</f>
        <v>5.9985898909290398</v>
      </c>
      <c r="J110" s="68">
        <f>'Tourism Medium DB-LCU'!K109*Home!F$5</f>
        <v>6.3822894652178874</v>
      </c>
      <c r="K110" s="68">
        <f>'Tourism Medium DB-LCU'!L109*Home!G$5</f>
        <v>5.8651162195805</v>
      </c>
      <c r="L110" s="60">
        <f>'Tourism Medium DB-LCU'!M109*Home!H$5</f>
        <v>6.0363560837933257</v>
      </c>
      <c r="M110" s="60">
        <f>'Tourism Medium DB-LCU'!N109*Home!I$5</f>
        <v>6.1633799112275263</v>
      </c>
      <c r="N110" s="60">
        <f>'Tourism Medium DB-LCU'!O109*Home!J$5</f>
        <v>6.4418199267761453</v>
      </c>
      <c r="O110" s="60">
        <f>'Tourism Medium DB-LCU'!P109*Home!K$5</f>
        <v>6.6483185990216898</v>
      </c>
      <c r="P110" s="60">
        <f>'Tourism Medium DB-LCU'!Q109*Home!L$5</f>
        <v>6.749111783896379</v>
      </c>
      <c r="Q110" s="32">
        <f t="shared" si="6"/>
        <v>-4.2356331883811049E-2</v>
      </c>
      <c r="R110" s="32">
        <f t="shared" si="7"/>
        <v>2.8475616694634942E-2</v>
      </c>
      <c r="X110" s="1">
        <v>1</v>
      </c>
      <c r="Y110" s="402" t="s">
        <v>513</v>
      </c>
    </row>
    <row r="111" spans="1:25" ht="15" customHeight="1">
      <c r="A111" s="4" t="str">
        <f>'Tourism Medium DB-LCU'!A110</f>
        <v>Hungary</v>
      </c>
      <c r="B111" s="4" t="str">
        <f>'Tourism Medium DB-LCU'!B110</f>
        <v>Tourism Spend Factors</v>
      </c>
      <c r="C111" s="4" t="str">
        <f>'Tourism Medium DB-LCU'!C110</f>
        <v>Average Expenditure per International Tourist by Sector</v>
      </c>
      <c r="D111" s="2" t="str">
        <f>'Tourism Medium DB-LCU'!D110</f>
        <v>Entertainment &amp; Sightseeing</v>
      </c>
      <c r="E111" s="4"/>
      <c r="F111" s="4" t="s">
        <v>454</v>
      </c>
      <c r="G111" s="68">
        <f>'Tourism Medium DB-LCU'!H110*Home!C$5</f>
        <v>1.3102250419425234</v>
      </c>
      <c r="H111" s="68">
        <f>'Tourism Medium DB-LCU'!I110*Home!D$5</f>
        <v>1.1520901844742262</v>
      </c>
      <c r="I111" s="68">
        <f>'Tourism Medium DB-LCU'!J110*Home!E$5</f>
        <v>1.1314385306301347</v>
      </c>
      <c r="J111" s="68">
        <f>'Tourism Medium DB-LCU'!K110*Home!F$5</f>
        <v>1.1989570228588555</v>
      </c>
      <c r="K111" s="68">
        <f>'Tourism Medium DB-LCU'!L110*Home!G$5</f>
        <v>1.11399545259608</v>
      </c>
      <c r="L111" s="60">
        <f>'Tourism Medium DB-LCU'!M110*Home!H$5</f>
        <v>1.1440811527657151</v>
      </c>
      <c r="M111" s="60">
        <f>'Tourism Medium DB-LCU'!N110*Home!I$5</f>
        <v>1.1669697383644255</v>
      </c>
      <c r="N111" s="60">
        <f>'Tourism Medium DB-LCU'!O110*Home!J$5</f>
        <v>1.2262868212987574</v>
      </c>
      <c r="O111" s="60">
        <f>'Tourism Medium DB-LCU'!P110*Home!K$5</f>
        <v>1.2802219731177051</v>
      </c>
      <c r="P111" s="60">
        <f>'Tourism Medium DB-LCU'!Q110*Home!L$5</f>
        <v>1.3056359637141657</v>
      </c>
      <c r="Q111" s="32">
        <f t="shared" ref="Q111:Q142" si="9">(K111/G111)^(1/4)-1</f>
        <v>-3.9749856858058097E-2</v>
      </c>
      <c r="R111" s="32">
        <f t="shared" ref="R111:R142" si="10">(P111/K111)^(1/5)-1</f>
        <v>3.2256763782149367E-2</v>
      </c>
      <c r="X111" s="1">
        <v>1</v>
      </c>
      <c r="Y111" s="402" t="s">
        <v>513</v>
      </c>
    </row>
    <row r="112" spans="1:25" ht="15" customHeight="1">
      <c r="A112" s="4" t="str">
        <f>'Tourism Medium DB-LCU'!A111</f>
        <v>Hungary</v>
      </c>
      <c r="B112" s="4" t="str">
        <f>'Tourism Medium DB-LCU'!B111</f>
        <v>Tourism Spend Factors</v>
      </c>
      <c r="C112" s="4" t="str">
        <f>'Tourism Medium DB-LCU'!C111</f>
        <v>Average Expenditure per International Tourist by Sector</v>
      </c>
      <c r="D112" s="2" t="str">
        <f>'Tourism Medium DB-LCU'!D111</f>
        <v>Foodservice</v>
      </c>
      <c r="E112" s="4"/>
      <c r="F112" s="4" t="s">
        <v>454</v>
      </c>
      <c r="G112" s="68">
        <f>'Tourism Medium DB-LCU'!H111*Home!C$5</f>
        <v>9.6543109142602468</v>
      </c>
      <c r="H112" s="68">
        <f>'Tourism Medium DB-LCU'!I111*Home!D$5</f>
        <v>8.4264747159506896</v>
      </c>
      <c r="I112" s="68">
        <f>'Tourism Medium DB-LCU'!J111*Home!E$5</f>
        <v>8.2988090207822811</v>
      </c>
      <c r="J112" s="68">
        <f>'Tourism Medium DB-LCU'!K111*Home!F$5</f>
        <v>8.7606784052122748</v>
      </c>
      <c r="K112" s="68">
        <f>'Tourism Medium DB-LCU'!L111*Home!G$5</f>
        <v>8.115573213938184</v>
      </c>
      <c r="L112" s="60">
        <f>'Tourism Medium DB-LCU'!M111*Home!H$5</f>
        <v>8.2958333270233187</v>
      </c>
      <c r="M112" s="60">
        <f>'Tourism Medium DB-LCU'!N111*Home!I$5</f>
        <v>8.5274829932682934</v>
      </c>
      <c r="N112" s="60">
        <f>'Tourism Medium DB-LCU'!O111*Home!J$5</f>
        <v>8.8905100490408415</v>
      </c>
      <c r="O112" s="60">
        <f>'Tourism Medium DB-LCU'!P111*Home!K$5</f>
        <v>9.2136299152700989</v>
      </c>
      <c r="P112" s="60">
        <f>'Tourism Medium DB-LCU'!Q111*Home!L$5</f>
        <v>9.3968607168768266</v>
      </c>
      <c r="Q112" s="32">
        <f t="shared" si="9"/>
        <v>-4.2476415512304633E-2</v>
      </c>
      <c r="R112" s="32">
        <f t="shared" si="10"/>
        <v>2.9752174982599744E-2</v>
      </c>
      <c r="X112" s="1">
        <v>1</v>
      </c>
      <c r="Y112" s="402" t="s">
        <v>513</v>
      </c>
    </row>
    <row r="113" spans="1:25" ht="15" customHeight="1">
      <c r="A113" s="4" t="str">
        <f>'Tourism Medium DB-LCU'!A112</f>
        <v>Hungary</v>
      </c>
      <c r="B113" s="4" t="str">
        <f>'Tourism Medium DB-LCU'!B112</f>
        <v>Tourism Spend Factors</v>
      </c>
      <c r="C113" s="4" t="str">
        <f>'Tourism Medium DB-LCU'!C112</f>
        <v>Average Expenditure per International Tourist by Sector</v>
      </c>
      <c r="D113" s="2" t="str">
        <f>'Tourism Medium DB-LCU'!D112</f>
        <v>Retail</v>
      </c>
      <c r="E113" s="4"/>
      <c r="F113" s="4" t="s">
        <v>454</v>
      </c>
      <c r="G113" s="68">
        <f>'Tourism Medium DB-LCU'!H112*Home!C$5</f>
        <v>14.185259219916968</v>
      </c>
      <c r="H113" s="68">
        <f>'Tourism Medium DB-LCU'!I112*Home!D$5</f>
        <v>12.478403070444704</v>
      </c>
      <c r="I113" s="68">
        <f>'Tourism Medium DB-LCU'!J112*Home!E$5</f>
        <v>12.193436732707859</v>
      </c>
      <c r="J113" s="68">
        <f>'Tourism Medium DB-LCU'!K112*Home!F$5</f>
        <v>13.012492708383101</v>
      </c>
      <c r="K113" s="68">
        <f>'Tourism Medium DB-LCU'!L112*Home!G$5</f>
        <v>11.970087367908604</v>
      </c>
      <c r="L113" s="60">
        <f>'Tourism Medium DB-LCU'!M112*Home!H$5</f>
        <v>12.219687986171893</v>
      </c>
      <c r="M113" s="60">
        <f>'Tourism Medium DB-LCU'!N112*Home!I$5</f>
        <v>12.46998507626609</v>
      </c>
      <c r="N113" s="60">
        <f>'Tourism Medium DB-LCU'!O112*Home!J$5</f>
        <v>13.033763562632096</v>
      </c>
      <c r="O113" s="60">
        <f>'Tourism Medium DB-LCU'!P112*Home!K$5</f>
        <v>13.466016863224329</v>
      </c>
      <c r="P113" s="60">
        <f>'Tourism Medium DB-LCU'!Q112*Home!L$5</f>
        <v>13.678977202712133</v>
      </c>
      <c r="Q113" s="32">
        <f t="shared" si="9"/>
        <v>-4.1559822404026781E-2</v>
      </c>
      <c r="R113" s="32">
        <f t="shared" si="10"/>
        <v>2.704922946648125E-2</v>
      </c>
      <c r="X113" s="1">
        <v>1</v>
      </c>
      <c r="Y113" s="402" t="s">
        <v>513</v>
      </c>
    </row>
    <row r="114" spans="1:25" ht="15" customHeight="1">
      <c r="A114" s="4" t="str">
        <f>'Tourism Medium DB-LCU'!A113</f>
        <v>Hungary</v>
      </c>
      <c r="B114" s="4" t="str">
        <f>'Tourism Medium DB-LCU'!B113</f>
        <v>Tourism Spend Factors</v>
      </c>
      <c r="C114" s="4" t="str">
        <f>'Tourism Medium DB-LCU'!C113</f>
        <v>Average Expenditure per International Tourist by Sector</v>
      </c>
      <c r="D114" s="2" t="str">
        <f>'Tourism Medium DB-LCU'!D113</f>
        <v>Transportation</v>
      </c>
      <c r="E114" s="4"/>
      <c r="F114" s="4" t="s">
        <v>454</v>
      </c>
      <c r="G114" s="68">
        <f>'Tourism Medium DB-LCU'!H113*Home!C$5</f>
        <v>17.736760947627971</v>
      </c>
      <c r="H114" s="68">
        <f>'Tourism Medium DB-LCU'!I113*Home!D$5</f>
        <v>15.461922460253831</v>
      </c>
      <c r="I114" s="68">
        <f>'Tourism Medium DB-LCU'!J113*Home!E$5</f>
        <v>15.085410614141486</v>
      </c>
      <c r="J114" s="68">
        <f>'Tourism Medium DB-LCU'!K113*Home!F$5</f>
        <v>15.985295370399836</v>
      </c>
      <c r="K114" s="68">
        <f>'Tourism Medium DB-LCU'!L113*Home!G$5</f>
        <v>14.882088276751556</v>
      </c>
      <c r="L114" s="60">
        <f>'Tourism Medium DB-LCU'!M113*Home!H$5</f>
        <v>15.133397332483121</v>
      </c>
      <c r="M114" s="60">
        <f>'Tourism Medium DB-LCU'!N113*Home!I$5</f>
        <v>15.509228971814657</v>
      </c>
      <c r="N114" s="60">
        <f>'Tourism Medium DB-LCU'!O113*Home!J$5</f>
        <v>16.346756413044172</v>
      </c>
      <c r="O114" s="60">
        <f>'Tourism Medium DB-LCU'!P113*Home!K$5</f>
        <v>16.942051024411857</v>
      </c>
      <c r="P114" s="60">
        <f>'Tourism Medium DB-LCU'!Q113*Home!L$5</f>
        <v>17.208649447464023</v>
      </c>
      <c r="Q114" s="32">
        <f t="shared" si="9"/>
        <v>-4.2921873232996344E-2</v>
      </c>
      <c r="R114" s="32">
        <f t="shared" si="10"/>
        <v>2.9476843532993957E-2</v>
      </c>
      <c r="X114" s="1">
        <v>1</v>
      </c>
      <c r="Y114" s="402" t="s">
        <v>513</v>
      </c>
    </row>
    <row r="115" spans="1:25" ht="15" customHeight="1">
      <c r="A115" s="4" t="str">
        <f>'Tourism Medium DB-LCU'!A114</f>
        <v>Hungary</v>
      </c>
      <c r="B115" s="4" t="str">
        <f>'Tourism Medium DB-LCU'!B114</f>
        <v>Tourism Spend Factors</v>
      </c>
      <c r="C115" s="4" t="str">
        <f>'Tourism Medium DB-LCU'!C114</f>
        <v>Average Expenditure per International Tourist by Sector</v>
      </c>
      <c r="D115" s="2" t="str">
        <f>'Tourism Medium DB-LCU'!D114</f>
        <v>Travel Intermediation</v>
      </c>
      <c r="E115" s="4"/>
      <c r="F115" s="4" t="s">
        <v>454</v>
      </c>
      <c r="G115" s="68">
        <f>'Tourism Medium DB-LCU'!H114*Home!C$5</f>
        <v>0.11897119471699721</v>
      </c>
      <c r="H115" s="68">
        <f>'Tourism Medium DB-LCU'!I114*Home!D$5</f>
        <v>0.10357295057419179</v>
      </c>
      <c r="I115" s="68">
        <f>'Tourism Medium DB-LCU'!J114*Home!E$5</f>
        <v>0.10087901572075512</v>
      </c>
      <c r="J115" s="68">
        <f>'Tourism Medium DB-LCU'!K114*Home!F$5</f>
        <v>0.10668124678787125</v>
      </c>
      <c r="K115" s="68">
        <f>'Tourism Medium DB-LCU'!L114*Home!G$5</f>
        <v>9.8036592396902961E-2</v>
      </c>
      <c r="L115" s="60">
        <f>'Tourism Medium DB-LCU'!M114*Home!H$5</f>
        <v>0.10106608285088758</v>
      </c>
      <c r="M115" s="60">
        <f>'Tourism Medium DB-LCU'!N114*Home!I$5</f>
        <v>0.10260681918509017</v>
      </c>
      <c r="N115" s="60">
        <f>'Tourism Medium DB-LCU'!O114*Home!J$5</f>
        <v>0.10851587659913779</v>
      </c>
      <c r="O115" s="60">
        <f>'Tourism Medium DB-LCU'!P114*Home!K$5</f>
        <v>0.11314028516232494</v>
      </c>
      <c r="P115" s="60">
        <f>'Tourism Medium DB-LCU'!Q114*Home!L$5</f>
        <v>0.11550985183389112</v>
      </c>
      <c r="Q115" s="32">
        <f t="shared" si="9"/>
        <v>-4.7233242150407806E-2</v>
      </c>
      <c r="R115" s="32">
        <f t="shared" si="10"/>
        <v>3.3346954552392782E-2</v>
      </c>
      <c r="X115" s="1">
        <v>1</v>
      </c>
      <c r="Y115" s="402" t="s">
        <v>513</v>
      </c>
    </row>
    <row r="116" spans="1:25" ht="15" customHeight="1">
      <c r="A116" s="4" t="str">
        <f>'Tourism Medium DB-LCU'!A115</f>
        <v>Hungary</v>
      </c>
      <c r="B116" s="4" t="str">
        <f>'Tourism Medium DB-LCU'!B115</f>
        <v>Tourism Spend Factors</v>
      </c>
      <c r="C116" s="4" t="str">
        <f>'Tourism Medium DB-LCU'!C115</f>
        <v>Average Expenditure per International Tourist by Sector</v>
      </c>
      <c r="D116" s="2" t="str">
        <f>'Tourism Medium DB-LCU'!D115</f>
        <v>Other Sectors</v>
      </c>
      <c r="E116" s="4"/>
      <c r="F116" s="4" t="s">
        <v>454</v>
      </c>
      <c r="G116" s="68">
        <f>'Tourism Medium DB-LCU'!H115*Home!C$5</f>
        <v>4.3654785678299568</v>
      </c>
      <c r="H116" s="68">
        <f>'Tourism Medium DB-LCU'!I115*Home!D$5</f>
        <v>3.7638083796084061</v>
      </c>
      <c r="I116" s="68">
        <f>'Tourism Medium DB-LCU'!J115*Home!E$5</f>
        <v>3.6588340513561013</v>
      </c>
      <c r="J116" s="68">
        <f>'Tourism Medium DB-LCU'!K115*Home!F$5</f>
        <v>3.8946069720719123</v>
      </c>
      <c r="K116" s="68">
        <f>'Tourism Medium DB-LCU'!L115*Home!G$5</f>
        <v>3.571575327866269</v>
      </c>
      <c r="L116" s="60">
        <f>'Tourism Medium DB-LCU'!M115*Home!H$5</f>
        <v>3.660888651298865</v>
      </c>
      <c r="M116" s="60">
        <f>'Tourism Medium DB-LCU'!N115*Home!I$5</f>
        <v>3.7312585275573174</v>
      </c>
      <c r="N116" s="60">
        <f>'Tourism Medium DB-LCU'!O115*Home!J$5</f>
        <v>3.9196672929331959</v>
      </c>
      <c r="O116" s="60">
        <f>'Tourism Medium DB-LCU'!P115*Home!K$5</f>
        <v>4.0471317311929003</v>
      </c>
      <c r="P116" s="60">
        <f>'Tourism Medium DB-LCU'!Q115*Home!L$5</f>
        <v>4.0905824473562715</v>
      </c>
      <c r="Q116" s="32">
        <f t="shared" si="9"/>
        <v>-4.8942032000794611E-2</v>
      </c>
      <c r="R116" s="32">
        <f t="shared" si="10"/>
        <v>2.7507657753781833E-2</v>
      </c>
      <c r="X116" s="1">
        <v>1</v>
      </c>
      <c r="Y116" s="402" t="s">
        <v>513</v>
      </c>
    </row>
    <row r="117" spans="1:25" ht="15" customHeight="1">
      <c r="A117" s="4" t="str">
        <f>'Tourism Medium DB-LCU'!A116</f>
        <v>Hungary</v>
      </c>
      <c r="B117" s="4" t="str">
        <f>'Tourism Medium DB-LCU'!B116</f>
        <v>Tourism Spend Factors</v>
      </c>
      <c r="C117" s="2" t="str">
        <f>'Tourism Medium DB-LCU'!C116</f>
        <v>Average Overseas Tourism Expenditure per Resident by Sector</v>
      </c>
      <c r="D117" s="4"/>
      <c r="E117" s="4"/>
      <c r="F117" s="4" t="s">
        <v>454</v>
      </c>
      <c r="G117" s="406">
        <f>'Tourism Medium DB-LCU'!H116*Home!C$5</f>
        <v>3281.9545081189754</v>
      </c>
      <c r="H117" s="406">
        <f>'Tourism Medium DB-LCU'!I116*Home!D$5</f>
        <v>2971.4857071636966</v>
      </c>
      <c r="I117" s="406">
        <f>'Tourism Medium DB-LCU'!J116*Home!E$5</f>
        <v>3473.7477270578515</v>
      </c>
      <c r="J117" s="406">
        <f>'Tourism Medium DB-LCU'!K116*Home!F$5</f>
        <v>4007.7089179113445</v>
      </c>
      <c r="K117" s="406">
        <f>'Tourism Medium DB-LCU'!L116*Home!G$5</f>
        <v>4369.185923551453</v>
      </c>
      <c r="L117" s="103">
        <f>'Tourism Medium DB-LCU'!M116*Home!H$5</f>
        <v>4718.7609573378104</v>
      </c>
      <c r="M117" s="103">
        <f>'Tourism Medium DB-LCU'!N116*Home!I$5</f>
        <v>5200.0705648895828</v>
      </c>
      <c r="N117" s="103">
        <f>'Tourism Medium DB-LCU'!O116*Home!J$5</f>
        <v>5597.5203992688575</v>
      </c>
      <c r="O117" s="103">
        <f>'Tourism Medium DB-LCU'!P116*Home!K$5</f>
        <v>6201.4009665448475</v>
      </c>
      <c r="P117" s="103">
        <f>'Tourism Medium DB-LCU'!Q116*Home!L$5</f>
        <v>6757.6123089229341</v>
      </c>
      <c r="Q117" s="32">
        <f t="shared" si="9"/>
        <v>7.4155093667241045E-2</v>
      </c>
      <c r="R117" s="32">
        <f t="shared" si="10"/>
        <v>9.1135157181264415E-2</v>
      </c>
      <c r="X117" s="1">
        <v>1</v>
      </c>
      <c r="Y117" s="402" t="s">
        <v>514</v>
      </c>
    </row>
    <row r="118" spans="1:25" ht="15" customHeight="1">
      <c r="A118" s="4" t="str">
        <f>'Tourism Medium DB-LCU'!A117</f>
        <v>Hungary</v>
      </c>
      <c r="B118" s="4" t="str">
        <f>'Tourism Medium DB-LCU'!B117</f>
        <v>Tourism Spend Factors</v>
      </c>
      <c r="C118" s="4" t="str">
        <f>'Tourism Medium DB-LCU'!C117</f>
        <v>Average Overseas Tourism Expenditure per Resident by Sector</v>
      </c>
      <c r="D118" s="2" t="str">
        <f>'Tourism Medium DB-LCU'!D117</f>
        <v>Accommodation</v>
      </c>
      <c r="E118" s="4"/>
      <c r="F118" s="4" t="s">
        <v>454</v>
      </c>
      <c r="G118" s="68">
        <f>'Tourism Medium DB-LCU'!H117*Home!C$5</f>
        <v>998.90028043771895</v>
      </c>
      <c r="H118" s="68">
        <f>'Tourism Medium DB-LCU'!I117*Home!D$5</f>
        <v>896.92037699911987</v>
      </c>
      <c r="I118" s="68">
        <f>'Tourism Medium DB-LCU'!J117*Home!E$5</f>
        <v>1045.1940167360592</v>
      </c>
      <c r="J118" s="68">
        <f>'Tourism Medium DB-LCU'!K117*Home!F$5</f>
        <v>1198.2774114165545</v>
      </c>
      <c r="K118" s="68">
        <f>'Tourism Medium DB-LCU'!L117*Home!G$5</f>
        <v>1309.8431129651699</v>
      </c>
      <c r="L118" s="60">
        <f>'Tourism Medium DB-LCU'!M117*Home!H$5</f>
        <v>1405.6526734554102</v>
      </c>
      <c r="M118" s="60">
        <f>'Tourism Medium DB-LCU'!N117*Home!I$5</f>
        <v>1546.2440122277462</v>
      </c>
      <c r="N118" s="60">
        <f>'Tourism Medium DB-LCU'!O117*Home!J$5</f>
        <v>1656.6147146552448</v>
      </c>
      <c r="O118" s="60">
        <f>'Tourism Medium DB-LCU'!P117*Home!K$5</f>
        <v>1829.500899147223</v>
      </c>
      <c r="P118" s="60">
        <f>'Tourism Medium DB-LCU'!Q117*Home!L$5</f>
        <v>1982.1248318220905</v>
      </c>
      <c r="Q118" s="32">
        <f t="shared" si="9"/>
        <v>7.0099808837378763E-2</v>
      </c>
      <c r="R118" s="32">
        <f t="shared" si="10"/>
        <v>8.6381457183853483E-2</v>
      </c>
      <c r="X118" s="1">
        <v>1</v>
      </c>
      <c r="Y118" s="402" t="s">
        <v>514</v>
      </c>
    </row>
    <row r="119" spans="1:25" ht="15" customHeight="1">
      <c r="A119" s="4" t="str">
        <f>'Tourism Medium DB-LCU'!A118</f>
        <v>Hungary</v>
      </c>
      <c r="B119" s="4" t="str">
        <f>'Tourism Medium DB-LCU'!B118</f>
        <v>Tourism Spend Factors</v>
      </c>
      <c r="C119" s="4" t="str">
        <f>'Tourism Medium DB-LCU'!C118</f>
        <v>Average Overseas Tourism Expenditure per Resident by Sector</v>
      </c>
      <c r="D119" s="2" t="str">
        <f>'Tourism Medium DB-LCU'!D118</f>
        <v>Entertainment &amp; Sightseeing</v>
      </c>
      <c r="E119" s="4"/>
      <c r="F119" s="4" t="s">
        <v>454</v>
      </c>
      <c r="G119" s="68">
        <f>'Tourism Medium DB-LCU'!H118*Home!C$5</f>
        <v>216.99190102127685</v>
      </c>
      <c r="H119" s="68">
        <f>'Tourism Medium DB-LCU'!I118*Home!D$5</f>
        <v>197.56146157698817</v>
      </c>
      <c r="I119" s="68">
        <f>'Tourism Medium DB-LCU'!J118*Home!E$5</f>
        <v>231.34215807115649</v>
      </c>
      <c r="J119" s="68">
        <f>'Tourism Medium DB-LCU'!K118*Home!F$5</f>
        <v>263.40864986365386</v>
      </c>
      <c r="K119" s="68">
        <f>'Tourism Medium DB-LCU'!L118*Home!G$5</f>
        <v>285.92544377156526</v>
      </c>
      <c r="L119" s="60">
        <f>'Tourism Medium DB-LCU'!M118*Home!H$5</f>
        <v>308.05043610973729</v>
      </c>
      <c r="M119" s="60">
        <f>'Tourism Medium DB-LCU'!N118*Home!I$5</f>
        <v>337.9396793033049</v>
      </c>
      <c r="N119" s="60">
        <f>'Tourism Medium DB-LCU'!O118*Home!J$5</f>
        <v>361.64988719139262</v>
      </c>
      <c r="O119" s="60">
        <f>'Tourism Medium DB-LCU'!P118*Home!K$5</f>
        <v>401.17185445359462</v>
      </c>
      <c r="P119" s="60">
        <f>'Tourism Medium DB-LCU'!Q118*Home!L$5</f>
        <v>436.94457352192654</v>
      </c>
      <c r="Q119" s="32">
        <f t="shared" si="9"/>
        <v>7.1401672055373844E-2</v>
      </c>
      <c r="R119" s="32">
        <f t="shared" si="10"/>
        <v>8.8515729770550111E-2</v>
      </c>
      <c r="X119" s="1">
        <v>1</v>
      </c>
      <c r="Y119" s="402" t="s">
        <v>514</v>
      </c>
    </row>
    <row r="120" spans="1:25" ht="15" customHeight="1">
      <c r="A120" s="4" t="str">
        <f>'Tourism Medium DB-LCU'!A119</f>
        <v>Hungary</v>
      </c>
      <c r="B120" s="4" t="str">
        <f>'Tourism Medium DB-LCU'!B119</f>
        <v>Tourism Spend Factors</v>
      </c>
      <c r="C120" s="4" t="str">
        <f>'Tourism Medium DB-LCU'!C119</f>
        <v>Average Overseas Tourism Expenditure per Resident by Sector</v>
      </c>
      <c r="D120" s="2" t="str">
        <f>'Tourism Medium DB-LCU'!D119</f>
        <v>Foodservice</v>
      </c>
      <c r="E120" s="4"/>
      <c r="F120" s="4" t="s">
        <v>454</v>
      </c>
      <c r="G120" s="68">
        <f>'Tourism Medium DB-LCU'!H119*Home!C$5</f>
        <v>598.76409098468469</v>
      </c>
      <c r="H120" s="68">
        <f>'Tourism Medium DB-LCU'!I119*Home!D$5</f>
        <v>539.67170247391232</v>
      </c>
      <c r="I120" s="68">
        <f>'Tourism Medium DB-LCU'!J119*Home!E$5</f>
        <v>631.92201610392067</v>
      </c>
      <c r="J120" s="68">
        <f>'Tourism Medium DB-LCU'!K119*Home!F$5</f>
        <v>719.58343196100395</v>
      </c>
      <c r="K120" s="68">
        <f>'Tourism Medium DB-LCU'!L119*Home!G$5</f>
        <v>783.43080301041323</v>
      </c>
      <c r="L120" s="60">
        <f>'Tourism Medium DB-LCU'!M119*Home!H$5</f>
        <v>840.05501616825995</v>
      </c>
      <c r="M120" s="60">
        <f>'Tourism Medium DB-LCU'!N119*Home!I$5</f>
        <v>919.83854195977551</v>
      </c>
      <c r="N120" s="60">
        <f>'Tourism Medium DB-LCU'!O119*Home!J$5</f>
        <v>986.65832643053534</v>
      </c>
      <c r="O120" s="60">
        <f>'Tourism Medium DB-LCU'!P119*Home!K$5</f>
        <v>1089.1683898095587</v>
      </c>
      <c r="P120" s="60">
        <f>'Tourism Medium DB-LCU'!Q119*Home!L$5</f>
        <v>1177.8035360598233</v>
      </c>
      <c r="Q120" s="32">
        <f t="shared" si="9"/>
        <v>6.9513384740227391E-2</v>
      </c>
      <c r="R120" s="32">
        <f t="shared" si="10"/>
        <v>8.4961786473364498E-2</v>
      </c>
      <c r="X120" s="1">
        <v>1</v>
      </c>
      <c r="Y120" s="402" t="s">
        <v>514</v>
      </c>
    </row>
    <row r="121" spans="1:25" ht="15" customHeight="1">
      <c r="A121" s="4" t="str">
        <f>'Tourism Medium DB-LCU'!A120</f>
        <v>Hungary</v>
      </c>
      <c r="B121" s="4" t="str">
        <f>'Tourism Medium DB-LCU'!B120</f>
        <v>Tourism Spend Factors</v>
      </c>
      <c r="C121" s="4" t="str">
        <f>'Tourism Medium DB-LCU'!C120</f>
        <v>Average Overseas Tourism Expenditure per Resident by Sector</v>
      </c>
      <c r="D121" s="2" t="str">
        <f>'Tourism Medium DB-LCU'!D120</f>
        <v>Retail</v>
      </c>
      <c r="E121" s="4"/>
      <c r="F121" s="4" t="s">
        <v>454</v>
      </c>
      <c r="G121" s="68">
        <f>'Tourism Medium DB-LCU'!H120*Home!C$5</f>
        <v>484.72844985649249</v>
      </c>
      <c r="H121" s="68">
        <f>'Tourism Medium DB-LCU'!I120*Home!D$5</f>
        <v>442.58959882461033</v>
      </c>
      <c r="I121" s="68">
        <f>'Tourism Medium DB-LCU'!J120*Home!E$5</f>
        <v>520.18957212392422</v>
      </c>
      <c r="J121" s="68">
        <f>'Tourism Medium DB-LCU'!K120*Home!F$5</f>
        <v>597.20413314474013</v>
      </c>
      <c r="K121" s="68">
        <f>'Tourism Medium DB-LCU'!L120*Home!G$5</f>
        <v>656.03891131799412</v>
      </c>
      <c r="L121" s="60">
        <f>'Tourism Medium DB-LCU'!M120*Home!H$5</f>
        <v>718.3527783590265</v>
      </c>
      <c r="M121" s="60">
        <f>'Tourism Medium DB-LCU'!N120*Home!I$5</f>
        <v>791.89741843535603</v>
      </c>
      <c r="N121" s="60">
        <f>'Tourism Medium DB-LCU'!O120*Home!J$5</f>
        <v>852.89956336704847</v>
      </c>
      <c r="O121" s="60">
        <f>'Tourism Medium DB-LCU'!P120*Home!K$5</f>
        <v>952.20542311627764</v>
      </c>
      <c r="P121" s="60">
        <f>'Tourism Medium DB-LCU'!Q120*Home!L$5</f>
        <v>1042.974121324859</v>
      </c>
      <c r="Q121" s="32">
        <f t="shared" si="9"/>
        <v>7.8593434204577983E-2</v>
      </c>
      <c r="R121" s="32">
        <f t="shared" si="10"/>
        <v>9.7157021169528957E-2</v>
      </c>
      <c r="X121" s="1">
        <v>1</v>
      </c>
      <c r="Y121" s="402" t="s">
        <v>514</v>
      </c>
    </row>
    <row r="122" spans="1:25" ht="15" customHeight="1">
      <c r="A122" s="4" t="str">
        <f>'Tourism Medium DB-LCU'!A121</f>
        <v>Hungary</v>
      </c>
      <c r="B122" s="4" t="str">
        <f>'Tourism Medium DB-LCU'!B121</f>
        <v>Tourism Spend Factors</v>
      </c>
      <c r="C122" s="4" t="str">
        <f>'Tourism Medium DB-LCU'!C121</f>
        <v>Average Overseas Tourism Expenditure per Resident by Sector</v>
      </c>
      <c r="D122" s="2" t="str">
        <f>'Tourism Medium DB-LCU'!D121</f>
        <v>Transportation</v>
      </c>
      <c r="E122" s="4"/>
      <c r="F122" s="4" t="s">
        <v>454</v>
      </c>
      <c r="G122" s="68">
        <f>'Tourism Medium DB-LCU'!H121*Home!C$5</f>
        <v>312.03551574904139</v>
      </c>
      <c r="H122" s="68">
        <f>'Tourism Medium DB-LCU'!I121*Home!D$5</f>
        <v>295.89507048290142</v>
      </c>
      <c r="I122" s="68">
        <f>'Tourism Medium DB-LCU'!J121*Home!E$5</f>
        <v>342.43933343791997</v>
      </c>
      <c r="J122" s="68">
        <f>'Tourism Medium DB-LCU'!K121*Home!F$5</f>
        <v>418.48549627731586</v>
      </c>
      <c r="K122" s="68">
        <f>'Tourism Medium DB-LCU'!L121*Home!G$5</f>
        <v>453.73218469651897</v>
      </c>
      <c r="L122" s="60">
        <f>'Tourism Medium DB-LCU'!M121*Home!H$5</f>
        <v>502.56589752232941</v>
      </c>
      <c r="M122" s="60">
        <f>'Tourism Medium DB-LCU'!N121*Home!I$5</f>
        <v>560.63997117569033</v>
      </c>
      <c r="N122" s="60">
        <f>'Tourism Medium DB-LCU'!O121*Home!J$5</f>
        <v>612.95790796330198</v>
      </c>
      <c r="O122" s="60">
        <f>'Tourism Medium DB-LCU'!P121*Home!K$5</f>
        <v>681.46179242900064</v>
      </c>
      <c r="P122" s="60">
        <f>'Tourism Medium DB-LCU'!Q121*Home!L$5</f>
        <v>759.40112445727436</v>
      </c>
      <c r="Q122" s="32">
        <f t="shared" si="9"/>
        <v>9.8117694400327027E-2</v>
      </c>
      <c r="R122" s="32">
        <f t="shared" si="10"/>
        <v>0.10849650949685441</v>
      </c>
      <c r="X122" s="1">
        <v>1</v>
      </c>
      <c r="Y122" s="402" t="s">
        <v>514</v>
      </c>
    </row>
    <row r="123" spans="1:25" ht="15" customHeight="1">
      <c r="A123" s="4" t="str">
        <f>'Tourism Medium DB-LCU'!A122</f>
        <v>Hungary</v>
      </c>
      <c r="B123" s="4" t="str">
        <f>'Tourism Medium DB-LCU'!B122</f>
        <v>Tourism Spend Factors</v>
      </c>
      <c r="C123" s="4" t="str">
        <f>'Tourism Medium DB-LCU'!C122</f>
        <v>Average Overseas Tourism Expenditure per Resident by Sector</v>
      </c>
      <c r="D123" s="2" t="str">
        <f>'Tourism Medium DB-LCU'!D122</f>
        <v>Travel Intermediation</v>
      </c>
      <c r="E123" s="4"/>
      <c r="F123" s="4" t="s">
        <v>454</v>
      </c>
      <c r="G123" s="68">
        <f>'Tourism Medium DB-LCU'!H122*Home!C$5</f>
        <v>490.43306106287713</v>
      </c>
      <c r="H123" s="68">
        <f>'Tourism Medium DB-LCU'!I122*Home!D$5</f>
        <v>440.40858305631957</v>
      </c>
      <c r="I123" s="68">
        <f>'Tourism Medium DB-LCU'!J122*Home!E$5</f>
        <v>518.2903918148379</v>
      </c>
      <c r="J123" s="68">
        <f>'Tourism Medium DB-LCU'!K122*Home!F$5</f>
        <v>593.17163001576409</v>
      </c>
      <c r="K123" s="68">
        <f>'Tourism Medium DB-LCU'!L122*Home!G$5</f>
        <v>644.76542970774165</v>
      </c>
      <c r="L123" s="60">
        <f>'Tourism Medium DB-LCU'!M122*Home!H$5</f>
        <v>643.21700330449323</v>
      </c>
      <c r="M123" s="60">
        <f>'Tourism Medium DB-LCU'!N122*Home!I$5</f>
        <v>693.68761897847003</v>
      </c>
      <c r="N123" s="60">
        <f>'Tourism Medium DB-LCU'!O122*Home!J$5</f>
        <v>781.85368806596989</v>
      </c>
      <c r="O123" s="60">
        <f>'Tourism Medium DB-LCU'!P122*Home!K$5</f>
        <v>832.33323274241968</v>
      </c>
      <c r="P123" s="60">
        <f>'Tourism Medium DB-LCU'!Q122*Home!L$5</f>
        <v>911.39824667855748</v>
      </c>
      <c r="Q123" s="32">
        <f t="shared" si="9"/>
        <v>7.0792945124221518E-2</v>
      </c>
      <c r="R123" s="32">
        <f t="shared" si="10"/>
        <v>7.1670531998487386E-2</v>
      </c>
      <c r="X123" s="1">
        <v>1</v>
      </c>
      <c r="Y123" s="402" t="s">
        <v>514</v>
      </c>
    </row>
    <row r="124" spans="1:25" ht="15" customHeight="1">
      <c r="A124" s="4" t="str">
        <f>'Tourism Medium DB-LCU'!A123</f>
        <v>Hungary</v>
      </c>
      <c r="B124" s="4" t="str">
        <f>'Tourism Medium DB-LCU'!B123</f>
        <v>Tourism Spend Factors</v>
      </c>
      <c r="C124" s="4" t="str">
        <f>'Tourism Medium DB-LCU'!C123</f>
        <v>Average Overseas Tourism Expenditure per Resident by Sector</v>
      </c>
      <c r="D124" s="2" t="str">
        <f>'Tourism Medium DB-LCU'!D123</f>
        <v>Other Sectors</v>
      </c>
      <c r="E124" s="4"/>
      <c r="F124" s="4" t="s">
        <v>454</v>
      </c>
      <c r="G124" s="68">
        <f>'Tourism Medium DB-LCU'!H123*Home!C$5</f>
        <v>180.10120900688455</v>
      </c>
      <c r="H124" s="68">
        <f>'Tourism Medium DB-LCU'!I123*Home!D$5</f>
        <v>158.43891374984483</v>
      </c>
      <c r="I124" s="68">
        <f>'Tourism Medium DB-LCU'!J123*Home!E$5</f>
        <v>184.37023877003281</v>
      </c>
      <c r="J124" s="68">
        <f>'Tourism Medium DB-LCU'!K123*Home!F$5</f>
        <v>217.57816523231193</v>
      </c>
      <c r="K124" s="68">
        <f>'Tourism Medium DB-LCU'!L123*Home!G$5</f>
        <v>235.45003808205024</v>
      </c>
      <c r="L124" s="60">
        <f>'Tourism Medium DB-LCU'!M123*Home!H$5</f>
        <v>252.28519274003469</v>
      </c>
      <c r="M124" s="60">
        <f>'Tourism Medium DB-LCU'!N123*Home!I$5</f>
        <v>281.23925173521354</v>
      </c>
      <c r="N124" s="60">
        <f>'Tourism Medium DB-LCU'!O123*Home!J$5</f>
        <v>308.52825510438907</v>
      </c>
      <c r="O124" s="60">
        <f>'Tourism Medium DB-LCU'!P123*Home!K$5</f>
        <v>337.86474084736932</v>
      </c>
      <c r="P124" s="60">
        <f>'Tourism Medium DB-LCU'!Q123*Home!L$5</f>
        <v>372.32702673322279</v>
      </c>
      <c r="Q124" s="32">
        <f t="shared" si="9"/>
        <v>6.9290071107556139E-2</v>
      </c>
      <c r="R124" s="32">
        <f t="shared" si="10"/>
        <v>9.5986385824366804E-2</v>
      </c>
      <c r="X124" s="1">
        <v>1</v>
      </c>
      <c r="Y124" s="402" t="s">
        <v>514</v>
      </c>
    </row>
    <row r="125" spans="1:25" ht="15" customHeight="1">
      <c r="A125" s="4" t="str">
        <f>'Tourism Medium DB-LCU'!A124</f>
        <v>Hungary</v>
      </c>
      <c r="B125" s="2" t="str">
        <f>'Tourism Medium DB-LCU'!B124</f>
        <v>Passenger Airlines</v>
      </c>
      <c r="C125" s="4"/>
      <c r="D125" s="4"/>
      <c r="E125" s="4"/>
      <c r="F125" s="4"/>
      <c r="Q125" s="32"/>
      <c r="R125" s="32"/>
    </row>
    <row r="126" spans="1:25" ht="15" customHeight="1">
      <c r="A126" s="4" t="str">
        <f>'Tourism Medium DB-LCU'!A125</f>
        <v>Hungary</v>
      </c>
      <c r="B126" s="4" t="str">
        <f>'Tourism Medium DB-LCU'!B125</f>
        <v>Passenger Airlines</v>
      </c>
      <c r="C126" s="2" t="str">
        <f>'Tourism Medium DB-LCU'!C125</f>
        <v>Number of Seats Available</v>
      </c>
      <c r="D126" s="4"/>
      <c r="E126" s="4"/>
      <c r="F126" s="4" t="str">
        <f>'Tourism Medium DB-LCU'!F125</f>
        <v>Thousand</v>
      </c>
      <c r="G126" s="100">
        <f>'Tourism Medium DB-LCU'!H125</f>
        <v>43642.272628716666</v>
      </c>
      <c r="H126" s="100">
        <f>'Tourism Medium DB-LCU'!I125</f>
        <v>38330.218883188019</v>
      </c>
      <c r="I126" s="100">
        <f>'Tourism Medium DB-LCU'!J125</f>
        <v>39717.749755377074</v>
      </c>
      <c r="J126" s="100">
        <f>'Tourism Medium DB-LCU'!K125</f>
        <v>44089.619556337864</v>
      </c>
      <c r="K126" s="100">
        <f>'Tourism Medium DB-LCU'!L125</f>
        <v>44178.597702287239</v>
      </c>
      <c r="L126" s="33">
        <f>'Tourism Medium DB-LCU'!M125</f>
        <v>45762.767301759726</v>
      </c>
      <c r="M126" s="33">
        <f>'Tourism Medium DB-LCU'!N125</f>
        <v>46441.802113827049</v>
      </c>
      <c r="N126" s="33">
        <f>'Tourism Medium DB-LCU'!O125</f>
        <v>47736.601532698434</v>
      </c>
      <c r="O126" s="33">
        <f>'Tourism Medium DB-LCU'!P125</f>
        <v>49062.351056112544</v>
      </c>
      <c r="P126" s="33">
        <f>'Tourism Medium DB-LCU'!Q125</f>
        <v>50705.757487872113</v>
      </c>
      <c r="Q126" s="81">
        <f t="shared" si="9"/>
        <v>3.058221995829058E-3</v>
      </c>
      <c r="R126" s="81">
        <f t="shared" si="10"/>
        <v>2.7943085732597739E-2</v>
      </c>
    </row>
    <row r="127" spans="1:25" ht="15" customHeight="1">
      <c r="A127" s="4" t="str">
        <f>'Tourism Medium DB-LCU'!A126</f>
        <v>Hungary</v>
      </c>
      <c r="B127" s="4" t="str">
        <f>'Tourism Medium DB-LCU'!B126</f>
        <v>Passenger Airlines</v>
      </c>
      <c r="C127" s="2" t="str">
        <f>'Tourism Medium DB-LCU'!C126</f>
        <v>Number of Seats Sold by Passenger Type</v>
      </c>
      <c r="D127" s="4"/>
      <c r="E127" s="4"/>
      <c r="F127" s="4" t="str">
        <f>'Tourism Medium DB-LCU'!F126</f>
        <v>Thousand</v>
      </c>
      <c r="G127" s="445">
        <f>'Tourism Medium DB-LCU'!H126</f>
        <v>28075.972000000002</v>
      </c>
      <c r="H127" s="445">
        <f>'Tourism Medium DB-LCU'!I126</f>
        <v>25455.255000000001</v>
      </c>
      <c r="I127" s="445">
        <f>'Tourism Medium DB-LCU'!J126</f>
        <v>26927.026999999998</v>
      </c>
      <c r="J127" s="445">
        <f>'Tourism Medium DB-LCU'!K126</f>
        <v>30058.674999999999</v>
      </c>
      <c r="K127" s="445">
        <f>'Tourism Medium DB-LCU'!L126</f>
        <v>30706.269</v>
      </c>
      <c r="L127" s="33">
        <f>'Tourism Medium DB-LCU'!M126</f>
        <v>31465.990201422796</v>
      </c>
      <c r="M127" s="33">
        <f>'Tourism Medium DB-LCU'!N126</f>
        <v>32199.238307235162</v>
      </c>
      <c r="N127" s="33">
        <f>'Tourism Medium DB-LCU'!O126</f>
        <v>33161.865129326987</v>
      </c>
      <c r="O127" s="33">
        <f>'Tourism Medium DB-LCU'!P126</f>
        <v>34259.162102382732</v>
      </c>
      <c r="P127" s="33">
        <f>'Tourism Medium DB-LCU'!Q126</f>
        <v>35424.226186030202</v>
      </c>
      <c r="Q127" s="81">
        <f t="shared" si="9"/>
        <v>2.2640674588797927E-2</v>
      </c>
      <c r="R127" s="81">
        <f t="shared" si="10"/>
        <v>2.8998316897379972E-2</v>
      </c>
    </row>
    <row r="128" spans="1:25" ht="15" customHeight="1">
      <c r="A128" s="4" t="str">
        <f>'Tourism Medium DB-LCU'!A127</f>
        <v>Hungary</v>
      </c>
      <c r="B128" s="4" t="str">
        <f>'Tourism Medium DB-LCU'!B127</f>
        <v>Passenger Airlines</v>
      </c>
      <c r="C128" s="4" t="str">
        <f>'Tourism Medium DB-LCU'!C127</f>
        <v>Number of Seats Sold by Passenger Type</v>
      </c>
      <c r="D128" s="2" t="str">
        <f>'Tourism Medium DB-LCU'!D127</f>
        <v>Business</v>
      </c>
      <c r="E128" s="4"/>
      <c r="F128" s="4" t="str">
        <f>'Tourism Medium DB-LCU'!F127</f>
        <v>Thousand</v>
      </c>
      <c r="G128" s="463">
        <f>'Tourism Medium DB-LCU'!H127</f>
        <v>11718.739480682489</v>
      </c>
      <c r="H128" s="463">
        <f>'Tourism Medium DB-LCU'!I127</f>
        <v>11157.024703091427</v>
      </c>
      <c r="I128" s="463">
        <f>'Tourism Medium DB-LCU'!J127</f>
        <v>11472.478863782853</v>
      </c>
      <c r="J128" s="463">
        <f>'Tourism Medium DB-LCU'!K127</f>
        <v>12143.704699999998</v>
      </c>
      <c r="K128" s="463">
        <f>'Tourism Medium DB-LCU'!L127</f>
        <v>12282.507600000001</v>
      </c>
      <c r="L128" s="33">
        <f>'Tourism Medium DB-LCU'!M127</f>
        <v>12466.491337218598</v>
      </c>
      <c r="M128" s="33">
        <f>'Tourism Medium DB-LCU'!N127</f>
        <v>12661.562635995988</v>
      </c>
      <c r="N128" s="33">
        <f>'Tourism Medium DB-LCU'!O127</f>
        <v>12858.913762916978</v>
      </c>
      <c r="O128" s="33">
        <f>'Tourism Medium DB-LCU'!P127</f>
        <v>13162.413389532105</v>
      </c>
      <c r="P128" s="33">
        <f>'Tourism Medium DB-LCU'!Q127</f>
        <v>13487.249147787586</v>
      </c>
      <c r="Q128" s="81">
        <f t="shared" si="9"/>
        <v>1.1815983227898785E-2</v>
      </c>
      <c r="R128" s="81">
        <f t="shared" si="10"/>
        <v>1.8889924703469507E-2</v>
      </c>
    </row>
    <row r="129" spans="1:18" ht="15" customHeight="1">
      <c r="A129" s="4" t="str">
        <f>'Tourism Medium DB-LCU'!A128</f>
        <v>Hungary</v>
      </c>
      <c r="B129" s="4" t="str">
        <f>'Tourism Medium DB-LCU'!B128</f>
        <v>Passenger Airlines</v>
      </c>
      <c r="C129" s="4" t="str">
        <f>'Tourism Medium DB-LCU'!C128</f>
        <v>Number of Seats Sold by Passenger Type</v>
      </c>
      <c r="D129" s="2" t="str">
        <f>'Tourism Medium DB-LCU'!D128</f>
        <v>Leisure</v>
      </c>
      <c r="E129" s="4"/>
      <c r="F129" s="4" t="str">
        <f>'Tourism Medium DB-LCU'!F128</f>
        <v>Thousand</v>
      </c>
      <c r="G129" s="463">
        <f>'Tourism Medium DB-LCU'!H128</f>
        <v>16357.232519317511</v>
      </c>
      <c r="H129" s="463">
        <f>'Tourism Medium DB-LCU'!I128</f>
        <v>14298.230296908572</v>
      </c>
      <c r="I129" s="463">
        <f>'Tourism Medium DB-LCU'!J128</f>
        <v>15454.548136217147</v>
      </c>
      <c r="J129" s="463">
        <f>'Tourism Medium DB-LCU'!K128</f>
        <v>17914.970300000001</v>
      </c>
      <c r="K129" s="463">
        <f>'Tourism Medium DB-LCU'!L128</f>
        <v>18423.761399999999</v>
      </c>
      <c r="L129" s="33">
        <f>'Tourism Medium DB-LCU'!M128</f>
        <v>18999.498864204197</v>
      </c>
      <c r="M129" s="33">
        <f>'Tourism Medium DB-LCU'!N128</f>
        <v>19537.675671239173</v>
      </c>
      <c r="N129" s="33">
        <f>'Tourism Medium DB-LCU'!O128</f>
        <v>20302.951366410009</v>
      </c>
      <c r="O129" s="33">
        <f>'Tourism Medium DB-LCU'!P128</f>
        <v>21096.748712850625</v>
      </c>
      <c r="P129" s="33">
        <f>'Tourism Medium DB-LCU'!Q128</f>
        <v>21936.977038242614</v>
      </c>
      <c r="Q129" s="81">
        <f t="shared" si="9"/>
        <v>3.0189498164723494E-2</v>
      </c>
      <c r="R129" s="81">
        <f t="shared" si="10"/>
        <v>3.5522872589228482E-2</v>
      </c>
    </row>
    <row r="130" spans="1:18" ht="15" customHeight="1">
      <c r="A130" s="4" t="str">
        <f>'Tourism Medium DB-LCU'!A129</f>
        <v>Hungary</v>
      </c>
      <c r="B130" s="4" t="str">
        <f>'Tourism Medium DB-LCU'!B129</f>
        <v>Passenger Airlines</v>
      </c>
      <c r="C130" s="2" t="str">
        <f>'Tourism Medium DB-LCU'!C129</f>
        <v>Load Factor</v>
      </c>
      <c r="D130" s="4"/>
      <c r="E130" s="4"/>
      <c r="F130" s="4" t="str">
        <f>'Tourism Medium DB-LCU'!F129</f>
        <v>%</v>
      </c>
      <c r="G130" s="723">
        <f>'Tourism Medium DB-LCU'!H129</f>
        <v>0.68</v>
      </c>
      <c r="H130" s="723">
        <f>'Tourism Medium DB-LCU'!I129</f>
        <v>0.69899999999999995</v>
      </c>
      <c r="I130" s="464">
        <f>'Tourism Medium DB-LCU'!J129</f>
        <v>0.72688308115543321</v>
      </c>
      <c r="J130" s="464">
        <f>'Tourism Medium DB-LCU'!K129</f>
        <v>0.72015268225584583</v>
      </c>
      <c r="K130" s="464">
        <f>'Tourism Medium DB-LCU'!L129</f>
        <v>0.73745942228335615</v>
      </c>
      <c r="L130" s="37">
        <f>'Tourism Medium DB-LCU'!M129</f>
        <v>0.74428069116924633</v>
      </c>
      <c r="M130" s="37">
        <f>'Tourism Medium DB-LCU'!N129</f>
        <v>0.74671528215540672</v>
      </c>
      <c r="N130" s="37">
        <f>'Tourism Medium DB-LCU'!O129</f>
        <v>0.75248968084224721</v>
      </c>
      <c r="O130" s="37">
        <f>'Tourism Medium DB-LCU'!P129</f>
        <v>0.75393107654205971</v>
      </c>
      <c r="P130" s="37">
        <f>'Tourism Medium DB-LCU'!Q129</f>
        <v>0.75867066745643674</v>
      </c>
      <c r="Q130" s="81">
        <f t="shared" si="9"/>
        <v>2.0486594500620736E-2</v>
      </c>
      <c r="R130" s="81">
        <f t="shared" si="10"/>
        <v>5.6874552990482385E-3</v>
      </c>
    </row>
    <row r="131" spans="1:18" ht="15" customHeight="1">
      <c r="A131" s="4" t="str">
        <f>'Tourism Medium DB-LCU'!A130</f>
        <v>Hungary</v>
      </c>
      <c r="B131" s="4" t="str">
        <f>'Tourism Medium DB-LCU'!B130</f>
        <v>Passenger Airlines</v>
      </c>
      <c r="C131" s="2" t="str">
        <f>'Tourism Medium DB-LCU'!C130</f>
        <v>Number of Passenger Kilometers Available</v>
      </c>
      <c r="D131" s="4"/>
      <c r="E131" s="4"/>
      <c r="F131" s="4" t="str">
        <f>'Tourism Medium DB-LCU'!F130</f>
        <v>Million</v>
      </c>
      <c r="G131" s="731">
        <f>'Tourism Medium DB-LCU'!H130</f>
        <v>19738.148339510579</v>
      </c>
      <c r="H131" s="731">
        <f>'Tourism Medium DB-LCU'!I130</f>
        <v>17534.370635676933</v>
      </c>
      <c r="I131" s="731">
        <f>'Tourism Medium DB-LCU'!J130</f>
        <v>17954.671057734526</v>
      </c>
      <c r="J131" s="731">
        <f>'Tourism Medium DB-LCU'!K130</f>
        <v>20270.766726977166</v>
      </c>
      <c r="K131" s="731">
        <f>'Tourism Medium DB-LCU'!L130</f>
        <v>20376.636833590394</v>
      </c>
      <c r="L131" s="33">
        <f>'Tourism Medium DB-LCU'!M130</f>
        <v>20830.418096038215</v>
      </c>
      <c r="M131" s="33">
        <f>'Tourism Medium DB-LCU'!N130</f>
        <v>21416.412633005475</v>
      </c>
      <c r="N131" s="33">
        <f>'Tourism Medium DB-LCU'!O130</f>
        <v>22015.651420789713</v>
      </c>
      <c r="O131" s="33">
        <f>'Tourism Medium DB-LCU'!P130</f>
        <v>22798.825866108211</v>
      </c>
      <c r="P131" s="33">
        <f>'Tourism Medium DB-LCU'!Q130</f>
        <v>23676.87256684625</v>
      </c>
      <c r="Q131" s="81">
        <f t="shared" si="9"/>
        <v>7.9906976003241148E-3</v>
      </c>
      <c r="R131" s="81">
        <f t="shared" si="10"/>
        <v>3.0477150482979498E-2</v>
      </c>
    </row>
    <row r="132" spans="1:18" ht="15" customHeight="1">
      <c r="A132" s="4" t="str">
        <f>'Tourism Medium DB-LCU'!A131</f>
        <v>Hungary</v>
      </c>
      <c r="B132" s="4" t="str">
        <f>'Tourism Medium DB-LCU'!B131</f>
        <v>Passenger Airlines</v>
      </c>
      <c r="C132" s="2" t="str">
        <f>'Tourism Medium DB-LCU'!C131</f>
        <v>Number of Revenue-Generating Passenger Kilometers</v>
      </c>
      <c r="D132" s="4"/>
      <c r="E132" s="4"/>
      <c r="F132" s="4" t="str">
        <f>'Tourism Medium DB-LCU'!F131</f>
        <v>Million</v>
      </c>
      <c r="G132" s="463">
        <f>'Tourism Medium DB-LCU'!H131</f>
        <v>13421.940870867194</v>
      </c>
      <c r="H132" s="463">
        <f>'Tourism Medium DB-LCU'!I131</f>
        <v>12256.525074338175</v>
      </c>
      <c r="I132" s="463">
        <f>'Tourism Medium DB-LCU'!J131</f>
        <v>13050.946619578353</v>
      </c>
      <c r="J132" s="463">
        <f>'Tourism Medium DB-LCU'!K131</f>
        <v>14598.047029815159</v>
      </c>
      <c r="K132" s="463">
        <f>'Tourism Medium DB-LCU'!L131</f>
        <v>15026.942827377328</v>
      </c>
      <c r="L132" s="33">
        <f>'Tourism Medium DB-LCU'!M131</f>
        <v>15503.677977863699</v>
      </c>
      <c r="M132" s="33">
        <f>'Tourism Medium DB-LCU'!N131</f>
        <v>15991.962602011299</v>
      </c>
      <c r="N132" s="33">
        <f>'Tourism Medium DB-LCU'!O131</f>
        <v>16566.550511164216</v>
      </c>
      <c r="O132" s="33">
        <f>'Tourism Medium DB-LCU'!P131</f>
        <v>17188.74332912992</v>
      </c>
      <c r="P132" s="33">
        <f>'Tourism Medium DB-LCU'!Q131</f>
        <v>17962.94871357024</v>
      </c>
      <c r="Q132" s="81">
        <f t="shared" si="9"/>
        <v>2.864099428245992E-2</v>
      </c>
      <c r="R132" s="81">
        <f t="shared" si="10"/>
        <v>3.6337943213042179E-2</v>
      </c>
    </row>
    <row r="133" spans="1:18" ht="15" customHeight="1">
      <c r="A133" s="4" t="str">
        <f>'Tourism Medium DB-LCU'!A132</f>
        <v>Hungary</v>
      </c>
      <c r="B133" s="4" t="str">
        <f>'Tourism Medium DB-LCU'!B132</f>
        <v>Passenger Airlines</v>
      </c>
      <c r="C133" s="2" t="str">
        <f>'Tourism Medium DB-LCU'!C132</f>
        <v>Revenue per Passenger</v>
      </c>
      <c r="D133" s="4"/>
      <c r="E133" s="4"/>
      <c r="F133" s="4" t="s">
        <v>270</v>
      </c>
      <c r="G133" s="100">
        <f>'Tourism Medium DB-LCU'!H132*Home!C5</f>
        <v>6.3192895218308962</v>
      </c>
      <c r="H133" s="100">
        <f>'Tourism Medium DB-LCU'!I132*Home!D5</f>
        <v>5.0345189785903708</v>
      </c>
      <c r="I133" s="100">
        <f>'Tourism Medium DB-LCU'!J132*Home!E5</f>
        <v>4.3471418747903448</v>
      </c>
      <c r="J133" s="100">
        <f>'Tourism Medium DB-LCU'!K132*Home!F5</f>
        <v>4.1982580117326203</v>
      </c>
      <c r="K133" s="100">
        <f>'Tourism Medium DB-LCU'!L132*Home!G5</f>
        <v>3.7954219067756432</v>
      </c>
      <c r="L133" s="33">
        <f>'Tourism Medium DB-LCU'!M132*Home!H5</f>
        <v>3.8024974641857345</v>
      </c>
      <c r="M133" s="33">
        <f>'Tourism Medium DB-LCU'!N132*Home!I5</f>
        <v>3.8213669228954421</v>
      </c>
      <c r="N133" s="33">
        <f>'Tourism Medium DB-LCU'!O132*Home!J5</f>
        <v>3.9310194689216238</v>
      </c>
      <c r="O133" s="33">
        <f>'Tourism Medium DB-LCU'!P132*Home!K5</f>
        <v>4.0203966982393373</v>
      </c>
      <c r="P133" s="33">
        <f>'Tourism Medium DB-LCU'!Q132*Home!L5</f>
        <v>4.0546309227578838</v>
      </c>
      <c r="Q133" s="81">
        <f t="shared" si="9"/>
        <v>-0.11966503451528265</v>
      </c>
      <c r="R133" s="81">
        <f t="shared" si="10"/>
        <v>1.3300492301720812E-2</v>
      </c>
    </row>
    <row r="134" spans="1:18" ht="15" customHeight="1">
      <c r="A134" s="4" t="str">
        <f>'Tourism Medium DB-LCU'!A133</f>
        <v>Hungary</v>
      </c>
      <c r="B134" s="4" t="str">
        <f>'Tourism Medium DB-LCU'!B133</f>
        <v>Passenger Airlines</v>
      </c>
      <c r="C134" s="2" t="str">
        <f>'Tourism Medium DB-LCU'!C133</f>
        <v>Total Revenue</v>
      </c>
      <c r="D134" s="4"/>
      <c r="E134" s="4"/>
      <c r="F134" s="4" t="s">
        <v>277</v>
      </c>
      <c r="G134" s="644">
        <f>'Tourism Medium DB-LCU'!H133*Home!C5</f>
        <v>177.42019567481765</v>
      </c>
      <c r="H134" s="644">
        <f>'Tourism Medium DB-LCU'!I133*Home!D5</f>
        <v>128.15496440235745</v>
      </c>
      <c r="I134" s="644">
        <f>'Tourism Medium DB-LCU'!J133*Home!E5</f>
        <v>117.05560663531021</v>
      </c>
      <c r="J134" s="644">
        <f>'Tourism Medium DB-LCU'!K133*Home!F5</f>
        <v>126.19407314081703</v>
      </c>
      <c r="K134" s="644">
        <f>'Tourism Medium DB-LCU'!L133*Home!G5</f>
        <v>116.54324603794583</v>
      </c>
      <c r="L134" s="33">
        <f>'Tourism Medium DB-LCU'!M133*Home!H5</f>
        <v>119.64934794900334</v>
      </c>
      <c r="M134" s="33">
        <f>'Tourism Medium DB-LCU'!N133*Home!I5</f>
        <v>123.04510420969628</v>
      </c>
      <c r="N134" s="33">
        <f>'Tourism Medium DB-LCU'!O133*Home!J5</f>
        <v>130.35993744913748</v>
      </c>
      <c r="O134" s="33">
        <f>'Tourism Medium DB-LCU'!P133*Home!K5</f>
        <v>137.73542220086577</v>
      </c>
      <c r="P134" s="33">
        <f>'Tourism Medium DB-LCU'!Q133*Home!L5</f>
        <v>143.63216290864764</v>
      </c>
      <c r="Q134" s="81">
        <f t="shared" si="9"/>
        <v>-9.9733657032602507E-2</v>
      </c>
      <c r="R134" s="81">
        <f t="shared" si="10"/>
        <v>4.268450108975741E-2</v>
      </c>
    </row>
    <row r="135" spans="1:18" ht="15" customHeight="1">
      <c r="A135" s="4" t="str">
        <f>'Tourism Medium DB-LCU'!A134</f>
        <v>Hungary</v>
      </c>
      <c r="B135" s="2" t="str">
        <f>'Tourism Medium DB-LCU'!B134</f>
        <v>Car Rental</v>
      </c>
      <c r="C135" s="4"/>
      <c r="D135" s="4"/>
      <c r="E135" s="4"/>
      <c r="F135" s="4"/>
      <c r="Q135" s="81"/>
      <c r="R135" s="81"/>
    </row>
    <row r="136" spans="1:18" ht="15" customHeight="1">
      <c r="A136" s="4" t="str">
        <f>'Tourism Medium DB-LCU'!A135</f>
        <v>Hungary</v>
      </c>
      <c r="B136" s="4" t="str">
        <f>'Tourism Medium DB-LCU'!B135</f>
        <v>Car Rental</v>
      </c>
      <c r="C136" s="2" t="str">
        <f>'Tourism Medium DB-LCU'!C135</f>
        <v>Market Value by Customer Type</v>
      </c>
      <c r="D136" s="4"/>
      <c r="E136" s="4"/>
      <c r="F136" s="4" t="s">
        <v>277</v>
      </c>
      <c r="G136" s="405">
        <f>'Tourism Medium DB-LCU'!H135*Home!C$5</f>
        <v>11.73561117876768</v>
      </c>
      <c r="H136" s="405">
        <f>'Tourism Medium DB-LCU'!I135*Home!D$5</f>
        <v>9.2530542901597617</v>
      </c>
      <c r="I136" s="405">
        <f>'Tourism Medium DB-LCU'!J135*Home!E$5</f>
        <v>10.11297580477842</v>
      </c>
      <c r="J136" s="405">
        <f>'Tourism Medium DB-LCU'!K135*Home!F$5</f>
        <v>10.975876589948475</v>
      </c>
      <c r="K136" s="405">
        <f>'Tourism Medium DB-LCU'!L135*Home!G$5</f>
        <v>9.4699769281731019</v>
      </c>
      <c r="L136" s="40">
        <f>'Tourism Medium DB-LCU'!M135*Home!H$5</f>
        <v>9.7394466756089688</v>
      </c>
      <c r="M136" s="40">
        <f>'Tourism Medium DB-LCU'!N135*Home!I$5</f>
        <v>10.100331881409037</v>
      </c>
      <c r="N136" s="40">
        <f>'Tourism Medium DB-LCU'!O135*Home!J$5</f>
        <v>10.680814887271701</v>
      </c>
      <c r="O136" s="40">
        <f>'Tourism Medium DB-LCU'!P135*Home!K$5</f>
        <v>11.28757056734845</v>
      </c>
      <c r="P136" s="40">
        <f>'Tourism Medium DB-LCU'!Q135*Home!L$5</f>
        <v>11.694984052505314</v>
      </c>
      <c r="Q136" s="324">
        <f t="shared" si="9"/>
        <v>-5.2212880743290113E-2</v>
      </c>
      <c r="R136" s="324">
        <f t="shared" si="10"/>
        <v>4.3110080990973687E-2</v>
      </c>
    </row>
    <row r="137" spans="1:18" ht="15" customHeight="1">
      <c r="A137" s="4" t="str">
        <f>'Tourism Medium DB-LCU'!A136</f>
        <v>Hungary</v>
      </c>
      <c r="B137" s="4" t="str">
        <f>'Tourism Medium DB-LCU'!B136</f>
        <v>Car Rental</v>
      </c>
      <c r="C137" s="4" t="str">
        <f>'Tourism Medium DB-LCU'!C136</f>
        <v>Market Value by Customer Type</v>
      </c>
      <c r="D137" s="2" t="str">
        <f>'Tourism Medium DB-LCU'!D136</f>
        <v>Business</v>
      </c>
      <c r="E137" s="4"/>
      <c r="F137" s="4" t="s">
        <v>277</v>
      </c>
      <c r="G137" s="64">
        <f>'Tourism Medium DB-LCU'!H136*Home!C$5</f>
        <v>-17.603581961902918</v>
      </c>
      <c r="H137" s="64">
        <f>'Tourism Medium DB-LCU'!I136*Home!D$5</f>
        <v>-8.8439543907000093</v>
      </c>
      <c r="I137" s="64">
        <f>'Tourism Medium DB-LCU'!J136*Home!E$5</f>
        <v>-9.9917718877968422</v>
      </c>
      <c r="J137" s="64">
        <f>'Tourism Medium DB-LCU'!K136*Home!F$5</f>
        <v>-17.907208000588305</v>
      </c>
      <c r="K137" s="64">
        <f>'Tourism Medium DB-LCU'!L136*Home!G$5</f>
        <v>-16.754446998010387</v>
      </c>
      <c r="L137" s="39">
        <f>'Tourism Medium DB-LCU'!M136*Home!H$5</f>
        <v>-17.852978443331477</v>
      </c>
      <c r="M137" s="39">
        <f>'Tourism Medium DB-LCU'!N136*Home!I$5</f>
        <v>-21.785742306026876</v>
      </c>
      <c r="N137" s="39">
        <f>'Tourism Medium DB-LCU'!O136*Home!J$5</f>
        <v>-28.241340216029542</v>
      </c>
      <c r="O137" s="39">
        <f>'Tourism Medium DB-LCU'!P136*Home!K$5</f>
        <v>-33.960991282748523</v>
      </c>
      <c r="P137" s="39">
        <f>'Tourism Medium DB-LCU'!Q136*Home!L$5</f>
        <v>-40.177763488147029</v>
      </c>
      <c r="Q137" s="81">
        <f t="shared" si="9"/>
        <v>-1.2283604580816676E-2</v>
      </c>
      <c r="R137" s="81">
        <f t="shared" si="10"/>
        <v>0.1911628275474555</v>
      </c>
    </row>
    <row r="138" spans="1:18" ht="15" customHeight="1">
      <c r="A138" s="4" t="str">
        <f>'Tourism Medium DB-LCU'!A137</f>
        <v>Hungary</v>
      </c>
      <c r="B138" s="4" t="str">
        <f>'Tourism Medium DB-LCU'!B137</f>
        <v>Car Rental</v>
      </c>
      <c r="C138" s="4" t="str">
        <f>'Tourism Medium DB-LCU'!C137</f>
        <v>Market Value by Customer Type</v>
      </c>
      <c r="D138" s="2" t="str">
        <f>'Tourism Medium DB-LCU'!D137</f>
        <v>Leisure</v>
      </c>
      <c r="E138" s="4"/>
      <c r="F138" s="4" t="s">
        <v>277</v>
      </c>
      <c r="G138" s="64">
        <f>'Tourism Medium DB-LCU'!H137*Home!C$5</f>
        <v>-18.774552055434949</v>
      </c>
      <c r="H138" s="64">
        <f>'Tourism Medium DB-LCU'!I137*Home!D$5</f>
        <v>-17.811166204157043</v>
      </c>
      <c r="I138" s="64">
        <f>'Tourism Medium DB-LCU'!J137*Home!E$5</f>
        <v>-14.530818186416827</v>
      </c>
      <c r="J138" s="64">
        <f>'Tourism Medium DB-LCU'!K137*Home!F$5</f>
        <v>-13.725004625188188</v>
      </c>
      <c r="K138" s="64">
        <f>'Tourism Medium DB-LCU'!L137*Home!G$5</f>
        <v>-13.100133325661048</v>
      </c>
      <c r="L138" s="39">
        <f>'Tourism Medium DB-LCU'!M137*Home!H$5</f>
        <v>-13.030999935918043</v>
      </c>
      <c r="M138" s="39">
        <f>'Tourism Medium DB-LCU'!N137*Home!I$5</f>
        <v>-12.394759288646052</v>
      </c>
      <c r="N138" s="39">
        <f>'Tourism Medium DB-LCU'!O137*Home!J$5</f>
        <v>-12.63932582186294</v>
      </c>
      <c r="O138" s="39">
        <f>'Tourism Medium DB-LCU'!P137*Home!K$5</f>
        <v>-13.166516993019194</v>
      </c>
      <c r="P138" s="39">
        <f>'Tourism Medium DB-LCU'!Q137*Home!L$5</f>
        <v>-13.082877166037932</v>
      </c>
      <c r="Q138" s="81">
        <f t="shared" si="9"/>
        <v>-8.6041380642088772E-2</v>
      </c>
      <c r="R138" s="81">
        <f t="shared" si="10"/>
        <v>-2.6358905916268327E-4</v>
      </c>
    </row>
    <row r="139" spans="1:18" ht="15" customHeight="1">
      <c r="A139" s="4" t="str">
        <f>'Tourism Medium DB-LCU'!A138</f>
        <v>Hungary</v>
      </c>
      <c r="B139" s="4" t="str">
        <f>'Tourism Medium DB-LCU'!B138</f>
        <v>Car Rental</v>
      </c>
      <c r="C139" s="4" t="str">
        <f>'Tourism Medium DB-LCU'!C138</f>
        <v>Market Value by Customer Type</v>
      </c>
      <c r="D139" s="2" t="str">
        <f>'Tourism Medium DB-LCU'!D138</f>
        <v>Insurance Replacement</v>
      </c>
      <c r="E139" s="4"/>
      <c r="F139" s="4" t="s">
        <v>277</v>
      </c>
      <c r="G139" s="64">
        <f>'Tourism Medium DB-LCU'!H138*Home!C$5</f>
        <v>48.113745196105548</v>
      </c>
      <c r="H139" s="64">
        <f>'Tourism Medium DB-LCU'!I138*Home!D$5</f>
        <v>35.908174885016813</v>
      </c>
      <c r="I139" s="64">
        <f>'Tourism Medium DB-LCU'!J138*Home!E$5</f>
        <v>34.635565878992089</v>
      </c>
      <c r="J139" s="64">
        <f>'Tourism Medium DB-LCU'!K138*Home!F$5</f>
        <v>42.608089215724974</v>
      </c>
      <c r="K139" s="64">
        <f>'Tourism Medium DB-LCU'!L138*Home!G$5</f>
        <v>39.324557251844531</v>
      </c>
      <c r="L139" s="39">
        <f>'Tourism Medium DB-LCU'!M138*Home!H$5</f>
        <v>40.623425054858487</v>
      </c>
      <c r="M139" s="39">
        <f>'Tourism Medium DB-LCU'!N138*Home!I$5</f>
        <v>44.280833476081966</v>
      </c>
      <c r="N139" s="39">
        <f>'Tourism Medium DB-LCU'!O138*Home!J$5</f>
        <v>51.561480925164183</v>
      </c>
      <c r="O139" s="39">
        <f>'Tourism Medium DB-LCU'!P138*Home!K$5</f>
        <v>58.415078843116163</v>
      </c>
      <c r="P139" s="39">
        <f>'Tourism Medium DB-LCU'!Q138*Home!L$5</f>
        <v>64.955624706690273</v>
      </c>
      <c r="Q139" s="81">
        <f t="shared" si="9"/>
        <v>-4.9179209349578867E-2</v>
      </c>
      <c r="R139" s="81">
        <f t="shared" si="10"/>
        <v>0.10558104566518556</v>
      </c>
    </row>
    <row r="140" spans="1:18" ht="15" customHeight="1">
      <c r="A140" s="4" t="str">
        <f>'Tourism Medium DB-LCU'!A139</f>
        <v>Hungary</v>
      </c>
      <c r="B140" s="4" t="str">
        <f>'Tourism Medium DB-LCU'!B139</f>
        <v>Car Rental</v>
      </c>
      <c r="C140" s="2" t="str">
        <f>'Tourism Medium DB-LCU'!C139</f>
        <v>Market Value by Rental Location</v>
      </c>
      <c r="D140" s="4"/>
      <c r="E140" s="4"/>
      <c r="F140" s="4" t="s">
        <v>277</v>
      </c>
      <c r="G140" s="405">
        <f>'Tourism Medium DB-LCU'!H139*Home!C$5</f>
        <v>11.73561117876768</v>
      </c>
      <c r="H140" s="405">
        <f>'Tourism Medium DB-LCU'!I139*Home!D$5</f>
        <v>9.2530542901597617</v>
      </c>
      <c r="I140" s="405">
        <f>'Tourism Medium DB-LCU'!J139*Home!E$5</f>
        <v>10.11297580477842</v>
      </c>
      <c r="J140" s="405">
        <f>'Tourism Medium DB-LCU'!K139*Home!F$5</f>
        <v>10.975876589948475</v>
      </c>
      <c r="K140" s="405">
        <f>'Tourism Medium DB-LCU'!L139*Home!G$5</f>
        <v>9.4699769281731019</v>
      </c>
      <c r="L140" s="40">
        <f>'Tourism Medium DB-LCU'!M139*Home!H$5</f>
        <v>9.7394466756089688</v>
      </c>
      <c r="M140" s="40">
        <f>'Tourism Medium DB-LCU'!N139*Home!I$5</f>
        <v>10.100331881409037</v>
      </c>
      <c r="N140" s="40">
        <f>'Tourism Medium DB-LCU'!O139*Home!J$5</f>
        <v>10.680814887271701</v>
      </c>
      <c r="O140" s="40">
        <f>'Tourism Medium DB-LCU'!P139*Home!K$5</f>
        <v>11.28757056734845</v>
      </c>
      <c r="P140" s="40">
        <f>'Tourism Medium DB-LCU'!Q139*Home!L$5</f>
        <v>11.694984052505314</v>
      </c>
      <c r="Q140" s="324">
        <f t="shared" si="9"/>
        <v>-5.2212880743290113E-2</v>
      </c>
      <c r="R140" s="324">
        <f t="shared" si="10"/>
        <v>4.3110080990973687E-2</v>
      </c>
    </row>
    <row r="141" spans="1:18" ht="15" customHeight="1">
      <c r="A141" s="4" t="str">
        <f>'Tourism Medium DB-LCU'!A140</f>
        <v>Hungary</v>
      </c>
      <c r="B141" s="4" t="str">
        <f>'Tourism Medium DB-LCU'!B140</f>
        <v>Car Rental</v>
      </c>
      <c r="C141" s="4" t="str">
        <f>'Tourism Medium DB-LCU'!C140</f>
        <v>Market Value by Rental Location</v>
      </c>
      <c r="D141" s="2" t="str">
        <f>'Tourism Medium DB-LCU'!D140</f>
        <v>Airport</v>
      </c>
      <c r="E141" s="4"/>
      <c r="F141" s="4" t="s">
        <v>277</v>
      </c>
      <c r="G141" s="64">
        <f>'Tourism Medium DB-LCU'!H140*Home!C$5</f>
        <v>2.1350094788550757</v>
      </c>
      <c r="H141" s="64">
        <f>'Tourism Medium DB-LCU'!I140*Home!D$5</f>
        <v>1.7118103545877452</v>
      </c>
      <c r="I141" s="64">
        <f>'Tourism Medium DB-LCU'!J140*Home!E$5</f>
        <v>1.8242302770928778</v>
      </c>
      <c r="J141" s="64">
        <f>'Tourism Medium DB-LCU'!K140*Home!F$5</f>
        <v>1.9605433407492101</v>
      </c>
      <c r="K141" s="64">
        <f>'Tourism Medium DB-LCU'!L140*Home!G$5</f>
        <v>1.7034512355689972</v>
      </c>
      <c r="L141" s="39">
        <f>'Tourism Medium DB-LCU'!M140*Home!H$5</f>
        <v>1.7469752053688379</v>
      </c>
      <c r="M141" s="39">
        <f>'Tourism Medium DB-LCU'!N140*Home!I$5</f>
        <v>1.7977677311134102</v>
      </c>
      <c r="N141" s="39">
        <f>'Tourism Medium DB-LCU'!O140*Home!J$5</f>
        <v>1.8966435287709824</v>
      </c>
      <c r="O141" s="39">
        <f>'Tourism Medium DB-LCU'!P140*Home!K$5</f>
        <v>2.0034426020675928</v>
      </c>
      <c r="P141" s="39">
        <f>'Tourism Medium DB-LCU'!Q140*Home!L$5</f>
        <v>2.0708996175078123</v>
      </c>
      <c r="Q141" s="81">
        <f t="shared" si="9"/>
        <v>-5.4889747217315099E-2</v>
      </c>
      <c r="R141" s="81">
        <f t="shared" si="10"/>
        <v>3.983844090493549E-2</v>
      </c>
    </row>
    <row r="142" spans="1:18" ht="15" customHeight="1">
      <c r="A142" s="4" t="str">
        <f>'Tourism Medium DB-LCU'!A141</f>
        <v>Hungary</v>
      </c>
      <c r="B142" s="4" t="str">
        <f>'Tourism Medium DB-LCU'!B141</f>
        <v>Car Rental</v>
      </c>
      <c r="C142" s="4" t="str">
        <f>'Tourism Medium DB-LCU'!C141</f>
        <v>Market Value by Rental Location</v>
      </c>
      <c r="D142" s="2" t="str">
        <f>'Tourism Medium DB-LCU'!D141</f>
        <v>Non-Airport</v>
      </c>
      <c r="E142" s="4"/>
      <c r="F142" s="4" t="s">
        <v>277</v>
      </c>
      <c r="G142" s="64">
        <f>'Tourism Medium DB-LCU'!H141*Home!C$5</f>
        <v>9.6006016999126054</v>
      </c>
      <c r="H142" s="64">
        <f>'Tourism Medium DB-LCU'!I141*Home!D$5</f>
        <v>7.541243935572016</v>
      </c>
      <c r="I142" s="64">
        <f>'Tourism Medium DB-LCU'!J141*Home!E$5</f>
        <v>8.288745527685542</v>
      </c>
      <c r="J142" s="64">
        <f>'Tourism Medium DB-LCU'!K141*Home!F$5</f>
        <v>9.0153332491992657</v>
      </c>
      <c r="K142" s="64">
        <f>'Tourism Medium DB-LCU'!L141*Home!G$5</f>
        <v>7.7665256926041044</v>
      </c>
      <c r="L142" s="39">
        <f>'Tourism Medium DB-LCU'!M141*Home!H$5</f>
        <v>7.9924714702401314</v>
      </c>
      <c r="M142" s="39">
        <f>'Tourism Medium DB-LCU'!N141*Home!I$5</f>
        <v>8.3025641502956269</v>
      </c>
      <c r="N142" s="39">
        <f>'Tourism Medium DB-LCU'!O141*Home!J$5</f>
        <v>8.7841713585007177</v>
      </c>
      <c r="O142" s="39">
        <f>'Tourism Medium DB-LCU'!P141*Home!K$5</f>
        <v>9.2841279652808577</v>
      </c>
      <c r="P142" s="39">
        <f>'Tourism Medium DB-LCU'!Q141*Home!L$5</f>
        <v>9.6240844349975028</v>
      </c>
      <c r="Q142" s="81">
        <f t="shared" si="9"/>
        <v>-5.1620663952334778E-2</v>
      </c>
      <c r="R142" s="81">
        <f t="shared" si="10"/>
        <v>4.3822197750468694E-2</v>
      </c>
    </row>
    <row r="143" spans="1:18" ht="15" customHeight="1">
      <c r="A143" s="4" t="str">
        <f>'Tourism Medium DB-LCU'!A142</f>
        <v>Hungary</v>
      </c>
      <c r="B143" s="4" t="str">
        <f>'Tourism Medium DB-LCU'!B142</f>
        <v>Car Rental</v>
      </c>
      <c r="C143" s="2" t="str">
        <f>'Tourism Medium DB-LCU'!C142</f>
        <v>Fleet Size by Type of Car</v>
      </c>
      <c r="D143" s="4"/>
      <c r="E143" s="4"/>
      <c r="F143" s="4" t="s">
        <v>175</v>
      </c>
      <c r="G143" s="627">
        <f>'Tourism Medium DB-LCU'!H142</f>
        <v>22751</v>
      </c>
      <c r="H143" s="627">
        <f>'Tourism Medium DB-LCU'!I142</f>
        <v>25913</v>
      </c>
      <c r="I143" s="627">
        <f>'Tourism Medium DB-LCU'!J142</f>
        <v>26361</v>
      </c>
      <c r="J143" s="627">
        <f>'Tourism Medium DB-LCU'!K142</f>
        <v>28640</v>
      </c>
      <c r="K143" s="627">
        <f>'Tourism Medium DB-LCU'!L142</f>
        <v>28051</v>
      </c>
      <c r="L143" s="20">
        <f>'Tourism Medium DB-LCU'!M142</f>
        <v>28487.254433838923</v>
      </c>
      <c r="M143" s="20">
        <f>'Tourism Medium DB-LCU'!N142</f>
        <v>28775.07568982428</v>
      </c>
      <c r="N143" s="20">
        <f>'Tourism Medium DB-LCU'!O142</f>
        <v>29108.880889999713</v>
      </c>
      <c r="O143" s="20">
        <f>'Tourism Medium DB-LCU'!P142</f>
        <v>29644.724427262969</v>
      </c>
      <c r="P143" s="20">
        <f>'Tourism Medium DB-LCU'!Q142</f>
        <v>30057.585643225801</v>
      </c>
      <c r="Q143" s="324">
        <f t="shared" ref="Q143:Q148" si="11">(K143/G143)^(1/4)-1</f>
        <v>5.3748487908437337E-2</v>
      </c>
      <c r="R143" s="324">
        <f t="shared" ref="R143:R148" si="12">(P143/K143)^(1/5)-1</f>
        <v>1.3914068231170251E-2</v>
      </c>
    </row>
    <row r="144" spans="1:18" ht="15" customHeight="1">
      <c r="A144" s="4" t="str">
        <f>'Tourism Medium DB-LCU'!A143</f>
        <v>Hungary</v>
      </c>
      <c r="B144" s="4" t="str">
        <f>'Tourism Medium DB-LCU'!B143</f>
        <v>Car Rental</v>
      </c>
      <c r="C144" s="2" t="str">
        <f>'Tourism Medium DB-LCU'!C143</f>
        <v>Number of Rental Occasions</v>
      </c>
      <c r="D144" s="4"/>
      <c r="E144" s="4"/>
      <c r="F144" s="4" t="s">
        <v>177</v>
      </c>
      <c r="G144" s="628">
        <f>'Tourism Medium DB-LCU'!H143</f>
        <v>1.0780523637058455</v>
      </c>
      <c r="H144" s="628">
        <f>'Tourism Medium DB-LCU'!I143</f>
        <v>1.2030183883320529</v>
      </c>
      <c r="I144" s="628">
        <f>'Tourism Medium DB-LCU'!J143</f>
        <v>1.2142702810193595</v>
      </c>
      <c r="J144" s="628">
        <f>'Tourism Medium DB-LCU'!K143</f>
        <v>1.3349704659661277</v>
      </c>
      <c r="K144" s="628">
        <f>'Tourism Medium DB-LCU'!L143</f>
        <v>1.3100132790610755</v>
      </c>
      <c r="L144" s="39">
        <f>'Tourism Medium DB-LCU'!M143</f>
        <v>1.3311325785864183</v>
      </c>
      <c r="M144" s="39">
        <f>'Tourism Medium DB-LCU'!N143</f>
        <v>1.3515449778513566</v>
      </c>
      <c r="N144" s="39">
        <f>'Tourism Medium DB-LCU'!O143</f>
        <v>1.3701134383510227</v>
      </c>
      <c r="O144" s="39">
        <f>'Tourism Medium DB-LCU'!P143</f>
        <v>1.3912787911202142</v>
      </c>
      <c r="P144" s="39">
        <f>'Tourism Medium DB-LCU'!Q143</f>
        <v>1.4051925126816738</v>
      </c>
      <c r="Q144" s="81">
        <f t="shared" si="11"/>
        <v>4.9926652449049369E-2</v>
      </c>
      <c r="R144" s="81">
        <f t="shared" si="12"/>
        <v>1.4126253578259584E-2</v>
      </c>
    </row>
    <row r="145" spans="1:25" ht="15" customHeight="1">
      <c r="A145" s="4" t="str">
        <f>'Tourism Medium DB-LCU'!A144</f>
        <v>Hungary</v>
      </c>
      <c r="B145" s="4" t="str">
        <f>'Tourism Medium DB-LCU'!B144</f>
        <v>Car Rental</v>
      </c>
      <c r="C145" s="2" t="str">
        <f>'Tourism Medium DB-LCU'!C144</f>
        <v>Number of Rental Days</v>
      </c>
      <c r="D145" s="4"/>
      <c r="E145" s="4"/>
      <c r="F145" s="4" t="s">
        <v>177</v>
      </c>
      <c r="G145" s="628">
        <f>'Tourism Medium DB-LCU'!H144</f>
        <v>5.9041598974397891</v>
      </c>
      <c r="H145" s="628">
        <f>'Tourism Medium DB-LCU'!I144</f>
        <v>6.8686189956796344</v>
      </c>
      <c r="I145" s="628">
        <f>'Tourism Medium DB-LCU'!J144</f>
        <v>7.0020660734926974</v>
      </c>
      <c r="J145" s="628">
        <f>'Tourism Medium DB-LCU'!K144</f>
        <v>7.5225647729096545</v>
      </c>
      <c r="K145" s="628">
        <f>'Tourism Medium DB-LCU'!L144</f>
        <v>7.5081894803578306</v>
      </c>
      <c r="L145" s="60">
        <f>'Tourism Medium DB-LCU'!M144</f>
        <v>7.7140248844381256</v>
      </c>
      <c r="M145" s="60">
        <f>'Tourism Medium DB-LCU'!N144</f>
        <v>7.9412147767709254</v>
      </c>
      <c r="N145" s="60">
        <f>'Tourism Medium DB-LCU'!O144</f>
        <v>8.1340882368926462</v>
      </c>
      <c r="O145" s="39">
        <f>'Tourism Medium DB-LCU'!P144</f>
        <v>8.3591442604072448</v>
      </c>
      <c r="P145" s="39">
        <f>'Tourism Medium DB-LCU'!Q144</f>
        <v>8.5360850110249462</v>
      </c>
      <c r="Q145" s="81">
        <f t="shared" si="11"/>
        <v>6.192605934365969E-2</v>
      </c>
      <c r="R145" s="81">
        <f t="shared" si="12"/>
        <v>2.5993717573006947E-2</v>
      </c>
    </row>
    <row r="146" spans="1:25" ht="15" customHeight="1">
      <c r="A146" s="4" t="str">
        <f>'Tourism Medium DB-LCU'!A145</f>
        <v>Hungary</v>
      </c>
      <c r="B146" s="4" t="str">
        <f>'Tourism Medium DB-LCU'!B145</f>
        <v>Car Rental</v>
      </c>
      <c r="C146" s="2" t="str">
        <f>'Tourism Medium DB-LCU'!C145</f>
        <v>Average Rental Length</v>
      </c>
      <c r="D146" s="4"/>
      <c r="E146" s="4"/>
      <c r="F146" s="4" t="s">
        <v>450</v>
      </c>
      <c r="G146" s="388">
        <f>'Tourism Medium DB-LCU'!H145</f>
        <v>5.4766912037037034</v>
      </c>
      <c r="H146" s="388">
        <f>'Tourism Medium DB-LCU'!I145</f>
        <v>5.7094879532163745</v>
      </c>
      <c r="I146" s="388">
        <f>'Tourism Medium DB-LCU'!J145</f>
        <v>5.7664806451612902</v>
      </c>
      <c r="J146" s="388">
        <f>'Tourism Medium DB-LCU'!K145</f>
        <v>5.63500464219298</v>
      </c>
      <c r="K146" s="388">
        <f>'Tourism Medium DB-LCU'!L145</f>
        <v>5.7313842541650937</v>
      </c>
      <c r="L146" s="39">
        <f>'Tourism Medium DB-LCU'!M145</f>
        <v>5.7950838320176565</v>
      </c>
      <c r="M146" s="39">
        <f>'Tourism Medium DB-LCU'!N145</f>
        <v>5.8756570494572937</v>
      </c>
      <c r="N146" s="39">
        <f>'Tourism Medium DB-LCU'!O145</f>
        <v>5.9367991067092172</v>
      </c>
      <c r="O146" s="39">
        <f>'Tourism Medium DB-LCU'!P145</f>
        <v>6.0082453019187643</v>
      </c>
      <c r="P146" s="39">
        <f>'Tourism Medium DB-LCU'!Q145</f>
        <v>6.0746729960399906</v>
      </c>
      <c r="Q146" s="81">
        <f t="shared" si="11"/>
        <v>1.1428804923296898E-2</v>
      </c>
      <c r="R146" s="81">
        <f t="shared" si="12"/>
        <v>1.1702156366501626E-2</v>
      </c>
    </row>
    <row r="147" spans="1:25" ht="15" customHeight="1">
      <c r="A147" s="4" t="str">
        <f>'Tourism Medium DB-LCU'!A146</f>
        <v>Hungary</v>
      </c>
      <c r="B147" s="4" t="str">
        <f>'Tourism Medium DB-LCU'!B146</f>
        <v>Car Rental</v>
      </c>
      <c r="C147" s="2" t="str">
        <f>'Tourism Medium DB-LCU'!C146</f>
        <v>Utilization Rate</v>
      </c>
      <c r="D147" s="4"/>
      <c r="E147" s="4"/>
      <c r="F147" s="4" t="s">
        <v>176</v>
      </c>
      <c r="G147" s="389">
        <f>'Tourism Medium DB-LCU'!H146</f>
        <v>0.71099206808188342</v>
      </c>
      <c r="H147" s="389">
        <f>'Tourism Medium DB-LCU'!I146</f>
        <v>0.72620438524056363</v>
      </c>
      <c r="I147" s="389">
        <f>'Tourism Medium DB-LCU'!J146</f>
        <v>0.72773197781204357</v>
      </c>
      <c r="J147" s="389">
        <f>'Tourism Medium DB-LCU'!K146</f>
        <v>0.71961475213415993</v>
      </c>
      <c r="K147" s="389">
        <f>'Tourism Medium DB-LCU'!L146</f>
        <v>0.73332081344574729</v>
      </c>
      <c r="L147" s="32">
        <f>'Tourism Medium DB-LCU'!M146</f>
        <v>0.74188668483195874</v>
      </c>
      <c r="M147" s="32">
        <f>'Tourism Medium DB-LCU'!N146</f>
        <v>0.75609715323059468</v>
      </c>
      <c r="N147" s="32">
        <f>'Tourism Medium DB-LCU'!O146</f>
        <v>0.76557987014254103</v>
      </c>
      <c r="O147" s="32">
        <f>'Tourism Medium DB-LCU'!P146</f>
        <v>0.77254100145874149</v>
      </c>
      <c r="P147" s="32">
        <f>'Tourism Medium DB-LCU'!Q146</f>
        <v>0.77805764422903312</v>
      </c>
      <c r="Q147" s="81">
        <f t="shared" si="11"/>
        <v>7.7604585240771407E-3</v>
      </c>
      <c r="R147" s="81">
        <f t="shared" si="12"/>
        <v>1.1913878819050705E-2</v>
      </c>
    </row>
    <row r="148" spans="1:25" ht="15" customHeight="1">
      <c r="A148" s="4" t="str">
        <f>'Tourism Medium DB-LCU'!A147</f>
        <v>Hungary</v>
      </c>
      <c r="B148" s="4" t="str">
        <f>'Tourism Medium DB-LCU'!B147</f>
        <v>Car Rental</v>
      </c>
      <c r="C148" s="2" t="str">
        <f>'Tourism Medium DB-LCU'!C147</f>
        <v>Average Revenue per Day</v>
      </c>
      <c r="D148" s="4"/>
      <c r="E148" s="4"/>
      <c r="F148" s="4" t="s">
        <v>270</v>
      </c>
      <c r="G148" s="628">
        <f>'Tourism Medium DB-LCU'!H147*Home!C$5</f>
        <v>1.9876851885154017</v>
      </c>
      <c r="H148" s="628">
        <f>'Tourism Medium DB-LCU'!I147*Home!D$5</f>
        <v>1.3471491570547061</v>
      </c>
      <c r="I148" s="628">
        <f>'Tourism Medium DB-LCU'!J147*Home!E$5</f>
        <v>1.4442845438237877</v>
      </c>
      <c r="J148" s="628">
        <f>'Tourism Medium DB-LCU'!K147*Home!F$5</f>
        <v>1.4590604296921348</v>
      </c>
      <c r="K148" s="628">
        <f>'Tourism Medium DB-LCU'!L147*Home!G$5</f>
        <v>1.2612863531144893</v>
      </c>
      <c r="L148" s="39">
        <f>'Tourism Medium DB-LCU'!M147*Home!H$5</f>
        <v>1.2625635542421989</v>
      </c>
      <c r="M148" s="39">
        <f>'Tourism Medium DB-LCU'!N147*Home!I$5</f>
        <v>1.2718875090689912</v>
      </c>
      <c r="N148" s="39">
        <f>'Tourism Medium DB-LCU'!O147*Home!J$5</f>
        <v>1.3130930690950982</v>
      </c>
      <c r="O148" s="39">
        <f>'Tourism Medium DB-LCU'!P147*Home!K$5</f>
        <v>1.3503260879001191</v>
      </c>
      <c r="P148" s="39">
        <f>'Tourism Medium DB-LCU'!Q147*Home!L$5</f>
        <v>1.3700641497127115</v>
      </c>
      <c r="Q148" s="81">
        <f t="shared" si="11"/>
        <v>-0.10748294486481969</v>
      </c>
      <c r="R148" s="81">
        <f t="shared" si="12"/>
        <v>1.668271756912465E-2</v>
      </c>
    </row>
    <row r="149" spans="1:25" ht="15" customHeight="1">
      <c r="A149" s="4" t="str">
        <f>'Tourism Medium DB-LCU'!A148</f>
        <v>Hungary</v>
      </c>
      <c r="B149" s="2" t="str">
        <f>'Tourism Medium DB-LCU'!B148</f>
        <v>Hotels</v>
      </c>
      <c r="C149" s="4"/>
      <c r="D149" s="4"/>
      <c r="E149" s="4"/>
      <c r="F149" s="4"/>
      <c r="Q149" s="81"/>
      <c r="R149" s="81"/>
    </row>
    <row r="150" spans="1:25" ht="15" customHeight="1">
      <c r="A150" s="4" t="str">
        <f>'Tourism Medium DB-LCU'!A149</f>
        <v>Hungary</v>
      </c>
      <c r="B150" s="4" t="str">
        <f>'Tourism Medium DB-LCU'!B149</f>
        <v>Hotels</v>
      </c>
      <c r="C150" s="2" t="str">
        <f>'Tourism Medium DB-LCU'!C149</f>
        <v>Number of Establishments</v>
      </c>
      <c r="D150" s="4"/>
      <c r="E150" s="4"/>
      <c r="F150" s="1" t="str">
        <f>'Tourism Medium DB-LCU'!F149</f>
        <v>Actual</v>
      </c>
      <c r="G150" s="1">
        <f>'Tourism Medium DB-LCU'!H149</f>
        <v>5599</v>
      </c>
      <c r="H150" s="1">
        <f>'Tourism Medium DB-LCU'!I149</f>
        <v>5737</v>
      </c>
      <c r="I150" s="1">
        <f>'Tourism Medium DB-LCU'!J149</f>
        <v>5670</v>
      </c>
      <c r="J150" s="1">
        <f>'Tourism Medium DB-LCU'!K149</f>
        <v>5540</v>
      </c>
      <c r="K150" s="649">
        <f>'Tourism Medium DB-LCU'!L149</f>
        <v>7864</v>
      </c>
      <c r="L150" s="33">
        <f>'Tourism Medium DB-LCU'!M149</f>
        <v>8134.918784071453</v>
      </c>
      <c r="M150" s="33">
        <f>'Tourism Medium DB-LCU'!N149</f>
        <v>8842.1065292181411</v>
      </c>
      <c r="N150" s="33">
        <f>'Tourism Medium DB-LCU'!O149</f>
        <v>9659.4926429886145</v>
      </c>
      <c r="O150" s="33">
        <f>'Tourism Medium DB-LCU'!P149</f>
        <v>10641.108581559691</v>
      </c>
      <c r="P150" s="33">
        <f>'Tourism Medium DB-LCU'!Q149</f>
        <v>11149.385420981365</v>
      </c>
      <c r="Q150" s="19">
        <f t="shared" ref="Q150:Q165" si="13">(K150/G150)^(1/4)-1</f>
        <v>8.8637422467378935E-2</v>
      </c>
      <c r="R150" s="19">
        <f t="shared" ref="R150:R165" si="14">(P150/K150)^(1/5)-1</f>
        <v>7.2312786852233968E-2</v>
      </c>
      <c r="S150" s="418" t="s">
        <v>229</v>
      </c>
      <c r="T150" s="418" t="s">
        <v>233</v>
      </c>
      <c r="U150" s="238"/>
      <c r="X150" s="1">
        <v>4</v>
      </c>
      <c r="Y150" s="1" t="s">
        <v>302</v>
      </c>
    </row>
    <row r="151" spans="1:25" ht="15" customHeight="1">
      <c r="A151" s="4" t="str">
        <f>'Tourism Medium DB-LCU'!A150</f>
        <v>Hungary</v>
      </c>
      <c r="B151" s="4" t="str">
        <f>'Tourism Medium DB-LCU'!B150</f>
        <v>Hotels</v>
      </c>
      <c r="C151" s="2" t="str">
        <f>'Tourism Medium DB-LCU'!C150</f>
        <v>Number of Rooms</v>
      </c>
      <c r="D151" s="4"/>
      <c r="E151" s="4"/>
      <c r="F151" s="1" t="str">
        <f>'Tourism Medium DB-LCU'!F150</f>
        <v>Actual</v>
      </c>
      <c r="G151" s="465">
        <f>'Tourism Medium DB-LCU'!H150</f>
        <v>65815</v>
      </c>
      <c r="H151" s="465">
        <f>'Tourism Medium DB-LCU'!I150</f>
        <v>67310</v>
      </c>
      <c r="I151" s="465">
        <f>'Tourism Medium DB-LCU'!J150</f>
        <v>69129</v>
      </c>
      <c r="J151" s="465">
        <f>'Tourism Medium DB-LCU'!K150</f>
        <v>66029</v>
      </c>
      <c r="K151" s="465">
        <f>'Tourism Medium DB-LCU'!L150</f>
        <v>70252</v>
      </c>
      <c r="L151" s="33">
        <f>'Tourism Medium DB-LCU'!M150</f>
        <v>68816.786870399257</v>
      </c>
      <c r="M151" s="33">
        <f>'Tourism Medium DB-LCU'!N150</f>
        <v>71862.631762585865</v>
      </c>
      <c r="N151" s="33">
        <f>'Tourism Medium DB-LCU'!O150</f>
        <v>74721.102316365635</v>
      </c>
      <c r="O151" s="33">
        <f>'Tourism Medium DB-LCU'!P150</f>
        <v>74725.727906830449</v>
      </c>
      <c r="P151" s="33">
        <f>'Tourism Medium DB-LCU'!Q150</f>
        <v>74179.933061612523</v>
      </c>
      <c r="Q151" s="19">
        <f t="shared" si="13"/>
        <v>1.6443988667009579E-2</v>
      </c>
      <c r="R151" s="19">
        <f t="shared" si="14"/>
        <v>1.0940391565981811E-2</v>
      </c>
      <c r="S151" s="418" t="s">
        <v>240</v>
      </c>
      <c r="T151" s="418" t="s">
        <v>235</v>
      </c>
      <c r="U151" s="418"/>
      <c r="V151" s="418" t="s">
        <v>235</v>
      </c>
      <c r="X151" s="1">
        <v>2</v>
      </c>
      <c r="Y151" s="1" t="s">
        <v>289</v>
      </c>
    </row>
    <row r="152" spans="1:25" ht="15" customHeight="1">
      <c r="A152" s="4" t="str">
        <f>'Tourism Medium DB-LCU'!A151</f>
        <v>Hungary</v>
      </c>
      <c r="B152" s="4" t="str">
        <f>'Tourism Medium DB-LCU'!B151</f>
        <v>Hotels</v>
      </c>
      <c r="C152" s="2" t="str">
        <f>'Tourism Medium DB-LCU'!C151</f>
        <v>Room Occupancy Rate</v>
      </c>
      <c r="D152" s="4"/>
      <c r="E152" s="4"/>
      <c r="F152" s="1" t="str">
        <f>'Tourism Medium DB-LCU'!F151</f>
        <v>%</v>
      </c>
      <c r="G152" s="636">
        <f>'Tourism Medium DB-LCU'!H151</f>
        <v>0.48499999999999999</v>
      </c>
      <c r="H152" s="636">
        <f>'Tourism Medium DB-LCU'!I151</f>
        <v>0.43099999999999999</v>
      </c>
      <c r="I152" s="636">
        <f>'Tourism Medium DB-LCU'!J151</f>
        <v>0.44299999999999995</v>
      </c>
      <c r="J152" s="636">
        <f>'Tourism Medium DB-LCU'!K151</f>
        <v>0.45899999999999996</v>
      </c>
      <c r="K152" s="636">
        <f>'Tourism Medium DB-LCU'!L151</f>
        <v>0.47700000000000004</v>
      </c>
      <c r="L152" s="37">
        <f>'Tourism Medium DB-LCU'!M151</f>
        <v>0.49148620151387556</v>
      </c>
      <c r="M152" s="37">
        <f>'Tourism Medium DB-LCU'!N151</f>
        <v>0.48395902595397294</v>
      </c>
      <c r="N152" s="37">
        <f>'Tourism Medium DB-LCU'!O151</f>
        <v>0.44068718587636735</v>
      </c>
      <c r="O152" s="37">
        <f>'Tourism Medium DB-LCU'!P151</f>
        <v>0.44292727355082173</v>
      </c>
      <c r="P152" s="37">
        <f>'Tourism Medium DB-LCU'!Q151</f>
        <v>0.44750265910872766</v>
      </c>
      <c r="Q152" s="19">
        <f t="shared" si="13"/>
        <v>-4.1494670841006887E-3</v>
      </c>
      <c r="R152" s="19">
        <f t="shared" si="14"/>
        <v>-1.2685652299119665E-2</v>
      </c>
      <c r="S152" s="418" t="s">
        <v>241</v>
      </c>
      <c r="T152" s="238"/>
      <c r="U152" s="418" t="s">
        <v>230</v>
      </c>
      <c r="V152" s="418" t="s">
        <v>233</v>
      </c>
      <c r="X152" s="1">
        <v>2</v>
      </c>
      <c r="Y152" s="1" t="s">
        <v>291</v>
      </c>
    </row>
    <row r="153" spans="1:25" ht="15" customHeight="1">
      <c r="A153" s="4" t="str">
        <f>'Tourism Medium DB-LCU'!A152</f>
        <v>Hungary</v>
      </c>
      <c r="B153" s="4" t="str">
        <f>'Tourism Medium DB-LCU'!B152</f>
        <v>Hotels</v>
      </c>
      <c r="C153" s="2" t="str">
        <f>'Tourism Medium DB-LCU'!C152</f>
        <v>Number of Rooms Nights Available</v>
      </c>
      <c r="D153" s="4"/>
      <c r="E153" s="4"/>
      <c r="F153" s="1" t="str">
        <f>'Tourism Medium DB-LCU'!F152</f>
        <v>Million</v>
      </c>
      <c r="G153" s="640">
        <f>'Tourism Medium DB-LCU'!H152</f>
        <v>24.022475</v>
      </c>
      <c r="H153" s="640">
        <f>'Tourism Medium DB-LCU'!I152</f>
        <v>24.568149999999999</v>
      </c>
      <c r="I153" s="640">
        <f>'Tourism Medium DB-LCU'!J152</f>
        <v>25.232085000000001</v>
      </c>
      <c r="J153" s="640">
        <f>'Tourism Medium DB-LCU'!K152</f>
        <v>24.100584999999999</v>
      </c>
      <c r="K153" s="640">
        <f>'Tourism Medium DB-LCU'!L152</f>
        <v>25.64198</v>
      </c>
      <c r="L153" s="97">
        <f>'Tourism Medium DB-LCU'!M152</f>
        <v>25.118127207695728</v>
      </c>
      <c r="M153" s="97">
        <f>'Tourism Medium DB-LCU'!N152</f>
        <v>26.22986059334384</v>
      </c>
      <c r="N153" s="97">
        <f>'Tourism Medium DB-LCU'!O152</f>
        <v>27.273202345473457</v>
      </c>
      <c r="O153" s="97">
        <f>'Tourism Medium DB-LCU'!P152</f>
        <v>27.274890685993114</v>
      </c>
      <c r="P153" s="97">
        <f>'Tourism Medium DB-LCU'!Q152</f>
        <v>27.07567556748857</v>
      </c>
      <c r="Q153" s="19">
        <f t="shared" si="13"/>
        <v>1.6443988667009579E-2</v>
      </c>
      <c r="R153" s="19">
        <f t="shared" si="14"/>
        <v>1.0940391565981811E-2</v>
      </c>
      <c r="S153" s="418" t="s">
        <v>240</v>
      </c>
      <c r="T153" s="418" t="s">
        <v>235</v>
      </c>
      <c r="U153" s="418"/>
      <c r="V153" s="418" t="s">
        <v>235</v>
      </c>
      <c r="X153" s="1">
        <v>2</v>
      </c>
      <c r="Y153" s="1" t="s">
        <v>292</v>
      </c>
    </row>
    <row r="154" spans="1:25" ht="15" customHeight="1">
      <c r="A154" s="4" t="str">
        <f>'Tourism Medium DB-LCU'!A153</f>
        <v>Hungary</v>
      </c>
      <c r="B154" s="4" t="str">
        <f>'Tourism Medium DB-LCU'!B153</f>
        <v>Hotels</v>
      </c>
      <c r="C154" s="2" t="str">
        <f>'Tourism Medium DB-LCU'!C153</f>
        <v>Number of Rooms Nights Occupied</v>
      </c>
      <c r="D154" s="4"/>
      <c r="E154" s="4"/>
      <c r="F154" s="1" t="str">
        <f>'Tourism Medium DB-LCU'!F153</f>
        <v>Million</v>
      </c>
      <c r="G154" s="640">
        <f>'Tourism Medium DB-LCU'!H153</f>
        <v>11.650900374999999</v>
      </c>
      <c r="H154" s="640">
        <f>'Tourism Medium DB-LCU'!I153</f>
        <v>10.588872649999999</v>
      </c>
      <c r="I154" s="640">
        <f>'Tourism Medium DB-LCU'!J153</f>
        <v>11.177813655</v>
      </c>
      <c r="J154" s="640">
        <f>'Tourism Medium DB-LCU'!K153</f>
        <v>11.062168514999998</v>
      </c>
      <c r="K154" s="640">
        <f>'Tourism Medium DB-LCU'!L153</f>
        <v>12.231224460000002</v>
      </c>
      <c r="L154" s="99">
        <f>'Tourism Medium DB-LCU'!M153</f>
        <v>12.345212930452703</v>
      </c>
      <c r="M154" s="99">
        <f>'Tourism Medium DB-LCU'!N153</f>
        <v>12.694177783663184</v>
      </c>
      <c r="N154" s="99">
        <f>'Tourism Medium DB-LCU'!O153</f>
        <v>12.018950791463439</v>
      </c>
      <c r="O154" s="99">
        <f>'Tourism Medium DB-LCU'!P153</f>
        <v>12.080792967943632</v>
      </c>
      <c r="P154" s="99">
        <f>'Tourism Medium DB-LCU'!Q153</f>
        <v>12.116436813616344</v>
      </c>
      <c r="Q154" s="19">
        <f t="shared" si="13"/>
        <v>1.2226287793204005E-2</v>
      </c>
      <c r="R154" s="19">
        <f t="shared" si="14"/>
        <v>-1.8840467365601743E-3</v>
      </c>
      <c r="S154" s="418" t="s">
        <v>236</v>
      </c>
      <c r="T154" s="418" t="s">
        <v>231</v>
      </c>
      <c r="U154" s="418" t="s">
        <v>232</v>
      </c>
      <c r="V154" s="418" t="s">
        <v>228</v>
      </c>
      <c r="W154" s="418" t="s">
        <v>233</v>
      </c>
      <c r="X154" s="1">
        <v>2</v>
      </c>
      <c r="Y154" s="1" t="s">
        <v>290</v>
      </c>
    </row>
    <row r="155" spans="1:25" ht="15" customHeight="1">
      <c r="A155" s="4" t="str">
        <f>'Tourism Medium DB-LCU'!A154</f>
        <v>Hungary</v>
      </c>
      <c r="B155" s="4" t="str">
        <f>'Tourism Medium DB-LCU'!B154</f>
        <v>Hotels</v>
      </c>
      <c r="C155" s="2" t="str">
        <f>'Tourism Medium DB-LCU'!C154</f>
        <v>Revenue per Available Room</v>
      </c>
      <c r="D155" s="4"/>
      <c r="E155" s="4"/>
      <c r="F155" s="1" t="s">
        <v>179</v>
      </c>
      <c r="G155" s="97">
        <f>'Tourism Medium DB-LCU'!H154*Home!C$5</f>
        <v>37.461995353981393</v>
      </c>
      <c r="H155" s="97">
        <f>'Tourism Medium DB-LCU'!I154*Home!D$5</f>
        <v>31.709678760648913</v>
      </c>
      <c r="I155" s="97">
        <f>'Tourism Medium DB-LCU'!J154*Home!E$5</f>
        <v>30.23168358445205</v>
      </c>
      <c r="J155" s="97">
        <f>'Tourism Medium DB-LCU'!K154*Home!F$5</f>
        <v>32.970470766705624</v>
      </c>
      <c r="K155" s="97">
        <f>'Tourism Medium DB-LCU'!L154*Home!G$5</f>
        <v>30.982706154099283</v>
      </c>
      <c r="L155" s="39">
        <f>'Tourism Medium DB-LCU'!M154*Home!H$5</f>
        <v>31.380043348817917</v>
      </c>
      <c r="M155" s="39">
        <f>'Tourism Medium DB-LCU'!N154*Home!I$5</f>
        <v>31.433687082122489</v>
      </c>
      <c r="N155" s="39">
        <f>'Tourism Medium DB-LCU'!O154*Home!J$5</f>
        <v>31.573132814557457</v>
      </c>
      <c r="O155" s="39">
        <f>'Tourism Medium DB-LCU'!P154*Home!K$5</f>
        <v>32.735763321887262</v>
      </c>
      <c r="P155" s="39">
        <f>'Tourism Medium DB-LCU'!Q154*Home!L$5</f>
        <v>32.884944636623452</v>
      </c>
      <c r="Q155" s="19">
        <f t="shared" si="13"/>
        <v>-4.6365156809324071E-2</v>
      </c>
      <c r="R155" s="19">
        <f t="shared" si="14"/>
        <v>1.1988444251980868E-2</v>
      </c>
      <c r="S155" s="418" t="s">
        <v>234</v>
      </c>
      <c r="U155" s="418" t="s">
        <v>245</v>
      </c>
      <c r="X155" s="1">
        <v>2</v>
      </c>
      <c r="Y155" s="1" t="s">
        <v>293</v>
      </c>
    </row>
    <row r="156" spans="1:25" ht="15" customHeight="1">
      <c r="A156" s="4" t="str">
        <f>'Tourism Medium DB-LCU'!A155</f>
        <v>Hungary</v>
      </c>
      <c r="B156" s="4" t="str">
        <f>'Tourism Medium DB-LCU'!B155</f>
        <v>Hotels</v>
      </c>
      <c r="C156" s="2" t="str">
        <f>'Tourism Medium DB-LCU'!C155</f>
        <v>Revenue per Occupied Room</v>
      </c>
      <c r="D156" s="4"/>
      <c r="E156" s="4"/>
      <c r="F156" s="1" t="s">
        <v>179</v>
      </c>
      <c r="G156" s="640">
        <f>'Tourism Medium DB-LCU'!H155*Home!C$5</f>
        <v>77.241227533982268</v>
      </c>
      <c r="H156" s="640">
        <f>'Tourism Medium DB-LCU'!I155*Home!D$5</f>
        <v>73.572340511946436</v>
      </c>
      <c r="I156" s="640">
        <f>'Tourism Medium DB-LCU'!J155*Home!E$5</f>
        <v>68.243078068740516</v>
      </c>
      <c r="J156" s="640">
        <f>'Tourism Medium DB-LCU'!K155*Home!F$5</f>
        <v>71.831090995001361</v>
      </c>
      <c r="K156" s="640">
        <f>'Tourism Medium DB-LCU'!L155*Home!G$5</f>
        <v>64.953262377566631</v>
      </c>
      <c r="L156" s="39">
        <f>'Tourism Medium DB-LCU'!M155*Home!H$5</f>
        <v>63.847251972000684</v>
      </c>
      <c r="M156" s="39">
        <f>'Tourism Medium DB-LCU'!N155*Home!I$5</f>
        <v>64.95113304305228</v>
      </c>
      <c r="N156" s="39">
        <f>'Tourism Medium DB-LCU'!O155*Home!J$5</f>
        <v>71.645225516984155</v>
      </c>
      <c r="O156" s="39">
        <f>'Tourism Medium DB-LCU'!P155*Home!K$5</f>
        <v>73.907761559711545</v>
      </c>
      <c r="P156" s="39">
        <f>'Tourism Medium DB-LCU'!Q155*Home!L$5</f>
        <v>73.485473141364167</v>
      </c>
      <c r="Q156" s="19">
        <f t="shared" si="13"/>
        <v>-4.2391592241873721E-2</v>
      </c>
      <c r="R156" s="19">
        <f t="shared" si="14"/>
        <v>2.4991125276927262E-2</v>
      </c>
      <c r="X156" s="1">
        <v>2</v>
      </c>
      <c r="Y156" s="419" t="s">
        <v>298</v>
      </c>
    </row>
    <row r="157" spans="1:25" ht="15" customHeight="1">
      <c r="A157" s="4" t="str">
        <f>'Tourism Medium DB-LCU'!A156</f>
        <v>Hungary</v>
      </c>
      <c r="B157" s="4" t="str">
        <f>'Tourism Medium DB-LCU'!B156</f>
        <v>Hotels</v>
      </c>
      <c r="C157" s="2" t="str">
        <f>'Tourism Medium DB-LCU'!C156</f>
        <v>Total Revenue Per Available Room</v>
      </c>
      <c r="D157" s="4"/>
      <c r="E157" s="4"/>
      <c r="F157" s="1" t="s">
        <v>179</v>
      </c>
      <c r="G157" s="640">
        <f>'Tourism Medium DB-LCU'!H156*Home!C$5</f>
        <v>0.15499629915888088</v>
      </c>
      <c r="H157" s="640">
        <f>'Tourism Medium DB-LCU'!I156*Home!D$5</f>
        <v>0.1312720920936018</v>
      </c>
      <c r="I157" s="640">
        <f>'Tourism Medium DB-LCU'!J156*Home!E$5</f>
        <v>0.12514284777142201</v>
      </c>
      <c r="J157" s="640">
        <f>'Tourism Medium DB-LCU'!K156*Home!F$5</f>
        <v>0.13649712765876107</v>
      </c>
      <c r="K157" s="640">
        <f>'Tourism Medium DB-LCU'!L156*Home!G$5</f>
        <v>0.12814332189099226</v>
      </c>
      <c r="L157" s="39">
        <f>'Tourism Medium DB-LCU'!M156*Home!H$5</f>
        <v>31.42500821233785</v>
      </c>
      <c r="M157" s="39">
        <f>'Tourism Medium DB-LCU'!N156*Home!I$5</f>
        <v>31.478663262821499</v>
      </c>
      <c r="N157" s="39">
        <f>'Tourism Medium DB-LCU'!O156*Home!J$5</f>
        <v>31.619542119368052</v>
      </c>
      <c r="O157" s="39">
        <f>'Tourism Medium DB-LCU'!P156*Home!K$5</f>
        <v>32.78552551568157</v>
      </c>
      <c r="P157" s="39">
        <f>'Tourism Medium DB-LCU'!Q156*Home!L$5</f>
        <v>32.937428846750386</v>
      </c>
      <c r="Q157" s="19">
        <f t="shared" si="13"/>
        <v>-4.6449578702326466E-2</v>
      </c>
      <c r="R157" s="19">
        <f t="shared" si="14"/>
        <v>2.033882404806282</v>
      </c>
      <c r="X157" s="1">
        <v>2</v>
      </c>
      <c r="Y157" s="419" t="s">
        <v>299</v>
      </c>
    </row>
    <row r="158" spans="1:25" ht="15" customHeight="1">
      <c r="A158" s="4" t="str">
        <f>'Tourism Medium DB-LCU'!A157</f>
        <v>Hungary</v>
      </c>
      <c r="B158" s="4" t="str">
        <f>'Tourism Medium DB-LCU'!B157</f>
        <v>Hotels</v>
      </c>
      <c r="C158" s="2" t="str">
        <f>'Tourism Medium DB-LCU'!C157</f>
        <v>Total Room Revenue</v>
      </c>
      <c r="D158" s="4"/>
      <c r="E158" s="4"/>
      <c r="F158" s="1" t="s">
        <v>180</v>
      </c>
      <c r="G158" s="644">
        <f>'Tourism Medium DB-LCU'!H157*Home!C$5</f>
        <v>2.4655612242222857</v>
      </c>
      <c r="H158" s="644">
        <f>'Tourism Medium DB-LCU'!I157*Home!D$5</f>
        <v>2.1343784773792782</v>
      </c>
      <c r="I158" s="644">
        <f>'Tourism Medium DB-LCU'!J157*Home!E$5</f>
        <v>2.0898860545095856</v>
      </c>
      <c r="J158" s="644">
        <f>'Tourism Medium DB-LCU'!K157*Home!F$5</f>
        <v>2.1770072142548056</v>
      </c>
      <c r="K158" s="644">
        <f>'Tourism Medium DB-LCU'!L157*Home!G$5</f>
        <v>2.1765970727377826</v>
      </c>
      <c r="L158" s="33">
        <f>'Tourism Medium DB-LCU'!M157*Home!H$5</f>
        <v>788.20792061861482</v>
      </c>
      <c r="M158" s="33">
        <f>'Tourism Medium DB-LCU'!N157*Home!I$5</f>
        <v>824.50123009886602</v>
      </c>
      <c r="N158" s="33">
        <f>'Tourism Medium DB-LCU'!O157*Home!J$5</f>
        <v>861.10043993193347</v>
      </c>
      <c r="O158" s="33">
        <f>'Tourism Medium DB-LCU'!P157*Home!K$5</f>
        <v>892.86436612701777</v>
      </c>
      <c r="P158" s="33">
        <f>'Tourism Medium DB-LCU'!Q157*Home!L$5</f>
        <v>890.38209203603992</v>
      </c>
      <c r="Q158" s="19">
        <f t="shared" si="13"/>
        <v>-3.0683596255431156E-2</v>
      </c>
      <c r="R158" s="19">
        <f t="shared" si="14"/>
        <v>2.3293517028760213</v>
      </c>
      <c r="X158" s="1">
        <v>2</v>
      </c>
      <c r="Y158" s="1" t="s">
        <v>294</v>
      </c>
    </row>
    <row r="159" spans="1:25" ht="15" customHeight="1">
      <c r="A159" s="4" t="str">
        <f>'Tourism Medium DB-LCU'!A158</f>
        <v>Hungary</v>
      </c>
      <c r="B159" s="4" t="str">
        <f>'Tourism Medium DB-LCU'!B158</f>
        <v>Hotels</v>
      </c>
      <c r="C159" s="2" t="str">
        <f>'Tourism Medium DB-LCU'!C158</f>
        <v>Total Non Room Revenue</v>
      </c>
      <c r="D159" s="4"/>
      <c r="E159" s="4"/>
      <c r="F159" s="1" t="s">
        <v>180</v>
      </c>
      <c r="G159" s="100">
        <f>'Tourism Medium DB-LCU'!H158*Home!C$5</f>
        <v>1.2578334974144518</v>
      </c>
      <c r="H159" s="100">
        <f>'Tourism Medium DB-LCU'!I158*Home!D$5</f>
        <v>1.0907339719901448</v>
      </c>
      <c r="I159" s="100">
        <f>'Tourism Medium DB-LCU'!J158*Home!E$5</f>
        <v>1.067728917600995</v>
      </c>
      <c r="J159" s="100">
        <f>'Tourism Medium DB-LCU'!K158*Home!F$5</f>
        <v>1.1126534131410164</v>
      </c>
      <c r="K159" s="100">
        <f>'Tourism Medium DB-LCU'!L158*Home!G$5</f>
        <v>1.1092514243246023</v>
      </c>
      <c r="L159" s="33">
        <f>'Tourism Medium DB-LCU'!M158*Home!H$5</f>
        <v>1.1294331617701947</v>
      </c>
      <c r="M159" s="33">
        <f>'Tourism Medium DB-LCU'!N158*Home!I$5</f>
        <v>1.1797189497560552</v>
      </c>
      <c r="N159" s="33">
        <f>'Tourism Medium DB-LCU'!O158*Home!J$5</f>
        <v>1.265730360812191</v>
      </c>
      <c r="O159" s="33">
        <f>'Tourism Medium DB-LCU'!P158*Home!K$5</f>
        <v>1.3572583960350162</v>
      </c>
      <c r="P159" s="33">
        <f>'Tourism Medium DB-LCU'!Q158*Home!L$5</f>
        <v>1.42104544581273</v>
      </c>
      <c r="Q159" s="19">
        <f t="shared" si="13"/>
        <v>-3.0937674541136828E-2</v>
      </c>
      <c r="R159" s="19">
        <f t="shared" si="14"/>
        <v>5.0789185371179268E-2</v>
      </c>
      <c r="X159" s="1">
        <v>2</v>
      </c>
      <c r="Y159" s="1" t="s">
        <v>296</v>
      </c>
    </row>
    <row r="160" spans="1:25" ht="15" customHeight="1">
      <c r="A160" s="4" t="str">
        <f>'Tourism Medium DB-LCU'!A159</f>
        <v>Hungary</v>
      </c>
      <c r="B160" s="4" t="str">
        <f>'Tourism Medium DB-LCU'!B159</f>
        <v>Hotels</v>
      </c>
      <c r="C160" s="2" t="str">
        <f>'Tourism Medium DB-LCU'!C159</f>
        <v>Total  Revenue</v>
      </c>
      <c r="D160" s="4"/>
      <c r="E160" s="4"/>
      <c r="F160" s="1" t="s">
        <v>180</v>
      </c>
      <c r="G160" s="644">
        <f>'Tourism Medium DB-LCU'!H159*Home!C$5</f>
        <v>3.7233947216367373</v>
      </c>
      <c r="H160" s="644">
        <f>'Tourism Medium DB-LCU'!I159*Home!D$5</f>
        <v>3.2251124493694232</v>
      </c>
      <c r="I160" s="644">
        <f>'Tourism Medium DB-LCU'!J159*Home!E$5</f>
        <v>3.1576149721105806</v>
      </c>
      <c r="J160" s="644">
        <f>'Tourism Medium DB-LCU'!K159*Home!F$5</f>
        <v>3.289660627395822</v>
      </c>
      <c r="K160" s="644">
        <f>'Tourism Medium DB-LCU'!L159*Home!G$5</f>
        <v>3.2858484970623851</v>
      </c>
      <c r="L160" s="33">
        <f>'Tourism Medium DB-LCU'!M159*Home!H$5</f>
        <v>789.337353780385</v>
      </c>
      <c r="M160" s="33">
        <f>'Tourism Medium DB-LCU'!N159*Home!I$5</f>
        <v>825.6809490486221</v>
      </c>
      <c r="N160" s="33">
        <f>'Tourism Medium DB-LCU'!O159*Home!J$5</f>
        <v>862.36617029274555</v>
      </c>
      <c r="O160" s="33">
        <f>'Tourism Medium DB-LCU'!P159*Home!K$5</f>
        <v>894.22162452305281</v>
      </c>
      <c r="P160" s="33">
        <f>'Tourism Medium DB-LCU'!Q159*Home!L$5</f>
        <v>891.80313748185267</v>
      </c>
      <c r="Q160" s="19">
        <f t="shared" si="13"/>
        <v>-3.0769406381085163E-2</v>
      </c>
      <c r="R160" s="19">
        <f t="shared" si="14"/>
        <v>2.0670742662800055</v>
      </c>
      <c r="S160" s="418" t="s">
        <v>237</v>
      </c>
      <c r="X160" s="1">
        <v>4</v>
      </c>
      <c r="Y160" s="1" t="s">
        <v>295</v>
      </c>
    </row>
    <row r="161" spans="1:30" ht="15" customHeight="1">
      <c r="A161" s="4" t="str">
        <f>'Tourism Medium DB-LCU'!A160</f>
        <v>Hungary</v>
      </c>
      <c r="B161" s="4" t="str">
        <f>'Tourism Medium DB-LCU'!B160</f>
        <v>Hotels</v>
      </c>
      <c r="C161" s="2" t="str">
        <f>'Tourism Medium DB-LCU'!C160</f>
        <v>Number of Guests by Customer Type</v>
      </c>
      <c r="D161" s="4"/>
      <c r="E161" s="4"/>
      <c r="F161" s="1" t="str">
        <f>'Tourism Medium DB-LCU'!F160</f>
        <v>Thousand</v>
      </c>
      <c r="G161" s="465">
        <f>'Tourism Medium DB-LCU'!H160</f>
        <v>6509.4049999999997</v>
      </c>
      <c r="H161" s="465">
        <f>'Tourism Medium DB-LCU'!I160</f>
        <v>5980.174</v>
      </c>
      <c r="I161" s="465">
        <f>'Tourism Medium DB-LCU'!J160</f>
        <v>6261.4260000000004</v>
      </c>
      <c r="J161" s="465">
        <f>'Tourism Medium DB-LCU'!K160</f>
        <v>6558.6930000000002</v>
      </c>
      <c r="K161" s="100">
        <f>'Tourism Medium DB-LCU'!L160</f>
        <v>4194.8334999999997</v>
      </c>
      <c r="L161" s="33">
        <f>'Tourism Medium DB-LCU'!M160</f>
        <v>3839.790943285544</v>
      </c>
      <c r="M161" s="33">
        <f>'Tourism Medium DB-LCU'!N160</f>
        <v>3344.7803213098164</v>
      </c>
      <c r="N161" s="33">
        <f>'Tourism Medium DB-LCU'!O160</f>
        <v>2673.077548555998</v>
      </c>
      <c r="O161" s="33">
        <f>'Tourism Medium DB-LCU'!P160</f>
        <v>2590.3045696189674</v>
      </c>
      <c r="P161" s="33">
        <f>'Tourism Medium DB-LCU'!Q160</f>
        <v>2495.4502104150811</v>
      </c>
      <c r="Q161" s="19">
        <f t="shared" si="13"/>
        <v>-0.1040302263057179</v>
      </c>
      <c r="R161" s="19">
        <f t="shared" si="14"/>
        <v>-9.8663753301313384E-2</v>
      </c>
      <c r="S161" s="418" t="s">
        <v>237</v>
      </c>
      <c r="T161" s="418" t="s">
        <v>238</v>
      </c>
      <c r="U161" s="418" t="s">
        <v>239</v>
      </c>
      <c r="X161" s="1">
        <v>4</v>
      </c>
      <c r="Y161" s="1" t="s">
        <v>297</v>
      </c>
    </row>
    <row r="162" spans="1:30" ht="15" customHeight="1">
      <c r="A162" s="4" t="str">
        <f>'Tourism Medium DB-LCU'!A161</f>
        <v>Hungary</v>
      </c>
      <c r="B162" s="4" t="str">
        <f>'Tourism Medium DB-LCU'!B161</f>
        <v>Hotels</v>
      </c>
      <c r="C162" s="4" t="str">
        <f>'Tourism Medium DB-LCU'!C161</f>
        <v>Number of Guests by Customer Type</v>
      </c>
      <c r="D162" s="2" t="str">
        <f>'Tourism Medium DB-LCU'!D161</f>
        <v>Business</v>
      </c>
      <c r="E162" s="4"/>
      <c r="F162" s="1" t="str">
        <f>'Tourism Medium DB-LCU'!F161</f>
        <v>Thousand</v>
      </c>
      <c r="G162" s="100">
        <f>'Tourism Medium DB-LCU'!H161</f>
        <v>185.18210349405379</v>
      </c>
      <c r="H162" s="100">
        <f>'Tourism Medium DB-LCU'!I161</f>
        <v>144.13822927401068</v>
      </c>
      <c r="I162" s="100">
        <f>'Tourism Medium DB-LCU'!J161</f>
        <v>95.457305914693251</v>
      </c>
      <c r="J162" s="100">
        <f>'Tourism Medium DB-LCU'!K161</f>
        <v>72.396573421508023</v>
      </c>
      <c r="K162" s="100">
        <f>'Tourism Medium DB-LCU'!L161</f>
        <v>93.678110400162595</v>
      </c>
      <c r="L162" s="33">
        <f>'Tourism Medium DB-LCU'!M161</f>
        <v>83.231551267755918</v>
      </c>
      <c r="M162" s="33">
        <f>'Tourism Medium DB-LCU'!N161</f>
        <v>72.311861527933942</v>
      </c>
      <c r="N162" s="33">
        <f>'Tourism Medium DB-LCU'!O161</f>
        <v>58.317474645817178</v>
      </c>
      <c r="O162" s="33">
        <f>'Tourism Medium DB-LCU'!P161</f>
        <v>57.561021147353181</v>
      </c>
      <c r="P162" s="33">
        <f>'Tourism Medium DB-LCU'!Q161</f>
        <v>55.446348932066435</v>
      </c>
      <c r="Q162" s="19">
        <f t="shared" si="13"/>
        <v>-0.15664625609439542</v>
      </c>
      <c r="R162" s="19">
        <f t="shared" si="14"/>
        <v>-9.957619873588841E-2</v>
      </c>
      <c r="S162" s="418" t="s">
        <v>196</v>
      </c>
      <c r="X162" s="1">
        <v>2</v>
      </c>
      <c r="Y162" s="1" t="s">
        <v>301</v>
      </c>
    </row>
    <row r="163" spans="1:30" ht="15" customHeight="1">
      <c r="A163" s="4" t="str">
        <f>'Tourism Medium DB-LCU'!A162</f>
        <v>Hungary</v>
      </c>
      <c r="B163" s="4" t="str">
        <f>'Tourism Medium DB-LCU'!B162</f>
        <v>Hotels</v>
      </c>
      <c r="C163" s="4" t="str">
        <f>'Tourism Medium DB-LCU'!C162</f>
        <v>Number of Guests by Customer Type</v>
      </c>
      <c r="D163" s="2" t="str">
        <f>'Tourism Medium DB-LCU'!D162</f>
        <v>Leisure</v>
      </c>
      <c r="E163" s="4"/>
      <c r="F163" s="1" t="str">
        <f>'Tourism Medium DB-LCU'!F162</f>
        <v>Thousand</v>
      </c>
      <c r="G163" s="100">
        <f>'Tourism Medium DB-LCU'!H162</f>
        <v>15331.931896505946</v>
      </c>
      <c r="H163" s="100">
        <f>'Tourism Medium DB-LCU'!I162</f>
        <v>15266.71377072599</v>
      </c>
      <c r="I163" s="100">
        <f>'Tourism Medium DB-LCU'!J162</f>
        <v>16245.897694085308</v>
      </c>
      <c r="J163" s="100">
        <f>'Tourism Medium DB-LCU'!K162</f>
        <v>16712.15342657849</v>
      </c>
      <c r="K163" s="100">
        <f>'Tourism Medium DB-LCU'!L162</f>
        <v>17036.295269222814</v>
      </c>
      <c r="L163" s="33">
        <f>'Tourism Medium DB-LCU'!M162</f>
        <v>3756.559392017788</v>
      </c>
      <c r="M163" s="33">
        <f>'Tourism Medium DB-LCU'!N162</f>
        <v>3272.4684597818823</v>
      </c>
      <c r="N163" s="33">
        <f>'Tourism Medium DB-LCU'!O162</f>
        <v>2614.7600739101808</v>
      </c>
      <c r="O163" s="33">
        <f>'Tourism Medium DB-LCU'!P162</f>
        <v>2532.7435484716143</v>
      </c>
      <c r="P163" s="33">
        <f>'Tourism Medium DB-LCU'!Q162</f>
        <v>2440.0038614830146</v>
      </c>
      <c r="Q163" s="19">
        <f t="shared" si="13"/>
        <v>2.6702381203499215E-2</v>
      </c>
      <c r="R163" s="19">
        <f t="shared" si="14"/>
        <v>-0.32204156106145243</v>
      </c>
      <c r="S163" s="418" t="s">
        <v>196</v>
      </c>
      <c r="X163" s="1">
        <v>2</v>
      </c>
      <c r="Y163" s="1" t="s">
        <v>300</v>
      </c>
    </row>
    <row r="164" spans="1:30" ht="15" customHeight="1">
      <c r="A164" s="4" t="str">
        <f>'Tourism Medium DB-LCU'!A163</f>
        <v>Hungary</v>
      </c>
      <c r="B164" s="2" t="str">
        <f>'Tourism Medium DB-LCU'!B163</f>
        <v xml:space="preserve">Travel Intermediaries </v>
      </c>
      <c r="C164" s="4"/>
      <c r="D164" s="4"/>
      <c r="E164" s="4"/>
      <c r="F164" s="4"/>
      <c r="Q164" s="32"/>
      <c r="R164" s="32"/>
      <c r="U164" s="2"/>
      <c r="V164" s="2"/>
      <c r="W164" s="2"/>
      <c r="X164" s="2"/>
      <c r="Y164" s="2"/>
      <c r="Z164" s="2"/>
      <c r="AA164" s="2"/>
      <c r="AB164" s="2"/>
      <c r="AC164" s="2"/>
      <c r="AD164" s="2"/>
    </row>
    <row r="165" spans="1:30" ht="15" customHeight="1">
      <c r="A165" s="4" t="str">
        <f>'Tourism Medium DB-LCU'!A164</f>
        <v>Hungary</v>
      </c>
      <c r="B165" s="4" t="str">
        <f>'Tourism Medium DB-LCU'!B164</f>
        <v xml:space="preserve">Travel Intermediaries </v>
      </c>
      <c r="C165" s="2" t="str">
        <f>'Tourism Medium DB-LCU'!C164</f>
        <v>Market Value by Product</v>
      </c>
      <c r="D165" s="4"/>
      <c r="E165" s="4"/>
      <c r="F165" s="1" t="s">
        <v>180</v>
      </c>
      <c r="G165" s="60">
        <f>'Tourism Medium DB-LCU'!H164*Home!C$5</f>
        <v>326.79143539773776</v>
      </c>
      <c r="H165" s="60">
        <f>'Tourism Medium DB-LCU'!I164*Home!D$5</f>
        <v>261.37299544069242</v>
      </c>
      <c r="I165" s="60">
        <f>'Tourism Medium DB-LCU'!J164*Home!E$5</f>
        <v>267.54714128764459</v>
      </c>
      <c r="J165" s="60">
        <f>'Tourism Medium DB-LCU'!K164*Home!F$5</f>
        <v>287.49690902209045</v>
      </c>
      <c r="K165" s="60">
        <f>'Tourism Medium DB-LCU'!L164*Home!G$5</f>
        <v>265.17786642455695</v>
      </c>
      <c r="L165" s="60">
        <f>'Tourism Medium DB-LCU'!M164*Home!H$5</f>
        <v>271.3748775279272</v>
      </c>
      <c r="M165" s="60">
        <f>'Tourism Medium DB-LCU'!N164*Home!I$5</f>
        <v>267.50928867840361</v>
      </c>
      <c r="N165" s="60">
        <f>'Tourism Medium DB-LCU'!O164*Home!J$5</f>
        <v>268.41617510001021</v>
      </c>
      <c r="O165" s="60">
        <f>'Tourism Medium DB-LCU'!P164*Home!K$5</f>
        <v>283.00921678682482</v>
      </c>
      <c r="P165" s="60">
        <f>'Tourism Medium DB-LCU'!Q164*Home!L$5</f>
        <v>286.56349665152533</v>
      </c>
      <c r="Q165" s="324">
        <f t="shared" si="13"/>
        <v>-5.0889776452154312E-2</v>
      </c>
      <c r="R165" s="324">
        <f t="shared" si="14"/>
        <v>1.5632802635843213E-2</v>
      </c>
      <c r="U165" s="32"/>
      <c r="V165" s="32"/>
      <c r="W165" s="32"/>
      <c r="X165" s="32"/>
      <c r="Y165" s="32"/>
      <c r="Z165" s="32"/>
      <c r="AA165" s="32"/>
      <c r="AB165" s="32"/>
      <c r="AC165" s="32"/>
      <c r="AD165" s="32"/>
    </row>
    <row r="166" spans="1:30" ht="15" customHeight="1">
      <c r="A166" s="4" t="str">
        <f>'Tourism Medium DB-LCU'!A165</f>
        <v>Hungary</v>
      </c>
      <c r="B166" s="4" t="str">
        <f>'Tourism Medium DB-LCU'!B165</f>
        <v xml:space="preserve">Travel Intermediaries </v>
      </c>
      <c r="C166" s="4" t="str">
        <f>'Tourism Medium DB-LCU'!C165</f>
        <v>Market Value by Product</v>
      </c>
      <c r="D166" s="2" t="str">
        <f>'Tourism Medium DB-LCU'!D165</f>
        <v>Accommodation Only</v>
      </c>
      <c r="E166" s="4"/>
      <c r="F166" s="1" t="s">
        <v>180</v>
      </c>
      <c r="G166" s="60">
        <f>'Tourism Medium DB-LCU'!H165*Home!C$5</f>
        <v>38.989301217682474</v>
      </c>
      <c r="H166" s="60">
        <f>'Tourism Medium DB-LCU'!I165*Home!D$5</f>
        <v>31.37425535090188</v>
      </c>
      <c r="I166" s="60">
        <f>'Tourism Medium DB-LCU'!J165*Home!E$5</f>
        <v>31.794719815474529</v>
      </c>
      <c r="J166" s="60">
        <f>'Tourism Medium DB-LCU'!K165*Home!F$5</f>
        <v>33.916824676368776</v>
      </c>
      <c r="K166" s="60">
        <f>'Tourism Medium DB-LCU'!L165*Home!G$5</f>
        <v>31.09740301966352</v>
      </c>
      <c r="L166" s="60">
        <f>'Tourism Medium DB-LCU'!M165*Home!H$5</f>
        <v>31.592185074970679</v>
      </c>
      <c r="M166" s="60">
        <f>'Tourism Medium DB-LCU'!N165*Home!I$5</f>
        <v>30.904606570245956</v>
      </c>
      <c r="N166" s="60">
        <f>'Tourism Medium DB-LCU'!O165*Home!J$5</f>
        <v>30.791117599602536</v>
      </c>
      <c r="O166" s="60">
        <f>'Tourism Medium DB-LCU'!P165*Home!K$5</f>
        <v>32.238589997865816</v>
      </c>
      <c r="P166" s="60">
        <f>'Tourism Medium DB-LCU'!Q165*Home!L$5</f>
        <v>32.407347031422326</v>
      </c>
      <c r="Q166" s="324">
        <f t="shared" ref="Q166:Q183" si="15">(K166/G166)^(1/4)-1</f>
        <v>-5.4972018911116916E-2</v>
      </c>
      <c r="R166" s="324">
        <f t="shared" ref="R166:R183" si="16">(P166/K166)^(1/5)-1</f>
        <v>8.2863121639680237E-3</v>
      </c>
      <c r="U166" s="32"/>
      <c r="V166" s="32"/>
      <c r="W166" s="32"/>
      <c r="X166" s="32"/>
      <c r="Y166" s="32"/>
      <c r="Z166" s="32"/>
      <c r="AA166" s="32"/>
      <c r="AB166" s="32"/>
      <c r="AC166" s="32"/>
    </row>
    <row r="167" spans="1:30" ht="15" customHeight="1">
      <c r="A167" s="4" t="str">
        <f>'Tourism Medium DB-LCU'!A166</f>
        <v>Hungary</v>
      </c>
      <c r="B167" s="4" t="str">
        <f>'Tourism Medium DB-LCU'!B166</f>
        <v xml:space="preserve">Travel Intermediaries </v>
      </c>
      <c r="C167" s="4" t="str">
        <f>'Tourism Medium DB-LCU'!C166</f>
        <v>Market Value by Product</v>
      </c>
      <c r="D167" s="2" t="str">
        <f>'Tourism Medium DB-LCU'!D166</f>
        <v>Travel Only</v>
      </c>
      <c r="E167" s="4"/>
      <c r="F167" s="1" t="s">
        <v>180</v>
      </c>
      <c r="G167" s="60">
        <f>'Tourism Medium DB-LCU'!H166*Home!C$5</f>
        <v>123.21847137133203</v>
      </c>
      <c r="H167" s="60">
        <f>'Tourism Medium DB-LCU'!I166*Home!D$5</f>
        <v>97.576540471003526</v>
      </c>
      <c r="I167" s="60">
        <f>'Tourism Medium DB-LCU'!J166*Home!E$5</f>
        <v>101.5132539744028</v>
      </c>
      <c r="J167" s="60">
        <f>'Tourism Medium DB-LCU'!K166*Home!F$5</f>
        <v>110.34812847984526</v>
      </c>
      <c r="K167" s="60">
        <f>'Tourism Medium DB-LCU'!L166*Home!G$5</f>
        <v>102.73000758482168</v>
      </c>
      <c r="L167" s="60">
        <f>'Tourism Medium DB-LCU'!M166*Home!H$5</f>
        <v>105.89745084603462</v>
      </c>
      <c r="M167" s="60">
        <f>'Tourism Medium DB-LCU'!N166*Home!I$5</f>
        <v>105.55948561010678</v>
      </c>
      <c r="N167" s="60">
        <f>'Tourism Medium DB-LCU'!O166*Home!J$5</f>
        <v>106.96115236606323</v>
      </c>
      <c r="O167" s="60">
        <f>'Tourism Medium DB-LCU'!P166*Home!K$5</f>
        <v>113.83855349990928</v>
      </c>
      <c r="P167" s="60">
        <f>'Tourism Medium DB-LCU'!Q166*Home!L$5</f>
        <v>116.35681966142208</v>
      </c>
      <c r="Q167" s="324">
        <f t="shared" si="15"/>
        <v>-4.444568964130502E-2</v>
      </c>
      <c r="R167" s="324">
        <f t="shared" si="16"/>
        <v>2.5224330902062109E-2</v>
      </c>
      <c r="U167" s="32"/>
      <c r="V167" s="32"/>
      <c r="W167" s="32"/>
      <c r="X167" s="32"/>
      <c r="Y167" s="32"/>
      <c r="Z167" s="32"/>
      <c r="AA167" s="32"/>
      <c r="AB167" s="32"/>
      <c r="AC167" s="32"/>
    </row>
    <row r="168" spans="1:30" ht="15" customHeight="1">
      <c r="A168" s="4" t="str">
        <f>'Tourism Medium DB-LCU'!A167</f>
        <v>Hungary</v>
      </c>
      <c r="B168" s="4" t="str">
        <f>'Tourism Medium DB-LCU'!B167</f>
        <v xml:space="preserve">Travel Intermediaries </v>
      </c>
      <c r="C168" s="4" t="str">
        <f>'Tourism Medium DB-LCU'!C167</f>
        <v>Market Value by Product</v>
      </c>
      <c r="D168" s="4" t="str">
        <f>'Tourism Medium DB-LCU'!D167</f>
        <v>Travel Only</v>
      </c>
      <c r="E168" s="2" t="str">
        <f>'Tourism Medium DB-LCU'!E167</f>
        <v>Flight</v>
      </c>
      <c r="F168" s="1" t="s">
        <v>180</v>
      </c>
      <c r="G168" s="60">
        <f>'Tourism Medium DB-LCU'!H167*Home!C$5</f>
        <v>114.30656458154846</v>
      </c>
      <c r="H168" s="60">
        <f>'Tourism Medium DB-LCU'!I167*Home!D$5</f>
        <v>90.687193189701262</v>
      </c>
      <c r="I168" s="60">
        <f>'Tourism Medium DB-LCU'!J167*Home!E$5</f>
        <v>94.229285258450915</v>
      </c>
      <c r="J168" s="60">
        <f>'Tourism Medium DB-LCU'!K167*Home!F$5</f>
        <v>102.34119451280384</v>
      </c>
      <c r="K168" s="60">
        <f>'Tourism Medium DB-LCU'!L167*Home!G$5</f>
        <v>95.209889912161174</v>
      </c>
      <c r="L168" s="60">
        <f>'Tourism Medium DB-LCU'!M167*Home!H$5</f>
        <v>98.127178084240484</v>
      </c>
      <c r="M168" s="60">
        <f>'Tourism Medium DB-LCU'!N167*Home!I$5</f>
        <v>97.741023827713008</v>
      </c>
      <c r="N168" s="60">
        <f>'Tourism Medium DB-LCU'!O167*Home!J$5</f>
        <v>98.977119293994249</v>
      </c>
      <c r="O168" s="60">
        <f>'Tourism Medium DB-LCU'!P167*Home!K$5</f>
        <v>105.28194794452503</v>
      </c>
      <c r="P168" s="60">
        <f>'Tourism Medium DB-LCU'!Q167*Home!L$5</f>
        <v>107.5539427174209</v>
      </c>
      <c r="Q168" s="324">
        <f t="shared" si="15"/>
        <v>-4.4671525235784326E-2</v>
      </c>
      <c r="R168" s="324">
        <f t="shared" si="16"/>
        <v>2.4681403560823822E-2</v>
      </c>
      <c r="U168" s="32"/>
      <c r="V168" s="32"/>
      <c r="W168" s="32"/>
      <c r="X168" s="32"/>
      <c r="Y168" s="32"/>
      <c r="Z168" s="32"/>
      <c r="AA168" s="32"/>
      <c r="AB168" s="32"/>
      <c r="AC168" s="32"/>
    </row>
    <row r="169" spans="1:30" ht="15" customHeight="1">
      <c r="A169" s="4" t="str">
        <f>'Tourism Medium DB-LCU'!A168</f>
        <v>Hungary</v>
      </c>
      <c r="B169" s="4" t="str">
        <f>'Tourism Medium DB-LCU'!B168</f>
        <v xml:space="preserve">Travel Intermediaries </v>
      </c>
      <c r="C169" s="4" t="str">
        <f>'Tourism Medium DB-LCU'!C168</f>
        <v>Market Value by Product</v>
      </c>
      <c r="D169" s="4" t="str">
        <f>'Tourism Medium DB-LCU'!D168</f>
        <v>Travel Only</v>
      </c>
      <c r="E169" s="2" t="str">
        <f>'Tourism Medium DB-LCU'!E168</f>
        <v>Other Travel</v>
      </c>
      <c r="F169" s="1" t="s">
        <v>180</v>
      </c>
      <c r="G169" s="60">
        <f>'Tourism Medium DB-LCU'!H168*Home!C$5</f>
        <v>8.911906789783572</v>
      </c>
      <c r="H169" s="60">
        <f>'Tourism Medium DB-LCU'!I168*Home!D$5</f>
        <v>6.8893472813022623</v>
      </c>
      <c r="I169" s="60">
        <f>'Tourism Medium DB-LCU'!J168*Home!E$5</f>
        <v>7.2839687159518771</v>
      </c>
      <c r="J169" s="60">
        <f>'Tourism Medium DB-LCU'!K168*Home!F$5</f>
        <v>8.0069339670414301</v>
      </c>
      <c r="K169" s="60">
        <f>'Tourism Medium DB-LCU'!L168*Home!G$5</f>
        <v>7.5201176726605077</v>
      </c>
      <c r="L169" s="60">
        <f>'Tourism Medium DB-LCU'!M168*Home!H$5</f>
        <v>7.7702727617941374</v>
      </c>
      <c r="M169" s="60">
        <f>'Tourism Medium DB-LCU'!N168*Home!I$5</f>
        <v>7.8184617823937632</v>
      </c>
      <c r="N169" s="60">
        <f>'Tourism Medium DB-LCU'!O168*Home!J$5</f>
        <v>7.9840330720689838</v>
      </c>
      <c r="O169" s="60">
        <f>'Tourism Medium DB-LCU'!P168*Home!K$5</f>
        <v>8.5566055553842393</v>
      </c>
      <c r="P169" s="60">
        <f>'Tourism Medium DB-LCU'!Q168*Home!L$5</f>
        <v>8.802876944001186</v>
      </c>
      <c r="Q169" s="324">
        <f t="shared" si="15"/>
        <v>-4.1563156452886107E-2</v>
      </c>
      <c r="R169" s="324">
        <f t="shared" si="16"/>
        <v>3.2000716706500398E-2</v>
      </c>
      <c r="U169" s="32"/>
      <c r="V169" s="32"/>
      <c r="W169" s="32"/>
      <c r="X169" s="32"/>
      <c r="Y169" s="32"/>
      <c r="Z169" s="32"/>
      <c r="AA169" s="32"/>
      <c r="AB169" s="32"/>
      <c r="AC169" s="32"/>
    </row>
    <row r="170" spans="1:30" ht="15" customHeight="1">
      <c r="A170" s="4" t="str">
        <f>'Tourism Medium DB-LCU'!A169</f>
        <v>Hungary</v>
      </c>
      <c r="B170" s="4" t="str">
        <f>'Tourism Medium DB-LCU'!B169</f>
        <v xml:space="preserve">Travel Intermediaries </v>
      </c>
      <c r="C170" s="4" t="str">
        <f>'Tourism Medium DB-LCU'!C169</f>
        <v>Market Value by Product</v>
      </c>
      <c r="D170" s="2" t="str">
        <f>'Tourism Medium DB-LCU'!D169</f>
        <v>Car Rental Only</v>
      </c>
      <c r="E170" s="4"/>
      <c r="F170" s="1" t="s">
        <v>180</v>
      </c>
      <c r="G170" s="60">
        <f>'Tourism Medium DB-LCU'!H169*Home!C$5</f>
        <v>9.6127349981389756</v>
      </c>
      <c r="H170" s="60">
        <f>'Tourism Medium DB-LCU'!I169*Home!D$5</f>
        <v>7.6932986117047051</v>
      </c>
      <c r="I170" s="60">
        <f>'Tourism Medium DB-LCU'!J169*Home!E$5</f>
        <v>7.8315425912325809</v>
      </c>
      <c r="J170" s="60">
        <f>'Tourism Medium DB-LCU'!K169*Home!F$5</f>
        <v>8.3817791618078878</v>
      </c>
      <c r="K170" s="60">
        <f>'Tourism Medium DB-LCU'!L169*Home!G$5</f>
        <v>7.7058058562049805</v>
      </c>
      <c r="L170" s="60">
        <f>'Tourism Medium DB-LCU'!M169*Home!H$5</f>
        <v>7.8618825795838783</v>
      </c>
      <c r="M170" s="60">
        <f>'Tourism Medium DB-LCU'!N169*Home!I$5</f>
        <v>7.7191954743971616</v>
      </c>
      <c r="N170" s="60">
        <f>'Tourism Medium DB-LCU'!O169*Home!J$5</f>
        <v>7.7254267027155743</v>
      </c>
      <c r="O170" s="60">
        <f>'Tourism Medium DB-LCU'!P169*Home!K$5</f>
        <v>8.1761063643742506</v>
      </c>
      <c r="P170" s="60">
        <f>'Tourism Medium DB-LCU'!Q169*Home!L$5</f>
        <v>8.2584510653755352</v>
      </c>
      <c r="Q170" s="324">
        <f t="shared" si="15"/>
        <v>-5.3778584057007528E-2</v>
      </c>
      <c r="R170" s="324">
        <f t="shared" si="16"/>
        <v>1.3948990940939154E-2</v>
      </c>
      <c r="U170" s="32"/>
      <c r="V170" s="32"/>
      <c r="W170" s="32"/>
      <c r="X170" s="32"/>
      <c r="Y170" s="32"/>
      <c r="Z170" s="32"/>
      <c r="AA170" s="32"/>
      <c r="AB170" s="32"/>
      <c r="AC170" s="32"/>
    </row>
    <row r="171" spans="1:30" ht="15" customHeight="1">
      <c r="A171" s="4" t="str">
        <f>'Tourism Medium DB-LCU'!A170</f>
        <v>Hungary</v>
      </c>
      <c r="B171" s="4" t="str">
        <f>'Tourism Medium DB-LCU'!B170</f>
        <v xml:space="preserve">Travel Intermediaries </v>
      </c>
      <c r="C171" s="4" t="str">
        <f>'Tourism Medium DB-LCU'!C170</f>
        <v>Market Value by Product</v>
      </c>
      <c r="D171" s="2" t="str">
        <f>'Tourism Medium DB-LCU'!D170</f>
        <v>Tourism Packages</v>
      </c>
      <c r="E171" s="4"/>
      <c r="F171" s="1" t="s">
        <v>180</v>
      </c>
      <c r="G171" s="60">
        <f>'Tourism Medium DB-LCU'!H170*Home!C$5</f>
        <v>113.43940546610337</v>
      </c>
      <c r="H171" s="60">
        <f>'Tourism Medium DB-LCU'!I170*Home!D$5</f>
        <v>90.744944312512132</v>
      </c>
      <c r="I171" s="60">
        <f>'Tourism Medium DB-LCU'!J170*Home!E$5</f>
        <v>93.155038168990245</v>
      </c>
      <c r="J171" s="60">
        <f>'Tourism Medium DB-LCU'!K170*Home!F$5</f>
        <v>100.307879593698</v>
      </c>
      <c r="K171" s="60">
        <f>'Tourism Medium DB-LCU'!L170*Home!G$5</f>
        <v>92.675662869280927</v>
      </c>
      <c r="L171" s="60">
        <f>'Tourism Medium DB-LCU'!M170*Home!H$5</f>
        <v>94.906803407860522</v>
      </c>
      <c r="M171" s="60">
        <f>'Tourism Medium DB-LCU'!N170*Home!I$5</f>
        <v>93.725565107959085</v>
      </c>
      <c r="N171" s="60">
        <f>'Tourism Medium DB-LCU'!O170*Home!J$5</f>
        <v>94.190299205380754</v>
      </c>
      <c r="O171" s="60">
        <f>'Tourism Medium DB-LCU'!P170*Home!K$5</f>
        <v>99.453936631394384</v>
      </c>
      <c r="P171" s="60">
        <f>'Tourism Medium DB-LCU'!Q170*Home!L$5</f>
        <v>100.94262318541003</v>
      </c>
      <c r="Q171" s="324">
        <f t="shared" si="15"/>
        <v>-4.9284794789791864E-2</v>
      </c>
      <c r="R171" s="324">
        <f t="shared" si="16"/>
        <v>1.7236130300440689E-2</v>
      </c>
      <c r="U171" s="32"/>
      <c r="V171" s="32"/>
      <c r="W171" s="32"/>
      <c r="X171" s="32"/>
      <c r="Y171" s="32"/>
      <c r="Z171" s="32"/>
      <c r="AA171" s="32"/>
      <c r="AB171" s="32"/>
      <c r="AC171" s="32"/>
    </row>
    <row r="172" spans="1:30" ht="15" customHeight="1">
      <c r="A172" s="4" t="str">
        <f>'Tourism Medium DB-LCU'!A171</f>
        <v>Hungary</v>
      </c>
      <c r="B172" s="4" t="str">
        <f>'Tourism Medium DB-LCU'!B171</f>
        <v xml:space="preserve">Travel Intermediaries </v>
      </c>
      <c r="C172" s="4" t="str">
        <f>'Tourism Medium DB-LCU'!C171</f>
        <v>Market Value by Product</v>
      </c>
      <c r="D172" s="4" t="str">
        <f>'Tourism Medium DB-LCU'!D171</f>
        <v>Tourism Packages</v>
      </c>
      <c r="E172" s="2" t="str">
        <f>'Tourism Medium DB-LCU'!E171</f>
        <v>Dynamic Package</v>
      </c>
      <c r="F172" s="1" t="s">
        <v>180</v>
      </c>
      <c r="G172" s="60">
        <f>'Tourism Medium DB-LCU'!H171*Home!C$5</f>
        <v>12.286562041665677</v>
      </c>
      <c r="H172" s="60">
        <f>'Tourism Medium DB-LCU'!I171*Home!D$5</f>
        <v>12.838693330719822</v>
      </c>
      <c r="I172" s="60">
        <f>'Tourism Medium DB-LCU'!J171*Home!E$5</f>
        <v>15.057221088452003</v>
      </c>
      <c r="J172" s="60">
        <f>'Tourism Medium DB-LCU'!K171*Home!F$5</f>
        <v>18.21842338060609</v>
      </c>
      <c r="K172" s="60">
        <f>'Tourism Medium DB-LCU'!L171*Home!G$5</f>
        <v>18.027916962951092</v>
      </c>
      <c r="L172" s="60">
        <f>'Tourism Medium DB-LCU'!M171*Home!H$5</f>
        <v>19.66271001396542</v>
      </c>
      <c r="M172" s="60">
        <f>'Tourism Medium DB-LCU'!N171*Home!I$5</f>
        <v>20.549018271581865</v>
      </c>
      <c r="N172" s="60">
        <f>'Tourism Medium DB-LCU'!O171*Home!J$5</f>
        <v>21.77370746404198</v>
      </c>
      <c r="O172" s="60">
        <f>'Tourism Medium DB-LCU'!P171*Home!K$5</f>
        <v>24.028734601237559</v>
      </c>
      <c r="P172" s="60">
        <f>'Tourism Medium DB-LCU'!Q171*Home!L$5</f>
        <v>25.41165380873182</v>
      </c>
      <c r="Q172" s="324">
        <f t="shared" si="15"/>
        <v>0.10059818622102012</v>
      </c>
      <c r="R172" s="324">
        <f t="shared" si="16"/>
        <v>7.1069065453774449E-2</v>
      </c>
      <c r="U172" s="32"/>
      <c r="V172" s="32"/>
      <c r="W172" s="32"/>
      <c r="X172" s="32"/>
      <c r="Y172" s="32"/>
      <c r="Z172" s="32"/>
      <c r="AA172" s="32"/>
      <c r="AB172" s="32"/>
      <c r="AC172" s="32"/>
    </row>
    <row r="173" spans="1:30" ht="15" customHeight="1">
      <c r="A173" s="4" t="str">
        <f>'Tourism Medium DB-LCU'!A172</f>
        <v>Hungary</v>
      </c>
      <c r="B173" s="4" t="str">
        <f>'Tourism Medium DB-LCU'!B172</f>
        <v xml:space="preserve">Travel Intermediaries </v>
      </c>
      <c r="C173" s="4" t="str">
        <f>'Tourism Medium DB-LCU'!C172</f>
        <v>Market Value by Product</v>
      </c>
      <c r="D173" s="4" t="str">
        <f>'Tourism Medium DB-LCU'!D172</f>
        <v>Tourism Packages</v>
      </c>
      <c r="E173" s="2" t="str">
        <f>'Tourism Medium DB-LCU'!E172</f>
        <v>Static Package</v>
      </c>
      <c r="F173" s="1" t="s">
        <v>180</v>
      </c>
      <c r="G173" s="60">
        <f>'Tourism Medium DB-LCU'!H172*Home!C$5</f>
        <v>101.15284342443768</v>
      </c>
      <c r="H173" s="60">
        <f>'Tourism Medium DB-LCU'!I172*Home!D$5</f>
        <v>77.906250981792311</v>
      </c>
      <c r="I173" s="60">
        <f>'Tourism Medium DB-LCU'!J172*Home!E$5</f>
        <v>78.097817080538235</v>
      </c>
      <c r="J173" s="60">
        <f>'Tourism Medium DB-LCU'!K172*Home!F$5</f>
        <v>82.089456213091921</v>
      </c>
      <c r="K173" s="60">
        <f>'Tourism Medium DB-LCU'!L172*Home!G$5</f>
        <v>74.647745906329831</v>
      </c>
      <c r="L173" s="60">
        <f>'Tourism Medium DB-LCU'!M172*Home!H$5</f>
        <v>75.244093393895099</v>
      </c>
      <c r="M173" s="60">
        <f>'Tourism Medium DB-LCU'!N172*Home!I$5</f>
        <v>73.176546836377227</v>
      </c>
      <c r="N173" s="60">
        <f>'Tourism Medium DB-LCU'!O172*Home!J$5</f>
        <v>72.416591741338777</v>
      </c>
      <c r="O173" s="60">
        <f>'Tourism Medium DB-LCU'!P172*Home!K$5</f>
        <v>75.425202030156825</v>
      </c>
      <c r="P173" s="60">
        <f>'Tourism Medium DB-LCU'!Q172*Home!L$5</f>
        <v>75.530969376678215</v>
      </c>
      <c r="Q173" s="324">
        <f t="shared" si="15"/>
        <v>-7.3149580814383941E-2</v>
      </c>
      <c r="R173" s="324">
        <f t="shared" si="16"/>
        <v>2.3552561754012213E-3</v>
      </c>
      <c r="U173" s="32"/>
      <c r="V173" s="32"/>
      <c r="W173" s="32"/>
      <c r="X173" s="32"/>
      <c r="Y173" s="32"/>
      <c r="Z173" s="32"/>
      <c r="AA173" s="32"/>
      <c r="AB173" s="32"/>
      <c r="AC173" s="32"/>
    </row>
    <row r="174" spans="1:30" ht="15" customHeight="1">
      <c r="A174" s="4" t="str">
        <f>'Tourism Medium DB-LCU'!A173</f>
        <v>Hungary</v>
      </c>
      <c r="B174" s="4" t="str">
        <f>'Tourism Medium DB-LCU'!B173</f>
        <v xml:space="preserve">Travel Intermediaries </v>
      </c>
      <c r="C174" s="4" t="str">
        <f>'Tourism Medium DB-LCU'!C173</f>
        <v>Market Value by Product</v>
      </c>
      <c r="D174" s="2" t="str">
        <f>'Tourism Medium DB-LCU'!D173</f>
        <v>Other Products</v>
      </c>
      <c r="E174" s="4"/>
      <c r="F174" s="1" t="s">
        <v>180</v>
      </c>
      <c r="G174" s="60">
        <f>'Tourism Medium DB-LCU'!H173*Home!C$5</f>
        <v>41.531522344480955</v>
      </c>
      <c r="H174" s="60">
        <f>'Tourism Medium DB-LCU'!I173*Home!D$5</f>
        <v>33.983956694570175</v>
      </c>
      <c r="I174" s="60">
        <f>'Tourism Medium DB-LCU'!J173*Home!E$5</f>
        <v>33.252586737544462</v>
      </c>
      <c r="J174" s="60">
        <f>'Tourism Medium DB-LCU'!K173*Home!F$5</f>
        <v>34.542297110370512</v>
      </c>
      <c r="K174" s="60">
        <f>'Tourism Medium DB-LCU'!L173*Home!G$5</f>
        <v>30.96898709458587</v>
      </c>
      <c r="L174" s="60">
        <f>'Tourism Medium DB-LCU'!M173*Home!H$5</f>
        <v>31.116555619477502</v>
      </c>
      <c r="M174" s="60">
        <f>'Tourism Medium DB-LCU'!N173*Home!I$5</f>
        <v>29.600435915694632</v>
      </c>
      <c r="N174" s="60">
        <f>'Tourism Medium DB-LCU'!O173*Home!J$5</f>
        <v>28.748179226248112</v>
      </c>
      <c r="O174" s="60">
        <f>'Tourism Medium DB-LCU'!P173*Home!K$5</f>
        <v>29.302030293281135</v>
      </c>
      <c r="P174" s="60">
        <f>'Tourism Medium DB-LCU'!Q173*Home!L$5</f>
        <v>28.598255707895415</v>
      </c>
      <c r="Q174" s="324">
        <f t="shared" si="15"/>
        <v>-7.073990522864293E-2</v>
      </c>
      <c r="R174" s="324">
        <f t="shared" si="16"/>
        <v>-1.5801930594652958E-2</v>
      </c>
      <c r="U174" s="32"/>
      <c r="V174" s="32"/>
      <c r="W174" s="32"/>
      <c r="X174" s="32"/>
      <c r="Y174" s="32"/>
      <c r="Z174" s="32"/>
      <c r="AA174" s="32"/>
      <c r="AB174" s="32"/>
      <c r="AC174" s="32"/>
    </row>
    <row r="175" spans="1:30" ht="15" customHeight="1">
      <c r="A175" s="4" t="str">
        <f>'Tourism Medium DB-LCU'!A174</f>
        <v>Hungary</v>
      </c>
      <c r="B175" s="4" t="str">
        <f>'Tourism Medium DB-LCU'!B174</f>
        <v xml:space="preserve">Travel Intermediaries </v>
      </c>
      <c r="C175" s="2" t="str">
        <f>'Tourism Medium DB-LCU'!C174</f>
        <v>Market Value by Channel</v>
      </c>
      <c r="D175" s="4"/>
      <c r="E175" s="4"/>
      <c r="F175" s="1" t="s">
        <v>180</v>
      </c>
      <c r="G175" s="60">
        <f>'Tourism Medium DB-LCU'!H174*Home!C$5</f>
        <v>326.79143539773776</v>
      </c>
      <c r="H175" s="60">
        <f>'Tourism Medium DB-LCU'!I174*Home!D$5</f>
        <v>261.37299544069242</v>
      </c>
      <c r="I175" s="60">
        <f>'Tourism Medium DB-LCU'!J174*Home!E$5</f>
        <v>267.54714128764459</v>
      </c>
      <c r="J175" s="60">
        <f>'Tourism Medium DB-LCU'!K174*Home!F$5</f>
        <v>287.49690902209045</v>
      </c>
      <c r="K175" s="60">
        <f>'Tourism Medium DB-LCU'!L174*Home!G$5</f>
        <v>265.17786642455695</v>
      </c>
      <c r="L175" s="60">
        <f>'Tourism Medium DB-LCU'!M174*Home!H$5</f>
        <v>271.3748775279272</v>
      </c>
      <c r="M175" s="60">
        <f>'Tourism Medium DB-LCU'!N174*Home!I$5</f>
        <v>267.50928867840361</v>
      </c>
      <c r="N175" s="60">
        <f>'Tourism Medium DB-LCU'!O174*Home!J$5</f>
        <v>268.41617510001021</v>
      </c>
      <c r="O175" s="60">
        <f>'Tourism Medium DB-LCU'!P174*Home!K$5</f>
        <v>283.00921678682482</v>
      </c>
      <c r="P175" s="60">
        <f>'Tourism Medium DB-LCU'!Q174*Home!L$5</f>
        <v>286.56349665152533</v>
      </c>
      <c r="Q175" s="324">
        <f t="shared" si="15"/>
        <v>-5.0889776452154312E-2</v>
      </c>
      <c r="R175" s="324">
        <f t="shared" si="16"/>
        <v>1.5632802635843213E-2</v>
      </c>
      <c r="U175" s="32"/>
      <c r="V175" s="32"/>
      <c r="W175" s="32"/>
      <c r="X175" s="32"/>
      <c r="Y175" s="32"/>
      <c r="Z175" s="32"/>
      <c r="AA175" s="32"/>
      <c r="AB175" s="32"/>
      <c r="AC175" s="32"/>
    </row>
    <row r="176" spans="1:30" ht="15" customHeight="1">
      <c r="A176" s="4" t="str">
        <f>'Tourism Medium DB-LCU'!A175</f>
        <v>Hungary</v>
      </c>
      <c r="B176" s="4" t="str">
        <f>'Tourism Medium DB-LCU'!B175</f>
        <v xml:space="preserve">Travel Intermediaries </v>
      </c>
      <c r="C176" s="4" t="str">
        <f>'Tourism Medium DB-LCU'!C175</f>
        <v>Market Value by Channel</v>
      </c>
      <c r="D176" s="2" t="str">
        <f>'Tourism Medium DB-LCU'!D175</f>
        <v>Online</v>
      </c>
      <c r="E176" s="4"/>
      <c r="F176" s="1" t="s">
        <v>180</v>
      </c>
      <c r="G176" s="60">
        <f>'Tourism Medium DB-LCU'!H175*Home!C$5</f>
        <v>88.308081122695228</v>
      </c>
      <c r="H176" s="60">
        <f>'Tourism Medium DB-LCU'!I175*Home!D$5</f>
        <v>90.576453923655251</v>
      </c>
      <c r="I176" s="60">
        <f>'Tourism Medium DB-LCU'!J175*Home!E$5</f>
        <v>104.74177165641362</v>
      </c>
      <c r="J176" s="60">
        <f>'Tourism Medium DB-LCU'!K175*Home!F$5</f>
        <v>125.45984144982339</v>
      </c>
      <c r="K176" s="60">
        <f>'Tourism Medium DB-LCU'!L175*Home!G$5</f>
        <v>123.42617772249122</v>
      </c>
      <c r="L176" s="60">
        <f>'Tourism Medium DB-LCU'!M175*Home!H$5</f>
        <v>132.40238215026</v>
      </c>
      <c r="M176" s="60">
        <f>'Tourism Medium DB-LCU'!N175*Home!I$5</f>
        <v>135.7723348165473</v>
      </c>
      <c r="N176" s="60">
        <f>'Tourism Medium DB-LCU'!O175*Home!J$5</f>
        <v>141.73396081553201</v>
      </c>
      <c r="O176" s="60">
        <f>'Tourism Medium DB-LCU'!P175*Home!K$5</f>
        <v>154.22661964199756</v>
      </c>
      <c r="P176" s="60">
        <f>'Tourism Medium DB-LCU'!Q175*Home!L$5</f>
        <v>161.27371296148533</v>
      </c>
      <c r="Q176" s="324">
        <f t="shared" si="15"/>
        <v>8.7305808278809405E-2</v>
      </c>
      <c r="R176" s="324">
        <f t="shared" si="16"/>
        <v>5.4948504858589597E-2</v>
      </c>
      <c r="U176" s="32"/>
      <c r="V176" s="32"/>
      <c r="W176" s="32"/>
      <c r="X176" s="32"/>
      <c r="Y176" s="32"/>
      <c r="Z176" s="32"/>
      <c r="AA176" s="32"/>
      <c r="AB176" s="32"/>
      <c r="AC176" s="32"/>
    </row>
    <row r="177" spans="1:29" ht="15" customHeight="1">
      <c r="A177" s="4" t="str">
        <f>'Tourism Medium DB-LCU'!A176</f>
        <v>Hungary</v>
      </c>
      <c r="B177" s="4" t="str">
        <f>'Tourism Medium DB-LCU'!B176</f>
        <v xml:space="preserve">Travel Intermediaries </v>
      </c>
      <c r="C177" s="4" t="str">
        <f>'Tourism Medium DB-LCU'!C176</f>
        <v>Market Value by Channel</v>
      </c>
      <c r="D177" s="2" t="str">
        <f>'Tourism Medium DB-LCU'!D176</f>
        <v>In-Store</v>
      </c>
      <c r="E177" s="4"/>
      <c r="F177" s="1" t="s">
        <v>180</v>
      </c>
      <c r="G177" s="60">
        <f>'Tourism Medium DB-LCU'!H176*Home!C$5</f>
        <v>238.48335427504253</v>
      </c>
      <c r="H177" s="60">
        <f>'Tourism Medium DB-LCU'!I176*Home!D$5</f>
        <v>170.79654151703716</v>
      </c>
      <c r="I177" s="60">
        <f>'Tourism Medium DB-LCU'!J176*Home!E$5</f>
        <v>162.805369631231</v>
      </c>
      <c r="J177" s="60">
        <f>'Tourism Medium DB-LCU'!K176*Home!F$5</f>
        <v>162.03706757226706</v>
      </c>
      <c r="K177" s="60">
        <f>'Tourism Medium DB-LCU'!L176*Home!G$5</f>
        <v>141.75168870206574</v>
      </c>
      <c r="L177" s="60">
        <f>'Tourism Medium DB-LCU'!M176*Home!H$5</f>
        <v>138.9724953776672</v>
      </c>
      <c r="M177" s="60">
        <f>'Tourism Medium DB-LCU'!N176*Home!I$5</f>
        <v>131.73695386185634</v>
      </c>
      <c r="N177" s="60">
        <f>'Tourism Medium DB-LCU'!O176*Home!J$5</f>
        <v>126.68221428447821</v>
      </c>
      <c r="O177" s="60">
        <f>'Tourism Medium DB-LCU'!P176*Home!K$5</f>
        <v>128.78259714482729</v>
      </c>
      <c r="P177" s="60">
        <f>'Tourism Medium DB-LCU'!Q176*Home!L$5</f>
        <v>125.28978369004001</v>
      </c>
      <c r="Q177" s="324">
        <f t="shared" si="15"/>
        <v>-0.1219534466197143</v>
      </c>
      <c r="R177" s="324">
        <f t="shared" si="16"/>
        <v>-2.438721346756989E-2</v>
      </c>
      <c r="U177" s="32"/>
      <c r="V177" s="32"/>
      <c r="W177" s="32"/>
      <c r="X177" s="32"/>
      <c r="Y177" s="32"/>
      <c r="Z177" s="32"/>
      <c r="AA177" s="32"/>
      <c r="AB177" s="32"/>
      <c r="AC177" s="32"/>
    </row>
    <row r="178" spans="1:29" ht="15" customHeight="1">
      <c r="A178" s="4" t="str">
        <f>'Tourism Medium DB-LCU'!A177</f>
        <v>Hungary</v>
      </c>
      <c r="B178" s="4" t="str">
        <f>'Tourism Medium DB-LCU'!B177</f>
        <v xml:space="preserve">Travel Intermediaries </v>
      </c>
      <c r="C178" s="2" t="str">
        <f>'Tourism Medium DB-LCU'!C177</f>
        <v>Market Value by Destination</v>
      </c>
      <c r="D178" s="4"/>
      <c r="E178" s="4"/>
      <c r="F178" s="1" t="s">
        <v>180</v>
      </c>
      <c r="G178" s="60">
        <f>'Tourism Medium DB-LCU'!H177*Home!C$5</f>
        <v>326.79143539773776</v>
      </c>
      <c r="H178" s="60">
        <f>'Tourism Medium DB-LCU'!I177*Home!D$5</f>
        <v>261.37299544069242</v>
      </c>
      <c r="I178" s="60">
        <f>'Tourism Medium DB-LCU'!J177*Home!E$5</f>
        <v>267.54714128764459</v>
      </c>
      <c r="J178" s="60">
        <f>'Tourism Medium DB-LCU'!K177*Home!F$5</f>
        <v>287.49690902209045</v>
      </c>
      <c r="K178" s="60">
        <f>'Tourism Medium DB-LCU'!L177*Home!G$5</f>
        <v>265.17786642455695</v>
      </c>
      <c r="L178" s="60">
        <f>'Tourism Medium DB-LCU'!M177*Home!H$5</f>
        <v>271.3748775279272</v>
      </c>
      <c r="M178" s="60">
        <f>'Tourism Medium DB-LCU'!N177*Home!I$5</f>
        <v>267.50928867840361</v>
      </c>
      <c r="N178" s="60">
        <f>'Tourism Medium DB-LCU'!O177*Home!J$5</f>
        <v>268.41617510001021</v>
      </c>
      <c r="O178" s="60">
        <f>'Tourism Medium DB-LCU'!P177*Home!K$5</f>
        <v>283.00921678682482</v>
      </c>
      <c r="P178" s="60">
        <f>'Tourism Medium DB-LCU'!Q177*Home!L$5</f>
        <v>286.56349665152533</v>
      </c>
      <c r="Q178" s="324">
        <f t="shared" si="15"/>
        <v>-5.0889776452154312E-2</v>
      </c>
      <c r="R178" s="324">
        <f t="shared" si="16"/>
        <v>1.5632802635843213E-2</v>
      </c>
      <c r="U178" s="32"/>
      <c r="V178" s="32"/>
      <c r="W178" s="32"/>
      <c r="X178" s="32"/>
      <c r="Y178" s="32"/>
      <c r="Z178" s="32"/>
      <c r="AA178" s="32"/>
      <c r="AB178" s="32"/>
      <c r="AC178" s="32"/>
    </row>
    <row r="179" spans="1:29" ht="15" customHeight="1">
      <c r="A179" s="4" t="str">
        <f>'Tourism Medium DB-LCU'!A178</f>
        <v>Hungary</v>
      </c>
      <c r="B179" s="4" t="str">
        <f>'Tourism Medium DB-LCU'!B178</f>
        <v xml:space="preserve">Travel Intermediaries </v>
      </c>
      <c r="C179" s="4" t="str">
        <f>'Tourism Medium DB-LCU'!C178</f>
        <v>Market Value by Destination &amp; Channel</v>
      </c>
      <c r="D179" s="2" t="str">
        <f>'Tourism Medium DB-LCU'!D178</f>
        <v>Domestic Trips</v>
      </c>
      <c r="E179" s="4"/>
      <c r="F179" s="1" t="s">
        <v>180</v>
      </c>
      <c r="G179" s="60">
        <f>'Tourism Medium DB-LCU'!H178*Home!C$5</f>
        <v>178.083121692671</v>
      </c>
      <c r="H179" s="60">
        <f>'Tourism Medium DB-LCU'!I178*Home!D$5</f>
        <v>144.81272631722632</v>
      </c>
      <c r="I179" s="60">
        <f>'Tourism Medium DB-LCU'!J178*Home!E$5</f>
        <v>148.78730405721936</v>
      </c>
      <c r="J179" s="60">
        <f>'Tourism Medium DB-LCU'!K178*Home!F$5</f>
        <v>160.76390752185159</v>
      </c>
      <c r="K179" s="60">
        <f>'Tourism Medium DB-LCU'!L178*Home!G$5</f>
        <v>152.41935936475923</v>
      </c>
      <c r="L179" s="60">
        <f>'Tourism Medium DB-LCU'!M178*Home!H$5</f>
        <v>158.07390853987283</v>
      </c>
      <c r="M179" s="60">
        <f>'Tourism Medium DB-LCU'!N178*Home!I$5</f>
        <v>157.7849410936447</v>
      </c>
      <c r="N179" s="60">
        <f>'Tourism Medium DB-LCU'!O178*Home!J$5</f>
        <v>160.66661739731532</v>
      </c>
      <c r="O179" s="60">
        <f>'Tourism Medium DB-LCU'!P178*Home!K$5</f>
        <v>172.30899312054564</v>
      </c>
      <c r="P179" s="60">
        <f>'Tourism Medium DB-LCU'!Q178*Home!L$5</f>
        <v>177.00248325368432</v>
      </c>
      <c r="Q179" s="324">
        <f t="shared" si="15"/>
        <v>-3.8156658248233E-2</v>
      </c>
      <c r="R179" s="324">
        <f t="shared" si="16"/>
        <v>3.0357283629760978E-2</v>
      </c>
      <c r="U179" s="32"/>
      <c r="V179" s="32"/>
      <c r="W179" s="32"/>
      <c r="X179" s="32"/>
      <c r="Y179" s="32"/>
      <c r="Z179" s="32"/>
      <c r="AA179" s="32"/>
      <c r="AB179" s="32"/>
      <c r="AC179" s="32"/>
    </row>
    <row r="180" spans="1:29" ht="15" customHeight="1">
      <c r="A180" s="4" t="str">
        <f>'Tourism Medium DB-LCU'!A179</f>
        <v>Hungary</v>
      </c>
      <c r="B180" s="4" t="str">
        <f>'Tourism Medium DB-LCU'!B179</f>
        <v xml:space="preserve">Travel Intermediaries </v>
      </c>
      <c r="C180" s="4" t="str">
        <f>'Tourism Medium DB-LCU'!C179</f>
        <v>Market Value by Destination &amp; Channel</v>
      </c>
      <c r="D180" s="2" t="str">
        <f>'Tourism Medium DB-LCU'!D179</f>
        <v>International Trips</v>
      </c>
      <c r="E180" s="4"/>
      <c r="F180" s="1" t="s">
        <v>180</v>
      </c>
      <c r="G180" s="60">
        <f>'Tourism Medium DB-LCU'!H179*Home!C$5</f>
        <v>148.70831370506679</v>
      </c>
      <c r="H180" s="60">
        <f>'Tourism Medium DB-LCU'!I179*Home!D$5</f>
        <v>116.56026912346606</v>
      </c>
      <c r="I180" s="60">
        <f>'Tourism Medium DB-LCU'!J179*Home!E$5</f>
        <v>118.75983723042523</v>
      </c>
      <c r="J180" s="60">
        <f>'Tourism Medium DB-LCU'!K179*Home!F$5</f>
        <v>126.73300150023886</v>
      </c>
      <c r="K180" s="60">
        <f>'Tourism Medium DB-LCU'!L179*Home!G$5</f>
        <v>112.75850705979774</v>
      </c>
      <c r="L180" s="60">
        <f>'Tourism Medium DB-LCU'!M179*Home!H$5</f>
        <v>113.30096898805438</v>
      </c>
      <c r="M180" s="60">
        <f>'Tourism Medium DB-LCU'!N179*Home!I$5</f>
        <v>109.72434758475892</v>
      </c>
      <c r="N180" s="60">
        <f>'Tourism Medium DB-LCU'!O179*Home!J$5</f>
        <v>107.7495577026949</v>
      </c>
      <c r="O180" s="60">
        <f>'Tourism Medium DB-LCU'!P179*Home!K$5</f>
        <v>110.70022366627921</v>
      </c>
      <c r="P180" s="60">
        <f>'Tourism Medium DB-LCU'!Q179*Home!L$5</f>
        <v>109.56101339784102</v>
      </c>
      <c r="Q180" s="324">
        <f t="shared" si="15"/>
        <v>-6.6845580955240846E-2</v>
      </c>
      <c r="R180" s="324">
        <f t="shared" si="16"/>
        <v>-5.7368475062112845E-3</v>
      </c>
      <c r="U180" s="32"/>
      <c r="V180" s="32"/>
      <c r="W180" s="32"/>
      <c r="X180" s="32"/>
      <c r="Y180" s="32"/>
      <c r="Z180" s="32"/>
      <c r="AA180" s="32"/>
      <c r="AB180" s="32"/>
      <c r="AC180" s="32"/>
    </row>
    <row r="181" spans="1:29" ht="15" customHeight="1">
      <c r="A181" s="4" t="str">
        <f>'Tourism Medium DB-LCU'!A180</f>
        <v>Hungary</v>
      </c>
      <c r="B181" s="4" t="str">
        <f>'Tourism Medium DB-LCU'!B180</f>
        <v xml:space="preserve">Travel Intermediaries </v>
      </c>
      <c r="C181" s="2" t="str">
        <f>'Tourism Medium DB-LCU'!C180</f>
        <v>Market Value by Customer Type</v>
      </c>
      <c r="D181" s="4"/>
      <c r="E181" s="4"/>
      <c r="F181" s="1" t="s">
        <v>180</v>
      </c>
      <c r="G181" s="60">
        <f>'Tourism Medium DB-LCU'!H180*Home!C$5</f>
        <v>326.79143539773776</v>
      </c>
      <c r="H181" s="60">
        <f>'Tourism Medium DB-LCU'!I180*Home!D$5</f>
        <v>261.37299544069242</v>
      </c>
      <c r="I181" s="60">
        <f>'Tourism Medium DB-LCU'!J180*Home!E$5</f>
        <v>267.54714128764459</v>
      </c>
      <c r="J181" s="60">
        <f>'Tourism Medium DB-LCU'!K180*Home!F$5</f>
        <v>287.49690902209045</v>
      </c>
      <c r="K181" s="60">
        <f>'Tourism Medium DB-LCU'!L180*Home!G$5</f>
        <v>265.17786642455695</v>
      </c>
      <c r="L181" s="60">
        <f>'Tourism Medium DB-LCU'!M180*Home!H$5</f>
        <v>271.3748775279272</v>
      </c>
      <c r="M181" s="60">
        <f>'Tourism Medium DB-LCU'!N180*Home!I$5</f>
        <v>267.50928867840361</v>
      </c>
      <c r="N181" s="60">
        <f>'Tourism Medium DB-LCU'!O180*Home!J$5</f>
        <v>268.41617510001021</v>
      </c>
      <c r="O181" s="60">
        <f>'Tourism Medium DB-LCU'!P180*Home!K$5</f>
        <v>283.00921678682482</v>
      </c>
      <c r="P181" s="60">
        <f>'Tourism Medium DB-LCU'!Q180*Home!L$5</f>
        <v>286.56349665152533</v>
      </c>
      <c r="Q181" s="324">
        <f t="shared" si="15"/>
        <v>-5.0889776452154312E-2</v>
      </c>
      <c r="R181" s="324">
        <f t="shared" si="16"/>
        <v>1.5632802635843213E-2</v>
      </c>
      <c r="U181" s="32"/>
      <c r="V181" s="32"/>
      <c r="W181" s="32"/>
      <c r="X181" s="32"/>
      <c r="Y181" s="32"/>
      <c r="Z181" s="32"/>
      <c r="AA181" s="32"/>
      <c r="AB181" s="32"/>
      <c r="AC181" s="32"/>
    </row>
    <row r="182" spans="1:29" ht="15" customHeight="1">
      <c r="A182" s="4" t="str">
        <f>'Tourism Medium DB-LCU'!A181</f>
        <v>Hungary</v>
      </c>
      <c r="B182" s="4" t="str">
        <f>'Tourism Medium DB-LCU'!B181</f>
        <v xml:space="preserve">Travel Intermediaries </v>
      </c>
      <c r="C182" s="4" t="str">
        <f>'Tourism Medium DB-LCU'!C181</f>
        <v>Market Value by Customer Type</v>
      </c>
      <c r="D182" s="2" t="str">
        <f>'Tourism Medium DB-LCU'!D181</f>
        <v>Business</v>
      </c>
      <c r="E182" s="4"/>
      <c r="F182" s="1" t="s">
        <v>180</v>
      </c>
      <c r="G182" s="60" t="e">
        <f>'Tourism Medium DB-LCU'!H181*Home!C$5</f>
        <v>#VALUE!</v>
      </c>
      <c r="H182" s="60" t="e">
        <f>'Tourism Medium DB-LCU'!I181*Home!D$5</f>
        <v>#VALUE!</v>
      </c>
      <c r="I182" s="60" t="e">
        <f>'Tourism Medium DB-LCU'!J181*Home!E$5</f>
        <v>#VALUE!</v>
      </c>
      <c r="J182" s="60" t="e">
        <f>'Tourism Medium DB-LCU'!K181*Home!F$5</f>
        <v>#VALUE!</v>
      </c>
      <c r="K182" s="60">
        <f>'Tourism Medium DB-LCU'!L181*Home!G$5</f>
        <v>168.02278610424048</v>
      </c>
      <c r="L182" s="60" t="e">
        <f>'Tourism Medium DB-LCU'!M181*Home!H$5</f>
        <v>#VALUE!</v>
      </c>
      <c r="M182" s="60" t="e">
        <f>'Tourism Medium DB-LCU'!N181*Home!I$5</f>
        <v>#VALUE!</v>
      </c>
      <c r="N182" s="60" t="e">
        <f>'Tourism Medium DB-LCU'!O181*Home!J$5</f>
        <v>#VALUE!</v>
      </c>
      <c r="O182" s="60" t="e">
        <f>'Tourism Medium DB-LCU'!P181*Home!K$5</f>
        <v>#VALUE!</v>
      </c>
      <c r="P182" s="60" t="e">
        <f>'Tourism Medium DB-LCU'!Q181*Home!L$5</f>
        <v>#VALUE!</v>
      </c>
      <c r="Q182" s="324" t="e">
        <f t="shared" si="15"/>
        <v>#VALUE!</v>
      </c>
      <c r="R182" s="324" t="e">
        <f t="shared" si="16"/>
        <v>#VALUE!</v>
      </c>
      <c r="U182" s="32"/>
      <c r="V182" s="32"/>
      <c r="W182" s="32"/>
      <c r="X182" s="32"/>
      <c r="Y182" s="32"/>
      <c r="Z182" s="32"/>
      <c r="AA182" s="32"/>
      <c r="AB182" s="32"/>
      <c r="AC182" s="32"/>
    </row>
    <row r="183" spans="1:29" ht="15" customHeight="1">
      <c r="A183" s="4" t="str">
        <f>'Tourism Medium DB-LCU'!A182</f>
        <v>Hungary</v>
      </c>
      <c r="B183" s="4" t="str">
        <f>'Tourism Medium DB-LCU'!B182</f>
        <v xml:space="preserve">Travel Intermediaries </v>
      </c>
      <c r="C183" s="4" t="str">
        <f>'Tourism Medium DB-LCU'!C182</f>
        <v>Market Value by Customer Type</v>
      </c>
      <c r="D183" s="2" t="str">
        <f>'Tourism Medium DB-LCU'!D182</f>
        <v>Leisure</v>
      </c>
      <c r="E183" s="4"/>
      <c r="F183" s="1" t="s">
        <v>180</v>
      </c>
      <c r="G183" s="60" t="e">
        <f>'Tourism Medium DB-LCU'!H182*Home!C$5</f>
        <v>#VALUE!</v>
      </c>
      <c r="H183" s="60" t="e">
        <f>'Tourism Medium DB-LCU'!I182*Home!D$5</f>
        <v>#VALUE!</v>
      </c>
      <c r="I183" s="60" t="e">
        <f>'Tourism Medium DB-LCU'!J182*Home!E$5</f>
        <v>#VALUE!</v>
      </c>
      <c r="J183" s="60" t="e">
        <f>'Tourism Medium DB-LCU'!K182*Home!F$5</f>
        <v>#VALUE!</v>
      </c>
      <c r="K183" s="60">
        <f>'Tourism Medium DB-LCU'!L182*Home!G$5</f>
        <v>97.155080320316486</v>
      </c>
      <c r="L183" s="60" t="e">
        <f>'Tourism Medium DB-LCU'!M182*Home!H$5</f>
        <v>#VALUE!</v>
      </c>
      <c r="M183" s="60" t="e">
        <f>'Tourism Medium DB-LCU'!N182*Home!I$5</f>
        <v>#VALUE!</v>
      </c>
      <c r="N183" s="60" t="e">
        <f>'Tourism Medium DB-LCU'!O182*Home!J$5</f>
        <v>#VALUE!</v>
      </c>
      <c r="O183" s="60" t="e">
        <f>'Tourism Medium DB-LCU'!P182*Home!K$5</f>
        <v>#VALUE!</v>
      </c>
      <c r="P183" s="60" t="e">
        <f>'Tourism Medium DB-LCU'!Q182*Home!L$5</f>
        <v>#VALUE!</v>
      </c>
      <c r="Q183" s="324" t="e">
        <f t="shared" si="15"/>
        <v>#VALUE!</v>
      </c>
      <c r="R183" s="324" t="e">
        <f t="shared" si="16"/>
        <v>#VALUE!</v>
      </c>
      <c r="U183" s="32"/>
      <c r="V183" s="32"/>
      <c r="W183" s="32"/>
      <c r="X183" s="32"/>
      <c r="Y183" s="32"/>
      <c r="Z183" s="32"/>
      <c r="AA183" s="32"/>
      <c r="AB183" s="32"/>
      <c r="AC183" s="32"/>
    </row>
  </sheetData>
  <customSheetViews>
    <customSheetView guid="{BD5E9955-DC4B-4EA0-9160-9EF1C693DE04}" showGridLines="0">
      <pane ySplit="1" topLeftCell="A66" activePane="bottomLeft" state="frozen"/>
      <selection pane="bottomLeft" activeCell="H83" sqref="H83"/>
      <pageMargins left="0.7" right="0.7" top="0.75" bottom="0.75" header="0.3" footer="0.3"/>
      <pageSetup orientation="portrait" r:id="rId1"/>
    </customSheetView>
    <customSheetView guid="{1ACDCC85-59E3-4410-927D-E7E5C71B61F5}" showGridLines="0" topLeftCell="D1">
      <pane ySplit="1" topLeftCell="A122" activePane="bottomLeft" state="frozen"/>
      <selection pane="bottomLeft" activeCell="L127" sqref="L127"/>
      <pageMargins left="0.7" right="0.7" top="0.75" bottom="0.75" header="0.3" footer="0.3"/>
      <pageSetup orientation="portrait" r:id="rId2"/>
    </customSheetView>
    <customSheetView guid="{28AA611C-F120-4D09-9666-0AAAA1997A5D}" topLeftCell="F1">
      <pane ySplit="1" topLeftCell="A149" activePane="bottomLeft" state="frozen"/>
      <selection pane="bottomLeft" activeCell="L158" sqref="L158"/>
      <pageMargins left="0.7" right="0.7" top="0.75" bottom="0.75" header="0.3" footer="0.3"/>
      <pageSetup orientation="portrait" r:id="rId3"/>
    </customSheetView>
    <customSheetView guid="{63078F6D-D19C-47E9-B618-80B24EAAED3A}">
      <pane ySplit="1" topLeftCell="A134" activePane="bottomLeft" state="frozen"/>
      <selection pane="bottomLeft" activeCell="R137" sqref="R137"/>
      <pageMargins left="0.7" right="0.7" top="0.75" bottom="0.75" header="0.3" footer="0.3"/>
      <pageSetup orientation="portrait" r:id="rId4"/>
    </customSheetView>
    <customSheetView guid="{92F60ACF-D6F3-4086-9F2B-BC0D304DAC43}">
      <pane ySplit="1" topLeftCell="A134" activePane="bottomLeft" state="frozen"/>
      <selection pane="bottomLeft" activeCell="R137" sqref="R137"/>
      <pageMargins left="0.7" right="0.7" top="0.75" bottom="0.75" header="0.3" footer="0.3"/>
      <pageSetup orientation="portrait" r:id="rId5"/>
    </customSheetView>
    <customSheetView guid="{9144D9B3-2327-4B3A-89B1-6A595780C3C5}" state="hidden">
      <pane ySplit="1" topLeftCell="A144" activePane="bottomLeft" state="frozen"/>
      <selection pane="bottomLeft" activeCell="G155" sqref="G155"/>
      <pageMargins left="0.7" right="0.7" top="0.75" bottom="0.75" header="0.3" footer="0.3"/>
      <pageSetup orientation="portrait" r:id="rId6"/>
    </customSheetView>
    <customSheetView guid="{513032B5-C585-49C2-98E7-9FDE6F7A4BA7}" showGridLines="0">
      <pane ySplit="1" topLeftCell="A2" activePane="bottomLeft" state="frozen"/>
      <selection pane="bottomLeft" activeCell="G4" sqref="G4"/>
      <pageMargins left="0.7" right="0.7" top="0.75" bottom="0.75" header="0.3" footer="0.3"/>
      <pageSetup orientation="portrait" r:id="rId7"/>
    </customSheetView>
    <customSheetView guid="{AF983ECA-536A-40E6-8A04-FF0A375E9ACC}" showGridLines="0" topLeftCell="D1">
      <pane ySplit="1" topLeftCell="A60" activePane="bottomLeft" state="frozen"/>
      <selection pane="bottomLeft" activeCell="G79" sqref="G79"/>
      <pageMargins left="0.7" right="0.7" top="0.75" bottom="0.75" header="0.3" footer="0.3"/>
      <pageSetup orientation="portrait" r:id="rId8"/>
    </customSheetView>
  </customSheetViews>
  <hyperlinks>
    <hyperlink ref="T5" r:id="rId9"/>
    <hyperlink ref="T6" r:id="rId10"/>
    <hyperlink ref="T14" r:id="rId11"/>
    <hyperlink ref="T23" r:id="rId12"/>
    <hyperlink ref="T24" r:id="rId13"/>
    <hyperlink ref="T25" r:id="rId14"/>
    <hyperlink ref="T26" r:id="rId15"/>
    <hyperlink ref="T30" r:id="rId16"/>
    <hyperlink ref="T34" r:id="rId17"/>
    <hyperlink ref="T41" r:id="rId18"/>
  </hyperlinks>
  <pageMargins left="0.7" right="0.7" top="0.75" bottom="0.75" header="0.3" footer="0.3"/>
  <pageSetup orientation="portrait" r:id="rId19"/>
</worksheet>
</file>

<file path=xl/worksheets/sheet6.xml><?xml version="1.0" encoding="utf-8"?>
<worksheet xmlns="http://schemas.openxmlformats.org/spreadsheetml/2006/main" xmlns:r="http://schemas.openxmlformats.org/officeDocument/2006/relationships">
  <dimension ref="A1:K37"/>
  <sheetViews>
    <sheetView topLeftCell="A3" workbookViewId="0">
      <selection activeCell="B12" sqref="B12"/>
    </sheetView>
  </sheetViews>
  <sheetFormatPr defaultRowHeight="15"/>
  <cols>
    <col min="1" max="1" width="26.140625" customWidth="1"/>
    <col min="2" max="6" width="12.28515625" customWidth="1"/>
    <col min="7" max="7" width="10.7109375" customWidth="1"/>
  </cols>
  <sheetData>
    <row r="1" spans="1:6">
      <c r="B1" s="635">
        <v>2008</v>
      </c>
      <c r="C1" s="635">
        <v>2009</v>
      </c>
      <c r="D1" s="635">
        <v>2010</v>
      </c>
      <c r="E1" s="635">
        <v>2011</v>
      </c>
      <c r="F1" s="635">
        <v>2012</v>
      </c>
    </row>
    <row r="2" spans="1:6">
      <c r="A2" t="s">
        <v>77</v>
      </c>
      <c r="B2">
        <v>1940</v>
      </c>
      <c r="C2">
        <v>1982</v>
      </c>
      <c r="D2">
        <v>1985</v>
      </c>
      <c r="E2">
        <v>1998</v>
      </c>
      <c r="F2">
        <v>2003</v>
      </c>
    </row>
    <row r="3" spans="1:6">
      <c r="A3" t="s">
        <v>242</v>
      </c>
      <c r="B3">
        <v>106581</v>
      </c>
      <c r="C3">
        <v>108168</v>
      </c>
      <c r="D3">
        <v>110413</v>
      </c>
      <c r="E3">
        <v>112628</v>
      </c>
      <c r="F3">
        <v>113944</v>
      </c>
    </row>
    <row r="4" spans="1:6">
      <c r="A4" t="s">
        <v>244</v>
      </c>
      <c r="B4" s="83">
        <v>0.503</v>
      </c>
      <c r="C4" s="83">
        <v>0.48199999999999998</v>
      </c>
      <c r="D4" s="444">
        <v>0.5</v>
      </c>
      <c r="E4" s="83">
        <v>0.50800000000000001</v>
      </c>
      <c r="F4" s="83">
        <v>0.501</v>
      </c>
    </row>
    <row r="8" spans="1:6">
      <c r="A8" t="s">
        <v>798</v>
      </c>
      <c r="B8">
        <v>910</v>
      </c>
      <c r="C8">
        <v>889</v>
      </c>
      <c r="D8">
        <v>911</v>
      </c>
      <c r="E8">
        <v>942</v>
      </c>
      <c r="F8">
        <v>939</v>
      </c>
    </row>
    <row r="9" spans="1:6">
      <c r="A9" t="s">
        <v>246</v>
      </c>
      <c r="B9">
        <f>B8*B4</f>
        <v>457.73</v>
      </c>
      <c r="C9">
        <f>C8*C4</f>
        <v>428.49799999999999</v>
      </c>
      <c r="D9">
        <f>D8*D4</f>
        <v>455.5</v>
      </c>
      <c r="E9">
        <f>E8*E4</f>
        <v>478.536</v>
      </c>
      <c r="F9">
        <f>F8*F4</f>
        <v>470.43900000000002</v>
      </c>
    </row>
    <row r="12" spans="1:6">
      <c r="A12" t="s">
        <v>799</v>
      </c>
      <c r="B12">
        <v>15517114</v>
      </c>
      <c r="C12">
        <v>15410852</v>
      </c>
      <c r="D12">
        <v>16341355</v>
      </c>
      <c r="E12">
        <v>16784550</v>
      </c>
      <c r="F12" s="273">
        <f>E12*(1+F16)</f>
        <v>17129973.379622977</v>
      </c>
    </row>
    <row r="13" spans="1:6">
      <c r="C13" s="446">
        <f>C12/B12-1</f>
        <v>-6.8480517704516686E-3</v>
      </c>
      <c r="D13" s="446">
        <f t="shared" ref="D13:F13" si="0">D12/C12-1</f>
        <v>6.0379724625218678E-2</v>
      </c>
      <c r="E13" s="446">
        <f t="shared" si="0"/>
        <v>2.7121067989771985E-2</v>
      </c>
      <c r="F13" s="446">
        <f t="shared" si="0"/>
        <v>2.0579841558038714E-2</v>
      </c>
    </row>
    <row r="15" spans="1:6">
      <c r="A15" t="s">
        <v>800</v>
      </c>
      <c r="B15">
        <v>25872607</v>
      </c>
      <c r="C15">
        <v>25958480</v>
      </c>
      <c r="D15">
        <v>27337915</v>
      </c>
      <c r="E15">
        <v>27990060</v>
      </c>
      <c r="F15">
        <v>28566091</v>
      </c>
    </row>
    <row r="16" spans="1:6">
      <c r="C16" s="446">
        <f>C15/B15-1</f>
        <v>3.3190702429020114E-3</v>
      </c>
      <c r="D16" s="446">
        <f t="shared" ref="D16" si="1">D15/C15-1</f>
        <v>5.3140052884452338E-2</v>
      </c>
      <c r="E16" s="446">
        <f t="shared" ref="E16" si="2">E15/D15-1</f>
        <v>2.3854964798888378E-2</v>
      </c>
      <c r="F16" s="446">
        <f t="shared" ref="F16" si="3">F15/E15-1</f>
        <v>2.0579841558038714E-2</v>
      </c>
    </row>
    <row r="19" spans="1:9">
      <c r="A19" t="s">
        <v>14</v>
      </c>
      <c r="B19">
        <f>'Tourism Medium DB-LCU'!H18</f>
        <v>18121.427</v>
      </c>
      <c r="C19">
        <f>'Tourism Medium DB-LCU'!I18</f>
        <v>14843.013999999999</v>
      </c>
      <c r="D19">
        <f>'Tourism Medium DB-LCU'!J18</f>
        <v>14771.822</v>
      </c>
      <c r="E19">
        <f>'Tourism Medium DB-LCU'!K18</f>
        <v>15663.802</v>
      </c>
      <c r="F19">
        <f>'Tourism Medium DB-LCU'!L18</f>
        <v>14443.02</v>
      </c>
    </row>
    <row r="20" spans="1:9">
      <c r="A20" t="s">
        <v>802</v>
      </c>
      <c r="B20">
        <f>'Tourism Medium DB-LCU'!H19</f>
        <v>320.29899999999998</v>
      </c>
      <c r="C20">
        <f>'Tourism Medium DB-LCU'!I19</f>
        <v>225.28899999999999</v>
      </c>
      <c r="D20">
        <f>'Tourism Medium DB-LCU'!J19</f>
        <v>140.928</v>
      </c>
      <c r="E20">
        <f>'Tourism Medium DB-LCU'!K19</f>
        <v>110.51900000000001</v>
      </c>
      <c r="F20">
        <f>'Tourism Medium DB-LCU'!L19</f>
        <v>136.61933469808844</v>
      </c>
    </row>
    <row r="21" spans="1:9">
      <c r="B21" s="253"/>
      <c r="C21" s="253"/>
      <c r="D21" s="253"/>
      <c r="G21" s="253"/>
    </row>
    <row r="22" spans="1:9">
      <c r="A22" t="s">
        <v>803</v>
      </c>
      <c r="B22" s="253">
        <f>'Tourism Medium DB-LCU'!H22</f>
        <v>8717.646556833155</v>
      </c>
      <c r="C22" s="253">
        <f>'Tourism Medium DB-LCU'!I22</f>
        <v>9244.2489954946413</v>
      </c>
      <c r="D22" s="253">
        <f>'Tourism Medium DB-LCU'!J22</f>
        <v>9353.6700759870073</v>
      </c>
      <c r="E22" s="253">
        <f>'Tourism Medium DB-LCU'!K22</f>
        <v>9959.1190000000006</v>
      </c>
      <c r="F22" s="253">
        <f>'Tourism Medium DB-LCU'!L22</f>
        <v>10913.915999999999</v>
      </c>
      <c r="I22" s="253"/>
    </row>
    <row r="23" spans="1:9">
      <c r="A23" t="s">
        <v>804</v>
      </c>
      <c r="B23" s="253">
        <f>'Tourism Medium DB-LCU'!H30</f>
        <v>0</v>
      </c>
      <c r="C23" s="253">
        <f>'Tourism Medium DB-LCU'!I30</f>
        <v>0</v>
      </c>
      <c r="D23" s="253">
        <f>'Tourism Medium DB-LCU'!J30</f>
        <v>0</v>
      </c>
      <c r="E23" s="253">
        <f>'Tourism Medium DB-LCU'!K30</f>
        <v>0</v>
      </c>
      <c r="F23" s="253">
        <f>'Tourism Medium DB-LCU'!L30</f>
        <v>0</v>
      </c>
      <c r="I23" s="253"/>
    </row>
    <row r="25" spans="1:9">
      <c r="A25" t="s">
        <v>19</v>
      </c>
      <c r="B25" s="266">
        <f>(SUM(B23,B20)/SUM(B22,B19))*B12</f>
        <v>185182.10349405379</v>
      </c>
      <c r="C25" s="266">
        <f t="shared" ref="C25:E25" si="4">(SUM(C23,C20)/SUM(C22,C19))*C12</f>
        <v>144138.22927401069</v>
      </c>
      <c r="D25" s="266">
        <f t="shared" si="4"/>
        <v>95457.30591469325</v>
      </c>
      <c r="E25" s="266">
        <f t="shared" si="4"/>
        <v>72396.57342150803</v>
      </c>
      <c r="F25" s="266">
        <f>(SUM(F23,F20)/SUM(F22,F19))*F12*1.015</f>
        <v>93678.110400162594</v>
      </c>
    </row>
    <row r="26" spans="1:9">
      <c r="A26" t="s">
        <v>20</v>
      </c>
      <c r="B26" s="273">
        <f>B12-B25</f>
        <v>15331931.896505946</v>
      </c>
      <c r="C26" s="273">
        <f t="shared" ref="C26:F26" si="5">C12-C25</f>
        <v>15266713.77072599</v>
      </c>
      <c r="D26" s="273">
        <f t="shared" si="5"/>
        <v>16245897.694085307</v>
      </c>
      <c r="E26" s="273">
        <f t="shared" si="5"/>
        <v>16712153.426578492</v>
      </c>
      <c r="F26" s="273">
        <f t="shared" si="5"/>
        <v>17036295.269222815</v>
      </c>
    </row>
    <row r="29" spans="1:9">
      <c r="A29" t="s">
        <v>139</v>
      </c>
    </row>
    <row r="30" spans="1:9">
      <c r="A30" t="s">
        <v>805</v>
      </c>
      <c r="B30" s="266">
        <v>12615.056026666663</v>
      </c>
      <c r="C30" s="266">
        <v>11966.110360000001</v>
      </c>
      <c r="D30" s="266">
        <v>12429.818283333336</v>
      </c>
      <c r="E30" s="266">
        <v>13184.140666666668</v>
      </c>
      <c r="F30" s="266">
        <v>13665.166015000001</v>
      </c>
    </row>
    <row r="31" spans="1:9">
      <c r="A31" t="s">
        <v>806</v>
      </c>
      <c r="B31" s="266">
        <v>7763.7853066585503</v>
      </c>
      <c r="C31" s="266">
        <v>7900.4566939685619</v>
      </c>
      <c r="D31" s="643">
        <v>7991.4427829547067</v>
      </c>
      <c r="E31" s="266">
        <v>8083.0252071771592</v>
      </c>
      <c r="F31" s="266">
        <v>8218.5956883204617</v>
      </c>
    </row>
    <row r="33" spans="1:11">
      <c r="A33" t="s">
        <v>150</v>
      </c>
    </row>
    <row r="34" spans="1:11">
      <c r="A34" t="s">
        <v>805</v>
      </c>
      <c r="B34" s="266">
        <f>'Tourism Medium DB-LCU'!H157</f>
        <v>424.35596083009307</v>
      </c>
      <c r="C34" s="266">
        <f>'Tourism Medium DB-LCU'!I157</f>
        <v>431.87369841750001</v>
      </c>
      <c r="D34" s="266">
        <f>'Tourism Medium DB-LCU'!J157</f>
        <v>434.57961404024996</v>
      </c>
      <c r="E34" s="266">
        <f>'Tourism Medium DB-LCU'!K157</f>
        <v>437.69818546199997</v>
      </c>
      <c r="F34" s="266">
        <f>'Tourism Medium DB-LCU'!L157</f>
        <v>489.96107023500002</v>
      </c>
      <c r="H34" s="157">
        <f>C34/B34-1</f>
        <v>1.7715640361693819E-2</v>
      </c>
      <c r="I34" s="157">
        <f t="shared" ref="I34:K35" si="6">D34/C34-1</f>
        <v>6.2655253900969488E-3</v>
      </c>
      <c r="J34" s="157">
        <f t="shared" si="6"/>
        <v>7.1760646864147404E-3</v>
      </c>
      <c r="K34" s="157">
        <f t="shared" si="6"/>
        <v>0.11940393291289397</v>
      </c>
    </row>
    <row r="35" spans="1:11">
      <c r="A35" t="s">
        <v>806</v>
      </c>
      <c r="B35" s="266">
        <f>FORECAST(B34,C35:F35,C34:F34)</f>
        <v>274.46037634985584</v>
      </c>
      <c r="C35" s="266">
        <f t="shared" ref="C35:E35" si="7">C31/C30*C34</f>
        <v>285.13855789071107</v>
      </c>
      <c r="D35" s="266">
        <f t="shared" si="7"/>
        <v>279.40216349726524</v>
      </c>
      <c r="E35" s="266">
        <f t="shared" si="7"/>
        <v>268.34706604503629</v>
      </c>
      <c r="F35" s="266">
        <f>F31/F30*F34*1.01</f>
        <v>297.62242582393043</v>
      </c>
      <c r="H35" s="157">
        <f>C35/B35-1</f>
        <v>3.8906095236289184E-2</v>
      </c>
      <c r="I35" s="157">
        <f t="shared" si="6"/>
        <v>-2.0117918936955914E-2</v>
      </c>
      <c r="J35" s="157">
        <f t="shared" si="6"/>
        <v>-3.9566971543286367E-2</v>
      </c>
      <c r="K35" s="157">
        <f t="shared" si="6"/>
        <v>0.10909513642299662</v>
      </c>
    </row>
    <row r="37" spans="1:11">
      <c r="F37" s="252"/>
    </row>
  </sheetData>
  <customSheetViews>
    <customSheetView guid="{BD5E9955-DC4B-4EA0-9160-9EF1C693DE04}" topLeftCell="A3">
      <selection activeCell="B12" sqref="B12"/>
      <pageMargins left="0.7" right="0.7" top="0.75" bottom="0.75" header="0.3" footer="0.3"/>
      <pageSetup orientation="portrait" r:id="rId1"/>
    </customSheetView>
    <customSheetView guid="{1ACDCC85-59E3-4410-927D-E7E5C71B61F5}" state="hidden" topLeftCell="A75">
      <selection activeCell="B97" sqref="B97"/>
      <pageMargins left="0.7" right="0.7" top="0.75" bottom="0.75" header="0.3" footer="0.3"/>
      <pageSetup orientation="portrait" r:id="rId2"/>
    </customSheetView>
    <customSheetView guid="{9144D9B3-2327-4B3A-89B1-6A595780C3C5}" state="hidden" topLeftCell="A2">
      <selection activeCell="F2" sqref="F2"/>
      <pageMargins left="0.7" right="0.7" top="0.75" bottom="0.75" header="0.3" footer="0.3"/>
      <pageSetup orientation="portrait" r:id="rId3"/>
    </customSheetView>
    <customSheetView guid="{513032B5-C585-49C2-98E7-9FDE6F7A4BA7}" topLeftCell="A75">
      <pageMargins left="0.7" right="0.7" top="0.75" bottom="0.75" header="0.3" footer="0.3"/>
      <pageSetup orientation="portrait" r:id="rId4"/>
    </customSheetView>
    <customSheetView guid="{AF983ECA-536A-40E6-8A04-FF0A375E9ACC}" topLeftCell="A75">
      <selection activeCell="B97" sqref="B97"/>
      <pageMargins left="0.7" right="0.7" top="0.75" bottom="0.75" header="0.3" footer="0.3"/>
      <pageSetup orientation="portrait" r:id="rId5"/>
    </customSheetView>
  </customSheetViews>
  <pageMargins left="0.7" right="0.7" top="0.75" bottom="0.75" header="0.3" footer="0.3"/>
  <pageSetup orientation="portrait" r:id="rId6"/>
</worksheet>
</file>

<file path=xl/worksheets/sheet7.xml><?xml version="1.0" encoding="utf-8"?>
<worksheet xmlns="http://schemas.openxmlformats.org/spreadsheetml/2006/main" xmlns:r="http://schemas.openxmlformats.org/officeDocument/2006/relationships">
  <dimension ref="A1:N95"/>
  <sheetViews>
    <sheetView topLeftCell="A48" workbookViewId="0">
      <selection activeCell="A2" sqref="A2"/>
    </sheetView>
  </sheetViews>
  <sheetFormatPr defaultRowHeight="15"/>
  <cols>
    <col min="2" max="2" width="16.5703125" customWidth="1"/>
    <col min="3" max="3" width="8.140625" customWidth="1"/>
    <col min="4" max="4" width="47.42578125" customWidth="1"/>
    <col min="5" max="5" width="15.140625" customWidth="1"/>
  </cols>
  <sheetData>
    <row r="1" spans="1:14">
      <c r="A1" t="s">
        <v>106</v>
      </c>
      <c r="B1" t="s">
        <v>0</v>
      </c>
      <c r="C1" t="s">
        <v>1</v>
      </c>
      <c r="D1" t="s">
        <v>2</v>
      </c>
      <c r="E1" t="s">
        <v>3</v>
      </c>
      <c r="F1" t="s">
        <v>329</v>
      </c>
      <c r="G1" t="s">
        <v>163</v>
      </c>
      <c r="H1">
        <v>2007</v>
      </c>
      <c r="I1">
        <v>2008</v>
      </c>
      <c r="J1">
        <v>2009</v>
      </c>
      <c r="K1">
        <v>2010</v>
      </c>
      <c r="L1">
        <v>2011</v>
      </c>
      <c r="M1">
        <v>2012</v>
      </c>
      <c r="N1" t="s">
        <v>1184</v>
      </c>
    </row>
    <row r="2" spans="1:14">
      <c r="A2" t="s">
        <v>142</v>
      </c>
      <c r="B2" t="s">
        <v>36</v>
      </c>
      <c r="N2" t="s">
        <v>1184</v>
      </c>
    </row>
    <row r="3" spans="1:14">
      <c r="A3" t="s">
        <v>142</v>
      </c>
      <c r="B3" t="s">
        <v>36</v>
      </c>
      <c r="C3" t="s">
        <v>77</v>
      </c>
      <c r="N3" t="s">
        <v>1184</v>
      </c>
    </row>
    <row r="4" spans="1:14">
      <c r="A4" t="s">
        <v>142</v>
      </c>
      <c r="B4" t="s">
        <v>36</v>
      </c>
      <c r="C4" t="s">
        <v>77</v>
      </c>
      <c r="D4" t="s">
        <v>1169</v>
      </c>
      <c r="G4" t="s">
        <v>175</v>
      </c>
      <c r="H4">
        <v>1370</v>
      </c>
      <c r="I4">
        <v>1488</v>
      </c>
      <c r="J4">
        <v>1634</v>
      </c>
      <c r="K4">
        <v>1796</v>
      </c>
      <c r="L4">
        <v>1883</v>
      </c>
      <c r="M4">
        <v>1995.3875682270489</v>
      </c>
      <c r="N4" t="s">
        <v>1184</v>
      </c>
    </row>
    <row r="5" spans="1:14">
      <c r="A5" t="s">
        <v>142</v>
      </c>
      <c r="B5" t="s">
        <v>36</v>
      </c>
      <c r="C5" t="s">
        <v>77</v>
      </c>
      <c r="D5" t="s">
        <v>1169</v>
      </c>
      <c r="E5" t="s">
        <v>1155</v>
      </c>
      <c r="G5" t="s">
        <v>175</v>
      </c>
      <c r="H5">
        <v>658.94611727416805</v>
      </c>
      <c r="I5">
        <v>678.71791153009417</v>
      </c>
      <c r="J5">
        <v>714.47027741083218</v>
      </c>
      <c r="K5">
        <v>738.39138240574516</v>
      </c>
      <c r="L5">
        <v>739.52099886492624</v>
      </c>
      <c r="M5">
        <v>784.04680504743976</v>
      </c>
      <c r="N5" t="s">
        <v>1184</v>
      </c>
    </row>
    <row r="6" spans="1:14">
      <c r="A6" t="s">
        <v>142</v>
      </c>
      <c r="B6" t="s">
        <v>36</v>
      </c>
      <c r="C6" t="s">
        <v>77</v>
      </c>
      <c r="D6" t="s">
        <v>1169</v>
      </c>
      <c r="E6" t="s">
        <v>1156</v>
      </c>
      <c r="G6" t="s">
        <v>175</v>
      </c>
      <c r="H6">
        <v>593.81141045958793</v>
      </c>
      <c r="I6">
        <v>657.13705583756348</v>
      </c>
      <c r="J6">
        <v>729.5799207397622</v>
      </c>
      <c r="K6">
        <v>837.27348892878513</v>
      </c>
      <c r="L6">
        <v>903.02780930760503</v>
      </c>
      <c r="M6">
        <v>949.57435146912053</v>
      </c>
      <c r="N6" t="s">
        <v>1184</v>
      </c>
    </row>
    <row r="7" spans="1:14">
      <c r="A7" t="s">
        <v>142</v>
      </c>
      <c r="B7" t="s">
        <v>36</v>
      </c>
      <c r="C7" t="s">
        <v>77</v>
      </c>
      <c r="D7" t="s">
        <v>1169</v>
      </c>
      <c r="E7" t="s">
        <v>1157</v>
      </c>
      <c r="G7" t="s">
        <v>175</v>
      </c>
      <c r="H7">
        <v>91.188589540412039</v>
      </c>
      <c r="I7">
        <v>123.01087744742567</v>
      </c>
      <c r="J7">
        <v>152.17569352708057</v>
      </c>
      <c r="K7">
        <v>174.11849192100539</v>
      </c>
      <c r="L7">
        <v>192.36095346197501</v>
      </c>
      <c r="M7">
        <v>209.6027842258267</v>
      </c>
      <c r="N7" t="s">
        <v>1184</v>
      </c>
    </row>
    <row r="8" spans="1:14">
      <c r="A8" t="s">
        <v>142</v>
      </c>
      <c r="B8" t="s">
        <v>36</v>
      </c>
      <c r="C8" t="s">
        <v>77</v>
      </c>
      <c r="D8" t="s">
        <v>1169</v>
      </c>
      <c r="E8" t="s">
        <v>1158</v>
      </c>
      <c r="G8" t="s">
        <v>175</v>
      </c>
      <c r="H8">
        <v>26.053882725832015</v>
      </c>
      <c r="I8">
        <v>29.134155184916604</v>
      </c>
      <c r="J8">
        <v>37.77410832232497</v>
      </c>
      <c r="K8">
        <v>46.216636744464395</v>
      </c>
      <c r="L8">
        <v>48.090238365493754</v>
      </c>
      <c r="M8">
        <v>52.163627484661959</v>
      </c>
      <c r="N8" t="s">
        <v>1184</v>
      </c>
    </row>
    <row r="9" spans="1:14">
      <c r="A9" t="s">
        <v>142</v>
      </c>
      <c r="B9" t="s">
        <v>36</v>
      </c>
      <c r="C9" t="s">
        <v>77</v>
      </c>
      <c r="D9" t="s">
        <v>1170</v>
      </c>
      <c r="G9" t="s">
        <v>175</v>
      </c>
      <c r="H9">
        <v>72534</v>
      </c>
      <c r="I9">
        <v>79918</v>
      </c>
      <c r="J9">
        <v>84945</v>
      </c>
      <c r="K9">
        <v>90592</v>
      </c>
      <c r="L9">
        <v>94989</v>
      </c>
      <c r="M9">
        <v>98850.465769522576</v>
      </c>
      <c r="N9" t="s">
        <v>1184</v>
      </c>
    </row>
    <row r="10" spans="1:14">
      <c r="A10" t="s">
        <v>142</v>
      </c>
      <c r="B10" t="s">
        <v>36</v>
      </c>
      <c r="C10" t="s">
        <v>77</v>
      </c>
      <c r="D10" t="s">
        <v>1170</v>
      </c>
      <c r="E10" t="s">
        <v>1155</v>
      </c>
      <c r="G10" t="s">
        <v>175</v>
      </c>
      <c r="H10">
        <v>25177.760370134012</v>
      </c>
      <c r="I10">
        <v>25557.080950695457</v>
      </c>
      <c r="J10">
        <v>26203.497043242576</v>
      </c>
      <c r="K10">
        <v>26087.137847377922</v>
      </c>
      <c r="L10">
        <v>26220.851199437369</v>
      </c>
      <c r="M10">
        <v>26306.67076456171</v>
      </c>
      <c r="N10" t="s">
        <v>1184</v>
      </c>
    </row>
    <row r="11" spans="1:14">
      <c r="A11" t="s">
        <v>142</v>
      </c>
      <c r="B11" t="s">
        <v>36</v>
      </c>
      <c r="C11" t="s">
        <v>77</v>
      </c>
      <c r="D11" t="s">
        <v>1170</v>
      </c>
      <c r="E11" t="s">
        <v>1156</v>
      </c>
      <c r="G11" t="s">
        <v>175</v>
      </c>
      <c r="H11">
        <v>32854.278876834716</v>
      </c>
      <c r="I11">
        <v>34753.607005676378</v>
      </c>
      <c r="J11">
        <v>37642.868670691139</v>
      </c>
      <c r="K11">
        <v>39689.530865900917</v>
      </c>
      <c r="L11">
        <v>41683.011582290303</v>
      </c>
      <c r="M11">
        <v>44025.666969692677</v>
      </c>
      <c r="N11" t="s">
        <v>1184</v>
      </c>
    </row>
    <row r="12" spans="1:14">
      <c r="A12" t="s">
        <v>142</v>
      </c>
      <c r="B12" t="s">
        <v>36</v>
      </c>
      <c r="C12" t="s">
        <v>77</v>
      </c>
      <c r="D12" t="s">
        <v>1170</v>
      </c>
      <c r="E12" t="s">
        <v>1157</v>
      </c>
      <c r="G12" t="s">
        <v>175</v>
      </c>
      <c r="H12">
        <v>9952.0165922144224</v>
      </c>
      <c r="I12">
        <v>12390.899254073754</v>
      </c>
      <c r="J12">
        <v>15069.705556239989</v>
      </c>
      <c r="K12">
        <v>18337.554873351502</v>
      </c>
      <c r="L12">
        <v>20596.729134844671</v>
      </c>
      <c r="M12">
        <v>21831.841956509801</v>
      </c>
      <c r="N12" t="s">
        <v>1184</v>
      </c>
    </row>
    <row r="13" spans="1:14">
      <c r="A13" t="s">
        <v>142</v>
      </c>
      <c r="B13" t="s">
        <v>36</v>
      </c>
      <c r="C13" t="s">
        <v>77</v>
      </c>
      <c r="D13" t="s">
        <v>1170</v>
      </c>
      <c r="E13" t="s">
        <v>1158</v>
      </c>
      <c r="G13" t="s">
        <v>175</v>
      </c>
      <c r="H13">
        <v>4549.9441608168472</v>
      </c>
      <c r="I13">
        <v>7216.4127895544107</v>
      </c>
      <c r="J13">
        <v>6028.9287298262898</v>
      </c>
      <c r="K13">
        <v>6477.7764133696664</v>
      </c>
      <c r="L13">
        <v>6488.4080834276547</v>
      </c>
      <c r="M13">
        <v>6686.2860787583895</v>
      </c>
      <c r="N13" t="s">
        <v>1184</v>
      </c>
    </row>
    <row r="14" spans="1:14">
      <c r="A14" t="s">
        <v>142</v>
      </c>
      <c r="B14" t="s">
        <v>36</v>
      </c>
      <c r="C14" t="s">
        <v>77</v>
      </c>
      <c r="D14" t="s">
        <v>533</v>
      </c>
      <c r="G14" t="s">
        <v>176</v>
      </c>
      <c r="H14">
        <v>0.47789715727794851</v>
      </c>
      <c r="I14">
        <v>0.4694493845125261</v>
      </c>
      <c r="J14">
        <v>0.41693438092891455</v>
      </c>
      <c r="K14">
        <v>0.42121583594908768</v>
      </c>
      <c r="L14">
        <v>0.44190467137723755</v>
      </c>
      <c r="M14">
        <v>0.45696857678483299</v>
      </c>
      <c r="N14" t="s">
        <v>1184</v>
      </c>
    </row>
    <row r="15" spans="1:14">
      <c r="A15" t="s">
        <v>142</v>
      </c>
      <c r="B15" t="s">
        <v>36</v>
      </c>
      <c r="C15" t="s">
        <v>77</v>
      </c>
      <c r="D15" t="s">
        <v>533</v>
      </c>
      <c r="E15" t="s">
        <v>1155</v>
      </c>
      <c r="G15" t="s">
        <v>176</v>
      </c>
      <c r="H15">
        <v>0.43728179501107262</v>
      </c>
      <c r="I15">
        <v>0.43538229072722801</v>
      </c>
      <c r="J15">
        <v>0.39030898198809855</v>
      </c>
      <c r="K15">
        <v>0.39091602315831508</v>
      </c>
      <c r="L15">
        <v>0.40710668789808907</v>
      </c>
      <c r="M15">
        <v>0.41949696248335372</v>
      </c>
      <c r="N15" t="s">
        <v>1184</v>
      </c>
    </row>
    <row r="16" spans="1:14">
      <c r="A16" t="s">
        <v>142</v>
      </c>
      <c r="B16" t="s">
        <v>36</v>
      </c>
      <c r="C16" t="s">
        <v>77</v>
      </c>
      <c r="D16" t="s">
        <v>533</v>
      </c>
      <c r="E16" t="s">
        <v>1156</v>
      </c>
      <c r="G16" t="s">
        <v>176</v>
      </c>
      <c r="H16">
        <v>0.46200000000000002</v>
      </c>
      <c r="I16">
        <v>0.44869999999999993</v>
      </c>
      <c r="J16">
        <v>0.39709999999999995</v>
      </c>
      <c r="K16">
        <v>0.39080000000000004</v>
      </c>
      <c r="L16">
        <v>0.41100000000000003</v>
      </c>
      <c r="M16">
        <v>0.42622817811098446</v>
      </c>
      <c r="N16" t="s">
        <v>1184</v>
      </c>
    </row>
    <row r="17" spans="1:14">
      <c r="A17" t="s">
        <v>142</v>
      </c>
      <c r="B17" t="s">
        <v>36</v>
      </c>
      <c r="C17" t="s">
        <v>77</v>
      </c>
      <c r="D17" t="s">
        <v>533</v>
      </c>
      <c r="E17" t="s">
        <v>1157</v>
      </c>
      <c r="G17" t="s">
        <v>176</v>
      </c>
      <c r="H17">
        <v>0.56029999999999991</v>
      </c>
      <c r="I17">
        <v>0.51990000000000014</v>
      </c>
      <c r="J17">
        <v>0.45790000000000003</v>
      </c>
      <c r="K17">
        <v>0.47119999999999995</v>
      </c>
      <c r="L17">
        <v>0.498</v>
      </c>
      <c r="M17">
        <v>0.51784941070211143</v>
      </c>
      <c r="N17" t="s">
        <v>1184</v>
      </c>
    </row>
    <row r="18" spans="1:14">
      <c r="A18" t="s">
        <v>142</v>
      </c>
      <c r="B18" t="s">
        <v>36</v>
      </c>
      <c r="C18" t="s">
        <v>77</v>
      </c>
      <c r="D18" t="s">
        <v>533</v>
      </c>
      <c r="E18" t="s">
        <v>1158</v>
      </c>
      <c r="G18" t="s">
        <v>176</v>
      </c>
      <c r="H18">
        <v>0.63719999999999999</v>
      </c>
      <c r="I18">
        <v>0.60340000000000005</v>
      </c>
      <c r="J18">
        <v>0.55409999999999993</v>
      </c>
      <c r="K18">
        <v>0.58810000000000007</v>
      </c>
      <c r="L18">
        <v>0.60299999999999998</v>
      </c>
      <c r="M18">
        <v>0.60802092764402826</v>
      </c>
      <c r="N18" t="s">
        <v>1184</v>
      </c>
    </row>
    <row r="19" spans="1:14">
      <c r="A19" t="s">
        <v>142</v>
      </c>
      <c r="B19" t="s">
        <v>36</v>
      </c>
      <c r="C19" t="s">
        <v>77</v>
      </c>
      <c r="D19" t="s">
        <v>1171</v>
      </c>
      <c r="G19" t="s">
        <v>177</v>
      </c>
      <c r="H19">
        <v>26.474910000000001</v>
      </c>
      <c r="I19">
        <v>29.170069999999999</v>
      </c>
      <c r="J19">
        <v>31.004925</v>
      </c>
      <c r="K19">
        <v>33.066079999999999</v>
      </c>
      <c r="L19">
        <v>34.670985000000002</v>
      </c>
      <c r="M19">
        <v>36.080420005875744</v>
      </c>
      <c r="N19" t="s">
        <v>1184</v>
      </c>
    </row>
    <row r="20" spans="1:14">
      <c r="A20" t="s">
        <v>142</v>
      </c>
      <c r="B20" t="s">
        <v>36</v>
      </c>
      <c r="C20" t="s">
        <v>77</v>
      </c>
      <c r="D20" t="s">
        <v>1172</v>
      </c>
      <c r="E20" t="s">
        <v>1155</v>
      </c>
      <c r="G20" t="s">
        <v>177</v>
      </c>
      <c r="H20">
        <v>9.1898825350989135</v>
      </c>
      <c r="I20">
        <v>9.328334547003843</v>
      </c>
      <c r="J20">
        <v>9.5642764207835409</v>
      </c>
      <c r="K20">
        <v>9.5218053142929406</v>
      </c>
      <c r="L20">
        <v>9.5706106877946411</v>
      </c>
      <c r="M20">
        <v>9.6019348290650246</v>
      </c>
      <c r="N20" t="s">
        <v>1184</v>
      </c>
    </row>
    <row r="21" spans="1:14">
      <c r="A21" t="s">
        <v>142</v>
      </c>
      <c r="B21" t="s">
        <v>36</v>
      </c>
      <c r="C21" t="s">
        <v>77</v>
      </c>
      <c r="D21" t="s">
        <v>1172</v>
      </c>
      <c r="E21" t="s">
        <v>1156</v>
      </c>
      <c r="G21" t="s">
        <v>177</v>
      </c>
      <c r="H21">
        <v>11.991811790044672</v>
      </c>
      <c r="I21">
        <v>12.685066557071877</v>
      </c>
      <c r="J21">
        <v>13.739647064802266</v>
      </c>
      <c r="K21">
        <v>14.486678766053835</v>
      </c>
      <c r="L21">
        <v>15.21429922753596</v>
      </c>
      <c r="M21">
        <v>16.069368443937826</v>
      </c>
      <c r="N21" t="s">
        <v>1184</v>
      </c>
    </row>
    <row r="22" spans="1:14">
      <c r="A22" t="s">
        <v>142</v>
      </c>
      <c r="B22" t="s">
        <v>36</v>
      </c>
      <c r="C22" t="s">
        <v>77</v>
      </c>
      <c r="D22" t="s">
        <v>1172</v>
      </c>
      <c r="E22" t="s">
        <v>1157</v>
      </c>
      <c r="G22" t="s">
        <v>177</v>
      </c>
      <c r="H22">
        <v>3.6324860561582644</v>
      </c>
      <c r="I22">
        <v>4.52267822773692</v>
      </c>
      <c r="J22">
        <v>5.5004425280275964</v>
      </c>
      <c r="K22">
        <v>6.6932075287732982</v>
      </c>
      <c r="L22">
        <v>7.5178061342183042</v>
      </c>
      <c r="M22">
        <v>7.968622314126077</v>
      </c>
      <c r="N22" t="s">
        <v>1184</v>
      </c>
    </row>
    <row r="23" spans="1:14">
      <c r="A23" t="s">
        <v>142</v>
      </c>
      <c r="B23" t="s">
        <v>36</v>
      </c>
      <c r="C23" t="s">
        <v>77</v>
      </c>
      <c r="D23" t="s">
        <v>1172</v>
      </c>
      <c r="E23" t="s">
        <v>1158</v>
      </c>
      <c r="G23" t="s">
        <v>177</v>
      </c>
      <c r="H23">
        <v>1.6607296186981493</v>
      </c>
      <c r="I23">
        <v>2.6339906681873599</v>
      </c>
      <c r="J23">
        <v>2.200558986386596</v>
      </c>
      <c r="K23">
        <v>2.3643883908799279</v>
      </c>
      <c r="L23">
        <v>2.3682689504510939</v>
      </c>
      <c r="M23">
        <v>2.4404944187468121</v>
      </c>
      <c r="N23" t="s">
        <v>1184</v>
      </c>
    </row>
    <row r="24" spans="1:14">
      <c r="A24" t="s">
        <v>142</v>
      </c>
      <c r="B24" t="s">
        <v>36</v>
      </c>
      <c r="C24" t="s">
        <v>77</v>
      </c>
      <c r="D24" t="s">
        <v>1173</v>
      </c>
      <c r="G24" t="s">
        <v>177</v>
      </c>
      <c r="H24">
        <v>12.652284228189533</v>
      </c>
      <c r="I24">
        <v>13.693871407687302</v>
      </c>
      <c r="J24">
        <v>12.927019210622426</v>
      </c>
      <c r="K24">
        <v>13.92795652875941</v>
      </c>
      <c r="L24">
        <v>15.321270232750134</v>
      </c>
      <c r="M24">
        <v>16.487618179884056</v>
      </c>
      <c r="N24" t="s">
        <v>1184</v>
      </c>
    </row>
    <row r="25" spans="1:14">
      <c r="A25" t="s">
        <v>142</v>
      </c>
      <c r="B25" t="s">
        <v>36</v>
      </c>
      <c r="C25" t="s">
        <v>77</v>
      </c>
      <c r="D25" t="s">
        <v>1173</v>
      </c>
      <c r="E25" t="s">
        <v>1155</v>
      </c>
      <c r="G25" t="s">
        <v>177</v>
      </c>
      <c r="H25">
        <v>4.018568330888959</v>
      </c>
      <c r="I25">
        <v>4.0613916637444722</v>
      </c>
      <c r="J25">
        <v>3.7330229932487988</v>
      </c>
      <c r="K25">
        <v>3.722226266751107</v>
      </c>
      <c r="L25">
        <v>3.8962596182701286</v>
      </c>
      <c r="M25">
        <v>4.0279824947558982</v>
      </c>
      <c r="N25" t="s">
        <v>1184</v>
      </c>
    </row>
    <row r="26" spans="1:14">
      <c r="A26" t="s">
        <v>142</v>
      </c>
      <c r="B26" t="s">
        <v>36</v>
      </c>
      <c r="C26" t="s">
        <v>77</v>
      </c>
      <c r="D26" t="s">
        <v>1173</v>
      </c>
      <c r="E26" t="s">
        <v>1156</v>
      </c>
      <c r="G26" t="s">
        <v>177</v>
      </c>
      <c r="H26">
        <v>5.5402170470006382</v>
      </c>
      <c r="I26">
        <v>5.6917893641581507</v>
      </c>
      <c r="J26">
        <v>5.4560138494329795</v>
      </c>
      <c r="K26">
        <v>5.661394061773839</v>
      </c>
      <c r="L26">
        <v>6.2530769825172801</v>
      </c>
      <c r="M26">
        <v>6.8492176352537646</v>
      </c>
      <c r="N26" t="s">
        <v>1184</v>
      </c>
    </row>
    <row r="27" spans="1:14">
      <c r="A27" t="s">
        <v>142</v>
      </c>
      <c r="B27" t="s">
        <v>36</v>
      </c>
      <c r="C27" t="s">
        <v>77</v>
      </c>
      <c r="D27" t="s">
        <v>1173</v>
      </c>
      <c r="E27" t="s">
        <v>1157</v>
      </c>
      <c r="G27" t="s">
        <v>177</v>
      </c>
      <c r="H27">
        <v>2.0352819372654753</v>
      </c>
      <c r="I27">
        <v>2.3513404106004252</v>
      </c>
      <c r="J27">
        <v>2.5186526335838364</v>
      </c>
      <c r="K27">
        <v>3.1538393875579778</v>
      </c>
      <c r="L27">
        <v>3.7438674548407156</v>
      </c>
      <c r="M27">
        <v>4.1265463694778841</v>
      </c>
      <c r="N27" t="s">
        <v>1184</v>
      </c>
    </row>
    <row r="28" spans="1:14">
      <c r="A28" t="s">
        <v>142</v>
      </c>
      <c r="B28" t="s">
        <v>36</v>
      </c>
      <c r="C28" t="s">
        <v>77</v>
      </c>
      <c r="D28" t="s">
        <v>1173</v>
      </c>
      <c r="E28" t="s">
        <v>1158</v>
      </c>
      <c r="G28" t="s">
        <v>177</v>
      </c>
      <c r="H28">
        <v>1.0582169130344607</v>
      </c>
      <c r="I28">
        <v>1.5893499691842532</v>
      </c>
      <c r="J28">
        <v>1.2193297343568126</v>
      </c>
      <c r="K28">
        <v>1.3904968126764858</v>
      </c>
      <c r="L28">
        <v>1.4280661771220096</v>
      </c>
      <c r="M28">
        <v>1.4838716803965102</v>
      </c>
      <c r="N28" t="s">
        <v>1184</v>
      </c>
    </row>
    <row r="29" spans="1:14">
      <c r="A29" t="s">
        <v>142</v>
      </c>
      <c r="B29" t="s">
        <v>36</v>
      </c>
      <c r="C29" t="s">
        <v>77</v>
      </c>
      <c r="D29" t="s">
        <v>1174</v>
      </c>
      <c r="G29" t="s">
        <v>1175</v>
      </c>
      <c r="H29">
        <v>137.13623839538144</v>
      </c>
      <c r="I29">
        <v>154.66752752876849</v>
      </c>
      <c r="J29">
        <v>131.97786820957185</v>
      </c>
      <c r="K29">
        <v>125.82020295201133</v>
      </c>
      <c r="L29">
        <v>136.07935489117415</v>
      </c>
      <c r="M29">
        <v>146.05402032351654</v>
      </c>
      <c r="N29" t="s">
        <v>1184</v>
      </c>
    </row>
    <row r="30" spans="1:14">
      <c r="A30" t="s">
        <v>142</v>
      </c>
      <c r="B30" t="s">
        <v>36</v>
      </c>
      <c r="C30" t="s">
        <v>77</v>
      </c>
      <c r="D30" t="s">
        <v>1174</v>
      </c>
      <c r="E30" t="s">
        <v>1155</v>
      </c>
      <c r="G30" t="s">
        <v>1175</v>
      </c>
      <c r="H30">
        <v>98.154428483148067</v>
      </c>
      <c r="I30">
        <v>109.82549181009519</v>
      </c>
      <c r="J30">
        <v>93.994720971369333</v>
      </c>
      <c r="K30">
        <v>89.430901069897104</v>
      </c>
      <c r="L30">
        <v>96.433634201621771</v>
      </c>
      <c r="M30">
        <v>102.72874213247735</v>
      </c>
      <c r="N30" t="s">
        <v>1184</v>
      </c>
    </row>
    <row r="31" spans="1:14">
      <c r="A31" t="s">
        <v>142</v>
      </c>
      <c r="B31" t="s">
        <v>36</v>
      </c>
      <c r="C31" t="s">
        <v>77</v>
      </c>
      <c r="D31" t="s">
        <v>1174</v>
      </c>
      <c r="E31" t="s">
        <v>1156</v>
      </c>
      <c r="G31" t="s">
        <v>1175</v>
      </c>
      <c r="H31">
        <v>110.10618716873067</v>
      </c>
      <c r="I31">
        <v>124.79981634166079</v>
      </c>
      <c r="J31">
        <v>107.5461109580788</v>
      </c>
      <c r="K31">
        <v>101.52317342475673</v>
      </c>
      <c r="L31">
        <v>108.71404900111457</v>
      </c>
      <c r="M31">
        <v>113.78721212884415</v>
      </c>
      <c r="N31" t="s">
        <v>1184</v>
      </c>
    </row>
    <row r="32" spans="1:14">
      <c r="A32" t="s">
        <v>142</v>
      </c>
      <c r="B32" t="s">
        <v>36</v>
      </c>
      <c r="C32" t="s">
        <v>77</v>
      </c>
      <c r="D32" t="s">
        <v>1174</v>
      </c>
      <c r="E32" t="s">
        <v>1157</v>
      </c>
      <c r="G32" t="s">
        <v>1175</v>
      </c>
      <c r="H32">
        <v>158.87351851795549</v>
      </c>
      <c r="I32">
        <v>176.71216976072631</v>
      </c>
      <c r="J32">
        <v>152.14431236852315</v>
      </c>
      <c r="K32">
        <v>143.75325848051264</v>
      </c>
      <c r="L32">
        <v>155.31932003492935</v>
      </c>
      <c r="M32">
        <v>162.16542752795146</v>
      </c>
      <c r="N32" t="s">
        <v>1184</v>
      </c>
    </row>
    <row r="33" spans="1:14">
      <c r="A33" t="s">
        <v>142</v>
      </c>
      <c r="B33" t="s">
        <v>36</v>
      </c>
      <c r="C33" t="s">
        <v>77</v>
      </c>
      <c r="D33" t="s">
        <v>1174</v>
      </c>
      <c r="E33" t="s">
        <v>1158</v>
      </c>
      <c r="G33" t="s">
        <v>1175</v>
      </c>
      <c r="H33">
        <v>500.48085954641857</v>
      </c>
      <c r="I33">
        <v>419.46519755529101</v>
      </c>
      <c r="J33">
        <v>399.20118640861028</v>
      </c>
      <c r="K33">
        <v>370.46928418127533</v>
      </c>
      <c r="L33">
        <v>411.02084002835664</v>
      </c>
      <c r="M33">
        <v>476.36741988631746</v>
      </c>
      <c r="N33" t="s">
        <v>1184</v>
      </c>
    </row>
    <row r="34" spans="1:14">
      <c r="A34" t="s">
        <v>142</v>
      </c>
      <c r="B34" t="s">
        <v>36</v>
      </c>
      <c r="C34" t="s">
        <v>77</v>
      </c>
      <c r="D34" t="s">
        <v>1176</v>
      </c>
      <c r="G34" t="s">
        <v>1175</v>
      </c>
      <c r="H34">
        <v>286.957635773552</v>
      </c>
      <c r="I34">
        <v>329.46582236842102</v>
      </c>
      <c r="J34">
        <v>316.54349999999999</v>
      </c>
      <c r="K34">
        <v>298.7072</v>
      </c>
      <c r="L34">
        <v>307.9382584191066</v>
      </c>
      <c r="M34">
        <v>319.61501893879051</v>
      </c>
      <c r="N34" t="s">
        <v>1184</v>
      </c>
    </row>
    <row r="35" spans="1:14">
      <c r="A35" t="s">
        <v>142</v>
      </c>
      <c r="B35" t="s">
        <v>36</v>
      </c>
      <c r="C35" t="s">
        <v>77</v>
      </c>
      <c r="D35" t="s">
        <v>1176</v>
      </c>
      <c r="E35" t="s">
        <v>1155</v>
      </c>
      <c r="G35" t="s">
        <v>1175</v>
      </c>
      <c r="H35">
        <v>224.46493223131472</v>
      </c>
      <c r="I35">
        <v>252.25070966173521</v>
      </c>
      <c r="J35">
        <v>240.82131159932018</v>
      </c>
      <c r="K35">
        <v>228.77266669030587</v>
      </c>
      <c r="L35">
        <v>236.87558339931272</v>
      </c>
      <c r="M35">
        <v>244.88554463979887</v>
      </c>
      <c r="N35" t="s">
        <v>1184</v>
      </c>
    </row>
    <row r="36" spans="1:14">
      <c r="A36" t="s">
        <v>142</v>
      </c>
      <c r="B36" t="s">
        <v>36</v>
      </c>
      <c r="C36" t="s">
        <v>77</v>
      </c>
      <c r="D36" t="s">
        <v>1176</v>
      </c>
      <c r="E36" t="s">
        <v>1156</v>
      </c>
      <c r="G36" t="s">
        <v>1175</v>
      </c>
      <c r="H36">
        <v>238.32508045179799</v>
      </c>
      <c r="I36">
        <v>278.13643044720482</v>
      </c>
      <c r="J36">
        <v>270.82878609438131</v>
      </c>
      <c r="K36">
        <v>259.78294120971526</v>
      </c>
      <c r="L36">
        <v>264.51106812923251</v>
      </c>
      <c r="M36">
        <v>266.96313846058155</v>
      </c>
      <c r="N36" t="s">
        <v>1184</v>
      </c>
    </row>
    <row r="37" spans="1:14">
      <c r="A37" t="s">
        <v>142</v>
      </c>
      <c r="B37" t="s">
        <v>36</v>
      </c>
      <c r="C37" t="s">
        <v>77</v>
      </c>
      <c r="D37" t="s">
        <v>1176</v>
      </c>
      <c r="E37" t="s">
        <v>1157</v>
      </c>
      <c r="G37" t="s">
        <v>1175</v>
      </c>
      <c r="H37">
        <v>283.55080941987421</v>
      </c>
      <c r="I37">
        <v>339.89646039762698</v>
      </c>
      <c r="J37">
        <v>332.26536878908746</v>
      </c>
      <c r="K37">
        <v>305.0790714781678</v>
      </c>
      <c r="L37">
        <v>311.88618480909508</v>
      </c>
      <c r="M37">
        <v>313.151708154083</v>
      </c>
      <c r="N37" t="s">
        <v>1184</v>
      </c>
    </row>
    <row r="38" spans="1:14">
      <c r="A38" t="s">
        <v>142</v>
      </c>
      <c r="B38" t="s">
        <v>36</v>
      </c>
      <c r="C38" t="s">
        <v>77</v>
      </c>
      <c r="D38" t="s">
        <v>1176</v>
      </c>
      <c r="E38" t="s">
        <v>1158</v>
      </c>
      <c r="G38" t="s">
        <v>1175</v>
      </c>
      <c r="H38">
        <v>785.43763268427267</v>
      </c>
      <c r="I38">
        <v>695.1693694983278</v>
      </c>
      <c r="J38">
        <v>720.44971378561695</v>
      </c>
      <c r="K38">
        <v>629.94266992225005</v>
      </c>
      <c r="L38">
        <v>681.62660037870091</v>
      </c>
      <c r="M38">
        <v>783.47207839071518</v>
      </c>
      <c r="N38" t="s">
        <v>1184</v>
      </c>
    </row>
    <row r="39" spans="1:14">
      <c r="A39" t="s">
        <v>142</v>
      </c>
      <c r="B39" t="s">
        <v>36</v>
      </c>
      <c r="C39" t="s">
        <v>77</v>
      </c>
      <c r="D39" t="s">
        <v>1177</v>
      </c>
      <c r="G39" t="s">
        <v>1175</v>
      </c>
      <c r="H39">
        <v>224.8038334394551</v>
      </c>
      <c r="I39">
        <v>249.8558069233828</v>
      </c>
      <c r="J39">
        <v>214.02091916445946</v>
      </c>
      <c r="K39">
        <v>204.59406417754883</v>
      </c>
      <c r="L39">
        <v>220.63107525904178</v>
      </c>
      <c r="M39">
        <v>234.26819318823345</v>
      </c>
      <c r="N39" t="s">
        <v>1184</v>
      </c>
    </row>
    <row r="40" spans="1:14">
      <c r="A40" t="s">
        <v>142</v>
      </c>
      <c r="B40" t="s">
        <v>36</v>
      </c>
      <c r="C40" t="s">
        <v>77</v>
      </c>
      <c r="D40" t="s">
        <v>1177</v>
      </c>
      <c r="E40" t="s">
        <v>1155</v>
      </c>
      <c r="G40" t="s">
        <v>1175</v>
      </c>
      <c r="H40">
        <v>150.54863098271133</v>
      </c>
      <c r="I40">
        <v>171.67106008149651</v>
      </c>
      <c r="J40">
        <v>148.91996684445041</v>
      </c>
      <c r="K40">
        <v>145.14209163185782</v>
      </c>
      <c r="L40">
        <v>155.15346783106204</v>
      </c>
      <c r="M40">
        <v>161.85065540104011</v>
      </c>
      <c r="N40" t="s">
        <v>1184</v>
      </c>
    </row>
    <row r="41" spans="1:14">
      <c r="A41" t="s">
        <v>142</v>
      </c>
      <c r="B41" t="s">
        <v>36</v>
      </c>
      <c r="C41" t="s">
        <v>77</v>
      </c>
      <c r="D41" t="s">
        <v>1177</v>
      </c>
      <c r="E41" t="s">
        <v>1156</v>
      </c>
      <c r="G41" t="s">
        <v>1175</v>
      </c>
      <c r="H41">
        <v>178.94564461038223</v>
      </c>
      <c r="I41">
        <v>202.37443575851361</v>
      </c>
      <c r="J41">
        <v>173.06423878824066</v>
      </c>
      <c r="K41">
        <v>165.08508309349429</v>
      </c>
      <c r="L41">
        <v>176.26257521621847</v>
      </c>
      <c r="M41">
        <v>183.19363727105045</v>
      </c>
      <c r="N41" t="s">
        <v>1184</v>
      </c>
    </row>
    <row r="42" spans="1:14">
      <c r="A42" t="s">
        <v>142</v>
      </c>
      <c r="B42" t="s">
        <v>36</v>
      </c>
      <c r="C42" t="s">
        <v>77</v>
      </c>
      <c r="D42" t="s">
        <v>1177</v>
      </c>
      <c r="E42" t="s">
        <v>1157</v>
      </c>
      <c r="G42" t="s">
        <v>1175</v>
      </c>
      <c r="H42">
        <v>300.51889059180991</v>
      </c>
      <c r="I42">
        <v>316.21199436085612</v>
      </c>
      <c r="J42">
        <v>256.15972721369172</v>
      </c>
      <c r="K42">
        <v>234.15296383465738</v>
      </c>
      <c r="L42">
        <v>253.35121294913998</v>
      </c>
      <c r="M42">
        <v>262.56753653966899</v>
      </c>
      <c r="N42" t="s">
        <v>1184</v>
      </c>
    </row>
    <row r="43" spans="1:14">
      <c r="A43" t="s">
        <v>142</v>
      </c>
      <c r="B43" t="s">
        <v>36</v>
      </c>
      <c r="C43" t="s">
        <v>77</v>
      </c>
      <c r="D43" t="s">
        <v>1177</v>
      </c>
      <c r="E43" t="s">
        <v>1158</v>
      </c>
      <c r="G43" t="s">
        <v>1175</v>
      </c>
      <c r="H43">
        <v>801.22847086556362</v>
      </c>
      <c r="I43">
        <v>641.47835772463384</v>
      </c>
      <c r="J43">
        <v>647.36160695552917</v>
      </c>
      <c r="K43">
        <v>602.41371993735754</v>
      </c>
      <c r="L43">
        <v>666.40505432916723</v>
      </c>
      <c r="M43">
        <v>743.38188281718044</v>
      </c>
      <c r="N43" t="s">
        <v>1184</v>
      </c>
    </row>
    <row r="44" spans="1:14">
      <c r="A44" t="s">
        <v>142</v>
      </c>
      <c r="B44" t="s">
        <v>36</v>
      </c>
      <c r="C44" t="s">
        <v>77</v>
      </c>
      <c r="D44" t="s">
        <v>1178</v>
      </c>
      <c r="G44" t="s">
        <v>1159</v>
      </c>
      <c r="H44">
        <v>3630.669569256268</v>
      </c>
      <c r="I44">
        <v>4511.6626047411037</v>
      </c>
      <c r="J44">
        <v>4091.9639054976597</v>
      </c>
      <c r="K44">
        <v>4160.3808964274422</v>
      </c>
      <c r="L44">
        <v>4718.0052722415749</v>
      </c>
      <c r="M44">
        <v>5269.6903968191882</v>
      </c>
      <c r="N44" t="s">
        <v>1184</v>
      </c>
    </row>
    <row r="45" spans="1:14">
      <c r="A45" t="s">
        <v>142</v>
      </c>
      <c r="B45" t="s">
        <v>36</v>
      </c>
      <c r="C45" t="s">
        <v>77</v>
      </c>
      <c r="D45" t="s">
        <v>1178</v>
      </c>
      <c r="E45" t="s">
        <v>1155</v>
      </c>
      <c r="G45" t="s">
        <v>1159</v>
      </c>
      <c r="H45">
        <v>902.02766805989779</v>
      </c>
      <c r="I45">
        <v>1024.4889293937986</v>
      </c>
      <c r="J45">
        <v>898.99149346459581</v>
      </c>
      <c r="K45">
        <v>851.54362906935251</v>
      </c>
      <c r="L45">
        <v>922.92877015292004</v>
      </c>
      <c r="M45">
        <v>986.39468702787383</v>
      </c>
      <c r="N45" t="s">
        <v>1184</v>
      </c>
    </row>
    <row r="46" spans="1:14">
      <c r="A46" t="s">
        <v>142</v>
      </c>
      <c r="B46" t="s">
        <v>36</v>
      </c>
      <c r="C46" t="s">
        <v>77</v>
      </c>
      <c r="D46" t="s">
        <v>1178</v>
      </c>
      <c r="E46" t="s">
        <v>1155</v>
      </c>
      <c r="F46" t="s">
        <v>19</v>
      </c>
      <c r="G46" t="s">
        <v>1159</v>
      </c>
      <c r="H46">
        <v>105.10696996534345</v>
      </c>
      <c r="I46">
        <v>116.63329214752714</v>
      </c>
      <c r="J46">
        <v>99.242082891953842</v>
      </c>
      <c r="K46">
        <v>95.753640358701688</v>
      </c>
      <c r="L46">
        <v>104.4389465339686</v>
      </c>
      <c r="M46">
        <v>112.23139104082911</v>
      </c>
      <c r="N46" t="s">
        <v>1184</v>
      </c>
    </row>
    <row r="47" spans="1:14">
      <c r="A47" t="s">
        <v>142</v>
      </c>
      <c r="B47" t="s">
        <v>36</v>
      </c>
      <c r="C47" t="s">
        <v>77</v>
      </c>
      <c r="D47" t="s">
        <v>1178</v>
      </c>
      <c r="E47" t="s">
        <v>1155</v>
      </c>
      <c r="F47" t="s">
        <v>20</v>
      </c>
      <c r="G47" t="s">
        <v>1159</v>
      </c>
      <c r="H47">
        <v>796.92069809455438</v>
      </c>
      <c r="I47">
        <v>907.85563724627139</v>
      </c>
      <c r="J47">
        <v>799.74941057264198</v>
      </c>
      <c r="K47">
        <v>755.78998871065085</v>
      </c>
      <c r="L47">
        <v>818.48982361895139</v>
      </c>
      <c r="M47">
        <v>874.16329598704476</v>
      </c>
      <c r="N47" t="s">
        <v>1184</v>
      </c>
    </row>
    <row r="48" spans="1:14">
      <c r="A48" t="s">
        <v>142</v>
      </c>
      <c r="B48" t="s">
        <v>36</v>
      </c>
      <c r="C48" t="s">
        <v>77</v>
      </c>
      <c r="D48" t="s">
        <v>1178</v>
      </c>
      <c r="E48" t="s">
        <v>1156</v>
      </c>
      <c r="G48" t="s">
        <v>1159</v>
      </c>
      <c r="H48">
        <v>1320.3726734468498</v>
      </c>
      <c r="I48">
        <v>1583.0939766043136</v>
      </c>
      <c r="J48">
        <v>1477.6456077560663</v>
      </c>
      <c r="K48">
        <v>1470.7336007148244</v>
      </c>
      <c r="L48">
        <v>1654.0080717399637</v>
      </c>
      <c r="M48">
        <v>1828.4886359069078</v>
      </c>
      <c r="N48" t="s">
        <v>1184</v>
      </c>
    </row>
    <row r="49" spans="1:14">
      <c r="A49" t="s">
        <v>142</v>
      </c>
      <c r="B49" t="s">
        <v>36</v>
      </c>
      <c r="C49" t="s">
        <v>77</v>
      </c>
      <c r="D49" t="s">
        <v>1178</v>
      </c>
      <c r="E49" t="s">
        <v>1156</v>
      </c>
      <c r="F49" t="s">
        <v>19</v>
      </c>
      <c r="G49" t="s">
        <v>1159</v>
      </c>
      <c r="H49">
        <v>235.87160075405927</v>
      </c>
      <c r="I49">
        <v>282.08260636412928</v>
      </c>
      <c r="J49">
        <v>266.29963044958168</v>
      </c>
      <c r="K49">
        <v>264.6998266892287</v>
      </c>
      <c r="L49">
        <v>294.48517870939941</v>
      </c>
      <c r="M49">
        <v>323.97130116701885</v>
      </c>
      <c r="N49" t="s">
        <v>1184</v>
      </c>
    </row>
    <row r="50" spans="1:14">
      <c r="A50" t="s">
        <v>142</v>
      </c>
      <c r="B50" t="s">
        <v>36</v>
      </c>
      <c r="C50" t="s">
        <v>77</v>
      </c>
      <c r="D50" t="s">
        <v>1178</v>
      </c>
      <c r="E50" t="s">
        <v>1156</v>
      </c>
      <c r="F50" t="s">
        <v>20</v>
      </c>
      <c r="G50" t="s">
        <v>1159</v>
      </c>
      <c r="H50">
        <v>1084.5010726927906</v>
      </c>
      <c r="I50">
        <v>1301.0113702401843</v>
      </c>
      <c r="J50">
        <v>1211.3459773064847</v>
      </c>
      <c r="K50">
        <v>1206.0337740255957</v>
      </c>
      <c r="L50">
        <v>1359.5228930305643</v>
      </c>
      <c r="M50">
        <v>1504.5173347398891</v>
      </c>
      <c r="N50" t="s">
        <v>1184</v>
      </c>
    </row>
    <row r="51" spans="1:14">
      <c r="A51" t="s">
        <v>142</v>
      </c>
      <c r="B51" t="s">
        <v>36</v>
      </c>
      <c r="C51" t="s">
        <v>77</v>
      </c>
      <c r="D51" t="s">
        <v>1178</v>
      </c>
      <c r="E51" t="s">
        <v>1157</v>
      </c>
      <c r="G51" t="s">
        <v>1159</v>
      </c>
      <c r="H51">
        <v>577.10584070927496</v>
      </c>
      <c r="I51">
        <v>799.21228275298745</v>
      </c>
      <c r="J51">
        <v>836.8610461493397</v>
      </c>
      <c r="K51">
        <v>962.17039194746121</v>
      </c>
      <c r="L51">
        <v>1167.6605369212079</v>
      </c>
      <c r="M51">
        <v>1292.2350443790292</v>
      </c>
      <c r="N51" t="s">
        <v>1184</v>
      </c>
    </row>
    <row r="52" spans="1:14">
      <c r="A52" t="s">
        <v>142</v>
      </c>
      <c r="B52" t="s">
        <v>36</v>
      </c>
      <c r="C52" t="s">
        <v>77</v>
      </c>
      <c r="D52" t="s">
        <v>1178</v>
      </c>
      <c r="E52" t="s">
        <v>1158</v>
      </c>
      <c r="F52" t="s">
        <v>19</v>
      </c>
      <c r="G52" t="s">
        <v>1159</v>
      </c>
      <c r="H52">
        <v>130.12830458389448</v>
      </c>
      <c r="I52">
        <v>182.47216350966437</v>
      </c>
      <c r="J52">
        <v>185.48497057865694</v>
      </c>
      <c r="K52">
        <v>202.78330198764917</v>
      </c>
      <c r="L52">
        <v>248.24203356472941</v>
      </c>
      <c r="M52">
        <v>273.52263024303721</v>
      </c>
      <c r="N52" t="s">
        <v>1184</v>
      </c>
    </row>
    <row r="53" spans="1:14">
      <c r="A53" t="s">
        <v>142</v>
      </c>
      <c r="B53" t="s">
        <v>36</v>
      </c>
      <c r="C53" t="s">
        <v>77</v>
      </c>
      <c r="D53" t="s">
        <v>1178</v>
      </c>
      <c r="E53" t="s">
        <v>1158</v>
      </c>
      <c r="F53" t="s">
        <v>20</v>
      </c>
      <c r="G53" t="s">
        <v>1159</v>
      </c>
      <c r="H53">
        <v>446.97753612538048</v>
      </c>
      <c r="I53">
        <v>616.74011924332308</v>
      </c>
      <c r="J53">
        <v>651.37607557068281</v>
      </c>
      <c r="K53">
        <v>759.3870899598121</v>
      </c>
      <c r="L53">
        <v>919.4185033564786</v>
      </c>
      <c r="M53">
        <v>1018.7124141359919</v>
      </c>
      <c r="N53" t="s">
        <v>1184</v>
      </c>
    </row>
    <row r="54" spans="1:14">
      <c r="A54" t="s">
        <v>142</v>
      </c>
      <c r="B54" t="s">
        <v>36</v>
      </c>
      <c r="C54" t="s">
        <v>77</v>
      </c>
      <c r="D54" t="s">
        <v>1178</v>
      </c>
      <c r="E54" t="s">
        <v>1158</v>
      </c>
      <c r="G54" t="s">
        <v>1159</v>
      </c>
      <c r="H54">
        <v>831.16338704024565</v>
      </c>
      <c r="I54">
        <v>1104.8674159900038</v>
      </c>
      <c r="J54">
        <v>878.46575812765786</v>
      </c>
      <c r="K54">
        <v>875.93327469580436</v>
      </c>
      <c r="L54">
        <v>973.40789342748303</v>
      </c>
      <c r="M54">
        <v>1162.572029505377</v>
      </c>
      <c r="N54" t="s">
        <v>1184</v>
      </c>
    </row>
    <row r="55" spans="1:14">
      <c r="A55" t="s">
        <v>142</v>
      </c>
      <c r="B55" t="s">
        <v>36</v>
      </c>
      <c r="C55" t="s">
        <v>77</v>
      </c>
      <c r="D55" t="s">
        <v>1178</v>
      </c>
      <c r="E55" t="s">
        <v>1158</v>
      </c>
      <c r="F55" t="s">
        <v>19</v>
      </c>
      <c r="G55" t="s">
        <v>1159</v>
      </c>
      <c r="H55">
        <v>248.24079826268672</v>
      </c>
      <c r="I55">
        <v>329.47146344821908</v>
      </c>
      <c r="J55">
        <v>263.27618771085912</v>
      </c>
      <c r="K55">
        <v>260.5901492220018</v>
      </c>
      <c r="L55">
        <v>284.33244567016777</v>
      </c>
      <c r="M55">
        <v>339.77550817052003</v>
      </c>
      <c r="N55" t="s">
        <v>1184</v>
      </c>
    </row>
    <row r="56" spans="1:14">
      <c r="A56" t="s">
        <v>142</v>
      </c>
      <c r="B56" t="s">
        <v>36</v>
      </c>
      <c r="C56" t="s">
        <v>77</v>
      </c>
      <c r="D56" t="s">
        <v>1178</v>
      </c>
      <c r="E56" t="s">
        <v>1158</v>
      </c>
      <c r="F56" t="s">
        <v>20</v>
      </c>
      <c r="G56" t="s">
        <v>1159</v>
      </c>
      <c r="H56">
        <v>582.92258877755899</v>
      </c>
      <c r="I56">
        <v>775.39595254178471</v>
      </c>
      <c r="J56">
        <v>615.18957041679869</v>
      </c>
      <c r="K56">
        <v>615.3431254738025</v>
      </c>
      <c r="L56">
        <v>689.07544775731526</v>
      </c>
      <c r="M56">
        <v>822.79652133485695</v>
      </c>
      <c r="N56" t="s">
        <v>1184</v>
      </c>
    </row>
    <row r="57" spans="1:14">
      <c r="A57" t="s">
        <v>142</v>
      </c>
      <c r="B57" t="s">
        <v>36</v>
      </c>
      <c r="C57" t="s">
        <v>77</v>
      </c>
      <c r="D57" t="s">
        <v>1154</v>
      </c>
      <c r="G57" t="s">
        <v>1159</v>
      </c>
      <c r="H57">
        <v>2320.9916887082959</v>
      </c>
      <c r="I57">
        <v>2776.6487731204575</v>
      </c>
      <c r="J57">
        <v>2543.7386416274685</v>
      </c>
      <c r="K57">
        <v>2604.7427971925222</v>
      </c>
      <c r="L57">
        <v>2931.4914285985346</v>
      </c>
      <c r="M57">
        <v>3182.8044074299137</v>
      </c>
      <c r="N57" t="s">
        <v>1184</v>
      </c>
    </row>
    <row r="58" spans="1:14">
      <c r="A58" t="s">
        <v>142</v>
      </c>
      <c r="B58" t="s">
        <v>36</v>
      </c>
      <c r="C58" t="s">
        <v>77</v>
      </c>
      <c r="D58" t="s">
        <v>1154</v>
      </c>
      <c r="E58" t="s">
        <v>1155</v>
      </c>
      <c r="G58" t="s">
        <v>1159</v>
      </c>
      <c r="H58">
        <v>481.4965664911723</v>
      </c>
      <c r="I58">
        <v>576.91615108519773</v>
      </c>
      <c r="J58">
        <v>525.32023400964795</v>
      </c>
      <c r="K58">
        <v>530.47111035846444</v>
      </c>
      <c r="L58">
        <v>561.9846673194445</v>
      </c>
      <c r="M58">
        <v>567.68475817437456</v>
      </c>
      <c r="N58" t="s">
        <v>1184</v>
      </c>
    </row>
    <row r="59" spans="1:14">
      <c r="A59" t="s">
        <v>142</v>
      </c>
      <c r="B59" t="s">
        <v>36</v>
      </c>
      <c r="C59" t="s">
        <v>77</v>
      </c>
      <c r="D59" t="s">
        <v>1154</v>
      </c>
      <c r="E59" t="s">
        <v>1155</v>
      </c>
      <c r="F59" t="s">
        <v>19</v>
      </c>
      <c r="G59" t="s">
        <v>1159</v>
      </c>
      <c r="H59">
        <v>52.854455899615765</v>
      </c>
      <c r="I59">
        <v>63.16253605257161</v>
      </c>
      <c r="J59">
        <v>57.761169918150223</v>
      </c>
      <c r="K59">
        <v>58.619112003114125</v>
      </c>
      <c r="L59">
        <v>62.405703935157071</v>
      </c>
      <c r="M59">
        <v>62.838343663740091</v>
      </c>
      <c r="N59" t="s">
        <v>1184</v>
      </c>
    </row>
    <row r="60" spans="1:14">
      <c r="A60" t="s">
        <v>142</v>
      </c>
      <c r="B60" t="s">
        <v>36</v>
      </c>
      <c r="C60" t="s">
        <v>77</v>
      </c>
      <c r="D60" t="s">
        <v>1154</v>
      </c>
      <c r="E60" t="s">
        <v>1155</v>
      </c>
      <c r="F60" t="s">
        <v>20</v>
      </c>
      <c r="G60" t="s">
        <v>1159</v>
      </c>
      <c r="H60">
        <v>428.64211059155656</v>
      </c>
      <c r="I60">
        <v>513.75361503262616</v>
      </c>
      <c r="J60">
        <v>467.5590640914977</v>
      </c>
      <c r="K60">
        <v>471.8519983553503</v>
      </c>
      <c r="L60">
        <v>499.57896338428742</v>
      </c>
      <c r="M60">
        <v>504.84641451063442</v>
      </c>
      <c r="N60" t="s">
        <v>1184</v>
      </c>
    </row>
    <row r="61" spans="1:14">
      <c r="A61" t="s">
        <v>142</v>
      </c>
      <c r="B61" t="s">
        <v>36</v>
      </c>
      <c r="C61" t="s">
        <v>77</v>
      </c>
      <c r="D61" t="s">
        <v>1154</v>
      </c>
      <c r="E61" t="s">
        <v>1156</v>
      </c>
      <c r="G61" t="s">
        <v>1159</v>
      </c>
      <c r="H61">
        <v>825.50981736907556</v>
      </c>
      <c r="I61">
        <v>984.0392104422989</v>
      </c>
      <c r="J61">
        <v>900.19595273302286</v>
      </c>
      <c r="K61">
        <v>920.80096712793215</v>
      </c>
      <c r="L61">
        <v>1027.7034902156477</v>
      </c>
      <c r="M61">
        <v>1115.3174179867028</v>
      </c>
      <c r="N61" t="s">
        <v>1184</v>
      </c>
    </row>
    <row r="62" spans="1:14">
      <c r="A62" t="s">
        <v>142</v>
      </c>
      <c r="B62" t="s">
        <v>36</v>
      </c>
      <c r="C62" t="s">
        <v>77</v>
      </c>
      <c r="D62" t="s">
        <v>1154</v>
      </c>
      <c r="E62" t="s">
        <v>1156</v>
      </c>
      <c r="F62" t="s">
        <v>19</v>
      </c>
      <c r="G62" t="s">
        <v>1159</v>
      </c>
      <c r="H62">
        <v>146.05124207916052</v>
      </c>
      <c r="I62">
        <v>173.47541826860294</v>
      </c>
      <c r="J62">
        <v>159.0656529614364</v>
      </c>
      <c r="K62">
        <v>163.31716827598149</v>
      </c>
      <c r="L62">
        <v>181.21641481878001</v>
      </c>
      <c r="M62">
        <v>196.13923091061014</v>
      </c>
      <c r="N62" t="s">
        <v>1184</v>
      </c>
    </row>
    <row r="63" spans="1:14">
      <c r="A63" t="s">
        <v>142</v>
      </c>
      <c r="B63" t="s">
        <v>36</v>
      </c>
      <c r="C63" t="s">
        <v>77</v>
      </c>
      <c r="D63" t="s">
        <v>1154</v>
      </c>
      <c r="E63" t="s">
        <v>1156</v>
      </c>
      <c r="F63" t="s">
        <v>20</v>
      </c>
      <c r="G63" t="s">
        <v>1159</v>
      </c>
      <c r="H63">
        <v>679.45857528991507</v>
      </c>
      <c r="I63">
        <v>810.5637921736959</v>
      </c>
      <c r="J63">
        <v>741.13029977158646</v>
      </c>
      <c r="K63">
        <v>757.48379885195072</v>
      </c>
      <c r="L63">
        <v>846.48707539686768</v>
      </c>
      <c r="M63">
        <v>919.17818707609263</v>
      </c>
      <c r="N63" t="s">
        <v>1184</v>
      </c>
    </row>
    <row r="64" spans="1:14">
      <c r="A64" t="s">
        <v>142</v>
      </c>
      <c r="B64" t="s">
        <v>36</v>
      </c>
      <c r="C64" t="s">
        <v>77</v>
      </c>
      <c r="D64" t="s">
        <v>1154</v>
      </c>
      <c r="E64" t="s">
        <v>1157</v>
      </c>
      <c r="G64" t="s">
        <v>1159</v>
      </c>
      <c r="H64">
        <v>514.52483897762522</v>
      </c>
      <c r="I64">
        <v>630.91281949212635</v>
      </c>
      <c r="J64">
        <v>572.13081138479833</v>
      </c>
      <c r="K64">
        <v>605.06398847524952</v>
      </c>
      <c r="L64">
        <v>736.9847658994845</v>
      </c>
      <c r="M64">
        <v>800.06648625609103</v>
      </c>
      <c r="N64" t="s">
        <v>1184</v>
      </c>
    </row>
    <row r="65" spans="1:14">
      <c r="A65" t="s">
        <v>142</v>
      </c>
      <c r="B65" t="s">
        <v>36</v>
      </c>
      <c r="C65" t="s">
        <v>77</v>
      </c>
      <c r="D65" t="s">
        <v>1154</v>
      </c>
      <c r="E65" t="s">
        <v>1158</v>
      </c>
      <c r="F65" t="s">
        <v>19</v>
      </c>
      <c r="G65" t="s">
        <v>1159</v>
      </c>
      <c r="H65">
        <v>125.64670495316034</v>
      </c>
      <c r="I65">
        <v>148.36827527852296</v>
      </c>
      <c r="J65">
        <v>135.68582730611271</v>
      </c>
      <c r="K65">
        <v>147.92429121441126</v>
      </c>
      <c r="L65">
        <v>178.61670749109476</v>
      </c>
      <c r="M65">
        <v>194.71027337705141</v>
      </c>
      <c r="N65" t="s">
        <v>1184</v>
      </c>
    </row>
    <row r="66" spans="1:14">
      <c r="A66" t="s">
        <v>142</v>
      </c>
      <c r="B66" t="s">
        <v>36</v>
      </c>
      <c r="C66" t="s">
        <v>77</v>
      </c>
      <c r="D66" t="s">
        <v>1154</v>
      </c>
      <c r="E66" t="s">
        <v>1158</v>
      </c>
      <c r="F66" t="s">
        <v>20</v>
      </c>
      <c r="G66" t="s">
        <v>1159</v>
      </c>
      <c r="H66">
        <v>388.87813402446488</v>
      </c>
      <c r="I66">
        <v>482.54454421360339</v>
      </c>
      <c r="J66">
        <v>436.44498407868559</v>
      </c>
      <c r="K66">
        <v>457.13969726083826</v>
      </c>
      <c r="L66">
        <v>558.36805840838974</v>
      </c>
      <c r="M66">
        <v>605.35621287903962</v>
      </c>
      <c r="N66" t="s">
        <v>1184</v>
      </c>
    </row>
    <row r="67" spans="1:14">
      <c r="A67" t="s">
        <v>142</v>
      </c>
      <c r="B67" t="s">
        <v>36</v>
      </c>
      <c r="C67" t="s">
        <v>77</v>
      </c>
      <c r="D67" t="s">
        <v>1154</v>
      </c>
      <c r="E67" t="s">
        <v>1158</v>
      </c>
      <c r="G67" t="s">
        <v>1159</v>
      </c>
      <c r="H67">
        <v>499.46046587042304</v>
      </c>
      <c r="I67">
        <v>584.78059210083461</v>
      </c>
      <c r="J67">
        <v>546.09164349999924</v>
      </c>
      <c r="K67">
        <v>548.40673123087606</v>
      </c>
      <c r="L67">
        <v>604.81850516395809</v>
      </c>
      <c r="M67">
        <v>651.64730650744877</v>
      </c>
      <c r="N67" t="s">
        <v>1184</v>
      </c>
    </row>
    <row r="68" spans="1:14">
      <c r="A68" t="s">
        <v>142</v>
      </c>
      <c r="B68" t="s">
        <v>36</v>
      </c>
      <c r="C68" t="s">
        <v>77</v>
      </c>
      <c r="D68" t="s">
        <v>1154</v>
      </c>
      <c r="E68" t="s">
        <v>1158</v>
      </c>
      <c r="F68" t="s">
        <v>19</v>
      </c>
      <c r="G68" t="s">
        <v>1159</v>
      </c>
      <c r="H68">
        <v>144.24418254337814</v>
      </c>
      <c r="I68">
        <v>168.65072276188067</v>
      </c>
      <c r="J68">
        <v>157.7658758071498</v>
      </c>
      <c r="K68">
        <v>159.03795205695405</v>
      </c>
      <c r="L68">
        <v>175.13124635527572</v>
      </c>
      <c r="M68">
        <v>188.41815778505648</v>
      </c>
      <c r="N68" t="s">
        <v>1184</v>
      </c>
    </row>
    <row r="69" spans="1:14">
      <c r="A69" t="s">
        <v>142</v>
      </c>
      <c r="B69" t="s">
        <v>36</v>
      </c>
      <c r="C69" t="s">
        <v>77</v>
      </c>
      <c r="D69" t="s">
        <v>1154</v>
      </c>
      <c r="E69" t="s">
        <v>1158</v>
      </c>
      <c r="F69" t="s">
        <v>20</v>
      </c>
      <c r="G69" t="s">
        <v>1159</v>
      </c>
      <c r="H69">
        <v>355.21628332704489</v>
      </c>
      <c r="I69">
        <v>416.12986933895394</v>
      </c>
      <c r="J69">
        <v>388.32576769284947</v>
      </c>
      <c r="K69">
        <v>389.36877917392201</v>
      </c>
      <c r="L69">
        <v>429.68725880868237</v>
      </c>
      <c r="M69">
        <v>463.22914872239232</v>
      </c>
      <c r="N69" t="s">
        <v>1184</v>
      </c>
    </row>
    <row r="70" spans="1:14">
      <c r="A70" t="s">
        <v>142</v>
      </c>
      <c r="B70" t="s">
        <v>36</v>
      </c>
      <c r="C70" t="s">
        <v>77</v>
      </c>
      <c r="D70" t="s">
        <v>1179</v>
      </c>
      <c r="G70" t="s">
        <v>1159</v>
      </c>
      <c r="H70">
        <v>5951.6612579645644</v>
      </c>
      <c r="I70">
        <v>7288.3113778615607</v>
      </c>
      <c r="J70">
        <v>6635.7025471251281</v>
      </c>
      <c r="K70">
        <v>6765.1236936199639</v>
      </c>
      <c r="L70">
        <v>7649.496700840109</v>
      </c>
      <c r="M70">
        <v>8452.4948042491014</v>
      </c>
      <c r="N70" t="s">
        <v>1184</v>
      </c>
    </row>
    <row r="71" spans="1:14">
      <c r="A71" t="s">
        <v>142</v>
      </c>
      <c r="B71" t="s">
        <v>36</v>
      </c>
      <c r="C71" t="s">
        <v>77</v>
      </c>
      <c r="D71" t="s">
        <v>1179</v>
      </c>
      <c r="E71" t="s">
        <v>1155</v>
      </c>
      <c r="G71" t="s">
        <v>1159</v>
      </c>
      <c r="H71">
        <v>1383.5242345510701</v>
      </c>
      <c r="I71">
        <v>1601.4050804789963</v>
      </c>
      <c r="J71">
        <v>1424.3117274742438</v>
      </c>
      <c r="K71">
        <v>1382.0147394278169</v>
      </c>
      <c r="L71">
        <v>1484.9134374723644</v>
      </c>
      <c r="M71">
        <v>1554.0794452022483</v>
      </c>
      <c r="N71" t="s">
        <v>1184</v>
      </c>
    </row>
    <row r="72" spans="1:14">
      <c r="A72" t="s">
        <v>142</v>
      </c>
      <c r="B72" t="s">
        <v>36</v>
      </c>
      <c r="C72" t="s">
        <v>77</v>
      </c>
      <c r="D72" t="s">
        <v>1179</v>
      </c>
      <c r="E72" t="s">
        <v>1155</v>
      </c>
      <c r="F72" t="s">
        <v>19</v>
      </c>
      <c r="G72" t="s">
        <v>1159</v>
      </c>
      <c r="H72">
        <v>157.96142586495921</v>
      </c>
      <c r="I72">
        <v>179.79582820009875</v>
      </c>
      <c r="J72">
        <v>157.00325281010407</v>
      </c>
      <c r="K72">
        <v>154.3727523618158</v>
      </c>
      <c r="L72">
        <v>166.84465046912567</v>
      </c>
      <c r="M72">
        <v>175.06973470456921</v>
      </c>
      <c r="N72" t="s">
        <v>1184</v>
      </c>
    </row>
    <row r="73" spans="1:14">
      <c r="A73" t="s">
        <v>142</v>
      </c>
      <c r="B73" t="s">
        <v>36</v>
      </c>
      <c r="C73" t="s">
        <v>77</v>
      </c>
      <c r="D73" t="s">
        <v>1179</v>
      </c>
      <c r="E73" t="s">
        <v>1155</v>
      </c>
      <c r="F73" t="s">
        <v>20</v>
      </c>
      <c r="G73" t="s">
        <v>1159</v>
      </c>
      <c r="H73">
        <v>1225.5628086861109</v>
      </c>
      <c r="I73">
        <v>1421.6092522788977</v>
      </c>
      <c r="J73">
        <v>1267.3084746641398</v>
      </c>
      <c r="K73">
        <v>1227.6419870660011</v>
      </c>
      <c r="L73">
        <v>1318.0687870032389</v>
      </c>
      <c r="M73">
        <v>1379.0097104976792</v>
      </c>
      <c r="N73" t="s">
        <v>1184</v>
      </c>
    </row>
    <row r="74" spans="1:14">
      <c r="A74" t="s">
        <v>142</v>
      </c>
      <c r="B74" t="s">
        <v>36</v>
      </c>
      <c r="C74" t="s">
        <v>77</v>
      </c>
      <c r="D74" t="s">
        <v>1179</v>
      </c>
      <c r="E74" t="s">
        <v>1156</v>
      </c>
      <c r="G74" t="s">
        <v>1159</v>
      </c>
      <c r="H74">
        <v>2145.8824908159254</v>
      </c>
      <c r="I74">
        <v>2567.1331870466124</v>
      </c>
      <c r="J74">
        <v>2377.8415604890893</v>
      </c>
      <c r="K74">
        <v>2391.5345678427566</v>
      </c>
      <c r="L74">
        <v>2681.7115619556116</v>
      </c>
      <c r="M74">
        <v>2943.8060538936106</v>
      </c>
      <c r="N74" t="s">
        <v>1184</v>
      </c>
    </row>
    <row r="75" spans="1:14">
      <c r="A75" t="s">
        <v>142</v>
      </c>
      <c r="B75" t="s">
        <v>36</v>
      </c>
      <c r="C75" t="s">
        <v>77</v>
      </c>
      <c r="D75" t="s">
        <v>1179</v>
      </c>
      <c r="E75" t="s">
        <v>1156</v>
      </c>
      <c r="F75" t="s">
        <v>19</v>
      </c>
      <c r="G75" t="s">
        <v>1159</v>
      </c>
      <c r="H75">
        <v>381.92284283321976</v>
      </c>
      <c r="I75">
        <v>455.55802463273221</v>
      </c>
      <c r="J75">
        <v>425.36528341101808</v>
      </c>
      <c r="K75">
        <v>428.01699496521019</v>
      </c>
      <c r="L75">
        <v>475.70159352817939</v>
      </c>
      <c r="M75">
        <v>520.11053207762893</v>
      </c>
      <c r="N75" t="s">
        <v>1184</v>
      </c>
    </row>
    <row r="76" spans="1:14">
      <c r="A76" t="s">
        <v>142</v>
      </c>
      <c r="B76" t="s">
        <v>36</v>
      </c>
      <c r="C76" t="s">
        <v>77</v>
      </c>
      <c r="D76" t="s">
        <v>1179</v>
      </c>
      <c r="E76" t="s">
        <v>1156</v>
      </c>
      <c r="F76" t="s">
        <v>20</v>
      </c>
      <c r="G76" t="s">
        <v>1159</v>
      </c>
      <c r="H76">
        <v>1763.9596479827055</v>
      </c>
      <c r="I76">
        <v>2111.5751624138802</v>
      </c>
      <c r="J76">
        <v>1952.4762770780712</v>
      </c>
      <c r="K76">
        <v>1963.5175728775464</v>
      </c>
      <c r="L76">
        <v>2206.0099684274319</v>
      </c>
      <c r="M76">
        <v>2423.6955218159819</v>
      </c>
      <c r="N76" t="s">
        <v>1184</v>
      </c>
    </row>
    <row r="77" spans="1:14">
      <c r="A77" t="s">
        <v>142</v>
      </c>
      <c r="B77" t="s">
        <v>36</v>
      </c>
      <c r="C77" t="s">
        <v>77</v>
      </c>
      <c r="D77" t="s">
        <v>1179</v>
      </c>
      <c r="E77" t="s">
        <v>1157</v>
      </c>
      <c r="G77" t="s">
        <v>1159</v>
      </c>
      <c r="H77">
        <v>1091.6306796869003</v>
      </c>
      <c r="I77">
        <v>1430.1251022451138</v>
      </c>
      <c r="J77">
        <v>1408.991857534138</v>
      </c>
      <c r="K77">
        <v>1567.2343804227107</v>
      </c>
      <c r="L77">
        <v>1904.6453028206925</v>
      </c>
      <c r="M77">
        <v>2092.3015306351203</v>
      </c>
      <c r="N77" t="s">
        <v>1184</v>
      </c>
    </row>
    <row r="78" spans="1:14">
      <c r="A78" t="s">
        <v>142</v>
      </c>
      <c r="B78" t="s">
        <v>36</v>
      </c>
      <c r="C78" t="s">
        <v>77</v>
      </c>
      <c r="D78" t="s">
        <v>1179</v>
      </c>
      <c r="E78" t="s">
        <v>1158</v>
      </c>
      <c r="F78" t="s">
        <v>19</v>
      </c>
      <c r="G78" t="s">
        <v>1159</v>
      </c>
      <c r="H78">
        <v>255.77500953705481</v>
      </c>
      <c r="I78">
        <v>330.84043878818733</v>
      </c>
      <c r="J78">
        <v>321.17079788476963</v>
      </c>
      <c r="K78">
        <v>350.70759320206042</v>
      </c>
      <c r="L78">
        <v>426.85874105582417</v>
      </c>
      <c r="M78">
        <v>468.23290362008862</v>
      </c>
      <c r="N78" t="s">
        <v>1184</v>
      </c>
    </row>
    <row r="79" spans="1:14">
      <c r="A79" t="s">
        <v>142</v>
      </c>
      <c r="B79" t="s">
        <v>36</v>
      </c>
      <c r="C79" t="s">
        <v>77</v>
      </c>
      <c r="D79" t="s">
        <v>1179</v>
      </c>
      <c r="E79" t="s">
        <v>1158</v>
      </c>
      <c r="F79" t="s">
        <v>20</v>
      </c>
      <c r="G79" t="s">
        <v>1159</v>
      </c>
      <c r="H79">
        <v>835.85567014984531</v>
      </c>
      <c r="I79">
        <v>1099.2846634569264</v>
      </c>
      <c r="J79">
        <v>1087.8210596493684</v>
      </c>
      <c r="K79">
        <v>1216.5267872206505</v>
      </c>
      <c r="L79">
        <v>1477.7865617648683</v>
      </c>
      <c r="M79">
        <v>1624.0686270150316</v>
      </c>
      <c r="N79" t="s">
        <v>1184</v>
      </c>
    </row>
    <row r="80" spans="1:14">
      <c r="A80" t="s">
        <v>142</v>
      </c>
      <c r="B80" t="s">
        <v>36</v>
      </c>
      <c r="C80" t="s">
        <v>77</v>
      </c>
      <c r="D80" t="s">
        <v>1179</v>
      </c>
      <c r="E80" t="s">
        <v>1158</v>
      </c>
      <c r="G80" t="s">
        <v>1159</v>
      </c>
      <c r="H80">
        <v>1330.6238529106686</v>
      </c>
      <c r="I80">
        <v>1689.6480080908384</v>
      </c>
      <c r="J80">
        <v>1424.5574016276571</v>
      </c>
      <c r="K80">
        <v>1424.3400059266805</v>
      </c>
      <c r="L80">
        <v>1578.226398591441</v>
      </c>
      <c r="M80">
        <v>1814.2193360128258</v>
      </c>
      <c r="N80" t="s">
        <v>1184</v>
      </c>
    </row>
    <row r="81" spans="1:14">
      <c r="A81" t="s">
        <v>142</v>
      </c>
      <c r="B81" t="s">
        <v>36</v>
      </c>
      <c r="C81" t="s">
        <v>77</v>
      </c>
      <c r="D81" t="s">
        <v>1179</v>
      </c>
      <c r="E81" t="s">
        <v>1158</v>
      </c>
      <c r="F81" t="s">
        <v>19</v>
      </c>
      <c r="G81" t="s">
        <v>1159</v>
      </c>
      <c r="H81">
        <v>392.48498080606487</v>
      </c>
      <c r="I81">
        <v>498.12218621009976</v>
      </c>
      <c r="J81">
        <v>421.04206351800894</v>
      </c>
      <c r="K81">
        <v>419.62810127895585</v>
      </c>
      <c r="L81">
        <v>459.46369202544349</v>
      </c>
      <c r="M81">
        <v>528.19366595557653</v>
      </c>
      <c r="N81" t="s">
        <v>1184</v>
      </c>
    </row>
    <row r="82" spans="1:14">
      <c r="A82" t="s">
        <v>142</v>
      </c>
      <c r="B82" t="s">
        <v>36</v>
      </c>
      <c r="C82" t="s">
        <v>77</v>
      </c>
      <c r="D82" t="s">
        <v>1179</v>
      </c>
      <c r="E82" t="s">
        <v>1158</v>
      </c>
      <c r="F82" t="s">
        <v>20</v>
      </c>
      <c r="G82" t="s">
        <v>1159</v>
      </c>
      <c r="H82">
        <v>938.13887210460393</v>
      </c>
      <c r="I82">
        <v>1191.5258218807387</v>
      </c>
      <c r="J82">
        <v>1003.5153381096482</v>
      </c>
      <c r="K82">
        <v>1004.7119046477245</v>
      </c>
      <c r="L82">
        <v>1118.7627065659976</v>
      </c>
      <c r="M82">
        <v>1286.0256700572493</v>
      </c>
      <c r="N82" t="s">
        <v>1184</v>
      </c>
    </row>
    <row r="83" spans="1:14">
      <c r="A83" t="s">
        <v>142</v>
      </c>
      <c r="B83" t="s">
        <v>36</v>
      </c>
      <c r="C83" t="s">
        <v>77</v>
      </c>
      <c r="D83" t="s">
        <v>1180</v>
      </c>
      <c r="G83" t="s">
        <v>178</v>
      </c>
      <c r="H83">
        <v>10323.499</v>
      </c>
      <c r="I83">
        <v>10739.088</v>
      </c>
      <c r="J83">
        <v>10641.808999999999</v>
      </c>
      <c r="K83">
        <v>11739.923000000001</v>
      </c>
      <c r="L83">
        <v>12722</v>
      </c>
      <c r="M83">
        <v>13145.3361414764</v>
      </c>
      <c r="N83" t="s">
        <v>1184</v>
      </c>
    </row>
    <row r="84" spans="1:14">
      <c r="A84" t="s">
        <v>142</v>
      </c>
      <c r="B84" t="s">
        <v>36</v>
      </c>
      <c r="C84" t="s">
        <v>77</v>
      </c>
      <c r="D84" t="s">
        <v>1180</v>
      </c>
      <c r="E84" t="s">
        <v>1155</v>
      </c>
      <c r="G84" t="s">
        <v>178</v>
      </c>
      <c r="H84">
        <v>3544.1360319641317</v>
      </c>
      <c r="I84">
        <v>3504.5989832059404</v>
      </c>
      <c r="J84">
        <v>3341.9147792177168</v>
      </c>
      <c r="K84">
        <v>3379.2619665379975</v>
      </c>
      <c r="L84">
        <v>3418.8271188949748</v>
      </c>
      <c r="M84">
        <v>3526.5328945038036</v>
      </c>
      <c r="N84" t="s">
        <v>1184</v>
      </c>
    </row>
    <row r="85" spans="1:14">
      <c r="A85" t="s">
        <v>142</v>
      </c>
      <c r="B85" t="s">
        <v>36</v>
      </c>
      <c r="C85" t="s">
        <v>77</v>
      </c>
      <c r="D85" t="s">
        <v>1180</v>
      </c>
      <c r="E85" t="s">
        <v>1155</v>
      </c>
      <c r="F85" t="s">
        <v>19</v>
      </c>
      <c r="G85" t="s">
        <v>178</v>
      </c>
      <c r="H85">
        <v>375.53559070610976</v>
      </c>
      <c r="I85">
        <v>369.15181848754395</v>
      </c>
      <c r="J85">
        <v>354.44185128149979</v>
      </c>
      <c r="K85">
        <v>356.74631817164368</v>
      </c>
      <c r="L85">
        <v>361.56606329951114</v>
      </c>
      <c r="M85">
        <v>373.86552864892747</v>
      </c>
      <c r="N85" t="s">
        <v>1184</v>
      </c>
    </row>
    <row r="86" spans="1:14">
      <c r="A86" t="s">
        <v>142</v>
      </c>
      <c r="B86" t="s">
        <v>36</v>
      </c>
      <c r="C86" t="s">
        <v>77</v>
      </c>
      <c r="D86" t="s">
        <v>1180</v>
      </c>
      <c r="E86" t="s">
        <v>1155</v>
      </c>
      <c r="F86" t="s">
        <v>20</v>
      </c>
      <c r="G86" t="s">
        <v>178</v>
      </c>
      <c r="H86">
        <v>3168.6004412580219</v>
      </c>
      <c r="I86">
        <v>3135.4471647183964</v>
      </c>
      <c r="J86">
        <v>2987.4729279362173</v>
      </c>
      <c r="K86">
        <v>3022.5156483663541</v>
      </c>
      <c r="L86">
        <v>3057.2610555954634</v>
      </c>
      <c r="M86">
        <v>3152.6673658548762</v>
      </c>
      <c r="N86" t="s">
        <v>1184</v>
      </c>
    </row>
    <row r="87" spans="1:14">
      <c r="A87" t="s">
        <v>142</v>
      </c>
      <c r="B87" t="s">
        <v>36</v>
      </c>
      <c r="C87" t="s">
        <v>77</v>
      </c>
      <c r="D87" t="s">
        <v>1180</v>
      </c>
      <c r="E87" t="s">
        <v>1156</v>
      </c>
      <c r="G87" t="s">
        <v>178</v>
      </c>
      <c r="H87">
        <v>4446.0245781324511</v>
      </c>
      <c r="I87">
        <v>4552.4863216632057</v>
      </c>
      <c r="J87">
        <v>4362.8154594863026</v>
      </c>
      <c r="K87">
        <v>4736.9850085110302</v>
      </c>
      <c r="L87">
        <v>5269.0595333139036</v>
      </c>
      <c r="M87">
        <v>5411.1241308623476</v>
      </c>
      <c r="N87" t="s">
        <v>1184</v>
      </c>
    </row>
    <row r="88" spans="1:14">
      <c r="A88" t="s">
        <v>142</v>
      </c>
      <c r="B88" t="s">
        <v>36</v>
      </c>
      <c r="C88" t="s">
        <v>77</v>
      </c>
      <c r="D88" t="s">
        <v>1180</v>
      </c>
      <c r="E88" t="s">
        <v>1156</v>
      </c>
      <c r="F88" t="s">
        <v>19</v>
      </c>
      <c r="G88" t="s">
        <v>178</v>
      </c>
      <c r="H88">
        <v>770.24624185731477</v>
      </c>
      <c r="I88">
        <v>792.04419948784221</v>
      </c>
      <c r="J88">
        <v>756.02086345138571</v>
      </c>
      <c r="K88">
        <v>812.45094315303675</v>
      </c>
      <c r="L88">
        <v>902.03955796467221</v>
      </c>
      <c r="M88">
        <v>923.8851065267371</v>
      </c>
      <c r="N88" t="s">
        <v>1184</v>
      </c>
    </row>
    <row r="89" spans="1:14">
      <c r="A89" t="s">
        <v>142</v>
      </c>
      <c r="B89" t="s">
        <v>36</v>
      </c>
      <c r="C89" t="s">
        <v>77</v>
      </c>
      <c r="D89" t="s">
        <v>1180</v>
      </c>
      <c r="E89" t="s">
        <v>1156</v>
      </c>
      <c r="F89" t="s">
        <v>20</v>
      </c>
      <c r="G89" t="s">
        <v>178</v>
      </c>
      <c r="H89">
        <v>3675.7783362751361</v>
      </c>
      <c r="I89">
        <v>3760.4421221753637</v>
      </c>
      <c r="J89">
        <v>3606.794596034917</v>
      </c>
      <c r="K89">
        <v>3924.5340653579933</v>
      </c>
      <c r="L89">
        <v>4367.0199753492316</v>
      </c>
      <c r="M89">
        <v>4487.2390243356103</v>
      </c>
      <c r="N89" t="s">
        <v>1184</v>
      </c>
    </row>
    <row r="90" spans="1:14">
      <c r="A90" t="s">
        <v>142</v>
      </c>
      <c r="B90" t="s">
        <v>36</v>
      </c>
      <c r="C90" t="s">
        <v>77</v>
      </c>
      <c r="D90" t="s">
        <v>1180</v>
      </c>
      <c r="E90" t="s">
        <v>1157</v>
      </c>
      <c r="G90" t="s">
        <v>178</v>
      </c>
      <c r="H90">
        <v>1524.2596854611813</v>
      </c>
      <c r="I90">
        <v>1828.2108421264506</v>
      </c>
      <c r="J90">
        <v>2040.794104076004</v>
      </c>
      <c r="K90">
        <v>2579.789197211288</v>
      </c>
      <c r="L90">
        <v>2984.8027875433177</v>
      </c>
      <c r="M90">
        <v>3146.9942148950936</v>
      </c>
      <c r="N90" t="s">
        <v>1184</v>
      </c>
    </row>
    <row r="91" spans="1:14">
      <c r="A91" t="s">
        <v>142</v>
      </c>
      <c r="B91" t="s">
        <v>36</v>
      </c>
      <c r="C91" t="s">
        <v>77</v>
      </c>
      <c r="D91" t="s">
        <v>1180</v>
      </c>
      <c r="E91" t="s">
        <v>1158</v>
      </c>
      <c r="F91" t="s">
        <v>19</v>
      </c>
      <c r="G91" t="s">
        <v>178</v>
      </c>
      <c r="H91">
        <v>250.8985348523486</v>
      </c>
      <c r="I91">
        <v>304.7078283041767</v>
      </c>
      <c r="J91">
        <v>330.20026962442807</v>
      </c>
      <c r="K91">
        <v>396.90565064272965</v>
      </c>
      <c r="L91">
        <v>463.2305776795983</v>
      </c>
      <c r="M91">
        <v>491.96851753676833</v>
      </c>
      <c r="N91" t="s">
        <v>1184</v>
      </c>
    </row>
    <row r="92" spans="1:14">
      <c r="A92" t="s">
        <v>142</v>
      </c>
      <c r="B92" t="s">
        <v>36</v>
      </c>
      <c r="C92" t="s">
        <v>77</v>
      </c>
      <c r="D92" t="s">
        <v>1180</v>
      </c>
      <c r="E92" t="s">
        <v>1158</v>
      </c>
      <c r="F92" t="s">
        <v>20</v>
      </c>
      <c r="G92" t="s">
        <v>178</v>
      </c>
      <c r="H92">
        <v>1273.3611506088328</v>
      </c>
      <c r="I92">
        <v>1523.5030138222739</v>
      </c>
      <c r="J92">
        <v>1710.593834451576</v>
      </c>
      <c r="K92">
        <v>2182.8835465685584</v>
      </c>
      <c r="L92">
        <v>2521.5722098637193</v>
      </c>
      <c r="M92">
        <v>2655.0256973583255</v>
      </c>
      <c r="N92" t="s">
        <v>1184</v>
      </c>
    </row>
    <row r="93" spans="1:14">
      <c r="A93" t="s">
        <v>142</v>
      </c>
      <c r="B93" t="s">
        <v>36</v>
      </c>
      <c r="C93" t="s">
        <v>77</v>
      </c>
      <c r="D93" t="s">
        <v>1180</v>
      </c>
      <c r="E93" t="s">
        <v>1158</v>
      </c>
      <c r="G93" t="s">
        <v>178</v>
      </c>
      <c r="H93">
        <v>809.07870444223465</v>
      </c>
      <c r="I93">
        <v>853.79185300440474</v>
      </c>
      <c r="J93">
        <v>896.28465721997611</v>
      </c>
      <c r="K93">
        <v>1043.8868277396832</v>
      </c>
      <c r="L93">
        <v>1049.3105602478031</v>
      </c>
      <c r="M93">
        <v>1060.6849012151542</v>
      </c>
      <c r="N93" t="s">
        <v>1184</v>
      </c>
    </row>
    <row r="94" spans="1:14">
      <c r="A94" t="s">
        <v>142</v>
      </c>
      <c r="B94" t="s">
        <v>36</v>
      </c>
      <c r="C94" t="s">
        <v>77</v>
      </c>
      <c r="D94" t="s">
        <v>1180</v>
      </c>
      <c r="E94" t="s">
        <v>1158</v>
      </c>
      <c r="F94" t="s">
        <v>19</v>
      </c>
      <c r="G94" t="s">
        <v>178</v>
      </c>
      <c r="H94">
        <v>157.500654464755</v>
      </c>
      <c r="I94">
        <v>164.95258600045096</v>
      </c>
      <c r="J94">
        <v>171.81776878906942</v>
      </c>
      <c r="K94">
        <v>195.7287802011906</v>
      </c>
      <c r="L94">
        <v>194.56316408114765</v>
      </c>
      <c r="M94">
        <v>197.86133178887653</v>
      </c>
      <c r="N94" t="s">
        <v>1184</v>
      </c>
    </row>
    <row r="95" spans="1:14">
      <c r="A95" t="s">
        <v>142</v>
      </c>
      <c r="B95" t="s">
        <v>36</v>
      </c>
      <c r="C95" t="s">
        <v>77</v>
      </c>
      <c r="D95" t="s">
        <v>1180</v>
      </c>
      <c r="E95" t="s">
        <v>1158</v>
      </c>
      <c r="F95" t="s">
        <v>20</v>
      </c>
      <c r="G95" t="s">
        <v>178</v>
      </c>
      <c r="H95">
        <v>651.57804997747962</v>
      </c>
      <c r="I95">
        <v>688.83926700395375</v>
      </c>
      <c r="J95">
        <v>724.46688843090669</v>
      </c>
      <c r="K95">
        <v>848.15804753849261</v>
      </c>
      <c r="L95">
        <v>854.74739616665545</v>
      </c>
      <c r="M95">
        <v>862.82356942627769</v>
      </c>
      <c r="N95" t="s">
        <v>1184</v>
      </c>
    </row>
  </sheetData>
  <customSheetViews>
    <customSheetView guid="{BD5E9955-DC4B-4EA0-9160-9EF1C693DE04}" topLeftCell="A48">
      <selection activeCell="A2" sqref="A2"/>
      <pageMargins left="0.7" right="0.7" top="0.75" bottom="0.75" header="0.3" footer="0.3"/>
    </customSheetView>
    <customSheetView guid="{1ACDCC85-59E3-4410-927D-E7E5C71B61F5}" topLeftCell="A48">
      <selection activeCell="A2" sqref="A2"/>
      <pageMargins left="0.7" right="0.7" top="0.75" bottom="0.75" header="0.3" footer="0.3"/>
    </customSheetView>
  </customSheetView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AW390"/>
  <sheetViews>
    <sheetView topLeftCell="A300" zoomScale="85" zoomScaleNormal="85" workbookViewId="0">
      <selection activeCell="F326" sqref="F326"/>
    </sheetView>
  </sheetViews>
  <sheetFormatPr defaultRowHeight="15"/>
  <cols>
    <col min="1" max="1" width="56.140625" customWidth="1"/>
    <col min="2" max="2" width="9.28515625" customWidth="1"/>
    <col min="3" max="3" width="10.140625" customWidth="1"/>
    <col min="4" max="4" width="11.28515625" customWidth="1"/>
    <col min="5" max="5" width="11.7109375" customWidth="1"/>
    <col min="6" max="6" width="9.28515625" bestFit="1" customWidth="1"/>
    <col min="7" max="7" width="13.28515625" customWidth="1"/>
  </cols>
  <sheetData>
    <row r="1" spans="1:15">
      <c r="A1" s="803" t="s">
        <v>1061</v>
      </c>
    </row>
    <row r="3" spans="1:15">
      <c r="A3" s="803" t="s">
        <v>852</v>
      </c>
      <c r="B3" s="804">
        <v>41569.729305555556</v>
      </c>
    </row>
    <row r="4" spans="1:15">
      <c r="A4" s="803" t="s">
        <v>853</v>
      </c>
      <c r="B4" s="804">
        <v>41571.232473854165</v>
      </c>
    </row>
    <row r="5" spans="1:15">
      <c r="A5" s="803" t="s">
        <v>854</v>
      </c>
      <c r="B5" s="803" t="s">
        <v>243</v>
      </c>
    </row>
    <row r="6" spans="1:15">
      <c r="A6" s="803" t="s">
        <v>1062</v>
      </c>
      <c r="B6" s="803" t="s">
        <v>1063</v>
      </c>
    </row>
    <row r="7" spans="1:15">
      <c r="A7" s="803" t="s">
        <v>1064</v>
      </c>
      <c r="B7" s="803" t="s">
        <v>1065</v>
      </c>
    </row>
    <row r="8" spans="1:15">
      <c r="A8" s="803" t="s">
        <v>855</v>
      </c>
      <c r="B8" s="803" t="s">
        <v>856</v>
      </c>
    </row>
    <row r="9" spans="1:15">
      <c r="A9" s="803" t="s">
        <v>1066</v>
      </c>
      <c r="B9" s="803" t="s">
        <v>1067</v>
      </c>
    </row>
    <row r="10" spans="1:15">
      <c r="K10" s="803" t="s">
        <v>1065</v>
      </c>
    </row>
    <row r="11" spans="1:15">
      <c r="A11" s="805" t="s">
        <v>824</v>
      </c>
      <c r="B11" s="805" t="s">
        <v>863</v>
      </c>
      <c r="C11" s="805" t="s">
        <v>864</v>
      </c>
      <c r="D11" s="805" t="s">
        <v>865</v>
      </c>
      <c r="E11" s="805" t="s">
        <v>866</v>
      </c>
      <c r="F11" s="805" t="s">
        <v>1068</v>
      </c>
      <c r="K11" s="805" t="s">
        <v>863</v>
      </c>
      <c r="L11" s="805" t="s">
        <v>864</v>
      </c>
      <c r="M11" s="805" t="s">
        <v>865</v>
      </c>
      <c r="N11" s="805" t="s">
        <v>866</v>
      </c>
      <c r="O11" s="805" t="s">
        <v>1068</v>
      </c>
    </row>
    <row r="12" spans="1:15">
      <c r="A12" s="805" t="s">
        <v>128</v>
      </c>
      <c r="B12" s="806">
        <v>2924</v>
      </c>
      <c r="C12" s="806">
        <v>2993</v>
      </c>
      <c r="D12" s="806">
        <v>2954</v>
      </c>
      <c r="E12" s="806">
        <v>2892</v>
      </c>
      <c r="F12" s="806">
        <v>4071</v>
      </c>
      <c r="K12" s="253">
        <f>B12+B22+B32</f>
        <v>5599</v>
      </c>
      <c r="L12" s="253">
        <f>C12+C22+C32</f>
        <v>5737</v>
      </c>
      <c r="M12" s="253">
        <f>D12+D22+D32</f>
        <v>5670</v>
      </c>
      <c r="N12" s="253">
        <f>E12+E22+E32</f>
        <v>5540</v>
      </c>
      <c r="O12" s="253">
        <f>F12+F22+F32</f>
        <v>7864</v>
      </c>
    </row>
    <row r="14" spans="1:15">
      <c r="A14" s="803" t="s">
        <v>904</v>
      </c>
    </row>
    <row r="15" spans="1:15">
      <c r="A15" s="803" t="s">
        <v>869</v>
      </c>
      <c r="B15" s="803" t="s">
        <v>905</v>
      </c>
    </row>
    <row r="16" spans="1:15">
      <c r="K16" s="803" t="s">
        <v>1071</v>
      </c>
    </row>
    <row r="17" spans="1:15">
      <c r="A17" s="803" t="s">
        <v>1064</v>
      </c>
      <c r="B17" s="803" t="s">
        <v>1065</v>
      </c>
      <c r="K17" s="805" t="s">
        <v>863</v>
      </c>
      <c r="L17" s="805" t="s">
        <v>864</v>
      </c>
      <c r="M17" s="805" t="s">
        <v>865</v>
      </c>
      <c r="N17" s="805" t="s">
        <v>866</v>
      </c>
      <c r="O17" s="805" t="s">
        <v>1068</v>
      </c>
    </row>
    <row r="18" spans="1:15">
      <c r="A18" s="803" t="s">
        <v>855</v>
      </c>
      <c r="B18" s="803" t="s">
        <v>856</v>
      </c>
      <c r="K18" s="253">
        <f>B52</f>
        <v>65815</v>
      </c>
      <c r="L18" s="253">
        <f t="shared" ref="L18:O18" si="0">C52</f>
        <v>67310</v>
      </c>
      <c r="M18" s="253">
        <f t="shared" si="0"/>
        <v>69129</v>
      </c>
      <c r="N18" s="253">
        <f t="shared" si="0"/>
        <v>66029</v>
      </c>
      <c r="O18" s="253">
        <f t="shared" si="0"/>
        <v>70252</v>
      </c>
    </row>
    <row r="19" spans="1:15">
      <c r="A19" s="803" t="s">
        <v>1066</v>
      </c>
      <c r="B19" s="803" t="s">
        <v>1069</v>
      </c>
    </row>
    <row r="21" spans="1:15">
      <c r="A21" s="805" t="s">
        <v>824</v>
      </c>
      <c r="B21" s="805" t="s">
        <v>863</v>
      </c>
      <c r="C21" s="805" t="s">
        <v>864</v>
      </c>
      <c r="D21" s="805" t="s">
        <v>865</v>
      </c>
      <c r="E21" s="805" t="s">
        <v>866</v>
      </c>
      <c r="F21" s="805" t="s">
        <v>1068</v>
      </c>
    </row>
    <row r="22" spans="1:15">
      <c r="A22" s="805" t="s">
        <v>128</v>
      </c>
      <c r="B22" s="806">
        <v>2001</v>
      </c>
      <c r="C22" s="806">
        <v>2042</v>
      </c>
      <c r="D22" s="806">
        <v>2033</v>
      </c>
      <c r="E22" s="806">
        <v>1927</v>
      </c>
      <c r="F22" s="806">
        <v>2094</v>
      </c>
    </row>
    <row r="24" spans="1:15">
      <c r="A24" s="803" t="s">
        <v>904</v>
      </c>
    </row>
    <row r="25" spans="1:15">
      <c r="A25" s="803" t="s">
        <v>869</v>
      </c>
      <c r="B25" s="803" t="s">
        <v>905</v>
      </c>
    </row>
    <row r="27" spans="1:15">
      <c r="A27" s="803" t="s">
        <v>1064</v>
      </c>
      <c r="B27" s="803" t="s">
        <v>1065</v>
      </c>
    </row>
    <row r="28" spans="1:15">
      <c r="A28" s="803" t="s">
        <v>855</v>
      </c>
      <c r="B28" s="803" t="s">
        <v>856</v>
      </c>
    </row>
    <row r="29" spans="1:15">
      <c r="A29" s="803" t="s">
        <v>1066</v>
      </c>
      <c r="B29" s="803" t="s">
        <v>1070</v>
      </c>
    </row>
    <row r="31" spans="1:15">
      <c r="A31" s="805" t="s">
        <v>824</v>
      </c>
      <c r="B31" s="805" t="s">
        <v>863</v>
      </c>
      <c r="C31" s="805" t="s">
        <v>864</v>
      </c>
      <c r="D31" s="805" t="s">
        <v>865</v>
      </c>
      <c r="E31" s="805" t="s">
        <v>866</v>
      </c>
      <c r="F31" s="805" t="s">
        <v>1068</v>
      </c>
    </row>
    <row r="32" spans="1:15">
      <c r="A32" s="805" t="s">
        <v>128</v>
      </c>
      <c r="B32" s="806">
        <v>674</v>
      </c>
      <c r="C32" s="806">
        <v>702</v>
      </c>
      <c r="D32" s="806">
        <v>683</v>
      </c>
      <c r="E32" s="806">
        <v>721</v>
      </c>
      <c r="F32" s="806">
        <v>1699</v>
      </c>
    </row>
    <row r="34" spans="1:6">
      <c r="A34" s="803" t="s">
        <v>904</v>
      </c>
    </row>
    <row r="35" spans="1:6">
      <c r="A35" s="803" t="s">
        <v>869</v>
      </c>
      <c r="B35" s="803" t="s">
        <v>905</v>
      </c>
    </row>
    <row r="37" spans="1:6">
      <c r="A37" s="803" t="s">
        <v>1064</v>
      </c>
      <c r="B37" s="803" t="s">
        <v>1071</v>
      </c>
    </row>
    <row r="38" spans="1:6">
      <c r="A38" s="803" t="s">
        <v>855</v>
      </c>
      <c r="B38" s="803" t="s">
        <v>856</v>
      </c>
    </row>
    <row r="39" spans="1:6">
      <c r="A39" s="803" t="s">
        <v>1066</v>
      </c>
      <c r="B39" s="803" t="s">
        <v>1067</v>
      </c>
    </row>
    <row r="41" spans="1:6">
      <c r="A41" s="805" t="s">
        <v>824</v>
      </c>
      <c r="B41" s="805" t="s">
        <v>863</v>
      </c>
      <c r="C41" s="805" t="s">
        <v>864</v>
      </c>
      <c r="D41" s="805" t="s">
        <v>865</v>
      </c>
      <c r="E41" s="805" t="s">
        <v>866</v>
      </c>
      <c r="F41" s="805" t="s">
        <v>1068</v>
      </c>
    </row>
    <row r="42" spans="1:6">
      <c r="A42" s="805" t="s">
        <v>128</v>
      </c>
      <c r="B42" s="807" t="s">
        <v>869</v>
      </c>
      <c r="C42" s="807" t="s">
        <v>869</v>
      </c>
      <c r="D42" s="807" t="s">
        <v>869</v>
      </c>
      <c r="E42" s="807" t="s">
        <v>869</v>
      </c>
      <c r="F42" s="807" t="s">
        <v>869</v>
      </c>
    </row>
    <row r="44" spans="1:6">
      <c r="A44" s="803" t="s">
        <v>904</v>
      </c>
    </row>
    <row r="45" spans="1:6">
      <c r="A45" s="803" t="s">
        <v>869</v>
      </c>
      <c r="B45" s="803" t="s">
        <v>905</v>
      </c>
    </row>
    <row r="47" spans="1:6">
      <c r="A47" s="803" t="s">
        <v>1064</v>
      </c>
      <c r="B47" s="803" t="s">
        <v>1071</v>
      </c>
    </row>
    <row r="48" spans="1:6">
      <c r="A48" s="803" t="s">
        <v>855</v>
      </c>
      <c r="B48" s="803" t="s">
        <v>856</v>
      </c>
    </row>
    <row r="49" spans="1:6">
      <c r="A49" s="803" t="s">
        <v>1066</v>
      </c>
      <c r="B49" s="803" t="s">
        <v>1069</v>
      </c>
    </row>
    <row r="51" spans="1:6">
      <c r="A51" s="805" t="s">
        <v>824</v>
      </c>
      <c r="B51" s="805" t="s">
        <v>863</v>
      </c>
      <c r="C51" s="805" t="s">
        <v>864</v>
      </c>
      <c r="D51" s="805" t="s">
        <v>865</v>
      </c>
      <c r="E51" s="805" t="s">
        <v>866</v>
      </c>
      <c r="F51" s="805" t="s">
        <v>1068</v>
      </c>
    </row>
    <row r="52" spans="1:6">
      <c r="A52" s="805" t="s">
        <v>128</v>
      </c>
      <c r="B52" s="806">
        <v>65815</v>
      </c>
      <c r="C52" s="806">
        <v>67310</v>
      </c>
      <c r="D52" s="806">
        <v>69129</v>
      </c>
      <c r="E52" s="806">
        <v>66029</v>
      </c>
      <c r="F52" s="806">
        <v>70252</v>
      </c>
    </row>
    <row r="54" spans="1:6">
      <c r="A54" s="803" t="s">
        <v>904</v>
      </c>
    </row>
    <row r="55" spans="1:6">
      <c r="A55" s="803" t="s">
        <v>869</v>
      </c>
      <c r="B55" s="803" t="s">
        <v>905</v>
      </c>
    </row>
    <row r="57" spans="1:6">
      <c r="A57" s="803" t="s">
        <v>1064</v>
      </c>
      <c r="B57" s="803" t="s">
        <v>1071</v>
      </c>
    </row>
    <row r="58" spans="1:6">
      <c r="A58" s="803" t="s">
        <v>855</v>
      </c>
      <c r="B58" s="803" t="s">
        <v>856</v>
      </c>
    </row>
    <row r="59" spans="1:6">
      <c r="A59" s="803" t="s">
        <v>1066</v>
      </c>
      <c r="B59" s="803" t="s">
        <v>1070</v>
      </c>
    </row>
    <row r="61" spans="1:6">
      <c r="A61" s="805" t="s">
        <v>824</v>
      </c>
      <c r="B61" s="805" t="s">
        <v>863</v>
      </c>
      <c r="C61" s="805" t="s">
        <v>864</v>
      </c>
      <c r="D61" s="805" t="s">
        <v>865</v>
      </c>
      <c r="E61" s="805" t="s">
        <v>866</v>
      </c>
      <c r="F61" s="805" t="s">
        <v>1068</v>
      </c>
    </row>
    <row r="62" spans="1:6">
      <c r="A62" s="805" t="s">
        <v>128</v>
      </c>
      <c r="B62" s="807" t="s">
        <v>869</v>
      </c>
      <c r="C62" s="807" t="s">
        <v>869</v>
      </c>
      <c r="D62" s="807" t="s">
        <v>869</v>
      </c>
      <c r="E62" s="807" t="s">
        <v>869</v>
      </c>
      <c r="F62" s="807" t="s">
        <v>869</v>
      </c>
    </row>
    <row r="64" spans="1:6">
      <c r="A64" s="803" t="s">
        <v>904</v>
      </c>
    </row>
    <row r="65" spans="1:9">
      <c r="A65" s="803" t="s">
        <v>869</v>
      </c>
      <c r="B65" s="803" t="s">
        <v>905</v>
      </c>
    </row>
    <row r="70" spans="1:9">
      <c r="A70" s="808" t="s">
        <v>1074</v>
      </c>
      <c r="B70" s="114"/>
      <c r="C70" s="114"/>
      <c r="D70" s="114"/>
      <c r="E70" s="114"/>
      <c r="F70" s="114"/>
      <c r="G70" s="809"/>
    </row>
    <row r="71" spans="1:9">
      <c r="A71" s="865" t="s">
        <v>1075</v>
      </c>
      <c r="B71" s="811" t="s">
        <v>1076</v>
      </c>
      <c r="C71" s="811" t="s">
        <v>1077</v>
      </c>
      <c r="D71" s="811" t="s">
        <v>1078</v>
      </c>
      <c r="E71" s="811" t="s">
        <v>1079</v>
      </c>
      <c r="F71" s="812" t="s">
        <v>1080</v>
      </c>
      <c r="G71" s="865" t="s">
        <v>1081</v>
      </c>
      <c r="H71" s="82" t="s">
        <v>1119</v>
      </c>
    </row>
    <row r="72" spans="1:9">
      <c r="A72" s="866"/>
      <c r="B72" s="867" t="s">
        <v>1082</v>
      </c>
      <c r="C72" s="868"/>
      <c r="D72" s="868"/>
      <c r="E72" s="868"/>
      <c r="F72" s="869"/>
      <c r="G72" s="866"/>
      <c r="H72" s="82" t="s">
        <v>1119</v>
      </c>
    </row>
    <row r="73" spans="1:9">
      <c r="A73" s="813" t="s">
        <v>1083</v>
      </c>
      <c r="B73" s="814"/>
      <c r="C73" s="814"/>
      <c r="D73" s="814"/>
      <c r="E73" s="814"/>
      <c r="F73" s="814"/>
      <c r="G73" s="815"/>
      <c r="H73" s="82" t="s">
        <v>1119</v>
      </c>
    </row>
    <row r="74" spans="1:9">
      <c r="A74" s="816" t="s">
        <v>1084</v>
      </c>
      <c r="B74" s="817">
        <v>61.4</v>
      </c>
      <c r="C74" s="818">
        <v>58.6</v>
      </c>
      <c r="D74" s="818">
        <v>44.3</v>
      </c>
      <c r="E74" s="818">
        <v>35.1</v>
      </c>
      <c r="F74" s="818">
        <v>33.6</v>
      </c>
      <c r="G74" s="818">
        <v>46.6</v>
      </c>
      <c r="H74" s="82" t="s">
        <v>1119</v>
      </c>
      <c r="I74">
        <f>G74/100</f>
        <v>0.46600000000000003</v>
      </c>
    </row>
    <row r="75" spans="1:9">
      <c r="A75" s="819" t="s">
        <v>1085</v>
      </c>
      <c r="B75" s="820"/>
      <c r="C75" s="821"/>
      <c r="D75" s="821"/>
      <c r="E75" s="821"/>
      <c r="F75" s="821"/>
      <c r="G75" s="821"/>
      <c r="H75" s="82" t="s">
        <v>1119</v>
      </c>
      <c r="I75">
        <f t="shared" ref="I75:I138" si="1">G75/100</f>
        <v>0</v>
      </c>
    </row>
    <row r="76" spans="1:9">
      <c r="A76" s="822" t="s">
        <v>1086</v>
      </c>
      <c r="B76" s="821">
        <v>62.4</v>
      </c>
      <c r="C76" s="821">
        <v>61.3</v>
      </c>
      <c r="D76" s="821">
        <v>47.7</v>
      </c>
      <c r="E76" s="821">
        <v>53.2</v>
      </c>
      <c r="F76" s="821">
        <v>58.1</v>
      </c>
      <c r="G76" s="821">
        <v>55.7</v>
      </c>
      <c r="H76" s="82" t="s">
        <v>1119</v>
      </c>
      <c r="I76">
        <f t="shared" si="1"/>
        <v>0.55700000000000005</v>
      </c>
    </row>
    <row r="77" spans="1:9">
      <c r="A77" s="822" t="s">
        <v>1087</v>
      </c>
      <c r="B77" s="820" t="s">
        <v>1088</v>
      </c>
      <c r="C77" s="821">
        <v>58.4</v>
      </c>
      <c r="D77" s="821">
        <v>45.9</v>
      </c>
      <c r="E77" s="821">
        <v>41.2</v>
      </c>
      <c r="F77" s="821">
        <v>32.5</v>
      </c>
      <c r="G77" s="821">
        <v>47</v>
      </c>
      <c r="H77" s="82" t="s">
        <v>1119</v>
      </c>
      <c r="I77">
        <f t="shared" si="1"/>
        <v>0.47</v>
      </c>
    </row>
    <row r="78" spans="1:9">
      <c r="A78" s="823" t="s">
        <v>1089</v>
      </c>
      <c r="B78" s="820" t="s">
        <v>1088</v>
      </c>
      <c r="C78" s="821">
        <v>52.6</v>
      </c>
      <c r="D78" s="821">
        <v>30.4</v>
      </c>
      <c r="E78" s="821">
        <v>25</v>
      </c>
      <c r="F78" s="821" t="s">
        <v>1088</v>
      </c>
      <c r="G78" s="821">
        <v>32.200000000000003</v>
      </c>
      <c r="H78" s="82" t="s">
        <v>1119</v>
      </c>
      <c r="I78">
        <f t="shared" si="1"/>
        <v>0.32200000000000001</v>
      </c>
    </row>
    <row r="79" spans="1:9">
      <c r="A79" s="823" t="s">
        <v>1090</v>
      </c>
      <c r="B79" s="820" t="s">
        <v>1088</v>
      </c>
      <c r="C79" s="820" t="s">
        <v>1088</v>
      </c>
      <c r="D79" s="821">
        <v>42.3</v>
      </c>
      <c r="E79" s="821">
        <v>14.2</v>
      </c>
      <c r="F79" s="821" t="s">
        <v>1088</v>
      </c>
      <c r="G79" s="821">
        <v>21</v>
      </c>
      <c r="H79" s="82" t="s">
        <v>1119</v>
      </c>
      <c r="I79">
        <f t="shared" si="1"/>
        <v>0.21</v>
      </c>
    </row>
    <row r="80" spans="1:9">
      <c r="A80" s="823" t="s">
        <v>1091</v>
      </c>
      <c r="B80" s="820">
        <v>36.9</v>
      </c>
      <c r="C80" s="821">
        <v>60</v>
      </c>
      <c r="D80" s="821">
        <v>40.9</v>
      </c>
      <c r="E80" s="821">
        <v>32.1</v>
      </c>
      <c r="F80" s="821">
        <v>24</v>
      </c>
      <c r="G80" s="821">
        <v>40</v>
      </c>
      <c r="H80" s="82" t="s">
        <v>1119</v>
      </c>
      <c r="I80">
        <f t="shared" si="1"/>
        <v>0.4</v>
      </c>
    </row>
    <row r="81" spans="1:9">
      <c r="A81" s="823" t="s">
        <v>1092</v>
      </c>
      <c r="B81" s="820" t="s">
        <v>1088</v>
      </c>
      <c r="C81" s="821">
        <v>68.400000000000006</v>
      </c>
      <c r="D81" s="821">
        <v>50.5</v>
      </c>
      <c r="E81" s="821">
        <v>39.6</v>
      </c>
      <c r="F81" s="821">
        <v>32.4</v>
      </c>
      <c r="G81" s="821">
        <v>53.5</v>
      </c>
      <c r="H81" s="82" t="s">
        <v>1119</v>
      </c>
      <c r="I81">
        <f t="shared" si="1"/>
        <v>0.53500000000000003</v>
      </c>
    </row>
    <row r="82" spans="1:9">
      <c r="A82" s="813" t="s">
        <v>1093</v>
      </c>
      <c r="B82" s="820"/>
      <c r="C82" s="821"/>
      <c r="D82" s="821"/>
      <c r="E82" s="821"/>
      <c r="F82" s="821"/>
      <c r="G82" s="821"/>
      <c r="H82" s="82" t="s">
        <v>1119</v>
      </c>
      <c r="I82">
        <f t="shared" si="1"/>
        <v>0</v>
      </c>
    </row>
    <row r="83" spans="1:9">
      <c r="A83" s="816" t="s">
        <v>1084</v>
      </c>
      <c r="B83" s="817">
        <v>60.4</v>
      </c>
      <c r="C83" s="817">
        <v>57.3</v>
      </c>
      <c r="D83" s="817">
        <v>41.9</v>
      </c>
      <c r="E83" s="817">
        <v>33.6</v>
      </c>
      <c r="F83" s="817">
        <v>32.799999999999997</v>
      </c>
      <c r="G83" s="817">
        <v>45.1</v>
      </c>
      <c r="H83" s="82" t="s">
        <v>1119</v>
      </c>
      <c r="I83">
        <f t="shared" si="1"/>
        <v>0.45100000000000001</v>
      </c>
    </row>
    <row r="84" spans="1:9">
      <c r="A84" s="819" t="s">
        <v>1085</v>
      </c>
      <c r="B84" s="820"/>
      <c r="C84" s="821"/>
      <c r="D84" s="821"/>
      <c r="E84" s="821"/>
      <c r="F84" s="821"/>
      <c r="G84" s="821"/>
      <c r="H84" s="82" t="s">
        <v>1119</v>
      </c>
      <c r="I84">
        <f t="shared" si="1"/>
        <v>0</v>
      </c>
    </row>
    <row r="85" spans="1:9">
      <c r="A85" s="822" t="s">
        <v>1086</v>
      </c>
      <c r="B85" s="820">
        <v>61.4</v>
      </c>
      <c r="C85" s="821">
        <v>57.4</v>
      </c>
      <c r="D85" s="821">
        <v>45.3</v>
      </c>
      <c r="E85" s="821">
        <v>53.2</v>
      </c>
      <c r="F85" s="821">
        <v>51.9</v>
      </c>
      <c r="G85" s="821">
        <v>53.2</v>
      </c>
      <c r="H85" s="82" t="s">
        <v>1119</v>
      </c>
      <c r="I85">
        <f t="shared" si="1"/>
        <v>0.53200000000000003</v>
      </c>
    </row>
    <row r="86" spans="1:9">
      <c r="A86" s="822" t="s">
        <v>1087</v>
      </c>
      <c r="B86" s="820" t="s">
        <v>1088</v>
      </c>
      <c r="C86" s="821">
        <v>65.3</v>
      </c>
      <c r="D86" s="821">
        <v>45.3</v>
      </c>
      <c r="E86" s="821">
        <v>38.200000000000003</v>
      </c>
      <c r="F86" s="821">
        <v>30.2</v>
      </c>
      <c r="G86" s="821">
        <v>47.2</v>
      </c>
      <c r="H86" s="82" t="s">
        <v>1119</v>
      </c>
      <c r="I86">
        <f t="shared" si="1"/>
        <v>0.47200000000000003</v>
      </c>
    </row>
    <row r="87" spans="1:9">
      <c r="A87" s="823" t="s">
        <v>1089</v>
      </c>
      <c r="B87" s="820" t="s">
        <v>1088</v>
      </c>
      <c r="C87" s="821">
        <v>43.6</v>
      </c>
      <c r="D87" s="821">
        <v>28.1</v>
      </c>
      <c r="E87" s="821">
        <v>30.3</v>
      </c>
      <c r="F87" s="824" t="s">
        <v>1088</v>
      </c>
      <c r="G87" s="821">
        <v>30.9</v>
      </c>
      <c r="H87" s="82" t="s">
        <v>1119</v>
      </c>
      <c r="I87">
        <f t="shared" si="1"/>
        <v>0.309</v>
      </c>
    </row>
    <row r="88" spans="1:9">
      <c r="A88" s="823" t="s">
        <v>1090</v>
      </c>
      <c r="B88" s="820" t="s">
        <v>1088</v>
      </c>
      <c r="C88" s="820" t="s">
        <v>1088</v>
      </c>
      <c r="D88" s="821">
        <v>35.200000000000003</v>
      </c>
      <c r="E88" s="821">
        <v>11.3</v>
      </c>
      <c r="F88" s="821">
        <v>5.5</v>
      </c>
      <c r="G88" s="821">
        <v>17</v>
      </c>
      <c r="H88" s="82" t="s">
        <v>1119</v>
      </c>
      <c r="I88">
        <f t="shared" si="1"/>
        <v>0.17</v>
      </c>
    </row>
    <row r="89" spans="1:9">
      <c r="A89" s="823" t="s">
        <v>1091</v>
      </c>
      <c r="B89" s="821">
        <v>31.8</v>
      </c>
      <c r="C89" s="821">
        <v>60.1</v>
      </c>
      <c r="D89" s="821">
        <v>38.6</v>
      </c>
      <c r="E89" s="821">
        <v>32</v>
      </c>
      <c r="F89" s="821">
        <v>22.8</v>
      </c>
      <c r="G89" s="821">
        <v>38.4</v>
      </c>
      <c r="H89" s="82" t="s">
        <v>1119</v>
      </c>
      <c r="I89">
        <f t="shared" si="1"/>
        <v>0.38400000000000001</v>
      </c>
    </row>
    <row r="90" spans="1:9">
      <c r="A90" s="823" t="s">
        <v>1092</v>
      </c>
      <c r="B90" s="820" t="s">
        <v>1088</v>
      </c>
      <c r="C90" s="821">
        <v>60.7</v>
      </c>
      <c r="D90" s="821">
        <v>43.3</v>
      </c>
      <c r="E90" s="821">
        <v>56.8</v>
      </c>
      <c r="F90" s="821">
        <v>37.700000000000003</v>
      </c>
      <c r="G90" s="821">
        <v>50.3</v>
      </c>
      <c r="H90" s="82" t="s">
        <v>1119</v>
      </c>
      <c r="I90">
        <f t="shared" si="1"/>
        <v>0.503</v>
      </c>
    </row>
    <row r="91" spans="1:9">
      <c r="A91" s="813" t="s">
        <v>1094</v>
      </c>
      <c r="B91" s="824"/>
      <c r="C91" s="824"/>
      <c r="D91" s="824"/>
      <c r="E91" s="824"/>
      <c r="F91" s="824"/>
      <c r="G91" s="824"/>
      <c r="H91" s="82" t="s">
        <v>1119</v>
      </c>
      <c r="I91">
        <f t="shared" si="1"/>
        <v>0</v>
      </c>
    </row>
    <row r="92" spans="1:9">
      <c r="A92" s="816" t="s">
        <v>1084</v>
      </c>
      <c r="B92" s="817">
        <v>55.1</v>
      </c>
      <c r="C92" s="817">
        <v>54.9</v>
      </c>
      <c r="D92" s="818">
        <v>41</v>
      </c>
      <c r="E92" s="817">
        <v>31.1</v>
      </c>
      <c r="F92" s="817">
        <v>30.8</v>
      </c>
      <c r="G92" s="817">
        <v>43.7</v>
      </c>
      <c r="H92" s="82" t="s">
        <v>1119</v>
      </c>
      <c r="I92">
        <f t="shared" si="1"/>
        <v>0.43700000000000006</v>
      </c>
    </row>
    <row r="93" spans="1:9">
      <c r="A93" s="819" t="s">
        <v>1085</v>
      </c>
      <c r="B93" s="824"/>
      <c r="C93" s="824"/>
      <c r="D93" s="824"/>
      <c r="E93" s="824"/>
      <c r="F93" s="824"/>
      <c r="G93" s="824"/>
      <c r="H93" s="82" t="s">
        <v>1119</v>
      </c>
      <c r="I93">
        <f t="shared" si="1"/>
        <v>0</v>
      </c>
    </row>
    <row r="94" spans="1:9">
      <c r="A94" s="822" t="s">
        <v>1086</v>
      </c>
      <c r="B94" s="821">
        <v>55.7</v>
      </c>
      <c r="C94" s="821">
        <v>56.9</v>
      </c>
      <c r="D94" s="821">
        <v>43.9</v>
      </c>
      <c r="E94" s="821">
        <v>52.5</v>
      </c>
      <c r="F94" s="821">
        <v>44.3</v>
      </c>
      <c r="G94" s="821">
        <v>51.5</v>
      </c>
      <c r="H94" s="82" t="s">
        <v>1119</v>
      </c>
      <c r="I94">
        <f t="shared" si="1"/>
        <v>0.51500000000000001</v>
      </c>
    </row>
    <row r="95" spans="1:9">
      <c r="A95" s="822" t="s">
        <v>1087</v>
      </c>
      <c r="B95" s="821" t="s">
        <v>1088</v>
      </c>
      <c r="C95" s="821">
        <v>55.9</v>
      </c>
      <c r="D95" s="821">
        <v>44.8</v>
      </c>
      <c r="E95" s="821">
        <v>32.299999999999997</v>
      </c>
      <c r="F95" s="821">
        <v>28.9</v>
      </c>
      <c r="G95" s="821">
        <v>44.3</v>
      </c>
      <c r="H95" s="82" t="s">
        <v>1119</v>
      </c>
      <c r="I95">
        <f t="shared" si="1"/>
        <v>0.44299999999999995</v>
      </c>
    </row>
    <row r="96" spans="1:9">
      <c r="A96" s="823" t="s">
        <v>1089</v>
      </c>
      <c r="B96" s="821" t="s">
        <v>1088</v>
      </c>
      <c r="C96" s="821">
        <v>38.200000000000003</v>
      </c>
      <c r="D96" s="821">
        <v>30.3</v>
      </c>
      <c r="E96" s="821">
        <v>30.3</v>
      </c>
      <c r="F96" s="821" t="s">
        <v>1088</v>
      </c>
      <c r="G96" s="821">
        <v>31.6</v>
      </c>
      <c r="H96" s="82" t="s">
        <v>1119</v>
      </c>
      <c r="I96">
        <f t="shared" si="1"/>
        <v>0.316</v>
      </c>
    </row>
    <row r="97" spans="1:9">
      <c r="A97" s="823" t="s">
        <v>1090</v>
      </c>
      <c r="B97" s="821" t="s">
        <v>1088</v>
      </c>
      <c r="C97" s="821" t="s">
        <v>1088</v>
      </c>
      <c r="D97" s="821">
        <v>17.2</v>
      </c>
      <c r="E97" s="821">
        <v>17.8</v>
      </c>
      <c r="F97" s="821">
        <v>11.1</v>
      </c>
      <c r="G97" s="821">
        <v>17.399999999999999</v>
      </c>
      <c r="H97" s="82" t="s">
        <v>1119</v>
      </c>
      <c r="I97">
        <f t="shared" si="1"/>
        <v>0.17399999999999999</v>
      </c>
    </row>
    <row r="98" spans="1:9">
      <c r="A98" s="823" t="s">
        <v>1091</v>
      </c>
      <c r="B98" s="821">
        <v>33.9</v>
      </c>
      <c r="C98" s="821">
        <v>56.8</v>
      </c>
      <c r="D98" s="821">
        <v>35.9</v>
      </c>
      <c r="E98" s="821">
        <v>30.5</v>
      </c>
      <c r="F98" s="821">
        <v>31</v>
      </c>
      <c r="G98" s="821">
        <v>36</v>
      </c>
      <c r="H98" s="82" t="s">
        <v>1119</v>
      </c>
      <c r="I98">
        <f t="shared" si="1"/>
        <v>0.36</v>
      </c>
    </row>
    <row r="99" spans="1:9">
      <c r="A99" s="823" t="s">
        <v>1092</v>
      </c>
      <c r="B99" s="821" t="s">
        <v>1088</v>
      </c>
      <c r="C99" s="821">
        <v>60.4</v>
      </c>
      <c r="D99" s="821">
        <v>42.8</v>
      </c>
      <c r="E99" s="821">
        <v>56.6</v>
      </c>
      <c r="F99" s="821">
        <v>40.200000000000003</v>
      </c>
      <c r="G99" s="821">
        <v>50.3</v>
      </c>
      <c r="H99" s="82" t="s">
        <v>1119</v>
      </c>
      <c r="I99">
        <f t="shared" si="1"/>
        <v>0.503</v>
      </c>
    </row>
    <row r="100" spans="1:9">
      <c r="A100" s="813" t="s">
        <v>1095</v>
      </c>
      <c r="B100" s="824"/>
      <c r="C100" s="824"/>
      <c r="D100" s="824"/>
      <c r="E100" s="824"/>
      <c r="F100" s="824"/>
      <c r="G100" s="824"/>
      <c r="H100" s="82" t="s">
        <v>1119</v>
      </c>
      <c r="I100">
        <f t="shared" si="1"/>
        <v>0</v>
      </c>
    </row>
    <row r="101" spans="1:9">
      <c r="A101" s="816" t="s">
        <v>1084</v>
      </c>
      <c r="B101" s="817">
        <v>60.5</v>
      </c>
      <c r="C101" s="817">
        <v>58.2</v>
      </c>
      <c r="D101" s="817">
        <v>42.6</v>
      </c>
      <c r="E101" s="817">
        <v>28.8</v>
      </c>
      <c r="F101" s="817">
        <v>31.6</v>
      </c>
      <c r="G101" s="817">
        <v>46.4</v>
      </c>
      <c r="H101" s="82" t="s">
        <v>1119</v>
      </c>
      <c r="I101">
        <f t="shared" si="1"/>
        <v>0.46399999999999997</v>
      </c>
    </row>
    <row r="102" spans="1:9">
      <c r="A102" s="822" t="s">
        <v>1085</v>
      </c>
      <c r="B102" s="824"/>
      <c r="C102" s="824"/>
      <c r="D102" s="824"/>
      <c r="E102" s="824"/>
      <c r="F102" s="824"/>
      <c r="G102" s="824"/>
      <c r="H102" s="82" t="s">
        <v>1119</v>
      </c>
      <c r="I102">
        <f t="shared" si="1"/>
        <v>0</v>
      </c>
    </row>
    <row r="103" spans="1:9">
      <c r="A103" s="825" t="s">
        <v>1086</v>
      </c>
      <c r="B103" s="821">
        <v>62.3</v>
      </c>
      <c r="C103" s="821">
        <v>65.900000000000006</v>
      </c>
      <c r="D103" s="821">
        <v>51.3</v>
      </c>
      <c r="E103" s="821">
        <v>47.5</v>
      </c>
      <c r="F103" s="821">
        <v>55.5</v>
      </c>
      <c r="G103" s="821">
        <v>59.3</v>
      </c>
      <c r="H103" s="82" t="s">
        <v>1119</v>
      </c>
      <c r="I103">
        <f t="shared" si="1"/>
        <v>0.59299999999999997</v>
      </c>
    </row>
    <row r="104" spans="1:9">
      <c r="A104" s="825" t="s">
        <v>1096</v>
      </c>
      <c r="B104" s="821" t="s">
        <v>1088</v>
      </c>
      <c r="C104" s="821">
        <v>51.1</v>
      </c>
      <c r="D104" s="821">
        <v>44</v>
      </c>
      <c r="E104" s="821">
        <v>29.8</v>
      </c>
      <c r="F104" s="821">
        <v>25</v>
      </c>
      <c r="G104" s="821">
        <v>43.1</v>
      </c>
      <c r="H104" s="82" t="s">
        <v>1119</v>
      </c>
      <c r="I104">
        <f t="shared" si="1"/>
        <v>0.43099999999999999</v>
      </c>
    </row>
    <row r="105" spans="1:9">
      <c r="A105" s="825" t="s">
        <v>1085</v>
      </c>
      <c r="B105" s="821"/>
      <c r="C105" s="821"/>
      <c r="D105" s="821"/>
      <c r="E105" s="821"/>
      <c r="F105" s="821"/>
      <c r="G105" s="821"/>
      <c r="H105" s="82" t="s">
        <v>1119</v>
      </c>
      <c r="I105">
        <f t="shared" si="1"/>
        <v>0</v>
      </c>
    </row>
    <row r="106" spans="1:9">
      <c r="A106" s="825" t="s">
        <v>1097</v>
      </c>
      <c r="B106" s="821" t="s">
        <v>1088</v>
      </c>
      <c r="C106" s="821">
        <v>50.8</v>
      </c>
      <c r="D106" s="821">
        <v>43.8</v>
      </c>
      <c r="E106" s="821">
        <v>29.6</v>
      </c>
      <c r="F106" s="821">
        <v>25</v>
      </c>
      <c r="G106" s="821">
        <v>42.5</v>
      </c>
      <c r="H106" s="82" t="s">
        <v>1119</v>
      </c>
      <c r="I106">
        <f t="shared" si="1"/>
        <v>0.42499999999999999</v>
      </c>
    </row>
    <row r="107" spans="1:9">
      <c r="A107" s="822" t="s">
        <v>1098</v>
      </c>
      <c r="B107" s="821" t="s">
        <v>1088</v>
      </c>
      <c r="C107" s="821">
        <v>46.5</v>
      </c>
      <c r="D107" s="821">
        <v>28.3</v>
      </c>
      <c r="E107" s="821">
        <v>37.200000000000003</v>
      </c>
      <c r="F107" s="821">
        <v>19.8</v>
      </c>
      <c r="G107" s="821">
        <v>35.799999999999997</v>
      </c>
      <c r="H107" s="82" t="s">
        <v>1119</v>
      </c>
      <c r="I107">
        <f t="shared" si="1"/>
        <v>0.35799999999999998</v>
      </c>
    </row>
    <row r="108" spans="1:9">
      <c r="A108" s="822" t="s">
        <v>1099</v>
      </c>
      <c r="B108" s="821">
        <v>33.9</v>
      </c>
      <c r="C108" s="821">
        <v>47</v>
      </c>
      <c r="D108" s="821">
        <v>36.799999999999997</v>
      </c>
      <c r="E108" s="821">
        <v>20.5</v>
      </c>
      <c r="F108" s="821">
        <v>21.2</v>
      </c>
      <c r="G108" s="821">
        <v>35</v>
      </c>
      <c r="H108" s="82" t="s">
        <v>1119</v>
      </c>
      <c r="I108">
        <f t="shared" si="1"/>
        <v>0.35</v>
      </c>
    </row>
    <row r="109" spans="1:9">
      <c r="A109" s="822" t="s">
        <v>1100</v>
      </c>
      <c r="B109" s="821" t="s">
        <v>1088</v>
      </c>
      <c r="C109" s="821" t="s">
        <v>1088</v>
      </c>
      <c r="D109" s="821">
        <v>45.6</v>
      </c>
      <c r="E109" s="821">
        <v>27.9</v>
      </c>
      <c r="F109" s="821">
        <v>34.1</v>
      </c>
      <c r="G109" s="821">
        <v>39.799999999999997</v>
      </c>
      <c r="H109" s="82" t="s">
        <v>1119</v>
      </c>
      <c r="I109">
        <f t="shared" si="1"/>
        <v>0.39799999999999996</v>
      </c>
    </row>
    <row r="110" spans="1:9">
      <c r="A110" s="822" t="s">
        <v>1101</v>
      </c>
      <c r="B110" s="821">
        <v>38.4</v>
      </c>
      <c r="C110" s="821">
        <v>58.4</v>
      </c>
      <c r="D110" s="821">
        <v>44.6</v>
      </c>
      <c r="E110" s="821">
        <v>46.7</v>
      </c>
      <c r="F110" s="821">
        <v>39.6</v>
      </c>
      <c r="G110" s="821">
        <v>49.2</v>
      </c>
      <c r="H110" s="82" t="s">
        <v>1119</v>
      </c>
      <c r="I110">
        <f t="shared" si="1"/>
        <v>0.49200000000000005</v>
      </c>
    </row>
    <row r="111" spans="1:9">
      <c r="A111" s="822" t="s">
        <v>1102</v>
      </c>
      <c r="B111" s="821" t="s">
        <v>1088</v>
      </c>
      <c r="C111" s="821">
        <v>6.1</v>
      </c>
      <c r="D111" s="821" t="s">
        <v>1088</v>
      </c>
      <c r="E111" s="821">
        <v>11.4</v>
      </c>
      <c r="F111" s="821">
        <v>24.7</v>
      </c>
      <c r="G111" s="821">
        <v>9.9</v>
      </c>
      <c r="H111" s="82" t="s">
        <v>1119</v>
      </c>
      <c r="I111">
        <f t="shared" si="1"/>
        <v>9.9000000000000005E-2</v>
      </c>
    </row>
    <row r="112" spans="1:9">
      <c r="A112" s="822" t="s">
        <v>1103</v>
      </c>
      <c r="B112" s="821" t="s">
        <v>1088</v>
      </c>
      <c r="C112" s="821" t="s">
        <v>1088</v>
      </c>
      <c r="D112" s="821">
        <v>23.8</v>
      </c>
      <c r="E112" s="821">
        <v>13.1</v>
      </c>
      <c r="F112" s="821">
        <v>13.7</v>
      </c>
      <c r="G112" s="821">
        <v>17.600000000000001</v>
      </c>
      <c r="H112" s="82" t="s">
        <v>1119</v>
      </c>
      <c r="I112">
        <f t="shared" si="1"/>
        <v>0.17600000000000002</v>
      </c>
    </row>
    <row r="113" spans="1:9">
      <c r="A113" s="813" t="s">
        <v>1104</v>
      </c>
      <c r="B113" s="824"/>
      <c r="C113" s="824"/>
      <c r="D113" s="824"/>
      <c r="E113" s="824"/>
      <c r="F113" s="824"/>
      <c r="G113" s="824"/>
      <c r="H113" s="82" t="s">
        <v>1119</v>
      </c>
      <c r="I113">
        <f t="shared" si="1"/>
        <v>0</v>
      </c>
    </row>
    <row r="114" spans="1:9">
      <c r="A114" s="816" t="s">
        <v>1084</v>
      </c>
      <c r="B114" s="826">
        <v>65.400000000000006</v>
      </c>
      <c r="C114" s="826">
        <v>59</v>
      </c>
      <c r="D114" s="826">
        <v>43.8</v>
      </c>
      <c r="E114" s="826">
        <v>28.6</v>
      </c>
      <c r="F114" s="826">
        <v>31.2</v>
      </c>
      <c r="G114" s="826">
        <v>48.1</v>
      </c>
      <c r="H114" s="82" t="s">
        <v>1119</v>
      </c>
      <c r="I114">
        <f t="shared" si="1"/>
        <v>0.48100000000000004</v>
      </c>
    </row>
    <row r="115" spans="1:9">
      <c r="A115" s="822" t="s">
        <v>1085</v>
      </c>
      <c r="B115" s="827"/>
      <c r="C115" s="827"/>
      <c r="D115" s="827"/>
      <c r="E115" s="827"/>
      <c r="F115" s="827"/>
      <c r="G115" s="827"/>
      <c r="H115" s="82" t="s">
        <v>1119</v>
      </c>
      <c r="I115">
        <f t="shared" si="1"/>
        <v>0</v>
      </c>
    </row>
    <row r="116" spans="1:9">
      <c r="A116" s="822" t="s">
        <v>1086</v>
      </c>
      <c r="B116" s="827">
        <v>68.2</v>
      </c>
      <c r="C116" s="827">
        <v>70.099999999999994</v>
      </c>
      <c r="D116" s="827">
        <v>54.5</v>
      </c>
      <c r="E116" s="827">
        <v>50.5</v>
      </c>
      <c r="F116" s="827">
        <v>51.8</v>
      </c>
      <c r="G116" s="827">
        <v>63.6</v>
      </c>
      <c r="H116" s="82" t="s">
        <v>1119</v>
      </c>
      <c r="I116">
        <f t="shared" si="1"/>
        <v>0.63600000000000001</v>
      </c>
    </row>
    <row r="117" spans="1:9">
      <c r="A117" s="822" t="s">
        <v>1096</v>
      </c>
      <c r="B117" s="827" t="s">
        <v>1088</v>
      </c>
      <c r="C117" s="827">
        <v>48.7</v>
      </c>
      <c r="D117" s="827">
        <v>43.7</v>
      </c>
      <c r="E117" s="827">
        <v>27.2</v>
      </c>
      <c r="F117" s="827">
        <v>25.6</v>
      </c>
      <c r="G117" s="827">
        <v>42.5</v>
      </c>
      <c r="H117" s="82" t="s">
        <v>1119</v>
      </c>
      <c r="I117">
        <f t="shared" si="1"/>
        <v>0.42499999999999999</v>
      </c>
    </row>
    <row r="118" spans="1:9">
      <c r="A118" s="819" t="s">
        <v>1105</v>
      </c>
      <c r="B118" s="827"/>
      <c r="C118" s="827"/>
      <c r="D118" s="827"/>
      <c r="E118" s="827"/>
      <c r="F118" s="827"/>
      <c r="G118" s="827"/>
      <c r="H118" s="82" t="s">
        <v>1119</v>
      </c>
      <c r="I118">
        <f t="shared" si="1"/>
        <v>0</v>
      </c>
    </row>
    <row r="119" spans="1:9">
      <c r="A119" s="822" t="s">
        <v>1106</v>
      </c>
      <c r="B119" s="827" t="s">
        <v>1088</v>
      </c>
      <c r="C119" s="827">
        <v>50.5</v>
      </c>
      <c r="D119" s="827">
        <v>43.9</v>
      </c>
      <c r="E119" s="827">
        <v>26.7</v>
      </c>
      <c r="F119" s="827">
        <v>25.7</v>
      </c>
      <c r="G119" s="827">
        <v>42.8</v>
      </c>
      <c r="H119" s="82" t="s">
        <v>1119</v>
      </c>
      <c r="I119">
        <f t="shared" si="1"/>
        <v>0.42799999999999999</v>
      </c>
    </row>
    <row r="120" spans="1:9">
      <c r="A120" s="822" t="s">
        <v>1098</v>
      </c>
      <c r="B120" s="827">
        <v>27.9</v>
      </c>
      <c r="C120" s="827">
        <v>46.5</v>
      </c>
      <c r="D120" s="827">
        <v>23.5</v>
      </c>
      <c r="E120" s="827">
        <v>28.3</v>
      </c>
      <c r="F120" s="827" t="s">
        <v>1088</v>
      </c>
      <c r="G120" s="827">
        <v>32.6</v>
      </c>
      <c r="H120" s="82" t="s">
        <v>1119</v>
      </c>
      <c r="I120">
        <f t="shared" si="1"/>
        <v>0.32600000000000001</v>
      </c>
    </row>
    <row r="121" spans="1:9">
      <c r="A121" s="822" t="s">
        <v>1107</v>
      </c>
      <c r="B121" s="827">
        <v>38.5</v>
      </c>
      <c r="C121" s="827">
        <v>50</v>
      </c>
      <c r="D121" s="827">
        <v>38.200000000000003</v>
      </c>
      <c r="E121" s="827">
        <v>20.399999999999999</v>
      </c>
      <c r="F121" s="827">
        <v>13.6</v>
      </c>
      <c r="G121" s="827">
        <v>36.5</v>
      </c>
      <c r="H121" s="82" t="s">
        <v>1119</v>
      </c>
      <c r="I121">
        <f t="shared" si="1"/>
        <v>0.36499999999999999</v>
      </c>
    </row>
    <row r="122" spans="1:9">
      <c r="A122" s="822" t="s">
        <v>1108</v>
      </c>
      <c r="B122" s="827" t="s">
        <v>1088</v>
      </c>
      <c r="C122" s="827" t="s">
        <v>1088</v>
      </c>
      <c r="D122" s="827">
        <v>40.799999999999997</v>
      </c>
      <c r="E122" s="827">
        <v>29.8</v>
      </c>
      <c r="F122" s="827">
        <v>17.399999999999999</v>
      </c>
      <c r="G122" s="827">
        <v>37.200000000000003</v>
      </c>
      <c r="H122" s="82" t="s">
        <v>1119</v>
      </c>
      <c r="I122">
        <f t="shared" si="1"/>
        <v>0.37200000000000005</v>
      </c>
    </row>
    <row r="123" spans="1:9">
      <c r="A123" s="822" t="s">
        <v>1109</v>
      </c>
      <c r="B123" s="827">
        <v>42</v>
      </c>
      <c r="C123" s="827">
        <v>58.2</v>
      </c>
      <c r="D123" s="827">
        <v>48.5</v>
      </c>
      <c r="E123" s="827">
        <v>50.3</v>
      </c>
      <c r="F123" s="827">
        <v>46.3</v>
      </c>
      <c r="G123" s="827">
        <v>52</v>
      </c>
      <c r="H123" s="82" t="s">
        <v>1119</v>
      </c>
      <c r="I123">
        <f t="shared" si="1"/>
        <v>0.52</v>
      </c>
    </row>
    <row r="124" spans="1:9">
      <c r="A124" s="822" t="s">
        <v>1102</v>
      </c>
      <c r="B124" s="827" t="s">
        <v>1088</v>
      </c>
      <c r="C124" s="827">
        <v>5.7</v>
      </c>
      <c r="D124" s="827" t="s">
        <v>1088</v>
      </c>
      <c r="E124" s="827">
        <v>12</v>
      </c>
      <c r="F124" s="827">
        <v>5</v>
      </c>
      <c r="G124" s="827">
        <v>7.5</v>
      </c>
      <c r="H124" s="82" t="s">
        <v>1119</v>
      </c>
      <c r="I124">
        <f t="shared" si="1"/>
        <v>7.4999999999999997E-2</v>
      </c>
    </row>
    <row r="125" spans="1:9">
      <c r="A125" s="822" t="s">
        <v>1110</v>
      </c>
      <c r="B125" s="827" t="s">
        <v>1088</v>
      </c>
      <c r="C125" s="827">
        <v>37.1</v>
      </c>
      <c r="D125" s="827">
        <v>23.2</v>
      </c>
      <c r="E125" s="827">
        <v>16.600000000000001</v>
      </c>
      <c r="F125" s="827">
        <v>4.3</v>
      </c>
      <c r="G125" s="827">
        <v>24.1</v>
      </c>
      <c r="H125" s="82" t="s">
        <v>1119</v>
      </c>
      <c r="I125">
        <f t="shared" si="1"/>
        <v>0.24100000000000002</v>
      </c>
    </row>
    <row r="126" spans="1:9">
      <c r="A126" s="813" t="s">
        <v>1111</v>
      </c>
      <c r="B126" s="824"/>
      <c r="C126" s="824"/>
      <c r="D126" s="824"/>
      <c r="E126" s="824"/>
      <c r="F126" s="824"/>
      <c r="G126" s="824"/>
      <c r="H126" s="82" t="s">
        <v>1119</v>
      </c>
      <c r="I126">
        <f t="shared" si="1"/>
        <v>0</v>
      </c>
    </row>
    <row r="127" spans="1:9">
      <c r="A127" s="816" t="s">
        <v>1084</v>
      </c>
      <c r="B127" s="826">
        <v>65.3</v>
      </c>
      <c r="C127" s="826">
        <v>57</v>
      </c>
      <c r="D127" s="826">
        <v>44.2</v>
      </c>
      <c r="E127" s="826">
        <v>27.8</v>
      </c>
      <c r="F127" s="826">
        <v>34.1</v>
      </c>
      <c r="G127" s="826">
        <v>47.9</v>
      </c>
      <c r="H127" s="82" t="s">
        <v>1119</v>
      </c>
      <c r="I127">
        <f t="shared" si="1"/>
        <v>0.47899999999999998</v>
      </c>
    </row>
    <row r="128" spans="1:9">
      <c r="A128" s="819" t="s">
        <v>1085</v>
      </c>
      <c r="B128" s="828"/>
      <c r="C128" s="828"/>
      <c r="D128" s="828"/>
      <c r="E128" s="828"/>
      <c r="F128" s="828"/>
      <c r="G128" s="828"/>
      <c r="H128" s="82" t="s">
        <v>1119</v>
      </c>
      <c r="I128">
        <f t="shared" si="1"/>
        <v>0</v>
      </c>
    </row>
    <row r="129" spans="1:9">
      <c r="A129" s="822" t="s">
        <v>1086</v>
      </c>
      <c r="B129" s="828">
        <v>67.900000000000006</v>
      </c>
      <c r="C129" s="828">
        <v>66.2</v>
      </c>
      <c r="D129" s="828">
        <v>51.6</v>
      </c>
      <c r="E129" s="828">
        <v>22.8</v>
      </c>
      <c r="F129" s="828">
        <v>42.6</v>
      </c>
      <c r="G129" s="828">
        <v>59.1</v>
      </c>
      <c r="H129" s="82" t="s">
        <v>1119</v>
      </c>
      <c r="I129">
        <f t="shared" si="1"/>
        <v>0.59099999999999997</v>
      </c>
    </row>
    <row r="130" spans="1:9">
      <c r="A130" s="822" t="s">
        <v>1096</v>
      </c>
      <c r="B130" s="828" t="s">
        <v>1088</v>
      </c>
      <c r="C130" s="828">
        <v>51.1</v>
      </c>
      <c r="D130" s="828">
        <v>42.7</v>
      </c>
      <c r="E130" s="828">
        <v>29.8</v>
      </c>
      <c r="F130" s="828">
        <v>30.4</v>
      </c>
      <c r="G130" s="828">
        <v>43.9</v>
      </c>
      <c r="H130" s="82" t="s">
        <v>1119</v>
      </c>
      <c r="I130">
        <f t="shared" si="1"/>
        <v>0.439</v>
      </c>
    </row>
    <row r="131" spans="1:9">
      <c r="A131" s="819" t="s">
        <v>1105</v>
      </c>
      <c r="B131" s="828"/>
      <c r="C131" s="828"/>
      <c r="D131" s="828"/>
      <c r="E131" s="828"/>
      <c r="F131" s="828"/>
      <c r="G131" s="828"/>
      <c r="H131" s="82" t="s">
        <v>1119</v>
      </c>
      <c r="I131">
        <f t="shared" si="1"/>
        <v>0</v>
      </c>
    </row>
    <row r="132" spans="1:9">
      <c r="A132" s="822" t="s">
        <v>1106</v>
      </c>
      <c r="B132" s="828" t="s">
        <v>1088</v>
      </c>
      <c r="C132" s="828">
        <v>51.4</v>
      </c>
      <c r="D132" s="828">
        <v>41.8</v>
      </c>
      <c r="E132" s="828">
        <v>28.8</v>
      </c>
      <c r="F132" s="828">
        <v>30.4</v>
      </c>
      <c r="G132" s="828">
        <v>43</v>
      </c>
      <c r="H132" s="82" t="s">
        <v>1119</v>
      </c>
      <c r="I132">
        <f t="shared" si="1"/>
        <v>0.43</v>
      </c>
    </row>
    <row r="133" spans="1:9">
      <c r="A133" s="822" t="s">
        <v>1098</v>
      </c>
      <c r="B133" s="828">
        <v>39.4</v>
      </c>
      <c r="C133" s="828">
        <v>47.3</v>
      </c>
      <c r="D133" s="828">
        <v>28.9</v>
      </c>
      <c r="E133" s="828">
        <v>35.799999999999997</v>
      </c>
      <c r="F133" s="828">
        <v>13.6</v>
      </c>
      <c r="G133" s="828">
        <v>36.9</v>
      </c>
      <c r="H133" s="82" t="s">
        <v>1119</v>
      </c>
      <c r="I133">
        <f t="shared" si="1"/>
        <v>0.36899999999999999</v>
      </c>
    </row>
    <row r="134" spans="1:9">
      <c r="A134" s="822" t="s">
        <v>1107</v>
      </c>
      <c r="B134" s="828">
        <v>32.6</v>
      </c>
      <c r="C134" s="828">
        <v>50.9</v>
      </c>
      <c r="D134" s="828">
        <v>41.7</v>
      </c>
      <c r="E134" s="828">
        <v>24.4</v>
      </c>
      <c r="F134" s="828">
        <v>26.8</v>
      </c>
      <c r="G134" s="828">
        <v>40.299999999999997</v>
      </c>
      <c r="H134" s="82" t="s">
        <v>1119</v>
      </c>
      <c r="I134">
        <f t="shared" si="1"/>
        <v>0.40299999999999997</v>
      </c>
    </row>
    <row r="135" spans="1:9">
      <c r="A135" s="822" t="s">
        <v>1108</v>
      </c>
      <c r="B135" s="828" t="s">
        <v>1088</v>
      </c>
      <c r="C135" s="828" t="s">
        <v>1088</v>
      </c>
      <c r="D135" s="828">
        <v>45</v>
      </c>
      <c r="E135" s="828">
        <v>27.9</v>
      </c>
      <c r="F135" s="828">
        <v>16</v>
      </c>
      <c r="G135" s="828">
        <v>41.2</v>
      </c>
      <c r="H135" s="82" t="s">
        <v>1119</v>
      </c>
      <c r="I135">
        <f t="shared" si="1"/>
        <v>0.41200000000000003</v>
      </c>
    </row>
    <row r="136" spans="1:9">
      <c r="A136" s="822" t="s">
        <v>1109</v>
      </c>
      <c r="B136" s="828">
        <v>43.2</v>
      </c>
      <c r="C136" s="828">
        <v>52.5</v>
      </c>
      <c r="D136" s="828">
        <v>49.4</v>
      </c>
      <c r="E136" s="828">
        <v>59.8</v>
      </c>
      <c r="F136" s="828">
        <v>43.3</v>
      </c>
      <c r="G136" s="828">
        <v>50.9</v>
      </c>
      <c r="H136" s="82" t="s">
        <v>1119</v>
      </c>
      <c r="I136">
        <f t="shared" si="1"/>
        <v>0.50900000000000001</v>
      </c>
    </row>
    <row r="137" spans="1:9">
      <c r="A137" s="822" t="s">
        <v>1102</v>
      </c>
      <c r="B137" s="828" t="s">
        <v>1088</v>
      </c>
      <c r="C137" s="828" t="s">
        <v>1088</v>
      </c>
      <c r="D137" s="828" t="s">
        <v>1088</v>
      </c>
      <c r="E137" s="828">
        <v>12.1</v>
      </c>
      <c r="F137" s="828">
        <v>14.7</v>
      </c>
      <c r="G137" s="828">
        <v>12.6</v>
      </c>
      <c r="H137" s="82" t="s">
        <v>1119</v>
      </c>
      <c r="I137">
        <f t="shared" si="1"/>
        <v>0.126</v>
      </c>
    </row>
    <row r="138" spans="1:9">
      <c r="A138" s="822" t="s">
        <v>1110</v>
      </c>
      <c r="B138" s="828" t="s">
        <v>1088</v>
      </c>
      <c r="C138" s="828" t="s">
        <v>1088</v>
      </c>
      <c r="D138" s="828">
        <v>21.9</v>
      </c>
      <c r="E138" s="828">
        <v>18</v>
      </c>
      <c r="F138" s="828">
        <v>40.6</v>
      </c>
      <c r="G138" s="828">
        <v>22.7</v>
      </c>
      <c r="H138" s="82" t="s">
        <v>1119</v>
      </c>
      <c r="I138">
        <f t="shared" si="1"/>
        <v>0.22699999999999998</v>
      </c>
    </row>
    <row r="139" spans="1:9">
      <c r="A139" s="813" t="s">
        <v>1112</v>
      </c>
      <c r="B139" s="114"/>
      <c r="C139" s="114"/>
      <c r="D139" s="114"/>
      <c r="E139" s="114"/>
      <c r="F139" s="114"/>
      <c r="G139" s="114"/>
      <c r="H139" s="82" t="s">
        <v>1119</v>
      </c>
      <c r="I139">
        <f t="shared" ref="I139:I202" si="2">G139/100</f>
        <v>0</v>
      </c>
    </row>
    <row r="140" spans="1:9">
      <c r="A140" s="816" t="s">
        <v>1084</v>
      </c>
      <c r="B140" s="826">
        <v>68.400000000000006</v>
      </c>
      <c r="C140" s="826">
        <v>56.8</v>
      </c>
      <c r="D140" s="826">
        <v>45.9</v>
      </c>
      <c r="E140" s="826">
        <v>31.7</v>
      </c>
      <c r="F140" s="826">
        <v>34.700000000000003</v>
      </c>
      <c r="G140" s="826">
        <v>50.1</v>
      </c>
      <c r="H140" s="82" t="s">
        <v>1119</v>
      </c>
      <c r="I140">
        <f t="shared" si="2"/>
        <v>0.501</v>
      </c>
    </row>
    <row r="141" spans="1:9">
      <c r="A141" s="819" t="s">
        <v>1085</v>
      </c>
      <c r="B141" s="829"/>
      <c r="C141" s="829"/>
      <c r="D141" s="829"/>
      <c r="E141" s="829"/>
      <c r="F141" s="829"/>
      <c r="G141" s="829"/>
      <c r="H141" s="82" t="s">
        <v>1119</v>
      </c>
      <c r="I141">
        <f t="shared" si="2"/>
        <v>0</v>
      </c>
    </row>
    <row r="142" spans="1:9">
      <c r="A142" s="822" t="s">
        <v>1086</v>
      </c>
      <c r="B142" s="828">
        <v>70.8</v>
      </c>
      <c r="C142" s="828">
        <v>65.400000000000006</v>
      </c>
      <c r="D142" s="828">
        <v>51.9</v>
      </c>
      <c r="E142" s="828">
        <v>46.5</v>
      </c>
      <c r="F142" s="828">
        <v>38</v>
      </c>
      <c r="G142" s="828">
        <v>61.2</v>
      </c>
      <c r="H142" s="82" t="s">
        <v>1119</v>
      </c>
      <c r="I142">
        <f t="shared" si="2"/>
        <v>0.61199999999999999</v>
      </c>
    </row>
    <row r="143" spans="1:9">
      <c r="A143" s="822" t="s">
        <v>1096</v>
      </c>
      <c r="B143" s="828">
        <v>71</v>
      </c>
      <c r="C143" s="828">
        <v>50.8</v>
      </c>
      <c r="D143" s="828">
        <v>46.4</v>
      </c>
      <c r="E143" s="828">
        <v>36.700000000000003</v>
      </c>
      <c r="F143" s="828">
        <v>36.200000000000003</v>
      </c>
      <c r="G143" s="828">
        <v>47.7</v>
      </c>
      <c r="H143" s="82" t="s">
        <v>1119</v>
      </c>
      <c r="I143">
        <f t="shared" si="2"/>
        <v>0.47700000000000004</v>
      </c>
    </row>
    <row r="144" spans="1:9">
      <c r="A144" s="819" t="s">
        <v>1105</v>
      </c>
      <c r="B144" s="828"/>
      <c r="C144" s="828"/>
      <c r="D144" s="828"/>
      <c r="E144" s="828"/>
      <c r="F144" s="828"/>
      <c r="G144" s="828"/>
      <c r="H144" s="82" t="s">
        <v>1119</v>
      </c>
      <c r="I144">
        <f t="shared" si="2"/>
        <v>0</v>
      </c>
    </row>
    <row r="145" spans="1:9">
      <c r="A145" s="822" t="s">
        <v>1106</v>
      </c>
      <c r="B145" s="828">
        <v>71</v>
      </c>
      <c r="C145" s="828">
        <v>50.5</v>
      </c>
      <c r="D145" s="828">
        <v>45.9</v>
      </c>
      <c r="E145" s="828">
        <v>36.799999999999997</v>
      </c>
      <c r="F145" s="828">
        <v>36.200000000000003</v>
      </c>
      <c r="G145" s="828">
        <v>47.2</v>
      </c>
      <c r="H145" s="82" t="s">
        <v>1119</v>
      </c>
      <c r="I145">
        <f t="shared" si="2"/>
        <v>0.47200000000000003</v>
      </c>
    </row>
    <row r="146" spans="1:9">
      <c r="A146" s="822" t="s">
        <v>1098</v>
      </c>
      <c r="B146" s="828">
        <v>47.3</v>
      </c>
      <c r="C146" s="828">
        <v>46.9</v>
      </c>
      <c r="D146" s="828">
        <v>35.299999999999997</v>
      </c>
      <c r="E146" s="828">
        <v>28.1</v>
      </c>
      <c r="F146" s="828">
        <v>5.2</v>
      </c>
      <c r="G146" s="828">
        <v>39.9</v>
      </c>
      <c r="H146" s="82" t="s">
        <v>1119</v>
      </c>
      <c r="I146">
        <f t="shared" si="2"/>
        <v>0.39899999999999997</v>
      </c>
    </row>
    <row r="147" spans="1:9">
      <c r="A147" s="822" t="s">
        <v>1107</v>
      </c>
      <c r="B147" s="828">
        <v>31.3</v>
      </c>
      <c r="C147" s="828">
        <v>45.2</v>
      </c>
      <c r="D147" s="828">
        <v>44</v>
      </c>
      <c r="E147" s="828">
        <v>20</v>
      </c>
      <c r="F147" s="828">
        <v>43.9</v>
      </c>
      <c r="G147" s="828">
        <v>40.700000000000003</v>
      </c>
      <c r="H147" s="82" t="s">
        <v>1119</v>
      </c>
      <c r="I147">
        <f t="shared" si="2"/>
        <v>0.40700000000000003</v>
      </c>
    </row>
    <row r="148" spans="1:9">
      <c r="A148" s="822" t="s">
        <v>1108</v>
      </c>
      <c r="B148" s="828" t="s">
        <v>1088</v>
      </c>
      <c r="C148" s="828">
        <v>59.4</v>
      </c>
      <c r="D148" s="828">
        <v>41.6</v>
      </c>
      <c r="E148" s="828">
        <v>34.200000000000003</v>
      </c>
      <c r="F148" s="828">
        <v>17.100000000000001</v>
      </c>
      <c r="G148" s="828">
        <v>41.1</v>
      </c>
      <c r="H148" s="82" t="s">
        <v>1119</v>
      </c>
      <c r="I148">
        <f t="shared" si="2"/>
        <v>0.41100000000000003</v>
      </c>
    </row>
    <row r="149" spans="1:9">
      <c r="A149" s="822" t="s">
        <v>1109</v>
      </c>
      <c r="B149" s="828">
        <v>53.2</v>
      </c>
      <c r="C149" s="828">
        <v>56.9</v>
      </c>
      <c r="D149" s="828">
        <v>51.5</v>
      </c>
      <c r="E149" s="828">
        <v>22.7</v>
      </c>
      <c r="F149" s="828" t="s">
        <v>1088</v>
      </c>
      <c r="G149" s="828">
        <v>53.8</v>
      </c>
      <c r="H149" s="82" t="s">
        <v>1119</v>
      </c>
      <c r="I149">
        <f t="shared" si="2"/>
        <v>0.53799999999999992</v>
      </c>
    </row>
    <row r="150" spans="1:9">
      <c r="A150" s="822" t="s">
        <v>1102</v>
      </c>
      <c r="B150" s="828" t="s">
        <v>1088</v>
      </c>
      <c r="C150" s="828">
        <v>3.1</v>
      </c>
      <c r="D150" s="828">
        <v>14.5</v>
      </c>
      <c r="E150" s="828">
        <v>11.7</v>
      </c>
      <c r="F150" s="828">
        <v>14.7</v>
      </c>
      <c r="G150" s="828">
        <v>7.7</v>
      </c>
      <c r="H150" s="82" t="s">
        <v>1119</v>
      </c>
      <c r="I150">
        <f t="shared" si="2"/>
        <v>7.6999999999999999E-2</v>
      </c>
    </row>
    <row r="151" spans="1:9">
      <c r="A151" s="822" t="s">
        <v>1110</v>
      </c>
      <c r="B151" s="828" t="s">
        <v>1088</v>
      </c>
      <c r="C151" s="828" t="s">
        <v>1088</v>
      </c>
      <c r="D151" s="828">
        <v>22</v>
      </c>
      <c r="E151" s="828">
        <v>17.100000000000001</v>
      </c>
      <c r="F151" s="828">
        <v>41.4</v>
      </c>
      <c r="G151" s="828">
        <v>22.9</v>
      </c>
      <c r="H151" s="82" t="s">
        <v>1119</v>
      </c>
      <c r="I151">
        <f t="shared" si="2"/>
        <v>0.22899999999999998</v>
      </c>
    </row>
    <row r="152" spans="1:9">
      <c r="A152" s="813" t="s">
        <v>1113</v>
      </c>
      <c r="B152" s="830"/>
      <c r="C152" s="830"/>
      <c r="D152" s="830"/>
      <c r="E152" s="830"/>
      <c r="F152" s="830"/>
      <c r="G152" s="830"/>
      <c r="H152" s="82" t="s">
        <v>1119</v>
      </c>
      <c r="I152">
        <f t="shared" si="2"/>
        <v>0</v>
      </c>
    </row>
    <row r="153" spans="1:9">
      <c r="A153" s="816" t="s">
        <v>1084</v>
      </c>
      <c r="B153" s="826">
        <v>61.2</v>
      </c>
      <c r="C153" s="826">
        <v>54.6</v>
      </c>
      <c r="D153" s="826">
        <v>44.6</v>
      </c>
      <c r="E153" s="826">
        <v>32.5</v>
      </c>
      <c r="F153" s="826">
        <v>34.799999999999997</v>
      </c>
      <c r="G153" s="826">
        <v>48.5</v>
      </c>
      <c r="H153" s="82" t="s">
        <v>1119</v>
      </c>
      <c r="I153">
        <f t="shared" si="2"/>
        <v>0.48499999999999999</v>
      </c>
    </row>
    <row r="154" spans="1:9">
      <c r="A154" s="819" t="s">
        <v>1085</v>
      </c>
      <c r="B154" s="114"/>
      <c r="C154" s="114"/>
      <c r="D154" s="114"/>
      <c r="E154" s="114"/>
      <c r="F154" s="114"/>
      <c r="G154" s="114"/>
      <c r="H154" s="82" t="s">
        <v>1119</v>
      </c>
      <c r="I154">
        <f t="shared" si="2"/>
        <v>0</v>
      </c>
    </row>
    <row r="155" spans="1:9">
      <c r="A155" s="822" t="s">
        <v>1086</v>
      </c>
      <c r="B155" s="828">
        <v>65.099999999999994</v>
      </c>
      <c r="C155" s="828">
        <v>61.6</v>
      </c>
      <c r="D155" s="828">
        <v>52</v>
      </c>
      <c r="E155" s="828">
        <v>51.5</v>
      </c>
      <c r="F155" s="828">
        <v>47.9</v>
      </c>
      <c r="G155" s="828">
        <v>58.7</v>
      </c>
      <c r="H155" s="82" t="s">
        <v>1119</v>
      </c>
      <c r="I155">
        <f t="shared" si="2"/>
        <v>0.58700000000000008</v>
      </c>
    </row>
    <row r="156" spans="1:9">
      <c r="A156" s="822" t="s">
        <v>1096</v>
      </c>
      <c r="B156" s="828" t="s">
        <v>1114</v>
      </c>
      <c r="C156" s="828">
        <v>50.6</v>
      </c>
      <c r="D156" s="828">
        <v>46.8</v>
      </c>
      <c r="E156" s="828">
        <v>39</v>
      </c>
      <c r="F156" s="828">
        <v>40.200000000000003</v>
      </c>
      <c r="G156" s="828">
        <v>48.1</v>
      </c>
      <c r="H156" s="82" t="s">
        <v>1119</v>
      </c>
      <c r="I156">
        <f t="shared" si="2"/>
        <v>0.48100000000000004</v>
      </c>
    </row>
    <row r="157" spans="1:9">
      <c r="A157" s="819" t="s">
        <v>1105</v>
      </c>
      <c r="B157" s="829"/>
      <c r="C157" s="829"/>
      <c r="D157" s="829"/>
      <c r="E157" s="829"/>
      <c r="F157" s="829"/>
      <c r="G157" s="829"/>
      <c r="H157" s="82" t="s">
        <v>1119</v>
      </c>
      <c r="I157">
        <f t="shared" si="2"/>
        <v>0</v>
      </c>
    </row>
    <row r="158" spans="1:9">
      <c r="A158" s="822" t="s">
        <v>1106</v>
      </c>
      <c r="B158" s="828" t="s">
        <v>1114</v>
      </c>
      <c r="C158" s="828">
        <v>51.2</v>
      </c>
      <c r="D158" s="828">
        <v>46</v>
      </c>
      <c r="E158" s="828">
        <v>40.5</v>
      </c>
      <c r="F158" s="828">
        <v>40.200000000000003</v>
      </c>
      <c r="G158" s="828">
        <v>48</v>
      </c>
      <c r="H158" s="82" t="s">
        <v>1119</v>
      </c>
      <c r="I158">
        <f t="shared" si="2"/>
        <v>0.48</v>
      </c>
    </row>
    <row r="159" spans="1:9">
      <c r="A159" s="822" t="s">
        <v>1098</v>
      </c>
      <c r="B159" s="828" t="s">
        <v>1114</v>
      </c>
      <c r="C159" s="828">
        <v>47.9</v>
      </c>
      <c r="D159" s="828">
        <v>34.299999999999997</v>
      </c>
      <c r="E159" s="828" t="s">
        <v>1114</v>
      </c>
      <c r="F159" s="828" t="s">
        <v>1088</v>
      </c>
      <c r="G159" s="828">
        <v>39.700000000000003</v>
      </c>
      <c r="H159" s="82" t="s">
        <v>1119</v>
      </c>
      <c r="I159">
        <f t="shared" si="2"/>
        <v>0.39700000000000002</v>
      </c>
    </row>
    <row r="160" spans="1:9">
      <c r="A160" s="822" t="s">
        <v>1107</v>
      </c>
      <c r="B160" s="828" t="s">
        <v>1114</v>
      </c>
      <c r="C160" s="828">
        <v>44.2</v>
      </c>
      <c r="D160" s="828">
        <v>43.1</v>
      </c>
      <c r="E160" s="828">
        <v>21</v>
      </c>
      <c r="F160" s="828" t="s">
        <v>1114</v>
      </c>
      <c r="G160" s="828">
        <v>40.6</v>
      </c>
      <c r="H160" s="82" t="s">
        <v>1119</v>
      </c>
      <c r="I160">
        <f t="shared" si="2"/>
        <v>0.40600000000000003</v>
      </c>
    </row>
    <row r="161" spans="1:9">
      <c r="A161" s="822" t="s">
        <v>1108</v>
      </c>
      <c r="B161" s="828" t="s">
        <v>1088</v>
      </c>
      <c r="C161" s="828" t="s">
        <v>1114</v>
      </c>
      <c r="D161" s="828">
        <v>41.6</v>
      </c>
      <c r="E161" s="828">
        <v>41.3</v>
      </c>
      <c r="F161" s="828">
        <v>15.9</v>
      </c>
      <c r="G161" s="828">
        <v>41.2</v>
      </c>
      <c r="H161" s="82" t="s">
        <v>1119</v>
      </c>
      <c r="I161">
        <f t="shared" si="2"/>
        <v>0.41200000000000003</v>
      </c>
    </row>
    <row r="162" spans="1:9">
      <c r="A162" s="822" t="s">
        <v>1109</v>
      </c>
      <c r="B162" s="828" t="s">
        <v>1114</v>
      </c>
      <c r="C162" s="828">
        <v>58.1</v>
      </c>
      <c r="D162" s="828">
        <v>48.7</v>
      </c>
      <c r="E162" s="828">
        <v>38.700000000000003</v>
      </c>
      <c r="F162" s="828" t="s">
        <v>1088</v>
      </c>
      <c r="G162" s="828">
        <v>52.2</v>
      </c>
      <c r="H162" s="82" t="s">
        <v>1119</v>
      </c>
      <c r="I162">
        <f t="shared" si="2"/>
        <v>0.52200000000000002</v>
      </c>
    </row>
    <row r="163" spans="1:9">
      <c r="A163" s="822" t="s">
        <v>1102</v>
      </c>
      <c r="B163" s="828" t="s">
        <v>1114</v>
      </c>
      <c r="C163" s="828" t="s">
        <v>1114</v>
      </c>
      <c r="D163" s="828" t="s">
        <v>1114</v>
      </c>
      <c r="E163" s="828" t="s">
        <v>1114</v>
      </c>
      <c r="F163" s="828" t="s">
        <v>1114</v>
      </c>
      <c r="G163" s="828">
        <v>22.2</v>
      </c>
      <c r="H163" s="82" t="s">
        <v>1119</v>
      </c>
      <c r="I163">
        <f t="shared" si="2"/>
        <v>0.222</v>
      </c>
    </row>
    <row r="164" spans="1:9">
      <c r="A164" s="822" t="s">
        <v>1110</v>
      </c>
      <c r="B164" s="828" t="s">
        <v>1088</v>
      </c>
      <c r="C164" s="828" t="s">
        <v>1114</v>
      </c>
      <c r="D164" s="828">
        <v>21.2</v>
      </c>
      <c r="E164" s="828">
        <v>17.600000000000001</v>
      </c>
      <c r="F164" s="828" t="s">
        <v>1114</v>
      </c>
      <c r="G164" s="828">
        <v>22.9</v>
      </c>
      <c r="H164" s="82" t="s">
        <v>1119</v>
      </c>
      <c r="I164">
        <f t="shared" si="2"/>
        <v>0.22899999999999998</v>
      </c>
    </row>
    <row r="165" spans="1:9">
      <c r="A165" s="813" t="s">
        <v>1115</v>
      </c>
      <c r="B165" s="114"/>
      <c r="C165" s="114"/>
      <c r="D165" s="114"/>
      <c r="E165" s="114"/>
      <c r="F165" s="114"/>
      <c r="G165" s="114"/>
      <c r="H165" s="82" t="s">
        <v>1119</v>
      </c>
      <c r="I165">
        <f t="shared" si="2"/>
        <v>0</v>
      </c>
    </row>
    <row r="166" spans="1:9">
      <c r="A166" s="816" t="s">
        <v>1084</v>
      </c>
      <c r="B166" s="826">
        <v>53.7</v>
      </c>
      <c r="C166" s="826">
        <v>48.5</v>
      </c>
      <c r="D166" s="826">
        <v>38.700000000000003</v>
      </c>
      <c r="E166" s="826">
        <v>30.7</v>
      </c>
      <c r="F166" s="826">
        <v>23.9</v>
      </c>
      <c r="G166" s="826">
        <v>43.1</v>
      </c>
      <c r="H166" s="82" t="s">
        <v>1119</v>
      </c>
      <c r="I166">
        <f t="shared" si="2"/>
        <v>0.43099999999999999</v>
      </c>
    </row>
    <row r="167" spans="1:9">
      <c r="A167" s="819" t="s">
        <v>1085</v>
      </c>
      <c r="B167" s="829"/>
      <c r="C167" s="829"/>
      <c r="D167" s="829"/>
      <c r="E167" s="829"/>
      <c r="F167" s="829"/>
      <c r="G167" s="829"/>
      <c r="H167" s="82" t="s">
        <v>1119</v>
      </c>
      <c r="I167">
        <f t="shared" si="2"/>
        <v>0</v>
      </c>
    </row>
    <row r="168" spans="1:9">
      <c r="A168" s="822" t="s">
        <v>1086</v>
      </c>
      <c r="B168" s="828">
        <v>57.4</v>
      </c>
      <c r="C168" s="828">
        <v>51.7</v>
      </c>
      <c r="D168" s="828">
        <v>42.1</v>
      </c>
      <c r="E168" s="828">
        <v>48.3</v>
      </c>
      <c r="F168" s="828">
        <v>22.3</v>
      </c>
      <c r="G168" s="828">
        <v>49.6</v>
      </c>
      <c r="H168" s="82" t="s">
        <v>1119</v>
      </c>
      <c r="I168">
        <f t="shared" si="2"/>
        <v>0.496</v>
      </c>
    </row>
    <row r="169" spans="1:9">
      <c r="A169" s="822" t="s">
        <v>1096</v>
      </c>
      <c r="B169" s="828" t="s">
        <v>1114</v>
      </c>
      <c r="C169" s="828">
        <v>46.4</v>
      </c>
      <c r="D169" s="828">
        <v>43.6</v>
      </c>
      <c r="E169" s="828">
        <v>35</v>
      </c>
      <c r="F169" s="828">
        <v>37</v>
      </c>
      <c r="G169" s="828">
        <v>44.6</v>
      </c>
      <c r="H169" s="82" t="s">
        <v>1119</v>
      </c>
      <c r="I169">
        <f t="shared" si="2"/>
        <v>0.44600000000000001</v>
      </c>
    </row>
    <row r="170" spans="1:9">
      <c r="A170" s="819" t="s">
        <v>1105</v>
      </c>
      <c r="B170" s="829"/>
      <c r="C170" s="829"/>
      <c r="D170" s="829"/>
      <c r="E170" s="829"/>
      <c r="F170" s="829"/>
      <c r="G170" s="829"/>
      <c r="H170" s="82" t="s">
        <v>1119</v>
      </c>
      <c r="I170">
        <f t="shared" si="2"/>
        <v>0</v>
      </c>
    </row>
    <row r="171" spans="1:9">
      <c r="A171" s="822" t="s">
        <v>1106</v>
      </c>
      <c r="B171" s="828" t="s">
        <v>1114</v>
      </c>
      <c r="C171" s="828">
        <v>47.2</v>
      </c>
      <c r="D171" s="828">
        <v>42.6</v>
      </c>
      <c r="E171" s="828">
        <v>36.6</v>
      </c>
      <c r="F171" s="828">
        <v>37</v>
      </c>
      <c r="G171" s="828">
        <v>44.5</v>
      </c>
      <c r="H171" s="82" t="s">
        <v>1119</v>
      </c>
      <c r="I171">
        <f t="shared" si="2"/>
        <v>0.44500000000000001</v>
      </c>
    </row>
    <row r="172" spans="1:9">
      <c r="A172" s="822" t="s">
        <v>1098</v>
      </c>
      <c r="B172" s="828" t="s">
        <v>1114</v>
      </c>
      <c r="C172" s="828">
        <v>48.8</v>
      </c>
      <c r="D172" s="828">
        <v>34.799999999999997</v>
      </c>
      <c r="E172" s="828">
        <v>21</v>
      </c>
      <c r="F172" s="828" t="s">
        <v>1088</v>
      </c>
      <c r="G172" s="828">
        <v>40.5</v>
      </c>
      <c r="H172" s="82" t="s">
        <v>1119</v>
      </c>
      <c r="I172">
        <f t="shared" si="2"/>
        <v>0.40500000000000003</v>
      </c>
    </row>
    <row r="173" spans="1:9">
      <c r="A173" s="822" t="s">
        <v>1107</v>
      </c>
      <c r="B173" s="828" t="s">
        <v>1114</v>
      </c>
      <c r="C173" s="828">
        <v>38.700000000000003</v>
      </c>
      <c r="D173" s="828">
        <v>36.799999999999997</v>
      </c>
      <c r="E173" s="828">
        <v>19.5</v>
      </c>
      <c r="F173" s="828" t="s">
        <v>1114</v>
      </c>
      <c r="G173" s="828">
        <v>34.9</v>
      </c>
      <c r="H173" s="82" t="s">
        <v>1119</v>
      </c>
      <c r="I173">
        <f t="shared" si="2"/>
        <v>0.34899999999999998</v>
      </c>
    </row>
    <row r="174" spans="1:9">
      <c r="A174" s="822" t="s">
        <v>1108</v>
      </c>
      <c r="B174" s="828" t="s">
        <v>1088</v>
      </c>
      <c r="C174" s="828">
        <v>36.4</v>
      </c>
      <c r="D174" s="828">
        <v>35.700000000000003</v>
      </c>
      <c r="E174" s="828">
        <v>47.2</v>
      </c>
      <c r="F174" s="828">
        <v>17.100000000000001</v>
      </c>
      <c r="G174" s="828">
        <v>36.799999999999997</v>
      </c>
      <c r="H174" s="82" t="s">
        <v>1119</v>
      </c>
      <c r="I174">
        <f t="shared" si="2"/>
        <v>0.36799999999999999</v>
      </c>
    </row>
    <row r="175" spans="1:9">
      <c r="A175" s="822" t="s">
        <v>1109</v>
      </c>
      <c r="B175" s="828" t="s">
        <v>1114</v>
      </c>
      <c r="C175" s="828">
        <v>61.1</v>
      </c>
      <c r="D175" s="828">
        <v>42</v>
      </c>
      <c r="E175" s="828">
        <v>42.7</v>
      </c>
      <c r="F175" s="828" t="s">
        <v>1088</v>
      </c>
      <c r="G175" s="828">
        <v>50.5</v>
      </c>
      <c r="H175" s="82" t="s">
        <v>1119</v>
      </c>
      <c r="I175">
        <f t="shared" si="2"/>
        <v>0.505</v>
      </c>
    </row>
    <row r="176" spans="1:9">
      <c r="A176" s="822" t="s">
        <v>1102</v>
      </c>
      <c r="B176" s="828" t="s">
        <v>1114</v>
      </c>
      <c r="C176" s="828" t="s">
        <v>1114</v>
      </c>
      <c r="D176" s="828" t="s">
        <v>1114</v>
      </c>
      <c r="E176" s="828" t="s">
        <v>1114</v>
      </c>
      <c r="F176" s="828" t="s">
        <v>1088</v>
      </c>
      <c r="G176" s="828">
        <v>27.7</v>
      </c>
      <c r="H176" s="82" t="s">
        <v>1119</v>
      </c>
      <c r="I176">
        <f t="shared" si="2"/>
        <v>0.27699999999999997</v>
      </c>
    </row>
    <row r="177" spans="1:9">
      <c r="A177" s="822" t="s">
        <v>1110</v>
      </c>
      <c r="B177" s="828" t="s">
        <v>1088</v>
      </c>
      <c r="C177" s="828" t="s">
        <v>1114</v>
      </c>
      <c r="D177" s="828">
        <v>15.8</v>
      </c>
      <c r="E177" s="828">
        <v>8.6999999999999993</v>
      </c>
      <c r="F177" s="828" t="s">
        <v>1114</v>
      </c>
      <c r="G177" s="828">
        <v>28</v>
      </c>
      <c r="H177" s="82" t="s">
        <v>1119</v>
      </c>
      <c r="I177">
        <f t="shared" si="2"/>
        <v>0.28000000000000003</v>
      </c>
    </row>
    <row r="178" spans="1:9">
      <c r="A178" s="813" t="s">
        <v>1116</v>
      </c>
      <c r="B178" s="114"/>
      <c r="C178" s="114"/>
      <c r="D178" s="114"/>
      <c r="E178" s="114"/>
      <c r="F178" s="831"/>
      <c r="G178" s="75"/>
      <c r="H178" s="82" t="s">
        <v>1119</v>
      </c>
      <c r="I178">
        <f t="shared" si="2"/>
        <v>0</v>
      </c>
    </row>
    <row r="179" spans="1:9">
      <c r="A179" s="816" t="s">
        <v>1084</v>
      </c>
      <c r="B179" s="826">
        <v>60.1</v>
      </c>
      <c r="C179" s="826">
        <v>49.8</v>
      </c>
      <c r="D179" s="826">
        <v>38.799999999999997</v>
      </c>
      <c r="E179" s="826">
        <v>29.5</v>
      </c>
      <c r="F179" s="826">
        <v>22.4</v>
      </c>
      <c r="G179" s="826">
        <v>44.3</v>
      </c>
      <c r="H179" s="82" t="s">
        <v>1119</v>
      </c>
      <c r="I179">
        <f t="shared" si="2"/>
        <v>0.44299999999999995</v>
      </c>
    </row>
    <row r="180" spans="1:9">
      <c r="A180" s="819" t="s">
        <v>1085</v>
      </c>
      <c r="B180" s="832"/>
      <c r="C180" s="832"/>
      <c r="D180" s="832"/>
      <c r="E180" s="832"/>
      <c r="F180" s="832"/>
      <c r="G180" s="833"/>
      <c r="H180" s="82" t="s">
        <v>1119</v>
      </c>
      <c r="I180">
        <f t="shared" si="2"/>
        <v>0</v>
      </c>
    </row>
    <row r="181" spans="1:9">
      <c r="A181" s="822" t="s">
        <v>1086</v>
      </c>
      <c r="B181" s="828">
        <v>64.400000000000006</v>
      </c>
      <c r="C181" s="828">
        <v>54.1</v>
      </c>
      <c r="D181" s="828">
        <v>41.3</v>
      </c>
      <c r="E181" s="828">
        <v>45.2</v>
      </c>
      <c r="F181" s="828" t="s">
        <v>1114</v>
      </c>
      <c r="G181" s="828">
        <v>52.1</v>
      </c>
      <c r="H181" s="82" t="s">
        <v>1119</v>
      </c>
      <c r="I181">
        <f t="shared" si="2"/>
        <v>0.52100000000000002</v>
      </c>
    </row>
    <row r="182" spans="1:9">
      <c r="A182" s="822" t="s">
        <v>1096</v>
      </c>
      <c r="B182" s="828" t="s">
        <v>1114</v>
      </c>
      <c r="C182" s="828">
        <v>45.8</v>
      </c>
      <c r="D182" s="828">
        <v>42.6</v>
      </c>
      <c r="E182" s="828">
        <v>35.4</v>
      </c>
      <c r="F182" s="828" t="s">
        <v>1114</v>
      </c>
      <c r="G182" s="828">
        <v>43.7</v>
      </c>
      <c r="H182" s="82" t="s">
        <v>1119</v>
      </c>
      <c r="I182">
        <f t="shared" si="2"/>
        <v>0.43700000000000006</v>
      </c>
    </row>
    <row r="183" spans="1:9">
      <c r="A183" s="819" t="s">
        <v>1105</v>
      </c>
      <c r="B183" s="832"/>
      <c r="C183" s="832"/>
      <c r="D183" s="832"/>
      <c r="E183" s="834"/>
      <c r="F183" s="832"/>
      <c r="G183" s="832"/>
      <c r="H183" s="82" t="s">
        <v>1119</v>
      </c>
      <c r="I183">
        <f t="shared" si="2"/>
        <v>0</v>
      </c>
    </row>
    <row r="184" spans="1:9">
      <c r="A184" s="822" t="s">
        <v>1106</v>
      </c>
      <c r="B184" s="828" t="s">
        <v>1114</v>
      </c>
      <c r="C184" s="828">
        <v>46.1</v>
      </c>
      <c r="D184" s="828">
        <v>41.7</v>
      </c>
      <c r="E184" s="828">
        <v>36.200000000000003</v>
      </c>
      <c r="F184" s="828" t="s">
        <v>1114</v>
      </c>
      <c r="G184" s="828">
        <v>43.4</v>
      </c>
      <c r="H184" s="82" t="s">
        <v>1119</v>
      </c>
      <c r="I184">
        <f t="shared" si="2"/>
        <v>0.434</v>
      </c>
    </row>
    <row r="185" spans="1:9">
      <c r="A185" s="822" t="s">
        <v>1098</v>
      </c>
      <c r="B185" s="828" t="s">
        <v>1114</v>
      </c>
      <c r="C185" s="828">
        <v>49.5</v>
      </c>
      <c r="D185" s="828">
        <v>38.6</v>
      </c>
      <c r="E185" s="835" t="s">
        <v>1114</v>
      </c>
      <c r="F185" s="828" t="s">
        <v>1088</v>
      </c>
      <c r="G185" s="828">
        <v>41.7</v>
      </c>
      <c r="H185" s="82" t="s">
        <v>1119</v>
      </c>
      <c r="I185">
        <f t="shared" si="2"/>
        <v>0.41700000000000004</v>
      </c>
    </row>
    <row r="186" spans="1:9">
      <c r="A186" s="822" t="s">
        <v>1107</v>
      </c>
      <c r="B186" s="828" t="s">
        <v>1114</v>
      </c>
      <c r="C186" s="828">
        <v>42.2</v>
      </c>
      <c r="D186" s="828">
        <v>35.700000000000003</v>
      </c>
      <c r="E186" s="828">
        <v>15.1</v>
      </c>
      <c r="F186" s="828" t="s">
        <v>1114</v>
      </c>
      <c r="G186" s="828">
        <v>35</v>
      </c>
      <c r="H186" s="82" t="s">
        <v>1119</v>
      </c>
      <c r="I186">
        <f t="shared" si="2"/>
        <v>0.35</v>
      </c>
    </row>
    <row r="187" spans="1:9">
      <c r="A187" s="822" t="s">
        <v>1108</v>
      </c>
      <c r="B187" s="828" t="s">
        <v>1088</v>
      </c>
      <c r="C187" s="828">
        <v>37.9</v>
      </c>
      <c r="D187" s="828">
        <v>37.299999999999997</v>
      </c>
      <c r="E187" s="835">
        <v>48.2</v>
      </c>
      <c r="F187" s="828">
        <v>10.6</v>
      </c>
      <c r="G187" s="828">
        <v>38.4</v>
      </c>
      <c r="H187" s="82" t="s">
        <v>1119</v>
      </c>
      <c r="I187">
        <f t="shared" si="2"/>
        <v>0.38400000000000001</v>
      </c>
    </row>
    <row r="188" spans="1:9">
      <c r="A188" s="822" t="s">
        <v>1109</v>
      </c>
      <c r="B188" s="828" t="s">
        <v>1114</v>
      </c>
      <c r="C188" s="828">
        <v>61.6</v>
      </c>
      <c r="D188" s="828">
        <v>53.5</v>
      </c>
      <c r="E188" s="828">
        <v>39.6</v>
      </c>
      <c r="F188" s="828" t="s">
        <v>1114</v>
      </c>
      <c r="G188" s="828">
        <v>56.4</v>
      </c>
      <c r="H188" s="82" t="s">
        <v>1119</v>
      </c>
      <c r="I188">
        <f t="shared" si="2"/>
        <v>0.56399999999999995</v>
      </c>
    </row>
    <row r="189" spans="1:9">
      <c r="A189" s="822" t="s">
        <v>1102</v>
      </c>
      <c r="B189" s="828" t="s">
        <v>1088</v>
      </c>
      <c r="C189" s="828" t="s">
        <v>1114</v>
      </c>
      <c r="D189" s="828" t="s">
        <v>1114</v>
      </c>
      <c r="E189" s="828" t="s">
        <v>1114</v>
      </c>
      <c r="F189" s="828" t="s">
        <v>1088</v>
      </c>
      <c r="G189" s="828">
        <v>24.4</v>
      </c>
      <c r="H189" s="82" t="s">
        <v>1119</v>
      </c>
      <c r="I189">
        <f t="shared" si="2"/>
        <v>0.24399999999999999</v>
      </c>
    </row>
    <row r="190" spans="1:9">
      <c r="A190" s="822" t="s">
        <v>1110</v>
      </c>
      <c r="B190" s="828" t="s">
        <v>1088</v>
      </c>
      <c r="C190" s="828" t="s">
        <v>1114</v>
      </c>
      <c r="D190" s="828">
        <v>28.6</v>
      </c>
      <c r="E190" s="828" t="s">
        <v>1114</v>
      </c>
      <c r="F190" s="828" t="s">
        <v>1088</v>
      </c>
      <c r="G190" s="828">
        <v>35.799999999999997</v>
      </c>
      <c r="H190" s="82" t="s">
        <v>1119</v>
      </c>
      <c r="I190">
        <f t="shared" si="2"/>
        <v>0.35799999999999998</v>
      </c>
    </row>
    <row r="191" spans="1:9">
      <c r="A191" s="813" t="s">
        <v>1117</v>
      </c>
      <c r="B191" s="114"/>
      <c r="C191" s="114"/>
      <c r="D191" s="114"/>
      <c r="E191" s="114"/>
      <c r="F191" s="831"/>
      <c r="G191" s="75"/>
      <c r="H191" s="82" t="s">
        <v>1119</v>
      </c>
      <c r="I191">
        <f t="shared" si="2"/>
        <v>0</v>
      </c>
    </row>
    <row r="192" spans="1:9">
      <c r="A192" s="816" t="s">
        <v>1084</v>
      </c>
      <c r="B192" s="826">
        <v>63.3</v>
      </c>
      <c r="C192" s="826">
        <v>53.4</v>
      </c>
      <c r="D192" s="826">
        <v>39.4</v>
      </c>
      <c r="E192" s="826">
        <v>31.6</v>
      </c>
      <c r="F192" s="826">
        <v>20.2</v>
      </c>
      <c r="G192" s="826">
        <v>45.9</v>
      </c>
      <c r="H192" s="82" t="s">
        <v>1119</v>
      </c>
      <c r="I192">
        <f t="shared" si="2"/>
        <v>0.45899999999999996</v>
      </c>
    </row>
    <row r="193" spans="1:9">
      <c r="A193" s="819" t="s">
        <v>1085</v>
      </c>
      <c r="B193" s="832"/>
      <c r="C193" s="832"/>
      <c r="D193" s="832"/>
      <c r="E193" s="832"/>
      <c r="F193" s="832"/>
      <c r="G193" s="833"/>
      <c r="H193" s="82" t="s">
        <v>1119</v>
      </c>
      <c r="I193">
        <f t="shared" si="2"/>
        <v>0</v>
      </c>
    </row>
    <row r="194" spans="1:9">
      <c r="A194" s="822" t="s">
        <v>1086</v>
      </c>
      <c r="B194" s="828">
        <v>68.099999999999994</v>
      </c>
      <c r="C194" s="828">
        <v>60</v>
      </c>
      <c r="D194" s="828">
        <v>43.1</v>
      </c>
      <c r="E194" s="828">
        <v>54.1</v>
      </c>
      <c r="F194" s="828" t="s">
        <v>1114</v>
      </c>
      <c r="G194" s="828">
        <v>56.5</v>
      </c>
      <c r="H194" s="82" t="s">
        <v>1119</v>
      </c>
      <c r="I194">
        <f t="shared" si="2"/>
        <v>0.56499999999999995</v>
      </c>
    </row>
    <row r="195" spans="1:9">
      <c r="A195" s="822" t="s">
        <v>1096</v>
      </c>
      <c r="B195" s="828" t="s">
        <v>1114</v>
      </c>
      <c r="C195" s="828">
        <v>46.9</v>
      </c>
      <c r="D195" s="828">
        <v>43.5</v>
      </c>
      <c r="E195" s="828">
        <v>44.2</v>
      </c>
      <c r="F195" s="828" t="s">
        <v>1114</v>
      </c>
      <c r="G195" s="828">
        <v>44.7</v>
      </c>
      <c r="H195" s="82" t="s">
        <v>1119</v>
      </c>
      <c r="I195">
        <f t="shared" si="2"/>
        <v>0.44700000000000001</v>
      </c>
    </row>
    <row r="196" spans="1:9">
      <c r="A196" s="819" t="s">
        <v>1105</v>
      </c>
      <c r="B196" s="832"/>
      <c r="C196" s="832"/>
      <c r="D196" s="832"/>
      <c r="E196" s="114"/>
      <c r="F196" s="832"/>
      <c r="G196" s="832"/>
      <c r="H196" s="82" t="s">
        <v>1119</v>
      </c>
      <c r="I196">
        <f t="shared" si="2"/>
        <v>0</v>
      </c>
    </row>
    <row r="197" spans="1:9">
      <c r="A197" s="822" t="s">
        <v>1106</v>
      </c>
      <c r="B197" s="828" t="s">
        <v>1114</v>
      </c>
      <c r="C197" s="828">
        <v>47.4</v>
      </c>
      <c r="D197" s="828">
        <v>43.3</v>
      </c>
      <c r="E197" s="828">
        <v>44.2</v>
      </c>
      <c r="F197" s="828">
        <v>26.3</v>
      </c>
      <c r="G197" s="828">
        <v>44.9</v>
      </c>
      <c r="H197" s="82" t="s">
        <v>1119</v>
      </c>
      <c r="I197">
        <f t="shared" si="2"/>
        <v>0.44900000000000001</v>
      </c>
    </row>
    <row r="198" spans="1:9">
      <c r="A198" s="822" t="s">
        <v>1098</v>
      </c>
      <c r="B198" s="828" t="s">
        <v>1088</v>
      </c>
      <c r="C198" s="828">
        <v>48.8</v>
      </c>
      <c r="D198" s="828">
        <v>31.2</v>
      </c>
      <c r="E198" s="828" t="s">
        <v>1114</v>
      </c>
      <c r="F198" s="828" t="s">
        <v>1114</v>
      </c>
      <c r="G198" s="828">
        <v>38.799999999999997</v>
      </c>
      <c r="H198" s="82" t="s">
        <v>1119</v>
      </c>
      <c r="I198">
        <f t="shared" si="2"/>
        <v>0.38799999999999996</v>
      </c>
    </row>
    <row r="199" spans="1:9">
      <c r="A199" s="822" t="s">
        <v>1107</v>
      </c>
      <c r="B199" s="828" t="s">
        <v>1114</v>
      </c>
      <c r="C199" s="828">
        <v>46.4</v>
      </c>
      <c r="D199" s="828">
        <v>40.700000000000003</v>
      </c>
      <c r="E199" s="828">
        <v>21.7</v>
      </c>
      <c r="F199" s="828" t="s">
        <v>1114</v>
      </c>
      <c r="G199" s="828">
        <v>39.4</v>
      </c>
      <c r="H199" s="82" t="s">
        <v>1119</v>
      </c>
      <c r="I199">
        <f t="shared" si="2"/>
        <v>0.39399999999999996</v>
      </c>
    </row>
    <row r="200" spans="1:9">
      <c r="A200" s="822" t="s">
        <v>1108</v>
      </c>
      <c r="B200" s="828" t="s">
        <v>1088</v>
      </c>
      <c r="C200" s="828">
        <v>41.8</v>
      </c>
      <c r="D200" s="828">
        <v>30</v>
      </c>
      <c r="E200" s="828">
        <v>36</v>
      </c>
      <c r="F200" s="828" t="s">
        <v>1088</v>
      </c>
      <c r="G200" s="828">
        <v>30.7</v>
      </c>
      <c r="H200" s="82" t="s">
        <v>1119</v>
      </c>
      <c r="I200">
        <f t="shared" si="2"/>
        <v>0.307</v>
      </c>
    </row>
    <row r="201" spans="1:9">
      <c r="A201" s="822" t="s">
        <v>1109</v>
      </c>
      <c r="B201" s="828" t="s">
        <v>1114</v>
      </c>
      <c r="C201" s="828">
        <v>62.3</v>
      </c>
      <c r="D201" s="828">
        <v>52.6</v>
      </c>
      <c r="E201" s="828">
        <v>31.2</v>
      </c>
      <c r="F201" s="828" t="s">
        <v>1114</v>
      </c>
      <c r="G201" s="828">
        <v>55.8</v>
      </c>
      <c r="H201" s="82" t="s">
        <v>1119</v>
      </c>
      <c r="I201">
        <f t="shared" si="2"/>
        <v>0.55799999999999994</v>
      </c>
    </row>
    <row r="202" spans="1:9">
      <c r="A202" s="822" t="s">
        <v>1102</v>
      </c>
      <c r="B202" s="828" t="s">
        <v>1088</v>
      </c>
      <c r="C202" s="828" t="s">
        <v>1114</v>
      </c>
      <c r="D202" s="828" t="s">
        <v>1114</v>
      </c>
      <c r="E202" s="828" t="s">
        <v>1114</v>
      </c>
      <c r="F202" s="828" t="s">
        <v>1088</v>
      </c>
      <c r="G202" s="828">
        <v>27.9</v>
      </c>
      <c r="H202" s="82" t="s">
        <v>1119</v>
      </c>
      <c r="I202">
        <f t="shared" si="2"/>
        <v>0.27899999999999997</v>
      </c>
    </row>
    <row r="203" spans="1:9">
      <c r="A203" s="822" t="s">
        <v>1110</v>
      </c>
      <c r="B203" s="828" t="s">
        <v>1088</v>
      </c>
      <c r="C203" s="828" t="s">
        <v>1114</v>
      </c>
      <c r="D203" s="828" t="s">
        <v>1114</v>
      </c>
      <c r="E203" s="828" t="s">
        <v>1088</v>
      </c>
      <c r="F203" s="828" t="s">
        <v>1088</v>
      </c>
      <c r="G203" s="828">
        <v>37.700000000000003</v>
      </c>
      <c r="H203" s="82" t="s">
        <v>1119</v>
      </c>
      <c r="I203">
        <f t="shared" ref="I203:I216" si="3">G203/100</f>
        <v>0.377</v>
      </c>
    </row>
    <row r="204" spans="1:9">
      <c r="A204" s="813" t="s">
        <v>1118</v>
      </c>
      <c r="B204" s="114"/>
      <c r="C204" s="114"/>
      <c r="D204" s="114"/>
      <c r="E204" s="114"/>
      <c r="F204" s="114"/>
      <c r="G204" s="114"/>
      <c r="H204" s="82" t="s">
        <v>1119</v>
      </c>
      <c r="I204">
        <f t="shared" si="3"/>
        <v>0</v>
      </c>
    </row>
    <row r="205" spans="1:9">
      <c r="A205" s="816" t="s">
        <v>1084</v>
      </c>
      <c r="B205" s="836">
        <v>65.3</v>
      </c>
      <c r="C205" s="836">
        <v>54.9</v>
      </c>
      <c r="D205" s="836">
        <v>40.5</v>
      </c>
      <c r="E205" s="836">
        <v>27.3</v>
      </c>
      <c r="F205" s="836">
        <v>20</v>
      </c>
      <c r="G205" s="836">
        <v>47.7</v>
      </c>
      <c r="H205" s="82" t="s">
        <v>1119</v>
      </c>
      <c r="I205">
        <f t="shared" si="3"/>
        <v>0.47700000000000004</v>
      </c>
    </row>
    <row r="206" spans="1:9">
      <c r="A206" s="819" t="s">
        <v>1085</v>
      </c>
      <c r="B206" s="114"/>
      <c r="C206" s="114"/>
      <c r="D206" s="114"/>
      <c r="E206" s="114"/>
      <c r="F206" s="114"/>
      <c r="G206" s="114"/>
      <c r="H206" s="82" t="s">
        <v>1119</v>
      </c>
      <c r="I206">
        <f t="shared" si="3"/>
        <v>0</v>
      </c>
    </row>
    <row r="207" spans="1:9">
      <c r="A207" s="822" t="s">
        <v>1086</v>
      </c>
      <c r="B207" s="837">
        <v>69.3</v>
      </c>
      <c r="C207" s="837">
        <v>62.9</v>
      </c>
      <c r="D207" s="837">
        <v>48</v>
      </c>
      <c r="E207" s="837">
        <v>46.2</v>
      </c>
      <c r="F207" s="837">
        <v>20.3</v>
      </c>
      <c r="G207" s="837">
        <v>59.4</v>
      </c>
      <c r="H207" s="82" t="s">
        <v>1119</v>
      </c>
      <c r="I207">
        <f t="shared" si="3"/>
        <v>0.59399999999999997</v>
      </c>
    </row>
    <row r="208" spans="1:9">
      <c r="A208" s="822" t="s">
        <v>1096</v>
      </c>
      <c r="B208" s="837" t="s">
        <v>1114</v>
      </c>
      <c r="C208" s="837">
        <v>48.6</v>
      </c>
      <c r="D208" s="837">
        <v>43.8</v>
      </c>
      <c r="E208" s="837">
        <v>39.200000000000003</v>
      </c>
      <c r="F208" s="837">
        <v>31.5</v>
      </c>
      <c r="G208" s="837">
        <v>46</v>
      </c>
      <c r="H208" s="82" t="s">
        <v>1119</v>
      </c>
      <c r="I208">
        <f t="shared" si="3"/>
        <v>0.46</v>
      </c>
    </row>
    <row r="209" spans="1:10">
      <c r="A209" s="819" t="s">
        <v>1105</v>
      </c>
      <c r="B209" s="114"/>
      <c r="C209" s="114"/>
      <c r="D209" s="114"/>
      <c r="E209" s="114"/>
      <c r="F209" s="114"/>
      <c r="G209" s="114"/>
      <c r="H209" s="82" t="s">
        <v>1119</v>
      </c>
      <c r="I209">
        <f t="shared" si="3"/>
        <v>0</v>
      </c>
    </row>
    <row r="210" spans="1:10">
      <c r="A210" s="822" t="s">
        <v>1106</v>
      </c>
      <c r="B210" s="837" t="s">
        <v>1114</v>
      </c>
      <c r="C210" s="837">
        <v>48.6</v>
      </c>
      <c r="D210" s="837">
        <v>43.2</v>
      </c>
      <c r="E210" s="837">
        <v>39.200000000000003</v>
      </c>
      <c r="F210" s="837">
        <v>31.5</v>
      </c>
      <c r="G210" s="837">
        <v>45.8</v>
      </c>
      <c r="H210" s="82" t="s">
        <v>1119</v>
      </c>
      <c r="I210">
        <f t="shared" si="3"/>
        <v>0.45799999999999996</v>
      </c>
    </row>
    <row r="211" spans="1:10">
      <c r="A211" s="822" t="s">
        <v>1098</v>
      </c>
      <c r="B211" s="837" t="s">
        <v>1088</v>
      </c>
      <c r="C211" s="837">
        <v>49.6</v>
      </c>
      <c r="D211" s="837">
        <v>35.200000000000003</v>
      </c>
      <c r="E211" s="837">
        <v>13.6</v>
      </c>
      <c r="F211" s="837" t="s">
        <v>1088</v>
      </c>
      <c r="G211" s="837">
        <v>41.7</v>
      </c>
      <c r="H211" s="82" t="s">
        <v>1119</v>
      </c>
      <c r="I211">
        <f t="shared" si="3"/>
        <v>0.41700000000000004</v>
      </c>
    </row>
    <row r="212" spans="1:10">
      <c r="A212" s="822" t="s">
        <v>1107</v>
      </c>
      <c r="B212" s="837" t="s">
        <v>1114</v>
      </c>
      <c r="C212" s="837">
        <v>50.5</v>
      </c>
      <c r="D212" s="837">
        <v>38</v>
      </c>
      <c r="E212" s="837">
        <v>26.5</v>
      </c>
      <c r="F212" s="837" t="s">
        <v>1088</v>
      </c>
      <c r="G212" s="837">
        <v>41.3</v>
      </c>
      <c r="H212" s="82" t="s">
        <v>1119</v>
      </c>
      <c r="I212">
        <f t="shared" si="3"/>
        <v>0.41299999999999998</v>
      </c>
    </row>
    <row r="213" spans="1:10">
      <c r="A213" s="822" t="s">
        <v>1108</v>
      </c>
      <c r="B213" s="837" t="s">
        <v>1088</v>
      </c>
      <c r="C213" s="837">
        <v>37.299999999999997</v>
      </c>
      <c r="D213" s="837">
        <v>33</v>
      </c>
      <c r="E213" s="837">
        <v>23.9</v>
      </c>
      <c r="F213" s="837" t="s">
        <v>1114</v>
      </c>
      <c r="G213" s="837">
        <v>31.9</v>
      </c>
      <c r="H213" s="82" t="s">
        <v>1119</v>
      </c>
      <c r="I213">
        <f t="shared" si="3"/>
        <v>0.31900000000000001</v>
      </c>
    </row>
    <row r="214" spans="1:10">
      <c r="A214" s="822" t="s">
        <v>1109</v>
      </c>
      <c r="B214" s="837" t="s">
        <v>1114</v>
      </c>
      <c r="C214" s="837">
        <v>60.3</v>
      </c>
      <c r="D214" s="837">
        <v>49</v>
      </c>
      <c r="E214" s="837" t="s">
        <v>1114</v>
      </c>
      <c r="F214" s="837" t="s">
        <v>1114</v>
      </c>
      <c r="G214" s="837">
        <v>54.5</v>
      </c>
      <c r="H214" s="82" t="s">
        <v>1119</v>
      </c>
      <c r="I214">
        <f t="shared" si="3"/>
        <v>0.54500000000000004</v>
      </c>
    </row>
    <row r="215" spans="1:10">
      <c r="A215" s="822" t="s">
        <v>1102</v>
      </c>
      <c r="B215" s="837" t="s">
        <v>1088</v>
      </c>
      <c r="C215" s="837" t="s">
        <v>1114</v>
      </c>
      <c r="D215" s="837" t="s">
        <v>1114</v>
      </c>
      <c r="E215" s="837" t="s">
        <v>1088</v>
      </c>
      <c r="F215" s="837" t="s">
        <v>1088</v>
      </c>
      <c r="G215" s="837">
        <v>39.6</v>
      </c>
      <c r="H215" s="82" t="s">
        <v>1119</v>
      </c>
      <c r="I215">
        <f t="shared" si="3"/>
        <v>0.39600000000000002</v>
      </c>
    </row>
    <row r="216" spans="1:10">
      <c r="A216" s="822" t="s">
        <v>1110</v>
      </c>
      <c r="B216" s="837" t="s">
        <v>1088</v>
      </c>
      <c r="C216" s="837" t="s">
        <v>1114</v>
      </c>
      <c r="D216" s="837">
        <v>28</v>
      </c>
      <c r="E216" s="837" t="s">
        <v>1114</v>
      </c>
      <c r="F216" s="837" t="s">
        <v>1088</v>
      </c>
      <c r="G216" s="837">
        <v>37.700000000000003</v>
      </c>
      <c r="H216" s="82" t="s">
        <v>1119</v>
      </c>
      <c r="I216">
        <f t="shared" si="3"/>
        <v>0.377</v>
      </c>
    </row>
    <row r="220" spans="1:10">
      <c r="A220" s="808" t="s">
        <v>1121</v>
      </c>
      <c r="B220" s="114"/>
      <c r="C220" s="114"/>
      <c r="D220" s="114"/>
      <c r="E220" s="114"/>
      <c r="F220" s="114"/>
      <c r="G220" s="114"/>
      <c r="H220" s="114"/>
      <c r="I220" s="114"/>
      <c r="J220" t="s">
        <v>1131</v>
      </c>
    </row>
    <row r="221" spans="1:10">
      <c r="A221" s="865" t="s">
        <v>1122</v>
      </c>
      <c r="B221" s="871" t="s">
        <v>1123</v>
      </c>
      <c r="C221" s="872"/>
      <c r="D221" s="873"/>
      <c r="E221" s="871" t="s">
        <v>1124</v>
      </c>
      <c r="F221" s="872"/>
      <c r="G221" s="873"/>
      <c r="H221" s="871" t="s">
        <v>1125</v>
      </c>
      <c r="I221" s="873"/>
      <c r="J221" t="s">
        <v>1131</v>
      </c>
    </row>
    <row r="222" spans="1:10" ht="56.25">
      <c r="A222" s="870"/>
      <c r="B222" s="810" t="s">
        <v>1126</v>
      </c>
      <c r="C222" s="810" t="s">
        <v>1127</v>
      </c>
      <c r="D222" s="810" t="s">
        <v>930</v>
      </c>
      <c r="E222" s="810" t="s">
        <v>1126</v>
      </c>
      <c r="F222" s="810" t="s">
        <v>1127</v>
      </c>
      <c r="G222" s="810" t="s">
        <v>930</v>
      </c>
      <c r="H222" s="811" t="s">
        <v>1128</v>
      </c>
      <c r="I222" s="811" t="s">
        <v>1129</v>
      </c>
      <c r="J222" t="s">
        <v>1131</v>
      </c>
    </row>
    <row r="223" spans="1:10">
      <c r="A223" s="839">
        <v>2001</v>
      </c>
      <c r="B223" s="820">
        <v>66442</v>
      </c>
      <c r="C223" s="820">
        <v>20108</v>
      </c>
      <c r="D223" s="820">
        <v>86550</v>
      </c>
      <c r="E223" s="840">
        <v>6099</v>
      </c>
      <c r="F223" s="840">
        <v>2593</v>
      </c>
      <c r="G223" s="840">
        <v>4641</v>
      </c>
      <c r="H223" s="841" t="s">
        <v>1130</v>
      </c>
      <c r="I223" s="841" t="s">
        <v>1130</v>
      </c>
      <c r="J223" t="s">
        <v>1131</v>
      </c>
    </row>
    <row r="224" spans="1:10">
      <c r="A224" s="839">
        <v>2002</v>
      </c>
      <c r="B224" s="820">
        <v>64701</v>
      </c>
      <c r="C224" s="820">
        <v>22879</v>
      </c>
      <c r="D224" s="820">
        <v>87580</v>
      </c>
      <c r="E224" s="840">
        <v>6245</v>
      </c>
      <c r="F224" s="840">
        <v>2828</v>
      </c>
      <c r="G224" s="840">
        <v>4747</v>
      </c>
      <c r="H224" s="841" t="s">
        <v>1130</v>
      </c>
      <c r="I224" s="841" t="s">
        <v>1130</v>
      </c>
      <c r="J224" t="s">
        <v>1131</v>
      </c>
    </row>
    <row r="225" spans="1:11">
      <c r="A225" s="839">
        <v>2003</v>
      </c>
      <c r="B225" s="820">
        <v>62968</v>
      </c>
      <c r="C225" s="820">
        <v>25821</v>
      </c>
      <c r="D225" s="820">
        <v>88788</v>
      </c>
      <c r="E225" s="840">
        <v>6272</v>
      </c>
      <c r="F225" s="840">
        <v>3013</v>
      </c>
      <c r="G225" s="840">
        <v>4771</v>
      </c>
      <c r="H225" s="840">
        <v>3528</v>
      </c>
      <c r="I225" s="840">
        <v>4769</v>
      </c>
      <c r="J225" t="s">
        <v>1131</v>
      </c>
    </row>
    <row r="226" spans="1:11">
      <c r="A226" s="839">
        <v>2004</v>
      </c>
      <c r="B226" s="820">
        <v>69486</v>
      </c>
      <c r="C226" s="820">
        <v>29757</v>
      </c>
      <c r="D226" s="820">
        <v>99243</v>
      </c>
      <c r="E226" s="840">
        <v>6613</v>
      </c>
      <c r="F226" s="840">
        <v>3546</v>
      </c>
      <c r="G226" s="840">
        <v>5251</v>
      </c>
      <c r="H226" s="840">
        <v>4216</v>
      </c>
      <c r="I226" s="840">
        <v>5507</v>
      </c>
      <c r="J226" t="s">
        <v>1131</v>
      </c>
    </row>
    <row r="227" spans="1:11">
      <c r="A227" s="839">
        <v>2005</v>
      </c>
      <c r="B227" s="820">
        <v>75763</v>
      </c>
      <c r="C227" s="820">
        <v>38258</v>
      </c>
      <c r="D227" s="820">
        <v>114021</v>
      </c>
      <c r="E227" s="840">
        <v>7029</v>
      </c>
      <c r="F227" s="840">
        <v>4271</v>
      </c>
      <c r="G227" s="840">
        <v>5777</v>
      </c>
      <c r="H227" s="840">
        <v>4716</v>
      </c>
      <c r="I227" s="840">
        <v>6223</v>
      </c>
      <c r="J227" t="s">
        <v>1131</v>
      </c>
    </row>
    <row r="228" spans="1:11">
      <c r="A228" s="839">
        <v>2006</v>
      </c>
      <c r="B228" s="820">
        <v>87775</v>
      </c>
      <c r="C228" s="820">
        <v>44034</v>
      </c>
      <c r="D228" s="820">
        <v>131809</v>
      </c>
      <c r="E228" s="840">
        <v>8737</v>
      </c>
      <c r="F228" s="840">
        <v>4584</v>
      </c>
      <c r="G228" s="840">
        <v>6707</v>
      </c>
      <c r="H228" s="840">
        <v>5377</v>
      </c>
      <c r="I228" s="840">
        <v>7076</v>
      </c>
      <c r="J228" t="s">
        <v>1131</v>
      </c>
    </row>
    <row r="229" spans="1:11">
      <c r="A229" s="839">
        <v>2007</v>
      </c>
      <c r="B229" s="820">
        <v>90458</v>
      </c>
      <c r="C229" s="820">
        <v>49859</v>
      </c>
      <c r="D229" s="820">
        <v>140317</v>
      </c>
      <c r="E229" s="840">
        <v>8894</v>
      </c>
      <c r="F229" s="840">
        <v>5007</v>
      </c>
      <c r="G229" s="840">
        <v>6971</v>
      </c>
      <c r="H229" s="840">
        <v>5727</v>
      </c>
      <c r="I229" s="840">
        <v>7444</v>
      </c>
      <c r="J229" t="s">
        <v>1131</v>
      </c>
    </row>
    <row r="230" spans="1:11">
      <c r="A230" s="839">
        <v>2008</v>
      </c>
      <c r="B230" s="820">
        <v>87179</v>
      </c>
      <c r="C230" s="820">
        <v>52904</v>
      </c>
      <c r="D230" s="820">
        <v>140083</v>
      </c>
      <c r="E230" s="840">
        <v>8710</v>
      </c>
      <c r="F230" s="840">
        <v>5309</v>
      </c>
      <c r="G230" s="840">
        <v>7013</v>
      </c>
      <c r="H230" s="840">
        <v>5698</v>
      </c>
      <c r="I230" s="840">
        <v>7242</v>
      </c>
      <c r="J230" t="s">
        <v>1131</v>
      </c>
    </row>
    <row r="231" spans="1:11">
      <c r="A231" s="839">
        <v>2009</v>
      </c>
      <c r="B231" s="820">
        <v>77414</v>
      </c>
      <c r="C231" s="820">
        <v>51671</v>
      </c>
      <c r="D231" s="820">
        <v>129085</v>
      </c>
      <c r="E231" s="840">
        <v>8396</v>
      </c>
      <c r="F231" s="840">
        <v>5445</v>
      </c>
      <c r="G231" s="840">
        <v>6899</v>
      </c>
      <c r="H231" s="840">
        <v>5137</v>
      </c>
      <c r="I231" s="840">
        <v>6423</v>
      </c>
      <c r="J231" t="s">
        <v>1131</v>
      </c>
    </row>
    <row r="232" spans="1:11">
      <c r="A232" s="839">
        <v>2010</v>
      </c>
      <c r="B232" s="820">
        <v>79751</v>
      </c>
      <c r="C232" s="820">
        <v>49829</v>
      </c>
      <c r="D232" s="820">
        <v>129581</v>
      </c>
      <c r="E232" s="840">
        <v>8296</v>
      </c>
      <c r="F232" s="840">
        <v>5013</v>
      </c>
      <c r="G232" s="840">
        <v>6627</v>
      </c>
      <c r="H232" s="840">
        <v>5016</v>
      </c>
      <c r="I232" s="840">
        <v>6344</v>
      </c>
      <c r="J232" t="s">
        <v>1131</v>
      </c>
    </row>
    <row r="233" spans="1:11">
      <c r="A233" s="839">
        <v>2011</v>
      </c>
      <c r="B233" s="820">
        <v>88560</v>
      </c>
      <c r="C233" s="820">
        <v>51923</v>
      </c>
      <c r="D233" s="820">
        <v>140483</v>
      </c>
      <c r="E233" s="840">
        <v>8507</v>
      </c>
      <c r="F233" s="840">
        <v>5088</v>
      </c>
      <c r="G233" s="840">
        <v>6814</v>
      </c>
      <c r="H233" s="840">
        <v>5056</v>
      </c>
      <c r="I233" s="840">
        <v>6540</v>
      </c>
      <c r="J233" t="s">
        <v>1131</v>
      </c>
    </row>
    <row r="234" spans="1:11">
      <c r="A234" s="839">
        <v>2012</v>
      </c>
      <c r="B234" s="844">
        <v>96926.732000000004</v>
      </c>
      <c r="C234" s="844">
        <v>55162.31</v>
      </c>
      <c r="D234" s="844">
        <v>152089.04199999999</v>
      </c>
      <c r="E234" s="842">
        <v>8508.1789855377101</v>
      </c>
      <c r="F234" s="842">
        <v>5297.4378126915599</v>
      </c>
      <c r="G234" s="842">
        <v>6974.8978225377396</v>
      </c>
      <c r="H234" s="842">
        <v>5464</v>
      </c>
      <c r="I234" s="842">
        <v>6975</v>
      </c>
      <c r="J234" t="s">
        <v>1131</v>
      </c>
    </row>
    <row r="236" spans="1:11">
      <c r="D236" s="843"/>
    </row>
    <row r="240" spans="1:11">
      <c r="A240" s="808" t="s">
        <v>1133</v>
      </c>
      <c r="B240" s="829"/>
      <c r="C240" s="829"/>
      <c r="D240" s="829"/>
      <c r="E240" s="829"/>
      <c r="F240" s="829"/>
      <c r="G240" s="809"/>
      <c r="H240" s="829"/>
      <c r="I240" s="829"/>
      <c r="J240" s="829"/>
      <c r="K240" t="s">
        <v>1150</v>
      </c>
    </row>
    <row r="241" spans="1:11">
      <c r="A241" s="874" t="s">
        <v>1134</v>
      </c>
      <c r="B241" s="845" t="s">
        <v>1135</v>
      </c>
      <c r="C241" s="845" t="s">
        <v>1136</v>
      </c>
      <c r="D241" s="845" t="s">
        <v>1137</v>
      </c>
      <c r="E241" s="845" t="s">
        <v>1138</v>
      </c>
      <c r="F241" s="845" t="s">
        <v>1139</v>
      </c>
      <c r="G241" s="876" t="s">
        <v>1140</v>
      </c>
      <c r="H241" s="876" t="s">
        <v>1085</v>
      </c>
      <c r="I241" s="876"/>
      <c r="J241" s="876"/>
      <c r="K241" t="s">
        <v>1150</v>
      </c>
    </row>
    <row r="242" spans="1:11" ht="23.25">
      <c r="A242" s="875"/>
      <c r="B242" s="877" t="s">
        <v>1141</v>
      </c>
      <c r="C242" s="878"/>
      <c r="D242" s="874"/>
      <c r="E242" s="874"/>
      <c r="F242" s="878"/>
      <c r="G242" s="876"/>
      <c r="H242" s="811" t="s">
        <v>1142</v>
      </c>
      <c r="I242" s="846" t="s">
        <v>1143</v>
      </c>
      <c r="J242" s="811" t="s">
        <v>1144</v>
      </c>
      <c r="K242" t="s">
        <v>1150</v>
      </c>
    </row>
    <row r="243" spans="1:11">
      <c r="A243" s="847" t="s">
        <v>1115</v>
      </c>
      <c r="B243" s="848"/>
      <c r="C243" s="849"/>
      <c r="D243" s="849"/>
      <c r="E243" s="849"/>
      <c r="F243" s="849"/>
      <c r="G243" s="858">
        <f>AVERAGE(G244:G247)*'Tourism Medium DB-LCU'!I151</f>
        <v>6416.1892500000004</v>
      </c>
      <c r="H243" s="849"/>
      <c r="I243" s="849"/>
      <c r="J243" s="849"/>
      <c r="K243" t="s">
        <v>1150</v>
      </c>
    </row>
    <row r="244" spans="1:11">
      <c r="A244" s="850" t="s">
        <v>1145</v>
      </c>
      <c r="B244" s="851">
        <v>30091</v>
      </c>
      <c r="C244" s="852">
        <v>14262</v>
      </c>
      <c r="D244" s="852">
        <v>9637</v>
      </c>
      <c r="E244" s="852">
        <v>7525</v>
      </c>
      <c r="F244" s="852">
        <v>5422</v>
      </c>
      <c r="G244" s="852">
        <v>14331</v>
      </c>
      <c r="H244" s="852">
        <v>12045</v>
      </c>
      <c r="I244" s="852">
        <v>13920</v>
      </c>
      <c r="J244" s="852">
        <v>21041</v>
      </c>
      <c r="K244" t="s">
        <v>1150</v>
      </c>
    </row>
    <row r="245" spans="1:11">
      <c r="A245" s="850" t="s">
        <v>1146</v>
      </c>
      <c r="B245" s="851">
        <v>35651</v>
      </c>
      <c r="C245" s="852">
        <v>16873</v>
      </c>
      <c r="D245" s="852">
        <v>10386</v>
      </c>
      <c r="E245" s="852">
        <v>7894</v>
      </c>
      <c r="F245" s="852">
        <v>7182</v>
      </c>
      <c r="G245" s="852">
        <v>15952</v>
      </c>
      <c r="H245" s="852">
        <v>14617</v>
      </c>
      <c r="I245" s="852">
        <v>13667</v>
      </c>
      <c r="J245" s="852">
        <v>20239</v>
      </c>
      <c r="K245" t="s">
        <v>1150</v>
      </c>
    </row>
    <row r="246" spans="1:11">
      <c r="A246" s="850" t="s">
        <v>1147</v>
      </c>
      <c r="B246" s="851">
        <v>30714</v>
      </c>
      <c r="C246" s="852">
        <v>15273</v>
      </c>
      <c r="D246" s="852">
        <v>11094</v>
      </c>
      <c r="E246" s="852">
        <v>8264</v>
      </c>
      <c r="F246" s="852">
        <v>7494</v>
      </c>
      <c r="G246" s="852">
        <v>14461</v>
      </c>
      <c r="H246" s="852">
        <v>13499</v>
      </c>
      <c r="I246" s="852">
        <v>15823</v>
      </c>
      <c r="J246" s="852">
        <v>17204</v>
      </c>
      <c r="K246" t="s">
        <v>1150</v>
      </c>
    </row>
    <row r="247" spans="1:11">
      <c r="A247" s="850" t="s">
        <v>1148</v>
      </c>
      <c r="B247" s="851">
        <v>25707</v>
      </c>
      <c r="C247" s="852">
        <v>14760</v>
      </c>
      <c r="D247" s="852">
        <v>10563</v>
      </c>
      <c r="E247" s="852">
        <v>7604</v>
      </c>
      <c r="F247" s="852">
        <v>7398</v>
      </c>
      <c r="G247" s="852">
        <v>14803</v>
      </c>
      <c r="H247" s="852">
        <v>15782</v>
      </c>
      <c r="I247" s="852">
        <v>16056</v>
      </c>
      <c r="J247" s="852">
        <v>17083</v>
      </c>
      <c r="K247" t="s">
        <v>1150</v>
      </c>
    </row>
    <row r="248" spans="1:11">
      <c r="A248" s="847" t="s">
        <v>1116</v>
      </c>
      <c r="B248" s="853"/>
      <c r="C248" s="853"/>
      <c r="D248" s="853"/>
      <c r="E248" s="853"/>
      <c r="F248" s="853"/>
      <c r="G248" s="858">
        <f>AVERAGE(G249:G252)*'Tourism Medium DB-LCU'!J151</f>
        <v>6286.5022499999995</v>
      </c>
      <c r="H248" s="853"/>
      <c r="I248" s="853"/>
      <c r="J248" s="853"/>
      <c r="K248" t="s">
        <v>1150</v>
      </c>
    </row>
    <row r="249" spans="1:11">
      <c r="A249" s="850" t="s">
        <v>1145</v>
      </c>
      <c r="B249" s="851">
        <v>24943</v>
      </c>
      <c r="C249" s="852">
        <v>13185</v>
      </c>
      <c r="D249" s="852">
        <v>8668</v>
      </c>
      <c r="E249" s="852">
        <v>7310</v>
      </c>
      <c r="F249" s="852">
        <v>6477</v>
      </c>
      <c r="G249" s="852">
        <v>13179</v>
      </c>
      <c r="H249" s="852">
        <v>11370</v>
      </c>
      <c r="I249" s="852">
        <v>13894</v>
      </c>
      <c r="J249" s="852">
        <v>13870</v>
      </c>
      <c r="K249" t="s">
        <v>1150</v>
      </c>
    </row>
    <row r="250" spans="1:11">
      <c r="A250" s="850" t="s">
        <v>1146</v>
      </c>
      <c r="B250" s="851">
        <v>30053</v>
      </c>
      <c r="C250" s="852">
        <v>15040</v>
      </c>
      <c r="D250" s="852">
        <v>9682</v>
      </c>
      <c r="E250" s="852">
        <v>7780</v>
      </c>
      <c r="F250" s="852">
        <v>6726</v>
      </c>
      <c r="G250" s="852">
        <v>14775</v>
      </c>
      <c r="H250" s="852">
        <v>14056</v>
      </c>
      <c r="I250" s="852">
        <v>14677</v>
      </c>
      <c r="J250" s="852">
        <v>14995</v>
      </c>
      <c r="K250" t="s">
        <v>1150</v>
      </c>
    </row>
    <row r="251" spans="1:11">
      <c r="A251" s="850" t="s">
        <v>1147</v>
      </c>
      <c r="B251" s="851">
        <v>30824</v>
      </c>
      <c r="C251" s="854">
        <v>14792</v>
      </c>
      <c r="D251" s="854">
        <v>10132</v>
      </c>
      <c r="E251" s="854">
        <v>8188</v>
      </c>
      <c r="F251" s="854">
        <v>6129</v>
      </c>
      <c r="G251" s="854">
        <v>14062</v>
      </c>
      <c r="H251" s="854">
        <v>13583</v>
      </c>
      <c r="I251" s="854">
        <v>15074</v>
      </c>
      <c r="J251" s="854">
        <v>12193</v>
      </c>
      <c r="K251" t="s">
        <v>1150</v>
      </c>
    </row>
    <row r="252" spans="1:11">
      <c r="A252" s="850" t="s">
        <v>1148</v>
      </c>
      <c r="B252" s="851">
        <v>29271</v>
      </c>
      <c r="C252" s="854">
        <v>14671</v>
      </c>
      <c r="D252" s="854">
        <v>9458</v>
      </c>
      <c r="E252" s="854">
        <v>7118</v>
      </c>
      <c r="F252" s="854">
        <v>6086</v>
      </c>
      <c r="G252" s="854">
        <v>14747</v>
      </c>
      <c r="H252" s="854">
        <v>15277</v>
      </c>
      <c r="I252" s="854">
        <v>15915</v>
      </c>
      <c r="J252" s="854">
        <v>14144</v>
      </c>
      <c r="K252" t="s">
        <v>1150</v>
      </c>
    </row>
    <row r="253" spans="1:11">
      <c r="A253" s="847" t="s">
        <v>1117</v>
      </c>
      <c r="B253" s="853"/>
      <c r="C253" s="853"/>
      <c r="D253" s="853"/>
      <c r="E253" s="853"/>
      <c r="F253" s="853"/>
      <c r="G253" s="858">
        <f>AVERAGE(G254:G257)*'Tourism Medium DB-LCU'!K151</f>
        <v>6628.8779999999997</v>
      </c>
      <c r="H253" s="853"/>
      <c r="I253" s="853"/>
      <c r="J253" s="853"/>
      <c r="K253" t="s">
        <v>1150</v>
      </c>
    </row>
    <row r="254" spans="1:11">
      <c r="A254" s="850" t="s">
        <v>1145</v>
      </c>
      <c r="B254" s="851">
        <v>26836</v>
      </c>
      <c r="C254" s="851">
        <v>12983</v>
      </c>
      <c r="D254" s="851">
        <v>8618</v>
      </c>
      <c r="E254" s="851">
        <v>7171</v>
      </c>
      <c r="F254" s="851">
        <v>7089</v>
      </c>
      <c r="G254" s="851">
        <v>13022</v>
      </c>
      <c r="H254" s="851">
        <v>11146</v>
      </c>
      <c r="I254" s="851">
        <v>12936</v>
      </c>
      <c r="J254" s="851">
        <v>13672</v>
      </c>
      <c r="K254" t="s">
        <v>1150</v>
      </c>
    </row>
    <row r="255" spans="1:11">
      <c r="A255" s="850" t="s">
        <v>1146</v>
      </c>
      <c r="B255" s="851">
        <v>35077</v>
      </c>
      <c r="C255" s="851">
        <v>14823</v>
      </c>
      <c r="D255" s="851">
        <v>9410</v>
      </c>
      <c r="E255" s="851">
        <v>7285</v>
      </c>
      <c r="F255" s="851">
        <v>7260</v>
      </c>
      <c r="G255" s="851">
        <v>15143</v>
      </c>
      <c r="H255" s="851">
        <v>12145</v>
      </c>
      <c r="I255" s="851">
        <v>13481</v>
      </c>
      <c r="J255" s="851">
        <v>17139</v>
      </c>
      <c r="K255" t="s">
        <v>1150</v>
      </c>
    </row>
    <row r="256" spans="1:11">
      <c r="A256" s="850" t="s">
        <v>1147</v>
      </c>
      <c r="B256" s="851">
        <v>29790</v>
      </c>
      <c r="C256" s="851">
        <v>14346</v>
      </c>
      <c r="D256" s="851">
        <v>10292</v>
      </c>
      <c r="E256" s="851">
        <v>8597</v>
      </c>
      <c r="F256" s="851">
        <v>7969</v>
      </c>
      <c r="G256" s="851">
        <v>13830</v>
      </c>
      <c r="H256" s="851">
        <v>12230</v>
      </c>
      <c r="I256" s="851">
        <v>15105</v>
      </c>
      <c r="J256" s="851">
        <v>15298</v>
      </c>
      <c r="K256" t="s">
        <v>1150</v>
      </c>
    </row>
    <row r="257" spans="1:11">
      <c r="A257" s="850" t="s">
        <v>1148</v>
      </c>
      <c r="B257" s="851">
        <v>33838</v>
      </c>
      <c r="C257" s="851">
        <v>15356</v>
      </c>
      <c r="D257" s="851">
        <v>10100</v>
      </c>
      <c r="E257" s="851">
        <v>7429</v>
      </c>
      <c r="F257" s="851">
        <v>6552</v>
      </c>
      <c r="G257" s="851">
        <v>15773</v>
      </c>
      <c r="H257" s="851">
        <v>14915</v>
      </c>
      <c r="I257" s="851">
        <v>16384</v>
      </c>
      <c r="J257" s="851">
        <v>17830</v>
      </c>
      <c r="K257" t="s">
        <v>1150</v>
      </c>
    </row>
    <row r="258" spans="1:11">
      <c r="A258" s="847" t="s">
        <v>1118</v>
      </c>
      <c r="B258" s="853"/>
      <c r="C258" s="853"/>
      <c r="D258" s="853"/>
      <c r="E258" s="853"/>
      <c r="F258" s="853"/>
      <c r="G258" s="858">
        <f>AVERAGE(G259:G262)*'Tourism Medium DB-LCU'!L151</f>
        <v>6974.3362500000003</v>
      </c>
      <c r="H258" s="853"/>
      <c r="I258" s="853"/>
      <c r="J258" s="853"/>
      <c r="K258" t="s">
        <v>1150</v>
      </c>
    </row>
    <row r="259" spans="1:11">
      <c r="A259" s="850" t="s">
        <v>1145</v>
      </c>
      <c r="B259" s="851">
        <v>29917</v>
      </c>
      <c r="C259" s="851">
        <v>12571</v>
      </c>
      <c r="D259" s="851">
        <v>8481</v>
      </c>
      <c r="E259" s="851">
        <v>6383</v>
      </c>
      <c r="F259" s="851">
        <v>6234</v>
      </c>
      <c r="G259" s="851">
        <v>13080</v>
      </c>
      <c r="H259" s="851">
        <v>10585</v>
      </c>
      <c r="I259" s="851">
        <v>13661</v>
      </c>
      <c r="J259" s="851">
        <v>13377</v>
      </c>
      <c r="K259" t="s">
        <v>1150</v>
      </c>
    </row>
    <row r="260" spans="1:11">
      <c r="A260" s="850" t="s">
        <v>1146</v>
      </c>
      <c r="B260" s="855">
        <v>38395</v>
      </c>
      <c r="C260" s="855">
        <v>15191</v>
      </c>
      <c r="D260" s="855">
        <v>9935</v>
      </c>
      <c r="E260" s="855">
        <v>7132</v>
      </c>
      <c r="F260" s="855">
        <v>6129</v>
      </c>
      <c r="G260" s="855">
        <v>15820</v>
      </c>
      <c r="H260" s="855">
        <v>14629</v>
      </c>
      <c r="I260" s="855">
        <v>14704</v>
      </c>
      <c r="J260" s="855">
        <v>16201</v>
      </c>
      <c r="K260" t="s">
        <v>1150</v>
      </c>
    </row>
    <row r="261" spans="1:11">
      <c r="A261" s="850" t="s">
        <v>1147</v>
      </c>
      <c r="B261" s="855">
        <v>31892</v>
      </c>
      <c r="C261" s="855">
        <v>15290</v>
      </c>
      <c r="D261" s="855">
        <v>10909</v>
      </c>
      <c r="E261" s="855">
        <v>7663</v>
      </c>
      <c r="F261" s="855">
        <v>8833</v>
      </c>
      <c r="G261" s="855">
        <v>14852</v>
      </c>
      <c r="H261" s="855">
        <v>14041</v>
      </c>
      <c r="I261" s="855">
        <v>16974</v>
      </c>
      <c r="J261" s="855">
        <v>14988</v>
      </c>
      <c r="K261" t="s">
        <v>1150</v>
      </c>
    </row>
    <row r="262" spans="1:11">
      <c r="A262" s="850" t="s">
        <v>1148</v>
      </c>
      <c r="B262" s="855">
        <v>28763</v>
      </c>
      <c r="C262" s="855">
        <v>14683</v>
      </c>
      <c r="D262" s="855">
        <v>9576</v>
      </c>
      <c r="E262" s="855">
        <v>6951</v>
      </c>
      <c r="F262" s="855">
        <v>7049</v>
      </c>
      <c r="G262" s="855">
        <v>14733</v>
      </c>
      <c r="H262" s="855">
        <v>14430</v>
      </c>
      <c r="I262" s="855">
        <v>17394</v>
      </c>
      <c r="J262" s="855">
        <v>16341</v>
      </c>
      <c r="K262" t="s">
        <v>1150</v>
      </c>
    </row>
    <row r="263" spans="1:11">
      <c r="A263" s="847" t="s">
        <v>1149</v>
      </c>
      <c r="B263" s="829"/>
      <c r="C263" s="829"/>
      <c r="D263" s="829"/>
      <c r="E263" s="829"/>
      <c r="F263" s="829"/>
      <c r="G263" s="829"/>
      <c r="H263" s="829"/>
      <c r="I263" s="829"/>
      <c r="J263" s="829"/>
      <c r="K263" t="s">
        <v>1150</v>
      </c>
    </row>
    <row r="264" spans="1:11">
      <c r="A264" s="850" t="s">
        <v>1145</v>
      </c>
      <c r="B264" s="856">
        <v>26539</v>
      </c>
      <c r="C264" s="856">
        <v>13015</v>
      </c>
      <c r="D264" s="856">
        <v>8405</v>
      </c>
      <c r="E264" s="856" t="s">
        <v>1130</v>
      </c>
      <c r="F264" s="856" t="s">
        <v>1130</v>
      </c>
      <c r="G264" s="856">
        <v>13028</v>
      </c>
      <c r="H264" s="856">
        <v>11081</v>
      </c>
      <c r="I264" s="857" t="s">
        <v>1088</v>
      </c>
      <c r="J264" s="857" t="s">
        <v>1088</v>
      </c>
      <c r="K264" t="s">
        <v>1150</v>
      </c>
    </row>
    <row r="265" spans="1:11">
      <c r="A265" s="850" t="s">
        <v>1146</v>
      </c>
      <c r="B265" s="856">
        <v>33527</v>
      </c>
      <c r="C265" s="856">
        <v>16244</v>
      </c>
      <c r="D265" s="856">
        <v>10266</v>
      </c>
      <c r="E265" s="856" t="s">
        <v>1130</v>
      </c>
      <c r="F265" s="856" t="s">
        <v>1130</v>
      </c>
      <c r="G265" s="856">
        <v>16173</v>
      </c>
      <c r="H265" s="856">
        <v>14896</v>
      </c>
      <c r="I265" s="857" t="s">
        <v>1088</v>
      </c>
      <c r="J265" s="857" t="s">
        <v>1088</v>
      </c>
      <c r="K265" t="s">
        <v>1150</v>
      </c>
    </row>
    <row r="266" spans="1:11">
      <c r="A266" s="850" t="s">
        <v>1147</v>
      </c>
      <c r="B266" s="856">
        <v>32494</v>
      </c>
      <c r="C266" s="856">
        <v>15774</v>
      </c>
      <c r="D266" s="856">
        <v>11566</v>
      </c>
      <c r="E266" s="856" t="s">
        <v>1130</v>
      </c>
      <c r="F266" s="856" t="s">
        <v>1130</v>
      </c>
      <c r="G266" s="856">
        <v>15837</v>
      </c>
      <c r="H266" s="856">
        <v>14300</v>
      </c>
      <c r="I266" s="856" t="s">
        <v>1088</v>
      </c>
      <c r="J266" s="856" t="s">
        <v>1088</v>
      </c>
      <c r="K266" t="s">
        <v>1150</v>
      </c>
    </row>
    <row r="270" spans="1:11">
      <c r="D270" t="s">
        <v>1151</v>
      </c>
      <c r="E270" s="252">
        <f>'Tourism Medium DB-LCU'!H150</f>
        <v>65815</v>
      </c>
      <c r="F270" s="252">
        <f>'Tourism Medium DB-LCU'!I150</f>
        <v>67310</v>
      </c>
      <c r="G270" s="252">
        <f>'Tourism Medium DB-LCU'!J150</f>
        <v>69129</v>
      </c>
      <c r="H270" s="252">
        <f>'Tourism Medium DB-LCU'!K150</f>
        <v>66029</v>
      </c>
      <c r="I270" s="252">
        <f>'Tourism Medium DB-LCU'!L150</f>
        <v>70252</v>
      </c>
    </row>
    <row r="271" spans="1:11">
      <c r="D271" t="s">
        <v>1152</v>
      </c>
      <c r="E271">
        <f>FORECAST(E270,F271:I271,F270:I270)</f>
        <v>6447.7088935667107</v>
      </c>
      <c r="F271" s="244">
        <f>'Tourism Medium DB-LCU'!I154</f>
        <v>6416.1892500000004</v>
      </c>
      <c r="G271" s="244">
        <f>'Tourism Medium DB-LCU'!J154</f>
        <v>6286.5022499999995</v>
      </c>
      <c r="H271" s="244">
        <f>'Tourism Medium DB-LCU'!K154</f>
        <v>6628.8779999999997</v>
      </c>
      <c r="I271" s="244">
        <f>'Tourism Medium DB-LCU'!L154</f>
        <v>6974.3362500000003</v>
      </c>
    </row>
    <row r="272" spans="1:11">
      <c r="F272">
        <f>F271/E271-1</f>
        <v>-4.888502891028379E-3</v>
      </c>
      <c r="G272">
        <f>G271/F271-1</f>
        <v>-2.0212464898849536E-2</v>
      </c>
      <c r="H272">
        <f>H271/G271-1</f>
        <v>5.446204206798777E-2</v>
      </c>
      <c r="I272">
        <f>I271/H271-1</f>
        <v>5.211413605741444E-2</v>
      </c>
    </row>
    <row r="279" spans="1:1">
      <c r="A279" t="s">
        <v>1153</v>
      </c>
    </row>
    <row r="280" spans="1:1">
      <c r="A280" t="s">
        <v>1161</v>
      </c>
    </row>
    <row r="281" spans="1:1">
      <c r="A281" t="s">
        <v>1165</v>
      </c>
    </row>
    <row r="282" spans="1:1">
      <c r="A282" t="s">
        <v>1162</v>
      </c>
    </row>
    <row r="283" spans="1:1">
      <c r="A283" t="s">
        <v>1163</v>
      </c>
    </row>
    <row r="284" spans="1:1">
      <c r="A284" t="s">
        <v>1164</v>
      </c>
    </row>
    <row r="285" spans="1:1">
      <c r="A285" t="s">
        <v>1166</v>
      </c>
    </row>
    <row r="286" spans="1:1">
      <c r="A286" t="s">
        <v>1167</v>
      </c>
    </row>
    <row r="287" spans="1:1">
      <c r="A287" t="s">
        <v>1168</v>
      </c>
    </row>
    <row r="290" spans="1:11">
      <c r="F290">
        <v>2008</v>
      </c>
      <c r="G290">
        <v>2009</v>
      </c>
      <c r="H290">
        <v>2010</v>
      </c>
      <c r="I290">
        <v>2011</v>
      </c>
      <c r="J290">
        <v>2012</v>
      </c>
      <c r="K290" t="s">
        <v>1184</v>
      </c>
    </row>
    <row r="291" spans="1:11">
      <c r="A291" t="s">
        <v>1154</v>
      </c>
      <c r="D291" t="s">
        <v>1159</v>
      </c>
      <c r="F291">
        <v>2776.6487731204575</v>
      </c>
      <c r="G291">
        <v>2543.7386416274685</v>
      </c>
      <c r="H291">
        <v>2604.7427971925222</v>
      </c>
      <c r="I291">
        <v>2931.4914285985346</v>
      </c>
      <c r="J291">
        <v>3182.8044074299137</v>
      </c>
      <c r="K291" t="s">
        <v>1184</v>
      </c>
    </row>
    <row r="292" spans="1:11">
      <c r="A292" t="s">
        <v>1154</v>
      </c>
      <c r="B292" t="s">
        <v>1155</v>
      </c>
      <c r="D292" t="s">
        <v>1159</v>
      </c>
      <c r="F292">
        <v>576.91615108519773</v>
      </c>
      <c r="G292">
        <v>525.32023400964795</v>
      </c>
      <c r="H292">
        <v>530.47111035846444</v>
      </c>
      <c r="I292">
        <v>561.9846673194445</v>
      </c>
      <c r="J292">
        <v>567.68475817437456</v>
      </c>
      <c r="K292" t="s">
        <v>1184</v>
      </c>
    </row>
    <row r="293" spans="1:11">
      <c r="A293" t="s">
        <v>1154</v>
      </c>
      <c r="B293" t="s">
        <v>1155</v>
      </c>
      <c r="C293" t="s">
        <v>19</v>
      </c>
      <c r="D293" t="s">
        <v>1159</v>
      </c>
      <c r="F293">
        <v>63.16253605257161</v>
      </c>
      <c r="G293">
        <v>57.761169918150223</v>
      </c>
      <c r="H293">
        <v>58.619112003114125</v>
      </c>
      <c r="I293">
        <v>62.405703935157071</v>
      </c>
      <c r="J293">
        <v>62.838343663740091</v>
      </c>
      <c r="K293" t="s">
        <v>1184</v>
      </c>
    </row>
    <row r="294" spans="1:11">
      <c r="A294" t="s">
        <v>1154</v>
      </c>
      <c r="B294" t="s">
        <v>1155</v>
      </c>
      <c r="C294" t="s">
        <v>20</v>
      </c>
      <c r="D294" t="s">
        <v>1159</v>
      </c>
      <c r="F294">
        <v>513.75361503262616</v>
      </c>
      <c r="G294">
        <v>467.5590640914977</v>
      </c>
      <c r="H294">
        <v>471.8519983553503</v>
      </c>
      <c r="I294">
        <v>499.57896338428742</v>
      </c>
      <c r="J294">
        <v>504.84641451063442</v>
      </c>
      <c r="K294" t="s">
        <v>1184</v>
      </c>
    </row>
    <row r="295" spans="1:11">
      <c r="A295" t="s">
        <v>1154</v>
      </c>
      <c r="B295" t="s">
        <v>1156</v>
      </c>
      <c r="D295" t="s">
        <v>1159</v>
      </c>
      <c r="F295">
        <v>984.0392104422989</v>
      </c>
      <c r="G295">
        <v>900.19595273302286</v>
      </c>
      <c r="H295">
        <v>920.80096712793215</v>
      </c>
      <c r="I295">
        <v>1027.7034902156477</v>
      </c>
      <c r="J295">
        <v>1115.3174179867028</v>
      </c>
      <c r="K295" t="s">
        <v>1184</v>
      </c>
    </row>
    <row r="296" spans="1:11">
      <c r="A296" t="s">
        <v>1154</v>
      </c>
      <c r="B296" t="s">
        <v>1156</v>
      </c>
      <c r="C296" t="s">
        <v>19</v>
      </c>
      <c r="D296" t="s">
        <v>1159</v>
      </c>
      <c r="F296">
        <v>173.47541826860294</v>
      </c>
      <c r="G296">
        <v>159.0656529614364</v>
      </c>
      <c r="H296">
        <v>163.31716827598149</v>
      </c>
      <c r="I296">
        <v>181.21641481878001</v>
      </c>
      <c r="J296">
        <v>196.13923091061014</v>
      </c>
      <c r="K296" t="s">
        <v>1184</v>
      </c>
    </row>
    <row r="297" spans="1:11">
      <c r="A297" t="s">
        <v>1154</v>
      </c>
      <c r="B297" t="s">
        <v>1156</v>
      </c>
      <c r="C297" t="s">
        <v>20</v>
      </c>
      <c r="D297" t="s">
        <v>1159</v>
      </c>
      <c r="F297">
        <v>810.5637921736959</v>
      </c>
      <c r="G297">
        <v>741.13029977158646</v>
      </c>
      <c r="H297">
        <v>757.48379885195072</v>
      </c>
      <c r="I297">
        <v>846.48707539686768</v>
      </c>
      <c r="J297">
        <v>919.17818707609263</v>
      </c>
      <c r="K297" t="s">
        <v>1184</v>
      </c>
    </row>
    <row r="298" spans="1:11">
      <c r="A298" t="s">
        <v>1154</v>
      </c>
      <c r="B298" t="s">
        <v>1157</v>
      </c>
      <c r="D298" t="s">
        <v>1159</v>
      </c>
      <c r="F298">
        <v>630.91281949212635</v>
      </c>
      <c r="G298">
        <v>572.13081138479833</v>
      </c>
      <c r="H298">
        <v>605.06398847524952</v>
      </c>
      <c r="I298">
        <v>736.9847658994845</v>
      </c>
      <c r="J298">
        <v>800.06648625609103</v>
      </c>
      <c r="K298" t="s">
        <v>1184</v>
      </c>
    </row>
    <row r="299" spans="1:11">
      <c r="A299" t="s">
        <v>1154</v>
      </c>
      <c r="B299" t="s">
        <v>1158</v>
      </c>
      <c r="C299" t="s">
        <v>19</v>
      </c>
      <c r="D299" t="s">
        <v>1159</v>
      </c>
      <c r="F299">
        <v>148.36827527852296</v>
      </c>
      <c r="G299">
        <v>135.68582730611271</v>
      </c>
      <c r="H299">
        <v>147.92429121441126</v>
      </c>
      <c r="I299">
        <v>178.61670749109476</v>
      </c>
      <c r="J299">
        <v>194.71027337705141</v>
      </c>
      <c r="K299" t="s">
        <v>1184</v>
      </c>
    </row>
    <row r="300" spans="1:11">
      <c r="A300" t="s">
        <v>1154</v>
      </c>
      <c r="B300" t="s">
        <v>1158</v>
      </c>
      <c r="C300" t="s">
        <v>20</v>
      </c>
      <c r="D300" t="s">
        <v>1159</v>
      </c>
      <c r="F300">
        <v>482.54454421360339</v>
      </c>
      <c r="G300">
        <v>436.44498407868559</v>
      </c>
      <c r="H300">
        <v>457.13969726083826</v>
      </c>
      <c r="I300">
        <v>558.36805840838974</v>
      </c>
      <c r="J300">
        <v>605.35621287903962</v>
      </c>
      <c r="K300" t="s">
        <v>1184</v>
      </c>
    </row>
    <row r="301" spans="1:11">
      <c r="A301" t="s">
        <v>1154</v>
      </c>
      <c r="B301" t="s">
        <v>1158</v>
      </c>
      <c r="D301" t="s">
        <v>1159</v>
      </c>
      <c r="F301">
        <v>584.78059210083461</v>
      </c>
      <c r="G301">
        <v>546.09164349999924</v>
      </c>
      <c r="H301">
        <v>548.40673123087606</v>
      </c>
      <c r="I301">
        <v>604.81850516395809</v>
      </c>
      <c r="J301">
        <v>651.64730650744877</v>
      </c>
      <c r="K301" t="s">
        <v>1184</v>
      </c>
    </row>
    <row r="302" spans="1:11">
      <c r="A302" t="s">
        <v>1154</v>
      </c>
      <c r="B302" t="s">
        <v>1158</v>
      </c>
      <c r="C302" t="s">
        <v>19</v>
      </c>
      <c r="D302" t="s">
        <v>1159</v>
      </c>
      <c r="F302">
        <v>168.65072276188067</v>
      </c>
      <c r="G302">
        <v>157.7658758071498</v>
      </c>
      <c r="H302">
        <v>159.03795205695405</v>
      </c>
      <c r="I302">
        <v>175.13124635527572</v>
      </c>
      <c r="J302">
        <v>188.41815778505648</v>
      </c>
      <c r="K302" t="s">
        <v>1184</v>
      </c>
    </row>
    <row r="303" spans="1:11">
      <c r="A303" t="s">
        <v>1154</v>
      </c>
      <c r="B303" t="s">
        <v>1158</v>
      </c>
      <c r="C303" t="s">
        <v>20</v>
      </c>
      <c r="D303" t="s">
        <v>1159</v>
      </c>
      <c r="F303">
        <v>416.12986933895394</v>
      </c>
      <c r="G303">
        <v>388.32576769284947</v>
      </c>
      <c r="H303">
        <v>389.36877917392201</v>
      </c>
      <c r="I303">
        <v>429.68725880868237</v>
      </c>
      <c r="J303">
        <v>463.22914872239232</v>
      </c>
      <c r="K303" t="s">
        <v>1184</v>
      </c>
    </row>
    <row r="307" spans="1:10">
      <c r="A307" t="s">
        <v>1182</v>
      </c>
      <c r="F307">
        <f>F301+F298</f>
        <v>1215.693411592961</v>
      </c>
      <c r="G307">
        <f t="shared" ref="G307:J307" si="4">G301+G298</f>
        <v>1118.2224548847976</v>
      </c>
      <c r="H307">
        <f t="shared" si="4"/>
        <v>1153.4707197061257</v>
      </c>
      <c r="I307">
        <f t="shared" si="4"/>
        <v>1341.8032710634425</v>
      </c>
      <c r="J307">
        <f t="shared" si="4"/>
        <v>1451.7137927635399</v>
      </c>
    </row>
    <row r="308" spans="1:10">
      <c r="A308" t="s">
        <v>1183</v>
      </c>
      <c r="F308">
        <f>'Poland Hotel database'!H51+'Poland Hotel database'!H64+'Poland Hotel database'!H54+'Poland Hotel database'!H67</f>
        <v>2422.2545325975689</v>
      </c>
      <c r="G308">
        <f>'Poland Hotel database'!I51+'Poland Hotel database'!I64+'Poland Hotel database'!I54+'Poland Hotel database'!I67</f>
        <v>3119.773110335952</v>
      </c>
      <c r="H308">
        <f>'Poland Hotel database'!J51+'Poland Hotel database'!J64+'Poland Hotel database'!J54+'Poland Hotel database'!J67</f>
        <v>2833.5492591617949</v>
      </c>
      <c r="I308">
        <f>'Poland Hotel database'!K51+'Poland Hotel database'!K64+'Poland Hotel database'!K54+'Poland Hotel database'!K67</f>
        <v>2991.5743863493913</v>
      </c>
      <c r="J308">
        <f>'Poland Hotel database'!L51+'Poland Hotel database'!L64+'Poland Hotel database'!L54+'Poland Hotel database'!L67</f>
        <v>3482.8717014121335</v>
      </c>
    </row>
    <row r="310" spans="1:10">
      <c r="A310" s="84" t="s">
        <v>1181</v>
      </c>
      <c r="F310" s="101">
        <f>F307/F308</f>
        <v>0.50188508071002758</v>
      </c>
      <c r="G310" s="101">
        <f t="shared" ref="G310:J310" si="5">G307/G308</f>
        <v>0.35843069843126574</v>
      </c>
      <c r="H310" s="101">
        <f t="shared" si="5"/>
        <v>0.40707628991328676</v>
      </c>
      <c r="I310" s="101">
        <f t="shared" si="5"/>
        <v>0.44852746339389565</v>
      </c>
      <c r="J310" s="101">
        <f t="shared" si="5"/>
        <v>0.41681517931738377</v>
      </c>
    </row>
    <row r="311" spans="1:10">
      <c r="F311" s="101"/>
      <c r="G311" s="101"/>
      <c r="H311" s="101"/>
      <c r="I311" s="101"/>
      <c r="J311" s="101"/>
    </row>
    <row r="312" spans="1:10">
      <c r="A312" t="s">
        <v>1188</v>
      </c>
      <c r="F312" s="101">
        <f>'Poland Hotel database'!H57/'Poland Hotel database'!H70</f>
        <v>0.38997375490789649</v>
      </c>
      <c r="G312" s="101">
        <f>'Poland Hotel database'!I57/'Poland Hotel database'!I70</f>
        <v>0.38097285216910487</v>
      </c>
      <c r="H312" s="101">
        <f>'Poland Hotel database'!J57/'Poland Hotel database'!J70</f>
        <v>0.38334126998045226</v>
      </c>
      <c r="I312" s="101">
        <f>'Poland Hotel database'!K57/'Poland Hotel database'!K70</f>
        <v>0.38502515477270527</v>
      </c>
      <c r="J312" s="101">
        <f>'Poland Hotel database'!L57/'Poland Hotel database'!L70</f>
        <v>0.38322670670301517</v>
      </c>
    </row>
    <row r="314" spans="1:10">
      <c r="A314" t="s">
        <v>1160</v>
      </c>
      <c r="F314">
        <f>F312/F310</f>
        <v>0.77701802642985973</v>
      </c>
      <c r="G314">
        <f t="shared" ref="G314:J314" si="6">G312/G310</f>
        <v>1.0628912474196512</v>
      </c>
      <c r="H314">
        <f t="shared" si="6"/>
        <v>0.94169392686100584</v>
      </c>
      <c r="I314">
        <f t="shared" si="6"/>
        <v>0.85842046740976741</v>
      </c>
      <c r="J314">
        <f t="shared" si="6"/>
        <v>0.91941638817142823</v>
      </c>
    </row>
    <row r="318" spans="1:10">
      <c r="H318" t="s">
        <v>1186</v>
      </c>
      <c r="I318" t="s">
        <v>1185</v>
      </c>
    </row>
    <row r="319" spans="1:10">
      <c r="A319" s="84" t="s">
        <v>1187</v>
      </c>
      <c r="F319" s="859"/>
      <c r="G319" s="859"/>
      <c r="H319">
        <f>1-62.6%</f>
        <v>0.374</v>
      </c>
      <c r="I319">
        <f>1-57.2%</f>
        <v>0.42799999999999994</v>
      </c>
      <c r="J319" s="859"/>
    </row>
    <row r="321" spans="1:16">
      <c r="A321" t="s">
        <v>1189</v>
      </c>
      <c r="H321" s="101">
        <f>H319*H314</f>
        <v>0.35219352864601616</v>
      </c>
      <c r="I321" s="101">
        <f>I319*I314</f>
        <v>0.36740396005138037</v>
      </c>
    </row>
    <row r="322" spans="1:16">
      <c r="H322" s="101">
        <f>1-H321</f>
        <v>0.64780647135398384</v>
      </c>
      <c r="I322" s="101">
        <f>1-I321</f>
        <v>0.63259603994861968</v>
      </c>
    </row>
    <row r="324" spans="1:16">
      <c r="A324" t="s">
        <v>805</v>
      </c>
      <c r="F324" s="252">
        <f>'Tourism Medium DB-LCU'!H157</f>
        <v>424.35596083009307</v>
      </c>
      <c r="G324" s="252">
        <f>'Tourism Medium DB-LCU'!I157</f>
        <v>431.87369841750001</v>
      </c>
      <c r="H324" s="252">
        <f>'Tourism Medium DB-LCU'!J157</f>
        <v>434.57961404024996</v>
      </c>
      <c r="I324" s="252">
        <f>'Tourism Medium DB-LCU'!K157</f>
        <v>437.69818546199997</v>
      </c>
      <c r="J324" s="252">
        <f>'Tourism Medium DB-LCU'!L157</f>
        <v>489.96107023500002</v>
      </c>
      <c r="L324" s="101">
        <f t="shared" ref="L324:O326" si="7">G324/F324-1</f>
        <v>1.7715640361693819E-2</v>
      </c>
      <c r="M324" s="101">
        <f t="shared" si="7"/>
        <v>6.2655253900969488E-3</v>
      </c>
      <c r="N324" s="101">
        <f t="shared" si="7"/>
        <v>7.1760646864147404E-3</v>
      </c>
      <c r="O324" s="101">
        <f t="shared" si="7"/>
        <v>0.11940393291289397</v>
      </c>
    </row>
    <row r="325" spans="1:16">
      <c r="A325" t="s">
        <v>64</v>
      </c>
      <c r="F325" s="252">
        <f>F324+F326</f>
        <v>640.84587684422627</v>
      </c>
      <c r="G325" s="252">
        <f>G324+G326</f>
        <v>652.574628203575</v>
      </c>
      <c r="H325">
        <f>H324/H322</f>
        <v>670.8479048255457</v>
      </c>
      <c r="I325">
        <f>I324/I322</f>
        <v>691.90788089275804</v>
      </c>
      <c r="J325" s="252">
        <f>J324+J326</f>
        <v>1044.8435535685562</v>
      </c>
      <c r="L325" s="101">
        <f t="shared" si="7"/>
        <v>1.8301984584976339E-2</v>
      </c>
      <c r="M325" s="101">
        <f t="shared" si="7"/>
        <v>2.8001818998501182E-2</v>
      </c>
      <c r="N325" s="101">
        <f t="shared" si="7"/>
        <v>3.1393071239730563E-2</v>
      </c>
      <c r="O325" s="101">
        <f t="shared" si="7"/>
        <v>0.51009055167923623</v>
      </c>
    </row>
    <row r="326" spans="1:16">
      <c r="A326" t="s">
        <v>1190</v>
      </c>
      <c r="F326" s="252">
        <f>FORECAST(F324,G326:H326,G324:H324)*1.22</f>
        <v>216.48991601413323</v>
      </c>
      <c r="G326" s="252">
        <f>FORECAST(G324,H326:I326,H324:I324)</f>
        <v>220.70092978607499</v>
      </c>
      <c r="H326" s="252">
        <f>(H325-H324)</f>
        <v>236.26829078529573</v>
      </c>
      <c r="I326" s="252">
        <f>I325-I324</f>
        <v>254.20969543075807</v>
      </c>
      <c r="J326" s="252">
        <f>FORECAST(J324,H326:I326,H324:I324)</f>
        <v>554.88248333355614</v>
      </c>
      <c r="L326" s="101">
        <f t="shared" si="7"/>
        <v>1.945131602188277E-2</v>
      </c>
      <c r="M326" s="101">
        <f t="shared" si="7"/>
        <v>7.0536000977930335E-2</v>
      </c>
      <c r="N326" s="101">
        <f t="shared" si="7"/>
        <v>7.5936574416438418E-2</v>
      </c>
      <c r="O326" s="101">
        <f t="shared" si="7"/>
        <v>1.1827746671632973</v>
      </c>
    </row>
    <row r="328" spans="1:16">
      <c r="F328">
        <v>2008</v>
      </c>
      <c r="G328">
        <v>2009</v>
      </c>
      <c r="H328">
        <v>2010</v>
      </c>
      <c r="I328">
        <v>2011</v>
      </c>
      <c r="J328">
        <v>2012</v>
      </c>
      <c r="L328">
        <v>2008</v>
      </c>
      <c r="M328">
        <v>2009</v>
      </c>
      <c r="N328">
        <v>2010</v>
      </c>
      <c r="O328">
        <v>2011</v>
      </c>
      <c r="P328">
        <v>2012</v>
      </c>
    </row>
    <row r="329" spans="1:16">
      <c r="A329" t="str">
        <f>A324</f>
        <v>Room Revenue</v>
      </c>
      <c r="F329">
        <f>F324</f>
        <v>424.35596083009307</v>
      </c>
      <c r="G329">
        <f>G324</f>
        <v>431.87369841750001</v>
      </c>
      <c r="H329">
        <f t="shared" ref="H329:J329" si="8">H324</f>
        <v>434.57961404024996</v>
      </c>
      <c r="I329">
        <f t="shared" si="8"/>
        <v>437.69818546199997</v>
      </c>
      <c r="J329">
        <f t="shared" si="8"/>
        <v>489.96107023500002</v>
      </c>
      <c r="M329">
        <f>G329/F329-1</f>
        <v>1.7715640361693819E-2</v>
      </c>
      <c r="N329">
        <f t="shared" ref="N329:N331" si="9">H329/G329-1</f>
        <v>6.2655253900969488E-3</v>
      </c>
      <c r="O329">
        <f t="shared" ref="O329:O331" si="10">I329/H329-1</f>
        <v>7.1760646864147404E-3</v>
      </c>
      <c r="P329">
        <f t="shared" ref="P329:P331" si="11">J329/I329-1</f>
        <v>0.11940393291289397</v>
      </c>
    </row>
    <row r="330" spans="1:16">
      <c r="A330" t="str">
        <f t="shared" ref="A330:A331" si="12">A325</f>
        <v>Total Revenue</v>
      </c>
      <c r="F330" s="252">
        <f>F329+F331</f>
        <v>640.84587684422627</v>
      </c>
      <c r="G330" s="252">
        <f t="shared" ref="G330:J330" si="13">G329+G331</f>
        <v>652.574628203575</v>
      </c>
      <c r="H330" s="252">
        <f t="shared" si="13"/>
        <v>656.60761404024993</v>
      </c>
      <c r="I330" s="252">
        <f t="shared" si="13"/>
        <v>661.40271744106701</v>
      </c>
      <c r="J330" s="252">
        <f t="shared" si="13"/>
        <v>739.65818773510023</v>
      </c>
      <c r="M330">
        <f t="shared" ref="M330:M331" si="14">G330/F330-1</f>
        <v>1.8301984584976339E-2</v>
      </c>
      <c r="N330">
        <f t="shared" si="9"/>
        <v>6.1801143691060378E-3</v>
      </c>
      <c r="O330">
        <f t="shared" si="10"/>
        <v>7.3028446491989474E-3</v>
      </c>
      <c r="P330">
        <f t="shared" si="11"/>
        <v>0.11831743086390634</v>
      </c>
    </row>
    <row r="331" spans="1:16">
      <c r="A331" t="str">
        <f t="shared" si="12"/>
        <v>Non room revenue</v>
      </c>
      <c r="F331" s="252">
        <v>216.48991601413323</v>
      </c>
      <c r="G331">
        <v>220.70092978607499</v>
      </c>
      <c r="H331">
        <f>236.2*0.94</f>
        <v>222.02799999999996</v>
      </c>
      <c r="I331">
        <f>254.209695430758*0.88</f>
        <v>223.70453197906704</v>
      </c>
      <c r="J331">
        <f>554.882483333556*0.45</f>
        <v>249.69711750010021</v>
      </c>
      <c r="M331">
        <f t="shared" si="14"/>
        <v>1.945131602188277E-2</v>
      </c>
      <c r="N331">
        <f t="shared" si="9"/>
        <v>6.0129797151797781E-3</v>
      </c>
      <c r="O331">
        <f t="shared" si="10"/>
        <v>7.5509934740982665E-3</v>
      </c>
      <c r="P331">
        <f t="shared" si="11"/>
        <v>0.11619159116304978</v>
      </c>
    </row>
    <row r="338" spans="1:49">
      <c r="A338" s="803" t="s">
        <v>1192</v>
      </c>
    </row>
    <row r="340" spans="1:49">
      <c r="A340" s="803" t="s">
        <v>852</v>
      </c>
      <c r="B340" s="804">
        <v>41570.486273148148</v>
      </c>
    </row>
    <row r="341" spans="1:49">
      <c r="A341" s="803" t="s">
        <v>853</v>
      </c>
      <c r="B341" s="804">
        <v>41571.541251736111</v>
      </c>
    </row>
    <row r="342" spans="1:49">
      <c r="A342" s="803" t="s">
        <v>854</v>
      </c>
      <c r="B342" s="803" t="s">
        <v>243</v>
      </c>
    </row>
    <row r="343" spans="1:49">
      <c r="A343" s="803" t="s">
        <v>1062</v>
      </c>
      <c r="B343" s="803" t="s">
        <v>1063</v>
      </c>
    </row>
    <row r="344" spans="1:49">
      <c r="A344" s="803" t="s">
        <v>1064</v>
      </c>
      <c r="B344" s="803" t="s">
        <v>1193</v>
      </c>
    </row>
    <row r="345" spans="1:49">
      <c r="A345" s="803" t="s">
        <v>855</v>
      </c>
      <c r="B345" s="803" t="s">
        <v>856</v>
      </c>
    </row>
    <row r="346" spans="1:49">
      <c r="A346" s="803" t="s">
        <v>1066</v>
      </c>
      <c r="B346" s="803" t="s">
        <v>1069</v>
      </c>
    </row>
    <row r="348" spans="1:49">
      <c r="A348" s="805" t="s">
        <v>824</v>
      </c>
      <c r="B348" s="805" t="s">
        <v>1194</v>
      </c>
      <c r="C348" s="805" t="s">
        <v>1195</v>
      </c>
      <c r="D348" s="805" t="s">
        <v>1196</v>
      </c>
      <c r="E348" s="805" t="s">
        <v>1197</v>
      </c>
      <c r="F348" s="805" t="s">
        <v>1198</v>
      </c>
      <c r="G348" s="805" t="s">
        <v>1199</v>
      </c>
      <c r="H348" s="805" t="s">
        <v>1200</v>
      </c>
      <c r="I348" s="805" t="s">
        <v>1201</v>
      </c>
      <c r="J348" s="805" t="s">
        <v>1202</v>
      </c>
      <c r="K348" s="805" t="s">
        <v>1203</v>
      </c>
      <c r="L348" s="805" t="s">
        <v>1204</v>
      </c>
      <c r="M348" s="805" t="s">
        <v>1205</v>
      </c>
      <c r="N348" s="805" t="s">
        <v>1206</v>
      </c>
      <c r="O348" s="805" t="s">
        <v>1207</v>
      </c>
      <c r="P348" s="805" t="s">
        <v>1208</v>
      </c>
      <c r="Q348" s="805" t="s">
        <v>1209</v>
      </c>
      <c r="R348" s="805" t="s">
        <v>1210</v>
      </c>
      <c r="S348" s="805" t="s">
        <v>1211</v>
      </c>
      <c r="T348" s="805" t="s">
        <v>1212</v>
      </c>
      <c r="U348" s="805" t="s">
        <v>1213</v>
      </c>
      <c r="V348" s="805" t="s">
        <v>1214</v>
      </c>
      <c r="W348" s="805" t="s">
        <v>1215</v>
      </c>
      <c r="X348" s="805" t="s">
        <v>1216</v>
      </c>
      <c r="Y348" s="805" t="s">
        <v>1217</v>
      </c>
      <c r="Z348" s="805" t="s">
        <v>1218</v>
      </c>
      <c r="AA348" s="805" t="s">
        <v>1219</v>
      </c>
      <c r="AB348" s="805" t="s">
        <v>1220</v>
      </c>
      <c r="AC348" s="805" t="s">
        <v>1221</v>
      </c>
      <c r="AD348" s="805" t="s">
        <v>1222</v>
      </c>
      <c r="AE348" s="805" t="s">
        <v>1223</v>
      </c>
      <c r="AF348" s="805" t="s">
        <v>1224</v>
      </c>
      <c r="AG348" s="805" t="s">
        <v>1225</v>
      </c>
      <c r="AH348" s="805" t="s">
        <v>1226</v>
      </c>
      <c r="AI348" s="805" t="s">
        <v>1227</v>
      </c>
      <c r="AJ348" s="805" t="s">
        <v>1228</v>
      </c>
      <c r="AK348" s="805" t="s">
        <v>1229</v>
      </c>
      <c r="AL348" s="805" t="s">
        <v>1230</v>
      </c>
      <c r="AM348" s="805" t="s">
        <v>1231</v>
      </c>
      <c r="AN348" s="805" t="s">
        <v>1232</v>
      </c>
      <c r="AO348" s="805" t="s">
        <v>1233</v>
      </c>
      <c r="AP348" s="805" t="s">
        <v>1234</v>
      </c>
      <c r="AQ348" s="805" t="s">
        <v>1235</v>
      </c>
      <c r="AR348" s="805" t="s">
        <v>1236</v>
      </c>
      <c r="AS348" s="805" t="s">
        <v>1237</v>
      </c>
      <c r="AT348" s="805" t="s">
        <v>1238</v>
      </c>
      <c r="AU348" s="805" t="s">
        <v>1239</v>
      </c>
      <c r="AV348" s="805" t="s">
        <v>1240</v>
      </c>
      <c r="AW348" s="805" t="s">
        <v>1241</v>
      </c>
    </row>
    <row r="349" spans="1:49">
      <c r="A349" s="805" t="s">
        <v>128</v>
      </c>
      <c r="B349" s="806">
        <v>330766</v>
      </c>
      <c r="C349" s="806">
        <v>395984</v>
      </c>
      <c r="D349" s="806">
        <v>465202</v>
      </c>
      <c r="E349" s="806">
        <v>503665</v>
      </c>
      <c r="F349" s="806">
        <v>636840</v>
      </c>
      <c r="G349" s="806">
        <v>590665</v>
      </c>
      <c r="H349" s="806">
        <v>700709</v>
      </c>
      <c r="I349" s="806">
        <v>799981</v>
      </c>
      <c r="J349" s="806">
        <v>615913</v>
      </c>
      <c r="K349" s="806">
        <v>600025</v>
      </c>
      <c r="L349" s="806">
        <v>454617</v>
      </c>
      <c r="M349" s="806">
        <v>415038</v>
      </c>
      <c r="N349" s="806">
        <v>315680</v>
      </c>
      <c r="O349" s="806">
        <v>324725</v>
      </c>
      <c r="P349" s="806">
        <v>395345</v>
      </c>
      <c r="Q349" s="806">
        <v>477083</v>
      </c>
      <c r="R349" s="806">
        <v>556424</v>
      </c>
      <c r="S349" s="806">
        <v>549416</v>
      </c>
      <c r="T349" s="806">
        <v>673082</v>
      </c>
      <c r="U349" s="806">
        <v>765803</v>
      </c>
      <c r="V349" s="806">
        <v>560990</v>
      </c>
      <c r="W349" s="806">
        <v>551379</v>
      </c>
      <c r="X349" s="806">
        <v>415949</v>
      </c>
      <c r="Y349" s="806">
        <v>394298</v>
      </c>
      <c r="Z349" s="806">
        <v>310938</v>
      </c>
      <c r="AA349" s="806">
        <v>341665</v>
      </c>
      <c r="AB349" s="806">
        <v>427207</v>
      </c>
      <c r="AC349" s="806">
        <v>476389</v>
      </c>
      <c r="AD349" s="806">
        <v>577329</v>
      </c>
      <c r="AE349" s="806">
        <v>574653</v>
      </c>
      <c r="AF349" s="806">
        <v>704872</v>
      </c>
      <c r="AG349" s="806">
        <v>781495</v>
      </c>
      <c r="AH349" s="806">
        <v>610864</v>
      </c>
      <c r="AI349" s="806">
        <v>569538</v>
      </c>
      <c r="AJ349" s="806">
        <v>466641</v>
      </c>
      <c r="AK349" s="806">
        <v>419835</v>
      </c>
      <c r="AL349" s="806">
        <v>335026</v>
      </c>
      <c r="AM349" s="806">
        <v>358166</v>
      </c>
      <c r="AN349" s="806">
        <v>456194</v>
      </c>
      <c r="AO349" s="806">
        <v>541073</v>
      </c>
      <c r="AP349" s="806">
        <v>580884</v>
      </c>
      <c r="AQ349" s="806">
        <v>605738</v>
      </c>
      <c r="AR349" s="806">
        <v>718600</v>
      </c>
      <c r="AS349" s="806">
        <v>778070</v>
      </c>
      <c r="AT349" s="806">
        <v>635556</v>
      </c>
      <c r="AU349" s="806">
        <v>599556</v>
      </c>
      <c r="AV349" s="806">
        <v>481768</v>
      </c>
      <c r="AW349" s="806">
        <v>468062</v>
      </c>
    </row>
    <row r="351" spans="1:49">
      <c r="A351" s="803" t="s">
        <v>904</v>
      </c>
    </row>
    <row r="352" spans="1:49">
      <c r="A352" s="803" t="s">
        <v>869</v>
      </c>
      <c r="B352" s="803" t="s">
        <v>905</v>
      </c>
    </row>
    <row r="354" spans="1:49">
      <c r="A354" s="803" t="s">
        <v>1064</v>
      </c>
      <c r="B354" s="803" t="s">
        <v>1193</v>
      </c>
    </row>
    <row r="355" spans="1:49">
      <c r="A355" s="803" t="s">
        <v>855</v>
      </c>
      <c r="B355" s="803" t="s">
        <v>856</v>
      </c>
    </row>
    <row r="356" spans="1:49">
      <c r="A356" s="803" t="s">
        <v>1066</v>
      </c>
      <c r="B356" s="803" t="s">
        <v>1070</v>
      </c>
    </row>
    <row r="358" spans="1:49">
      <c r="A358" s="805" t="s">
        <v>824</v>
      </c>
      <c r="B358" s="805" t="s">
        <v>1194</v>
      </c>
      <c r="C358" s="805" t="s">
        <v>1195</v>
      </c>
      <c r="D358" s="805" t="s">
        <v>1196</v>
      </c>
      <c r="E358" s="805" t="s">
        <v>1197</v>
      </c>
      <c r="F358" s="805" t="s">
        <v>1198</v>
      </c>
      <c r="G358" s="805" t="s">
        <v>1199</v>
      </c>
      <c r="H358" s="805" t="s">
        <v>1200</v>
      </c>
      <c r="I358" s="805" t="s">
        <v>1201</v>
      </c>
      <c r="J358" s="805" t="s">
        <v>1202</v>
      </c>
      <c r="K358" s="805" t="s">
        <v>1203</v>
      </c>
      <c r="L358" s="805" t="s">
        <v>1204</v>
      </c>
      <c r="M358" s="805" t="s">
        <v>1205</v>
      </c>
      <c r="N358" s="805" t="s">
        <v>1206</v>
      </c>
      <c r="O358" s="805" t="s">
        <v>1207</v>
      </c>
      <c r="P358" s="805" t="s">
        <v>1208</v>
      </c>
      <c r="Q358" s="805" t="s">
        <v>1209</v>
      </c>
      <c r="R358" s="805" t="s">
        <v>1210</v>
      </c>
      <c r="S358" s="805" t="s">
        <v>1211</v>
      </c>
      <c r="T358" s="805" t="s">
        <v>1212</v>
      </c>
      <c r="U358" s="805" t="s">
        <v>1213</v>
      </c>
      <c r="V358" s="805" t="s">
        <v>1214</v>
      </c>
      <c r="W358" s="805" t="s">
        <v>1215</v>
      </c>
      <c r="X358" s="805" t="s">
        <v>1216</v>
      </c>
      <c r="Y358" s="805" t="s">
        <v>1217</v>
      </c>
      <c r="Z358" s="805" t="s">
        <v>1218</v>
      </c>
      <c r="AA358" s="805" t="s">
        <v>1219</v>
      </c>
      <c r="AB358" s="805" t="s">
        <v>1220</v>
      </c>
      <c r="AC358" s="805" t="s">
        <v>1221</v>
      </c>
      <c r="AD358" s="805" t="s">
        <v>1222</v>
      </c>
      <c r="AE358" s="805" t="s">
        <v>1223</v>
      </c>
      <c r="AF358" s="805" t="s">
        <v>1224</v>
      </c>
      <c r="AG358" s="805" t="s">
        <v>1225</v>
      </c>
      <c r="AH358" s="805" t="s">
        <v>1226</v>
      </c>
      <c r="AI358" s="805" t="s">
        <v>1227</v>
      </c>
      <c r="AJ358" s="805" t="s">
        <v>1228</v>
      </c>
      <c r="AK358" s="805" t="s">
        <v>1229</v>
      </c>
      <c r="AL358" s="805" t="s">
        <v>1230</v>
      </c>
      <c r="AM358" s="805" t="s">
        <v>1231</v>
      </c>
      <c r="AN358" s="805" t="s">
        <v>1232</v>
      </c>
      <c r="AO358" s="805" t="s">
        <v>1233</v>
      </c>
      <c r="AP358" s="805" t="s">
        <v>1234</v>
      </c>
      <c r="AQ358" s="805" t="s">
        <v>1235</v>
      </c>
      <c r="AR358" s="805" t="s">
        <v>1236</v>
      </c>
      <c r="AS358" s="805" t="s">
        <v>1237</v>
      </c>
      <c r="AT358" s="805" t="s">
        <v>1238</v>
      </c>
      <c r="AU358" s="805" t="s">
        <v>1239</v>
      </c>
      <c r="AV358" s="805" t="s">
        <v>1240</v>
      </c>
      <c r="AW358" s="805" t="s">
        <v>1241</v>
      </c>
    </row>
    <row r="359" spans="1:49">
      <c r="A359" s="805" t="s">
        <v>128</v>
      </c>
      <c r="B359" s="807" t="s">
        <v>869</v>
      </c>
      <c r="C359" s="807" t="s">
        <v>869</v>
      </c>
      <c r="D359" s="807" t="s">
        <v>869</v>
      </c>
      <c r="E359" s="807" t="s">
        <v>869</v>
      </c>
      <c r="F359" s="807" t="s">
        <v>869</v>
      </c>
      <c r="G359" s="807" t="s">
        <v>869</v>
      </c>
      <c r="H359" s="807" t="s">
        <v>869</v>
      </c>
      <c r="I359" s="807" t="s">
        <v>869</v>
      </c>
      <c r="J359" s="807" t="s">
        <v>869</v>
      </c>
      <c r="K359" s="807" t="s">
        <v>869</v>
      </c>
      <c r="L359" s="807" t="s">
        <v>869</v>
      </c>
      <c r="M359" s="807" t="s">
        <v>869</v>
      </c>
      <c r="N359" s="807" t="s">
        <v>869</v>
      </c>
      <c r="O359" s="807" t="s">
        <v>869</v>
      </c>
      <c r="P359" s="807" t="s">
        <v>869</v>
      </c>
      <c r="Q359" s="807" t="s">
        <v>869</v>
      </c>
      <c r="R359" s="807" t="s">
        <v>869</v>
      </c>
      <c r="S359" s="807" t="s">
        <v>869</v>
      </c>
      <c r="T359" s="807" t="s">
        <v>869</v>
      </c>
      <c r="U359" s="807" t="s">
        <v>869</v>
      </c>
      <c r="V359" s="807" t="s">
        <v>869</v>
      </c>
      <c r="W359" s="807" t="s">
        <v>869</v>
      </c>
      <c r="X359" s="807" t="s">
        <v>869</v>
      </c>
      <c r="Y359" s="807" t="s">
        <v>869</v>
      </c>
      <c r="Z359" s="807" t="s">
        <v>869</v>
      </c>
      <c r="AA359" s="807" t="s">
        <v>869</v>
      </c>
      <c r="AB359" s="807" t="s">
        <v>869</v>
      </c>
      <c r="AC359" s="807" t="s">
        <v>869</v>
      </c>
      <c r="AD359" s="807" t="s">
        <v>869</v>
      </c>
      <c r="AE359" s="807" t="s">
        <v>869</v>
      </c>
      <c r="AF359" s="807" t="s">
        <v>869</v>
      </c>
      <c r="AG359" s="807" t="s">
        <v>869</v>
      </c>
      <c r="AH359" s="807" t="s">
        <v>869</v>
      </c>
      <c r="AI359" s="807" t="s">
        <v>869</v>
      </c>
      <c r="AJ359" s="807" t="s">
        <v>869</v>
      </c>
      <c r="AK359" s="807" t="s">
        <v>869</v>
      </c>
      <c r="AL359" s="807" t="s">
        <v>869</v>
      </c>
      <c r="AM359" s="807" t="s">
        <v>869</v>
      </c>
      <c r="AN359" s="807" t="s">
        <v>869</v>
      </c>
      <c r="AO359" s="807" t="s">
        <v>869</v>
      </c>
      <c r="AP359" s="807" t="s">
        <v>869</v>
      </c>
      <c r="AQ359" s="807" t="s">
        <v>869</v>
      </c>
      <c r="AR359" s="807" t="s">
        <v>869</v>
      </c>
      <c r="AS359" s="807" t="s">
        <v>869</v>
      </c>
      <c r="AT359" s="807" t="s">
        <v>869</v>
      </c>
      <c r="AU359" s="807" t="s">
        <v>869</v>
      </c>
      <c r="AV359" s="807" t="s">
        <v>869</v>
      </c>
      <c r="AW359" s="807" t="s">
        <v>869</v>
      </c>
    </row>
    <row r="361" spans="1:49">
      <c r="A361" s="803" t="s">
        <v>904</v>
      </c>
    </row>
    <row r="362" spans="1:49">
      <c r="A362" s="803" t="s">
        <v>869</v>
      </c>
      <c r="B362" s="803" t="s">
        <v>905</v>
      </c>
    </row>
    <row r="366" spans="1:49">
      <c r="M366" s="803" t="s">
        <v>1242</v>
      </c>
    </row>
    <row r="367" spans="1:49">
      <c r="B367">
        <v>2008</v>
      </c>
      <c r="C367">
        <v>2009</v>
      </c>
      <c r="D367">
        <v>2010</v>
      </c>
      <c r="E367">
        <v>2011</v>
      </c>
      <c r="F367">
        <v>2012</v>
      </c>
    </row>
    <row r="368" spans="1:49">
      <c r="B368" s="253">
        <f>SUM(B349:M349)/1000</f>
        <v>6509.4049999999997</v>
      </c>
      <c r="C368" s="253">
        <f>SUM(N349:Y349)/1000</f>
        <v>5980.174</v>
      </c>
      <c r="D368" s="253">
        <f>SUM(Z349:AK349)/1000</f>
        <v>6261.4260000000004</v>
      </c>
      <c r="E368" s="253">
        <f>SUM(AL349:AW349)/1000</f>
        <v>6558.6930000000002</v>
      </c>
      <c r="F368" s="253">
        <f>AVERAGE(N377,N387)/1000</f>
        <v>4194.8334999999997</v>
      </c>
      <c r="M368" s="803" t="s">
        <v>852</v>
      </c>
      <c r="N368" s="804">
        <v>41569.736527777779</v>
      </c>
    </row>
    <row r="369" spans="13:14">
      <c r="M369" s="803" t="s">
        <v>853</v>
      </c>
      <c r="N369" s="804">
        <v>41571.554059490743</v>
      </c>
    </row>
    <row r="370" spans="13:14">
      <c r="M370" s="803" t="s">
        <v>854</v>
      </c>
      <c r="N370" s="803" t="s">
        <v>243</v>
      </c>
    </row>
    <row r="371" spans="13:14">
      <c r="M371" s="803" t="s">
        <v>1062</v>
      </c>
      <c r="N371" s="803" t="s">
        <v>1063</v>
      </c>
    </row>
    <row r="372" spans="13:14">
      <c r="M372" s="803" t="s">
        <v>1064</v>
      </c>
      <c r="N372" s="803" t="s">
        <v>1193</v>
      </c>
    </row>
    <row r="373" spans="13:14">
      <c r="M373" s="803" t="s">
        <v>855</v>
      </c>
      <c r="N373" s="803" t="s">
        <v>856</v>
      </c>
    </row>
    <row r="374" spans="13:14">
      <c r="M374" s="803" t="s">
        <v>1066</v>
      </c>
      <c r="N374" s="803" t="s">
        <v>1069</v>
      </c>
    </row>
    <row r="376" spans="13:14">
      <c r="M376" s="805" t="s">
        <v>824</v>
      </c>
      <c r="N376" s="805" t="s">
        <v>1068</v>
      </c>
    </row>
    <row r="377" spans="13:14">
      <c r="M377" s="805" t="s">
        <v>128</v>
      </c>
      <c r="N377" s="806">
        <v>7196425</v>
      </c>
    </row>
    <row r="379" spans="13:14">
      <c r="M379" s="803" t="s">
        <v>904</v>
      </c>
    </row>
    <row r="380" spans="13:14">
      <c r="M380" s="803" t="s">
        <v>869</v>
      </c>
      <c r="N380" s="803" t="s">
        <v>905</v>
      </c>
    </row>
    <row r="382" spans="13:14">
      <c r="M382" s="803" t="s">
        <v>1064</v>
      </c>
      <c r="N382" s="803" t="s">
        <v>1193</v>
      </c>
    </row>
    <row r="383" spans="13:14">
      <c r="M383" s="803" t="s">
        <v>855</v>
      </c>
      <c r="N383" s="803" t="s">
        <v>856</v>
      </c>
    </row>
    <row r="384" spans="13:14">
      <c r="M384" s="803" t="s">
        <v>1066</v>
      </c>
      <c r="N384" s="803" t="s">
        <v>1070</v>
      </c>
    </row>
    <row r="386" spans="13:14">
      <c r="M386" s="805" t="s">
        <v>824</v>
      </c>
      <c r="N386" s="805" t="s">
        <v>1068</v>
      </c>
    </row>
    <row r="387" spans="13:14">
      <c r="M387" s="805" t="s">
        <v>128</v>
      </c>
      <c r="N387" s="806">
        <v>1193242</v>
      </c>
    </row>
    <row r="389" spans="13:14">
      <c r="M389" s="803" t="s">
        <v>904</v>
      </c>
    </row>
    <row r="390" spans="13:14">
      <c r="M390" s="803" t="s">
        <v>869</v>
      </c>
      <c r="N390" s="803" t="s">
        <v>905</v>
      </c>
    </row>
  </sheetData>
  <customSheetViews>
    <customSheetView guid="{BD5E9955-DC4B-4EA0-9160-9EF1C693DE04}" scale="85" topLeftCell="A364">
      <selection activeCell="B368" sqref="B368"/>
      <pageMargins left="0.7" right="0.7" top="0.75" bottom="0.75" header="0.3" footer="0.3"/>
    </customSheetView>
    <customSheetView guid="{1ACDCC85-59E3-4410-927D-E7E5C71B61F5}" topLeftCell="B305">
      <selection activeCell="G326" sqref="G326"/>
      <pageMargins left="0.7" right="0.7" top="0.75" bottom="0.75" header="0.3" footer="0.3"/>
    </customSheetView>
  </customSheetViews>
  <mergeCells count="11">
    <mergeCell ref="H221:I221"/>
    <mergeCell ref="A241:A242"/>
    <mergeCell ref="G241:G242"/>
    <mergeCell ref="H241:J241"/>
    <mergeCell ref="B242:F242"/>
    <mergeCell ref="A71:A72"/>
    <mergeCell ref="G71:G72"/>
    <mergeCell ref="B72:F72"/>
    <mergeCell ref="A221:A222"/>
    <mergeCell ref="B221:D221"/>
    <mergeCell ref="E221:G221"/>
  </mergeCell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AM224"/>
  <sheetViews>
    <sheetView topLeftCell="A201" zoomScaleNormal="100" workbookViewId="0">
      <selection activeCell="F218" sqref="F218"/>
    </sheetView>
  </sheetViews>
  <sheetFormatPr defaultRowHeight="15"/>
  <cols>
    <col min="1" max="1" width="38.7109375" customWidth="1"/>
    <col min="2" max="2" width="14.28515625" bestFit="1" customWidth="1"/>
    <col min="3" max="3" width="10.140625" bestFit="1" customWidth="1"/>
    <col min="4" max="4" width="10.42578125" bestFit="1" customWidth="1"/>
    <col min="5" max="6" width="10.140625" bestFit="1" customWidth="1"/>
    <col min="7" max="7" width="9.7109375" bestFit="1" customWidth="1"/>
    <col min="8" max="8" width="13.28515625" bestFit="1" customWidth="1"/>
    <col min="12" max="12" width="10.5703125" customWidth="1"/>
    <col min="14" max="17" width="9.5703125" bestFit="1" customWidth="1"/>
    <col min="18" max="18" width="9.5703125" customWidth="1"/>
  </cols>
  <sheetData>
    <row r="1" spans="1:7">
      <c r="A1" s="803" t="s">
        <v>1243</v>
      </c>
    </row>
    <row r="3" spans="1:7">
      <c r="A3" s="803" t="s">
        <v>852</v>
      </c>
      <c r="B3" s="804">
        <v>41570.347326388888</v>
      </c>
    </row>
    <row r="4" spans="1:7">
      <c r="A4" s="803" t="s">
        <v>853</v>
      </c>
      <c r="B4" s="804">
        <v>41572.521548761571</v>
      </c>
    </row>
    <row r="5" spans="1:7">
      <c r="A5" s="803" t="s">
        <v>854</v>
      </c>
      <c r="B5" s="803" t="s">
        <v>243</v>
      </c>
    </row>
    <row r="6" spans="1:7">
      <c r="A6" s="803" t="s">
        <v>1062</v>
      </c>
      <c r="B6" s="803" t="s">
        <v>1063</v>
      </c>
    </row>
    <row r="7" spans="1:7">
      <c r="A7" s="803" t="s">
        <v>855</v>
      </c>
      <c r="B7" s="803" t="s">
        <v>178</v>
      </c>
    </row>
    <row r="8" spans="1:7">
      <c r="A8" s="803" t="s">
        <v>857</v>
      </c>
      <c r="B8" s="803" t="s">
        <v>858</v>
      </c>
    </row>
    <row r="9" spans="1:7">
      <c r="A9" s="803" t="s">
        <v>925</v>
      </c>
      <c r="B9" s="803" t="s">
        <v>526</v>
      </c>
    </row>
    <row r="11" spans="1:7">
      <c r="A11" s="805" t="s">
        <v>859</v>
      </c>
      <c r="B11" s="805" t="s">
        <v>824</v>
      </c>
      <c r="C11" s="805" t="s">
        <v>863</v>
      </c>
      <c r="D11" s="805" t="s">
        <v>864</v>
      </c>
      <c r="E11" s="805" t="s">
        <v>865</v>
      </c>
      <c r="F11" s="805" t="s">
        <v>866</v>
      </c>
      <c r="G11" s="805" t="s">
        <v>1068</v>
      </c>
    </row>
    <row r="12" spans="1:7">
      <c r="A12" s="805" t="s">
        <v>328</v>
      </c>
      <c r="B12" s="805" t="s">
        <v>128</v>
      </c>
      <c r="C12" s="807" t="s">
        <v>869</v>
      </c>
      <c r="D12" s="807" t="s">
        <v>869</v>
      </c>
      <c r="E12" s="807" t="s">
        <v>869</v>
      </c>
      <c r="F12" s="807" t="s">
        <v>869</v>
      </c>
      <c r="G12" s="860">
        <v>14443.02</v>
      </c>
    </row>
    <row r="14" spans="1:7">
      <c r="A14" s="803" t="s">
        <v>904</v>
      </c>
    </row>
    <row r="15" spans="1:7">
      <c r="A15" s="803" t="s">
        <v>869</v>
      </c>
      <c r="B15" s="803" t="s">
        <v>905</v>
      </c>
    </row>
    <row r="17" spans="1:7">
      <c r="A17" s="803" t="s">
        <v>855</v>
      </c>
      <c r="B17" s="803" t="s">
        <v>178</v>
      </c>
    </row>
    <row r="18" spans="1:7">
      <c r="A18" s="803" t="s">
        <v>857</v>
      </c>
      <c r="B18" s="803" t="s">
        <v>858</v>
      </c>
    </row>
    <row r="19" spans="1:7">
      <c r="A19" s="803" t="s">
        <v>925</v>
      </c>
      <c r="B19" s="803" t="s">
        <v>527</v>
      </c>
    </row>
    <row r="21" spans="1:7">
      <c r="A21" s="805" t="s">
        <v>859</v>
      </c>
      <c r="B21" s="805" t="s">
        <v>824</v>
      </c>
      <c r="C21" s="805" t="s">
        <v>863</v>
      </c>
      <c r="D21" s="805" t="s">
        <v>864</v>
      </c>
      <c r="E21" s="805" t="s">
        <v>865</v>
      </c>
      <c r="F21" s="805" t="s">
        <v>866</v>
      </c>
      <c r="G21" s="805" t="s">
        <v>1068</v>
      </c>
    </row>
    <row r="22" spans="1:7">
      <c r="A22" s="805" t="s">
        <v>328</v>
      </c>
      <c r="B22" s="805" t="s">
        <v>128</v>
      </c>
      <c r="C22" s="807" t="s">
        <v>869</v>
      </c>
      <c r="D22" s="807" t="s">
        <v>869</v>
      </c>
      <c r="E22" s="807" t="s">
        <v>869</v>
      </c>
      <c r="F22" s="807" t="s">
        <v>869</v>
      </c>
      <c r="G22" s="860">
        <v>4050.88</v>
      </c>
    </row>
    <row r="24" spans="1:7">
      <c r="A24" s="803" t="s">
        <v>904</v>
      </c>
    </row>
    <row r="25" spans="1:7">
      <c r="A25" s="803" t="s">
        <v>869</v>
      </c>
      <c r="B25" s="803" t="s">
        <v>905</v>
      </c>
    </row>
    <row r="32" spans="1:7">
      <c r="A32" t="s">
        <v>1244</v>
      </c>
    </row>
    <row r="34" spans="1:18">
      <c r="A34" t="s">
        <v>852</v>
      </c>
      <c r="B34" t="s">
        <v>1245</v>
      </c>
    </row>
    <row r="35" spans="1:18">
      <c r="A35" t="s">
        <v>853</v>
      </c>
      <c r="B35" t="s">
        <v>1246</v>
      </c>
    </row>
    <row r="36" spans="1:18">
      <c r="A36" t="s">
        <v>854</v>
      </c>
      <c r="B36" t="s">
        <v>243</v>
      </c>
    </row>
    <row r="37" spans="1:18">
      <c r="A37" t="s">
        <v>1062</v>
      </c>
      <c r="B37" t="s">
        <v>1063</v>
      </c>
    </row>
    <row r="38" spans="1:18">
      <c r="A38" t="s">
        <v>857</v>
      </c>
      <c r="B38" t="s">
        <v>858</v>
      </c>
    </row>
    <row r="39" spans="1:18">
      <c r="A39" t="s">
        <v>859</v>
      </c>
      <c r="B39" t="s">
        <v>328</v>
      </c>
    </row>
    <row r="40" spans="1:18">
      <c r="A40" t="s">
        <v>1247</v>
      </c>
      <c r="B40" t="s">
        <v>1248</v>
      </c>
    </row>
    <row r="41" spans="1:18">
      <c r="A41" t="s">
        <v>855</v>
      </c>
      <c r="B41" t="s">
        <v>856</v>
      </c>
    </row>
    <row r="43" spans="1:18">
      <c r="A43" t="s">
        <v>1249</v>
      </c>
      <c r="B43" t="s">
        <v>824</v>
      </c>
      <c r="C43" t="s">
        <v>829</v>
      </c>
      <c r="D43" t="s">
        <v>830</v>
      </c>
      <c r="E43" t="s">
        <v>831</v>
      </c>
      <c r="F43" t="s">
        <v>832</v>
      </c>
      <c r="G43" t="s">
        <v>833</v>
      </c>
      <c r="H43" t="s">
        <v>834</v>
      </c>
      <c r="I43" t="s">
        <v>835</v>
      </c>
      <c r="J43" t="s">
        <v>836</v>
      </c>
      <c r="K43" t="s">
        <v>837</v>
      </c>
      <c r="L43" t="s">
        <v>838</v>
      </c>
      <c r="M43" t="s">
        <v>839</v>
      </c>
      <c r="N43" t="s">
        <v>840</v>
      </c>
      <c r="O43" t="s">
        <v>841</v>
      </c>
      <c r="P43" t="s">
        <v>842</v>
      </c>
      <c r="Q43" t="s">
        <v>843</v>
      </c>
      <c r="R43" t="s">
        <v>844</v>
      </c>
    </row>
    <row r="44" spans="1:18">
      <c r="A44" t="s">
        <v>1250</v>
      </c>
      <c r="B44" t="s">
        <v>128</v>
      </c>
      <c r="C44" s="253">
        <v>3487989</v>
      </c>
      <c r="D44" s="253">
        <v>4678625</v>
      </c>
      <c r="E44" s="253">
        <v>5906115</v>
      </c>
      <c r="F44" s="253">
        <v>4048698</v>
      </c>
      <c r="G44" s="253">
        <v>2810673</v>
      </c>
      <c r="H44" s="253">
        <v>3928853</v>
      </c>
      <c r="I44" s="253">
        <v>4945629</v>
      </c>
      <c r="J44" s="253">
        <v>3157859</v>
      </c>
      <c r="K44" s="253">
        <v>2694245</v>
      </c>
      <c r="L44" s="253">
        <v>3802329</v>
      </c>
      <c r="M44" s="253">
        <v>4922286</v>
      </c>
      <c r="N44" s="253">
        <v>3352962</v>
      </c>
      <c r="O44" s="253">
        <v>3140103</v>
      </c>
      <c r="P44" s="253">
        <v>4143618</v>
      </c>
      <c r="Q44" s="253">
        <v>4965542</v>
      </c>
      <c r="R44" s="253">
        <v>3414539</v>
      </c>
    </row>
    <row r="45" spans="1:18">
      <c r="A45" t="s">
        <v>1251</v>
      </c>
      <c r="B45" t="s">
        <v>128</v>
      </c>
      <c r="C45" s="253">
        <v>952994</v>
      </c>
      <c r="D45" s="253">
        <v>1112575</v>
      </c>
      <c r="E45" s="253">
        <v>1981042</v>
      </c>
      <c r="F45" s="253">
        <v>1011116</v>
      </c>
      <c r="G45" s="253">
        <v>981561</v>
      </c>
      <c r="H45" s="253">
        <v>1112660</v>
      </c>
      <c r="I45" s="253">
        <v>1564646</v>
      </c>
      <c r="J45" s="253">
        <v>897387</v>
      </c>
      <c r="K45" s="253">
        <v>873155</v>
      </c>
      <c r="L45" s="253">
        <v>987869</v>
      </c>
      <c r="M45" s="253">
        <v>1581054</v>
      </c>
      <c r="N45" s="253">
        <v>956106</v>
      </c>
      <c r="O45" s="253">
        <v>895209</v>
      </c>
      <c r="P45" s="253">
        <v>1039512</v>
      </c>
      <c r="Q45" s="253">
        <v>1542417</v>
      </c>
      <c r="R45" s="253">
        <v>936981</v>
      </c>
    </row>
    <row r="47" spans="1:18">
      <c r="A47" t="s">
        <v>904</v>
      </c>
    </row>
    <row r="48" spans="1:18">
      <c r="A48" t="s">
        <v>869</v>
      </c>
      <c r="B48" t="s">
        <v>905</v>
      </c>
    </row>
    <row r="52" spans="1:7">
      <c r="C52" s="805" t="s">
        <v>863</v>
      </c>
      <c r="D52" s="805" t="s">
        <v>864</v>
      </c>
      <c r="E52" s="805" t="s">
        <v>865</v>
      </c>
      <c r="F52" s="805" t="s">
        <v>866</v>
      </c>
      <c r="G52" s="805" t="s">
        <v>1068</v>
      </c>
    </row>
    <row r="53" spans="1:7">
      <c r="B53" t="s">
        <v>526</v>
      </c>
      <c r="C53" s="253">
        <f>SUM(C44:F44)/1000</f>
        <v>18121.427</v>
      </c>
      <c r="D53" s="253">
        <f>SUM(G44:J44)/1000</f>
        <v>14843.013999999999</v>
      </c>
      <c r="E53" s="253">
        <f>SUM(K44:N44)/1000</f>
        <v>14771.822</v>
      </c>
      <c r="F53" s="253">
        <f>SUM(O44:R44)/1000</f>
        <v>15663.802</v>
      </c>
      <c r="G53" s="247">
        <f>G12</f>
        <v>14443.02</v>
      </c>
    </row>
    <row r="54" spans="1:7">
      <c r="B54" t="s">
        <v>527</v>
      </c>
      <c r="C54" s="253">
        <f>SUM(C45:F45)/1000</f>
        <v>5057.7269999999999</v>
      </c>
      <c r="D54" s="253">
        <f>SUM(G45:J45)/1000</f>
        <v>4556.2539999999999</v>
      </c>
      <c r="E54" s="253">
        <f>SUM(K45:N45)/1000</f>
        <v>4398.1840000000002</v>
      </c>
      <c r="F54" s="253">
        <f>SUM(O45:R45)/1000</f>
        <v>4414.1189999999997</v>
      </c>
      <c r="G54" s="247">
        <f>G22</f>
        <v>4050.88</v>
      </c>
    </row>
    <row r="58" spans="1:7">
      <c r="A58" s="662" t="s">
        <v>1253</v>
      </c>
    </row>
    <row r="60" spans="1:7">
      <c r="A60" s="662" t="s">
        <v>852</v>
      </c>
      <c r="B60" s="663">
        <v>41570.347303240742</v>
      </c>
    </row>
    <row r="61" spans="1:7">
      <c r="A61" s="662" t="s">
        <v>853</v>
      </c>
      <c r="B61" s="663">
        <v>41572.535831365742</v>
      </c>
    </row>
    <row r="62" spans="1:7">
      <c r="A62" s="662" t="s">
        <v>854</v>
      </c>
      <c r="B62" s="662" t="s">
        <v>243</v>
      </c>
    </row>
    <row r="63" spans="1:7">
      <c r="A63" s="662" t="s">
        <v>1062</v>
      </c>
      <c r="B63" s="662" t="s">
        <v>1063</v>
      </c>
    </row>
    <row r="64" spans="1:7">
      <c r="A64" s="662" t="s">
        <v>855</v>
      </c>
      <c r="B64" s="662" t="s">
        <v>856</v>
      </c>
    </row>
    <row r="65" spans="1:39">
      <c r="A65" s="662" t="s">
        <v>859</v>
      </c>
      <c r="B65" s="662" t="s">
        <v>328</v>
      </c>
    </row>
    <row r="66" spans="1:39">
      <c r="A66" s="662" t="s">
        <v>857</v>
      </c>
      <c r="B66" s="662" t="s">
        <v>858</v>
      </c>
    </row>
    <row r="68" spans="1:39">
      <c r="A68" s="659" t="s">
        <v>925</v>
      </c>
      <c r="B68" s="659" t="s">
        <v>824</v>
      </c>
      <c r="C68" s="659" t="s">
        <v>1254</v>
      </c>
      <c r="D68" s="659" t="s">
        <v>1255</v>
      </c>
      <c r="E68" s="659" t="s">
        <v>1256</v>
      </c>
      <c r="F68" s="659" t="s">
        <v>1257</v>
      </c>
      <c r="G68" s="659" t="s">
        <v>862</v>
      </c>
      <c r="H68" s="659" t="s">
        <v>863</v>
      </c>
      <c r="I68" s="659" t="s">
        <v>864</v>
      </c>
      <c r="J68" s="659" t="s">
        <v>865</v>
      </c>
      <c r="K68" s="659" t="s">
        <v>866</v>
      </c>
      <c r="L68" s="659" t="s">
        <v>1068</v>
      </c>
      <c r="P68" s="659" t="s">
        <v>863</v>
      </c>
      <c r="Q68" s="659" t="s">
        <v>864</v>
      </c>
      <c r="R68" s="659" t="s">
        <v>865</v>
      </c>
      <c r="S68" s="659" t="s">
        <v>866</v>
      </c>
      <c r="T68" s="659" t="s">
        <v>1068</v>
      </c>
      <c r="X68" s="299" t="s">
        <v>30</v>
      </c>
      <c r="Y68" s="294" t="s">
        <v>1262</v>
      </c>
      <c r="Z68" s="882">
        <v>7574</v>
      </c>
      <c r="AA68" s="882">
        <v>6318</v>
      </c>
      <c r="AB68" s="882">
        <v>7121.5</v>
      </c>
      <c r="AC68" s="882">
        <v>6326.5999999999995</v>
      </c>
      <c r="AD68" s="883">
        <v>6195.141275822938</v>
      </c>
    </row>
    <row r="69" spans="1:39">
      <c r="A69" s="659" t="s">
        <v>25</v>
      </c>
      <c r="B69" s="659" t="s">
        <v>128</v>
      </c>
      <c r="C69" s="667" t="s">
        <v>869</v>
      </c>
      <c r="D69" s="667" t="s">
        <v>869</v>
      </c>
      <c r="E69" s="667" t="s">
        <v>869</v>
      </c>
      <c r="F69" s="667" t="s">
        <v>869</v>
      </c>
      <c r="G69" s="667" t="s">
        <v>869</v>
      </c>
      <c r="H69" s="667" t="s">
        <v>869</v>
      </c>
      <c r="I69" s="667" t="s">
        <v>869</v>
      </c>
      <c r="J69" s="667" t="s">
        <v>869</v>
      </c>
      <c r="K69" s="667" t="s">
        <v>869</v>
      </c>
      <c r="L69" s="660">
        <v>18261848</v>
      </c>
      <c r="X69" s="881" t="s">
        <v>30</v>
      </c>
      <c r="Y69" s="561" t="s">
        <v>23</v>
      </c>
      <c r="Z69">
        <v>398.72415455056625</v>
      </c>
      <c r="AA69">
        <v>366.04683107076875</v>
      </c>
      <c r="AB69">
        <v>383</v>
      </c>
      <c r="AC69">
        <v>353</v>
      </c>
      <c r="AD69">
        <v>345.89910164252427</v>
      </c>
      <c r="AE69" s="656" t="s">
        <v>1267</v>
      </c>
    </row>
    <row r="70" spans="1:39">
      <c r="A70" s="659" t="s">
        <v>867</v>
      </c>
      <c r="B70" s="659" t="s">
        <v>128</v>
      </c>
      <c r="C70" s="667" t="s">
        <v>869</v>
      </c>
      <c r="D70" s="667" t="s">
        <v>869</v>
      </c>
      <c r="E70" s="667" t="s">
        <v>869</v>
      </c>
      <c r="F70" s="667" t="s">
        <v>869</v>
      </c>
      <c r="G70" s="667" t="s">
        <v>869</v>
      </c>
      <c r="H70" s="667" t="s">
        <v>869</v>
      </c>
      <c r="I70" s="667" t="s">
        <v>869</v>
      </c>
      <c r="J70" s="667" t="s">
        <v>869</v>
      </c>
      <c r="K70" s="667" t="s">
        <v>869</v>
      </c>
      <c r="L70" s="660">
        <v>17547234</v>
      </c>
      <c r="O70" s="689" t="s">
        <v>1262</v>
      </c>
      <c r="P70">
        <f>'Tourism Medium DB-LCU'!H13</f>
        <v>5057.7269999999999</v>
      </c>
      <c r="Q70">
        <f>'Tourism Medium DB-LCU'!I13</f>
        <v>4556.2539999999999</v>
      </c>
      <c r="R70">
        <f>'Tourism Medium DB-LCU'!J13</f>
        <v>4398.1840000000002</v>
      </c>
      <c r="S70">
        <f>'Tourism Medium DB-LCU'!K13</f>
        <v>4414.1189999999997</v>
      </c>
      <c r="T70">
        <f>'Tourism Medium DB-LCU'!L13</f>
        <v>4050.88</v>
      </c>
      <c r="Y70" t="s">
        <v>24</v>
      </c>
      <c r="Z70">
        <v>184.34175232685487</v>
      </c>
      <c r="AA70">
        <v>183.32818381664458</v>
      </c>
      <c r="AB70">
        <v>193.54742824657512</v>
      </c>
      <c r="AC70">
        <v>218.65231902931407</v>
      </c>
      <c r="AD70">
        <v>232.04683312166151</v>
      </c>
      <c r="AE70" s="656" t="s">
        <v>1267</v>
      </c>
    </row>
    <row r="71" spans="1:39">
      <c r="A71" s="659" t="s">
        <v>111</v>
      </c>
      <c r="B71" s="659" t="s">
        <v>128</v>
      </c>
      <c r="C71" s="667" t="s">
        <v>869</v>
      </c>
      <c r="D71" s="667" t="s">
        <v>869</v>
      </c>
      <c r="E71" s="660">
        <v>83086</v>
      </c>
      <c r="F71" s="660">
        <v>56056</v>
      </c>
      <c r="G71" s="660">
        <v>134736</v>
      </c>
      <c r="H71" s="660">
        <v>167781</v>
      </c>
      <c r="I71" s="660">
        <v>158109</v>
      </c>
      <c r="J71" s="660">
        <v>123519</v>
      </c>
      <c r="K71" s="660">
        <v>119098</v>
      </c>
      <c r="L71" s="660">
        <v>107907</v>
      </c>
      <c r="O71" t="s">
        <v>1258</v>
      </c>
      <c r="P71" s="859">
        <f>FORECAST(P70,Q71:R71,Q70:R70)*0.92</f>
        <v>60.458483956878901</v>
      </c>
      <c r="Q71" s="859">
        <f t="shared" ref="P71:Q71" si="0">FORECAST(Q70,R71:S71,R70:S70)</f>
        <v>54.464107449908383</v>
      </c>
      <c r="R71" s="859">
        <f>FORECAST(R70,S71:T71,S70:T70)*0.98</f>
        <v>50.917463663318053</v>
      </c>
      <c r="S71" s="253">
        <f>K107/1000</f>
        <v>51.274999999999999</v>
      </c>
      <c r="T71" s="253">
        <f>L107/1000</f>
        <v>66.811999999999998</v>
      </c>
      <c r="Y71" t="s">
        <v>25</v>
      </c>
      <c r="Z71">
        <v>6877.2235533511548</v>
      </c>
      <c r="AA71">
        <v>5675.9934490327623</v>
      </c>
      <c r="AB71">
        <v>6451.7966470588235</v>
      </c>
      <c r="AC71">
        <v>5658.0534705882355</v>
      </c>
      <c r="AD71">
        <v>5517.8243043497841</v>
      </c>
      <c r="AE71" s="656" t="s">
        <v>1267</v>
      </c>
    </row>
    <row r="72" spans="1:39">
      <c r="A72" s="659" t="s">
        <v>113</v>
      </c>
      <c r="B72" s="659" t="s">
        <v>128</v>
      </c>
      <c r="C72" s="667" t="s">
        <v>869</v>
      </c>
      <c r="D72" s="667" t="s">
        <v>869</v>
      </c>
      <c r="E72" s="660">
        <v>20408</v>
      </c>
      <c r="F72" s="667" t="s">
        <v>869</v>
      </c>
      <c r="G72" s="660">
        <v>21253</v>
      </c>
      <c r="H72" s="667" t="s">
        <v>869</v>
      </c>
      <c r="I72" s="667" t="s">
        <v>869</v>
      </c>
      <c r="J72" s="660">
        <v>20743</v>
      </c>
      <c r="K72" s="660">
        <v>14788</v>
      </c>
      <c r="L72" s="660">
        <v>23045</v>
      </c>
      <c r="O72" t="s">
        <v>1259</v>
      </c>
      <c r="P72" s="859">
        <f>P79*Z76</f>
        <v>931.09378323445389</v>
      </c>
      <c r="Q72" s="859">
        <f t="shared" ref="Q72:T72" si="1">Q79*AA76</f>
        <v>1101.9330945166028</v>
      </c>
      <c r="R72" s="859">
        <f t="shared" si="1"/>
        <v>1042.9807068854489</v>
      </c>
      <c r="S72" s="859">
        <f t="shared" si="1"/>
        <v>563.57179217197154</v>
      </c>
      <c r="T72" s="859">
        <f t="shared" si="1"/>
        <v>569.28103512192229</v>
      </c>
      <c r="Y72" t="s">
        <v>26</v>
      </c>
      <c r="Z72">
        <v>42.164130026086298</v>
      </c>
      <c r="AA72">
        <v>36.156641710798738</v>
      </c>
      <c r="AB72">
        <v>41.070924694601359</v>
      </c>
      <c r="AC72">
        <v>46.363210382450632</v>
      </c>
      <c r="AD72">
        <v>48.841907364934627</v>
      </c>
      <c r="AE72" s="656" t="s">
        <v>1267</v>
      </c>
      <c r="AH72" s="862"/>
      <c r="AI72" s="862"/>
      <c r="AJ72" s="862"/>
      <c r="AK72" s="862"/>
      <c r="AL72" s="862"/>
      <c r="AM72" s="862"/>
    </row>
    <row r="73" spans="1:39">
      <c r="A73" s="659" t="s">
        <v>120</v>
      </c>
      <c r="B73" s="659" t="s">
        <v>128</v>
      </c>
      <c r="C73" s="667" t="s">
        <v>869</v>
      </c>
      <c r="D73" s="667" t="s">
        <v>869</v>
      </c>
      <c r="E73" s="660">
        <v>173466</v>
      </c>
      <c r="F73" s="660">
        <v>227435</v>
      </c>
      <c r="G73" s="660">
        <v>228265</v>
      </c>
      <c r="H73" s="660">
        <v>328517</v>
      </c>
      <c r="I73" s="660">
        <v>295973</v>
      </c>
      <c r="J73" s="660">
        <v>368349</v>
      </c>
      <c r="K73" s="660">
        <v>401832</v>
      </c>
      <c r="L73" s="660">
        <v>317182</v>
      </c>
      <c r="O73" t="s">
        <v>25</v>
      </c>
      <c r="P73" s="253">
        <f>SUM(H71:H99)/1000</f>
        <v>3745.7489999999998</v>
      </c>
      <c r="Q73" s="253">
        <f>SUM(I71:I99)/1000</f>
        <v>3049.3220000000001</v>
      </c>
      <c r="R73" s="253">
        <f>SUM(J71:J99)/1000</f>
        <v>2970.1959999999999</v>
      </c>
      <c r="S73" s="253">
        <f>(SUM(K71:K99)/1000)</f>
        <v>3573.95</v>
      </c>
      <c r="T73" s="253">
        <f>(L70-L87+L99)/1000</f>
        <v>3200.7759999999998</v>
      </c>
      <c r="Y73" t="s">
        <v>27</v>
      </c>
      <c r="Z73">
        <v>59.022271260319201</v>
      </c>
      <c r="AA73">
        <v>45.04</v>
      </c>
      <c r="AB73">
        <v>40</v>
      </c>
      <c r="AC73">
        <v>39.4</v>
      </c>
      <c r="AD73">
        <v>39.604539834363905</v>
      </c>
      <c r="AE73" s="656" t="s">
        <v>1267</v>
      </c>
    </row>
    <row r="74" spans="1:39">
      <c r="A74" s="659" t="s">
        <v>121</v>
      </c>
      <c r="B74" s="659" t="s">
        <v>128</v>
      </c>
      <c r="C74" s="667" t="s">
        <v>869</v>
      </c>
      <c r="D74" s="667" t="s">
        <v>869</v>
      </c>
      <c r="E74" s="660">
        <v>49740</v>
      </c>
      <c r="F74" s="660">
        <v>38915</v>
      </c>
      <c r="G74" s="660">
        <v>42395</v>
      </c>
      <c r="H74" s="667" t="s">
        <v>869</v>
      </c>
      <c r="I74" s="667" t="s">
        <v>869</v>
      </c>
      <c r="J74" s="667" t="s">
        <v>869</v>
      </c>
      <c r="K74" s="660">
        <v>21372</v>
      </c>
      <c r="L74" s="660">
        <v>26679</v>
      </c>
      <c r="O74" t="s">
        <v>27</v>
      </c>
      <c r="P74" s="253">
        <f>H111/1000</f>
        <v>102.876</v>
      </c>
      <c r="Q74" s="253">
        <f>I111/1000</f>
        <v>128.49199999999999</v>
      </c>
      <c r="R74" s="253">
        <f>J111/1000</f>
        <v>105.122</v>
      </c>
      <c r="S74" s="253">
        <f>K111/1000</f>
        <v>98.471000000000004</v>
      </c>
      <c r="T74" s="253">
        <f>L111/1000</f>
        <v>80.100999999999999</v>
      </c>
      <c r="Y74" t="s">
        <v>28</v>
      </c>
      <c r="Z74">
        <v>12.524138485018877</v>
      </c>
      <c r="AA74">
        <v>11.434894369025624</v>
      </c>
      <c r="AB74">
        <v>12.085000000000001</v>
      </c>
      <c r="AC74">
        <v>11.131</v>
      </c>
      <c r="AD74">
        <v>10.924589509669229</v>
      </c>
      <c r="AE74" s="656" t="s">
        <v>1267</v>
      </c>
    </row>
    <row r="75" spans="1:39">
      <c r="A75" s="659" t="s">
        <v>872</v>
      </c>
      <c r="B75" s="659" t="s">
        <v>128</v>
      </c>
      <c r="C75" s="667" t="s">
        <v>869</v>
      </c>
      <c r="D75" s="667" t="s">
        <v>869</v>
      </c>
      <c r="E75" s="660">
        <v>760244</v>
      </c>
      <c r="F75" s="660">
        <v>597641</v>
      </c>
      <c r="G75" s="660">
        <v>577416</v>
      </c>
      <c r="H75" s="660">
        <v>575195</v>
      </c>
      <c r="I75" s="660">
        <v>635351</v>
      </c>
      <c r="J75" s="660">
        <v>678713</v>
      </c>
      <c r="K75" s="660">
        <v>670339</v>
      </c>
      <c r="L75" s="660">
        <v>617375</v>
      </c>
      <c r="O75" t="s">
        <v>1260</v>
      </c>
      <c r="P75" s="859">
        <f>-FORECAST(P70,Q75:S75,Q70:S70)</f>
        <v>4.5824649638392714</v>
      </c>
      <c r="Q75" s="859">
        <f>FORECAST(Q70,R75:T75,R70:T70)</f>
        <v>4.7156023004137637</v>
      </c>
      <c r="R75" s="859">
        <f>FORECAST(R70,S75:T75,S70:T70)</f>
        <v>7.6464589815520867</v>
      </c>
      <c r="S75" s="253">
        <f>K115/1000</f>
        <v>7.351</v>
      </c>
      <c r="T75" s="253">
        <f>L115/1000</f>
        <v>14.086</v>
      </c>
    </row>
    <row r="76" spans="1:39">
      <c r="A76" s="659" t="s">
        <v>873</v>
      </c>
      <c r="B76" s="659" t="s">
        <v>128</v>
      </c>
      <c r="C76" s="667" t="s">
        <v>869</v>
      </c>
      <c r="D76" s="667" t="s">
        <v>869</v>
      </c>
      <c r="E76" s="660">
        <v>320</v>
      </c>
      <c r="F76" s="667" t="s">
        <v>869</v>
      </c>
      <c r="G76" s="667" t="s">
        <v>869</v>
      </c>
      <c r="H76" s="667" t="s">
        <v>869</v>
      </c>
      <c r="I76" s="667" t="s">
        <v>869</v>
      </c>
      <c r="J76" s="667" t="s">
        <v>869</v>
      </c>
      <c r="K76" s="660">
        <v>1499</v>
      </c>
      <c r="L76" s="667" t="s">
        <v>869</v>
      </c>
      <c r="O76" t="s">
        <v>26</v>
      </c>
      <c r="P76" s="859">
        <f>P79*Z77</f>
        <v>212.96726784482803</v>
      </c>
      <c r="Q76" s="859">
        <f t="shared" ref="Q76:T76" si="2">Q79*AA77</f>
        <v>217.32719573307452</v>
      </c>
      <c r="R76" s="859">
        <f t="shared" si="2"/>
        <v>221.32137046968148</v>
      </c>
      <c r="S76" s="859">
        <f t="shared" si="2"/>
        <v>119.50020782802865</v>
      </c>
      <c r="T76" s="859">
        <f t="shared" si="2"/>
        <v>119.8239648780781</v>
      </c>
      <c r="Y76" t="s">
        <v>24</v>
      </c>
      <c r="Z76">
        <f>Z70/(Z68-Z69-Z71-Z73-Z74)</f>
        <v>0.8138497349910484</v>
      </c>
      <c r="AA76">
        <f t="shared" ref="AA76:AD76" si="3">AA70/(AA68-AA69-AA71-AA73-AA74)</f>
        <v>0.83526587032196342</v>
      </c>
      <c r="AB76">
        <f t="shared" si="3"/>
        <v>0.82494581442697856</v>
      </c>
      <c r="AC76">
        <f t="shared" si="3"/>
        <v>0.82505474118683153</v>
      </c>
      <c r="AD76">
        <f t="shared" si="3"/>
        <v>0.82611653539289653</v>
      </c>
    </row>
    <row r="77" spans="1:39">
      <c r="A77" s="659" t="s">
        <v>874</v>
      </c>
      <c r="B77" s="659" t="s">
        <v>128</v>
      </c>
      <c r="C77" s="667" t="s">
        <v>869</v>
      </c>
      <c r="D77" s="667" t="s">
        <v>869</v>
      </c>
      <c r="E77" s="660">
        <v>3295</v>
      </c>
      <c r="F77" s="667" t="s">
        <v>869</v>
      </c>
      <c r="G77" s="667" t="s">
        <v>869</v>
      </c>
      <c r="H77" s="660">
        <v>94513</v>
      </c>
      <c r="I77" s="667" t="s">
        <v>869</v>
      </c>
      <c r="J77" s="667" t="s">
        <v>869</v>
      </c>
      <c r="K77" s="660">
        <v>15467</v>
      </c>
      <c r="L77" s="660">
        <v>7444</v>
      </c>
      <c r="Y77" t="s">
        <v>26</v>
      </c>
      <c r="Z77">
        <f>1-Z76</f>
        <v>0.1861502650089516</v>
      </c>
      <c r="AA77">
        <f t="shared" ref="AA77:AD77" si="4">1-AA76</f>
        <v>0.16473412967803658</v>
      </c>
      <c r="AB77">
        <f t="shared" si="4"/>
        <v>0.17505418557302144</v>
      </c>
      <c r="AC77">
        <f t="shared" si="4"/>
        <v>0.17494525881316847</v>
      </c>
      <c r="AD77">
        <f t="shared" si="4"/>
        <v>0.17388346460710347</v>
      </c>
    </row>
    <row r="78" spans="1:39">
      <c r="A78" s="659" t="s">
        <v>126</v>
      </c>
      <c r="B78" s="659" t="s">
        <v>128</v>
      </c>
      <c r="C78" s="667" t="s">
        <v>869</v>
      </c>
      <c r="D78" s="667" t="s">
        <v>869</v>
      </c>
      <c r="E78" s="660">
        <v>93079</v>
      </c>
      <c r="F78" s="667" t="s">
        <v>869</v>
      </c>
      <c r="G78" s="660">
        <v>89713</v>
      </c>
      <c r="H78" s="660">
        <v>107606</v>
      </c>
      <c r="I78" s="667" t="s">
        <v>869</v>
      </c>
      <c r="J78" s="667" t="s">
        <v>869</v>
      </c>
      <c r="K78" s="660">
        <v>83717</v>
      </c>
      <c r="L78" s="660">
        <v>57930</v>
      </c>
    </row>
    <row r="79" spans="1:39">
      <c r="A79" s="659" t="s">
        <v>149</v>
      </c>
      <c r="B79" s="659" t="s">
        <v>128</v>
      </c>
      <c r="C79" s="667" t="s">
        <v>869</v>
      </c>
      <c r="D79" s="667" t="s">
        <v>869</v>
      </c>
      <c r="E79" s="660">
        <v>88240</v>
      </c>
      <c r="F79" s="660">
        <v>74974</v>
      </c>
      <c r="G79" s="660">
        <v>154397</v>
      </c>
      <c r="H79" s="660">
        <v>173868</v>
      </c>
      <c r="I79" s="660">
        <v>83169</v>
      </c>
      <c r="J79" s="660">
        <v>99469</v>
      </c>
      <c r="K79" s="660">
        <v>78145</v>
      </c>
      <c r="L79" s="660">
        <v>105692</v>
      </c>
      <c r="O79" t="s">
        <v>1264</v>
      </c>
      <c r="P79" s="253">
        <f>P70-P71-P73-P74-P75</f>
        <v>1144.0610510792819</v>
      </c>
      <c r="Q79" s="253">
        <f t="shared" ref="Q79:T79" si="5">Q70-Q71-Q73-Q74-Q75</f>
        <v>1319.2602902496774</v>
      </c>
      <c r="R79" s="253">
        <f t="shared" si="5"/>
        <v>1264.3020773551302</v>
      </c>
      <c r="S79" s="253">
        <f t="shared" si="5"/>
        <v>683.07200000000023</v>
      </c>
      <c r="T79" s="253">
        <f t="shared" si="5"/>
        <v>689.10500000000036</v>
      </c>
    </row>
    <row r="80" spans="1:39">
      <c r="A80" s="659" t="s">
        <v>124</v>
      </c>
      <c r="B80" s="659" t="s">
        <v>128</v>
      </c>
      <c r="C80" s="667" t="s">
        <v>869</v>
      </c>
      <c r="D80" s="667" t="s">
        <v>869</v>
      </c>
      <c r="E80" s="660">
        <v>194136</v>
      </c>
      <c r="F80" s="660">
        <v>130264</v>
      </c>
      <c r="G80" s="667" t="s">
        <v>869</v>
      </c>
      <c r="H80" s="660">
        <v>19910</v>
      </c>
      <c r="I80" s="660">
        <v>230964</v>
      </c>
      <c r="J80" s="660">
        <v>141401</v>
      </c>
      <c r="K80" s="660">
        <v>177212</v>
      </c>
      <c r="L80" s="660">
        <v>139561</v>
      </c>
    </row>
    <row r="81" spans="1:20">
      <c r="A81" s="659" t="s">
        <v>119</v>
      </c>
      <c r="B81" s="659" t="s">
        <v>128</v>
      </c>
      <c r="C81" s="667" t="s">
        <v>869</v>
      </c>
      <c r="D81" s="667" t="s">
        <v>869</v>
      </c>
      <c r="E81" s="667" t="s">
        <v>869</v>
      </c>
      <c r="F81" s="667" t="s">
        <v>869</v>
      </c>
      <c r="G81" s="667" t="s">
        <v>869</v>
      </c>
      <c r="H81" s="667" t="s">
        <v>869</v>
      </c>
      <c r="I81" s="667" t="s">
        <v>869</v>
      </c>
      <c r="J81" s="667" t="s">
        <v>869</v>
      </c>
      <c r="K81" s="667" t="s">
        <v>869</v>
      </c>
      <c r="L81" s="660">
        <v>236785</v>
      </c>
      <c r="O81" s="689" t="s">
        <v>1262</v>
      </c>
      <c r="Q81">
        <f>Q70/P70-1</f>
        <v>-9.9149875032796375E-2</v>
      </c>
      <c r="R81">
        <f t="shared" ref="R81:T81" si="6">R70/Q70-1</f>
        <v>-3.4692973657745929E-2</v>
      </c>
      <c r="S81">
        <f t="shared" si="6"/>
        <v>3.6230862555999277E-3</v>
      </c>
      <c r="T81">
        <f t="shared" si="6"/>
        <v>-8.2290259959008738E-2</v>
      </c>
    </row>
    <row r="82" spans="1:20">
      <c r="A82" s="659" t="s">
        <v>131</v>
      </c>
      <c r="B82" s="659" t="s">
        <v>128</v>
      </c>
      <c r="C82" s="667" t="s">
        <v>869</v>
      </c>
      <c r="D82" s="667" t="s">
        <v>869</v>
      </c>
      <c r="E82" s="660">
        <v>365805</v>
      </c>
      <c r="F82" s="660">
        <v>296143</v>
      </c>
      <c r="G82" s="660">
        <v>271930</v>
      </c>
      <c r="H82" s="660">
        <v>254286</v>
      </c>
      <c r="I82" s="660">
        <v>220431</v>
      </c>
      <c r="J82" s="660">
        <v>212080</v>
      </c>
      <c r="K82" s="660">
        <v>228633</v>
      </c>
      <c r="L82" s="660">
        <v>167569</v>
      </c>
      <c r="O82" t="s">
        <v>1258</v>
      </c>
      <c r="Q82">
        <f t="shared" ref="Q82:T82" si="7">Q71/P71-1</f>
        <v>-9.9148640763898732E-2</v>
      </c>
      <c r="R82">
        <f t="shared" si="7"/>
        <v>-6.5118918727388397E-2</v>
      </c>
      <c r="S82">
        <f t="shared" si="7"/>
        <v>7.021880332572783E-3</v>
      </c>
      <c r="T82">
        <f t="shared" si="7"/>
        <v>0.30301316431009262</v>
      </c>
    </row>
    <row r="83" spans="1:20">
      <c r="A83" s="659" t="s">
        <v>875</v>
      </c>
      <c r="B83" s="659" t="s">
        <v>128</v>
      </c>
      <c r="C83" s="667" t="s">
        <v>869</v>
      </c>
      <c r="D83" s="667" t="s">
        <v>869</v>
      </c>
      <c r="E83" s="667" t="s">
        <v>869</v>
      </c>
      <c r="F83" s="667" t="s">
        <v>869</v>
      </c>
      <c r="G83" s="667" t="s">
        <v>869</v>
      </c>
      <c r="H83" s="667" t="s">
        <v>869</v>
      </c>
      <c r="I83" s="667" t="s">
        <v>869</v>
      </c>
      <c r="J83" s="667" t="s">
        <v>869</v>
      </c>
      <c r="K83" s="660">
        <v>5136</v>
      </c>
      <c r="L83" s="660">
        <v>12857</v>
      </c>
      <c r="O83" t="s">
        <v>1259</v>
      </c>
    </row>
    <row r="84" spans="1:20">
      <c r="A84" s="659" t="s">
        <v>876</v>
      </c>
      <c r="B84" s="659" t="s">
        <v>128</v>
      </c>
      <c r="C84" s="667" t="s">
        <v>869</v>
      </c>
      <c r="D84" s="667" t="s">
        <v>869</v>
      </c>
      <c r="E84" s="667" t="s">
        <v>869</v>
      </c>
      <c r="F84" s="667" t="s">
        <v>869</v>
      </c>
      <c r="G84" s="667" t="s">
        <v>869</v>
      </c>
      <c r="H84" s="667" t="s">
        <v>869</v>
      </c>
      <c r="I84" s="667" t="s">
        <v>869</v>
      </c>
      <c r="J84" s="667" t="s">
        <v>869</v>
      </c>
      <c r="K84" s="660">
        <v>448</v>
      </c>
      <c r="L84" s="667" t="s">
        <v>869</v>
      </c>
      <c r="O84" t="s">
        <v>25</v>
      </c>
    </row>
    <row r="85" spans="1:20">
      <c r="A85" s="659" t="s">
        <v>877</v>
      </c>
      <c r="B85" s="659" t="s">
        <v>128</v>
      </c>
      <c r="C85" s="667" t="s">
        <v>869</v>
      </c>
      <c r="D85" s="667" t="s">
        <v>869</v>
      </c>
      <c r="E85" s="667" t="s">
        <v>869</v>
      </c>
      <c r="F85" s="667" t="s">
        <v>869</v>
      </c>
      <c r="G85" s="667" t="s">
        <v>869</v>
      </c>
      <c r="H85" s="667" t="s">
        <v>869</v>
      </c>
      <c r="I85" s="667" t="s">
        <v>869</v>
      </c>
      <c r="J85" s="667" t="s">
        <v>869</v>
      </c>
      <c r="K85" s="660">
        <v>1132</v>
      </c>
      <c r="L85" s="667" t="s">
        <v>869</v>
      </c>
      <c r="O85" t="s">
        <v>27</v>
      </c>
    </row>
    <row r="86" spans="1:20">
      <c r="A86" s="659" t="s">
        <v>878</v>
      </c>
      <c r="B86" s="659" t="s">
        <v>128</v>
      </c>
      <c r="C86" s="667" t="s">
        <v>869</v>
      </c>
      <c r="D86" s="667" t="s">
        <v>869</v>
      </c>
      <c r="E86" s="660">
        <v>6176</v>
      </c>
      <c r="F86" s="667" t="s">
        <v>869</v>
      </c>
      <c r="G86" s="667" t="s">
        <v>869</v>
      </c>
      <c r="H86" s="667" t="s">
        <v>869</v>
      </c>
      <c r="I86" s="667" t="s">
        <v>869</v>
      </c>
      <c r="J86" s="667" t="s">
        <v>869</v>
      </c>
      <c r="K86" s="660">
        <v>17678</v>
      </c>
      <c r="L86" s="660">
        <v>17348</v>
      </c>
      <c r="O86" t="s">
        <v>1260</v>
      </c>
      <c r="Q86">
        <f t="shared" ref="Q86:T86" si="8">Q75/P75-1</f>
        <v>2.9053650737123737E-2</v>
      </c>
      <c r="R86">
        <f t="shared" si="8"/>
        <v>0.62152329531291461</v>
      </c>
      <c r="S86">
        <f t="shared" si="8"/>
        <v>-3.8639974694811507E-2</v>
      </c>
      <c r="T86">
        <f t="shared" si="8"/>
        <v>0.91620187729560598</v>
      </c>
    </row>
    <row r="87" spans="1:20">
      <c r="A87" s="659" t="s">
        <v>128</v>
      </c>
      <c r="B87" s="659" t="s">
        <v>128</v>
      </c>
      <c r="C87" s="667" t="s">
        <v>869</v>
      </c>
      <c r="D87" s="667" t="s">
        <v>869</v>
      </c>
      <c r="E87" s="667" t="s">
        <v>869</v>
      </c>
      <c r="F87" s="667" t="s">
        <v>869</v>
      </c>
      <c r="G87" s="667" t="s">
        <v>869</v>
      </c>
      <c r="H87" s="667" t="s">
        <v>869</v>
      </c>
      <c r="I87" s="667" t="s">
        <v>869</v>
      </c>
      <c r="J87" s="660">
        <v>0</v>
      </c>
      <c r="K87" s="660">
        <v>0</v>
      </c>
      <c r="L87" s="660">
        <v>14443023</v>
      </c>
      <c r="O87" t="s">
        <v>26</v>
      </c>
      <c r="Q87">
        <f t="shared" ref="Q87:T87" si="9">Q76/P76-1</f>
        <v>2.0472291034992374E-2</v>
      </c>
      <c r="R87">
        <f t="shared" si="9"/>
        <v>1.8378623637663294E-2</v>
      </c>
      <c r="S87">
        <f t="shared" si="9"/>
        <v>-0.46006023921490757</v>
      </c>
      <c r="T87">
        <f t="shared" si="9"/>
        <v>2.7092593053508196E-3</v>
      </c>
    </row>
    <row r="88" spans="1:20">
      <c r="A88" s="659" t="s">
        <v>879</v>
      </c>
      <c r="B88" s="659" t="s">
        <v>128</v>
      </c>
      <c r="C88" s="667" t="s">
        <v>869</v>
      </c>
      <c r="D88" s="667" t="s">
        <v>869</v>
      </c>
      <c r="E88" s="660">
        <v>2220</v>
      </c>
      <c r="F88" s="667" t="s">
        <v>869</v>
      </c>
      <c r="G88" s="667" t="s">
        <v>869</v>
      </c>
      <c r="H88" s="667" t="s">
        <v>869</v>
      </c>
      <c r="I88" s="667" t="s">
        <v>869</v>
      </c>
      <c r="J88" s="667" t="s">
        <v>869</v>
      </c>
      <c r="K88" s="660">
        <v>10775</v>
      </c>
      <c r="L88" s="660">
        <v>7702</v>
      </c>
    </row>
    <row r="89" spans="1:20">
      <c r="A89" s="659" t="s">
        <v>137</v>
      </c>
      <c r="B89" s="659" t="s">
        <v>128</v>
      </c>
      <c r="C89" s="667" t="s">
        <v>869</v>
      </c>
      <c r="D89" s="667" t="s">
        <v>869</v>
      </c>
      <c r="E89" s="660">
        <v>161007</v>
      </c>
      <c r="F89" s="660">
        <v>104104</v>
      </c>
      <c r="G89" s="660">
        <v>146956</v>
      </c>
      <c r="H89" s="660">
        <v>164674</v>
      </c>
      <c r="I89" s="660">
        <v>155565</v>
      </c>
      <c r="J89" s="660">
        <v>161027</v>
      </c>
      <c r="K89" s="660">
        <v>110932</v>
      </c>
      <c r="L89" s="660">
        <v>101939</v>
      </c>
    </row>
    <row r="90" spans="1:20">
      <c r="A90" s="659" t="s">
        <v>110</v>
      </c>
      <c r="B90" s="659" t="s">
        <v>128</v>
      </c>
      <c r="C90" s="667" t="s">
        <v>869</v>
      </c>
      <c r="D90" s="667" t="s">
        <v>869</v>
      </c>
      <c r="E90" s="660">
        <v>971202</v>
      </c>
      <c r="F90" s="660">
        <v>701034</v>
      </c>
      <c r="G90" s="660">
        <v>526429</v>
      </c>
      <c r="H90" s="660">
        <v>586963</v>
      </c>
      <c r="I90" s="660">
        <v>572925</v>
      </c>
      <c r="J90" s="660">
        <v>536626</v>
      </c>
      <c r="K90" s="660">
        <v>561423</v>
      </c>
      <c r="L90" s="660">
        <v>540052</v>
      </c>
    </row>
    <row r="91" spans="1:20">
      <c r="A91" s="659" t="s">
        <v>142</v>
      </c>
      <c r="B91" s="659" t="s">
        <v>128</v>
      </c>
      <c r="C91" s="667" t="s">
        <v>869</v>
      </c>
      <c r="D91" s="667" t="s">
        <v>869</v>
      </c>
      <c r="E91" s="660">
        <v>126527</v>
      </c>
      <c r="F91" s="660">
        <v>72144</v>
      </c>
      <c r="G91" s="660">
        <v>49753</v>
      </c>
      <c r="H91" s="660">
        <v>58685</v>
      </c>
      <c r="I91" s="667" t="s">
        <v>869</v>
      </c>
      <c r="J91" s="667" t="s">
        <v>869</v>
      </c>
      <c r="K91" s="660">
        <v>46033</v>
      </c>
      <c r="L91" s="660">
        <v>64118</v>
      </c>
    </row>
    <row r="92" spans="1:20">
      <c r="A92" s="659" t="s">
        <v>143</v>
      </c>
      <c r="B92" s="659" t="s">
        <v>128</v>
      </c>
      <c r="C92" s="667" t="s">
        <v>869</v>
      </c>
      <c r="D92" s="667" t="s">
        <v>869</v>
      </c>
      <c r="E92" s="660">
        <v>19269</v>
      </c>
      <c r="F92" s="667" t="s">
        <v>869</v>
      </c>
      <c r="G92" s="667" t="s">
        <v>869</v>
      </c>
      <c r="H92" s="660">
        <v>32203</v>
      </c>
      <c r="I92" s="667" t="s">
        <v>869</v>
      </c>
      <c r="J92" s="667" t="s">
        <v>869</v>
      </c>
      <c r="K92" s="660">
        <v>25052</v>
      </c>
      <c r="L92" s="660">
        <v>26405</v>
      </c>
    </row>
    <row r="93" spans="1:20">
      <c r="A93" s="659" t="s">
        <v>880</v>
      </c>
      <c r="B93" s="659" t="s">
        <v>128</v>
      </c>
      <c r="C93" s="667" t="s">
        <v>869</v>
      </c>
      <c r="D93" s="667" t="s">
        <v>869</v>
      </c>
      <c r="E93" s="660">
        <v>395451</v>
      </c>
      <c r="F93" s="660">
        <v>621266</v>
      </c>
      <c r="G93" s="660">
        <v>471581</v>
      </c>
      <c r="H93" s="660">
        <v>444784</v>
      </c>
      <c r="I93" s="660">
        <v>419121</v>
      </c>
      <c r="J93" s="660">
        <v>326054</v>
      </c>
      <c r="K93" s="660">
        <v>378157</v>
      </c>
      <c r="L93" s="660">
        <v>385852</v>
      </c>
    </row>
    <row r="94" spans="1:20">
      <c r="A94" s="659" t="s">
        <v>881</v>
      </c>
      <c r="B94" s="659" t="s">
        <v>128</v>
      </c>
      <c r="C94" s="667" t="s">
        <v>869</v>
      </c>
      <c r="D94" s="667" t="s">
        <v>869</v>
      </c>
      <c r="E94" s="660">
        <v>22437</v>
      </c>
      <c r="F94" s="667" t="s">
        <v>869</v>
      </c>
      <c r="G94" s="667" t="s">
        <v>869</v>
      </c>
      <c r="H94" s="660">
        <v>33060</v>
      </c>
      <c r="I94" s="660">
        <v>33902</v>
      </c>
      <c r="J94" s="667" t="s">
        <v>869</v>
      </c>
      <c r="K94" s="660">
        <v>7292</v>
      </c>
      <c r="L94" s="660">
        <v>9440</v>
      </c>
    </row>
    <row r="95" spans="1:20">
      <c r="A95" s="659" t="s">
        <v>147</v>
      </c>
      <c r="B95" s="659" t="s">
        <v>128</v>
      </c>
      <c r="C95" s="667" t="s">
        <v>869</v>
      </c>
      <c r="D95" s="667" t="s">
        <v>869</v>
      </c>
      <c r="E95" s="660">
        <v>732224</v>
      </c>
      <c r="F95" s="660">
        <v>409661</v>
      </c>
      <c r="G95" s="660">
        <v>366040</v>
      </c>
      <c r="H95" s="660">
        <v>476362</v>
      </c>
      <c r="I95" s="667" t="s">
        <v>869</v>
      </c>
      <c r="J95" s="667" t="s">
        <v>869</v>
      </c>
      <c r="K95" s="660">
        <v>246013</v>
      </c>
      <c r="L95" s="660">
        <v>215095</v>
      </c>
    </row>
    <row r="96" spans="1:20">
      <c r="A96" s="659" t="s">
        <v>123</v>
      </c>
      <c r="B96" s="659" t="s">
        <v>128</v>
      </c>
      <c r="C96" s="667" t="s">
        <v>869</v>
      </c>
      <c r="D96" s="667" t="s">
        <v>869</v>
      </c>
      <c r="E96" s="660">
        <v>16486</v>
      </c>
      <c r="F96" s="660">
        <v>21553</v>
      </c>
      <c r="G96" s="660">
        <v>16414</v>
      </c>
      <c r="H96" s="667" t="s">
        <v>869</v>
      </c>
      <c r="I96" s="667" t="s">
        <v>869</v>
      </c>
      <c r="J96" s="660">
        <v>31884</v>
      </c>
      <c r="K96" s="660">
        <v>15181</v>
      </c>
      <c r="L96" s="660">
        <v>7811</v>
      </c>
    </row>
    <row r="97" spans="1:12">
      <c r="A97" s="659" t="s">
        <v>150</v>
      </c>
      <c r="B97" s="659" t="s">
        <v>128</v>
      </c>
      <c r="C97" s="667" t="s">
        <v>869</v>
      </c>
      <c r="D97" s="667" t="s">
        <v>869</v>
      </c>
      <c r="E97" s="660">
        <v>37051</v>
      </c>
      <c r="F97" s="660">
        <v>50234</v>
      </c>
      <c r="G97" s="660">
        <v>55606</v>
      </c>
      <c r="H97" s="667" t="s">
        <v>869</v>
      </c>
      <c r="I97" s="667" t="s">
        <v>869</v>
      </c>
      <c r="J97" s="667" t="s">
        <v>869</v>
      </c>
      <c r="K97" s="660">
        <v>40146</v>
      </c>
      <c r="L97" s="660">
        <v>36472</v>
      </c>
    </row>
    <row r="98" spans="1:12">
      <c r="A98" s="659" t="s">
        <v>157</v>
      </c>
      <c r="B98" s="659" t="s">
        <v>128</v>
      </c>
      <c r="C98" s="667" t="s">
        <v>869</v>
      </c>
      <c r="D98" s="667" t="s">
        <v>869</v>
      </c>
      <c r="E98" s="660">
        <v>107730</v>
      </c>
      <c r="F98" s="660">
        <v>120569</v>
      </c>
      <c r="G98" s="660">
        <v>98913</v>
      </c>
      <c r="H98" s="660">
        <v>124551</v>
      </c>
      <c r="I98" s="660">
        <v>134895</v>
      </c>
      <c r="J98" s="660">
        <v>169466</v>
      </c>
      <c r="K98" s="660">
        <v>197203</v>
      </c>
      <c r="L98" s="660">
        <v>105545</v>
      </c>
    </row>
    <row r="99" spans="1:12">
      <c r="A99" s="659" t="s">
        <v>884</v>
      </c>
      <c r="B99" s="659" t="s">
        <v>128</v>
      </c>
      <c r="C99" s="667" t="s">
        <v>869</v>
      </c>
      <c r="D99" s="667" t="s">
        <v>869</v>
      </c>
      <c r="E99" s="660">
        <v>185668</v>
      </c>
      <c r="F99" s="660">
        <v>80494</v>
      </c>
      <c r="G99" s="660">
        <v>124682</v>
      </c>
      <c r="H99" s="660">
        <v>102791</v>
      </c>
      <c r="I99" s="660">
        <v>108917</v>
      </c>
      <c r="J99" s="660">
        <v>100865</v>
      </c>
      <c r="K99" s="660">
        <v>99247</v>
      </c>
      <c r="L99" s="660">
        <v>96565</v>
      </c>
    </row>
    <row r="100" spans="1:12">
      <c r="A100" s="659" t="s">
        <v>885</v>
      </c>
      <c r="B100" s="659" t="s">
        <v>128</v>
      </c>
      <c r="C100" s="667" t="s">
        <v>869</v>
      </c>
      <c r="D100" s="667" t="s">
        <v>869</v>
      </c>
      <c r="E100" s="667" t="s">
        <v>869</v>
      </c>
      <c r="F100" s="667" t="s">
        <v>869</v>
      </c>
      <c r="G100" s="667" t="s">
        <v>869</v>
      </c>
      <c r="H100" s="667" t="s">
        <v>869</v>
      </c>
      <c r="I100" s="667" t="s">
        <v>869</v>
      </c>
      <c r="J100" s="667" t="s">
        <v>869</v>
      </c>
      <c r="K100" s="660">
        <v>383</v>
      </c>
      <c r="L100" s="667" t="s">
        <v>869</v>
      </c>
    </row>
    <row r="101" spans="1:12">
      <c r="A101" s="659" t="s">
        <v>139</v>
      </c>
      <c r="B101" s="659" t="s">
        <v>128</v>
      </c>
      <c r="C101" s="667" t="s">
        <v>869</v>
      </c>
      <c r="D101" s="667" t="s">
        <v>869</v>
      </c>
      <c r="E101" s="660">
        <v>2305</v>
      </c>
      <c r="F101" s="667" t="s">
        <v>869</v>
      </c>
      <c r="G101" s="667" t="s">
        <v>869</v>
      </c>
      <c r="H101" s="667" t="s">
        <v>869</v>
      </c>
      <c r="I101" s="667" t="s">
        <v>869</v>
      </c>
      <c r="J101" s="667" t="s">
        <v>869</v>
      </c>
      <c r="K101" s="660">
        <v>20381</v>
      </c>
      <c r="L101" s="660">
        <v>3919</v>
      </c>
    </row>
    <row r="102" spans="1:12">
      <c r="A102" s="659" t="s">
        <v>151</v>
      </c>
      <c r="B102" s="659" t="s">
        <v>128</v>
      </c>
      <c r="C102" s="667" t="s">
        <v>869</v>
      </c>
      <c r="D102" s="667" t="s">
        <v>869</v>
      </c>
      <c r="E102" s="660">
        <v>183229</v>
      </c>
      <c r="F102" s="660">
        <v>71488</v>
      </c>
      <c r="G102" s="660">
        <v>102948</v>
      </c>
      <c r="H102" s="660">
        <v>80858</v>
      </c>
      <c r="I102" s="660">
        <v>83489</v>
      </c>
      <c r="J102" s="660">
        <v>81936</v>
      </c>
      <c r="K102" s="660">
        <v>78483</v>
      </c>
      <c r="L102" s="660">
        <v>91357</v>
      </c>
    </row>
    <row r="103" spans="1:12">
      <c r="A103" s="659" t="s">
        <v>154</v>
      </c>
      <c r="B103" s="659" t="s">
        <v>128</v>
      </c>
      <c r="C103" s="667" t="s">
        <v>869</v>
      </c>
      <c r="D103" s="667" t="s">
        <v>869</v>
      </c>
      <c r="E103" s="660">
        <v>45133</v>
      </c>
      <c r="F103" s="660">
        <v>35064</v>
      </c>
      <c r="G103" s="667" t="s">
        <v>869</v>
      </c>
      <c r="H103" s="660">
        <v>45452</v>
      </c>
      <c r="I103" s="660">
        <v>23845</v>
      </c>
      <c r="J103" s="660">
        <v>33901</v>
      </c>
      <c r="K103" s="660">
        <v>58686</v>
      </c>
      <c r="L103" s="660">
        <v>51242</v>
      </c>
    </row>
    <row r="104" spans="1:12">
      <c r="A104" s="659" t="s">
        <v>886</v>
      </c>
      <c r="B104" s="659" t="s">
        <v>128</v>
      </c>
      <c r="C104" s="667" t="s">
        <v>869</v>
      </c>
      <c r="D104" s="667" t="s">
        <v>869</v>
      </c>
      <c r="E104" s="660">
        <v>15316</v>
      </c>
      <c r="F104" s="660">
        <v>23021</v>
      </c>
      <c r="G104" s="667" t="s">
        <v>869</v>
      </c>
      <c r="H104" s="660">
        <v>21416</v>
      </c>
      <c r="I104" s="660">
        <v>11879</v>
      </c>
      <c r="J104" s="660">
        <v>12318</v>
      </c>
      <c r="K104" s="660">
        <v>12626</v>
      </c>
      <c r="L104" s="660">
        <v>13378</v>
      </c>
    </row>
    <row r="105" spans="1:12">
      <c r="A105" s="659" t="s">
        <v>155</v>
      </c>
      <c r="B105" s="659" t="s">
        <v>128</v>
      </c>
      <c r="C105" s="667" t="s">
        <v>869</v>
      </c>
      <c r="D105" s="667" t="s">
        <v>869</v>
      </c>
      <c r="E105" s="667" t="s">
        <v>869</v>
      </c>
      <c r="F105" s="667" t="s">
        <v>869</v>
      </c>
      <c r="G105" s="667" t="s">
        <v>869</v>
      </c>
      <c r="H105" s="667" t="s">
        <v>869</v>
      </c>
      <c r="I105" s="667" t="s">
        <v>869</v>
      </c>
      <c r="J105" s="667" t="s">
        <v>869</v>
      </c>
      <c r="K105" s="667" t="s">
        <v>869</v>
      </c>
      <c r="L105" s="660">
        <v>122532</v>
      </c>
    </row>
    <row r="106" spans="1:12">
      <c r="A106" s="659" t="s">
        <v>888</v>
      </c>
      <c r="B106" s="659" t="s">
        <v>128</v>
      </c>
      <c r="C106" s="667" t="s">
        <v>869</v>
      </c>
      <c r="D106" s="667" t="s">
        <v>869</v>
      </c>
      <c r="E106" s="660">
        <v>648722</v>
      </c>
      <c r="F106" s="660">
        <v>681585</v>
      </c>
      <c r="G106" s="660">
        <v>763186</v>
      </c>
      <c r="H106" s="660">
        <v>729900</v>
      </c>
      <c r="I106" s="660">
        <v>526221</v>
      </c>
      <c r="J106" s="660">
        <v>539430</v>
      </c>
      <c r="K106" s="660">
        <v>544689</v>
      </c>
      <c r="L106" s="660">
        <v>194112</v>
      </c>
    </row>
    <row r="107" spans="1:12">
      <c r="A107" s="659" t="s">
        <v>23</v>
      </c>
      <c r="B107" s="659" t="s">
        <v>128</v>
      </c>
      <c r="C107" s="667" t="s">
        <v>869</v>
      </c>
      <c r="D107" s="667" t="s">
        <v>869</v>
      </c>
      <c r="E107" s="660">
        <v>137145</v>
      </c>
      <c r="F107" s="667" t="s">
        <v>869</v>
      </c>
      <c r="G107" s="667" t="s">
        <v>869</v>
      </c>
      <c r="H107" s="667" t="s">
        <v>869</v>
      </c>
      <c r="I107" s="667" t="s">
        <v>869</v>
      </c>
      <c r="J107" s="667" t="s">
        <v>869</v>
      </c>
      <c r="K107" s="660">
        <v>51275</v>
      </c>
      <c r="L107" s="660">
        <v>66812</v>
      </c>
    </row>
    <row r="108" spans="1:12">
      <c r="A108" s="659" t="s">
        <v>148</v>
      </c>
      <c r="B108" s="659" t="s">
        <v>128</v>
      </c>
      <c r="C108" s="667" t="s">
        <v>869</v>
      </c>
      <c r="D108" s="667" t="s">
        <v>869</v>
      </c>
      <c r="E108" s="667" t="s">
        <v>869</v>
      </c>
      <c r="F108" s="667" t="s">
        <v>869</v>
      </c>
      <c r="G108" s="667" t="s">
        <v>869</v>
      </c>
      <c r="H108" s="667" t="s">
        <v>869</v>
      </c>
      <c r="I108" s="667" t="s">
        <v>869</v>
      </c>
      <c r="J108" s="667" t="s">
        <v>869</v>
      </c>
      <c r="K108" s="660">
        <v>1781</v>
      </c>
      <c r="L108" s="667" t="s">
        <v>869</v>
      </c>
    </row>
    <row r="109" spans="1:12">
      <c r="A109" s="659" t="s">
        <v>889</v>
      </c>
      <c r="B109" s="659" t="s">
        <v>128</v>
      </c>
      <c r="C109" s="667" t="s">
        <v>869</v>
      </c>
      <c r="D109" s="667" t="s">
        <v>869</v>
      </c>
      <c r="E109" s="660">
        <v>54947</v>
      </c>
      <c r="F109" s="667" t="s">
        <v>869</v>
      </c>
      <c r="G109" s="667" t="s">
        <v>869</v>
      </c>
      <c r="H109" s="660">
        <v>38963</v>
      </c>
      <c r="I109" s="667" t="s">
        <v>869</v>
      </c>
      <c r="J109" s="667" t="s">
        <v>869</v>
      </c>
      <c r="K109" s="660">
        <v>36592</v>
      </c>
      <c r="L109" s="660">
        <v>64452</v>
      </c>
    </row>
    <row r="110" spans="1:12">
      <c r="A110" s="659" t="s">
        <v>1261</v>
      </c>
      <c r="B110" s="659" t="s">
        <v>128</v>
      </c>
      <c r="C110" s="667" t="s">
        <v>869</v>
      </c>
      <c r="D110" s="667" t="s">
        <v>869</v>
      </c>
      <c r="E110" s="667" t="s">
        <v>869</v>
      </c>
      <c r="F110" s="667" t="s">
        <v>869</v>
      </c>
      <c r="G110" s="667" t="s">
        <v>869</v>
      </c>
      <c r="H110" s="667" t="s">
        <v>869</v>
      </c>
      <c r="I110" s="667" t="s">
        <v>869</v>
      </c>
      <c r="J110" s="667" t="s">
        <v>869</v>
      </c>
      <c r="K110" s="667" t="s">
        <v>869</v>
      </c>
      <c r="L110" s="660">
        <v>94187</v>
      </c>
    </row>
    <row r="111" spans="1:12">
      <c r="A111" s="659" t="s">
        <v>890</v>
      </c>
      <c r="B111" s="659" t="s">
        <v>128</v>
      </c>
      <c r="C111" s="667" t="s">
        <v>869</v>
      </c>
      <c r="D111" s="667" t="s">
        <v>869</v>
      </c>
      <c r="E111" s="660">
        <v>85268</v>
      </c>
      <c r="F111" s="660">
        <v>77404</v>
      </c>
      <c r="G111" s="660">
        <v>126237</v>
      </c>
      <c r="H111" s="660">
        <v>102876</v>
      </c>
      <c r="I111" s="660">
        <v>128492</v>
      </c>
      <c r="J111" s="660">
        <v>105122</v>
      </c>
      <c r="K111" s="660">
        <v>98471</v>
      </c>
      <c r="L111" s="660">
        <v>80101</v>
      </c>
    </row>
    <row r="112" spans="1:12">
      <c r="A112" s="659" t="s">
        <v>114</v>
      </c>
      <c r="B112" s="659" t="s">
        <v>128</v>
      </c>
      <c r="C112" s="667" t="s">
        <v>869</v>
      </c>
      <c r="D112" s="667" t="s">
        <v>869</v>
      </c>
      <c r="E112" s="667" t="s">
        <v>869</v>
      </c>
      <c r="F112" s="667" t="s">
        <v>869</v>
      </c>
      <c r="G112" s="667" t="s">
        <v>869</v>
      </c>
      <c r="H112" s="667" t="s">
        <v>869</v>
      </c>
      <c r="I112" s="667" t="s">
        <v>869</v>
      </c>
      <c r="J112" s="667" t="s">
        <v>869</v>
      </c>
      <c r="K112" s="667" t="s">
        <v>869</v>
      </c>
      <c r="L112" s="660">
        <v>12314</v>
      </c>
    </row>
    <row r="113" spans="1:12">
      <c r="A113" s="659" t="s">
        <v>891</v>
      </c>
      <c r="B113" s="659" t="s">
        <v>128</v>
      </c>
      <c r="C113" s="667" t="s">
        <v>869</v>
      </c>
      <c r="D113" s="667" t="s">
        <v>869</v>
      </c>
      <c r="E113" s="660">
        <v>70872</v>
      </c>
      <c r="F113" s="660">
        <v>64199</v>
      </c>
      <c r="G113" s="660">
        <v>95242</v>
      </c>
      <c r="H113" s="660">
        <v>78968</v>
      </c>
      <c r="I113" s="660">
        <v>96322</v>
      </c>
      <c r="J113" s="660">
        <v>86433</v>
      </c>
      <c r="K113" s="660">
        <v>84708</v>
      </c>
      <c r="L113" s="660">
        <v>67787</v>
      </c>
    </row>
    <row r="114" spans="1:12">
      <c r="A114" s="659" t="s">
        <v>892</v>
      </c>
      <c r="B114" s="659" t="s">
        <v>128</v>
      </c>
      <c r="C114" s="667" t="s">
        <v>869</v>
      </c>
      <c r="D114" s="667" t="s">
        <v>869</v>
      </c>
      <c r="E114" s="660">
        <v>14396</v>
      </c>
      <c r="F114" s="660">
        <v>13205</v>
      </c>
      <c r="G114" s="660">
        <v>30995</v>
      </c>
      <c r="H114" s="660">
        <v>23908</v>
      </c>
      <c r="I114" s="667" t="s">
        <v>869</v>
      </c>
      <c r="J114" s="667" t="s">
        <v>869</v>
      </c>
      <c r="K114" s="660">
        <v>13763</v>
      </c>
      <c r="L114" s="667" t="s">
        <v>869</v>
      </c>
    </row>
    <row r="115" spans="1:12">
      <c r="A115" s="659" t="s">
        <v>893</v>
      </c>
      <c r="B115" s="659" t="s">
        <v>128</v>
      </c>
      <c r="C115" s="667" t="s">
        <v>869</v>
      </c>
      <c r="D115" s="667" t="s">
        <v>869</v>
      </c>
      <c r="E115" s="660">
        <v>16708</v>
      </c>
      <c r="F115" s="667" t="s">
        <v>869</v>
      </c>
      <c r="G115" s="667" t="s">
        <v>869</v>
      </c>
      <c r="H115" s="667" t="s">
        <v>869</v>
      </c>
      <c r="I115" s="667" t="s">
        <v>869</v>
      </c>
      <c r="J115" s="667" t="s">
        <v>869</v>
      </c>
      <c r="K115" s="660">
        <v>7351</v>
      </c>
      <c r="L115" s="660">
        <v>14086</v>
      </c>
    </row>
    <row r="116" spans="1:12">
      <c r="A116" s="659" t="s">
        <v>108</v>
      </c>
      <c r="B116" s="659" t="s">
        <v>128</v>
      </c>
      <c r="C116" s="667" t="s">
        <v>869</v>
      </c>
      <c r="D116" s="667" t="s">
        <v>869</v>
      </c>
      <c r="E116" s="667" t="s">
        <v>869</v>
      </c>
      <c r="F116" s="667" t="s">
        <v>869</v>
      </c>
      <c r="G116" s="667" t="s">
        <v>869</v>
      </c>
      <c r="H116" s="667" t="s">
        <v>869</v>
      </c>
      <c r="I116" s="667" t="s">
        <v>869</v>
      </c>
      <c r="J116" s="667" t="s">
        <v>869</v>
      </c>
      <c r="K116" s="660">
        <v>1362</v>
      </c>
      <c r="L116" s="667" t="s">
        <v>869</v>
      </c>
    </row>
    <row r="117" spans="1:12">
      <c r="A117" s="659" t="s">
        <v>112</v>
      </c>
      <c r="B117" s="659" t="s">
        <v>128</v>
      </c>
      <c r="C117" s="667" t="s">
        <v>869</v>
      </c>
      <c r="D117" s="667" t="s">
        <v>869</v>
      </c>
      <c r="E117" s="660">
        <v>2326</v>
      </c>
      <c r="F117" s="667" t="s">
        <v>869</v>
      </c>
      <c r="G117" s="667" t="s">
        <v>869</v>
      </c>
      <c r="H117" s="667" t="s">
        <v>869</v>
      </c>
      <c r="I117" s="667" t="s">
        <v>869</v>
      </c>
      <c r="J117" s="667" t="s">
        <v>869</v>
      </c>
      <c r="K117" s="660">
        <v>2255</v>
      </c>
      <c r="L117" s="660">
        <v>2615</v>
      </c>
    </row>
    <row r="118" spans="1:12">
      <c r="A118" s="659" t="s">
        <v>894</v>
      </c>
      <c r="B118" s="659" t="s">
        <v>128</v>
      </c>
      <c r="C118" s="667" t="s">
        <v>869</v>
      </c>
      <c r="D118" s="667" t="s">
        <v>869</v>
      </c>
      <c r="E118" s="660">
        <v>14382</v>
      </c>
      <c r="F118" s="667" t="s">
        <v>869</v>
      </c>
      <c r="G118" s="667" t="s">
        <v>869</v>
      </c>
      <c r="H118" s="660">
        <v>16479</v>
      </c>
      <c r="I118" s="667" t="s">
        <v>869</v>
      </c>
      <c r="J118" s="667" t="s">
        <v>869</v>
      </c>
      <c r="K118" s="660">
        <v>3734</v>
      </c>
      <c r="L118" s="660">
        <v>11471</v>
      </c>
    </row>
    <row r="119" spans="1:12">
      <c r="A119" s="659" t="s">
        <v>895</v>
      </c>
      <c r="B119" s="659" t="s">
        <v>128</v>
      </c>
      <c r="C119" s="667" t="s">
        <v>869</v>
      </c>
      <c r="D119" s="667" t="s">
        <v>869</v>
      </c>
      <c r="E119" s="660">
        <v>57277</v>
      </c>
      <c r="F119" s="660">
        <v>42541</v>
      </c>
      <c r="G119" s="667" t="s">
        <v>869</v>
      </c>
      <c r="H119" s="660">
        <v>92055</v>
      </c>
      <c r="I119" s="667" t="s">
        <v>869</v>
      </c>
      <c r="J119" s="660">
        <v>60082</v>
      </c>
      <c r="K119" s="660">
        <v>60410</v>
      </c>
      <c r="L119" s="660">
        <v>68199</v>
      </c>
    </row>
    <row r="120" spans="1:12">
      <c r="A120" s="659" t="s">
        <v>896</v>
      </c>
      <c r="B120" s="659" t="s">
        <v>128</v>
      </c>
      <c r="C120" s="667" t="s">
        <v>869</v>
      </c>
      <c r="D120" s="667" t="s">
        <v>869</v>
      </c>
      <c r="E120" s="660">
        <v>943</v>
      </c>
      <c r="F120" s="667" t="s">
        <v>869</v>
      </c>
      <c r="G120" s="667" t="s">
        <v>869</v>
      </c>
      <c r="H120" s="667" t="s">
        <v>869</v>
      </c>
      <c r="I120" s="667" t="s">
        <v>869</v>
      </c>
      <c r="J120" s="667" t="s">
        <v>869</v>
      </c>
      <c r="K120" s="660">
        <v>6915</v>
      </c>
      <c r="L120" s="660">
        <v>9373</v>
      </c>
    </row>
    <row r="121" spans="1:12">
      <c r="A121" s="659" t="s">
        <v>132</v>
      </c>
      <c r="B121" s="659" t="s">
        <v>128</v>
      </c>
      <c r="C121" s="667" t="s">
        <v>869</v>
      </c>
      <c r="D121" s="667" t="s">
        <v>869</v>
      </c>
      <c r="E121" s="660">
        <v>4331</v>
      </c>
      <c r="F121" s="667" t="s">
        <v>869</v>
      </c>
      <c r="G121" s="667" t="s">
        <v>869</v>
      </c>
      <c r="H121" s="667" t="s">
        <v>869</v>
      </c>
      <c r="I121" s="667" t="s">
        <v>869</v>
      </c>
      <c r="J121" s="667" t="s">
        <v>869</v>
      </c>
      <c r="K121" s="660">
        <v>2814</v>
      </c>
      <c r="L121" s="660">
        <v>3053</v>
      </c>
    </row>
    <row r="122" spans="1:12">
      <c r="A122" s="659" t="s">
        <v>897</v>
      </c>
      <c r="B122" s="659" t="s">
        <v>128</v>
      </c>
      <c r="C122" s="667" t="s">
        <v>869</v>
      </c>
      <c r="D122" s="667" t="s">
        <v>869</v>
      </c>
      <c r="E122" s="667" t="s">
        <v>869</v>
      </c>
      <c r="F122" s="667" t="s">
        <v>869</v>
      </c>
      <c r="G122" s="667" t="s">
        <v>869</v>
      </c>
      <c r="H122" s="667" t="s">
        <v>869</v>
      </c>
      <c r="I122" s="667" t="s">
        <v>869</v>
      </c>
      <c r="J122" s="667" t="s">
        <v>869</v>
      </c>
      <c r="K122" s="660">
        <v>547</v>
      </c>
      <c r="L122" s="667" t="s">
        <v>869</v>
      </c>
    </row>
    <row r="123" spans="1:12">
      <c r="A123" s="659" t="s">
        <v>898</v>
      </c>
      <c r="B123" s="659" t="s">
        <v>128</v>
      </c>
      <c r="C123" s="667" t="s">
        <v>869</v>
      </c>
      <c r="D123" s="667" t="s">
        <v>869</v>
      </c>
      <c r="E123" s="660">
        <v>52003</v>
      </c>
      <c r="F123" s="667" t="s">
        <v>869</v>
      </c>
      <c r="G123" s="660">
        <v>75165</v>
      </c>
      <c r="H123" s="660">
        <v>76196</v>
      </c>
      <c r="I123" s="667" t="s">
        <v>869</v>
      </c>
      <c r="J123" s="660">
        <v>54268</v>
      </c>
      <c r="K123" s="660">
        <v>50134</v>
      </c>
      <c r="L123" s="660">
        <v>55027</v>
      </c>
    </row>
    <row r="124" spans="1:12">
      <c r="A124" s="659" t="s">
        <v>899</v>
      </c>
      <c r="B124" s="659" t="s">
        <v>128</v>
      </c>
      <c r="C124" s="667" t="s">
        <v>869</v>
      </c>
      <c r="D124" s="667" t="s">
        <v>869</v>
      </c>
      <c r="E124" s="660">
        <v>7965</v>
      </c>
      <c r="F124" s="667" t="s">
        <v>869</v>
      </c>
      <c r="G124" s="667" t="s">
        <v>869</v>
      </c>
      <c r="H124" s="667" t="s">
        <v>869</v>
      </c>
      <c r="I124" s="667" t="s">
        <v>869</v>
      </c>
      <c r="J124" s="667" t="s">
        <v>869</v>
      </c>
      <c r="K124" s="660">
        <v>6661</v>
      </c>
      <c r="L124" s="660">
        <v>2856</v>
      </c>
    </row>
    <row r="125" spans="1:12">
      <c r="A125" s="659" t="s">
        <v>109</v>
      </c>
      <c r="B125" s="659" t="s">
        <v>128</v>
      </c>
      <c r="C125" s="667" t="s">
        <v>869</v>
      </c>
      <c r="D125" s="667" t="s">
        <v>869</v>
      </c>
      <c r="E125" s="660">
        <v>4348</v>
      </c>
      <c r="F125" s="667" t="s">
        <v>869</v>
      </c>
      <c r="G125" s="667" t="s">
        <v>869</v>
      </c>
      <c r="H125" s="667" t="s">
        <v>869</v>
      </c>
      <c r="I125" s="667" t="s">
        <v>869</v>
      </c>
      <c r="J125" s="667" t="s">
        <v>869</v>
      </c>
      <c r="K125" s="660">
        <v>5903</v>
      </c>
      <c r="L125" s="660">
        <v>2108</v>
      </c>
    </row>
    <row r="126" spans="1:12">
      <c r="A126" s="659" t="s">
        <v>900</v>
      </c>
      <c r="B126" s="659" t="s">
        <v>128</v>
      </c>
      <c r="C126" s="667" t="s">
        <v>869</v>
      </c>
      <c r="D126" s="667" t="s">
        <v>869</v>
      </c>
      <c r="E126" s="667" t="s">
        <v>869</v>
      </c>
      <c r="F126" s="667" t="s">
        <v>869</v>
      </c>
      <c r="G126" s="667" t="s">
        <v>869</v>
      </c>
      <c r="H126" s="667" t="s">
        <v>869</v>
      </c>
      <c r="I126" s="667" t="s">
        <v>869</v>
      </c>
      <c r="J126" s="667" t="s">
        <v>869</v>
      </c>
      <c r="K126" s="660">
        <v>758</v>
      </c>
      <c r="L126" s="667" t="s">
        <v>869</v>
      </c>
    </row>
    <row r="127" spans="1:12">
      <c r="A127" s="659" t="s">
        <v>901</v>
      </c>
      <c r="B127" s="659" t="s">
        <v>128</v>
      </c>
      <c r="C127" s="667" t="s">
        <v>869</v>
      </c>
      <c r="D127" s="667" t="s">
        <v>869</v>
      </c>
      <c r="E127" s="660">
        <v>81614</v>
      </c>
      <c r="F127" s="667" t="s">
        <v>869</v>
      </c>
      <c r="G127" s="667" t="s">
        <v>869</v>
      </c>
      <c r="H127" s="667" t="s">
        <v>869</v>
      </c>
      <c r="I127" s="667" t="s">
        <v>869</v>
      </c>
      <c r="J127" s="667" t="s">
        <v>869</v>
      </c>
      <c r="K127" s="660">
        <v>12902</v>
      </c>
      <c r="L127" s="667" t="s">
        <v>869</v>
      </c>
    </row>
    <row r="128" spans="1:12">
      <c r="A128" s="659" t="s">
        <v>526</v>
      </c>
      <c r="B128" s="659" t="s">
        <v>128</v>
      </c>
      <c r="C128" s="667" t="s">
        <v>869</v>
      </c>
      <c r="D128" s="667" t="s">
        <v>869</v>
      </c>
      <c r="E128" s="667" t="s">
        <v>869</v>
      </c>
      <c r="F128" s="667" t="s">
        <v>869</v>
      </c>
      <c r="G128" s="667" t="s">
        <v>869</v>
      </c>
      <c r="H128" s="667" t="s">
        <v>869</v>
      </c>
      <c r="I128" s="667" t="s">
        <v>869</v>
      </c>
      <c r="J128" s="667" t="s">
        <v>869</v>
      </c>
      <c r="K128" s="667" t="s">
        <v>869</v>
      </c>
      <c r="L128" s="660">
        <v>14443023</v>
      </c>
    </row>
    <row r="129" spans="1:12">
      <c r="A129" s="659" t="s">
        <v>527</v>
      </c>
      <c r="B129" s="659" t="s">
        <v>128</v>
      </c>
      <c r="C129" s="667" t="s">
        <v>869</v>
      </c>
      <c r="D129" s="667" t="s">
        <v>869</v>
      </c>
      <c r="E129" s="660">
        <v>5630345</v>
      </c>
      <c r="F129" s="660">
        <v>4726121</v>
      </c>
      <c r="G129" s="660">
        <v>4668514</v>
      </c>
      <c r="H129" s="660">
        <v>5057727</v>
      </c>
      <c r="I129" s="660">
        <v>4556254</v>
      </c>
      <c r="J129" s="660">
        <v>4398184</v>
      </c>
      <c r="K129" s="660">
        <v>4414119</v>
      </c>
      <c r="L129" s="660">
        <v>4050879</v>
      </c>
    </row>
    <row r="130" spans="1:12">
      <c r="A130" s="659" t="s">
        <v>902</v>
      </c>
      <c r="B130" s="659" t="s">
        <v>128</v>
      </c>
      <c r="C130" s="667" t="s">
        <v>869</v>
      </c>
      <c r="D130" s="667" t="s">
        <v>869</v>
      </c>
      <c r="E130" s="667" t="s">
        <v>869</v>
      </c>
      <c r="F130" s="667" t="s">
        <v>869</v>
      </c>
      <c r="G130" s="667" t="s">
        <v>869</v>
      </c>
      <c r="H130" s="667" t="s">
        <v>869</v>
      </c>
      <c r="I130" s="667" t="s">
        <v>869</v>
      </c>
      <c r="J130" s="667" t="s">
        <v>869</v>
      </c>
      <c r="K130" s="667" t="s">
        <v>869</v>
      </c>
      <c r="L130" s="660">
        <v>18493902</v>
      </c>
    </row>
    <row r="131" spans="1:12">
      <c r="A131" s="659" t="s">
        <v>903</v>
      </c>
      <c r="B131" s="659" t="s">
        <v>128</v>
      </c>
      <c r="C131" s="667" t="s">
        <v>869</v>
      </c>
      <c r="D131" s="667" t="s">
        <v>869</v>
      </c>
      <c r="E131" s="667" t="s">
        <v>869</v>
      </c>
      <c r="F131" s="667" t="s">
        <v>869</v>
      </c>
      <c r="G131" s="667" t="s">
        <v>869</v>
      </c>
      <c r="H131" s="667" t="s">
        <v>869</v>
      </c>
      <c r="I131" s="667" t="s">
        <v>869</v>
      </c>
      <c r="J131" s="667" t="s">
        <v>869</v>
      </c>
      <c r="K131" s="660">
        <v>0</v>
      </c>
      <c r="L131" s="667" t="s">
        <v>869</v>
      </c>
    </row>
    <row r="135" spans="1:12">
      <c r="A135" s="662" t="s">
        <v>1244</v>
      </c>
    </row>
    <row r="137" spans="1:12">
      <c r="A137" s="662" t="s">
        <v>852</v>
      </c>
      <c r="B137" s="663">
        <v>41550.716122685189</v>
      </c>
    </row>
    <row r="138" spans="1:12">
      <c r="A138" s="662" t="s">
        <v>853</v>
      </c>
      <c r="B138" s="663">
        <v>41572.608365439817</v>
      </c>
    </row>
    <row r="139" spans="1:12">
      <c r="A139" s="662" t="s">
        <v>854</v>
      </c>
      <c r="B139" s="662" t="s">
        <v>243</v>
      </c>
    </row>
    <row r="140" spans="1:12">
      <c r="A140" s="662" t="s">
        <v>1062</v>
      </c>
      <c r="B140" s="662" t="s">
        <v>1063</v>
      </c>
    </row>
    <row r="141" spans="1:12">
      <c r="A141" s="662" t="s">
        <v>857</v>
      </c>
      <c r="B141" s="662" t="s">
        <v>858</v>
      </c>
    </row>
    <row r="142" spans="1:12">
      <c r="A142" s="662" t="s">
        <v>1249</v>
      </c>
      <c r="B142" s="662" t="s">
        <v>1250</v>
      </c>
    </row>
    <row r="143" spans="1:12">
      <c r="A143" s="662" t="s">
        <v>859</v>
      </c>
      <c r="B143" s="662" t="s">
        <v>576</v>
      </c>
    </row>
    <row r="144" spans="1:12">
      <c r="A144" s="662" t="s">
        <v>1247</v>
      </c>
      <c r="B144" s="662" t="s">
        <v>1248</v>
      </c>
    </row>
    <row r="145" spans="1:17">
      <c r="A145" s="662" t="s">
        <v>855</v>
      </c>
      <c r="B145" s="662" t="s">
        <v>856</v>
      </c>
    </row>
    <row r="147" spans="1:17">
      <c r="A147" s="659" t="s">
        <v>824</v>
      </c>
      <c r="B147" s="659" t="s">
        <v>829</v>
      </c>
      <c r="C147" s="659" t="s">
        <v>830</v>
      </c>
      <c r="D147" s="659" t="s">
        <v>831</v>
      </c>
      <c r="E147" s="659" t="s">
        <v>832</v>
      </c>
      <c r="F147" s="659" t="s">
        <v>833</v>
      </c>
      <c r="G147" s="659" t="s">
        <v>834</v>
      </c>
      <c r="H147" s="659" t="s">
        <v>835</v>
      </c>
      <c r="I147" s="659" t="s">
        <v>836</v>
      </c>
      <c r="J147" s="659" t="s">
        <v>837</v>
      </c>
      <c r="K147" s="659" t="s">
        <v>838</v>
      </c>
      <c r="L147" s="659" t="s">
        <v>839</v>
      </c>
      <c r="M147" s="659" t="s">
        <v>840</v>
      </c>
      <c r="N147" s="659" t="s">
        <v>841</v>
      </c>
      <c r="O147" s="659" t="s">
        <v>842</v>
      </c>
      <c r="P147" s="659" t="s">
        <v>843</v>
      </c>
      <c r="Q147" s="659" t="s">
        <v>844</v>
      </c>
    </row>
    <row r="148" spans="1:17">
      <c r="A148" s="659" t="s">
        <v>128</v>
      </c>
      <c r="B148" s="660">
        <v>3410853</v>
      </c>
      <c r="C148" s="660">
        <v>4582135</v>
      </c>
      <c r="D148" s="660">
        <v>5833112</v>
      </c>
      <c r="E148" s="660">
        <v>3975028</v>
      </c>
      <c r="F148" s="660">
        <v>2736304</v>
      </c>
      <c r="G148" s="660">
        <v>3877590</v>
      </c>
      <c r="H148" s="660">
        <v>4900439</v>
      </c>
      <c r="I148" s="660">
        <v>3103392</v>
      </c>
      <c r="J148" s="660">
        <v>2643708</v>
      </c>
      <c r="K148" s="660">
        <v>3761989</v>
      </c>
      <c r="L148" s="660">
        <v>4902734</v>
      </c>
      <c r="M148" s="660">
        <v>3322463</v>
      </c>
      <c r="N148" s="660">
        <v>3053085</v>
      </c>
      <c r="O148" s="660">
        <v>4094126</v>
      </c>
      <c r="P148" s="660">
        <v>4941373</v>
      </c>
      <c r="Q148" s="660">
        <v>3377681</v>
      </c>
    </row>
    <row r="150" spans="1:17">
      <c r="A150" s="662" t="s">
        <v>904</v>
      </c>
    </row>
    <row r="151" spans="1:17">
      <c r="A151" s="662" t="s">
        <v>869</v>
      </c>
      <c r="B151" s="662" t="s">
        <v>905</v>
      </c>
    </row>
    <row r="153" spans="1:17">
      <c r="A153" s="662" t="s">
        <v>857</v>
      </c>
      <c r="B153" s="662" t="s">
        <v>858</v>
      </c>
    </row>
    <row r="154" spans="1:17">
      <c r="A154" s="662" t="s">
        <v>1249</v>
      </c>
      <c r="B154" s="662" t="s">
        <v>1250</v>
      </c>
    </row>
    <row r="155" spans="1:17">
      <c r="A155" s="662" t="s">
        <v>859</v>
      </c>
      <c r="B155" s="662" t="s">
        <v>906</v>
      </c>
    </row>
    <row r="156" spans="1:17">
      <c r="A156" s="662" t="s">
        <v>1247</v>
      </c>
      <c r="B156" s="662" t="s">
        <v>1248</v>
      </c>
    </row>
    <row r="157" spans="1:17">
      <c r="A157" s="662" t="s">
        <v>855</v>
      </c>
      <c r="B157" s="662" t="s">
        <v>856</v>
      </c>
    </row>
    <row r="159" spans="1:17">
      <c r="A159" s="659" t="s">
        <v>824</v>
      </c>
      <c r="B159" s="659" t="s">
        <v>829</v>
      </c>
      <c r="C159" s="659" t="s">
        <v>830</v>
      </c>
      <c r="D159" s="659" t="s">
        <v>831</v>
      </c>
      <c r="E159" s="659" t="s">
        <v>832</v>
      </c>
      <c r="F159" s="659" t="s">
        <v>833</v>
      </c>
      <c r="G159" s="659" t="s">
        <v>834</v>
      </c>
      <c r="H159" s="659" t="s">
        <v>835</v>
      </c>
      <c r="I159" s="659" t="s">
        <v>836</v>
      </c>
      <c r="J159" s="659" t="s">
        <v>837</v>
      </c>
      <c r="K159" s="659" t="s">
        <v>838</v>
      </c>
      <c r="L159" s="659" t="s">
        <v>839</v>
      </c>
      <c r="M159" s="659" t="s">
        <v>840</v>
      </c>
      <c r="N159" s="659" t="s">
        <v>841</v>
      </c>
      <c r="O159" s="659" t="s">
        <v>842</v>
      </c>
      <c r="P159" s="659" t="s">
        <v>843</v>
      </c>
      <c r="Q159" s="659" t="s">
        <v>844</v>
      </c>
    </row>
    <row r="160" spans="1:17">
      <c r="A160" s="659" t="s">
        <v>128</v>
      </c>
      <c r="B160" s="667" t="s">
        <v>869</v>
      </c>
      <c r="C160" s="667" t="s">
        <v>869</v>
      </c>
      <c r="D160" s="667" t="s">
        <v>869</v>
      </c>
      <c r="E160" s="667" t="s">
        <v>869</v>
      </c>
      <c r="F160" s="667" t="s">
        <v>869</v>
      </c>
      <c r="G160" s="667" t="s">
        <v>869</v>
      </c>
      <c r="H160" s="667" t="s">
        <v>869</v>
      </c>
      <c r="I160" s="667" t="s">
        <v>869</v>
      </c>
      <c r="J160" s="667" t="s">
        <v>869</v>
      </c>
      <c r="K160" s="667" t="s">
        <v>869</v>
      </c>
      <c r="L160" s="667" t="s">
        <v>869</v>
      </c>
      <c r="M160" s="667" t="s">
        <v>869</v>
      </c>
      <c r="N160" s="667" t="s">
        <v>869</v>
      </c>
      <c r="O160" s="667" t="s">
        <v>869</v>
      </c>
      <c r="P160" s="667" t="s">
        <v>869</v>
      </c>
      <c r="Q160" s="667" t="s">
        <v>869</v>
      </c>
    </row>
    <row r="162" spans="1:17">
      <c r="A162" s="662" t="s">
        <v>904</v>
      </c>
    </row>
    <row r="163" spans="1:17">
      <c r="A163" s="662" t="s">
        <v>869</v>
      </c>
      <c r="B163" s="662" t="s">
        <v>905</v>
      </c>
    </row>
    <row r="165" spans="1:17">
      <c r="A165" s="662" t="s">
        <v>857</v>
      </c>
      <c r="B165" s="662" t="s">
        <v>858</v>
      </c>
    </row>
    <row r="166" spans="1:17">
      <c r="A166" s="662" t="s">
        <v>1249</v>
      </c>
      <c r="B166" s="662" t="s">
        <v>1250</v>
      </c>
    </row>
    <row r="167" spans="1:17">
      <c r="A167" s="662" t="s">
        <v>859</v>
      </c>
      <c r="B167" s="662" t="s">
        <v>907</v>
      </c>
    </row>
    <row r="168" spans="1:17">
      <c r="A168" s="662" t="s">
        <v>1247</v>
      </c>
      <c r="B168" s="662" t="s">
        <v>1248</v>
      </c>
    </row>
    <row r="169" spans="1:17">
      <c r="A169" s="662" t="s">
        <v>855</v>
      </c>
      <c r="B169" s="662" t="s">
        <v>856</v>
      </c>
    </row>
    <row r="171" spans="1:17">
      <c r="A171" s="659" t="s">
        <v>824</v>
      </c>
      <c r="B171" s="659" t="s">
        <v>829</v>
      </c>
      <c r="C171" s="659" t="s">
        <v>830</v>
      </c>
      <c r="D171" s="659" t="s">
        <v>831</v>
      </c>
      <c r="E171" s="659" t="s">
        <v>832</v>
      </c>
      <c r="F171" s="659" t="s">
        <v>833</v>
      </c>
      <c r="G171" s="659" t="s">
        <v>834</v>
      </c>
      <c r="H171" s="659" t="s">
        <v>835</v>
      </c>
      <c r="I171" s="659" t="s">
        <v>836</v>
      </c>
      <c r="J171" s="659" t="s">
        <v>837</v>
      </c>
      <c r="K171" s="659" t="s">
        <v>838</v>
      </c>
      <c r="L171" s="659" t="s">
        <v>839</v>
      </c>
      <c r="M171" s="659" t="s">
        <v>840</v>
      </c>
      <c r="N171" s="659" t="s">
        <v>841</v>
      </c>
      <c r="O171" s="659" t="s">
        <v>842</v>
      </c>
      <c r="P171" s="659" t="s">
        <v>843</v>
      </c>
      <c r="Q171" s="659" t="s">
        <v>844</v>
      </c>
    </row>
    <row r="172" spans="1:17">
      <c r="A172" s="659" t="s">
        <v>128</v>
      </c>
      <c r="B172" s="660">
        <v>77136</v>
      </c>
      <c r="C172" s="660">
        <v>96490</v>
      </c>
      <c r="D172" s="660">
        <v>73003</v>
      </c>
      <c r="E172" s="660">
        <v>73670</v>
      </c>
      <c r="F172" s="660">
        <v>74369</v>
      </c>
      <c r="G172" s="660">
        <v>51263</v>
      </c>
      <c r="H172" s="660">
        <v>45190</v>
      </c>
      <c r="I172" s="660">
        <v>54467</v>
      </c>
      <c r="J172" s="660">
        <v>50537</v>
      </c>
      <c r="K172" s="660">
        <v>40340</v>
      </c>
      <c r="L172" s="660">
        <v>19552</v>
      </c>
      <c r="M172" s="660">
        <v>30499</v>
      </c>
      <c r="N172" s="660">
        <v>87018</v>
      </c>
      <c r="O172" s="660">
        <v>49492</v>
      </c>
      <c r="P172" s="660">
        <v>24169</v>
      </c>
      <c r="Q172" s="660">
        <v>36858</v>
      </c>
    </row>
    <row r="174" spans="1:17">
      <c r="A174" s="662" t="s">
        <v>904</v>
      </c>
    </row>
    <row r="175" spans="1:17">
      <c r="A175" s="662" t="s">
        <v>869</v>
      </c>
      <c r="B175" s="662" t="s">
        <v>905</v>
      </c>
    </row>
    <row r="177" spans="1:17">
      <c r="A177" s="662" t="s">
        <v>857</v>
      </c>
      <c r="B177" s="662" t="s">
        <v>858</v>
      </c>
    </row>
    <row r="178" spans="1:17">
      <c r="A178" s="662" t="s">
        <v>1249</v>
      </c>
      <c r="B178" s="662" t="s">
        <v>1251</v>
      </c>
    </row>
    <row r="179" spans="1:17">
      <c r="A179" s="662" t="s">
        <v>859</v>
      </c>
      <c r="B179" s="662" t="s">
        <v>576</v>
      </c>
    </row>
    <row r="180" spans="1:17">
      <c r="A180" s="662" t="s">
        <v>1247</v>
      </c>
      <c r="B180" s="662" t="s">
        <v>1248</v>
      </c>
    </row>
    <row r="181" spans="1:17">
      <c r="A181" s="662" t="s">
        <v>855</v>
      </c>
      <c r="B181" s="662" t="s">
        <v>856</v>
      </c>
    </row>
    <row r="183" spans="1:17">
      <c r="A183" s="659" t="s">
        <v>824</v>
      </c>
      <c r="B183" s="659" t="s">
        <v>829</v>
      </c>
      <c r="C183" s="659" t="s">
        <v>830</v>
      </c>
      <c r="D183" s="659" t="s">
        <v>831</v>
      </c>
      <c r="E183" s="659" t="s">
        <v>832</v>
      </c>
      <c r="F183" s="659" t="s">
        <v>833</v>
      </c>
      <c r="G183" s="659" t="s">
        <v>834</v>
      </c>
      <c r="H183" s="659" t="s">
        <v>835</v>
      </c>
      <c r="I183" s="659" t="s">
        <v>836</v>
      </c>
      <c r="J183" s="659" t="s">
        <v>837</v>
      </c>
      <c r="K183" s="659" t="s">
        <v>838</v>
      </c>
      <c r="L183" s="659" t="s">
        <v>839</v>
      </c>
      <c r="M183" s="659" t="s">
        <v>840</v>
      </c>
      <c r="N183" s="659" t="s">
        <v>841</v>
      </c>
      <c r="O183" s="659" t="s">
        <v>842</v>
      </c>
      <c r="P183" s="659" t="s">
        <v>843</v>
      </c>
      <c r="Q183" s="659" t="s">
        <v>844</v>
      </c>
    </row>
    <row r="184" spans="1:17">
      <c r="A184" s="659" t="s">
        <v>128</v>
      </c>
      <c r="B184" s="660">
        <v>790989</v>
      </c>
      <c r="C184" s="660">
        <v>931780</v>
      </c>
      <c r="D184" s="660">
        <v>1787798</v>
      </c>
      <c r="E184" s="660">
        <v>842924</v>
      </c>
      <c r="F184" s="660">
        <v>838260</v>
      </c>
      <c r="G184" s="660">
        <v>927402</v>
      </c>
      <c r="H184" s="660">
        <v>1393755</v>
      </c>
      <c r="I184" s="660">
        <v>743434</v>
      </c>
      <c r="J184" s="660">
        <v>746702</v>
      </c>
      <c r="K184" s="660">
        <v>832146</v>
      </c>
      <c r="L184" s="660">
        <v>1417361</v>
      </c>
      <c r="M184" s="660">
        <v>776594</v>
      </c>
      <c r="N184" s="660">
        <v>753516</v>
      </c>
      <c r="O184" s="660">
        <v>878861</v>
      </c>
      <c r="P184" s="660">
        <v>1390661</v>
      </c>
      <c r="Q184" s="660">
        <v>782697</v>
      </c>
    </row>
    <row r="186" spans="1:17">
      <c r="A186" s="662" t="s">
        <v>904</v>
      </c>
    </row>
    <row r="187" spans="1:17">
      <c r="A187" s="662" t="s">
        <v>869</v>
      </c>
      <c r="B187" s="662" t="s">
        <v>905</v>
      </c>
    </row>
    <row r="189" spans="1:17">
      <c r="A189" s="662" t="s">
        <v>857</v>
      </c>
      <c r="B189" s="662" t="s">
        <v>858</v>
      </c>
    </row>
    <row r="190" spans="1:17">
      <c r="A190" s="662" t="s">
        <v>1249</v>
      </c>
      <c r="B190" s="662" t="s">
        <v>1251</v>
      </c>
    </row>
    <row r="191" spans="1:17">
      <c r="A191" s="662" t="s">
        <v>859</v>
      </c>
      <c r="B191" s="662" t="s">
        <v>906</v>
      </c>
    </row>
    <row r="192" spans="1:17">
      <c r="A192" s="662" t="s">
        <v>1247</v>
      </c>
      <c r="B192" s="662" t="s">
        <v>1248</v>
      </c>
    </row>
    <row r="193" spans="1:17">
      <c r="A193" s="662" t="s">
        <v>855</v>
      </c>
      <c r="B193" s="662" t="s">
        <v>856</v>
      </c>
    </row>
    <row r="195" spans="1:17">
      <c r="A195" s="659" t="s">
        <v>824</v>
      </c>
      <c r="B195" s="659" t="s">
        <v>829</v>
      </c>
      <c r="C195" s="659" t="s">
        <v>830</v>
      </c>
      <c r="D195" s="659" t="s">
        <v>831</v>
      </c>
      <c r="E195" s="659" t="s">
        <v>832</v>
      </c>
      <c r="F195" s="659" t="s">
        <v>833</v>
      </c>
      <c r="G195" s="659" t="s">
        <v>834</v>
      </c>
      <c r="H195" s="659" t="s">
        <v>835</v>
      </c>
      <c r="I195" s="659" t="s">
        <v>836</v>
      </c>
      <c r="J195" s="659" t="s">
        <v>837</v>
      </c>
      <c r="K195" s="659" t="s">
        <v>838</v>
      </c>
      <c r="L195" s="659" t="s">
        <v>839</v>
      </c>
      <c r="M195" s="659" t="s">
        <v>840</v>
      </c>
      <c r="N195" s="659" t="s">
        <v>841</v>
      </c>
      <c r="O195" s="659" t="s">
        <v>842</v>
      </c>
      <c r="P195" s="659" t="s">
        <v>843</v>
      </c>
      <c r="Q195" s="659" t="s">
        <v>844</v>
      </c>
    </row>
    <row r="196" spans="1:17">
      <c r="A196" s="659" t="s">
        <v>128</v>
      </c>
      <c r="B196" s="667" t="s">
        <v>869</v>
      </c>
      <c r="C196" s="667" t="s">
        <v>869</v>
      </c>
      <c r="D196" s="667" t="s">
        <v>869</v>
      </c>
      <c r="E196" s="667" t="s">
        <v>869</v>
      </c>
      <c r="F196" s="667" t="s">
        <v>869</v>
      </c>
      <c r="G196" s="667" t="s">
        <v>869</v>
      </c>
      <c r="H196" s="667" t="s">
        <v>869</v>
      </c>
      <c r="I196" s="667" t="s">
        <v>869</v>
      </c>
      <c r="J196" s="667" t="s">
        <v>869</v>
      </c>
      <c r="K196" s="667" t="s">
        <v>869</v>
      </c>
      <c r="L196" s="667" t="s">
        <v>869</v>
      </c>
      <c r="M196" s="667" t="s">
        <v>869</v>
      </c>
      <c r="N196" s="667" t="s">
        <v>869</v>
      </c>
      <c r="O196" s="667" t="s">
        <v>869</v>
      </c>
      <c r="P196" s="667" t="s">
        <v>869</v>
      </c>
      <c r="Q196" s="667" t="s">
        <v>869</v>
      </c>
    </row>
    <row r="198" spans="1:17">
      <c r="A198" s="662" t="s">
        <v>904</v>
      </c>
    </row>
    <row r="199" spans="1:17">
      <c r="A199" s="662" t="s">
        <v>869</v>
      </c>
      <c r="B199" s="662" t="s">
        <v>905</v>
      </c>
    </row>
    <row r="201" spans="1:17">
      <c r="A201" s="662" t="s">
        <v>857</v>
      </c>
      <c r="B201" s="662" t="s">
        <v>858</v>
      </c>
    </row>
    <row r="202" spans="1:17">
      <c r="A202" s="662" t="s">
        <v>1249</v>
      </c>
      <c r="B202" s="662" t="s">
        <v>1251</v>
      </c>
    </row>
    <row r="203" spans="1:17">
      <c r="A203" s="662" t="s">
        <v>859</v>
      </c>
      <c r="B203" s="662" t="s">
        <v>907</v>
      </c>
    </row>
    <row r="204" spans="1:17">
      <c r="A204" s="662" t="s">
        <v>1247</v>
      </c>
      <c r="B204" s="662" t="s">
        <v>1248</v>
      </c>
    </row>
    <row r="205" spans="1:17">
      <c r="A205" s="662" t="s">
        <v>855</v>
      </c>
      <c r="B205" s="662" t="s">
        <v>856</v>
      </c>
    </row>
    <row r="207" spans="1:17">
      <c r="A207" s="659" t="s">
        <v>824</v>
      </c>
      <c r="B207" s="659" t="s">
        <v>829</v>
      </c>
      <c r="C207" s="659" t="s">
        <v>830</v>
      </c>
      <c r="D207" s="659" t="s">
        <v>831</v>
      </c>
      <c r="E207" s="659" t="s">
        <v>832</v>
      </c>
      <c r="F207" s="659" t="s">
        <v>833</v>
      </c>
      <c r="G207" s="659" t="s">
        <v>834</v>
      </c>
      <c r="H207" s="659" t="s">
        <v>835</v>
      </c>
      <c r="I207" s="659" t="s">
        <v>836</v>
      </c>
      <c r="J207" s="659" t="s">
        <v>837</v>
      </c>
      <c r="K207" s="659" t="s">
        <v>838</v>
      </c>
      <c r="L207" s="659" t="s">
        <v>839</v>
      </c>
      <c r="M207" s="659" t="s">
        <v>840</v>
      </c>
      <c r="N207" s="659" t="s">
        <v>841</v>
      </c>
      <c r="O207" s="659" t="s">
        <v>842</v>
      </c>
      <c r="P207" s="659" t="s">
        <v>843</v>
      </c>
      <c r="Q207" s="659" t="s">
        <v>844</v>
      </c>
    </row>
    <row r="208" spans="1:17">
      <c r="A208" s="659" t="s">
        <v>128</v>
      </c>
      <c r="B208" s="660">
        <v>162005</v>
      </c>
      <c r="C208" s="660">
        <v>180795</v>
      </c>
      <c r="D208" s="660">
        <v>193244</v>
      </c>
      <c r="E208" s="660">
        <v>168192</v>
      </c>
      <c r="F208" s="660">
        <v>143301</v>
      </c>
      <c r="G208" s="660">
        <v>185258</v>
      </c>
      <c r="H208" s="660">
        <v>170891</v>
      </c>
      <c r="I208" s="660">
        <v>153953</v>
      </c>
      <c r="J208" s="660">
        <v>126453</v>
      </c>
      <c r="K208" s="660">
        <v>155723</v>
      </c>
      <c r="L208" s="660">
        <v>163693</v>
      </c>
      <c r="M208" s="660">
        <v>179512</v>
      </c>
      <c r="N208" s="660">
        <v>141693</v>
      </c>
      <c r="O208" s="660">
        <v>160651</v>
      </c>
      <c r="P208" s="660">
        <v>151756</v>
      </c>
      <c r="Q208" s="660">
        <v>154284</v>
      </c>
    </row>
    <row r="210" spans="1:6">
      <c r="A210" s="662" t="s">
        <v>904</v>
      </c>
    </row>
    <row r="211" spans="1:6">
      <c r="A211" s="662" t="s">
        <v>869</v>
      </c>
      <c r="B211" s="662" t="s">
        <v>905</v>
      </c>
    </row>
    <row r="214" spans="1:6">
      <c r="B214">
        <v>2008</v>
      </c>
      <c r="C214">
        <v>2009</v>
      </c>
      <c r="D214">
        <v>2010</v>
      </c>
      <c r="E214">
        <v>2011</v>
      </c>
      <c r="F214">
        <v>2012</v>
      </c>
    </row>
    <row r="215" spans="1:6">
      <c r="A215" t="s">
        <v>1268</v>
      </c>
    </row>
    <row r="216" spans="1:6">
      <c r="A216" t="s">
        <v>576</v>
      </c>
      <c r="B216" s="253">
        <f>SUM(B184:E184)/1000</f>
        <v>4353.491</v>
      </c>
      <c r="C216" s="253">
        <f>SUM(F184:I184)/1000</f>
        <v>3902.8510000000001</v>
      </c>
      <c r="D216" s="253">
        <f>SUM(J184:M184)/1000</f>
        <v>3772.8029999999999</v>
      </c>
      <c r="E216" s="253">
        <f>SUM(N184:Q184)/1000</f>
        <v>3805.7350000000001</v>
      </c>
      <c r="F216" s="253"/>
    </row>
    <row r="217" spans="1:6">
      <c r="A217" t="s">
        <v>1269</v>
      </c>
    </row>
    <row r="218" spans="1:6">
      <c r="A218" t="s">
        <v>1270</v>
      </c>
      <c r="B218" s="253">
        <f>SUM(B208:E208)/1000</f>
        <v>704.23599999999999</v>
      </c>
      <c r="C218" s="253">
        <f>SUM(F208:I208)/1000</f>
        <v>653.40300000000002</v>
      </c>
      <c r="D218" s="253">
        <f>SUM(J208:M208)/1000</f>
        <v>625.38099999999997</v>
      </c>
      <c r="E218" s="253">
        <f>SUM(N208:Q208)/1000</f>
        <v>608.38400000000001</v>
      </c>
      <c r="F218" s="253">
        <f>FORECAST('Tourism Medium DB-LCU'!L40,'Tourism Medium DB-LCU'!H41:K41,'Tourism Medium DB-LCU'!H40:K40)</f>
        <v>503.11284279025296</v>
      </c>
    </row>
    <row r="220" spans="1:6">
      <c r="B220">
        <v>2008</v>
      </c>
      <c r="C220">
        <v>2009</v>
      </c>
      <c r="D220">
        <v>2010</v>
      </c>
      <c r="E220">
        <v>2011</v>
      </c>
      <c r="F220">
        <v>2012</v>
      </c>
    </row>
    <row r="221" spans="1:6">
      <c r="A221" t="s">
        <v>526</v>
      </c>
    </row>
    <row r="222" spans="1:6">
      <c r="A222" t="s">
        <v>576</v>
      </c>
      <c r="B222" s="253">
        <f>SUM(B148:E148)/1000</f>
        <v>17801.128000000001</v>
      </c>
      <c r="C222" s="253">
        <f>SUM(F148:I148)/1000</f>
        <v>14617.725</v>
      </c>
      <c r="D222" s="253">
        <f>SUM(J148:M148)/1000</f>
        <v>14630.894</v>
      </c>
      <c r="E222" s="253">
        <f>SUM(O148:R148)/1000</f>
        <v>12413.18</v>
      </c>
      <c r="F222" s="253"/>
    </row>
    <row r="223" spans="1:6">
      <c r="A223" t="s">
        <v>1269</v>
      </c>
    </row>
    <row r="224" spans="1:6">
      <c r="A224" t="s">
        <v>1270</v>
      </c>
      <c r="B224" s="253">
        <f>SUM(B172:E172)/1000</f>
        <v>320.29899999999998</v>
      </c>
      <c r="C224" s="253">
        <f>SUM(F172:I172)/1000</f>
        <v>225.28899999999999</v>
      </c>
      <c r="D224" s="253">
        <f>SUM(J172:M172)/1000</f>
        <v>140.928</v>
      </c>
      <c r="E224" s="253">
        <f>SUM(O172:R172)/1000</f>
        <v>110.51900000000001</v>
      </c>
      <c r="F224">
        <f>FORECAST('Tourism Medium DB-LCU'!L18,'TDF working sheet'!B224:E224,'Tourism Medium DB-LCU'!H18:K18)</f>
        <v>136.61933469808844</v>
      </c>
    </row>
  </sheetData>
  <customSheetViews>
    <customSheetView guid="{BD5E9955-DC4B-4EA0-9160-9EF1C693DE04}" topLeftCell="A6">
      <selection activeCell="G20" sqref="G20"/>
      <pageMargins left="0.7" right="0.7" top="0.75" bottom="0.75" header="0.3" footer="0.3"/>
      <pageSetup orientation="portrait" horizontalDpi="300" verticalDpi="0" copies="0" r:id="rId1"/>
    </customSheetView>
    <customSheetView guid="{1ACDCC85-59E3-4410-927D-E7E5C71B61F5}" state="hidden">
      <selection activeCell="A97" sqref="A97:XFD97"/>
      <pageMargins left="0.7" right="0.7" top="0.75" bottom="0.75" header="0.3" footer="0.3"/>
      <pageSetup orientation="portrait" horizontalDpi="300" verticalDpi="0" copies="0" r:id="rId2"/>
    </customSheetView>
    <customSheetView guid="{28AA611C-F120-4D09-9666-0AAAA1997A5D}" topLeftCell="A105">
      <selection activeCell="G115" sqref="G115"/>
      <pageMargins left="0.7" right="0.7" top="0.75" bottom="0.75" header="0.3" footer="0.3"/>
      <pageSetup orientation="portrait" horizontalDpi="300" verticalDpi="0" copies="0" r:id="rId3"/>
    </customSheetView>
    <customSheetView guid="{63078F6D-D19C-47E9-B618-80B24EAAED3A}" topLeftCell="B9">
      <selection activeCell="R21" sqref="R21"/>
      <pageMargins left="0.7" right="0.7" top="0.75" bottom="0.75" header="0.3" footer="0.3"/>
      <pageSetup orientation="portrait" horizontalDpi="300" verticalDpi="0" copies="0" r:id="rId4"/>
    </customSheetView>
    <customSheetView guid="{92F60ACF-D6F3-4086-9F2B-BC0D304DAC43}" topLeftCell="B9">
      <selection activeCell="R21" sqref="R21"/>
      <pageMargins left="0.7" right="0.7" top="0.75" bottom="0.75" header="0.3" footer="0.3"/>
      <pageSetup orientation="portrait" horizontalDpi="300" verticalDpi="0" copies="0" r:id="rId5"/>
    </customSheetView>
    <customSheetView guid="{9144D9B3-2327-4B3A-89B1-6A595780C3C5}" state="hidden">
      <selection activeCell="A215" sqref="A215"/>
      <pageMargins left="0.7" right="0.7" top="0.75" bottom="0.75" header="0.3" footer="0.3"/>
      <pageSetup orientation="portrait" horizontalDpi="300" verticalDpi="0" copies="0" r:id="rId6"/>
    </customSheetView>
    <customSheetView guid="{513032B5-C585-49C2-98E7-9FDE6F7A4BA7}">
      <pageMargins left="0.7" right="0.7" top="0.75" bottom="0.75" header="0.3" footer="0.3"/>
      <pageSetup orientation="portrait" horizontalDpi="300" verticalDpi="0" copies="0" r:id="rId7"/>
    </customSheetView>
    <customSheetView guid="{AF983ECA-536A-40E6-8A04-FF0A375E9ACC}">
      <selection activeCell="A97" sqref="A97:XFD97"/>
      <pageMargins left="0.7" right="0.7" top="0.75" bottom="0.75" header="0.3" footer="0.3"/>
      <pageSetup orientation="portrait" horizontalDpi="300" verticalDpi="0" copies="0" r:id="rId8"/>
    </customSheetView>
  </customSheetViews>
  <pageMargins left="0.7" right="0.7" top="0.75" bottom="0.75" header="0.3" footer="0.3"/>
  <pageSetup orientation="portrait" horizontalDpi="300" r:id="rId9"/>
  <headerFooter>
    <oddHeader>&amp;Ch</oddHeader>
  </headerFooter>
</worksheet>
</file>

<file path=xl/worksheets/sheet10.xml><?xml version="1.0" encoding="utf-8"?>
<worksheet xmlns="http://schemas.openxmlformats.org/spreadsheetml/2006/main" xmlns:r="http://schemas.openxmlformats.org/officeDocument/2006/relationships">
  <dimension ref="A1:AW185"/>
  <sheetViews>
    <sheetView showGridLines="0" tabSelected="1" workbookViewId="0">
      <pane ySplit="1" topLeftCell="A12" activePane="bottomLeft" state="frozen"/>
      <selection pane="bottomLeft" activeCell="H20" sqref="H20:L21"/>
    </sheetView>
  </sheetViews>
  <sheetFormatPr defaultRowHeight="15" customHeight="1"/>
  <cols>
    <col min="1" max="1" width="9.140625" style="1"/>
    <col min="2" max="5" width="8.5703125" style="1" customWidth="1"/>
    <col min="6" max="6" width="9.140625" style="1"/>
    <col min="7" max="7" width="13.5703125" style="1" hidden="1" customWidth="1"/>
    <col min="8" max="8" width="10" style="1" customWidth="1"/>
    <col min="9" max="10" width="13.5703125" style="1" bestFit="1" customWidth="1"/>
    <col min="11" max="11" width="13.42578125" style="1" bestFit="1" customWidth="1"/>
    <col min="12" max="12" width="11" style="1" bestFit="1" customWidth="1"/>
    <col min="13" max="13" width="10.85546875" style="1" customWidth="1"/>
    <col min="14" max="17" width="11.7109375" style="1" customWidth="1"/>
    <col min="18" max="19" width="13.42578125" style="1" bestFit="1" customWidth="1"/>
    <col min="20" max="20" width="13.42578125" style="655" hidden="1" customWidth="1"/>
    <col min="21" max="21" width="9.7109375" style="1" customWidth="1"/>
    <col min="22" max="26" width="9.140625" style="1" customWidth="1"/>
    <col min="27" max="27" width="14.85546875" style="589" bestFit="1" customWidth="1"/>
    <col min="28" max="28" width="12.42578125" style="1" customWidth="1"/>
    <col min="29" max="29" width="9.140625" style="1" customWidth="1"/>
    <col min="30" max="30" width="9.140625" style="172" hidden="1" customWidth="1"/>
    <col min="31" max="32" width="9.140625" style="1" hidden="1" customWidth="1"/>
    <col min="33" max="41" width="9.140625" style="1" customWidth="1"/>
    <col min="42" max="16384" width="9.140625" style="1"/>
  </cols>
  <sheetData>
    <row r="1" spans="1:41" ht="15" customHeight="1">
      <c r="A1" s="3" t="s">
        <v>106</v>
      </c>
      <c r="B1" s="3" t="s">
        <v>0</v>
      </c>
      <c r="C1" s="3" t="s">
        <v>1</v>
      </c>
      <c r="D1" s="3" t="s">
        <v>2</v>
      </c>
      <c r="E1" s="3" t="s">
        <v>3</v>
      </c>
      <c r="F1" s="3" t="s">
        <v>163</v>
      </c>
      <c r="G1" s="3">
        <v>2007</v>
      </c>
      <c r="H1" s="3">
        <v>2008</v>
      </c>
      <c r="I1" s="3">
        <v>2009</v>
      </c>
      <c r="J1" s="3">
        <v>2010</v>
      </c>
      <c r="K1" s="3">
        <v>2011</v>
      </c>
      <c r="L1" s="3">
        <v>2012</v>
      </c>
      <c r="M1" s="3">
        <v>2013</v>
      </c>
      <c r="N1" s="3">
        <v>2014</v>
      </c>
      <c r="O1" s="3">
        <v>2015</v>
      </c>
      <c r="P1" s="3">
        <v>2016</v>
      </c>
      <c r="Q1" s="3">
        <v>2017</v>
      </c>
      <c r="R1" s="7" t="s">
        <v>164</v>
      </c>
      <c r="S1" s="7" t="s">
        <v>801</v>
      </c>
      <c r="T1" s="651" t="s">
        <v>816</v>
      </c>
      <c r="U1" s="737" t="s">
        <v>166</v>
      </c>
      <c r="V1" s="737" t="s">
        <v>166</v>
      </c>
      <c r="W1" s="737" t="s">
        <v>166</v>
      </c>
      <c r="X1" s="737" t="s">
        <v>166</v>
      </c>
      <c r="Y1" s="737" t="s">
        <v>166</v>
      </c>
      <c r="Z1" s="737" t="s">
        <v>166</v>
      </c>
      <c r="AA1" s="737" t="s">
        <v>815</v>
      </c>
      <c r="AB1" s="737" t="s">
        <v>167</v>
      </c>
      <c r="AD1" s="468" t="s">
        <v>564</v>
      </c>
      <c r="AG1" s="560">
        <v>2009</v>
      </c>
      <c r="AH1" s="560">
        <v>2010</v>
      </c>
      <c r="AI1" s="560">
        <v>2011</v>
      </c>
      <c r="AJ1" s="560">
        <v>2012</v>
      </c>
      <c r="AK1" s="560">
        <v>2013</v>
      </c>
      <c r="AL1" s="560">
        <v>2014</v>
      </c>
      <c r="AM1" s="560">
        <v>2015</v>
      </c>
      <c r="AN1" s="560">
        <v>2016</v>
      </c>
      <c r="AO1" s="560">
        <v>2017</v>
      </c>
    </row>
    <row r="2" spans="1:41" ht="15" customHeight="1">
      <c r="A2" s="380" t="str">
        <f>Home!$B$1</f>
        <v>Hungary</v>
      </c>
      <c r="B2" s="2" t="s">
        <v>4</v>
      </c>
      <c r="R2" s="81"/>
      <c r="S2" s="81"/>
      <c r="T2" s="652"/>
      <c r="U2" s="81"/>
    </row>
    <row r="3" spans="1:41" ht="15" customHeight="1">
      <c r="A3" s="4" t="str">
        <f>Home!$B$1</f>
        <v>Hungary</v>
      </c>
      <c r="B3" s="4" t="s">
        <v>4</v>
      </c>
      <c r="C3" s="14" t="s">
        <v>5</v>
      </c>
      <c r="D3" s="658"/>
      <c r="E3" s="657"/>
      <c r="F3" s="1" t="s">
        <v>450</v>
      </c>
      <c r="G3" s="1">
        <f>SUM(G4:G5)</f>
        <v>36</v>
      </c>
      <c r="H3" s="1">
        <f>SUM(H4:H5)</f>
        <v>33</v>
      </c>
      <c r="I3" s="1">
        <f t="shared" ref="I3:L3" si="0">SUM(I4:I5)</f>
        <v>33</v>
      </c>
      <c r="J3" s="1">
        <f t="shared" si="0"/>
        <v>33</v>
      </c>
      <c r="K3" s="1">
        <f t="shared" si="0"/>
        <v>33</v>
      </c>
      <c r="L3" s="1">
        <f t="shared" si="0"/>
        <v>33</v>
      </c>
      <c r="R3" s="81"/>
      <c r="S3" s="81"/>
      <c r="T3" s="652"/>
      <c r="U3" s="81"/>
    </row>
    <row r="4" spans="1:41" ht="15" customHeight="1">
      <c r="A4" s="1" t="str">
        <f>Home!$B$1</f>
        <v>Hungary</v>
      </c>
      <c r="B4" s="1" t="s">
        <v>4</v>
      </c>
      <c r="C4" s="119" t="s">
        <v>5</v>
      </c>
      <c r="D4" s="119" t="s">
        <v>6</v>
      </c>
      <c r="E4" s="657"/>
      <c r="F4" s="1" t="s">
        <v>450</v>
      </c>
      <c r="G4" s="1">
        <v>25</v>
      </c>
      <c r="H4" s="1">
        <v>23</v>
      </c>
      <c r="I4" s="1">
        <v>23</v>
      </c>
      <c r="J4" s="1">
        <v>23</v>
      </c>
      <c r="K4" s="1">
        <v>23</v>
      </c>
      <c r="L4" s="1">
        <v>23</v>
      </c>
      <c r="R4" s="81"/>
      <c r="S4" s="81"/>
      <c r="T4" s="652"/>
      <c r="U4" s="82" t="s">
        <v>790</v>
      </c>
      <c r="V4" s="82" t="s">
        <v>790</v>
      </c>
      <c r="W4" s="82" t="s">
        <v>790</v>
      </c>
      <c r="X4" s="82" t="s">
        <v>790</v>
      </c>
      <c r="Y4" s="82" t="s">
        <v>790</v>
      </c>
      <c r="Z4" s="82"/>
      <c r="AA4" s="589">
        <v>5</v>
      </c>
      <c r="AB4" s="1" t="s">
        <v>934</v>
      </c>
      <c r="AD4" s="172" t="s">
        <v>559</v>
      </c>
      <c r="AE4" s="171" t="s">
        <v>565</v>
      </c>
    </row>
    <row r="5" spans="1:41" ht="15" customHeight="1">
      <c r="A5" s="4" t="str">
        <f>Home!$B$1</f>
        <v>Hungary</v>
      </c>
      <c r="B5" s="4" t="s">
        <v>4</v>
      </c>
      <c r="C5" s="119" t="s">
        <v>5</v>
      </c>
      <c r="D5" s="119" t="s">
        <v>7</v>
      </c>
      <c r="E5" s="657"/>
      <c r="F5" s="1" t="s">
        <v>450</v>
      </c>
      <c r="G5" s="1">
        <v>11</v>
      </c>
      <c r="H5" s="1">
        <v>10</v>
      </c>
      <c r="I5" s="1">
        <v>10</v>
      </c>
      <c r="J5" s="1">
        <v>10</v>
      </c>
      <c r="K5" s="1">
        <v>10</v>
      </c>
      <c r="L5" s="1">
        <v>10</v>
      </c>
      <c r="R5" s="81"/>
      <c r="S5" s="81"/>
      <c r="T5" s="652"/>
      <c r="U5" s="82" t="s">
        <v>790</v>
      </c>
      <c r="V5" s="82" t="s">
        <v>790</v>
      </c>
      <c r="W5" s="82" t="s">
        <v>790</v>
      </c>
      <c r="X5" s="82" t="s">
        <v>790</v>
      </c>
      <c r="Y5" s="82" t="s">
        <v>790</v>
      </c>
      <c r="Z5" s="82"/>
      <c r="AA5" s="589">
        <v>5</v>
      </c>
      <c r="AB5" s="1" t="s">
        <v>934</v>
      </c>
    </row>
    <row r="6" spans="1:41" ht="15" customHeight="1">
      <c r="A6" s="4" t="str">
        <f>Home!$B$1</f>
        <v>Hungary</v>
      </c>
      <c r="B6" s="4" t="s">
        <v>4</v>
      </c>
      <c r="C6" s="14" t="s">
        <v>8</v>
      </c>
      <c r="F6" s="2" t="s">
        <v>178</v>
      </c>
      <c r="G6" s="160">
        <f>G11</f>
        <v>42224</v>
      </c>
      <c r="H6" s="160">
        <f t="shared" ref="H6:Q6" si="1">H11</f>
        <v>23179.153999999999</v>
      </c>
      <c r="I6" s="160">
        <f t="shared" si="1"/>
        <v>19399.268</v>
      </c>
      <c r="J6" s="160">
        <f t="shared" si="1"/>
        <v>19170.006000000001</v>
      </c>
      <c r="K6" s="160">
        <f t="shared" si="1"/>
        <v>20077.920999999998</v>
      </c>
      <c r="L6" s="384">
        <f t="shared" si="1"/>
        <v>18493.900000000001</v>
      </c>
      <c r="M6" s="160">
        <f t="shared" si="1"/>
        <v>17368.874762650797</v>
      </c>
      <c r="N6" s="160">
        <f t="shared" si="1"/>
        <v>16970.260899469889</v>
      </c>
      <c r="O6" s="160">
        <f t="shared" si="1"/>
        <v>16803.300694536974</v>
      </c>
      <c r="P6" s="160">
        <f t="shared" si="1"/>
        <v>16671.38572346501</v>
      </c>
      <c r="Q6" s="160">
        <f t="shared" si="1"/>
        <v>16515.509206374561</v>
      </c>
      <c r="R6" s="324">
        <f>(L6/H6)^(1/4)-1</f>
        <v>-5.4889189024128537E-2</v>
      </c>
      <c r="S6" s="324">
        <f t="shared" ref="S6:S28" si="2">(Q6/L6)^(1/5)-1</f>
        <v>-2.2374113557698139E-2</v>
      </c>
      <c r="T6" s="653"/>
      <c r="U6" s="81" t="s">
        <v>920</v>
      </c>
      <c r="AA6" s="589">
        <v>4</v>
      </c>
    </row>
    <row r="7" spans="1:41" ht="15" customHeight="1">
      <c r="A7" s="4" t="str">
        <f>Home!$B$1</f>
        <v>Hungary</v>
      </c>
      <c r="B7" s="4" t="s">
        <v>4</v>
      </c>
      <c r="C7" s="4" t="s">
        <v>8</v>
      </c>
      <c r="D7" s="14" t="s">
        <v>9</v>
      </c>
      <c r="F7" s="1" t="s">
        <v>178</v>
      </c>
      <c r="G7" s="99">
        <v>7339</v>
      </c>
      <c r="H7" s="741"/>
      <c r="I7" s="741"/>
      <c r="J7" s="741"/>
      <c r="K7" s="741"/>
      <c r="L7" s="383"/>
      <c r="M7" s="73" t="e">
        <f>'TDF-Forecasting'!M12</f>
        <v>#DIV/0!</v>
      </c>
      <c r="N7" s="73" t="e">
        <f>'TDF-Forecasting'!N12</f>
        <v>#DIV/0!</v>
      </c>
      <c r="O7" s="73" t="e">
        <f>'TDF-Forecasting'!O12</f>
        <v>#DIV/0!</v>
      </c>
      <c r="P7" s="73" t="e">
        <f>'TDF-Forecasting'!P12</f>
        <v>#DIV/0!</v>
      </c>
      <c r="Q7" s="73" t="e">
        <f>'TDF-Forecasting'!Q12</f>
        <v>#DIV/0!</v>
      </c>
      <c r="R7" s="81" t="e">
        <f>(L7/H7)^(1/4)-1</f>
        <v>#DIV/0!</v>
      </c>
      <c r="S7" s="81" t="e">
        <f t="shared" si="2"/>
        <v>#DIV/0!</v>
      </c>
      <c r="T7" s="652" t="s">
        <v>817</v>
      </c>
      <c r="U7" s="650" t="s">
        <v>917</v>
      </c>
      <c r="V7" s="650" t="s">
        <v>917</v>
      </c>
      <c r="W7" s="650" t="s">
        <v>917</v>
      </c>
      <c r="X7" s="650" t="s">
        <v>917</v>
      </c>
      <c r="Y7" s="650" t="s">
        <v>917</v>
      </c>
      <c r="AA7" s="589">
        <v>4</v>
      </c>
      <c r="AB7" s="1" t="s">
        <v>918</v>
      </c>
    </row>
    <row r="8" spans="1:41" ht="15" customHeight="1">
      <c r="A8" s="4" t="str">
        <f>Home!$B$1</f>
        <v>Hungary</v>
      </c>
      <c r="B8" s="4" t="s">
        <v>4</v>
      </c>
      <c r="C8" s="4" t="s">
        <v>8</v>
      </c>
      <c r="D8" s="14" t="s">
        <v>10</v>
      </c>
      <c r="F8" s="1" t="s">
        <v>178</v>
      </c>
      <c r="G8" s="99">
        <v>11998</v>
      </c>
      <c r="H8" s="741"/>
      <c r="I8" s="741"/>
      <c r="J8" s="741"/>
      <c r="K8" s="741"/>
      <c r="L8" s="383"/>
      <c r="M8" s="73" t="e">
        <f>'TDF-Forecasting'!M14</f>
        <v>#DIV/0!</v>
      </c>
      <c r="N8" s="73" t="e">
        <f>'TDF-Forecasting'!N14</f>
        <v>#DIV/0!</v>
      </c>
      <c r="O8" s="73" t="e">
        <f>'TDF-Forecasting'!O14</f>
        <v>#DIV/0!</v>
      </c>
      <c r="P8" s="73" t="e">
        <f>'TDF-Forecasting'!P14</f>
        <v>#DIV/0!</v>
      </c>
      <c r="Q8" s="73" t="e">
        <f>'TDF-Forecasting'!Q14</f>
        <v>#DIV/0!</v>
      </c>
      <c r="R8" s="81" t="e">
        <f>(L8/H8)^(1/4)-1</f>
        <v>#DIV/0!</v>
      </c>
      <c r="S8" s="81" t="e">
        <f t="shared" si="2"/>
        <v>#DIV/0!</v>
      </c>
      <c r="T8" s="652" t="s">
        <v>817</v>
      </c>
      <c r="U8" s="650" t="s">
        <v>917</v>
      </c>
      <c r="V8" s="650" t="s">
        <v>917</v>
      </c>
      <c r="W8" s="650" t="s">
        <v>917</v>
      </c>
      <c r="X8" s="650" t="s">
        <v>917</v>
      </c>
      <c r="Y8" s="650" t="s">
        <v>917</v>
      </c>
      <c r="AA8" s="589">
        <v>4</v>
      </c>
      <c r="AB8" s="1" t="s">
        <v>918</v>
      </c>
    </row>
    <row r="9" spans="1:41" ht="15" customHeight="1">
      <c r="A9" s="4" t="str">
        <f>Home!$B$1</f>
        <v>Hungary</v>
      </c>
      <c r="B9" s="4" t="s">
        <v>4</v>
      </c>
      <c r="C9" s="4" t="s">
        <v>8</v>
      </c>
      <c r="D9" s="14" t="s">
        <v>11</v>
      </c>
      <c r="F9" s="1" t="s">
        <v>178</v>
      </c>
      <c r="G9" s="99">
        <v>14147</v>
      </c>
      <c r="H9" s="741"/>
      <c r="I9" s="741"/>
      <c r="J9" s="741"/>
      <c r="K9" s="741"/>
      <c r="L9" s="383"/>
      <c r="M9" s="73" t="e">
        <f>'TDF-Forecasting'!M16</f>
        <v>#DIV/0!</v>
      </c>
      <c r="N9" s="73" t="e">
        <f>'TDF-Forecasting'!N16</f>
        <v>#DIV/0!</v>
      </c>
      <c r="O9" s="73" t="e">
        <f>'TDF-Forecasting'!O16</f>
        <v>#DIV/0!</v>
      </c>
      <c r="P9" s="73" t="e">
        <f>'TDF-Forecasting'!P16</f>
        <v>#DIV/0!</v>
      </c>
      <c r="Q9" s="73" t="e">
        <f>'TDF-Forecasting'!Q16</f>
        <v>#DIV/0!</v>
      </c>
      <c r="R9" s="81" t="e">
        <f>(L9/H9)^(1/4)-1</f>
        <v>#DIV/0!</v>
      </c>
      <c r="S9" s="81" t="e">
        <f t="shared" si="2"/>
        <v>#DIV/0!</v>
      </c>
      <c r="T9" s="652" t="s">
        <v>817</v>
      </c>
      <c r="U9" s="650" t="s">
        <v>917</v>
      </c>
      <c r="V9" s="650" t="s">
        <v>917</v>
      </c>
      <c r="W9" s="650" t="s">
        <v>917</v>
      </c>
      <c r="X9" s="650" t="s">
        <v>917</v>
      </c>
      <c r="Y9" s="650" t="s">
        <v>917</v>
      </c>
      <c r="AA9" s="589">
        <v>4</v>
      </c>
      <c r="AB9" s="1" t="s">
        <v>918</v>
      </c>
    </row>
    <row r="10" spans="1:41" ht="15" customHeight="1">
      <c r="A10" s="4" t="str">
        <f>Home!$B$1</f>
        <v>Hungary</v>
      </c>
      <c r="B10" s="4" t="s">
        <v>4</v>
      </c>
      <c r="C10" s="4" t="s">
        <v>8</v>
      </c>
      <c r="D10" s="14" t="s">
        <v>12</v>
      </c>
      <c r="F10" s="1" t="s">
        <v>178</v>
      </c>
      <c r="G10" s="99">
        <v>8739</v>
      </c>
      <c r="H10" s="741"/>
      <c r="I10" s="741"/>
      <c r="J10" s="741"/>
      <c r="K10" s="741"/>
      <c r="L10" s="383"/>
      <c r="M10" s="73" t="e">
        <f>'TDF-Forecasting'!M18</f>
        <v>#DIV/0!</v>
      </c>
      <c r="N10" s="73" t="e">
        <f>'TDF-Forecasting'!N18</f>
        <v>#DIV/0!</v>
      </c>
      <c r="O10" s="73" t="e">
        <f>'TDF-Forecasting'!O18</f>
        <v>#DIV/0!</v>
      </c>
      <c r="P10" s="73" t="e">
        <f>'TDF-Forecasting'!P18</f>
        <v>#DIV/0!</v>
      </c>
      <c r="Q10" s="73" t="e">
        <f>'TDF-Forecasting'!Q18</f>
        <v>#DIV/0!</v>
      </c>
      <c r="R10" s="81" t="e">
        <f t="shared" ref="R10:R32" si="3">(L10/H10)^(1/4)-1</f>
        <v>#DIV/0!</v>
      </c>
      <c r="S10" s="81" t="e">
        <f>(Q10/L10)^(1/5)-1</f>
        <v>#DIV/0!</v>
      </c>
      <c r="T10" s="652" t="s">
        <v>817</v>
      </c>
      <c r="U10" s="650" t="s">
        <v>917</v>
      </c>
      <c r="V10" s="650" t="s">
        <v>917</v>
      </c>
      <c r="W10" s="650" t="s">
        <v>917</v>
      </c>
      <c r="X10" s="650" t="s">
        <v>917</v>
      </c>
      <c r="Y10" s="650" t="s">
        <v>917</v>
      </c>
      <c r="AA10" s="589">
        <v>4</v>
      </c>
      <c r="AB10" s="1" t="s">
        <v>918</v>
      </c>
    </row>
    <row r="11" spans="1:41" ht="15" customHeight="1">
      <c r="A11" s="4" t="str">
        <f>Home!$B$1</f>
        <v>Hungary</v>
      </c>
      <c r="B11" s="4" t="s">
        <v>4</v>
      </c>
      <c r="C11" s="14" t="s">
        <v>13</v>
      </c>
      <c r="D11" s="119"/>
      <c r="F11" s="2" t="s">
        <v>178</v>
      </c>
      <c r="G11" s="742">
        <f t="shared" ref="G11:L11" si="4">SUM(G12:G13)</f>
        <v>42224</v>
      </c>
      <c r="H11" s="742">
        <f t="shared" si="4"/>
        <v>23179.153999999999</v>
      </c>
      <c r="I11" s="742">
        <f t="shared" si="4"/>
        <v>19399.268</v>
      </c>
      <c r="J11" s="742">
        <f t="shared" si="4"/>
        <v>19170.006000000001</v>
      </c>
      <c r="K11" s="742">
        <f t="shared" si="4"/>
        <v>20077.920999999998</v>
      </c>
      <c r="L11" s="384">
        <f t="shared" si="4"/>
        <v>18493.900000000001</v>
      </c>
      <c r="M11" s="155">
        <f>'TDF-Forecasting'!M27</f>
        <v>17368.874762650797</v>
      </c>
      <c r="N11" s="155">
        <f>'TDF-Forecasting'!N27</f>
        <v>16970.260899469889</v>
      </c>
      <c r="O11" s="155">
        <f>'TDF-Forecasting'!O27</f>
        <v>16803.300694536974</v>
      </c>
      <c r="P11" s="155">
        <f>'TDF-Forecasting'!P27</f>
        <v>16671.38572346501</v>
      </c>
      <c r="Q11" s="155">
        <f>'TDF-Forecasting'!Q27</f>
        <v>16515.509206374561</v>
      </c>
      <c r="R11" s="324">
        <f>(L11/H11)^(1/4)-1</f>
        <v>-5.4889189024128537E-2</v>
      </c>
      <c r="S11" s="324">
        <f t="shared" si="2"/>
        <v>-2.2374113557698139E-2</v>
      </c>
      <c r="T11" s="653"/>
      <c r="U11" s="324" t="s">
        <v>919</v>
      </c>
      <c r="AA11" s="589">
        <v>4</v>
      </c>
      <c r="AB11" s="1" t="s">
        <v>821</v>
      </c>
    </row>
    <row r="12" spans="1:41" ht="15" customHeight="1">
      <c r="A12" s="4" t="str">
        <f>Home!$B$1</f>
        <v>Hungary</v>
      </c>
      <c r="B12" s="4" t="s">
        <v>4</v>
      </c>
      <c r="C12" s="4" t="s">
        <v>13</v>
      </c>
      <c r="D12" s="14" t="s">
        <v>14</v>
      </c>
      <c r="F12" s="1" t="s">
        <v>178</v>
      </c>
      <c r="G12" s="99">
        <v>31041</v>
      </c>
      <c r="H12" s="741">
        <f>'TDF working sheet'!C53</f>
        <v>18121.427</v>
      </c>
      <c r="I12" s="741">
        <f>'TDF working sheet'!D53</f>
        <v>14843.013999999999</v>
      </c>
      <c r="J12" s="741">
        <f>'TDF working sheet'!E53</f>
        <v>14771.822</v>
      </c>
      <c r="K12" s="741">
        <f>'TDF working sheet'!F53</f>
        <v>15663.802</v>
      </c>
      <c r="L12" s="741">
        <f>'TDF working sheet'!G53</f>
        <v>14443.02</v>
      </c>
      <c r="M12" s="120">
        <f>'TDF-Forecasting'!M29</f>
        <v>13808.951337287452</v>
      </c>
      <c r="N12" s="120">
        <f>'TDF-Forecasting'!N29</f>
        <v>13666.405585739971</v>
      </c>
      <c r="O12" s="120">
        <f>'TDF-Forecasting'!O29</f>
        <v>13494.007109354587</v>
      </c>
      <c r="P12" s="120">
        <f>'TDF-Forecasting'!P29</f>
        <v>13196.318682617461</v>
      </c>
      <c r="Q12" s="120">
        <f>'TDF-Forecasting'!Q29</f>
        <v>12917.400924362986</v>
      </c>
      <c r="R12" s="81">
        <f t="shared" si="3"/>
        <v>-5.514230426393163E-2</v>
      </c>
      <c r="S12" s="81">
        <f t="shared" si="2"/>
        <v>-2.2079781372025264E-2</v>
      </c>
      <c r="T12" s="652"/>
      <c r="U12" s="82" t="s">
        <v>1072</v>
      </c>
      <c r="V12" s="82" t="s">
        <v>1072</v>
      </c>
      <c r="W12" s="82" t="s">
        <v>1072</v>
      </c>
      <c r="X12" s="82" t="s">
        <v>1072</v>
      </c>
      <c r="Y12" s="82" t="s">
        <v>1072</v>
      </c>
      <c r="AA12" s="589">
        <v>5</v>
      </c>
      <c r="AB12" s="1" t="s">
        <v>1252</v>
      </c>
    </row>
    <row r="13" spans="1:41" ht="15" customHeight="1">
      <c r="A13" s="4" t="str">
        <f>Home!$B$1</f>
        <v>Hungary</v>
      </c>
      <c r="B13" s="4" t="s">
        <v>4</v>
      </c>
      <c r="C13" s="4" t="s">
        <v>13</v>
      </c>
      <c r="D13" s="14" t="s">
        <v>15</v>
      </c>
      <c r="F13" s="1" t="s">
        <v>178</v>
      </c>
      <c r="G13" s="99">
        <v>11183</v>
      </c>
      <c r="H13" s="741">
        <f>'TDF working sheet'!C54</f>
        <v>5057.7269999999999</v>
      </c>
      <c r="I13" s="741">
        <f>'TDF working sheet'!D54</f>
        <v>4556.2539999999999</v>
      </c>
      <c r="J13" s="741">
        <f>'TDF working sheet'!E54</f>
        <v>4398.1840000000002</v>
      </c>
      <c r="K13" s="741">
        <f>'TDF working sheet'!F54</f>
        <v>4414.1189999999997</v>
      </c>
      <c r="L13" s="741">
        <f>'TDF working sheet'!G54</f>
        <v>4050.88</v>
      </c>
      <c r="M13" s="120">
        <f>'TDF-Forecasting'!M43</f>
        <v>3559.9234253633458</v>
      </c>
      <c r="N13" s="120">
        <f>'TDF-Forecasting'!N43</f>
        <v>3303.85531372992</v>
      </c>
      <c r="O13" s="120">
        <f>'TDF-Forecasting'!O43</f>
        <v>3309.2935851823891</v>
      </c>
      <c r="P13" s="120">
        <f>'TDF-Forecasting'!P43</f>
        <v>3475.0670408475485</v>
      </c>
      <c r="Q13" s="120">
        <f>'TDF-Forecasting'!Q43</f>
        <v>3598.1082820115757</v>
      </c>
      <c r="R13" s="81">
        <f t="shared" si="3"/>
        <v>-5.3983963201367891E-2</v>
      </c>
      <c r="S13" s="81">
        <f t="shared" si="2"/>
        <v>-2.3426421470017722E-2</v>
      </c>
      <c r="T13" s="652" t="s">
        <v>817</v>
      </c>
      <c r="U13" s="82" t="s">
        <v>1072</v>
      </c>
      <c r="V13" s="82" t="s">
        <v>1072</v>
      </c>
      <c r="W13" s="82" t="s">
        <v>1072</v>
      </c>
      <c r="X13" s="82" t="s">
        <v>1072</v>
      </c>
      <c r="Y13" s="82" t="s">
        <v>1072</v>
      </c>
      <c r="Z13" s="656"/>
      <c r="AA13" s="589">
        <v>5</v>
      </c>
      <c r="AB13" s="1" t="s">
        <v>1252</v>
      </c>
      <c r="AD13" s="172" t="s">
        <v>560</v>
      </c>
      <c r="AE13" s="171" t="s">
        <v>566</v>
      </c>
    </row>
    <row r="14" spans="1:41" ht="15" customHeight="1">
      <c r="A14" s="4" t="str">
        <f>Home!$B$1</f>
        <v>Hungary</v>
      </c>
      <c r="B14" s="4" t="s">
        <v>4</v>
      </c>
      <c r="C14" s="14" t="s">
        <v>16</v>
      </c>
      <c r="G14" s="99"/>
      <c r="H14" s="6"/>
      <c r="I14" s="6"/>
      <c r="J14" s="6"/>
      <c r="K14" s="6"/>
      <c r="R14" s="81"/>
      <c r="S14" s="81"/>
      <c r="T14" s="652"/>
      <c r="U14" s="81"/>
    </row>
    <row r="15" spans="1:41" ht="15" customHeight="1">
      <c r="A15" s="4" t="str">
        <f>Home!$B$1</f>
        <v>Hungary</v>
      </c>
      <c r="B15" s="4" t="s">
        <v>4</v>
      </c>
      <c r="C15" s="4" t="s">
        <v>16</v>
      </c>
      <c r="D15" s="14" t="s">
        <v>14</v>
      </c>
      <c r="E15" s="657"/>
      <c r="F15" s="1" t="s">
        <v>450</v>
      </c>
      <c r="G15" s="743">
        <f t="shared" ref="G15:L15" si="5">G46/G12</f>
        <v>3.0094713443510197</v>
      </c>
      <c r="H15" s="743">
        <f t="shared" si="5"/>
        <v>5.1855739616973873</v>
      </c>
      <c r="I15" s="743">
        <f t="shared" si="5"/>
        <v>6.2013685360668669</v>
      </c>
      <c r="J15" s="743">
        <f t="shared" si="5"/>
        <v>7.4038260141504546</v>
      </c>
      <c r="K15" s="743">
        <f t="shared" si="5"/>
        <v>6.8856207452060492</v>
      </c>
      <c r="L15" s="628">
        <f t="shared" si="5"/>
        <v>7.8186653053523747</v>
      </c>
      <c r="M15" s="120">
        <f>'TDF-Forecasting'!M46</f>
        <v>7.8673910354855741</v>
      </c>
      <c r="N15" s="120">
        <f>'TDF-Forecasting'!N46</f>
        <v>8.3112573325738861</v>
      </c>
      <c r="O15" s="120">
        <f>'TDF-Forecasting'!O46</f>
        <v>8.5469523832598142</v>
      </c>
      <c r="P15" s="120">
        <f>'TDF-Forecasting'!P46</f>
        <v>9.0107961746842591</v>
      </c>
      <c r="Q15" s="120">
        <f>'TDF-Forecasting'!Q46</f>
        <v>9.345642697388735</v>
      </c>
      <c r="R15" s="81">
        <f t="shared" si="3"/>
        <v>0.10811273850358671</v>
      </c>
      <c r="S15" s="81">
        <f>(Q15/L15)^(1/5)-1</f>
        <v>3.6323413192161258E-2</v>
      </c>
      <c r="T15" s="652"/>
      <c r="U15" s="81"/>
      <c r="AA15" s="589">
        <v>1</v>
      </c>
      <c r="AB15" s="1" t="s">
        <v>935</v>
      </c>
    </row>
    <row r="16" spans="1:41" ht="15" customHeight="1">
      <c r="A16" s="4" t="str">
        <f>Home!$B$1</f>
        <v>Hungary</v>
      </c>
      <c r="B16" s="4" t="s">
        <v>4</v>
      </c>
      <c r="C16" s="4" t="s">
        <v>16</v>
      </c>
      <c r="D16" s="14" t="s">
        <v>15</v>
      </c>
      <c r="E16" s="657"/>
      <c r="F16" s="1" t="s">
        <v>450</v>
      </c>
      <c r="G16" s="628">
        <f t="shared" ref="G16:L16" si="6">G45/G13</f>
        <v>7.1614951265313422</v>
      </c>
      <c r="H16" s="628">
        <f t="shared" si="6"/>
        <v>16.188695040281928</v>
      </c>
      <c r="I16" s="628">
        <f t="shared" si="6"/>
        <v>16.237022782311961</v>
      </c>
      <c r="J16" s="628">
        <f t="shared" si="6"/>
        <v>18.387134326349237</v>
      </c>
      <c r="K16" s="628">
        <f t="shared" si="6"/>
        <v>20.179791256194047</v>
      </c>
      <c r="L16" s="628">
        <f t="shared" si="6"/>
        <v>22.61565421618047</v>
      </c>
      <c r="M16" s="120">
        <f>'TDF-Forecasting'!M53</f>
        <v>24.481030097771672</v>
      </c>
      <c r="N16" s="120">
        <f>'TDF-Forecasting'!N53</f>
        <v>26.416793512251058</v>
      </c>
      <c r="O16" s="120">
        <f>'TDF-Forecasting'!O53</f>
        <v>28.760538379980698</v>
      </c>
      <c r="P16" s="120">
        <f>'TDF-Forecasting'!P53</f>
        <v>30.091620685579009</v>
      </c>
      <c r="Q16" s="120">
        <f>'TDF-Forecasting'!Q53</f>
        <v>30.981991420973888</v>
      </c>
      <c r="R16" s="81">
        <f>(L16/H16)^(1/4)-1</f>
        <v>8.7174677747127616E-2</v>
      </c>
      <c r="S16" s="81">
        <f>(Q16/L16)^(1/5)-1</f>
        <v>6.4976524899081012E-2</v>
      </c>
      <c r="T16" s="652" t="s">
        <v>818</v>
      </c>
      <c r="U16" s="81" t="s">
        <v>850</v>
      </c>
      <c r="AA16" s="589">
        <v>1</v>
      </c>
      <c r="AB16" s="1" t="s">
        <v>936</v>
      </c>
    </row>
    <row r="17" spans="1:43" ht="15" customHeight="1">
      <c r="A17" s="4" t="str">
        <f>Home!$B$1</f>
        <v>Hungary</v>
      </c>
      <c r="B17" s="2" t="s">
        <v>17</v>
      </c>
      <c r="C17" s="4"/>
      <c r="D17" s="2"/>
      <c r="M17" s="32"/>
      <c r="R17" s="81"/>
      <c r="S17" s="81"/>
      <c r="T17" s="652"/>
      <c r="U17" s="81"/>
    </row>
    <row r="18" spans="1:43" ht="15" customHeight="1">
      <c r="A18" s="4" t="str">
        <f>Home!$B$1</f>
        <v>Hungary</v>
      </c>
      <c r="B18" s="4" t="s">
        <v>17</v>
      </c>
      <c r="C18" s="14" t="s">
        <v>18</v>
      </c>
      <c r="F18" s="1" t="s">
        <v>178</v>
      </c>
      <c r="G18" s="14">
        <f>'Calculation sheet '!I8</f>
        <v>31041</v>
      </c>
      <c r="H18" s="630">
        <f>H12</f>
        <v>18121.427</v>
      </c>
      <c r="I18" s="630">
        <f t="shared" ref="I18:L18" si="7">I12</f>
        <v>14843.013999999999</v>
      </c>
      <c r="J18" s="630">
        <f t="shared" si="7"/>
        <v>14771.822</v>
      </c>
      <c r="K18" s="630">
        <f t="shared" si="7"/>
        <v>15663.802</v>
      </c>
      <c r="L18" s="630">
        <f t="shared" si="7"/>
        <v>14443.02</v>
      </c>
      <c r="M18" s="155">
        <f>'TDF-Forecasting'!M62</f>
        <v>13808.951337287452</v>
      </c>
      <c r="N18" s="155">
        <f>'TDF-Forecasting'!N62</f>
        <v>13666.405585739971</v>
      </c>
      <c r="O18" s="155">
        <f>'TDF-Forecasting'!O62</f>
        <v>13494.007109354587</v>
      </c>
      <c r="P18" s="155">
        <f>'TDF-Forecasting'!P62</f>
        <v>13196.318682617461</v>
      </c>
      <c r="Q18" s="155">
        <f>'TDF-Forecasting'!Q62</f>
        <v>12917.400924362986</v>
      </c>
      <c r="R18" s="324">
        <f t="shared" si="3"/>
        <v>-5.514230426393163E-2</v>
      </c>
      <c r="S18" s="324">
        <f t="shared" si="2"/>
        <v>-2.2079781372025264E-2</v>
      </c>
      <c r="T18" s="653"/>
      <c r="U18" s="82" t="s">
        <v>1072</v>
      </c>
      <c r="V18" s="82" t="s">
        <v>1072</v>
      </c>
      <c r="W18" s="82" t="s">
        <v>1072</v>
      </c>
      <c r="X18" s="82" t="s">
        <v>1072</v>
      </c>
      <c r="Y18" s="82" t="s">
        <v>1072</v>
      </c>
      <c r="AA18" s="589">
        <v>5</v>
      </c>
      <c r="AB18" s="1" t="s">
        <v>1252</v>
      </c>
    </row>
    <row r="19" spans="1:43" ht="15" customHeight="1">
      <c r="A19" s="4" t="str">
        <f>Home!$B$1</f>
        <v>Hungary</v>
      </c>
      <c r="B19" s="4" t="s">
        <v>17</v>
      </c>
      <c r="C19" s="4" t="s">
        <v>18</v>
      </c>
      <c r="D19" s="14" t="s">
        <v>19</v>
      </c>
      <c r="F19" s="1" t="s">
        <v>178</v>
      </c>
      <c r="G19" s="119">
        <f>'Calculation sheet '!I4</f>
        <v>4536</v>
      </c>
      <c r="H19" s="884">
        <f>'TDF working sheet'!B224</f>
        <v>320.29899999999998</v>
      </c>
      <c r="I19" s="884">
        <f>'TDF working sheet'!C224</f>
        <v>225.28899999999999</v>
      </c>
      <c r="J19" s="884">
        <f>'TDF working sheet'!D224</f>
        <v>140.928</v>
      </c>
      <c r="K19" s="884">
        <f>'TDF working sheet'!E224</f>
        <v>110.51900000000001</v>
      </c>
      <c r="L19" s="885">
        <f>'TDF working sheet'!F224</f>
        <v>136.61933469808844</v>
      </c>
      <c r="M19" s="120">
        <f>'TDF-Forecasting'!M64</f>
        <v>124.9516036429889</v>
      </c>
      <c r="N19" s="120">
        <f>'TDF-Forecasting'!N64</f>
        <v>110.16165165665797</v>
      </c>
      <c r="O19" s="120">
        <f>'TDF-Forecasting'!O64</f>
        <v>103.83589176012438</v>
      </c>
      <c r="P19" s="120">
        <f>'TDF-Forecasting'!P64</f>
        <v>104.88392483170742</v>
      </c>
      <c r="Q19" s="120">
        <f>'TDF-Forecasting'!Q64</f>
        <v>101.79269177191381</v>
      </c>
      <c r="R19" s="81">
        <f t="shared" si="3"/>
        <v>-0.19185526881083026</v>
      </c>
      <c r="S19" s="81">
        <f t="shared" si="2"/>
        <v>-5.7153731612003544E-2</v>
      </c>
      <c r="T19" s="652"/>
      <c r="U19" s="650" t="s">
        <v>1072</v>
      </c>
      <c r="V19" s="650" t="s">
        <v>1072</v>
      </c>
      <c r="W19" s="650" t="s">
        <v>1072</v>
      </c>
      <c r="X19" s="650" t="s">
        <v>1072</v>
      </c>
      <c r="Y19" s="650" t="s">
        <v>1072</v>
      </c>
      <c r="AA19" s="589">
        <v>4</v>
      </c>
      <c r="AB19" s="1" t="s">
        <v>1271</v>
      </c>
      <c r="AD19" s="172" t="s">
        <v>561</v>
      </c>
      <c r="AE19" s="171" t="s">
        <v>567</v>
      </c>
      <c r="AH19" s="43"/>
      <c r="AI19" s="43"/>
      <c r="AJ19" s="43"/>
      <c r="AK19" s="43"/>
      <c r="AL19" s="43"/>
      <c r="AM19" s="43"/>
      <c r="AN19" s="43"/>
      <c r="AO19" s="43"/>
      <c r="AP19" s="43"/>
      <c r="AQ19" s="43"/>
    </row>
    <row r="20" spans="1:43" ht="15" customHeight="1">
      <c r="A20" s="4" t="str">
        <f>Home!$B$1</f>
        <v>Hungary</v>
      </c>
      <c r="B20" s="4" t="s">
        <v>17</v>
      </c>
      <c r="C20" s="4" t="s">
        <v>18</v>
      </c>
      <c r="D20" s="14" t="s">
        <v>20</v>
      </c>
      <c r="F20" s="1" t="s">
        <v>178</v>
      </c>
      <c r="G20" s="777">
        <f>'Calculation sheet '!I5</f>
        <v>23586.48144</v>
      </c>
      <c r="H20" s="886"/>
      <c r="I20" s="886"/>
      <c r="J20" s="886"/>
      <c r="K20" s="886"/>
      <c r="L20" s="887"/>
      <c r="M20" s="120" t="e">
        <f>'TDF-Forecasting'!M66</f>
        <v>#DIV/0!</v>
      </c>
      <c r="N20" s="120" t="e">
        <f>'TDF-Forecasting'!N66</f>
        <v>#DIV/0!</v>
      </c>
      <c r="O20" s="120" t="e">
        <f>'TDF-Forecasting'!O66</f>
        <v>#DIV/0!</v>
      </c>
      <c r="P20" s="120" t="e">
        <f>'TDF-Forecasting'!P66</f>
        <v>#DIV/0!</v>
      </c>
      <c r="Q20" s="120" t="e">
        <f>'TDF-Forecasting'!Q66</f>
        <v>#DIV/0!</v>
      </c>
      <c r="R20" s="81" t="e">
        <f t="shared" si="3"/>
        <v>#DIV/0!</v>
      </c>
      <c r="S20" s="81" t="e">
        <f t="shared" si="2"/>
        <v>#DIV/0!</v>
      </c>
      <c r="T20" s="652" t="s">
        <v>819</v>
      </c>
      <c r="U20" s="81" t="s">
        <v>849</v>
      </c>
      <c r="V20" s="81" t="s">
        <v>849</v>
      </c>
      <c r="W20" s="81" t="s">
        <v>849</v>
      </c>
      <c r="X20" s="81" t="s">
        <v>849</v>
      </c>
      <c r="Y20" s="81" t="s">
        <v>849</v>
      </c>
      <c r="Z20" s="81"/>
      <c r="AA20" s="589">
        <v>0</v>
      </c>
      <c r="AB20" s="1" t="s">
        <v>243</v>
      </c>
      <c r="AH20" s="43"/>
      <c r="AI20" s="43"/>
      <c r="AJ20" s="43"/>
      <c r="AK20" s="43"/>
      <c r="AL20" s="43"/>
      <c r="AM20" s="43"/>
      <c r="AN20" s="43"/>
      <c r="AO20" s="43"/>
      <c r="AP20" s="43"/>
      <c r="AQ20" s="43"/>
    </row>
    <row r="21" spans="1:43" ht="15" customHeight="1">
      <c r="A21" s="4" t="str">
        <f>Home!$B$1</f>
        <v>Hungary</v>
      </c>
      <c r="B21" s="4" t="s">
        <v>17</v>
      </c>
      <c r="C21" s="4" t="s">
        <v>18</v>
      </c>
      <c r="D21" s="14" t="s">
        <v>21</v>
      </c>
      <c r="F21" s="1" t="s">
        <v>178</v>
      </c>
      <c r="G21" s="778">
        <f>'Calculation sheet '!I6</f>
        <v>2918.51856</v>
      </c>
      <c r="H21" s="886"/>
      <c r="I21" s="886"/>
      <c r="J21" s="886"/>
      <c r="K21" s="886"/>
      <c r="L21" s="887"/>
      <c r="M21" s="120" t="e">
        <f>'TDF-Forecasting'!M68</f>
        <v>#DIV/0!</v>
      </c>
      <c r="N21" s="120" t="e">
        <f>'TDF-Forecasting'!N68</f>
        <v>#DIV/0!</v>
      </c>
      <c r="O21" s="120" t="e">
        <f>'TDF-Forecasting'!O68</f>
        <v>#DIV/0!</v>
      </c>
      <c r="P21" s="120" t="e">
        <f>'TDF-Forecasting'!P68</f>
        <v>#DIV/0!</v>
      </c>
      <c r="Q21" s="120" t="e">
        <f>'TDF-Forecasting'!Q68</f>
        <v>#DIV/0!</v>
      </c>
      <c r="R21" s="81" t="e">
        <f t="shared" si="3"/>
        <v>#DIV/0!</v>
      </c>
      <c r="S21" s="81" t="e">
        <f t="shared" si="2"/>
        <v>#DIV/0!</v>
      </c>
      <c r="T21" s="652" t="s">
        <v>819</v>
      </c>
      <c r="U21" s="81" t="s">
        <v>849</v>
      </c>
      <c r="V21" s="81" t="s">
        <v>849</v>
      </c>
      <c r="W21" s="81" t="s">
        <v>849</v>
      </c>
      <c r="X21" s="81" t="s">
        <v>849</v>
      </c>
      <c r="Y21" s="81" t="s">
        <v>849</v>
      </c>
      <c r="Z21" s="81"/>
      <c r="AA21" s="589">
        <v>0</v>
      </c>
      <c r="AB21" s="1" t="s">
        <v>848</v>
      </c>
      <c r="AH21" s="43"/>
      <c r="AI21" s="43"/>
      <c r="AJ21" s="43"/>
      <c r="AK21" s="43"/>
      <c r="AL21" s="43"/>
      <c r="AM21" s="43"/>
      <c r="AN21" s="43"/>
      <c r="AO21" s="43"/>
      <c r="AP21" s="43"/>
      <c r="AQ21" s="43"/>
    </row>
    <row r="22" spans="1:43" ht="15" customHeight="1">
      <c r="A22" s="4" t="str">
        <f>Home!$B$1</f>
        <v>Hungary</v>
      </c>
      <c r="B22" s="4" t="s">
        <v>17</v>
      </c>
      <c r="C22" s="14" t="s">
        <v>22</v>
      </c>
      <c r="F22" s="1" t="s">
        <v>178</v>
      </c>
      <c r="G22" s="785">
        <v>8491.2291558126817</v>
      </c>
      <c r="H22" s="786">
        <v>8717.646556833155</v>
      </c>
      <c r="I22" s="786">
        <v>9244.2489954946413</v>
      </c>
      <c r="J22" s="786">
        <v>9353.6700759870073</v>
      </c>
      <c r="K22" s="781">
        <v>9959.1190000000006</v>
      </c>
      <c r="L22" s="781">
        <v>10913.915999999999</v>
      </c>
      <c r="M22" s="356">
        <v>11543.224747546275</v>
      </c>
      <c r="N22" s="356">
        <v>12121.058448030881</v>
      </c>
      <c r="O22" s="356">
        <v>12724.036091365158</v>
      </c>
      <c r="P22" s="356">
        <v>13353.985537537084</v>
      </c>
      <c r="Q22" s="356">
        <v>13942.947242026106</v>
      </c>
      <c r="R22" s="324">
        <f t="shared" si="3"/>
        <v>5.7779966086145773E-2</v>
      </c>
      <c r="S22" s="324">
        <f>(Q22/M22)^(1/4)-1</f>
        <v>4.8351348449297227E-2</v>
      </c>
      <c r="T22" s="653"/>
      <c r="U22" s="114"/>
      <c r="V22" s="114"/>
      <c r="W22" s="114"/>
      <c r="X22" s="114"/>
      <c r="Y22" s="79" t="s">
        <v>1058</v>
      </c>
      <c r="Z22" s="79" t="s">
        <v>1058</v>
      </c>
      <c r="AA22" s="800">
        <v>4</v>
      </c>
      <c r="AB22" s="6" t="s">
        <v>1057</v>
      </c>
      <c r="AC22" s="6"/>
    </row>
    <row r="23" spans="1:43" ht="15" customHeight="1">
      <c r="A23" s="4" t="str">
        <f>Home!$B$1</f>
        <v>Hungary</v>
      </c>
      <c r="B23" s="4" t="s">
        <v>17</v>
      </c>
      <c r="C23" s="4" t="s">
        <v>22</v>
      </c>
      <c r="D23" s="14" t="s">
        <v>23</v>
      </c>
      <c r="F23" s="1" t="s">
        <v>178</v>
      </c>
      <c r="G23" s="784">
        <f>Sheet1!H12</f>
        <v>27.236415574045626</v>
      </c>
      <c r="H23" s="784">
        <f>Sheet1!I12</f>
        <v>28.294271514968301</v>
      </c>
      <c r="I23" s="784">
        <f>Sheet1!J12</f>
        <v>30.144787051452624</v>
      </c>
      <c r="J23" s="784">
        <f>Sheet1!K12</f>
        <v>30.733104006390946</v>
      </c>
      <c r="K23" s="784">
        <f>Sheet1!L12</f>
        <v>32.809878272139187</v>
      </c>
      <c r="L23" s="734">
        <f>FORECAST(L$22,J23:K23,J$22:K$22)</f>
        <v>36.084965170420752</v>
      </c>
      <c r="M23" s="120">
        <f>'TDF-Forecasting'!M78</f>
        <v>38.313372357950932</v>
      </c>
      <c r="N23" s="120">
        <f>'TDF-Forecasting'!N78</f>
        <v>40.598624758423817</v>
      </c>
      <c r="O23" s="120">
        <f>'TDF-Forecasting'!O78</f>
        <v>43.134292182954624</v>
      </c>
      <c r="P23" s="120">
        <f>'TDF-Forecasting'!P78</f>
        <v>45.415289721960725</v>
      </c>
      <c r="Q23" s="120">
        <f>'TDF-Forecasting'!Q78</f>
        <v>47.364177114787459</v>
      </c>
      <c r="R23" s="81">
        <f t="shared" si="3"/>
        <v>6.2690855382214528E-2</v>
      </c>
      <c r="S23" s="81">
        <f t="shared" si="2"/>
        <v>5.5904744261138672E-2</v>
      </c>
      <c r="T23" s="652"/>
      <c r="U23" s="801" t="s">
        <v>933</v>
      </c>
      <c r="V23" s="801" t="s">
        <v>933</v>
      </c>
      <c r="W23" s="801" t="s">
        <v>933</v>
      </c>
      <c r="X23" s="801" t="s">
        <v>933</v>
      </c>
      <c r="Y23" s="801" t="s">
        <v>933</v>
      </c>
      <c r="Z23" s="6"/>
      <c r="AA23" s="800">
        <v>4</v>
      </c>
      <c r="AB23" s="6" t="s">
        <v>937</v>
      </c>
      <c r="AC23" s="6"/>
    </row>
    <row r="24" spans="1:43" ht="15" customHeight="1">
      <c r="A24" s="4" t="str">
        <f>Home!$B$1</f>
        <v>Hungary</v>
      </c>
      <c r="B24" s="4" t="s">
        <v>17</v>
      </c>
      <c r="C24" s="4" t="s">
        <v>22</v>
      </c>
      <c r="D24" s="14" t="s">
        <v>24</v>
      </c>
      <c r="F24" s="1" t="s">
        <v>178</v>
      </c>
      <c r="G24" s="784">
        <f>Sheet1!H13</f>
        <v>308.08607774925048</v>
      </c>
      <c r="H24" s="784">
        <f>Sheet1!I13</f>
        <v>318.04157587558427</v>
      </c>
      <c r="I24" s="784">
        <f>Sheet1!J13</f>
        <v>337.94103012077073</v>
      </c>
      <c r="J24" s="784">
        <f>Sheet1!K13</f>
        <v>342.54838465105053</v>
      </c>
      <c r="K24" s="784">
        <f>Sheet1!L13</f>
        <v>367.65066458663881</v>
      </c>
      <c r="L24" s="779">
        <f>FORECAST(L$22,J24:K24,J$22:K$22)</f>
        <v>407.2371278291526</v>
      </c>
      <c r="M24" s="120">
        <f>'TDF-Forecasting'!M88</f>
        <v>432.77010401946814</v>
      </c>
      <c r="N24" s="120">
        <f>'TDF-Forecasting'!N88</f>
        <v>458.46060435633109</v>
      </c>
      <c r="O24" s="120">
        <f>'TDF-Forecasting'!O88</f>
        <v>482.25482199582171</v>
      </c>
      <c r="P24" s="120">
        <f>'TDF-Forecasting'!P88</f>
        <v>505.14712121772197</v>
      </c>
      <c r="Q24" s="120">
        <f>'TDF-Forecasting'!Q88</f>
        <v>525.7768816361413</v>
      </c>
      <c r="R24" s="81">
        <f t="shared" si="3"/>
        <v>6.3753169936920706E-2</v>
      </c>
      <c r="S24" s="81">
        <f t="shared" si="2"/>
        <v>5.2424195582844169E-2</v>
      </c>
      <c r="T24" s="652"/>
      <c r="U24" s="802" t="s">
        <v>933</v>
      </c>
      <c r="V24" s="802" t="s">
        <v>933</v>
      </c>
      <c r="W24" s="801" t="s">
        <v>933</v>
      </c>
      <c r="X24" s="802" t="s">
        <v>933</v>
      </c>
      <c r="Y24" s="802" t="s">
        <v>933</v>
      </c>
      <c r="Z24" s="6"/>
      <c r="AA24" s="800">
        <v>0</v>
      </c>
      <c r="AB24" s="6" t="s">
        <v>937</v>
      </c>
      <c r="AC24" s="6"/>
    </row>
    <row r="25" spans="1:43" ht="15" customHeight="1">
      <c r="A25" s="4" t="str">
        <f>Home!$B$1</f>
        <v>Hungary</v>
      </c>
      <c r="B25" s="4" t="s">
        <v>17</v>
      </c>
      <c r="C25" s="4" t="s">
        <v>22</v>
      </c>
      <c r="D25" s="14" t="s">
        <v>25</v>
      </c>
      <c r="F25" s="1" t="s">
        <v>178</v>
      </c>
      <c r="G25" s="784">
        <f>Sheet1!H14</f>
        <v>7667.8571007239489</v>
      </c>
      <c r="H25" s="784">
        <f>Sheet1!I14</f>
        <v>7866.6543217392427</v>
      </c>
      <c r="I25" s="784">
        <f>Sheet1!J14</f>
        <v>8344.163831356007</v>
      </c>
      <c r="J25" s="784">
        <f>Sheet1!K14</f>
        <v>8439.3126637373425</v>
      </c>
      <c r="K25" s="784">
        <f>Sheet1!L14</f>
        <v>8981.5700284097038</v>
      </c>
      <c r="L25" s="734">
        <f>FORECAST(L$22,J25:K25,J$22:K$22)</f>
        <v>9836.7135169560061</v>
      </c>
      <c r="M25" s="120">
        <f>'TDF-Forecasting'!M98</f>
        <v>10402.750004608706</v>
      </c>
      <c r="N25" s="120">
        <f>'TDF-Forecasting'!N98</f>
        <v>10918.861188767602</v>
      </c>
      <c r="O25" s="120">
        <f>'TDF-Forecasting'!O98</f>
        <v>11459.183327404906</v>
      </c>
      <c r="P25" s="120">
        <f>'TDF-Forecasting'!P98</f>
        <v>12030.362813459347</v>
      </c>
      <c r="Q25" s="120">
        <f>'TDF-Forecasting'!Q98</f>
        <v>12564.550988019018</v>
      </c>
      <c r="R25" s="81">
        <f t="shared" si="3"/>
        <v>5.7462533769739421E-2</v>
      </c>
      <c r="S25" s="81">
        <f t="shared" si="2"/>
        <v>5.0169473443488322E-2</v>
      </c>
      <c r="T25" s="652"/>
      <c r="U25" s="801" t="s">
        <v>933</v>
      </c>
      <c r="V25" s="801" t="s">
        <v>933</v>
      </c>
      <c r="W25" s="801" t="s">
        <v>933</v>
      </c>
      <c r="X25" s="801" t="s">
        <v>933</v>
      </c>
      <c r="Y25" s="801" t="s">
        <v>933</v>
      </c>
      <c r="Z25" s="6"/>
      <c r="AA25" s="800">
        <v>4</v>
      </c>
      <c r="AB25" s="6" t="s">
        <v>937</v>
      </c>
      <c r="AC25" s="6"/>
    </row>
    <row r="26" spans="1:43" ht="15" customHeight="1">
      <c r="A26" s="4" t="str">
        <f>Home!$B$1</f>
        <v>Hungary</v>
      </c>
      <c r="B26" s="4" t="s">
        <v>17</v>
      </c>
      <c r="C26" s="4" t="s">
        <v>22</v>
      </c>
      <c r="D26" s="14" t="s">
        <v>26</v>
      </c>
      <c r="F26" s="1" t="s">
        <v>178</v>
      </c>
      <c r="G26" s="784">
        <f>Sheet1!H15</f>
        <v>37.216996338336124</v>
      </c>
      <c r="H26" s="784">
        <f>Sheet1!I15</f>
        <v>38.264220231907309</v>
      </c>
      <c r="I26" s="784">
        <f>Sheet1!J15</f>
        <v>40.520405428405837</v>
      </c>
      <c r="J26" s="784">
        <f>Sheet1!K15</f>
        <v>41.121226041136822</v>
      </c>
      <c r="K26" s="784">
        <f>Sheet1!L15</f>
        <v>43.943387863477184</v>
      </c>
      <c r="L26" s="734">
        <f>FORECAST(L$22,J26:K26,J$22:K$22)</f>
        <v>48.39395592068837</v>
      </c>
      <c r="M26" s="120">
        <f>'TDF-Forecasting'!M108</f>
        <v>51.235566155611167</v>
      </c>
      <c r="N26" s="120">
        <f>'TDF-Forecasting'!N108</f>
        <v>54.447307795013451</v>
      </c>
      <c r="O26" s="120">
        <f>'TDF-Forecasting'!O108</f>
        <v>57.404860387100818</v>
      </c>
      <c r="P26" s="120">
        <f>'TDF-Forecasting'!P108</f>
        <v>60.372411167091414</v>
      </c>
      <c r="Q26" s="120">
        <f>'TDF-Forecasting'!Q108</f>
        <v>63.323222644604051</v>
      </c>
      <c r="R26" s="81">
        <f t="shared" si="3"/>
        <v>6.047287440357052E-2</v>
      </c>
      <c r="S26" s="81">
        <f>(Q26/M26)^(1/4)-1</f>
        <v>5.4381718672503965E-2</v>
      </c>
      <c r="T26" s="652"/>
      <c r="U26" s="54"/>
      <c r="V26" s="54"/>
      <c r="W26" s="54"/>
      <c r="X26" s="54"/>
      <c r="Y26" s="54"/>
      <c r="Z26" s="6"/>
      <c r="AA26" s="800">
        <v>0</v>
      </c>
      <c r="AB26" s="6" t="s">
        <v>1059</v>
      </c>
      <c r="AC26" s="6"/>
    </row>
    <row r="27" spans="1:43" ht="15" customHeight="1">
      <c r="A27" s="4" t="str">
        <f>Home!$B$1</f>
        <v>Hungary</v>
      </c>
      <c r="B27" s="4" t="s">
        <v>17</v>
      </c>
      <c r="C27" s="4" t="s">
        <v>22</v>
      </c>
      <c r="D27" s="14" t="s">
        <v>27</v>
      </c>
      <c r="F27" s="1" t="s">
        <v>178</v>
      </c>
      <c r="G27" s="784">
        <f>Sheet1!H16</f>
        <v>416.65891591527003</v>
      </c>
      <c r="H27" s="784">
        <f>Sheet1!I16</f>
        <v>431.20611213830216</v>
      </c>
      <c r="I27" s="784">
        <f>Sheet1!J16</f>
        <v>454.00899261728284</v>
      </c>
      <c r="J27" s="784">
        <f>Sheet1!K16</f>
        <v>462.01333013491194</v>
      </c>
      <c r="K27" s="784">
        <f>Sheet1!L16</f>
        <v>492.45456352859901</v>
      </c>
      <c r="L27" s="734">
        <f t="shared" ref="L27" si="8">FORECAST(L$22,J27:K27,J$22:K$22)</f>
        <v>540.46059206019561</v>
      </c>
      <c r="M27" s="120">
        <f>'TDF-Forecasting'!M118</f>
        <v>570.49314963193831</v>
      </c>
      <c r="N27" s="120">
        <f>'TDF-Forecasting'!N118</f>
        <v>598.4144207465099</v>
      </c>
      <c r="O27" s="120">
        <f>'TDF-Forecasting'!O118</f>
        <v>628.9241193644956</v>
      </c>
      <c r="P27" s="120">
        <f>'TDF-Forecasting'!P118</f>
        <v>656.46516791992951</v>
      </c>
      <c r="Q27" s="120">
        <f>'TDF-Forecasting'!Q118</f>
        <v>682.86789081066956</v>
      </c>
      <c r="R27" s="81">
        <f t="shared" si="3"/>
        <v>5.8083108187395815E-2</v>
      </c>
      <c r="S27" s="81">
        <f t="shared" si="2"/>
        <v>4.7887191435022736E-2</v>
      </c>
      <c r="T27" s="652"/>
      <c r="U27" s="801" t="s">
        <v>933</v>
      </c>
      <c r="V27" s="801" t="s">
        <v>933</v>
      </c>
      <c r="W27" s="801" t="s">
        <v>933</v>
      </c>
      <c r="X27" s="801" t="s">
        <v>933</v>
      </c>
      <c r="Y27" s="801" t="s">
        <v>933</v>
      </c>
      <c r="Z27" s="6"/>
      <c r="AA27" s="800">
        <v>4</v>
      </c>
      <c r="AB27" s="6" t="s">
        <v>937</v>
      </c>
      <c r="AC27" s="6"/>
    </row>
    <row r="28" spans="1:43" ht="15" customHeight="1">
      <c r="A28" s="4" t="str">
        <f>Home!$B$1</f>
        <v>Hungary</v>
      </c>
      <c r="B28" s="4" t="s">
        <v>17</v>
      </c>
      <c r="C28" s="4" t="s">
        <v>22</v>
      </c>
      <c r="D28" s="14" t="s">
        <v>28</v>
      </c>
      <c r="F28" s="1" t="s">
        <v>178</v>
      </c>
      <c r="G28" s="784">
        <f>Sheet1!H17</f>
        <v>34.173649511831172</v>
      </c>
      <c r="H28" s="784">
        <f>Sheet1!I17</f>
        <v>35.186055333149852</v>
      </c>
      <c r="I28" s="784">
        <f>Sheet1!J17</f>
        <v>37.469948920723255</v>
      </c>
      <c r="J28" s="784">
        <f>Sheet1!K17</f>
        <v>37.941367416173307</v>
      </c>
      <c r="K28" s="784">
        <f>Sheet1!L17</f>
        <v>40.690477339441713</v>
      </c>
      <c r="L28" s="734">
        <f>L22-SUM(L23:L27)</f>
        <v>45.025842063536402</v>
      </c>
      <c r="M28" s="120">
        <f>'TDF-Forecasting'!M128</f>
        <v>47.662550772602117</v>
      </c>
      <c r="N28" s="120">
        <f>'TDF-Forecasting'!N128</f>
        <v>50.276301607000278</v>
      </c>
      <c r="O28" s="120">
        <f>'TDF-Forecasting'!O128</f>
        <v>53.13467002987818</v>
      </c>
      <c r="P28" s="120">
        <f>'TDF-Forecasting'!P128</f>
        <v>56.222734051034422</v>
      </c>
      <c r="Q28" s="120">
        <f>'TDF-Forecasting'!Q128</f>
        <v>59.064081800885106</v>
      </c>
      <c r="R28" s="81">
        <f t="shared" si="3"/>
        <v>6.3586498393016999E-2</v>
      </c>
      <c r="S28" s="81">
        <f t="shared" si="2"/>
        <v>5.5777306171793217E-2</v>
      </c>
      <c r="T28" s="652"/>
      <c r="U28" s="801" t="s">
        <v>933</v>
      </c>
      <c r="V28" s="801" t="s">
        <v>933</v>
      </c>
      <c r="W28" s="801" t="s">
        <v>933</v>
      </c>
      <c r="X28" s="801" t="s">
        <v>933</v>
      </c>
      <c r="Y28" s="801" t="s">
        <v>933</v>
      </c>
      <c r="Z28" s="6"/>
      <c r="AA28" s="800">
        <v>4</v>
      </c>
      <c r="AB28" s="6" t="s">
        <v>937</v>
      </c>
      <c r="AC28" s="6"/>
    </row>
    <row r="29" spans="1:43" ht="15" customHeight="1">
      <c r="A29" s="4" t="str">
        <f>Home!$B$1</f>
        <v>Hungary</v>
      </c>
      <c r="B29" s="4" t="s">
        <v>17</v>
      </c>
      <c r="C29" s="14" t="s">
        <v>29</v>
      </c>
      <c r="F29" s="1" t="s">
        <v>178</v>
      </c>
      <c r="G29" s="788">
        <f>G22</f>
        <v>8491.2291558126817</v>
      </c>
      <c r="H29" s="788">
        <f>H22</f>
        <v>8717.646556833155</v>
      </c>
      <c r="I29" s="788">
        <f t="shared" ref="I29:Q29" si="9">I22</f>
        <v>9244.2489954946413</v>
      </c>
      <c r="J29" s="788">
        <f t="shared" si="9"/>
        <v>9353.6700759870073</v>
      </c>
      <c r="K29" s="40">
        <f t="shared" si="9"/>
        <v>9959.1190000000006</v>
      </c>
      <c r="L29" s="40">
        <f t="shared" si="9"/>
        <v>10913.915999999999</v>
      </c>
      <c r="M29" s="40">
        <f t="shared" si="9"/>
        <v>11543.224747546275</v>
      </c>
      <c r="N29" s="40">
        <f t="shared" si="9"/>
        <v>12121.058448030881</v>
      </c>
      <c r="O29" s="40">
        <f t="shared" si="9"/>
        <v>12724.036091365158</v>
      </c>
      <c r="P29" s="40">
        <f t="shared" si="9"/>
        <v>13353.985537537084</v>
      </c>
      <c r="Q29" s="40">
        <f t="shared" si="9"/>
        <v>13942.947242026106</v>
      </c>
      <c r="R29" s="324">
        <f t="shared" si="3"/>
        <v>5.7779966086145773E-2</v>
      </c>
      <c r="S29" s="324">
        <f>(Q29/M29)^(1/4)-1</f>
        <v>4.8351348449297227E-2</v>
      </c>
      <c r="T29" s="653"/>
      <c r="U29" s="656"/>
      <c r="V29" s="656"/>
      <c r="W29" s="656"/>
      <c r="X29" s="656"/>
      <c r="Y29" s="79" t="s">
        <v>1058</v>
      </c>
      <c r="Z29" s="79" t="s">
        <v>1058</v>
      </c>
      <c r="AA29" s="589">
        <v>0</v>
      </c>
      <c r="AB29" s="6" t="s">
        <v>1057</v>
      </c>
    </row>
    <row r="30" spans="1:43" ht="15" customHeight="1">
      <c r="A30" s="4" t="str">
        <f>Home!$B$1</f>
        <v>Hungary</v>
      </c>
      <c r="B30" s="4" t="s">
        <v>17</v>
      </c>
      <c r="C30" s="4" t="s">
        <v>29</v>
      </c>
      <c r="D30" s="14" t="s">
        <v>19</v>
      </c>
      <c r="F30" s="1" t="s">
        <v>178</v>
      </c>
      <c r="G30" s="507">
        <f>'TDF working sheet'!B20</f>
        <v>0</v>
      </c>
      <c r="H30" s="507">
        <f>'TDF working sheet'!C20</f>
        <v>0</v>
      </c>
      <c r="I30" s="507">
        <f>'TDF working sheet'!D20</f>
        <v>0</v>
      </c>
      <c r="J30" s="777">
        <f>'TDF working sheet'!E20</f>
        <v>0</v>
      </c>
      <c r="K30" s="777">
        <f>'TDF working sheet'!F20</f>
        <v>0</v>
      </c>
      <c r="L30" s="417">
        <f>'TDF working sheet'!G20</f>
        <v>0</v>
      </c>
      <c r="M30" s="120" t="e">
        <f>'TDF-Forecasting'!M140</f>
        <v>#DIV/0!</v>
      </c>
      <c r="N30" s="120" t="e">
        <f>'TDF-Forecasting'!N140</f>
        <v>#DIV/0!</v>
      </c>
      <c r="O30" s="120" t="e">
        <f>'TDF-Forecasting'!O140</f>
        <v>#DIV/0!</v>
      </c>
      <c r="P30" s="120" t="e">
        <f>'TDF-Forecasting'!P140</f>
        <v>#DIV/0!</v>
      </c>
      <c r="Q30" s="120" t="e">
        <f>'TDF-Forecasting'!Q140</f>
        <v>#DIV/0!</v>
      </c>
      <c r="R30" s="81" t="e">
        <f t="shared" si="3"/>
        <v>#DIV/0!</v>
      </c>
      <c r="S30" s="81" t="e">
        <f>(Q30/L30)^(1/5)-1</f>
        <v>#DIV/0!</v>
      </c>
      <c r="T30" s="652"/>
      <c r="U30" s="81" t="s">
        <v>911</v>
      </c>
      <c r="V30" s="82"/>
      <c r="W30" s="82"/>
      <c r="X30" s="82"/>
      <c r="Y30" s="82"/>
      <c r="AA30" s="589">
        <v>4</v>
      </c>
      <c r="AB30" s="1" t="s">
        <v>913</v>
      </c>
      <c r="AF30" s="43"/>
      <c r="AG30" s="43"/>
      <c r="AH30" s="43"/>
      <c r="AI30" s="43"/>
      <c r="AJ30" s="43"/>
      <c r="AK30" s="43"/>
      <c r="AL30" s="43"/>
      <c r="AM30" s="43"/>
      <c r="AN30" s="43"/>
      <c r="AO30" s="43"/>
    </row>
    <row r="31" spans="1:43" ht="15" customHeight="1">
      <c r="A31" s="4" t="str">
        <f>Home!$B$1</f>
        <v>Hungary</v>
      </c>
      <c r="B31" s="4" t="s">
        <v>17</v>
      </c>
      <c r="C31" s="4" t="s">
        <v>29</v>
      </c>
      <c r="D31" s="14" t="s">
        <v>20</v>
      </c>
      <c r="F31" s="1" t="s">
        <v>178</v>
      </c>
      <c r="G31" s="507" t="str">
        <f>'TDF working sheet'!B22</f>
        <v>Hungary</v>
      </c>
      <c r="H31" s="507" t="str">
        <f>'TDF working sheet'!C22</f>
        <v>:</v>
      </c>
      <c r="I31" s="507" t="str">
        <f>'TDF working sheet'!D22</f>
        <v>:</v>
      </c>
      <c r="J31" s="777" t="str">
        <f>'TDF working sheet'!E22</f>
        <v>:</v>
      </c>
      <c r="K31" s="777" t="str">
        <f>'TDF working sheet'!F22</f>
        <v>:</v>
      </c>
      <c r="L31" s="417">
        <f>'TDF working sheet'!G22</f>
        <v>4050.88</v>
      </c>
      <c r="M31" s="120" t="e">
        <f>'TDF-Forecasting'!M142</f>
        <v>#VALUE!</v>
      </c>
      <c r="N31" s="120" t="e">
        <f>'TDF-Forecasting'!N142</f>
        <v>#VALUE!</v>
      </c>
      <c r="O31" s="120" t="e">
        <f>'TDF-Forecasting'!O142</f>
        <v>#VALUE!</v>
      </c>
      <c r="P31" s="120" t="e">
        <f>'TDF-Forecasting'!P142</f>
        <v>#VALUE!</v>
      </c>
      <c r="Q31" s="120" t="e">
        <f>'TDF-Forecasting'!Q142</f>
        <v>#VALUE!</v>
      </c>
      <c r="R31" s="81" t="e">
        <f t="shared" si="3"/>
        <v>#VALUE!</v>
      </c>
      <c r="S31" s="81" t="e">
        <f>(Q31/L31)^(1/5)-1</f>
        <v>#VALUE!</v>
      </c>
      <c r="T31" s="652"/>
      <c r="U31" s="81" t="s">
        <v>911</v>
      </c>
      <c r="AA31" s="589">
        <v>0</v>
      </c>
      <c r="AB31" s="1" t="s">
        <v>912</v>
      </c>
      <c r="AD31" s="172" t="s">
        <v>562</v>
      </c>
      <c r="AE31" s="171" t="s">
        <v>568</v>
      </c>
      <c r="AF31" s="43"/>
      <c r="AG31" s="43"/>
      <c r="AH31" s="43"/>
      <c r="AI31" s="43"/>
      <c r="AJ31" s="43"/>
      <c r="AK31" s="43"/>
      <c r="AL31" s="43"/>
      <c r="AM31" s="43"/>
      <c r="AN31" s="43"/>
      <c r="AO31" s="43"/>
    </row>
    <row r="32" spans="1:43" ht="15" customHeight="1">
      <c r="A32" s="4" t="str">
        <f>Home!$B$1</f>
        <v>Hungary</v>
      </c>
      <c r="B32" s="4" t="s">
        <v>17</v>
      </c>
      <c r="C32" s="4" t="s">
        <v>29</v>
      </c>
      <c r="D32" s="14" t="s">
        <v>21</v>
      </c>
      <c r="F32" s="1" t="s">
        <v>178</v>
      </c>
      <c r="G32" s="507">
        <f>'TDF working sheet'!B24</f>
        <v>0</v>
      </c>
      <c r="H32" s="507">
        <f>'TDF working sheet'!C24</f>
        <v>0</v>
      </c>
      <c r="I32" s="507">
        <f>'TDF working sheet'!D24</f>
        <v>0</v>
      </c>
      <c r="J32" s="777">
        <f>'TDF working sheet'!E24</f>
        <v>0</v>
      </c>
      <c r="K32" s="777">
        <f>'TDF working sheet'!F24</f>
        <v>0</v>
      </c>
      <c r="L32" s="417">
        <f>'TDF working sheet'!G24</f>
        <v>0</v>
      </c>
      <c r="M32" s="120" t="e">
        <f>'TDF-Forecasting'!M144</f>
        <v>#VALUE!</v>
      </c>
      <c r="N32" s="120" t="e">
        <f>'TDF-Forecasting'!N144</f>
        <v>#VALUE!</v>
      </c>
      <c r="O32" s="120" t="e">
        <f>'TDF-Forecasting'!O144</f>
        <v>#VALUE!</v>
      </c>
      <c r="P32" s="120" t="e">
        <f>'TDF-Forecasting'!P144</f>
        <v>#VALUE!</v>
      </c>
      <c r="Q32" s="120" t="e">
        <f>'TDF-Forecasting'!Q144</f>
        <v>#VALUE!</v>
      </c>
      <c r="R32" s="81" t="e">
        <f t="shared" si="3"/>
        <v>#DIV/0!</v>
      </c>
      <c r="S32" s="81" t="e">
        <f>(Q32/L32)^(1/5)-1</f>
        <v>#VALUE!</v>
      </c>
      <c r="T32" s="652"/>
      <c r="U32" s="81" t="s">
        <v>911</v>
      </c>
      <c r="AA32" s="589">
        <v>0</v>
      </c>
      <c r="AB32" s="1" t="s">
        <v>912</v>
      </c>
      <c r="AF32" s="43"/>
      <c r="AG32" s="43"/>
      <c r="AH32" s="43"/>
      <c r="AI32" s="43"/>
      <c r="AJ32" s="43"/>
      <c r="AK32" s="43"/>
      <c r="AL32" s="43"/>
      <c r="AM32" s="43"/>
      <c r="AN32" s="43"/>
      <c r="AO32" s="43"/>
    </row>
    <row r="33" spans="1:43" ht="15" customHeight="1">
      <c r="A33" s="4" t="str">
        <f>Home!$B$1</f>
        <v>Hungary</v>
      </c>
      <c r="B33" s="4" t="s">
        <v>17</v>
      </c>
      <c r="C33" s="14" t="s">
        <v>30</v>
      </c>
      <c r="D33" s="657"/>
      <c r="E33" s="657"/>
      <c r="F33" s="1" t="s">
        <v>178</v>
      </c>
      <c r="G33" s="632">
        <f>Outbound!J70</f>
        <v>11183</v>
      </c>
      <c r="H33" s="632">
        <f>H13</f>
        <v>5057.7269999999999</v>
      </c>
      <c r="I33" s="632">
        <f t="shared" ref="I33:L33" si="10">I13</f>
        <v>4556.2539999999999</v>
      </c>
      <c r="J33" s="632">
        <f t="shared" si="10"/>
        <v>4398.1840000000002</v>
      </c>
      <c r="K33" s="632">
        <f t="shared" si="10"/>
        <v>4414.1189999999997</v>
      </c>
      <c r="L33" s="632">
        <f t="shared" si="10"/>
        <v>4050.88</v>
      </c>
      <c r="M33" s="155">
        <f>'TDF-Forecasting'!M151</f>
        <v>3559.9234253633458</v>
      </c>
      <c r="N33" s="155">
        <f>'TDF-Forecasting'!N151</f>
        <v>3303.85531372992</v>
      </c>
      <c r="O33" s="155">
        <f>'TDF-Forecasting'!O151</f>
        <v>3309.2935851823891</v>
      </c>
      <c r="P33" s="155">
        <f>'TDF-Forecasting'!P151</f>
        <v>3475.0670408475485</v>
      </c>
      <c r="Q33" s="155">
        <f>'TDF-Forecasting'!Q151</f>
        <v>3598.1082820115757</v>
      </c>
      <c r="R33" s="324">
        <f t="shared" ref="R33:R64" si="11">(L33/H33)^(1/4)-1</f>
        <v>-5.3983963201367891E-2</v>
      </c>
      <c r="S33" s="324">
        <f t="shared" ref="S33:S64" si="12">(Q33/L33)^(1/5)-1</f>
        <v>-2.3426421470017722E-2</v>
      </c>
      <c r="T33" s="653"/>
      <c r="U33" s="82" t="s">
        <v>1072</v>
      </c>
      <c r="V33" s="82" t="s">
        <v>1072</v>
      </c>
      <c r="W33" s="82" t="s">
        <v>1072</v>
      </c>
      <c r="X33" s="82" t="s">
        <v>1072</v>
      </c>
      <c r="Y33" s="82" t="s">
        <v>1072</v>
      </c>
      <c r="Z33" s="656"/>
      <c r="AA33" s="589">
        <v>5</v>
      </c>
      <c r="AB33" s="1" t="s">
        <v>820</v>
      </c>
    </row>
    <row r="34" spans="1:43" ht="15" customHeight="1">
      <c r="A34" s="4" t="str">
        <f>Home!$B$1</f>
        <v>Hungary</v>
      </c>
      <c r="B34" s="4" t="s">
        <v>17</v>
      </c>
      <c r="C34" s="4" t="s">
        <v>30</v>
      </c>
      <c r="D34" s="14" t="s">
        <v>23</v>
      </c>
      <c r="F34" s="1" t="s">
        <v>178</v>
      </c>
      <c r="G34" s="633">
        <f>Outbound!J71</f>
        <v>293</v>
      </c>
      <c r="H34" s="388">
        <f>'TDF working sheet'!P71</f>
        <v>60.458483956878901</v>
      </c>
      <c r="I34" s="388">
        <f>'TDF working sheet'!Q71</f>
        <v>54.464107449908383</v>
      </c>
      <c r="J34" s="388">
        <f>'TDF working sheet'!R71</f>
        <v>50.917463663318053</v>
      </c>
      <c r="K34" s="633">
        <f>'TDF working sheet'!S71</f>
        <v>51.274999999999999</v>
      </c>
      <c r="L34" s="633">
        <f>'TDF working sheet'!T71</f>
        <v>66.811999999999998</v>
      </c>
      <c r="M34" s="120">
        <f>'TDF-Forecasting'!M153</f>
        <v>69.991676486715264</v>
      </c>
      <c r="N34" s="120">
        <f>'TDF-Forecasting'!N153</f>
        <v>72.142610728890531</v>
      </c>
      <c r="O34" s="120">
        <f>'TDF-Forecasting'!O153</f>
        <v>75.884753562421665</v>
      </c>
      <c r="P34" s="120">
        <f>'TDF-Forecasting'!P153</f>
        <v>78.265685757909537</v>
      </c>
      <c r="Q34" s="120">
        <f>'TDF-Forecasting'!Q153</f>
        <v>80.657126753683244</v>
      </c>
      <c r="R34" s="54">
        <f t="shared" si="11"/>
        <v>2.5296098858250238E-2</v>
      </c>
      <c r="S34" s="54">
        <f t="shared" si="12"/>
        <v>3.8383204461236886E-2</v>
      </c>
      <c r="T34" s="652"/>
      <c r="U34" s="656"/>
      <c r="V34" s="656"/>
      <c r="W34" s="656"/>
      <c r="X34" s="656" t="s">
        <v>1072</v>
      </c>
      <c r="Y34" s="656" t="s">
        <v>1072</v>
      </c>
      <c r="AA34" s="589">
        <v>3</v>
      </c>
      <c r="AB34" s="1" t="s">
        <v>1265</v>
      </c>
      <c r="AD34" s="172" t="s">
        <v>563</v>
      </c>
    </row>
    <row r="35" spans="1:43" ht="15" customHeight="1">
      <c r="A35" s="4" t="str">
        <f>Home!$B$1</f>
        <v>Hungary</v>
      </c>
      <c r="B35" s="4" t="s">
        <v>17</v>
      </c>
      <c r="C35" s="4" t="s">
        <v>30</v>
      </c>
      <c r="D35" s="14" t="s">
        <v>24</v>
      </c>
      <c r="F35" s="1" t="s">
        <v>178</v>
      </c>
      <c r="G35" s="388">
        <f>Outbound!J72</f>
        <v>701.31936132204646</v>
      </c>
      <c r="H35" s="388">
        <f>'TDF working sheet'!P72</f>
        <v>931.09378323445389</v>
      </c>
      <c r="I35" s="388">
        <f>'TDF working sheet'!Q72</f>
        <v>1101.9330945166028</v>
      </c>
      <c r="J35" s="388">
        <f>'TDF working sheet'!R72</f>
        <v>1042.9807068854489</v>
      </c>
      <c r="K35" s="388">
        <f>'TDF working sheet'!S72</f>
        <v>563.57179217197154</v>
      </c>
      <c r="L35" s="388">
        <f>'TDF working sheet'!T72</f>
        <v>569.28103512192229</v>
      </c>
      <c r="M35" s="120">
        <f>'TDF-Forecasting'!M169</f>
        <v>243.50086514979009</v>
      </c>
      <c r="N35" s="120">
        <f>'TDF-Forecasting'!N169</f>
        <v>128.817435368247</v>
      </c>
      <c r="O35" s="120">
        <f>'TDF-Forecasting'!O169</f>
        <v>74.318338646089288</v>
      </c>
      <c r="P35" s="120">
        <f>'TDF-Forecasting'!P169</f>
        <v>110.66248910240984</v>
      </c>
      <c r="Q35" s="120">
        <f>'TDF-Forecasting'!Q169</f>
        <v>112.08653109014443</v>
      </c>
      <c r="R35" s="54">
        <f t="shared" si="11"/>
        <v>-0.11573319460564868</v>
      </c>
      <c r="S35" s="54">
        <f t="shared" si="12"/>
        <v>-0.27748753760345002</v>
      </c>
      <c r="T35" s="652"/>
      <c r="U35" s="656" t="s">
        <v>1267</v>
      </c>
      <c r="V35" s="656" t="s">
        <v>1267</v>
      </c>
      <c r="W35" s="656" t="s">
        <v>1267</v>
      </c>
      <c r="X35" s="656" t="s">
        <v>1267</v>
      </c>
      <c r="Y35" s="656" t="s">
        <v>1267</v>
      </c>
      <c r="AA35" s="589">
        <v>3</v>
      </c>
      <c r="AB35" s="1" t="s">
        <v>1266</v>
      </c>
      <c r="AE35" s="171" t="s">
        <v>569</v>
      </c>
    </row>
    <row r="36" spans="1:43" ht="15" customHeight="1">
      <c r="A36" s="4" t="str">
        <f>Home!$B$1</f>
        <v>Hungary</v>
      </c>
      <c r="B36" s="4" t="s">
        <v>17</v>
      </c>
      <c r="C36" s="4" t="s">
        <v>30</v>
      </c>
      <c r="D36" s="14" t="s">
        <v>25</v>
      </c>
      <c r="F36" s="1" t="s">
        <v>178</v>
      </c>
      <c r="G36" s="633">
        <f>Outbound!J73</f>
        <v>9720</v>
      </c>
      <c r="H36" s="861">
        <f>'TDF working sheet'!P73</f>
        <v>3745.7489999999998</v>
      </c>
      <c r="I36" s="861">
        <f>'TDF working sheet'!Q73</f>
        <v>3049.3220000000001</v>
      </c>
      <c r="J36" s="861">
        <f>'TDF working sheet'!R73</f>
        <v>2970.1959999999999</v>
      </c>
      <c r="K36" s="861">
        <f>'TDF working sheet'!S73</f>
        <v>3573.95</v>
      </c>
      <c r="L36" s="861">
        <f>'TDF working sheet'!T73</f>
        <v>3200.7759999999998</v>
      </c>
      <c r="M36" s="120">
        <f>'TDF-Forecasting'!M185</f>
        <v>3067.0812476942829</v>
      </c>
      <c r="N36" s="120">
        <f>'TDF-Forecasting'!N185</f>
        <v>3142.1394435842262</v>
      </c>
      <c r="O36" s="120">
        <f>'TDF-Forecasting'!O185</f>
        <v>3118.7915386967343</v>
      </c>
      <c r="P36" s="120">
        <f>'TDF-Forecasting'!P185</f>
        <v>3234.6343917511854</v>
      </c>
      <c r="Q36" s="120">
        <f>'TDF-Forecasting'!Q185</f>
        <v>3350.9711389762974</v>
      </c>
      <c r="R36" s="54">
        <f t="shared" si="11"/>
        <v>-3.8544579094633935E-2</v>
      </c>
      <c r="S36" s="54">
        <f t="shared" si="12"/>
        <v>9.2135691337851267E-3</v>
      </c>
      <c r="T36" s="652"/>
      <c r="U36" s="656" t="s">
        <v>1072</v>
      </c>
      <c r="V36" s="656" t="s">
        <v>1072</v>
      </c>
      <c r="W36" s="656" t="s">
        <v>1072</v>
      </c>
      <c r="X36" s="656" t="s">
        <v>1072</v>
      </c>
      <c r="Y36" s="656" t="s">
        <v>1072</v>
      </c>
      <c r="AA36" s="589">
        <v>5</v>
      </c>
      <c r="AB36" s="1" t="s">
        <v>1263</v>
      </c>
    </row>
    <row r="37" spans="1:43" ht="15" customHeight="1">
      <c r="A37" s="4" t="str">
        <f>Home!$B$1</f>
        <v>Hungary</v>
      </c>
      <c r="B37" s="4" t="s">
        <v>17</v>
      </c>
      <c r="C37" s="4" t="s">
        <v>30</v>
      </c>
      <c r="D37" s="2" t="s">
        <v>26</v>
      </c>
      <c r="F37" s="1" t="s">
        <v>178</v>
      </c>
      <c r="G37" s="388">
        <f>Outbound!J75</f>
        <v>56.680638677953496</v>
      </c>
      <c r="H37" s="388">
        <f>'TDF working sheet'!P76</f>
        <v>212.96726784482803</v>
      </c>
      <c r="I37" s="388">
        <f>'TDF working sheet'!Q76</f>
        <v>217.32719573307452</v>
      </c>
      <c r="J37" s="388">
        <f>'TDF working sheet'!R76</f>
        <v>221.32137046968148</v>
      </c>
      <c r="K37" s="388">
        <f>'TDF working sheet'!S76</f>
        <v>119.50020782802865</v>
      </c>
      <c r="L37" s="388">
        <f>'TDF working sheet'!T76</f>
        <v>119.8239648780781</v>
      </c>
      <c r="M37" s="120">
        <f>'TDF-Forecasting'!M201</f>
        <v>86.231516528453383</v>
      </c>
      <c r="N37" s="120">
        <f>'TDF-Forecasting'!N201</f>
        <v>-135.77146357781569</v>
      </c>
      <c r="O37" s="120">
        <f>'TDF-Forecasting'!O201</f>
        <v>-59.50290950249795</v>
      </c>
      <c r="P37" s="120">
        <f>'TDF-Forecasting'!P201</f>
        <v>-51.034159188508809</v>
      </c>
      <c r="Q37" s="120">
        <f>'TDF-Forecasting'!Q201</f>
        <v>-50.437013077581931</v>
      </c>
      <c r="R37" s="54">
        <f t="shared" si="11"/>
        <v>-0.1339206044548592</v>
      </c>
      <c r="S37" s="54" t="e">
        <f>(Q37/M37)^(1/4)-1</f>
        <v>#NUM!</v>
      </c>
      <c r="T37" s="652"/>
      <c r="U37" s="656" t="s">
        <v>1267</v>
      </c>
      <c r="V37" s="656" t="s">
        <v>1267</v>
      </c>
      <c r="W37" s="656" t="s">
        <v>1267</v>
      </c>
      <c r="X37" s="656" t="s">
        <v>1267</v>
      </c>
      <c r="Y37" s="656" t="s">
        <v>1267</v>
      </c>
      <c r="AA37" s="589">
        <v>3</v>
      </c>
      <c r="AB37" s="1" t="s">
        <v>1266</v>
      </c>
    </row>
    <row r="38" spans="1:43" ht="15" customHeight="1">
      <c r="A38" s="4" t="str">
        <f>Home!$B$1</f>
        <v>Hungary</v>
      </c>
      <c r="B38" s="4" t="s">
        <v>17</v>
      </c>
      <c r="C38" s="4" t="s">
        <v>30</v>
      </c>
      <c r="D38" s="14" t="s">
        <v>27</v>
      </c>
      <c r="F38" s="1" t="s">
        <v>178</v>
      </c>
      <c r="G38" s="633">
        <f>Outbound!J76</f>
        <v>296</v>
      </c>
      <c r="H38" s="633">
        <f>'TDF working sheet'!P74</f>
        <v>102.876</v>
      </c>
      <c r="I38" s="633">
        <f>'TDF working sheet'!Q74</f>
        <v>128.49199999999999</v>
      </c>
      <c r="J38" s="633">
        <f>'TDF working sheet'!R74</f>
        <v>105.122</v>
      </c>
      <c r="K38" s="633">
        <f>'TDF working sheet'!S74</f>
        <v>98.471000000000004</v>
      </c>
      <c r="L38" s="633">
        <f>'TDF working sheet'!T74</f>
        <v>80.100999999999999</v>
      </c>
      <c r="M38" s="120">
        <f>'TDF-Forecasting'!M217</f>
        <v>77.111284290710813</v>
      </c>
      <c r="N38" s="120">
        <f>'TDF-Forecasting'!N217</f>
        <v>80.009401409808049</v>
      </c>
      <c r="O38" s="120">
        <f>'TDF-Forecasting'!O217</f>
        <v>82.838367561364109</v>
      </c>
      <c r="P38" s="120">
        <f>'TDF-Forecasting'!P217</f>
        <v>85.19631311128272</v>
      </c>
      <c r="Q38" s="120">
        <f>'TDF-Forecasting'!Q217</f>
        <v>87.18181906907202</v>
      </c>
      <c r="R38" s="54">
        <f t="shared" si="11"/>
        <v>-6.0642370572640769E-2</v>
      </c>
      <c r="S38" s="54">
        <f t="shared" si="12"/>
        <v>1.7085815749272815E-2</v>
      </c>
      <c r="T38" s="652"/>
      <c r="U38" s="656" t="s">
        <v>1072</v>
      </c>
      <c r="V38" s="656" t="s">
        <v>1072</v>
      </c>
      <c r="W38" s="656" t="s">
        <v>1072</v>
      </c>
      <c r="X38" s="656" t="s">
        <v>1072</v>
      </c>
      <c r="Y38" s="656" t="s">
        <v>1072</v>
      </c>
      <c r="AA38" s="589">
        <v>5</v>
      </c>
      <c r="AB38" s="1" t="s">
        <v>1263</v>
      </c>
    </row>
    <row r="39" spans="1:43" ht="15" customHeight="1">
      <c r="A39" s="4" t="str">
        <f>Home!$B$1</f>
        <v>Hungary</v>
      </c>
      <c r="B39" s="4" t="s">
        <v>17</v>
      </c>
      <c r="C39" s="4" t="s">
        <v>30</v>
      </c>
      <c r="D39" s="14" t="s">
        <v>28</v>
      </c>
      <c r="F39" s="1" t="s">
        <v>178</v>
      </c>
      <c r="G39" s="633">
        <f>Outbound!J77</f>
        <v>116</v>
      </c>
      <c r="H39" s="388">
        <f>'TDF working sheet'!P75</f>
        <v>4.5824649638392714</v>
      </c>
      <c r="I39" s="388">
        <f>'TDF working sheet'!Q75</f>
        <v>4.7156023004137637</v>
      </c>
      <c r="J39" s="388">
        <f>'TDF working sheet'!R75</f>
        <v>7.6464589815520867</v>
      </c>
      <c r="K39" s="861">
        <f>'TDF working sheet'!S75</f>
        <v>7.351</v>
      </c>
      <c r="L39" s="861">
        <f>'TDF working sheet'!T75</f>
        <v>14.086</v>
      </c>
      <c r="M39" s="120">
        <f>'TDF-Forecasting'!M233</f>
        <v>16.006835213392851</v>
      </c>
      <c r="N39" s="120">
        <f>'TDF-Forecasting'!N233</f>
        <v>16.517886216564115</v>
      </c>
      <c r="O39" s="120">
        <f>'TDF-Forecasting'!O233</f>
        <v>16.963496218277751</v>
      </c>
      <c r="P39" s="120">
        <f>'TDF-Forecasting'!P233</f>
        <v>17.342320313270058</v>
      </c>
      <c r="Q39" s="120">
        <f>'TDF-Forecasting'!Q233</f>
        <v>17.64867919996065</v>
      </c>
      <c r="R39" s="54">
        <f t="shared" si="11"/>
        <v>0.32410410730160732</v>
      </c>
      <c r="S39" s="54">
        <f t="shared" si="12"/>
        <v>4.612818954333453E-2</v>
      </c>
      <c r="T39" s="652"/>
      <c r="U39" s="656"/>
      <c r="V39" s="656"/>
      <c r="W39" s="656"/>
      <c r="X39" s="656" t="s">
        <v>1072</v>
      </c>
      <c r="Y39" s="656" t="s">
        <v>1072</v>
      </c>
      <c r="AA39" s="589">
        <v>3</v>
      </c>
      <c r="AB39" s="1" t="s">
        <v>909</v>
      </c>
    </row>
    <row r="40" spans="1:43" ht="15" customHeight="1">
      <c r="A40" s="4" t="str">
        <f>Home!$B$1</f>
        <v>Hungary</v>
      </c>
      <c r="B40" s="4" t="s">
        <v>17</v>
      </c>
      <c r="C40" s="14" t="s">
        <v>31</v>
      </c>
      <c r="F40" s="1" t="s">
        <v>178</v>
      </c>
      <c r="G40" s="634">
        <f>G33</f>
        <v>11183</v>
      </c>
      <c r="H40" s="634">
        <f t="shared" ref="H40:K40" si="13">H33</f>
        <v>5057.7269999999999</v>
      </c>
      <c r="I40" s="634">
        <f t="shared" si="13"/>
        <v>4556.2539999999999</v>
      </c>
      <c r="J40" s="634">
        <f t="shared" si="13"/>
        <v>4398.1840000000002</v>
      </c>
      <c r="K40" s="634">
        <f t="shared" si="13"/>
        <v>4414.1189999999997</v>
      </c>
      <c r="L40" s="384">
        <f>K40*(1+((K40/G40)^(1/4)-1))</f>
        <v>3498.7705729627151</v>
      </c>
      <c r="M40" s="120">
        <f>'TDF-Forecasting'!M249</f>
        <v>3559.9234253633458</v>
      </c>
      <c r="N40" s="120">
        <f>'TDF-Forecasting'!N249</f>
        <v>3303.85531372992</v>
      </c>
      <c r="O40" s="120">
        <f>'TDF-Forecasting'!O249</f>
        <v>3309.2935851823891</v>
      </c>
      <c r="P40" s="120">
        <f>'TDF-Forecasting'!P249</f>
        <v>3475.0670408475485</v>
      </c>
      <c r="Q40" s="120">
        <f>'TDF-Forecasting'!Q249</f>
        <v>3598.1082820115757</v>
      </c>
      <c r="R40" s="81">
        <f t="shared" si="11"/>
        <v>-8.8010117520842757E-2</v>
      </c>
      <c r="S40" s="81">
        <f t="shared" si="12"/>
        <v>5.6150231210485568E-3</v>
      </c>
      <c r="T40" s="652"/>
      <c r="U40" s="656">
        <v>2007</v>
      </c>
      <c r="V40" s="82">
        <v>2008</v>
      </c>
      <c r="W40" s="82">
        <v>2009</v>
      </c>
      <c r="X40" s="82">
        <v>2010</v>
      </c>
      <c r="Y40" s="82">
        <v>2011</v>
      </c>
      <c r="AA40" s="589">
        <v>4</v>
      </c>
      <c r="AB40" s="1" t="s">
        <v>909</v>
      </c>
    </row>
    <row r="41" spans="1:43" ht="15" customHeight="1">
      <c r="A41" s="4" t="str">
        <f>Home!$B$1</f>
        <v>Hungary</v>
      </c>
      <c r="B41" s="4" t="s">
        <v>17</v>
      </c>
      <c r="C41" s="4" t="s">
        <v>31</v>
      </c>
      <c r="D41" s="14" t="s">
        <v>19</v>
      </c>
      <c r="F41" s="1" t="s">
        <v>178</v>
      </c>
      <c r="G41" s="39">
        <f>'Calculation sheet '!I27</f>
        <v>2193</v>
      </c>
      <c r="H41" s="39">
        <f>'TDF working sheet'!B218</f>
        <v>704.23599999999999</v>
      </c>
      <c r="I41" s="39">
        <f>'TDF working sheet'!C218</f>
        <v>653.40300000000002</v>
      </c>
      <c r="J41" s="39">
        <f>'TDF working sheet'!D218</f>
        <v>625.38099999999997</v>
      </c>
      <c r="K41" s="39">
        <f>'TDF working sheet'!E218</f>
        <v>608.38400000000001</v>
      </c>
      <c r="L41" s="777">
        <f>'TDF working sheet'!F218</f>
        <v>503.11284279025296</v>
      </c>
      <c r="M41" s="120">
        <f>'TDF-Forecasting'!M251</f>
        <v>512.11335753704952</v>
      </c>
      <c r="N41" s="120">
        <f>'TDF-Forecasting'!N251</f>
        <v>475.3506596745807</v>
      </c>
      <c r="O41" s="120">
        <f>'TDF-Forecasting'!O251</f>
        <v>476.69545460536528</v>
      </c>
      <c r="P41" s="120">
        <f>'TDF-Forecasting'!P251</f>
        <v>501.13021334716211</v>
      </c>
      <c r="Q41" s="120">
        <f>'TDF-Forecasting'!Q251</f>
        <v>518.50391862442029</v>
      </c>
      <c r="R41" s="81">
        <f t="shared" si="11"/>
        <v>-8.0637478653392658E-2</v>
      </c>
      <c r="S41" s="81">
        <f t="shared" si="12"/>
        <v>6.0448167666500296E-3</v>
      </c>
      <c r="T41" s="652"/>
      <c r="U41" s="650" t="s">
        <v>1072</v>
      </c>
      <c r="V41" s="650" t="s">
        <v>1072</v>
      </c>
      <c r="W41" s="650" t="s">
        <v>1072</v>
      </c>
      <c r="X41" s="650" t="s">
        <v>1072</v>
      </c>
      <c r="Y41" s="650" t="s">
        <v>1072</v>
      </c>
      <c r="AA41" s="589">
        <v>4</v>
      </c>
      <c r="AB41" s="1" t="s">
        <v>1271</v>
      </c>
      <c r="AH41" s="43"/>
      <c r="AI41" s="43"/>
      <c r="AJ41" s="43"/>
      <c r="AK41" s="43"/>
      <c r="AL41" s="43"/>
      <c r="AM41" s="43"/>
      <c r="AN41" s="43"/>
      <c r="AO41" s="43"/>
      <c r="AP41" s="43"/>
      <c r="AQ41" s="43"/>
    </row>
    <row r="42" spans="1:43" ht="15" customHeight="1">
      <c r="A42" s="4" t="str">
        <f>Home!$B$1</f>
        <v>Hungary</v>
      </c>
      <c r="B42" s="4" t="s">
        <v>17</v>
      </c>
      <c r="C42" s="4" t="s">
        <v>31</v>
      </c>
      <c r="D42" s="14" t="s">
        <v>20</v>
      </c>
      <c r="F42" s="1" t="s">
        <v>178</v>
      </c>
      <c r="G42" s="777">
        <f>'Calculation sheet '!I28</f>
        <v>8059.0781833910023</v>
      </c>
      <c r="H42" s="886"/>
      <c r="I42" s="886"/>
      <c r="J42" s="886"/>
      <c r="K42" s="886"/>
      <c r="L42" s="887"/>
      <c r="M42" s="120" t="e">
        <f>'TDF-Forecasting'!M253</f>
        <v>#DIV/0!</v>
      </c>
      <c r="N42" s="120" t="e">
        <f>'TDF-Forecasting'!N253</f>
        <v>#DIV/0!</v>
      </c>
      <c r="O42" s="120" t="e">
        <f>'TDF-Forecasting'!O253</f>
        <v>#DIV/0!</v>
      </c>
      <c r="P42" s="120" t="e">
        <f>'TDF-Forecasting'!P253</f>
        <v>#DIV/0!</v>
      </c>
      <c r="Q42" s="120" t="e">
        <f>'TDF-Forecasting'!Q253</f>
        <v>#DIV/0!</v>
      </c>
      <c r="R42" s="81" t="e">
        <f t="shared" si="11"/>
        <v>#DIV/0!</v>
      </c>
      <c r="S42" s="81" t="e">
        <f t="shared" si="12"/>
        <v>#DIV/0!</v>
      </c>
      <c r="T42" s="652"/>
      <c r="U42" s="82">
        <v>2007</v>
      </c>
      <c r="V42" s="82">
        <v>2008</v>
      </c>
      <c r="W42" s="82">
        <v>2009</v>
      </c>
      <c r="X42" s="82">
        <v>2010</v>
      </c>
      <c r="Y42" s="82">
        <v>2011</v>
      </c>
      <c r="AA42" s="589">
        <v>0</v>
      </c>
      <c r="AB42" s="1" t="s">
        <v>909</v>
      </c>
      <c r="AH42" s="43"/>
      <c r="AI42" s="43"/>
      <c r="AJ42" s="43"/>
      <c r="AK42" s="43"/>
      <c r="AL42" s="43"/>
      <c r="AM42" s="43"/>
      <c r="AN42" s="43"/>
      <c r="AO42" s="43"/>
      <c r="AP42" s="43"/>
      <c r="AQ42" s="43"/>
    </row>
    <row r="43" spans="1:43" ht="15" customHeight="1">
      <c r="A43" s="4" t="str">
        <f>Home!$B$1</f>
        <v>Hungary</v>
      </c>
      <c r="B43" s="4" t="s">
        <v>17</v>
      </c>
      <c r="C43" s="4" t="s">
        <v>31</v>
      </c>
      <c r="D43" s="14" t="s">
        <v>21</v>
      </c>
      <c r="F43" s="1" t="s">
        <v>178</v>
      </c>
      <c r="G43" s="777">
        <f>'Calculation sheet '!I29</f>
        <v>931.92181660899655</v>
      </c>
      <c r="H43" s="886"/>
      <c r="I43" s="886"/>
      <c r="J43" s="886"/>
      <c r="K43" s="886"/>
      <c r="L43" s="887"/>
      <c r="M43" s="120" t="e">
        <f>'TDF-Forecasting'!M255</f>
        <v>#DIV/0!</v>
      </c>
      <c r="N43" s="120" t="e">
        <f>'TDF-Forecasting'!N255</f>
        <v>#DIV/0!</v>
      </c>
      <c r="O43" s="120" t="e">
        <f>'TDF-Forecasting'!O255</f>
        <v>#DIV/0!</v>
      </c>
      <c r="P43" s="120" t="e">
        <f>'TDF-Forecasting'!P255</f>
        <v>#DIV/0!</v>
      </c>
      <c r="Q43" s="120" t="e">
        <f>'TDF-Forecasting'!Q255</f>
        <v>#DIV/0!</v>
      </c>
      <c r="R43" s="81" t="e">
        <f t="shared" si="11"/>
        <v>#DIV/0!</v>
      </c>
      <c r="S43" s="81" t="e">
        <f t="shared" si="12"/>
        <v>#DIV/0!</v>
      </c>
      <c r="T43" s="652"/>
      <c r="U43" s="82">
        <v>2007</v>
      </c>
      <c r="V43" s="82">
        <v>2008</v>
      </c>
      <c r="W43" s="82">
        <v>2009</v>
      </c>
      <c r="X43" s="82">
        <v>2010</v>
      </c>
      <c r="Y43" s="82">
        <v>2011</v>
      </c>
      <c r="AA43" s="589">
        <v>0</v>
      </c>
      <c r="AB43" s="1" t="s">
        <v>909</v>
      </c>
      <c r="AH43" s="43"/>
      <c r="AI43" s="43"/>
      <c r="AJ43" s="43"/>
      <c r="AK43" s="43"/>
      <c r="AL43" s="43"/>
      <c r="AM43" s="43"/>
      <c r="AN43" s="43"/>
      <c r="AO43" s="43"/>
      <c r="AP43" s="43"/>
      <c r="AQ43" s="43"/>
    </row>
    <row r="44" spans="1:43" ht="15" customHeight="1">
      <c r="A44" s="4" t="str">
        <f>Home!$B$1</f>
        <v>Hungary</v>
      </c>
      <c r="B44" s="4" t="s">
        <v>17</v>
      </c>
      <c r="C44" s="14" t="s">
        <v>33</v>
      </c>
      <c r="F44" s="1" t="s">
        <v>178</v>
      </c>
      <c r="G44" s="630">
        <f t="shared" ref="G44:Q44" si="14">SUM(G45:G46)</f>
        <v>173504</v>
      </c>
      <c r="H44" s="630">
        <f t="shared" si="14"/>
        <v>175848</v>
      </c>
      <c r="I44" s="630">
        <f t="shared" si="14"/>
        <v>166027</v>
      </c>
      <c r="J44" s="630">
        <f t="shared" si="14"/>
        <v>190238</v>
      </c>
      <c r="K44" s="630">
        <f t="shared" si="14"/>
        <v>196931</v>
      </c>
      <c r="L44" s="416">
        <f t="shared" si="14"/>
        <v>204538.4407297516</v>
      </c>
      <c r="M44" s="155">
        <f t="shared" si="14"/>
        <v>195791.01248251431</v>
      </c>
      <c r="N44" s="155">
        <f t="shared" si="14"/>
        <v>200862.27725156676</v>
      </c>
      <c r="O44" s="155">
        <f t="shared" si="14"/>
        <v>210509.7013902851</v>
      </c>
      <c r="P44" s="155">
        <f t="shared" si="14"/>
        <v>223479.73715538578</v>
      </c>
      <c r="Q44" s="155">
        <f t="shared" si="14"/>
        <v>232197.97354303318</v>
      </c>
      <c r="R44" s="81">
        <f t="shared" si="11"/>
        <v>3.8506877277332929E-2</v>
      </c>
      <c r="S44" s="81">
        <f t="shared" si="12"/>
        <v>2.5691359194589314E-2</v>
      </c>
      <c r="T44" s="652"/>
      <c r="U44" s="81" t="s">
        <v>916</v>
      </c>
      <c r="AA44" s="589">
        <v>4</v>
      </c>
    </row>
    <row r="45" spans="1:43" ht="15" customHeight="1">
      <c r="A45" s="4" t="str">
        <f>Home!$B$1</f>
        <v>Hungary</v>
      </c>
      <c r="B45" s="4" t="s">
        <v>17</v>
      </c>
      <c r="C45" s="4" t="s">
        <v>33</v>
      </c>
      <c r="D45" s="14" t="s">
        <v>32</v>
      </c>
      <c r="F45" s="1" t="s">
        <v>178</v>
      </c>
      <c r="G45" s="1">
        <v>80087</v>
      </c>
      <c r="H45" s="631">
        <v>81878</v>
      </c>
      <c r="I45" s="631">
        <v>73980</v>
      </c>
      <c r="J45" s="631">
        <v>80870</v>
      </c>
      <c r="K45" s="631">
        <v>89076</v>
      </c>
      <c r="L45" s="417">
        <f>K45*(1+((K45/H45)^(1/3)-1))</f>
        <v>91613.301351241142</v>
      </c>
      <c r="M45" s="120">
        <f t="shared" ref="M45:Q45" si="15">M13*M16</f>
        <v>87150.592522082501</v>
      </c>
      <c r="N45" s="120">
        <f t="shared" si="15"/>
        <v>87277.263617156728</v>
      </c>
      <c r="O45" s="120">
        <f t="shared" si="15"/>
        <v>95177.06516726203</v>
      </c>
      <c r="P45" s="120">
        <f>P13*P16</f>
        <v>104570.39925014193</v>
      </c>
      <c r="Q45" s="120">
        <f t="shared" si="15"/>
        <v>111476.55992501773</v>
      </c>
      <c r="R45" s="81">
        <f t="shared" si="11"/>
        <v>2.848467995016768E-2</v>
      </c>
      <c r="S45" s="81">
        <f t="shared" si="12"/>
        <v>4.0027935971120199E-2</v>
      </c>
      <c r="T45" s="652"/>
      <c r="U45" s="650" t="s">
        <v>914</v>
      </c>
      <c r="V45" s="650" t="s">
        <v>914</v>
      </c>
      <c r="W45" s="650" t="s">
        <v>914</v>
      </c>
      <c r="X45" s="650" t="s">
        <v>914</v>
      </c>
      <c r="Y45" s="650" t="s">
        <v>914</v>
      </c>
      <c r="AA45" s="589">
        <v>4</v>
      </c>
      <c r="AB45" s="1" t="s">
        <v>915</v>
      </c>
    </row>
    <row r="46" spans="1:43" ht="15" customHeight="1">
      <c r="A46" s="4" t="str">
        <f>Home!$B$1</f>
        <v>Hungary</v>
      </c>
      <c r="B46" s="4" t="s">
        <v>17</v>
      </c>
      <c r="C46" s="4" t="s">
        <v>33</v>
      </c>
      <c r="D46" s="14" t="s">
        <v>14</v>
      </c>
      <c r="F46" s="1" t="s">
        <v>178</v>
      </c>
      <c r="G46" s="1">
        <v>93417</v>
      </c>
      <c r="H46" s="631">
        <v>93970</v>
      </c>
      <c r="I46" s="631">
        <v>92047</v>
      </c>
      <c r="J46" s="631">
        <v>109368</v>
      </c>
      <c r="K46" s="631">
        <v>107855</v>
      </c>
      <c r="L46" s="417">
        <f>K46*(1+((K46/H46)^(1/3)-1))</f>
        <v>112925.13937851046</v>
      </c>
      <c r="M46" s="120">
        <f>M15*M12</f>
        <v>108640.41996043183</v>
      </c>
      <c r="N46" s="120">
        <f>N15*N12</f>
        <v>113585.01363441005</v>
      </c>
      <c r="O46" s="120">
        <f>O15*O12</f>
        <v>115332.63622302306</v>
      </c>
      <c r="P46" s="120">
        <f>P15*P12</f>
        <v>118909.33790524384</v>
      </c>
      <c r="Q46" s="120">
        <f>Q15*Q12</f>
        <v>120721.41361801543</v>
      </c>
      <c r="R46" s="81">
        <f t="shared" si="11"/>
        <v>4.7008848718283369E-2</v>
      </c>
      <c r="S46" s="81">
        <f t="shared" si="12"/>
        <v>1.3441618798167188E-2</v>
      </c>
      <c r="T46" s="652"/>
      <c r="U46" s="650" t="s">
        <v>914</v>
      </c>
      <c r="V46" s="650" t="s">
        <v>914</v>
      </c>
      <c r="W46" s="650" t="s">
        <v>914</v>
      </c>
      <c r="X46" s="650" t="s">
        <v>914</v>
      </c>
      <c r="Y46" s="650" t="s">
        <v>914</v>
      </c>
      <c r="AA46" s="589">
        <v>4</v>
      </c>
      <c r="AB46" s="1" t="s">
        <v>915</v>
      </c>
    </row>
    <row r="47" spans="1:43" ht="15" customHeight="1">
      <c r="A47" s="4" t="str">
        <f>Home!$B$1</f>
        <v>Hungary</v>
      </c>
      <c r="B47" s="2" t="s">
        <v>34</v>
      </c>
      <c r="R47" s="81"/>
      <c r="S47" s="81"/>
      <c r="T47" s="652"/>
      <c r="U47" s="81"/>
    </row>
    <row r="48" spans="1:43" ht="15" customHeight="1">
      <c r="A48" s="4" t="str">
        <f>Home!$B$1</f>
        <v>Hungary</v>
      </c>
      <c r="B48" s="4" t="s">
        <v>34</v>
      </c>
      <c r="C48" s="2" t="s">
        <v>35</v>
      </c>
      <c r="F48" s="1" t="str">
        <f>Home!$B$2&amp;" Million"</f>
        <v>Foriant Million</v>
      </c>
      <c r="G48" s="405">
        <f>'Working Sheet_EI'!B25</f>
        <v>124398.04478439735</v>
      </c>
      <c r="H48" s="405">
        <f>'Working Sheet_EI'!C25</f>
        <v>133159.4462424785</v>
      </c>
      <c r="I48" s="405">
        <f>'Working Sheet_EI'!D25</f>
        <v>140651.07996968244</v>
      </c>
      <c r="J48" s="405">
        <f>'Working Sheet_EI'!E25</f>
        <v>135928.08462116896</v>
      </c>
      <c r="K48" s="405">
        <f>'Working Sheet_EI'!F25</f>
        <v>142001.32699014113</v>
      </c>
      <c r="L48" s="405">
        <f>'Working Sheet_EI'!G25</f>
        <v>145699.39307754498</v>
      </c>
      <c r="M48" s="103">
        <f>Forecasting_EI!N5</f>
        <v>150692.53072623166</v>
      </c>
      <c r="N48" s="103">
        <f>Forecasting_EI!O5</f>
        <v>148144.6361860891</v>
      </c>
      <c r="O48" s="103">
        <f>Forecasting_EI!P5</f>
        <v>148043.0606268548</v>
      </c>
      <c r="P48" s="103">
        <f>Forecasting_EI!Q5</f>
        <v>150332.67883442971</v>
      </c>
      <c r="Q48" s="103">
        <f>Forecasting_EI!R5</f>
        <v>151226.34808952539</v>
      </c>
      <c r="R48" s="81">
        <f t="shared" si="11"/>
        <v>2.2754597836630142E-2</v>
      </c>
      <c r="S48" s="81">
        <f t="shared" si="12"/>
        <v>7.4742257779381038E-3</v>
      </c>
      <c r="T48" s="652"/>
      <c r="U48" s="650" t="s">
        <v>983</v>
      </c>
      <c r="V48" s="650" t="s">
        <v>983</v>
      </c>
      <c r="W48" s="650" t="s">
        <v>983</v>
      </c>
      <c r="X48" s="650" t="s">
        <v>983</v>
      </c>
      <c r="Y48" s="650" t="s">
        <v>983</v>
      </c>
      <c r="Z48" s="650" t="s">
        <v>983</v>
      </c>
      <c r="AA48" s="589">
        <v>1</v>
      </c>
      <c r="AB48" s="1" t="s">
        <v>974</v>
      </c>
    </row>
    <row r="49" spans="1:28" ht="15" customHeight="1">
      <c r="A49" s="4" t="str">
        <f>Home!$B$1</f>
        <v>Hungary</v>
      </c>
      <c r="B49" s="4" t="s">
        <v>34</v>
      </c>
      <c r="C49" s="4" t="s">
        <v>35</v>
      </c>
      <c r="D49" s="2" t="s">
        <v>36</v>
      </c>
      <c r="F49" s="1" t="str">
        <f>Home!$B$2&amp;" Million"</f>
        <v>Foriant Million</v>
      </c>
      <c r="G49" s="403">
        <f>'Working Sheet_EI'!B27</f>
        <v>11924.768964397977</v>
      </c>
      <c r="H49" s="403">
        <f>'Working Sheet_EI'!C27</f>
        <v>12722.87496818482</v>
      </c>
      <c r="I49" s="403">
        <f>'Working Sheet_EI'!D27</f>
        <v>13375.259574079366</v>
      </c>
      <c r="J49" s="403">
        <f>'Working Sheet_EI'!E27</f>
        <v>12849.285473593936</v>
      </c>
      <c r="K49" s="403">
        <f>'Working Sheet_EI'!F27</f>
        <v>13383.199448980118</v>
      </c>
      <c r="L49" s="403">
        <f>'Working Sheet_EI'!G27</f>
        <v>13649.340706962494</v>
      </c>
      <c r="M49" s="60">
        <f>Forecasting_EI!N7</f>
        <v>13957.26796129787</v>
      </c>
      <c r="N49" s="60">
        <f>Forecasting_EI!O7</f>
        <v>13689.066778068283</v>
      </c>
      <c r="O49" s="60">
        <f>Forecasting_EI!P7</f>
        <v>13706.685611199377</v>
      </c>
      <c r="P49" s="60">
        <f>Forecasting_EI!Q7</f>
        <v>13850.09629403687</v>
      </c>
      <c r="Q49" s="60">
        <f>Forecasting_EI!R7</f>
        <v>13858.722554297343</v>
      </c>
      <c r="R49" s="81">
        <f t="shared" si="11"/>
        <v>1.7727720454622897E-2</v>
      </c>
      <c r="S49" s="81">
        <f t="shared" si="12"/>
        <v>3.049360089684372E-3</v>
      </c>
      <c r="T49" s="652"/>
      <c r="U49" s="81"/>
      <c r="AA49" s="589">
        <v>1</v>
      </c>
      <c r="AB49" s="402" t="s">
        <v>975</v>
      </c>
    </row>
    <row r="50" spans="1:28" ht="15" customHeight="1">
      <c r="A50" s="4" t="str">
        <f>Home!$B$1</f>
        <v>Hungary</v>
      </c>
      <c r="B50" s="4" t="s">
        <v>34</v>
      </c>
      <c r="C50" s="4" t="s">
        <v>35</v>
      </c>
      <c r="D50" s="2" t="s">
        <v>37</v>
      </c>
      <c r="F50" s="1" t="str">
        <f>Home!$B$2&amp;" Million"</f>
        <v>Foriant Million</v>
      </c>
      <c r="G50" s="403">
        <f>'Working Sheet_EI'!B29</f>
        <v>6068.6658455180432</v>
      </c>
      <c r="H50" s="403">
        <f>'Working Sheet_EI'!C29</f>
        <v>6511.7009878652771</v>
      </c>
      <c r="I50" s="403">
        <f>'Working Sheet_EI'!D29</f>
        <v>6890.4481838894299</v>
      </c>
      <c r="J50" s="403">
        <f>'Working Sheet_EI'!E29</f>
        <v>6642.1466571200399</v>
      </c>
      <c r="K50" s="403">
        <f>'Working Sheet_EI'!F29</f>
        <v>6958.5922583577812</v>
      </c>
      <c r="L50" s="403">
        <f>'Working Sheet_EI'!G29</f>
        <v>7161.2306608485706</v>
      </c>
      <c r="M50" s="60">
        <f>Forecasting_EI!N9</f>
        <v>7416.2193812616069</v>
      </c>
      <c r="N50" s="60">
        <f>Forecasting_EI!O9</f>
        <v>7284.6275691590554</v>
      </c>
      <c r="O50" s="60">
        <f>Forecasting_EI!P9</f>
        <v>7235.7927904577837</v>
      </c>
      <c r="P50" s="60">
        <f>Forecasting_EI!Q9</f>
        <v>7353.5327133460069</v>
      </c>
      <c r="Q50" s="60">
        <f>Forecasting_EI!R9</f>
        <v>7403.7842967278475</v>
      </c>
      <c r="R50" s="81">
        <f t="shared" si="11"/>
        <v>2.405504895258459E-2</v>
      </c>
      <c r="S50" s="81">
        <f t="shared" si="12"/>
        <v>6.6841226476894722E-3</v>
      </c>
      <c r="T50" s="652"/>
      <c r="U50" s="81"/>
      <c r="AA50" s="589">
        <v>1</v>
      </c>
      <c r="AB50" s="402" t="s">
        <v>975</v>
      </c>
    </row>
    <row r="51" spans="1:28" ht="15" customHeight="1">
      <c r="A51" s="4" t="str">
        <f>Home!$B$1</f>
        <v>Hungary</v>
      </c>
      <c r="B51" s="4" t="s">
        <v>34</v>
      </c>
      <c r="C51" s="4" t="s">
        <v>35</v>
      </c>
      <c r="D51" s="2" t="s">
        <v>38</v>
      </c>
      <c r="F51" s="1" t="str">
        <f>Home!$B$2&amp;" Million"</f>
        <v>Foriant Million</v>
      </c>
      <c r="G51" s="403">
        <f>'Working Sheet_EI'!B31</f>
        <v>19934.84104654409</v>
      </c>
      <c r="H51" s="403">
        <f>'Working Sheet_EI'!C31</f>
        <v>21276.812342395944</v>
      </c>
      <c r="I51" s="403">
        <f>'Working Sheet_EI'!D31</f>
        <v>22546.950688386038</v>
      </c>
      <c r="J51" s="403">
        <f>'Working Sheet_EI'!E31</f>
        <v>21831.403272186606</v>
      </c>
      <c r="K51" s="403">
        <f>'Working Sheet_EI'!F31</f>
        <v>22709.592401213889</v>
      </c>
      <c r="L51" s="403">
        <f>'Working Sheet_EI'!G31</f>
        <v>23534.016470326806</v>
      </c>
      <c r="M51" s="60">
        <f>Forecasting_EI!N11</f>
        <v>24300.202749514145</v>
      </c>
      <c r="N51" s="60">
        <f>Forecasting_EI!O11</f>
        <v>23803.7783501675</v>
      </c>
      <c r="O51" s="60">
        <f>Forecasting_EI!P11</f>
        <v>23986.589900645966</v>
      </c>
      <c r="P51" s="60">
        <f>Forecasting_EI!Q11</f>
        <v>24517.211112105859</v>
      </c>
      <c r="Q51" s="60">
        <f>Forecasting_EI!R11</f>
        <v>24637.818808421511</v>
      </c>
      <c r="R51" s="81">
        <f t="shared" si="11"/>
        <v>2.5527645919532382E-2</v>
      </c>
      <c r="S51" s="81">
        <f t="shared" si="12"/>
        <v>9.2092926642939332E-3</v>
      </c>
      <c r="T51" s="652"/>
      <c r="U51" s="81"/>
      <c r="AA51" s="589">
        <v>1</v>
      </c>
      <c r="AB51" s="402" t="s">
        <v>975</v>
      </c>
    </row>
    <row r="52" spans="1:28" ht="15" customHeight="1">
      <c r="A52" s="4" t="str">
        <f>Home!$B$1</f>
        <v>Hungary</v>
      </c>
      <c r="B52" s="4" t="s">
        <v>34</v>
      </c>
      <c r="C52" s="4" t="s">
        <v>35</v>
      </c>
      <c r="D52" s="2" t="s">
        <v>39</v>
      </c>
      <c r="F52" s="1" t="str">
        <f>Home!$B$2&amp;" Million"</f>
        <v>Foriant Million</v>
      </c>
      <c r="G52" s="403">
        <f>'Working Sheet_EI'!B33</f>
        <v>21217.769986743206</v>
      </c>
      <c r="H52" s="403">
        <f>'Working Sheet_EI'!C33</f>
        <v>22569.614678936498</v>
      </c>
      <c r="I52" s="403">
        <f>'Working Sheet_EI'!D33</f>
        <v>23734.832515611179</v>
      </c>
      <c r="J52" s="403">
        <f>'Working Sheet_EI'!E33</f>
        <v>22914.844596733234</v>
      </c>
      <c r="K52" s="403">
        <f>'Working Sheet_EI'!F33</f>
        <v>23795.187165376479</v>
      </c>
      <c r="L52" s="403">
        <f>'Working Sheet_EI'!G33</f>
        <v>24341.628127302192</v>
      </c>
      <c r="M52" s="60">
        <f>Forecasting_EI!N13</f>
        <v>25151.336742048399</v>
      </c>
      <c r="N52" s="60">
        <f>Forecasting_EI!O13</f>
        <v>24826.500499556034</v>
      </c>
      <c r="O52" s="60">
        <f>Forecasting_EI!P13</f>
        <v>24835.811831777963</v>
      </c>
      <c r="P52" s="60">
        <f>Forecasting_EI!Q13</f>
        <v>25106.584214527473</v>
      </c>
      <c r="Q52" s="60">
        <f>Forecasting_EI!R13</f>
        <v>25326.69683739428</v>
      </c>
      <c r="R52" s="81">
        <f t="shared" si="11"/>
        <v>1.9075521132454476E-2</v>
      </c>
      <c r="S52" s="81">
        <f t="shared" si="12"/>
        <v>7.9657740964809154E-3</v>
      </c>
      <c r="T52" s="652"/>
      <c r="U52" s="81"/>
      <c r="AA52" s="589">
        <v>1</v>
      </c>
      <c r="AB52" s="402" t="s">
        <v>975</v>
      </c>
    </row>
    <row r="53" spans="1:28" ht="15" customHeight="1">
      <c r="A53" s="4" t="str">
        <f>Home!$B$1</f>
        <v>Hungary</v>
      </c>
      <c r="B53" s="4" t="s">
        <v>34</v>
      </c>
      <c r="C53" s="4" t="s">
        <v>35</v>
      </c>
      <c r="D53" s="2" t="s">
        <v>40</v>
      </c>
      <c r="F53" s="1" t="str">
        <f>Home!$B$2&amp;" Million"</f>
        <v>Foriant Million</v>
      </c>
      <c r="G53" s="403">
        <f>'Working Sheet_EI'!B35</f>
        <v>39054.858307642098</v>
      </c>
      <c r="H53" s="403">
        <f>'Working Sheet_EI'!C35</f>
        <v>42145.490320675912</v>
      </c>
      <c r="I53" s="403">
        <f>'Working Sheet_EI'!D35</f>
        <v>44434.320124807666</v>
      </c>
      <c r="J53" s="403">
        <f>'Working Sheet_EI'!E35</f>
        <v>42976.509106183701</v>
      </c>
      <c r="K53" s="403">
        <f>'Working Sheet_EI'!F35</f>
        <v>45029.166860420803</v>
      </c>
      <c r="L53" s="403">
        <f>'Working Sheet_EI'!G35</f>
        <v>45924.626810772505</v>
      </c>
      <c r="M53" s="60">
        <f>Forecasting_EI!N15</f>
        <v>47485.633496081144</v>
      </c>
      <c r="N53" s="60">
        <f>Forecasting_EI!O15</f>
        <v>46510.526480949593</v>
      </c>
      <c r="O53" s="60">
        <f>Forecasting_EI!P15</f>
        <v>46491.617765070951</v>
      </c>
      <c r="P53" s="60">
        <f>Forecasting_EI!Q15</f>
        <v>47101.140504191688</v>
      </c>
      <c r="Q53" s="60">
        <f>Forecasting_EI!R15</f>
        <v>47311.10856063848</v>
      </c>
      <c r="R53" s="81">
        <f t="shared" si="11"/>
        <v>2.1700559644195705E-2</v>
      </c>
      <c r="S53" s="81">
        <f t="shared" si="12"/>
        <v>5.966452032172942E-3</v>
      </c>
      <c r="T53" s="652"/>
      <c r="U53" s="81"/>
      <c r="AA53" s="589">
        <v>1</v>
      </c>
      <c r="AB53" s="402" t="s">
        <v>975</v>
      </c>
    </row>
    <row r="54" spans="1:28" ht="15" customHeight="1">
      <c r="A54" s="4" t="str">
        <f>Home!$B$1</f>
        <v>Hungary</v>
      </c>
      <c r="B54" s="4" t="s">
        <v>34</v>
      </c>
      <c r="C54" s="4" t="s">
        <v>35</v>
      </c>
      <c r="D54" s="2" t="s">
        <v>41</v>
      </c>
      <c r="F54" s="1" t="str">
        <f>Home!$B$2&amp;" Million"</f>
        <v>Foriant Million</v>
      </c>
      <c r="G54" s="403">
        <f>'Working Sheet_EI'!B37</f>
        <v>3946.7690933193126</v>
      </c>
      <c r="H54" s="403">
        <f>'Working Sheet_EI'!C37</f>
        <v>4181.9206046207946</v>
      </c>
      <c r="I54" s="403">
        <f>'Working Sheet_EI'!D37</f>
        <v>4391.0815549868748</v>
      </c>
      <c r="J54" s="403">
        <f>'Working Sheet_EI'!E37</f>
        <v>4220.8183169876938</v>
      </c>
      <c r="K54" s="403">
        <f>'Working Sheet_EI'!F37</f>
        <v>4444.6789498748658</v>
      </c>
      <c r="L54" s="403">
        <f>'Working Sheet_EI'!G37</f>
        <v>4615.1545455055066</v>
      </c>
      <c r="M54" s="60">
        <f>Forecasting_EI!N17</f>
        <v>4768.6861055273757</v>
      </c>
      <c r="N54" s="60">
        <f>Forecasting_EI!O17</f>
        <v>4752.9786484217921</v>
      </c>
      <c r="O54" s="60">
        <f>Forecasting_EI!P17</f>
        <v>4701.4792397191113</v>
      </c>
      <c r="P54" s="60">
        <f>Forecasting_EI!Q17</f>
        <v>4824.6550164705468</v>
      </c>
      <c r="Q54" s="60">
        <f>Forecasting_EI!R17</f>
        <v>4871.0788018881212</v>
      </c>
      <c r="R54" s="81">
        <f t="shared" si="11"/>
        <v>2.4949850253055628E-2</v>
      </c>
      <c r="S54" s="81">
        <f t="shared" si="12"/>
        <v>1.0852481037774364E-2</v>
      </c>
      <c r="T54" s="652"/>
      <c r="U54" s="81"/>
      <c r="AA54" s="589">
        <v>1</v>
      </c>
      <c r="AB54" s="402" t="s">
        <v>976</v>
      </c>
    </row>
    <row r="55" spans="1:28" ht="15" customHeight="1">
      <c r="A55" s="4" t="str">
        <f>Home!$B$1</f>
        <v>Hungary</v>
      </c>
      <c r="B55" s="4" t="s">
        <v>34</v>
      </c>
      <c r="C55" s="4" t="s">
        <v>35</v>
      </c>
      <c r="D55" s="2" t="s">
        <v>42</v>
      </c>
      <c r="F55" s="1" t="str">
        <f>Home!$B$2&amp;" Million"</f>
        <v>Foriant Million</v>
      </c>
      <c r="G55" s="403">
        <f>'Working Sheet_EI'!B39</f>
        <v>22250.37154023262</v>
      </c>
      <c r="H55" s="403">
        <f>'Working Sheet_EI'!C39</f>
        <v>23751.032339799247</v>
      </c>
      <c r="I55" s="403">
        <f>'Working Sheet_EI'!D39</f>
        <v>25278.187327921885</v>
      </c>
      <c r="J55" s="403">
        <f>'Working Sheet_EI'!E39</f>
        <v>24493.077198363753</v>
      </c>
      <c r="K55" s="403">
        <f>'Working Sheet_EI'!F39</f>
        <v>25680.909905917171</v>
      </c>
      <c r="L55" s="403">
        <f>'Working Sheet_EI'!G39</f>
        <v>26473.395755826918</v>
      </c>
      <c r="M55" s="60">
        <f>Forecasting_EI!N19</f>
        <v>27613.184290501151</v>
      </c>
      <c r="N55" s="60">
        <f>Forecasting_EI!O19</f>
        <v>27277.157859766852</v>
      </c>
      <c r="O55" s="60">
        <f>Forecasting_EI!P19</f>
        <v>27085.083487983655</v>
      </c>
      <c r="P55" s="60">
        <f>Forecasting_EI!Q19</f>
        <v>27579.458979751267</v>
      </c>
      <c r="Q55" s="60">
        <f>Forecasting_EI!R19</f>
        <v>27817.138230157823</v>
      </c>
      <c r="R55" s="81">
        <f t="shared" si="11"/>
        <v>2.7499904684702425E-2</v>
      </c>
      <c r="S55" s="81">
        <f t="shared" si="12"/>
        <v>9.9515948114978769E-3</v>
      </c>
      <c r="T55" s="652"/>
      <c r="U55" s="81"/>
      <c r="AA55" s="589">
        <v>1</v>
      </c>
      <c r="AB55" s="402" t="s">
        <v>975</v>
      </c>
    </row>
    <row r="56" spans="1:28" ht="15" customHeight="1">
      <c r="A56" s="4" t="str">
        <f>Home!$B$1</f>
        <v>Hungary</v>
      </c>
      <c r="B56" s="4" t="s">
        <v>34</v>
      </c>
      <c r="C56" s="2" t="s">
        <v>43</v>
      </c>
      <c r="F56" s="1" t="str">
        <f>Home!$B$2&amp;" Million"</f>
        <v>Foriant Million</v>
      </c>
      <c r="G56" s="103">
        <f>'Working Sheet_EI'!B22</f>
        <v>75814</v>
      </c>
      <c r="H56" s="103">
        <f>'Working Sheet_EI'!C22</f>
        <v>81540</v>
      </c>
      <c r="I56" s="103">
        <f>'Working Sheet_EI'!D22</f>
        <v>88860</v>
      </c>
      <c r="J56" s="103">
        <f>'Working Sheet_EI'!E22</f>
        <v>90381</v>
      </c>
      <c r="K56" s="103">
        <f>'Working Sheet_EI'!F22</f>
        <v>98797</v>
      </c>
      <c r="L56" s="405">
        <f>'Working Sheet_EI'!G22</f>
        <v>112069.08825269554</v>
      </c>
      <c r="M56" s="103">
        <f>Forecasting_EI!N21</f>
        <v>121355.6051476904</v>
      </c>
      <c r="N56" s="103">
        <f>Forecasting_EI!O21</f>
        <v>130028.25406223479</v>
      </c>
      <c r="O56" s="103">
        <f>Forecasting_EI!P21</f>
        <v>139488.68337824085</v>
      </c>
      <c r="P56" s="103">
        <f>Forecasting_EI!Q21</f>
        <v>148931.38434316029</v>
      </c>
      <c r="Q56" s="103">
        <f>Forecasting_EI!R21</f>
        <v>157772.63893860756</v>
      </c>
      <c r="R56" s="81">
        <f t="shared" si="11"/>
        <v>8.2751472181826768E-2</v>
      </c>
      <c r="S56" s="81">
        <f t="shared" si="12"/>
        <v>7.080199142993493E-2</v>
      </c>
      <c r="T56" s="652"/>
      <c r="U56" s="650" t="s">
        <v>983</v>
      </c>
      <c r="V56" s="650" t="s">
        <v>983</v>
      </c>
      <c r="W56" s="650" t="s">
        <v>983</v>
      </c>
      <c r="X56" s="650" t="s">
        <v>983</v>
      </c>
      <c r="Y56" s="650" t="s">
        <v>983</v>
      </c>
      <c r="Z56" s="650" t="s">
        <v>983</v>
      </c>
      <c r="AA56" s="589">
        <v>4</v>
      </c>
      <c r="AB56" s="1" t="s">
        <v>977</v>
      </c>
    </row>
    <row r="57" spans="1:28" ht="15" customHeight="1">
      <c r="A57" s="4" t="str">
        <f>Home!$B$1</f>
        <v>Hungary</v>
      </c>
      <c r="B57" s="4" t="s">
        <v>34</v>
      </c>
      <c r="C57" s="4" t="s">
        <v>43</v>
      </c>
      <c r="D57" s="2" t="s">
        <v>36</v>
      </c>
      <c r="F57" s="1" t="str">
        <f>Home!$B$2&amp;" Million"</f>
        <v>Foriant Million</v>
      </c>
      <c r="G57" s="64">
        <f>'Working Sheet_EI'!B44</f>
        <v>9681.8291363400058</v>
      </c>
      <c r="H57" s="64">
        <f>'Working Sheet_EI'!C44</f>
        <v>10463.44339661461</v>
      </c>
      <c r="I57" s="64">
        <f>'Working Sheet_EI'!D44</f>
        <v>11447.113223005079</v>
      </c>
      <c r="J57" s="64">
        <f>'Working Sheet_EI'!E44</f>
        <v>11667.504055403646</v>
      </c>
      <c r="K57" s="64">
        <f>'Working Sheet_EI'!F44</f>
        <v>12779.453944502024</v>
      </c>
      <c r="L57" s="64">
        <f>'Working Sheet_EI'!G44</f>
        <v>14409.229646812046</v>
      </c>
      <c r="M57" s="60">
        <f>Forecasting_EI!N23</f>
        <v>15722.795425678156</v>
      </c>
      <c r="N57" s="60">
        <f>Forecasting_EI!O23</f>
        <v>16811.373953694383</v>
      </c>
      <c r="O57" s="60">
        <f>Forecasting_EI!P23</f>
        <v>17982.973295003616</v>
      </c>
      <c r="P57" s="60">
        <f>Forecasting_EI!Q23</f>
        <v>19147.815115577243</v>
      </c>
      <c r="Q57" s="60">
        <f>Forecasting_EI!R23</f>
        <v>20264.888031818442</v>
      </c>
      <c r="R57" s="81">
        <f t="shared" si="11"/>
        <v>8.3282016285951554E-2</v>
      </c>
      <c r="S57" s="81">
        <f>(Q57/L57)^(1/5)-1</f>
        <v>7.0583853551202003E-2</v>
      </c>
      <c r="T57" s="652"/>
      <c r="U57" s="81"/>
      <c r="AA57" s="589">
        <v>1</v>
      </c>
      <c r="AB57" s="402" t="s">
        <v>978</v>
      </c>
    </row>
    <row r="58" spans="1:28" ht="15" customHeight="1">
      <c r="A58" s="4" t="str">
        <f>Home!$B$1</f>
        <v>Hungary</v>
      </c>
      <c r="B58" s="4" t="s">
        <v>34</v>
      </c>
      <c r="C58" s="4" t="s">
        <v>43</v>
      </c>
      <c r="D58" s="2" t="s">
        <v>37</v>
      </c>
      <c r="F58" s="1" t="str">
        <f>Home!$B$2&amp;" Million"</f>
        <v>Foriant Million</v>
      </c>
      <c r="G58" s="64">
        <f>'Working Sheet_EI'!B46</f>
        <v>1830.9686999610087</v>
      </c>
      <c r="H58" s="64">
        <f>'Working Sheet_EI'!C46</f>
        <v>1965.8920602263161</v>
      </c>
      <c r="I58" s="64">
        <f>'Working Sheet_EI'!D46</f>
        <v>2154.9809444535472</v>
      </c>
      <c r="J58" s="64">
        <f>'Working Sheet_EI'!E46</f>
        <v>2200.6944773019823</v>
      </c>
      <c r="K58" s="64">
        <f>'Working Sheet_EI'!F46</f>
        <v>2400.7084195356092</v>
      </c>
      <c r="L58" s="64">
        <f>'Working Sheet_EI'!G46</f>
        <v>2736.8283425267468</v>
      </c>
      <c r="M58" s="60">
        <f>Forecasting_EI!N25</f>
        <v>2979.9689855283327</v>
      </c>
      <c r="N58" s="60">
        <f>Forecasting_EI!O25</f>
        <v>3183.052959067385</v>
      </c>
      <c r="O58" s="60">
        <f>Forecasting_EI!P25</f>
        <v>3423.3001558717351</v>
      </c>
      <c r="P58" s="60">
        <f>Forecasting_EI!Q25</f>
        <v>3687.1659026335637</v>
      </c>
      <c r="Q58" s="60">
        <f>Forecasting_EI!R25</f>
        <v>3920.3035098802216</v>
      </c>
      <c r="R58" s="81">
        <f t="shared" si="11"/>
        <v>8.6230448584210029E-2</v>
      </c>
      <c r="S58" s="81">
        <f t="shared" si="12"/>
        <v>7.4519809789819424E-2</v>
      </c>
      <c r="T58" s="652"/>
      <c r="U58" s="81"/>
      <c r="AA58" s="589">
        <v>1</v>
      </c>
      <c r="AB58" s="402" t="s">
        <v>978</v>
      </c>
    </row>
    <row r="59" spans="1:28" ht="15" customHeight="1">
      <c r="A59" s="4" t="str">
        <f>Home!$B$1</f>
        <v>Hungary</v>
      </c>
      <c r="B59" s="4" t="s">
        <v>34</v>
      </c>
      <c r="C59" s="4" t="s">
        <v>43</v>
      </c>
      <c r="D59" s="2" t="s">
        <v>38</v>
      </c>
      <c r="F59" s="1" t="str">
        <f>Home!$B$2&amp;" Million"</f>
        <v>Foriant Million</v>
      </c>
      <c r="G59" s="64">
        <f>'Working Sheet_EI'!B48</f>
        <v>13434.457087665713</v>
      </c>
      <c r="H59" s="64">
        <f>'Working Sheet_EI'!C48</f>
        <v>14485.552150004674</v>
      </c>
      <c r="I59" s="64">
        <f>'Working Sheet_EI'!D48</f>
        <v>15761.693560543994</v>
      </c>
      <c r="J59" s="64">
        <f>'Working Sheet_EI'!E48</f>
        <v>16141.524869272487</v>
      </c>
      <c r="K59" s="64">
        <f>'Working Sheet_EI'!F48</f>
        <v>17541.775065537797</v>
      </c>
      <c r="L59" s="64">
        <f>'Working Sheet_EI'!G48</f>
        <v>19938.080300055131</v>
      </c>
      <c r="M59" s="60">
        <f>Forecasting_EI!N27</f>
        <v>21608.017896178248</v>
      </c>
      <c r="N59" s="60">
        <f>Forecasting_EI!O27</f>
        <v>23259.7548014934</v>
      </c>
      <c r="O59" s="60">
        <f>Forecasting_EI!P27</f>
        <v>24818.732378145618</v>
      </c>
      <c r="P59" s="60">
        <f>Forecasting_EI!Q27</f>
        <v>26536.1654278879</v>
      </c>
      <c r="Q59" s="60">
        <f>Forecasting_EI!R27</f>
        <v>28215.020935416429</v>
      </c>
      <c r="R59" s="81">
        <f t="shared" si="11"/>
        <v>8.3146178249812852E-2</v>
      </c>
      <c r="S59" s="81">
        <f t="shared" si="12"/>
        <v>7.1912677170379524E-2</v>
      </c>
      <c r="T59" s="652"/>
      <c r="U59" s="81"/>
      <c r="AA59" s="589">
        <v>1</v>
      </c>
      <c r="AB59" s="402" t="s">
        <v>978</v>
      </c>
    </row>
    <row r="60" spans="1:28" ht="15" customHeight="1">
      <c r="A60" s="4" t="str">
        <f>Home!$B$1</f>
        <v>Hungary</v>
      </c>
      <c r="B60" s="4" t="s">
        <v>34</v>
      </c>
      <c r="C60" s="4" t="s">
        <v>43</v>
      </c>
      <c r="D60" s="2" t="s">
        <v>39</v>
      </c>
      <c r="F60" s="1" t="str">
        <f>Home!$B$2&amp;" Million"</f>
        <v>Foriant Million</v>
      </c>
      <c r="G60" s="64">
        <f>'Working Sheet_EI'!B50</f>
        <v>19834.268701585654</v>
      </c>
      <c r="H60" s="64">
        <f>'Working Sheet_EI'!C50</f>
        <v>21283.892140652766</v>
      </c>
      <c r="I60" s="64">
        <f>'Working Sheet_EI'!D50</f>
        <v>23340.812374242178</v>
      </c>
      <c r="J60" s="64">
        <f>'Working Sheet_EI'!E50</f>
        <v>23716.735952112729</v>
      </c>
      <c r="K60" s="64">
        <f>'Working Sheet_EI'!F50</f>
        <v>26055.313250238662</v>
      </c>
      <c r="L60" s="64">
        <f>'Working Sheet_EI'!G50</f>
        <v>29407.727199127108</v>
      </c>
      <c r="M60" s="60">
        <f>Forecasting_EI!N29</f>
        <v>31828.416300362158</v>
      </c>
      <c r="N60" s="60">
        <f>Forecasting_EI!O29</f>
        <v>34013.412337638147</v>
      </c>
      <c r="O60" s="60">
        <f>Forecasting_EI!P29</f>
        <v>36385.031674970189</v>
      </c>
      <c r="P60" s="60">
        <f>Forecasting_EI!Q29</f>
        <v>38783.460419331757</v>
      </c>
      <c r="Q60" s="60">
        <f>Forecasting_EI!R29</f>
        <v>41072.507061473552</v>
      </c>
      <c r="R60" s="81">
        <f t="shared" si="11"/>
        <v>8.4183024065754397E-2</v>
      </c>
      <c r="S60" s="81">
        <f t="shared" si="12"/>
        <v>6.9099066638819151E-2</v>
      </c>
      <c r="T60" s="652"/>
      <c r="U60" s="81"/>
      <c r="AA60" s="589">
        <v>1</v>
      </c>
      <c r="AB60" s="402" t="s">
        <v>978</v>
      </c>
    </row>
    <row r="61" spans="1:28" ht="15" customHeight="1">
      <c r="A61" s="4" t="str">
        <f>Home!$B$1</f>
        <v>Hungary</v>
      </c>
      <c r="B61" s="4" t="s">
        <v>34</v>
      </c>
      <c r="C61" s="4" t="s">
        <v>43</v>
      </c>
      <c r="D61" s="2" t="s">
        <v>40</v>
      </c>
      <c r="F61" s="1" t="str">
        <f>Home!$B$2&amp;" Million"</f>
        <v>Foriant Million</v>
      </c>
      <c r="G61" s="64">
        <f>'Working Sheet_EI'!B52</f>
        <v>24754.838135574471</v>
      </c>
      <c r="H61" s="64">
        <f>'Working Sheet_EI'!C52</f>
        <v>26612.647755059181</v>
      </c>
      <c r="I61" s="64">
        <f>'Working Sheet_EI'!D52</f>
        <v>28921.475693043481</v>
      </c>
      <c r="J61" s="64">
        <f>'Working Sheet_EI'!E52</f>
        <v>29341.744096238814</v>
      </c>
      <c r="K61" s="64">
        <f>'Working Sheet_EI'!F52</f>
        <v>32007.84719787259</v>
      </c>
      <c r="L61" s="64">
        <f>'Working Sheet_EI'!G52</f>
        <v>36561.837749769293</v>
      </c>
      <c r="M61" s="60">
        <f>Forecasting_EI!N31</f>
        <v>39417.706154374413</v>
      </c>
      <c r="N61" s="60">
        <f>Forecasting_EI!O31</f>
        <v>42303.322484418924</v>
      </c>
      <c r="O61" s="60">
        <f>Forecasting_EI!P31</f>
        <v>45633.576749609412</v>
      </c>
      <c r="P61" s="60">
        <f>Forecasting_EI!Q31</f>
        <v>48794.782599896862</v>
      </c>
      <c r="Q61" s="60">
        <f>Forecasting_EI!R31</f>
        <v>51670.703552985768</v>
      </c>
      <c r="R61" s="81">
        <f t="shared" si="11"/>
        <v>8.2642278569893035E-2</v>
      </c>
      <c r="S61" s="81">
        <f t="shared" si="12"/>
        <v>7.1626072996650914E-2</v>
      </c>
      <c r="T61" s="652"/>
      <c r="U61" s="81"/>
      <c r="AA61" s="589">
        <v>1</v>
      </c>
      <c r="AB61" s="402" t="s">
        <v>978</v>
      </c>
    </row>
    <row r="62" spans="1:28" ht="15" customHeight="1">
      <c r="A62" s="4" t="str">
        <f>Home!$B$1</f>
        <v>Hungary</v>
      </c>
      <c r="B62" s="4" t="s">
        <v>34</v>
      </c>
      <c r="C62" s="4" t="s">
        <v>43</v>
      </c>
      <c r="D62" s="2" t="s">
        <v>41</v>
      </c>
      <c r="F62" s="1" t="str">
        <f>Home!$B$2&amp;" Million"</f>
        <v>Foriant Million</v>
      </c>
      <c r="G62" s="64">
        <f>'Working Sheet_EI'!B54</f>
        <v>165.45473256953892</v>
      </c>
      <c r="H62" s="64">
        <f>'Working Sheet_EI'!C54</f>
        <v>178.50714159991139</v>
      </c>
      <c r="I62" s="64">
        <f>'Working Sheet_EI'!D54</f>
        <v>193.73286731895217</v>
      </c>
      <c r="J62" s="64">
        <f>'Working Sheet_EI'!E54</f>
        <v>196.21383465585578</v>
      </c>
      <c r="K62" s="64">
        <f>'Working Sheet_EI'!F54</f>
        <v>213.61113241533488</v>
      </c>
      <c r="L62" s="64">
        <f>'Working Sheet_EI'!G54</f>
        <v>240.85315972458602</v>
      </c>
      <c r="M62" s="60">
        <f>Forecasting_EI!N33</f>
        <v>263.24513051930001</v>
      </c>
      <c r="N62" s="60">
        <f>Forecasting_EI!O33</f>
        <v>279.87267252135092</v>
      </c>
      <c r="O62" s="60">
        <f>Forecasting_EI!P33</f>
        <v>302.93273223221161</v>
      </c>
      <c r="P62" s="60">
        <f>Forecasting_EI!Q33</f>
        <v>325.85521138091553</v>
      </c>
      <c r="Q62" s="60">
        <f>Forecasting_EI!R33</f>
        <v>346.82996651069857</v>
      </c>
      <c r="R62" s="81">
        <f t="shared" si="11"/>
        <v>7.7765278314679609E-2</v>
      </c>
      <c r="S62" s="81">
        <f t="shared" si="12"/>
        <v>7.5654635562027783E-2</v>
      </c>
      <c r="T62" s="652"/>
      <c r="U62" s="81"/>
      <c r="AA62" s="589">
        <v>1</v>
      </c>
      <c r="AB62" s="402" t="s">
        <v>979</v>
      </c>
    </row>
    <row r="63" spans="1:28" ht="15" customHeight="1">
      <c r="A63" s="4" t="str">
        <f>Home!$B$1</f>
        <v>Hungary</v>
      </c>
      <c r="B63" s="4" t="s">
        <v>34</v>
      </c>
      <c r="C63" s="4" t="s">
        <v>43</v>
      </c>
      <c r="D63" s="2" t="s">
        <v>42</v>
      </c>
      <c r="F63" s="1" t="str">
        <f>Home!$B$2&amp;" Million"</f>
        <v>Foriant Million</v>
      </c>
      <c r="G63" s="64">
        <f>'Working Sheet_EI'!B56</f>
        <v>6112.1835063036124</v>
      </c>
      <c r="H63" s="64">
        <f>'Working Sheet_EI'!C56</f>
        <v>6550.0653558425402</v>
      </c>
      <c r="I63" s="64">
        <f>'Working Sheet_EI'!D56</f>
        <v>7040.1913373927819</v>
      </c>
      <c r="J63" s="64">
        <f>'Working Sheet_EI'!E56</f>
        <v>7116.5827150144905</v>
      </c>
      <c r="K63" s="64">
        <f>'Working Sheet_EI'!F56</f>
        <v>7798.2909898979851</v>
      </c>
      <c r="L63" s="64">
        <f>'Working Sheet_EI'!G56</f>
        <v>8774.5318546806229</v>
      </c>
      <c r="M63" s="60">
        <f>Forecasting_EI!N35</f>
        <v>9535.4552550497956</v>
      </c>
      <c r="N63" s="60">
        <f>Forecasting_EI!O35</f>
        <v>10177.464853401199</v>
      </c>
      <c r="O63" s="60">
        <f>Forecasting_EI!P35</f>
        <v>10942.136392408074</v>
      </c>
      <c r="P63" s="60">
        <f>Forecasting_EI!Q35</f>
        <v>11656.13966645206</v>
      </c>
      <c r="Q63" s="60">
        <f>Forecasting_EI!R35</f>
        <v>12282.385880522472</v>
      </c>
      <c r="R63" s="81">
        <f t="shared" si="11"/>
        <v>7.5832303267523216E-2</v>
      </c>
      <c r="S63" s="81">
        <f t="shared" si="12"/>
        <v>6.9576264070074112E-2</v>
      </c>
      <c r="T63" s="652"/>
      <c r="U63" s="81"/>
      <c r="AA63" s="589">
        <v>1</v>
      </c>
      <c r="AB63" s="402" t="s">
        <v>978</v>
      </c>
    </row>
    <row r="64" spans="1:28" ht="15" customHeight="1">
      <c r="A64" s="4" t="str">
        <f>Home!$B$1</f>
        <v>Hungary</v>
      </c>
      <c r="B64" s="4" t="s">
        <v>34</v>
      </c>
      <c r="C64" s="2" t="s">
        <v>44</v>
      </c>
      <c r="F64" s="1" t="str">
        <f>Home!$B$2&amp;" Million"</f>
        <v>Foriant Million</v>
      </c>
      <c r="G64" s="406">
        <f>G72</f>
        <v>2826386.3076646924</v>
      </c>
      <c r="H64" s="406">
        <f t="shared" ref="H64:K64" si="16">H72</f>
        <v>2856948.7937026611</v>
      </c>
      <c r="I64" s="406">
        <f t="shared" si="16"/>
        <v>2739472.1867417577</v>
      </c>
      <c r="J64" s="406">
        <f t="shared" si="16"/>
        <v>3177008.7562627406</v>
      </c>
      <c r="K64" s="406">
        <f t="shared" si="16"/>
        <v>3556764.2980098589</v>
      </c>
      <c r="L64" s="406">
        <f>L72</f>
        <v>3984129.4225283298</v>
      </c>
      <c r="M64" s="103">
        <f>Forecasting_EI!N37</f>
        <v>3790499.076365978</v>
      </c>
      <c r="N64" s="103">
        <f>Forecasting_EI!O37</f>
        <v>3866107.9991468536</v>
      </c>
      <c r="O64" s="103">
        <f>Forecasting_EI!P37</f>
        <v>4064049.6871217848</v>
      </c>
      <c r="P64" s="103">
        <f>Forecasting_EI!Q37</f>
        <v>4647822.1409173477</v>
      </c>
      <c r="Q64" s="103">
        <f>Forecasting_EI!R37</f>
        <v>5236131.0107725067</v>
      </c>
      <c r="R64" s="81">
        <f t="shared" si="11"/>
        <v>8.6695191481213962E-2</v>
      </c>
      <c r="S64" s="81">
        <f t="shared" si="12"/>
        <v>5.6173856768545471E-2</v>
      </c>
      <c r="T64" s="652"/>
      <c r="AA64" s="589">
        <v>1</v>
      </c>
      <c r="AB64" s="402" t="s">
        <v>981</v>
      </c>
    </row>
    <row r="65" spans="1:28" ht="15" customHeight="1">
      <c r="A65" s="4" t="str">
        <f>Home!$B$1</f>
        <v>Hungary</v>
      </c>
      <c r="B65" s="4" t="s">
        <v>34</v>
      </c>
      <c r="C65" s="4" t="s">
        <v>44</v>
      </c>
      <c r="D65" s="2" t="s">
        <v>36</v>
      </c>
      <c r="F65" s="1" t="str">
        <f>Home!$B$2&amp;" Million"</f>
        <v>Foriant Million</v>
      </c>
      <c r="G65" s="64">
        <f>'Working Sheet_EI'!B78+'Working Sheet_EI'!B61</f>
        <v>853301.21272844495</v>
      </c>
      <c r="H65" s="64">
        <f>'Working Sheet_EI'!C78+'Working Sheet_EI'!C61</f>
        <v>869544.94468645949</v>
      </c>
      <c r="I65" s="64">
        <f>'Working Sheet_EI'!D78+'Working Sheet_EI'!D61</f>
        <v>826888.85919506173</v>
      </c>
      <c r="J65" s="64">
        <f>'Working Sheet_EI'!E78+'Working Sheet_EI'!E61</f>
        <v>955910.10173220467</v>
      </c>
      <c r="K65" s="64">
        <f>'Working Sheet_EI'!F78+'Working Sheet_EI'!F61</f>
        <v>1063448.0705398258</v>
      </c>
      <c r="L65" s="64">
        <f>'Working Sheet_EI'!G78+'Working Sheet_EI'!G61</f>
        <v>1194406.5957757994</v>
      </c>
      <c r="M65" s="60">
        <f>Forecasting_EI!N39</f>
        <v>1129136.4848941353</v>
      </c>
      <c r="N65" s="60">
        <f>Forecasting_EI!O39</f>
        <v>1149589.4660870912</v>
      </c>
      <c r="O65" s="60">
        <f>Forecasting_EI!P39</f>
        <v>1202776.2352872163</v>
      </c>
      <c r="P65" s="60">
        <f>Forecasting_EI!Q39</f>
        <v>1371173.196469228</v>
      </c>
      <c r="Q65" s="60">
        <f>Forecasting_EI!R39</f>
        <v>1535847.992555243</v>
      </c>
      <c r="R65" s="81">
        <f t="shared" ref="R65:R96" si="17">(L65/H65)^(1/4)-1</f>
        <v>8.259256370364354E-2</v>
      </c>
      <c r="S65" s="81">
        <f t="shared" ref="S65:S96" si="18">(Q65/L65)^(1/5)-1</f>
        <v>5.1572471113301432E-2</v>
      </c>
      <c r="T65" s="652"/>
      <c r="U65" s="81"/>
      <c r="AA65" s="589">
        <v>1</v>
      </c>
      <c r="AB65" s="402" t="s">
        <v>981</v>
      </c>
    </row>
    <row r="66" spans="1:28" ht="15" customHeight="1">
      <c r="A66" s="4" t="str">
        <f>Home!$B$1</f>
        <v>Hungary</v>
      </c>
      <c r="B66" s="4" t="s">
        <v>34</v>
      </c>
      <c r="C66" s="4" t="s">
        <v>44</v>
      </c>
      <c r="D66" s="2" t="s">
        <v>37</v>
      </c>
      <c r="F66" s="1" t="str">
        <f>Home!$B$2&amp;" Million"</f>
        <v>Foriant Million</v>
      </c>
      <c r="G66" s="64">
        <f>'Working Sheet_EI'!B80+'Working Sheet_EI'!B63</f>
        <v>188553.15237562163</v>
      </c>
      <c r="H66" s="64">
        <f>'Working Sheet_EI'!C80+'Working Sheet_EI'!C63</f>
        <v>188891.93873113568</v>
      </c>
      <c r="I66" s="64">
        <f>'Working Sheet_EI'!D80+'Working Sheet_EI'!D63</f>
        <v>182135.86821482712</v>
      </c>
      <c r="J66" s="64">
        <f>'Working Sheet_EI'!E80+'Working Sheet_EI'!E63</f>
        <v>211580.14905914987</v>
      </c>
      <c r="K66" s="64">
        <f>'Working Sheet_EI'!F80+'Working Sheet_EI'!F63</f>
        <v>233770.09179356488</v>
      </c>
      <c r="L66" s="64">
        <f>'Working Sheet_EI'!G80+'Working Sheet_EI'!G63</f>
        <v>260726.82488498997</v>
      </c>
      <c r="M66" s="60">
        <f>Forecasting_EI!N41</f>
        <v>247451.5882675394</v>
      </c>
      <c r="N66" s="60">
        <f>Forecasting_EI!O41</f>
        <v>251248.76308507775</v>
      </c>
      <c r="O66" s="60">
        <f>Forecasting_EI!P41</f>
        <v>262573.96240660182</v>
      </c>
      <c r="P66" s="60">
        <f>Forecasting_EI!Q41</f>
        <v>300670.03206231148</v>
      </c>
      <c r="Q66" s="60">
        <f>Forecasting_EI!R41</f>
        <v>338566.18681511568</v>
      </c>
      <c r="R66" s="81">
        <f t="shared" si="17"/>
        <v>8.3909625371276331E-2</v>
      </c>
      <c r="S66" s="81">
        <f t="shared" si="18"/>
        <v>5.3638359004871239E-2</v>
      </c>
      <c r="T66" s="652"/>
      <c r="U66" s="81"/>
      <c r="AA66" s="589">
        <v>1</v>
      </c>
      <c r="AB66" s="402" t="s">
        <v>981</v>
      </c>
    </row>
    <row r="67" spans="1:28" ht="15" customHeight="1">
      <c r="A67" s="4" t="str">
        <f>Home!$B$1</f>
        <v>Hungary</v>
      </c>
      <c r="B67" s="4" t="s">
        <v>34</v>
      </c>
      <c r="C67" s="4" t="s">
        <v>44</v>
      </c>
      <c r="D67" s="2" t="s">
        <v>38</v>
      </c>
      <c r="F67" s="1" t="str">
        <f>Home!$B$2&amp;" Million"</f>
        <v>Foriant Million</v>
      </c>
      <c r="G67" s="64">
        <f>'Working Sheet_EI'!B82+'Working Sheet_EI'!B65</f>
        <v>516442.57197489688</v>
      </c>
      <c r="H67" s="64">
        <f>'Working Sheet_EI'!C82+'Working Sheet_EI'!C65</f>
        <v>521225.4902434962</v>
      </c>
      <c r="I67" s="64">
        <f>'Working Sheet_EI'!D82+'Working Sheet_EI'!D65</f>
        <v>497534.15112671489</v>
      </c>
      <c r="J67" s="64">
        <f>'Working Sheet_EI'!E82+'Working Sheet_EI'!E65</f>
        <v>577941.1564056637</v>
      </c>
      <c r="K67" s="64">
        <f>'Working Sheet_EI'!F82+'Working Sheet_EI'!F65</f>
        <v>638616.40469940996</v>
      </c>
      <c r="L67" s="64">
        <f>'Working Sheet_EI'!G82+'Working Sheet_EI'!G65</f>
        <v>714387.02023732418</v>
      </c>
      <c r="M67" s="60">
        <f>Forecasting_EI!N43</f>
        <v>674801.66757140541</v>
      </c>
      <c r="N67" s="60">
        <f>Forecasting_EI!O43</f>
        <v>683874.40143704624</v>
      </c>
      <c r="O67" s="60">
        <f>Forecasting_EI!P43</f>
        <v>716357.99011109991</v>
      </c>
      <c r="P67" s="60">
        <f>Forecasting_EI!Q43</f>
        <v>816309.24764483271</v>
      </c>
      <c r="Q67" s="60">
        <f>Forecasting_EI!R43</f>
        <v>912620.21818225726</v>
      </c>
      <c r="R67" s="81">
        <f t="shared" si="17"/>
        <v>8.1999293467063916E-2</v>
      </c>
      <c r="S67" s="81">
        <f t="shared" si="18"/>
        <v>5.0198288382802714E-2</v>
      </c>
      <c r="T67" s="652"/>
      <c r="U67" s="81"/>
      <c r="AA67" s="589">
        <v>1</v>
      </c>
      <c r="AB67" s="402" t="s">
        <v>981</v>
      </c>
    </row>
    <row r="68" spans="1:28" ht="15" customHeight="1">
      <c r="A68" s="4" t="str">
        <f>Home!$B$1</f>
        <v>Hungary</v>
      </c>
      <c r="B68" s="4" t="s">
        <v>34</v>
      </c>
      <c r="C68" s="4" t="s">
        <v>44</v>
      </c>
      <c r="D68" s="2" t="s">
        <v>39</v>
      </c>
      <c r="F68" s="1" t="str">
        <f>Home!$B$2&amp;" Million"</f>
        <v>Foriant Million</v>
      </c>
      <c r="G68" s="64">
        <f>'Working Sheet_EI'!B84+'Working Sheet_EI'!B67</f>
        <v>422969.45479211817</v>
      </c>
      <c r="H68" s="64">
        <f>'Working Sheet_EI'!C84+'Working Sheet_EI'!C67</f>
        <v>421957.20771418582</v>
      </c>
      <c r="I68" s="64">
        <f>'Working Sheet_EI'!D84+'Working Sheet_EI'!D67</f>
        <v>408032.21539925074</v>
      </c>
      <c r="J68" s="64">
        <f>'Working Sheet_EI'!E84+'Working Sheet_EI'!E67</f>
        <v>475753.26575427881</v>
      </c>
      <c r="K68" s="64">
        <f>'Working Sheet_EI'!F84+'Working Sheet_EI'!F67</f>
        <v>530007.13946564274</v>
      </c>
      <c r="L68" s="64">
        <f>'Working Sheet_EI'!G84+'Working Sheet_EI'!G67</f>
        <v>598222.1802044342</v>
      </c>
      <c r="M68" s="60">
        <f>Forecasting_EI!N45</f>
        <v>577040.3645136148</v>
      </c>
      <c r="N68" s="60">
        <f>Forecasting_EI!O45</f>
        <v>588753.73049513239</v>
      </c>
      <c r="O68" s="60">
        <f>Forecasting_EI!P45</f>
        <v>619243.1570416278</v>
      </c>
      <c r="P68" s="60">
        <f>Forecasting_EI!Q45</f>
        <v>713658.32851914503</v>
      </c>
      <c r="Q68" s="60">
        <f>Forecasting_EI!R45</f>
        <v>808147.74367734184</v>
      </c>
      <c r="R68" s="81">
        <f t="shared" si="17"/>
        <v>9.1185346905244824E-2</v>
      </c>
      <c r="S68" s="81">
        <f t="shared" si="18"/>
        <v>6.2002772894620195E-2</v>
      </c>
      <c r="T68" s="652"/>
      <c r="U68" s="81"/>
      <c r="AA68" s="589">
        <v>1</v>
      </c>
      <c r="AB68" s="402" t="s">
        <v>981</v>
      </c>
    </row>
    <row r="69" spans="1:28" ht="15" customHeight="1">
      <c r="A69" s="4" t="str">
        <f>Home!$B$1</f>
        <v>Hungary</v>
      </c>
      <c r="B69" s="4" t="s">
        <v>34</v>
      </c>
      <c r="C69" s="4" t="s">
        <v>44</v>
      </c>
      <c r="D69" s="2" t="s">
        <v>40</v>
      </c>
      <c r="F69" s="1" t="str">
        <f>Home!$B$2&amp;" Million"</f>
        <v>Foriant Million</v>
      </c>
      <c r="G69" s="64">
        <f>'Working Sheet_EI'!B86+'Working Sheet_EI'!B69</f>
        <v>259745.00475098411</v>
      </c>
      <c r="H69" s="64">
        <f>'Working Sheet_EI'!C86+'Working Sheet_EI'!C69</f>
        <v>271627.61948901898</v>
      </c>
      <c r="I69" s="64">
        <f>'Working Sheet_EI'!D86+'Working Sheet_EI'!D69</f>
        <v>272791.59170367342</v>
      </c>
      <c r="J69" s="64">
        <f>'Working Sheet_EI'!E86+'Working Sheet_EI'!E69</f>
        <v>313187.03783434816</v>
      </c>
      <c r="K69" s="64">
        <f>'Working Sheet_EI'!F86+'Working Sheet_EI'!F69</f>
        <v>371397.79931168677</v>
      </c>
      <c r="L69" s="64">
        <f>'Working Sheet_EI'!G86+'Working Sheet_EI'!G69</f>
        <v>413744.75214093539</v>
      </c>
      <c r="M69" s="60">
        <f>Forecasting_EI!N47</f>
        <v>403702.49470025307</v>
      </c>
      <c r="N69" s="60">
        <f>Forecasting_EI!O47</f>
        <v>416820.24314026244</v>
      </c>
      <c r="O69" s="60">
        <f>Forecasting_EI!P47</f>
        <v>445034.80405403522</v>
      </c>
      <c r="P69" s="60">
        <f>Forecasting_EI!Q47</f>
        <v>510741.56051635224</v>
      </c>
      <c r="Q69" s="60">
        <f>Forecasting_EI!R47</f>
        <v>588421.41212152725</v>
      </c>
      <c r="R69" s="81">
        <f t="shared" si="17"/>
        <v>0.11093754078956786</v>
      </c>
      <c r="S69" s="81">
        <f t="shared" si="18"/>
        <v>7.2978930194318892E-2</v>
      </c>
      <c r="T69" s="652"/>
      <c r="U69" s="81"/>
      <c r="AA69" s="589">
        <v>1</v>
      </c>
      <c r="AB69" s="402" t="s">
        <v>981</v>
      </c>
    </row>
    <row r="70" spans="1:28" ht="15" customHeight="1">
      <c r="A70" s="4" t="str">
        <f>Home!$B$1</f>
        <v>Hungary</v>
      </c>
      <c r="B70" s="4" t="s">
        <v>34</v>
      </c>
      <c r="C70" s="4" t="s">
        <v>44</v>
      </c>
      <c r="D70" s="2" t="s">
        <v>41</v>
      </c>
      <c r="F70" s="1" t="str">
        <f>Home!$B$2&amp;" Million"</f>
        <v>Foriant Million</v>
      </c>
      <c r="G70" s="64">
        <f>'Working Sheet_EI'!B88+'Working Sheet_EI'!B71</f>
        <v>431675.96804516582</v>
      </c>
      <c r="H70" s="64">
        <f>'Working Sheet_EI'!C88+'Working Sheet_EI'!C71</f>
        <v>426923.08462207875</v>
      </c>
      <c r="I70" s="64">
        <f>'Working Sheet_EI'!D88+'Working Sheet_EI'!D71</f>
        <v>406021.4932807922</v>
      </c>
      <c r="J70" s="64">
        <f>'Working Sheet_EI'!E88+'Working Sheet_EI'!E71</f>
        <v>474016.31968168664</v>
      </c>
      <c r="K70" s="64">
        <f>'Working Sheet_EI'!F88+'Working Sheet_EI'!F71</f>
        <v>526428.37078395172</v>
      </c>
      <c r="L70" s="64">
        <f>'Working Sheet_EI'!G88+'Working Sheet_EI'!G71</f>
        <v>587942.23090412363</v>
      </c>
      <c r="M70" s="60">
        <f>Forecasting_EI!N49</f>
        <v>555710.14381229703</v>
      </c>
      <c r="N70" s="60">
        <f>Forecasting_EI!O49</f>
        <v>566727.82449015218</v>
      </c>
      <c r="O70" s="60">
        <f>Forecasting_EI!P49</f>
        <v>594058.25209683238</v>
      </c>
      <c r="P70" s="60">
        <f>Forecasting_EI!Q49</f>
        <v>682047.11978993448</v>
      </c>
      <c r="Q70" s="60">
        <f>Forecasting_EI!R49</f>
        <v>764030.13000667724</v>
      </c>
      <c r="R70" s="81">
        <f t="shared" si="17"/>
        <v>8.3293791928872762E-2</v>
      </c>
      <c r="S70" s="81">
        <f t="shared" si="18"/>
        <v>5.379265194034355E-2</v>
      </c>
      <c r="T70" s="652"/>
      <c r="U70" s="81"/>
      <c r="AA70" s="589">
        <v>1</v>
      </c>
      <c r="AB70" s="402" t="s">
        <v>981</v>
      </c>
    </row>
    <row r="71" spans="1:28" ht="15" customHeight="1">
      <c r="A71" s="4" t="str">
        <f>Home!$B$1</f>
        <v>Hungary</v>
      </c>
      <c r="B71" s="4" t="s">
        <v>34</v>
      </c>
      <c r="C71" s="4" t="s">
        <v>44</v>
      </c>
      <c r="D71" s="2" t="s">
        <v>42</v>
      </c>
      <c r="F71" s="1" t="str">
        <f>Home!$B$2&amp;" Million"</f>
        <v>Foriant Million</v>
      </c>
      <c r="G71" s="64">
        <f>'Working Sheet_EI'!B90+'Working Sheet_EI'!B73</f>
        <v>153698.94299746127</v>
      </c>
      <c r="H71" s="64">
        <f>'Working Sheet_EI'!C90+'Working Sheet_EI'!C73</f>
        <v>156778.5082162866</v>
      </c>
      <c r="I71" s="64">
        <f>'Working Sheet_EI'!D90+'Working Sheet_EI'!D73</f>
        <v>146068.00782143735</v>
      </c>
      <c r="J71" s="64">
        <f>'Working Sheet_EI'!E90+'Working Sheet_EI'!E73</f>
        <v>168620.7257954088</v>
      </c>
      <c r="K71" s="64">
        <f>'Working Sheet_EI'!F90+'Working Sheet_EI'!F73</f>
        <v>193096.42141577712</v>
      </c>
      <c r="L71" s="64">
        <f>'Working Sheet_EI'!G90+'Working Sheet_EI'!G73</f>
        <v>214699.81838072382</v>
      </c>
      <c r="M71" s="60">
        <f>Forecasting_EI!N51</f>
        <v>202656.33260673238</v>
      </c>
      <c r="N71" s="60">
        <f>Forecasting_EI!O51</f>
        <v>209093.57041209156</v>
      </c>
      <c r="O71" s="60">
        <f>Forecasting_EI!P51</f>
        <v>224005.28612437076</v>
      </c>
      <c r="P71" s="60">
        <f>Forecasting_EI!Q51</f>
        <v>253222.6559155435</v>
      </c>
      <c r="Q71" s="60">
        <f>Forecasting_EI!R51</f>
        <v>288497.32741434569</v>
      </c>
      <c r="R71" s="81">
        <f t="shared" si="17"/>
        <v>8.1773372785547194E-2</v>
      </c>
      <c r="S71" s="81">
        <f t="shared" si="18"/>
        <v>6.0869646132795774E-2</v>
      </c>
      <c r="T71" s="652"/>
      <c r="U71" s="81"/>
      <c r="AA71" s="589">
        <v>1</v>
      </c>
      <c r="AB71" s="402" t="s">
        <v>981</v>
      </c>
    </row>
    <row r="72" spans="1:28" ht="15" customHeight="1">
      <c r="A72" s="4" t="str">
        <f>Home!$B$1</f>
        <v>Hungary</v>
      </c>
      <c r="B72" s="4" t="s">
        <v>34</v>
      </c>
      <c r="C72" s="2" t="s">
        <v>45</v>
      </c>
      <c r="F72" s="1" t="str">
        <f>Home!$B$2&amp;" Million"</f>
        <v>Foriant Million</v>
      </c>
      <c r="G72" s="406">
        <f>G73+G74</f>
        <v>2826386.3076646924</v>
      </c>
      <c r="H72" s="406">
        <f t="shared" ref="H72:K72" si="19">H73+H74</f>
        <v>2856948.7937026611</v>
      </c>
      <c r="I72" s="406">
        <f t="shared" si="19"/>
        <v>2739472.1867417577</v>
      </c>
      <c r="J72" s="406">
        <f t="shared" si="19"/>
        <v>3177008.7562627406</v>
      </c>
      <c r="K72" s="406">
        <f t="shared" si="19"/>
        <v>3556764.2980098589</v>
      </c>
      <c r="L72" s="406">
        <f>L73+L74</f>
        <v>3984129.4225283298</v>
      </c>
      <c r="M72" s="103">
        <f>Forecasting_EI!N53</f>
        <v>3790499.076365978</v>
      </c>
      <c r="N72" s="103">
        <f>Forecasting_EI!O53</f>
        <v>3866107.9991468536</v>
      </c>
      <c r="O72" s="103">
        <f>Forecasting_EI!P53</f>
        <v>4064049.6871217848</v>
      </c>
      <c r="P72" s="103">
        <f>Forecasting_EI!Q53</f>
        <v>4647822.1409173477</v>
      </c>
      <c r="Q72" s="103">
        <f>Forecasting_EI!R53</f>
        <v>5236131.0107725067</v>
      </c>
      <c r="R72" s="81">
        <f t="shared" si="17"/>
        <v>8.6695191481213962E-2</v>
      </c>
      <c r="S72" s="81">
        <f t="shared" si="18"/>
        <v>5.6173856768545471E-2</v>
      </c>
      <c r="T72" s="652"/>
      <c r="U72" s="81"/>
      <c r="AA72" s="589">
        <v>1</v>
      </c>
      <c r="AB72" s="402" t="s">
        <v>981</v>
      </c>
    </row>
    <row r="73" spans="1:28" ht="15" customHeight="1">
      <c r="A73" s="4" t="str">
        <f>Home!$B$1</f>
        <v>Hungary</v>
      </c>
      <c r="B73" s="4" t="s">
        <v>34</v>
      </c>
      <c r="C73" s="4" t="s">
        <v>45</v>
      </c>
      <c r="D73" s="2" t="s">
        <v>46</v>
      </c>
      <c r="F73" s="1" t="str">
        <f>Home!$B$2&amp;" Million"</f>
        <v>Foriant Million</v>
      </c>
      <c r="G73" s="68">
        <f>'Working Sheet_EI'!B8</f>
        <v>21868.955215602644</v>
      </c>
      <c r="H73" s="68">
        <f>'Working Sheet_EI'!C8</f>
        <v>24307.553757521513</v>
      </c>
      <c r="I73" s="68">
        <f>'Working Sheet_EI'!D8</f>
        <v>21618.92003031756</v>
      </c>
      <c r="J73" s="68">
        <f>'Working Sheet_EI'!E8</f>
        <v>21871.915378831032</v>
      </c>
      <c r="K73" s="68">
        <f>'Working Sheet_EI'!F8</f>
        <v>23222.673009858874</v>
      </c>
      <c r="L73" s="68">
        <f>'Working Sheet_EI'!G8</f>
        <v>23320.429424450438</v>
      </c>
      <c r="M73" s="60">
        <f>Forecasting_EI!N55</f>
        <v>21164.661451325195</v>
      </c>
      <c r="N73" s="60">
        <f>Forecasting_EI!O55</f>
        <v>20030.609690557918</v>
      </c>
      <c r="O73" s="60">
        <f>Forecasting_EI!P55</f>
        <v>19513.460565178022</v>
      </c>
      <c r="P73" s="60">
        <f>Forecasting_EI!Q55</f>
        <v>20649.406848088332</v>
      </c>
      <c r="Q73" s="60">
        <f>Forecasting_EI!R55</f>
        <v>21599.847739406858</v>
      </c>
      <c r="R73" s="81">
        <f t="shared" si="17"/>
        <v>-1.0310820380946994E-2</v>
      </c>
      <c r="S73" s="81">
        <f t="shared" si="18"/>
        <v>-1.5211815484101332E-2</v>
      </c>
      <c r="T73" s="652"/>
      <c r="U73" s="81"/>
      <c r="AA73" s="589">
        <v>1</v>
      </c>
      <c r="AB73" s="402" t="s">
        <v>982</v>
      </c>
    </row>
    <row r="74" spans="1:28" ht="15" customHeight="1">
      <c r="A74" s="4" t="str">
        <f>Home!$B$1</f>
        <v>Hungary</v>
      </c>
      <c r="B74" s="4" t="s">
        <v>34</v>
      </c>
      <c r="C74" s="4" t="s">
        <v>45</v>
      </c>
      <c r="D74" s="2" t="s">
        <v>47</v>
      </c>
      <c r="F74" s="1" t="str">
        <f>Home!$B$2&amp;" Million"</f>
        <v>Foriant Million</v>
      </c>
      <c r="G74" s="71">
        <f>'Working Sheet_EI'!B16</f>
        <v>2804517.3524490898</v>
      </c>
      <c r="H74" s="71">
        <f>'Working Sheet_EI'!C16</f>
        <v>2832641.2399451397</v>
      </c>
      <c r="I74" s="71">
        <f>'Working Sheet_EI'!D16</f>
        <v>2717853.2667114399</v>
      </c>
      <c r="J74" s="71">
        <f>'Working Sheet_EI'!E16</f>
        <v>3155136.8408839097</v>
      </c>
      <c r="K74" s="71">
        <f>'Working Sheet_EI'!F16</f>
        <v>3533541.625</v>
      </c>
      <c r="L74" s="733">
        <f>'Working Sheet_EI'!G16</f>
        <v>3960808.9931038795</v>
      </c>
      <c r="M74" s="60">
        <f>Forecasting_EI!N57</f>
        <v>3769334.4149146527</v>
      </c>
      <c r="N74" s="60">
        <f>Forecasting_EI!O57</f>
        <v>3846077.3894562959</v>
      </c>
      <c r="O74" s="60">
        <f>Forecasting_EI!P57</f>
        <v>4044536.2265566066</v>
      </c>
      <c r="P74" s="60">
        <f>Forecasting_EI!Q57</f>
        <v>4627172.7340692598</v>
      </c>
      <c r="Q74" s="60">
        <f>Forecasting_EI!R57</f>
        <v>5214531.1630330998</v>
      </c>
      <c r="R74" s="81">
        <f t="shared" si="17"/>
        <v>8.7421915662975858E-2</v>
      </c>
      <c r="S74" s="81">
        <f t="shared" si="18"/>
        <v>5.6540802147684976E-2</v>
      </c>
      <c r="T74" s="652"/>
      <c r="U74" s="81" t="s">
        <v>984</v>
      </c>
      <c r="V74" s="81" t="s">
        <v>984</v>
      </c>
      <c r="W74" s="81" t="s">
        <v>984</v>
      </c>
      <c r="X74" s="81" t="s">
        <v>984</v>
      </c>
      <c r="Y74" s="81" t="s">
        <v>984</v>
      </c>
      <c r="AA74" s="589">
        <v>4</v>
      </c>
      <c r="AB74" s="1" t="s">
        <v>498</v>
      </c>
    </row>
    <row r="75" spans="1:28" ht="15" customHeight="1">
      <c r="A75" s="4" t="str">
        <f>Home!$B$1</f>
        <v>Hungary</v>
      </c>
      <c r="B75" s="4" t="s">
        <v>34</v>
      </c>
      <c r="C75" s="2" t="s">
        <v>48</v>
      </c>
      <c r="F75" s="1" t="str">
        <f>Home!$B$2&amp;" Million"</f>
        <v>Foriant Million</v>
      </c>
      <c r="G75" s="406">
        <f t="shared" ref="G75:Q75" si="20">G56-G74</f>
        <v>-2728703.3524490898</v>
      </c>
      <c r="H75" s="406">
        <f t="shared" si="20"/>
        <v>-2751101.2399451397</v>
      </c>
      <c r="I75" s="406">
        <f t="shared" si="20"/>
        <v>-2628993.2667114399</v>
      </c>
      <c r="J75" s="406">
        <f t="shared" si="20"/>
        <v>-3064755.8408839097</v>
      </c>
      <c r="K75" s="406">
        <f t="shared" si="20"/>
        <v>-3434744.625</v>
      </c>
      <c r="L75" s="406">
        <f t="shared" si="20"/>
        <v>-3848739.9048511838</v>
      </c>
      <c r="M75" s="160">
        <f t="shared" si="20"/>
        <v>-3647978.8097669622</v>
      </c>
      <c r="N75" s="160">
        <f t="shared" si="20"/>
        <v>-3716049.135394061</v>
      </c>
      <c r="O75" s="160">
        <f t="shared" si="20"/>
        <v>-3905047.5431783656</v>
      </c>
      <c r="P75" s="160">
        <f t="shared" si="20"/>
        <v>-4478241.3497260995</v>
      </c>
      <c r="Q75" s="160">
        <f t="shared" si="20"/>
        <v>-5056758.5240944922</v>
      </c>
      <c r="R75" s="81">
        <f>-((L75/H75)^(1/4)-1)</f>
        <v>-8.7559427776695342E-2</v>
      </c>
      <c r="S75" s="81">
        <f>-((Q75/L75)^(1/5)-1)</f>
        <v>-5.6113831620970833E-2</v>
      </c>
      <c r="T75" s="652"/>
      <c r="U75" s="81"/>
    </row>
    <row r="76" spans="1:28" ht="15" customHeight="1">
      <c r="A76" s="4" t="str">
        <f>Home!$B$1</f>
        <v>Hungary</v>
      </c>
      <c r="B76" s="2" t="s">
        <v>49</v>
      </c>
      <c r="R76" s="81"/>
      <c r="S76" s="81"/>
      <c r="T76" s="652"/>
      <c r="U76" s="81"/>
    </row>
    <row r="77" spans="1:28" ht="15" customHeight="1">
      <c r="A77" s="4" t="str">
        <f>Home!$B$1</f>
        <v>Hungary</v>
      </c>
      <c r="B77" s="4" t="s">
        <v>49</v>
      </c>
      <c r="C77" s="2" t="s">
        <v>50</v>
      </c>
      <c r="R77" s="81"/>
      <c r="S77" s="81"/>
      <c r="T77" s="652"/>
      <c r="U77" s="81"/>
    </row>
    <row r="78" spans="1:28" ht="15" customHeight="1">
      <c r="A78" s="4" t="str">
        <f>Home!$B$1</f>
        <v>Hungary</v>
      </c>
      <c r="B78" s="4" t="s">
        <v>49</v>
      </c>
      <c r="C78" s="4" t="s">
        <v>50</v>
      </c>
      <c r="D78" s="2" t="s">
        <v>14</v>
      </c>
      <c r="F78" s="1" t="str">
        <f>Home!$B$2</f>
        <v>Foriant</v>
      </c>
      <c r="G78" s="64">
        <f>Forecasting_EI!H302</f>
        <v>1331.6424717599295</v>
      </c>
      <c r="H78" s="64">
        <f>Forecasting_EI!I302</f>
        <v>1417.0421011224701</v>
      </c>
      <c r="I78" s="64">
        <f>Forecasting_EI!J302</f>
        <v>1528.03545981599</v>
      </c>
      <c r="J78" s="64">
        <f>Forecasting_EI!K302</f>
        <v>1242.8506018320622</v>
      </c>
      <c r="K78" s="64">
        <f>Forecasting_EI!L302</f>
        <v>1316.5947521222115</v>
      </c>
      <c r="L78" s="64">
        <f>Forecasting_EI!M302</f>
        <v>1290.2299158487594</v>
      </c>
      <c r="M78" s="60">
        <f>Forecasting_EI!N302</f>
        <v>1387.0761064907124</v>
      </c>
      <c r="N78" s="60">
        <f>Forecasting_EI!O302</f>
        <v>1304.2621684486851</v>
      </c>
      <c r="O78" s="60">
        <f>Forecasting_EI!P302</f>
        <v>1283.618110840529</v>
      </c>
      <c r="P78" s="60">
        <f>Forecasting_EI!Q302</f>
        <v>1264.2630215822614</v>
      </c>
      <c r="Q78" s="60">
        <f>Forecasting_EI!R302</f>
        <v>1252.6886784811279</v>
      </c>
      <c r="R78" s="81">
        <f t="shared" si="17"/>
        <v>-2.3165277840148546E-2</v>
      </c>
      <c r="S78" s="81">
        <f t="shared" si="18"/>
        <v>-5.8882454692417152E-3</v>
      </c>
      <c r="T78" s="652"/>
      <c r="U78" s="81"/>
      <c r="AA78" s="589">
        <v>1</v>
      </c>
      <c r="AB78" s="402" t="s">
        <v>504</v>
      </c>
    </row>
    <row r="79" spans="1:28" ht="15" customHeight="1">
      <c r="A79" s="4" t="str">
        <f>Home!$B$1</f>
        <v>Hungary</v>
      </c>
      <c r="B79" s="4" t="s">
        <v>49</v>
      </c>
      <c r="C79" s="4" t="s">
        <v>50</v>
      </c>
      <c r="D79" s="2" t="s">
        <v>15</v>
      </c>
      <c r="F79" s="1" t="str">
        <f>Home!$B$2</f>
        <v>Foriant</v>
      </c>
      <c r="G79" s="64">
        <f>Forecasting_EI!H304</f>
        <v>35291.449394592033</v>
      </c>
      <c r="H79" s="64">
        <f>Forecasting_EI!I304</f>
        <v>34892.752555053383</v>
      </c>
      <c r="I79" s="64">
        <f>Forecasting_EI!J304</f>
        <v>37029.902497185154</v>
      </c>
      <c r="J79" s="64">
        <f>Forecasting_EI!K304</f>
        <v>39285.380935609501</v>
      </c>
      <c r="K79" s="64">
        <f>Forecasting_EI!L304</f>
        <v>39929.546656898143</v>
      </c>
      <c r="L79" s="64">
        <f>Forecasting_EI!M304</f>
        <v>43488.547664638376</v>
      </c>
      <c r="M79" s="60">
        <f>Forecasting_EI!N304</f>
        <v>43493.66959731833</v>
      </c>
      <c r="N79" s="60">
        <f>Forecasting_EI!O304</f>
        <v>44296.851653204954</v>
      </c>
      <c r="O79" s="60">
        <f>Forecasting_EI!P304</f>
        <v>42699.884473005288</v>
      </c>
      <c r="P79" s="60">
        <f>Forecasting_EI!Q304</f>
        <v>44446.824094066367</v>
      </c>
      <c r="Q79" s="60">
        <f>Forecasting_EI!R304</f>
        <v>46970.690648280462</v>
      </c>
      <c r="R79" s="81">
        <f t="shared" si="17"/>
        <v>5.6598326320103087E-2</v>
      </c>
      <c r="S79" s="81">
        <f t="shared" si="18"/>
        <v>1.5524506831971818E-2</v>
      </c>
      <c r="T79" s="652"/>
      <c r="U79" s="81"/>
      <c r="AA79" s="589">
        <v>1</v>
      </c>
      <c r="AB79" s="402" t="s">
        <v>505</v>
      </c>
    </row>
    <row r="80" spans="1:28" ht="15" customHeight="1">
      <c r="A80" s="4" t="str">
        <f>Home!$B$1</f>
        <v>Hungary</v>
      </c>
      <c r="B80" s="4" t="s">
        <v>49</v>
      </c>
      <c r="C80" s="2" t="s">
        <v>51</v>
      </c>
      <c r="F80" s="2" t="s">
        <v>176</v>
      </c>
      <c r="G80" s="407">
        <f>Forecasting_EI!H306</f>
        <v>6.9136276042398817E-2</v>
      </c>
      <c r="H80" s="407">
        <f>Forecasting_EI!I306</f>
        <v>7.1415364293478362E-2</v>
      </c>
      <c r="I80" s="407">
        <f>Forecasting_EI!J306</f>
        <v>6.786261896149616E-2</v>
      </c>
      <c r="J80" s="407">
        <f>Forecasting_EI!K306</f>
        <v>6.9310260794080161E-2</v>
      </c>
      <c r="K80" s="407">
        <f>Forecasting_EI!L306</f>
        <v>6.883679566972159E-2</v>
      </c>
      <c r="L80" s="407">
        <f>Forecasting_EI!M306</f>
        <v>6.8995049322970972E-2</v>
      </c>
      <c r="M80" s="161">
        <f>Forecasting_EI!N306</f>
        <v>6.4201402066190641E-2</v>
      </c>
      <c r="N80" s="161">
        <f>Forecasting_EI!O306</f>
        <v>6.4778237115317203E-2</v>
      </c>
      <c r="O80" s="161">
        <f>Forecasting_EI!P306</f>
        <v>6.8792252943396581E-2</v>
      </c>
      <c r="P80" s="161">
        <f>Forecasting_EI!Q306</f>
        <v>7.8641897250610271E-2</v>
      </c>
      <c r="Q80" s="161">
        <f>Forecasting_EI!R306</f>
        <v>8.7191195516236858E-2</v>
      </c>
      <c r="R80" s="81">
        <f t="shared" si="17"/>
        <v>-8.5825278377743563E-3</v>
      </c>
      <c r="S80" s="81">
        <f t="shared" si="18"/>
        <v>4.7926783910167803E-2</v>
      </c>
      <c r="T80" s="652"/>
      <c r="U80" s="81"/>
    </row>
    <row r="81" spans="1:28" ht="15" customHeight="1">
      <c r="A81" s="4" t="str">
        <f>Home!$B$1</f>
        <v>Hungary</v>
      </c>
      <c r="B81" s="4" t="s">
        <v>49</v>
      </c>
      <c r="C81" s="4" t="s">
        <v>51</v>
      </c>
      <c r="D81" s="2" t="s">
        <v>14</v>
      </c>
      <c r="F81" s="1" t="s">
        <v>176</v>
      </c>
      <c r="G81" s="389">
        <f>Forecasting_EI!H308</f>
        <v>2.9146208384257621E-3</v>
      </c>
      <c r="H81" s="389">
        <f>Forecasting_EI!I308</f>
        <v>3.1803632508965386E-3</v>
      </c>
      <c r="I81" s="389">
        <f>Forecasting_EI!J308</f>
        <v>3.3140771288598441E-3</v>
      </c>
      <c r="J81" s="389">
        <f>Forecasting_EI!K308</f>
        <v>2.8437641424577799E-3</v>
      </c>
      <c r="K81" s="389">
        <f>Forecasting_EI!L308</f>
        <v>2.6427509396056057E-3</v>
      </c>
      <c r="L81" s="389">
        <f>Forecasting_EI!M308</f>
        <v>2.4341291759419747E-3</v>
      </c>
      <c r="M81" s="32">
        <f>Forecasting_EI!N308</f>
        <v>2.4547580320928644E-3</v>
      </c>
      <c r="N81" s="32">
        <f>Forecasting_EI!O308</f>
        <v>2.3906189375719109E-3</v>
      </c>
      <c r="O81" s="32">
        <f>Forecasting_EI!P308</f>
        <v>2.4178517148276584E-3</v>
      </c>
      <c r="P81" s="32">
        <f>Forecasting_EI!Q308</f>
        <v>2.4639569848056353E-3</v>
      </c>
      <c r="Q81" s="32">
        <f>Forecasting_EI!R308</f>
        <v>2.4475090856541006E-3</v>
      </c>
      <c r="R81" s="81">
        <f t="shared" si="17"/>
        <v>-6.4665994989096531E-2</v>
      </c>
      <c r="S81" s="81">
        <f t="shared" si="18"/>
        <v>1.0969498124893118E-3</v>
      </c>
      <c r="T81" s="652"/>
      <c r="U81" s="81"/>
      <c r="AA81" s="589">
        <v>1</v>
      </c>
      <c r="AB81" s="402" t="s">
        <v>506</v>
      </c>
    </row>
    <row r="82" spans="1:28" ht="15" customHeight="1">
      <c r="A82" s="4" t="str">
        <f>Home!$B$1</f>
        <v>Hungary</v>
      </c>
      <c r="B82" s="4" t="s">
        <v>49</v>
      </c>
      <c r="C82" s="4" t="s">
        <v>51</v>
      </c>
      <c r="D82" s="2" t="s">
        <v>15</v>
      </c>
      <c r="F82" s="1" t="s">
        <v>176</v>
      </c>
      <c r="G82" s="389">
        <f>Forecasting_EI!H310</f>
        <v>6.6221655203973051E-2</v>
      </c>
      <c r="H82" s="389">
        <f>Forecasting_EI!I310</f>
        <v>6.8235001042581817E-2</v>
      </c>
      <c r="I82" s="389">
        <f>Forecasting_EI!J310</f>
        <v>6.4548541832636322E-2</v>
      </c>
      <c r="J82" s="389">
        <f>Forecasting_EI!K310</f>
        <v>6.6466496651622381E-2</v>
      </c>
      <c r="K82" s="389">
        <f>Forecasting_EI!L310</f>
        <v>6.6194044730115989E-2</v>
      </c>
      <c r="L82" s="389">
        <f>Forecasting_EI!M310</f>
        <v>6.6560920147028996E-2</v>
      </c>
      <c r="M82" s="32">
        <f>Forecasting_EI!N310</f>
        <v>6.1746644034097777E-2</v>
      </c>
      <c r="N82" s="32">
        <f>Forecasting_EI!O310</f>
        <v>6.2387618177745296E-2</v>
      </c>
      <c r="O82" s="32">
        <f>Forecasting_EI!P310</f>
        <v>6.6374401228568927E-2</v>
      </c>
      <c r="P82" s="32">
        <f>Forecasting_EI!Q310</f>
        <v>7.6177940265804642E-2</v>
      </c>
      <c r="Q82" s="32">
        <f>Forecasting_EI!R310</f>
        <v>8.4743686430582763E-2</v>
      </c>
      <c r="R82" s="81">
        <f t="shared" si="17"/>
        <v>-6.1907638213590799E-3</v>
      </c>
      <c r="S82" s="81">
        <f t="shared" si="18"/>
        <v>4.9488313873485845E-2</v>
      </c>
      <c r="T82" s="652"/>
      <c r="U82" s="81"/>
      <c r="AA82" s="589">
        <v>1</v>
      </c>
      <c r="AB82" s="402" t="s">
        <v>507</v>
      </c>
    </row>
    <row r="83" spans="1:28" ht="15" customHeight="1">
      <c r="A83" s="4" t="str">
        <f>Home!$B$1</f>
        <v>Hungary</v>
      </c>
      <c r="B83" s="4" t="s">
        <v>49</v>
      </c>
      <c r="C83" s="2" t="s">
        <v>52</v>
      </c>
      <c r="F83" s="1" t="str">
        <f>Home!$B$2&amp;" Million"</f>
        <v>Foriant Million</v>
      </c>
      <c r="G83" s="406">
        <f>Forecasting_EI!H312</f>
        <v>2950784.3524490898</v>
      </c>
      <c r="H83" s="406">
        <f>Forecasting_EI!I312</f>
        <v>2990108.2399451397</v>
      </c>
      <c r="I83" s="406">
        <f>Forecasting_EI!J312</f>
        <v>2880123.2667114399</v>
      </c>
      <c r="J83" s="406">
        <f>Forecasting_EI!K312</f>
        <v>3312936.8408839097</v>
      </c>
      <c r="K83" s="406">
        <f>Forecasting_EI!L312</f>
        <v>3698765.625</v>
      </c>
      <c r="L83" s="406">
        <f>Forecasting_EI!M312</f>
        <v>4129828.8156058746</v>
      </c>
      <c r="M83" s="160">
        <f>Forecasting_EI!N312</f>
        <v>3941191.6070922096</v>
      </c>
      <c r="N83" s="160">
        <f>Forecasting_EI!O312</f>
        <v>4014252.6353329425</v>
      </c>
      <c r="O83" s="160">
        <f>Forecasting_EI!P312</f>
        <v>4212092.7477486394</v>
      </c>
      <c r="P83" s="160">
        <f>Forecasting_EI!Q312</f>
        <v>4798154.8197517777</v>
      </c>
      <c r="Q83" s="160">
        <f>Forecasting_EI!R312</f>
        <v>5387357.3588620322</v>
      </c>
      <c r="R83" s="81">
        <f t="shared" si="17"/>
        <v>8.407988226373253E-2</v>
      </c>
      <c r="S83" s="81">
        <f t="shared" si="18"/>
        <v>5.4602379409516955E-2</v>
      </c>
      <c r="T83" s="652"/>
      <c r="U83" s="81"/>
      <c r="AA83" s="589">
        <v>1</v>
      </c>
      <c r="AB83" s="402" t="s">
        <v>508</v>
      </c>
    </row>
    <row r="84" spans="1:28" ht="15" customHeight="1">
      <c r="A84" s="4" t="str">
        <f>Home!$B$1</f>
        <v>Hungary</v>
      </c>
      <c r="B84" s="4" t="s">
        <v>49</v>
      </c>
      <c r="C84" s="4" t="s">
        <v>52</v>
      </c>
      <c r="D84" s="2" t="s">
        <v>14</v>
      </c>
      <c r="F84" s="1" t="str">
        <f>Home!$B$2&amp;" Million"</f>
        <v>Foriant Million</v>
      </c>
      <c r="G84" s="406">
        <f>Forecasting_EI!H314</f>
        <v>124398.04478439735</v>
      </c>
      <c r="H84" s="406">
        <f>Forecasting_EI!I314</f>
        <v>133159.4462424785</v>
      </c>
      <c r="I84" s="406">
        <f>Forecasting_EI!J314</f>
        <v>140651.07996968244</v>
      </c>
      <c r="J84" s="406">
        <f>Forecasting_EI!K314</f>
        <v>135928.08462116896</v>
      </c>
      <c r="K84" s="406">
        <f>Forecasting_EI!L314</f>
        <v>142001.32699014113</v>
      </c>
      <c r="L84" s="406">
        <f>Forecasting_EI!M314</f>
        <v>145699.39307754498</v>
      </c>
      <c r="M84" s="160">
        <f>Forecasting_EI!N314</f>
        <v>150692.53072623166</v>
      </c>
      <c r="N84" s="160">
        <f>Forecasting_EI!O314</f>
        <v>148144.6361860891</v>
      </c>
      <c r="O84" s="160">
        <f>Forecasting_EI!P314</f>
        <v>148043.0606268548</v>
      </c>
      <c r="P84" s="160">
        <f>Forecasting_EI!Q314</f>
        <v>150332.67883442971</v>
      </c>
      <c r="Q84" s="160">
        <f>Forecasting_EI!R314</f>
        <v>151226.34808952539</v>
      </c>
      <c r="R84" s="81">
        <f t="shared" si="17"/>
        <v>2.2754597836630142E-2</v>
      </c>
      <c r="S84" s="81">
        <f t="shared" si="18"/>
        <v>7.4742257779381038E-3</v>
      </c>
      <c r="T84" s="652"/>
      <c r="U84" s="81"/>
      <c r="AA84" s="589">
        <v>1</v>
      </c>
      <c r="AB84" s="402" t="s">
        <v>509</v>
      </c>
    </row>
    <row r="85" spans="1:28" ht="15" customHeight="1">
      <c r="A85" s="4" t="str">
        <f>Home!$B$1</f>
        <v>Hungary</v>
      </c>
      <c r="B85" s="4" t="s">
        <v>49</v>
      </c>
      <c r="C85" s="4" t="s">
        <v>52</v>
      </c>
      <c r="D85" s="2" t="s">
        <v>15</v>
      </c>
      <c r="F85" s="1" t="str">
        <f>Home!$B$2&amp;" Million"</f>
        <v>Foriant Million</v>
      </c>
      <c r="G85" s="406">
        <f>Forecasting_EI!H316</f>
        <v>2826386.3076646924</v>
      </c>
      <c r="H85" s="406">
        <f>Forecasting_EI!I316</f>
        <v>2856948.7937026611</v>
      </c>
      <c r="I85" s="406">
        <f>Forecasting_EI!J316</f>
        <v>2739472.1867417577</v>
      </c>
      <c r="J85" s="406">
        <f>Forecasting_EI!K316</f>
        <v>3177008.7562627406</v>
      </c>
      <c r="K85" s="406">
        <f>Forecasting_EI!L316</f>
        <v>3556764.2980098589</v>
      </c>
      <c r="L85" s="406">
        <f>Forecasting_EI!M316</f>
        <v>3984129.4225283298</v>
      </c>
      <c r="M85" s="160">
        <f>Forecasting_EI!N316</f>
        <v>3790499.076365978</v>
      </c>
      <c r="N85" s="160">
        <f>Forecasting_EI!O316</f>
        <v>3866107.9991468536</v>
      </c>
      <c r="O85" s="160">
        <f>Forecasting_EI!P316</f>
        <v>4064049.6871217848</v>
      </c>
      <c r="P85" s="160">
        <f>Forecasting_EI!Q316</f>
        <v>4647822.1409173477</v>
      </c>
      <c r="Q85" s="160">
        <f>Forecasting_EI!R316</f>
        <v>5236131.0107725067</v>
      </c>
      <c r="R85" s="81">
        <f t="shared" si="17"/>
        <v>8.6695191481213962E-2</v>
      </c>
      <c r="S85" s="81">
        <f t="shared" si="18"/>
        <v>5.6173856768545471E-2</v>
      </c>
      <c r="T85" s="652"/>
      <c r="U85" s="81"/>
      <c r="AA85" s="589">
        <v>1</v>
      </c>
      <c r="AB85" s="402" t="s">
        <v>510</v>
      </c>
    </row>
    <row r="86" spans="1:28" ht="15" customHeight="1">
      <c r="A86" s="4" t="str">
        <f>Home!$B$1</f>
        <v>Hungary</v>
      </c>
      <c r="B86" s="4" t="s">
        <v>49</v>
      </c>
      <c r="C86" s="4" t="s">
        <v>52</v>
      </c>
      <c r="D86" s="4" t="s">
        <v>15</v>
      </c>
      <c r="E86" s="2" t="s">
        <v>23</v>
      </c>
      <c r="F86" s="1" t="str">
        <f>Home!$B$2&amp;" Million"</f>
        <v>Foriant Million</v>
      </c>
      <c r="G86" s="68">
        <f>'Working Sheet_EI'!B95</f>
        <v>74052.686054346312</v>
      </c>
      <c r="H86" s="68">
        <f>'Working Sheet_EI'!C95</f>
        <v>33809.560081356685</v>
      </c>
      <c r="I86" s="68">
        <f>'Working Sheet_EI'!D95</f>
        <v>27900.305211166295</v>
      </c>
      <c r="J86" s="68">
        <f>'Working Sheet_EI'!E95</f>
        <v>27217.203429810575</v>
      </c>
      <c r="K86" s="68">
        <f>'Working Sheet_EI'!F95</f>
        <v>62800.09575144948</v>
      </c>
      <c r="L86" s="68">
        <f>'Working Sheet_EI'!G95</f>
        <v>101852.15686859206</v>
      </c>
      <c r="M86" s="62">
        <f>Forecasting_EI!N318</f>
        <v>117478.42618567649</v>
      </c>
      <c r="N86" s="62">
        <f>Forecasting_EI!O318</f>
        <v>156833.65993368372</v>
      </c>
      <c r="O86" s="62">
        <f>Forecasting_EI!P318</f>
        <v>242954.4426067663</v>
      </c>
      <c r="P86" s="62">
        <f>Forecasting_EI!Q318</f>
        <v>376907.54669655085</v>
      </c>
      <c r="Q86" s="62">
        <f>Forecasting_EI!R318</f>
        <v>595085.20846478769</v>
      </c>
      <c r="R86" s="81">
        <f t="shared" si="17"/>
        <v>0.31744555823304621</v>
      </c>
      <c r="S86" s="81">
        <f t="shared" si="18"/>
        <v>0.42338303431737256</v>
      </c>
      <c r="T86" s="652"/>
      <c r="U86" s="81"/>
      <c r="AA86" s="589">
        <v>1</v>
      </c>
      <c r="AB86" s="402" t="s">
        <v>511</v>
      </c>
    </row>
    <row r="87" spans="1:28" ht="15" customHeight="1">
      <c r="A87" s="4" t="str">
        <f>Home!$B$1</f>
        <v>Hungary</v>
      </c>
      <c r="B87" s="4" t="s">
        <v>49</v>
      </c>
      <c r="C87" s="4" t="s">
        <v>52</v>
      </c>
      <c r="D87" s="4" t="s">
        <v>15</v>
      </c>
      <c r="E87" s="2" t="s">
        <v>24</v>
      </c>
      <c r="F87" s="1" t="str">
        <f>Home!$B$2&amp;" Million"</f>
        <v>Foriant Million</v>
      </c>
      <c r="G87" s="68">
        <f>'Working Sheet_EI'!B97</f>
        <v>177251.13477070365</v>
      </c>
      <c r="H87" s="68">
        <f>'Working Sheet_EI'!C97</f>
        <v>523315.47838219447</v>
      </c>
      <c r="I87" s="68">
        <f>'Working Sheet_EI'!D97</f>
        <v>652605.04311597464</v>
      </c>
      <c r="J87" s="68">
        <f>'Working Sheet_EI'!E97</f>
        <v>757159.46230992477</v>
      </c>
      <c r="K87" s="68">
        <f>'Working Sheet_EI'!F97</f>
        <v>540389.94313873583</v>
      </c>
      <c r="L87" s="68">
        <f>'Working Sheet_EI'!G97</f>
        <v>665161.67208097037</v>
      </c>
      <c r="M87" s="62">
        <f>Forecasting_EI!N320</f>
        <v>609059.28434321634</v>
      </c>
      <c r="N87" s="62">
        <f>Forecasting_EI!O320</f>
        <v>565780.69776487967</v>
      </c>
      <c r="O87" s="62">
        <f>Forecasting_EI!P320</f>
        <v>512830.10397949553</v>
      </c>
      <c r="P87" s="62">
        <f>Forecasting_EI!Q320</f>
        <v>554571.98369362089</v>
      </c>
      <c r="Q87" s="62">
        <f>Forecasting_EI!R320</f>
        <v>564378.98734947981</v>
      </c>
      <c r="R87" s="81">
        <f t="shared" si="17"/>
        <v>6.179556991373425E-2</v>
      </c>
      <c r="S87" s="81">
        <f t="shared" si="18"/>
        <v>-3.2326776338647667E-2</v>
      </c>
      <c r="T87" s="652"/>
      <c r="U87" s="81"/>
      <c r="AA87" s="589">
        <v>1</v>
      </c>
      <c r="AB87" s="402" t="s">
        <v>511</v>
      </c>
    </row>
    <row r="88" spans="1:28" ht="15" customHeight="1">
      <c r="A88" s="4" t="str">
        <f>Home!$B$1</f>
        <v>Hungary</v>
      </c>
      <c r="B88" s="4" t="s">
        <v>49</v>
      </c>
      <c r="C88" s="4" t="s">
        <v>52</v>
      </c>
      <c r="D88" s="4" t="s">
        <v>15</v>
      </c>
      <c r="E88" s="2" t="s">
        <v>25</v>
      </c>
      <c r="F88" s="1" t="str">
        <f>Home!$B$2&amp;" Million"</f>
        <v>Foriant Million</v>
      </c>
      <c r="G88" s="68">
        <f>'Working Sheet_EI'!B99</f>
        <v>2456628.3564786562</v>
      </c>
      <c r="H88" s="68">
        <f>'Working Sheet_EI'!C99</f>
        <v>2162403.0270867399</v>
      </c>
      <c r="I88" s="68">
        <f>'Working Sheet_EI'!D99</f>
        <v>1893557.4451080028</v>
      </c>
      <c r="J88" s="68">
        <f>'Working Sheet_EI'!E99</f>
        <v>2204294.8590126159</v>
      </c>
      <c r="K88" s="68">
        <f>'Working Sheet_EI'!F99</f>
        <v>2876901.611648771</v>
      </c>
      <c r="L88" s="68">
        <f>'Working Sheet_EI'!G99</f>
        <v>3141737.4064029274</v>
      </c>
      <c r="M88" s="62">
        <f>Forecasting_EI!N322</f>
        <v>3019232.3617109577</v>
      </c>
      <c r="N88" s="62">
        <f>Forecasting_EI!O322</f>
        <v>3192187.2291221111</v>
      </c>
      <c r="O88" s="62">
        <f>Forecasting_EI!P322</f>
        <v>3504842.4509121147</v>
      </c>
      <c r="P88" s="62">
        <f>Forecasting_EI!Q322</f>
        <v>4085992.6132266182</v>
      </c>
      <c r="Q88" s="62">
        <f>Forecasting_EI!R322</f>
        <v>4757903.5724828355</v>
      </c>
      <c r="R88" s="81">
        <f t="shared" si="17"/>
        <v>9.7888688436413851E-2</v>
      </c>
      <c r="S88" s="81">
        <f t="shared" si="18"/>
        <v>8.6548585165248548E-2</v>
      </c>
      <c r="T88" s="652"/>
      <c r="U88" s="81"/>
      <c r="AA88" s="589">
        <v>1</v>
      </c>
      <c r="AB88" s="402" t="s">
        <v>511</v>
      </c>
    </row>
    <row r="89" spans="1:28" ht="15" customHeight="1">
      <c r="A89" s="4" t="str">
        <f>Home!$B$1</f>
        <v>Hungary</v>
      </c>
      <c r="B89" s="4" t="s">
        <v>49</v>
      </c>
      <c r="C89" s="4" t="s">
        <v>52</v>
      </c>
      <c r="D89" s="4" t="s">
        <v>15</v>
      </c>
      <c r="E89" s="2" t="s">
        <v>26</v>
      </c>
      <c r="F89" s="1" t="str">
        <f>Home!$B$2&amp;" Million"</f>
        <v>Foriant Million</v>
      </c>
      <c r="G89" s="68">
        <f>'Working Sheet_EI'!B101</f>
        <v>14325.438707775867</v>
      </c>
      <c r="H89" s="68">
        <f>'Working Sheet_EI'!C101</f>
        <v>213529.69973808265</v>
      </c>
      <c r="I89" s="68">
        <f>'Working Sheet_EI'!D101</f>
        <v>67947.954663927128</v>
      </c>
      <c r="J89" s="68">
        <f>'Working Sheet_EI'!E101</f>
        <v>113508.06416249891</v>
      </c>
      <c r="K89" s="68">
        <f>'Working Sheet_EI'!F101</f>
        <v>85794.098181647147</v>
      </c>
      <c r="L89" s="68">
        <f>'Working Sheet_EI'!G101</f>
        <v>106771.64732088965</v>
      </c>
      <c r="M89" s="62">
        <f>Forecasting_EI!N324</f>
        <v>95114.326935893056</v>
      </c>
      <c r="N89" s="62">
        <f>Forecasting_EI!O324</f>
        <v>89509.960564311521</v>
      </c>
      <c r="O89" s="62">
        <f>Forecasting_EI!P324</f>
        <v>84252.773058478881</v>
      </c>
      <c r="P89" s="62">
        <f>Forecasting_EI!Q324</f>
        <v>92756.327374926812</v>
      </c>
      <c r="Q89" s="62">
        <f>Forecasting_EI!R324</f>
        <v>97072.772392500105</v>
      </c>
      <c r="R89" s="81">
        <f t="shared" si="17"/>
        <v>-0.15909020062118717</v>
      </c>
      <c r="S89" s="81">
        <f t="shared" si="18"/>
        <v>-1.8866063090013707E-2</v>
      </c>
      <c r="T89" s="652"/>
      <c r="U89" s="81"/>
      <c r="AA89" s="589">
        <v>1</v>
      </c>
      <c r="AB89" s="402" t="s">
        <v>511</v>
      </c>
    </row>
    <row r="90" spans="1:28" ht="15" customHeight="1">
      <c r="A90" s="4" t="str">
        <f>Home!$B$1</f>
        <v>Hungary</v>
      </c>
      <c r="B90" s="4" t="s">
        <v>49</v>
      </c>
      <c r="C90" s="4" t="s">
        <v>52</v>
      </c>
      <c r="D90" s="4" t="s">
        <v>15</v>
      </c>
      <c r="E90" s="2" t="s">
        <v>27</v>
      </c>
      <c r="F90" s="1" t="str">
        <f>Home!$B$2&amp;" Million"</f>
        <v>Foriant Million</v>
      </c>
      <c r="G90" s="68">
        <f>'Working Sheet_EI'!B103</f>
        <v>74810.904682889115</v>
      </c>
      <c r="H90" s="68">
        <f>'Working Sheet_EI'!C103</f>
        <v>35447.937996966335</v>
      </c>
      <c r="I90" s="68">
        <f>'Working Sheet_EI'!D103</f>
        <v>46353.903037735196</v>
      </c>
      <c r="J90" s="68">
        <f>'Working Sheet_EI'!E103</f>
        <v>51635.399938606308</v>
      </c>
      <c r="K90" s="68">
        <f>'Working Sheet_EI'!F103</f>
        <v>47606.98166805139</v>
      </c>
      <c r="L90" s="68">
        <f>'Working Sheet_EI'!G103</f>
        <v>48371.590626382465</v>
      </c>
      <c r="M90" s="62">
        <f>Forecasting_EI!N326</f>
        <v>46000.387518603231</v>
      </c>
      <c r="N90" s="62">
        <f>Forecasting_EI!O326</f>
        <v>43306.334955640501</v>
      </c>
      <c r="O90" s="62">
        <f>Forecasting_EI!P326</f>
        <v>41511.730040479837</v>
      </c>
      <c r="P90" s="62">
        <f>Forecasting_EI!Q326</f>
        <v>44327.769491349856</v>
      </c>
      <c r="Q90" s="62">
        <f>Forecasting_EI!R326</f>
        <v>46990.713886791513</v>
      </c>
      <c r="R90" s="81">
        <f t="shared" si="17"/>
        <v>8.0811228336596708E-2</v>
      </c>
      <c r="S90" s="81">
        <f t="shared" si="18"/>
        <v>-5.7757887357202664E-3</v>
      </c>
      <c r="T90" s="652"/>
      <c r="U90" s="81"/>
      <c r="AA90" s="589">
        <v>1</v>
      </c>
      <c r="AB90" s="402" t="s">
        <v>511</v>
      </c>
    </row>
    <row r="91" spans="1:28" ht="15" customHeight="1">
      <c r="A91" s="4" t="str">
        <f>Home!$B$1</f>
        <v>Hungary</v>
      </c>
      <c r="B91" s="4" t="s">
        <v>49</v>
      </c>
      <c r="C91" s="4" t="s">
        <v>52</v>
      </c>
      <c r="D91" s="4" t="s">
        <v>15</v>
      </c>
      <c r="E91" s="2" t="s">
        <v>28</v>
      </c>
      <c r="F91" s="1" t="str">
        <f>Home!$B$2&amp;" Million"</f>
        <v>Foriant Million</v>
      </c>
      <c r="G91" s="68">
        <f>'Working Sheet_EI'!B105</f>
        <v>29317.786970321089</v>
      </c>
      <c r="H91" s="68">
        <f>'Working Sheet_EI'!C105</f>
        <v>-111556.90958267869</v>
      </c>
      <c r="I91" s="68">
        <f>'Working Sheet_EI'!D105</f>
        <v>51107.535604951438</v>
      </c>
      <c r="J91" s="68">
        <f>'Working Sheet_EI'!E105</f>
        <v>23193.767409284133</v>
      </c>
      <c r="K91" s="68">
        <f>'Working Sheet_EI'!F105</f>
        <v>-56728.432378795929</v>
      </c>
      <c r="L91" s="68">
        <f>'Working Sheet_EI'!G105</f>
        <v>-79765.050771431997</v>
      </c>
      <c r="M91" s="62">
        <f>Forecasting_EI!N328</f>
        <v>-96385.710328369445</v>
      </c>
      <c r="N91" s="62">
        <f>Forecasting_EI!O328</f>
        <v>-181509.88319377234</v>
      </c>
      <c r="O91" s="62">
        <f>Forecasting_EI!P328</f>
        <v>-322341.81347554998</v>
      </c>
      <c r="P91" s="62">
        <f>Forecasting_EI!Q328</f>
        <v>-506734.09956571891</v>
      </c>
      <c r="Q91" s="62">
        <f>Forecasting_EI!R328</f>
        <v>-825300.24380388658</v>
      </c>
      <c r="R91" s="81">
        <f t="shared" si="17"/>
        <v>-8.0442178302279954E-2</v>
      </c>
      <c r="S91" s="81">
        <f t="shared" si="18"/>
        <v>0.59573167386610471</v>
      </c>
      <c r="T91" s="652"/>
      <c r="U91" s="81"/>
      <c r="AA91" s="589">
        <v>1</v>
      </c>
      <c r="AB91" s="402" t="s">
        <v>511</v>
      </c>
    </row>
    <row r="92" spans="1:28" ht="15" customHeight="1">
      <c r="A92" s="4" t="str">
        <f>Home!$B$1</f>
        <v>Hungary</v>
      </c>
      <c r="B92" s="4" t="s">
        <v>49</v>
      </c>
      <c r="C92" s="2" t="s">
        <v>53</v>
      </c>
      <c r="F92" s="1" t="str">
        <f>Home!$B$2&amp;" Million"</f>
        <v>Foriant Million</v>
      </c>
      <c r="G92" s="406">
        <f>Forecasting_EI!H341</f>
        <v>2950784.3524490898</v>
      </c>
      <c r="H92" s="406">
        <f>Forecasting_EI!I341</f>
        <v>2990108.2399451397</v>
      </c>
      <c r="I92" s="406">
        <f>Forecasting_EI!J341</f>
        <v>2880123.2667114399</v>
      </c>
      <c r="J92" s="406">
        <f>Forecasting_EI!K341</f>
        <v>3312936.8408839097</v>
      </c>
      <c r="K92" s="406">
        <f>Forecasting_EI!L341</f>
        <v>3698765.625</v>
      </c>
      <c r="L92" s="406">
        <f>Forecasting_EI!M341</f>
        <v>4129828.8156058746</v>
      </c>
      <c r="M92" s="160">
        <f>Forecasting_EI!N341</f>
        <v>3941191.6070922096</v>
      </c>
      <c r="N92" s="160">
        <f>Forecasting_EI!O341</f>
        <v>4014252.6353329425</v>
      </c>
      <c r="O92" s="160">
        <f>Forecasting_EI!P341</f>
        <v>4212092.7477486394</v>
      </c>
      <c r="P92" s="160">
        <f>Forecasting_EI!Q341</f>
        <v>4798154.8197517777</v>
      </c>
      <c r="Q92" s="160">
        <f>Forecasting_EI!R341</f>
        <v>5387357.3588620322</v>
      </c>
      <c r="R92" s="81">
        <f t="shared" si="17"/>
        <v>8.407988226373253E-2</v>
      </c>
      <c r="S92" s="81">
        <f t="shared" si="18"/>
        <v>5.4602379409516955E-2</v>
      </c>
      <c r="T92" s="652"/>
      <c r="U92" s="81"/>
      <c r="AA92" s="589">
        <v>1</v>
      </c>
      <c r="AB92" s="402" t="s">
        <v>508</v>
      </c>
    </row>
    <row r="93" spans="1:28" ht="15" customHeight="1">
      <c r="A93" s="4" t="str">
        <f>Home!$B$1</f>
        <v>Hungary</v>
      </c>
      <c r="B93" s="4" t="s">
        <v>49</v>
      </c>
      <c r="C93" s="4" t="s">
        <v>53</v>
      </c>
      <c r="D93" s="2" t="s">
        <v>36</v>
      </c>
      <c r="F93" s="1" t="str">
        <f>Home!$B$2&amp;" Million"</f>
        <v>Foriant Million</v>
      </c>
      <c r="G93" s="68">
        <f>Forecasting_EI!H343</f>
        <v>865225.98169284291</v>
      </c>
      <c r="H93" s="68">
        <f>Forecasting_EI!I343</f>
        <v>882267.81965464435</v>
      </c>
      <c r="I93" s="68">
        <f>Forecasting_EI!J343</f>
        <v>840264.11876914115</v>
      </c>
      <c r="J93" s="68">
        <f>Forecasting_EI!K343</f>
        <v>968759.38720579864</v>
      </c>
      <c r="K93" s="68">
        <f>Forecasting_EI!L343</f>
        <v>1076831.269988806</v>
      </c>
      <c r="L93" s="68">
        <f>Forecasting_EI!M343</f>
        <v>1208055.9364827618</v>
      </c>
      <c r="M93" s="62">
        <f>Forecasting_EI!N343</f>
        <v>1143093.7528554332</v>
      </c>
      <c r="N93" s="62">
        <f>Forecasting_EI!O343</f>
        <v>1163278.5328651594</v>
      </c>
      <c r="O93" s="62">
        <f>Forecasting_EI!P343</f>
        <v>1216482.9208984156</v>
      </c>
      <c r="P93" s="62">
        <f>Forecasting_EI!Q343</f>
        <v>1385023.2927632648</v>
      </c>
      <c r="Q93" s="62">
        <f>Forecasting_EI!R343</f>
        <v>1549706.7151095404</v>
      </c>
      <c r="R93" s="81">
        <f t="shared" si="17"/>
        <v>8.1736916759159506E-2</v>
      </c>
      <c r="S93" s="81">
        <f t="shared" si="18"/>
        <v>5.1072066181466758E-2</v>
      </c>
      <c r="T93" s="652"/>
      <c r="U93" s="81"/>
      <c r="AA93" s="589">
        <v>1</v>
      </c>
      <c r="AB93" s="402" t="s">
        <v>508</v>
      </c>
    </row>
    <row r="94" spans="1:28" ht="15" customHeight="1">
      <c r="A94" s="4" t="str">
        <f>Home!$B$1</f>
        <v>Hungary</v>
      </c>
      <c r="B94" s="4" t="s">
        <v>49</v>
      </c>
      <c r="C94" s="4" t="s">
        <v>53</v>
      </c>
      <c r="D94" s="2" t="s">
        <v>37</v>
      </c>
      <c r="F94" s="1" t="str">
        <f>Home!$B$2&amp;" Million"</f>
        <v>Foriant Million</v>
      </c>
      <c r="G94" s="68">
        <f>Forecasting_EI!H345</f>
        <v>194621.81822113966</v>
      </c>
      <c r="H94" s="68">
        <f>Forecasting_EI!I345</f>
        <v>195403.63971900096</v>
      </c>
      <c r="I94" s="68">
        <f>Forecasting_EI!J345</f>
        <v>189026.31639871656</v>
      </c>
      <c r="J94" s="68">
        <f>Forecasting_EI!K345</f>
        <v>218222.2957162699</v>
      </c>
      <c r="K94" s="68">
        <f>Forecasting_EI!L345</f>
        <v>240728.68405192267</v>
      </c>
      <c r="L94" s="68">
        <f>Forecasting_EI!M345</f>
        <v>267888.05554583855</v>
      </c>
      <c r="M94" s="62">
        <f>Forecasting_EI!N345</f>
        <v>254867.80764880101</v>
      </c>
      <c r="N94" s="62">
        <f>Forecasting_EI!O345</f>
        <v>258533.39065423681</v>
      </c>
      <c r="O94" s="62">
        <f>Forecasting_EI!P345</f>
        <v>269809.7551970596</v>
      </c>
      <c r="P94" s="62">
        <f>Forecasting_EI!Q345</f>
        <v>308023.56477565749</v>
      </c>
      <c r="Q94" s="62">
        <f>Forecasting_EI!R345</f>
        <v>345969.97111184354</v>
      </c>
      <c r="R94" s="81">
        <f t="shared" si="17"/>
        <v>8.2069548302477813E-2</v>
      </c>
      <c r="S94" s="81">
        <f t="shared" si="18"/>
        <v>5.2487656281628103E-2</v>
      </c>
      <c r="T94" s="652"/>
      <c r="U94" s="81"/>
      <c r="AA94" s="589">
        <v>1</v>
      </c>
      <c r="AB94" s="402" t="s">
        <v>508</v>
      </c>
    </row>
    <row r="95" spans="1:28" ht="15" customHeight="1">
      <c r="A95" s="4" t="str">
        <f>Home!$B$1</f>
        <v>Hungary</v>
      </c>
      <c r="B95" s="4" t="s">
        <v>49</v>
      </c>
      <c r="C95" s="4" t="s">
        <v>53</v>
      </c>
      <c r="D95" s="2" t="s">
        <v>38</v>
      </c>
      <c r="F95" s="1" t="str">
        <f>Home!$B$2&amp;" Million"</f>
        <v>Foriant Million</v>
      </c>
      <c r="G95" s="68">
        <f>Forecasting_EI!H347</f>
        <v>536377.41302144097</v>
      </c>
      <c r="H95" s="68">
        <f>Forecasting_EI!I347</f>
        <v>542502.30258589215</v>
      </c>
      <c r="I95" s="68">
        <f>Forecasting_EI!J347</f>
        <v>520081.10181510093</v>
      </c>
      <c r="J95" s="68">
        <f>Forecasting_EI!K347</f>
        <v>599772.55967785034</v>
      </c>
      <c r="K95" s="68">
        <f>Forecasting_EI!L347</f>
        <v>661325.99710062391</v>
      </c>
      <c r="L95" s="68">
        <f>Forecasting_EI!M347</f>
        <v>737921.03670765099</v>
      </c>
      <c r="M95" s="62">
        <f>Forecasting_EI!N347</f>
        <v>699101.87032091955</v>
      </c>
      <c r="N95" s="62">
        <f>Forecasting_EI!O347</f>
        <v>707678.17978721368</v>
      </c>
      <c r="O95" s="62">
        <f>Forecasting_EI!P347</f>
        <v>740344.58001174591</v>
      </c>
      <c r="P95" s="62">
        <f>Forecasting_EI!Q347</f>
        <v>840826.45875693858</v>
      </c>
      <c r="Q95" s="62">
        <f>Forecasting_EI!R347</f>
        <v>937258.03699067875</v>
      </c>
      <c r="R95" s="81">
        <f t="shared" si="17"/>
        <v>7.9946089958681688E-2</v>
      </c>
      <c r="S95" s="81">
        <f t="shared" si="18"/>
        <v>4.8986396874464599E-2</v>
      </c>
      <c r="T95" s="652"/>
      <c r="U95" s="81"/>
      <c r="AA95" s="589">
        <v>1</v>
      </c>
      <c r="AB95" s="402" t="s">
        <v>508</v>
      </c>
    </row>
    <row r="96" spans="1:28" ht="15" customHeight="1">
      <c r="A96" s="4" t="str">
        <f>Home!$B$1</f>
        <v>Hungary</v>
      </c>
      <c r="B96" s="4" t="s">
        <v>49</v>
      </c>
      <c r="C96" s="4" t="s">
        <v>53</v>
      </c>
      <c r="D96" s="2" t="s">
        <v>39</v>
      </c>
      <c r="F96" s="1" t="str">
        <f>Home!$B$2&amp;" Million"</f>
        <v>Foriant Million</v>
      </c>
      <c r="G96" s="68">
        <f>Forecasting_EI!H349</f>
        <v>444187.22477886139</v>
      </c>
      <c r="H96" s="68">
        <f>Forecasting_EI!I349</f>
        <v>444526.8223931223</v>
      </c>
      <c r="I96" s="68">
        <f>Forecasting_EI!J349</f>
        <v>431767.04791486193</v>
      </c>
      <c r="J96" s="68">
        <f>Forecasting_EI!K349</f>
        <v>498668.11035101203</v>
      </c>
      <c r="K96" s="68">
        <f>Forecasting_EI!L349</f>
        <v>553802.32663101924</v>
      </c>
      <c r="L96" s="68">
        <f>Forecasting_EI!M349</f>
        <v>622563.80833173636</v>
      </c>
      <c r="M96" s="62">
        <f>Forecasting_EI!N349</f>
        <v>602191.70125566318</v>
      </c>
      <c r="N96" s="62">
        <f>Forecasting_EI!O349</f>
        <v>613580.23099468846</v>
      </c>
      <c r="O96" s="62">
        <f>Forecasting_EI!P349</f>
        <v>644078.96887340571</v>
      </c>
      <c r="P96" s="62">
        <f>Forecasting_EI!Q349</f>
        <v>738764.91273367254</v>
      </c>
      <c r="Q96" s="62">
        <f>Forecasting_EI!R349</f>
        <v>833474.44051473611</v>
      </c>
      <c r="R96" s="81">
        <f t="shared" si="17"/>
        <v>8.7856158697051656E-2</v>
      </c>
      <c r="S96" s="81">
        <f t="shared" si="18"/>
        <v>6.0087425922508597E-2</v>
      </c>
      <c r="T96" s="652"/>
      <c r="U96" s="81"/>
      <c r="AA96" s="589">
        <v>1</v>
      </c>
      <c r="AB96" s="402" t="s">
        <v>508</v>
      </c>
    </row>
    <row r="97" spans="1:28" ht="15" customHeight="1">
      <c r="A97" s="4" t="str">
        <f>Home!$B$1</f>
        <v>Hungary</v>
      </c>
      <c r="B97" s="4" t="s">
        <v>49</v>
      </c>
      <c r="C97" s="4" t="s">
        <v>53</v>
      </c>
      <c r="D97" s="2" t="s">
        <v>40</v>
      </c>
      <c r="F97" s="1" t="str">
        <f>Home!$B$2&amp;" Million"</f>
        <v>Foriant Million</v>
      </c>
      <c r="G97" s="68">
        <f>Forecasting_EI!H351</f>
        <v>298799.86305862619</v>
      </c>
      <c r="H97" s="68">
        <f>Forecasting_EI!I351</f>
        <v>313773.10980969487</v>
      </c>
      <c r="I97" s="68">
        <f>Forecasting_EI!J351</f>
        <v>317225.91182848107</v>
      </c>
      <c r="J97" s="68">
        <f>Forecasting_EI!K351</f>
        <v>356163.54694053187</v>
      </c>
      <c r="K97" s="68">
        <f>Forecasting_EI!L351</f>
        <v>416426.96617210755</v>
      </c>
      <c r="L97" s="68">
        <f>Forecasting_EI!M351</f>
        <v>459669.37895170791</v>
      </c>
      <c r="M97" s="62">
        <f>Forecasting_EI!N351</f>
        <v>451188.12819633423</v>
      </c>
      <c r="N97" s="62">
        <f>Forecasting_EI!O351</f>
        <v>463330.76962121204</v>
      </c>
      <c r="O97" s="62">
        <f>Forecasting_EI!P351</f>
        <v>491526.42181910615</v>
      </c>
      <c r="P97" s="62">
        <f>Forecasting_EI!Q351</f>
        <v>557842.70102054393</v>
      </c>
      <c r="Q97" s="62">
        <f>Forecasting_EI!R351</f>
        <v>635732.52068216575</v>
      </c>
      <c r="R97" s="81">
        <f t="shared" ref="R97:R128" si="21">(L97/H97)^(1/4)-1</f>
        <v>0.10016408437049495</v>
      </c>
      <c r="S97" s="81">
        <f t="shared" ref="S97:S128" si="22">(Q97/L97)^(1/5)-1</f>
        <v>6.7003320223054441E-2</v>
      </c>
      <c r="T97" s="652"/>
      <c r="U97" s="81"/>
      <c r="AA97" s="589">
        <v>1</v>
      </c>
      <c r="AB97" s="402" t="s">
        <v>508</v>
      </c>
    </row>
    <row r="98" spans="1:28" ht="15" customHeight="1">
      <c r="A98" s="4" t="str">
        <f>Home!$B$1</f>
        <v>Hungary</v>
      </c>
      <c r="B98" s="4" t="s">
        <v>49</v>
      </c>
      <c r="C98" s="4" t="s">
        <v>53</v>
      </c>
      <c r="D98" s="2" t="s">
        <v>41</v>
      </c>
      <c r="F98" s="1" t="str">
        <f>Home!$B$2&amp;" Million"</f>
        <v>Foriant Million</v>
      </c>
      <c r="G98" s="68">
        <f>Forecasting_EI!H353</f>
        <v>435622.73713848513</v>
      </c>
      <c r="H98" s="68">
        <f>Forecasting_EI!I353</f>
        <v>431105.00522669952</v>
      </c>
      <c r="I98" s="68">
        <f>Forecasting_EI!J353</f>
        <v>410412.57483577909</v>
      </c>
      <c r="J98" s="68">
        <f>Forecasting_EI!K353</f>
        <v>478237.13799867436</v>
      </c>
      <c r="K98" s="68">
        <f>Forecasting_EI!L353</f>
        <v>530873.04973382654</v>
      </c>
      <c r="L98" s="68">
        <f>Forecasting_EI!M353</f>
        <v>592557.38544962916</v>
      </c>
      <c r="M98" s="62">
        <f>Forecasting_EI!N353</f>
        <v>560478.82991782436</v>
      </c>
      <c r="N98" s="62">
        <f>Forecasting_EI!O353</f>
        <v>571480.803138574</v>
      </c>
      <c r="O98" s="62">
        <f>Forecasting_EI!P353</f>
        <v>598759.73133655149</v>
      </c>
      <c r="P98" s="62">
        <f>Forecasting_EI!Q353</f>
        <v>686871.77480640507</v>
      </c>
      <c r="Q98" s="62">
        <f>Forecasting_EI!R353</f>
        <v>768901.2088085654</v>
      </c>
      <c r="R98" s="81">
        <f t="shared" si="21"/>
        <v>8.2771553680082599E-2</v>
      </c>
      <c r="S98" s="81">
        <f t="shared" si="22"/>
        <v>5.3484197925006915E-2</v>
      </c>
      <c r="T98" s="652"/>
      <c r="U98" s="81"/>
      <c r="AA98" s="589">
        <v>1</v>
      </c>
      <c r="AB98" s="402" t="s">
        <v>508</v>
      </c>
    </row>
    <row r="99" spans="1:28" ht="15" customHeight="1">
      <c r="A99" s="4" t="str">
        <f>Home!$B$1</f>
        <v>Hungary</v>
      </c>
      <c r="B99" s="4" t="s">
        <v>49</v>
      </c>
      <c r="C99" s="4" t="s">
        <v>53</v>
      </c>
      <c r="D99" s="2" t="s">
        <v>42</v>
      </c>
      <c r="F99" s="1" t="str">
        <f>Home!$B$2&amp;" Million"</f>
        <v>Foriant Million</v>
      </c>
      <c r="G99" s="68">
        <f>Forecasting_EI!H355</f>
        <v>175949.31453769389</v>
      </c>
      <c r="H99" s="68">
        <f>Forecasting_EI!I355</f>
        <v>180529.54055608585</v>
      </c>
      <c r="I99" s="68">
        <f>Forecasting_EI!J355</f>
        <v>171346.19514935924</v>
      </c>
      <c r="J99" s="68">
        <f>Forecasting_EI!K355</f>
        <v>193113.80299377255</v>
      </c>
      <c r="K99" s="68">
        <f>Forecasting_EI!L355</f>
        <v>218777.33132169431</v>
      </c>
      <c r="L99" s="68">
        <f>Forecasting_EI!M355</f>
        <v>241173.21413655073</v>
      </c>
      <c r="M99" s="62">
        <f>Forecasting_EI!N355</f>
        <v>230269.51689723352</v>
      </c>
      <c r="N99" s="62">
        <f>Forecasting_EI!O355</f>
        <v>236370.72827185842</v>
      </c>
      <c r="O99" s="62">
        <f>Forecasting_EI!P355</f>
        <v>251090.36961235441</v>
      </c>
      <c r="P99" s="62">
        <f>Forecasting_EI!Q355</f>
        <v>280802.11489529477</v>
      </c>
      <c r="Q99" s="62">
        <f>Forecasting_EI!R355</f>
        <v>316314.46564450354</v>
      </c>
      <c r="R99" s="81">
        <f t="shared" si="21"/>
        <v>7.5090931616924372E-2</v>
      </c>
      <c r="S99" s="81">
        <f t="shared" si="22"/>
        <v>5.574247946759181E-2</v>
      </c>
      <c r="T99" s="652"/>
      <c r="U99" s="81"/>
      <c r="AA99" s="589">
        <v>1</v>
      </c>
      <c r="AB99" s="402" t="s">
        <v>508</v>
      </c>
    </row>
    <row r="100" spans="1:28" ht="15" customHeight="1">
      <c r="A100" s="4" t="str">
        <f>Home!$B$1</f>
        <v>Hungary</v>
      </c>
      <c r="B100" s="4" t="s">
        <v>49</v>
      </c>
      <c r="C100" s="2" t="s">
        <v>54</v>
      </c>
      <c r="F100" s="1" t="str">
        <f>Home!$B$2</f>
        <v>Foriant</v>
      </c>
      <c r="G100" s="406">
        <f>Forecasting_EI!H357</f>
        <v>4007.5398596822702</v>
      </c>
      <c r="H100" s="406">
        <f>Forecasting_EI!I357</f>
        <v>7348.1766222096367</v>
      </c>
      <c r="I100" s="406">
        <f>Forecasting_EI!J357</f>
        <v>9475.9110224973465</v>
      </c>
      <c r="J100" s="406">
        <f>Forecasting_EI!K357</f>
        <v>9201.8496175467699</v>
      </c>
      <c r="K100" s="406">
        <f>Forecasting_EI!L357</f>
        <v>9065.5721382421161</v>
      </c>
      <c r="L100" s="406">
        <f>Forecasting_EI!M357</f>
        <v>10087.87587897441</v>
      </c>
      <c r="M100" s="160">
        <f>Forecasting_EI!N357</f>
        <v>10912.670125741266</v>
      </c>
      <c r="N100" s="160">
        <f>Forecasting_EI!O357</f>
        <v>10840.05851111785</v>
      </c>
      <c r="O100" s="160">
        <f>Forecasting_EI!P357</f>
        <v>10971.022871643918</v>
      </c>
      <c r="P100" s="160">
        <f>Forecasting_EI!Q357</f>
        <v>11392.016398668206</v>
      </c>
      <c r="Q100" s="160">
        <f>Forecasting_EI!R357</f>
        <v>11707.180800148699</v>
      </c>
      <c r="R100" s="81">
        <f t="shared" si="21"/>
        <v>8.2442999037943165E-2</v>
      </c>
      <c r="S100" s="81">
        <f t="shared" si="22"/>
        <v>3.0221286549763304E-2</v>
      </c>
      <c r="T100" s="652"/>
      <c r="U100" s="81"/>
      <c r="AA100" s="589">
        <v>1</v>
      </c>
      <c r="AB100" s="402" t="s">
        <v>512</v>
      </c>
    </row>
    <row r="101" spans="1:28" ht="15" customHeight="1">
      <c r="A101" s="4" t="str">
        <f>Home!$B$1</f>
        <v>Hungary</v>
      </c>
      <c r="B101" s="4" t="s">
        <v>49</v>
      </c>
      <c r="C101" s="4" t="s">
        <v>54</v>
      </c>
      <c r="D101" s="2" t="s">
        <v>36</v>
      </c>
      <c r="F101" s="1" t="str">
        <f>Home!$B$2</f>
        <v>Foriant</v>
      </c>
      <c r="G101" s="68">
        <f>Forecasting_EI!H359</f>
        <v>384.1618815243703</v>
      </c>
      <c r="H101" s="68">
        <f>Forecasting_EI!I359</f>
        <v>702.090126135476</v>
      </c>
      <c r="I101" s="68">
        <f>Forecasting_EI!J359</f>
        <v>901.11479879217029</v>
      </c>
      <c r="J101" s="68">
        <f>Forecasting_EI!K359</f>
        <v>869.85109037963878</v>
      </c>
      <c r="K101" s="68">
        <f>Forecasting_EI!L359</f>
        <v>854.40300183698184</v>
      </c>
      <c r="L101" s="68">
        <f>Forecasting_EI!M359</f>
        <v>945.04755286377042</v>
      </c>
      <c r="M101" s="62">
        <f>Forecasting_EI!N359</f>
        <v>1010.7406145758461</v>
      </c>
      <c r="N101" s="62">
        <f>Forecasting_EI!O359</f>
        <v>1001.6581677008004</v>
      </c>
      <c r="O101" s="62">
        <f>Forecasting_EI!P359</f>
        <v>1015.7609596705602</v>
      </c>
      <c r="P101" s="62">
        <f>Forecasting_EI!Q359</f>
        <v>1049.542423697344</v>
      </c>
      <c r="Q101" s="62">
        <f>Forecasting_EI!R359</f>
        <v>1072.8723708001482</v>
      </c>
      <c r="R101" s="81">
        <f t="shared" si="21"/>
        <v>7.7122750915191496E-2</v>
      </c>
      <c r="S101" s="81">
        <f t="shared" si="22"/>
        <v>2.5696514892560307E-2</v>
      </c>
      <c r="T101" s="652"/>
      <c r="U101" s="81"/>
      <c r="AA101" s="589">
        <v>1</v>
      </c>
      <c r="AB101" s="402" t="s">
        <v>512</v>
      </c>
    </row>
    <row r="102" spans="1:28" ht="15" customHeight="1">
      <c r="A102" s="4" t="str">
        <f>Home!$B$1</f>
        <v>Hungary</v>
      </c>
      <c r="B102" s="4" t="s">
        <v>49</v>
      </c>
      <c r="C102" s="4" t="s">
        <v>54</v>
      </c>
      <c r="D102" s="2" t="s">
        <v>37</v>
      </c>
      <c r="F102" s="1" t="str">
        <f>Home!$B$2</f>
        <v>Foriant</v>
      </c>
      <c r="G102" s="68">
        <f>Forecasting_EI!H361</f>
        <v>195.50484344956809</v>
      </c>
      <c r="H102" s="68">
        <f>Forecasting_EI!I361</f>
        <v>359.3370978932993</v>
      </c>
      <c r="I102" s="68">
        <f>Forecasting_EI!J361</f>
        <v>464.22163206808472</v>
      </c>
      <c r="J102" s="68">
        <f>Forecasting_EI!K361</f>
        <v>449.64978979032105</v>
      </c>
      <c r="K102" s="68">
        <f>Forecasting_EI!L361</f>
        <v>444.2466942800848</v>
      </c>
      <c r="L102" s="68">
        <f>Forecasting_EI!M361</f>
        <v>495.82640340099027</v>
      </c>
      <c r="M102" s="62">
        <f>Forecasting_EI!N361</f>
        <v>537.05883959747553</v>
      </c>
      <c r="N102" s="62">
        <f>Forecasting_EI!O361</f>
        <v>533.03171221261744</v>
      </c>
      <c r="O102" s="62">
        <f>Forecasting_EI!P361</f>
        <v>536.22268995557602</v>
      </c>
      <c r="P102" s="62">
        <f>Forecasting_EI!Q361</f>
        <v>557.24121932825665</v>
      </c>
      <c r="Q102" s="62">
        <f>Forecasting_EI!R361</f>
        <v>573.16362169760248</v>
      </c>
      <c r="R102" s="81">
        <f t="shared" si="21"/>
        <v>8.3819345044144011E-2</v>
      </c>
      <c r="S102" s="81">
        <f t="shared" si="22"/>
        <v>2.9413344229727079E-2</v>
      </c>
      <c r="T102" s="652"/>
      <c r="U102" s="81"/>
      <c r="AA102" s="589">
        <v>1</v>
      </c>
      <c r="AB102" s="402" t="s">
        <v>512</v>
      </c>
    </row>
    <row r="103" spans="1:28" ht="15" customHeight="1">
      <c r="A103" s="4" t="str">
        <f>Home!$B$1</f>
        <v>Hungary</v>
      </c>
      <c r="B103" s="4" t="s">
        <v>49</v>
      </c>
      <c r="C103" s="4" t="s">
        <v>54</v>
      </c>
      <c r="D103" s="2" t="s">
        <v>38</v>
      </c>
      <c r="F103" s="1" t="str">
        <f>Home!$B$2</f>
        <v>Foriant</v>
      </c>
      <c r="G103" s="68">
        <f>Forecasting_EI!H363</f>
        <v>642.21001406346738</v>
      </c>
      <c r="H103" s="68">
        <f>Forecasting_EI!I363</f>
        <v>1174.1245511402576</v>
      </c>
      <c r="I103" s="68">
        <f>Forecasting_EI!J363</f>
        <v>1519.027785622653</v>
      </c>
      <c r="J103" s="68">
        <f>Forecasting_EI!K363</f>
        <v>1477.9086338967941</v>
      </c>
      <c r="K103" s="68">
        <f>Forecasting_EI!L363</f>
        <v>1449.813551091484</v>
      </c>
      <c r="L103" s="68">
        <f>Forecasting_EI!M363</f>
        <v>1629.4387510594604</v>
      </c>
      <c r="M103" s="62">
        <f>Forecasting_EI!N363</f>
        <v>1759.7428042126428</v>
      </c>
      <c r="N103" s="62">
        <f>Forecasting_EI!O363</f>
        <v>1741.7731532133978</v>
      </c>
      <c r="O103" s="62">
        <f>Forecasting_EI!P363</f>
        <v>1777.5735336627697</v>
      </c>
      <c r="P103" s="62">
        <f>Forecasting_EI!Q363</f>
        <v>1857.8826187640175</v>
      </c>
      <c r="Q103" s="62">
        <f>Forecasting_EI!R363</f>
        <v>1907.3356128439987</v>
      </c>
      <c r="R103" s="81">
        <f t="shared" si="21"/>
        <v>8.5377883407744326E-2</v>
      </c>
      <c r="S103" s="81">
        <f t="shared" si="22"/>
        <v>3.1995528306202559E-2</v>
      </c>
      <c r="T103" s="652"/>
      <c r="U103" s="81"/>
      <c r="AA103" s="589">
        <v>1</v>
      </c>
      <c r="AB103" s="402" t="s">
        <v>512</v>
      </c>
    </row>
    <row r="104" spans="1:28" ht="15" customHeight="1">
      <c r="A104" s="4" t="str">
        <f>Home!$B$1</f>
        <v>Hungary</v>
      </c>
      <c r="B104" s="4" t="s">
        <v>49</v>
      </c>
      <c r="C104" s="4" t="s">
        <v>54</v>
      </c>
      <c r="D104" s="2" t="s">
        <v>39</v>
      </c>
      <c r="F104" s="1" t="str">
        <f>Home!$B$2</f>
        <v>Foriant</v>
      </c>
      <c r="G104" s="68">
        <f>Forecasting_EI!H365</f>
        <v>683.5401561400472</v>
      </c>
      <c r="H104" s="68">
        <f>Forecasting_EI!I365</f>
        <v>1245.4656401472409</v>
      </c>
      <c r="I104" s="68">
        <f>Forecasting_EI!J365</f>
        <v>1599.057476844742</v>
      </c>
      <c r="J104" s="68">
        <f>Forecasting_EI!K365</f>
        <v>1551.2537719946283</v>
      </c>
      <c r="K104" s="68">
        <f>Forecasting_EI!L365</f>
        <v>1519.1195065780632</v>
      </c>
      <c r="L104" s="68">
        <f>Forecasting_EI!M365</f>
        <v>1685.3558415969924</v>
      </c>
      <c r="M104" s="62">
        <f>Forecasting_EI!N365</f>
        <v>1821.3792001811034</v>
      </c>
      <c r="N104" s="62">
        <f>Forecasting_EI!O365</f>
        <v>1816.6079108219149</v>
      </c>
      <c r="O104" s="62">
        <f>Forecasting_EI!P365</f>
        <v>1840.5067990931161</v>
      </c>
      <c r="P104" s="62">
        <f>Forecasting_EI!Q365</f>
        <v>1902.5445518831345</v>
      </c>
      <c r="Q104" s="62">
        <f>Forecasting_EI!R365</f>
        <v>1960.6650738560434</v>
      </c>
      <c r="R104" s="81">
        <f t="shared" si="21"/>
        <v>7.854920982420377E-2</v>
      </c>
      <c r="S104" s="81">
        <f t="shared" si="22"/>
        <v>3.0723933196370679E-2</v>
      </c>
      <c r="T104" s="652"/>
      <c r="U104" s="81"/>
      <c r="AA104" s="589">
        <v>1</v>
      </c>
      <c r="AB104" s="402" t="s">
        <v>512</v>
      </c>
    </row>
    <row r="105" spans="1:28" ht="15" customHeight="1">
      <c r="A105" s="4" t="str">
        <f>Home!$B$1</f>
        <v>Hungary</v>
      </c>
      <c r="B105" s="4" t="s">
        <v>49</v>
      </c>
      <c r="C105" s="4" t="s">
        <v>54</v>
      </c>
      <c r="D105" s="2" t="s">
        <v>40</v>
      </c>
      <c r="F105" s="1" t="str">
        <f>Home!$B$2</f>
        <v>Foriant</v>
      </c>
      <c r="G105" s="68">
        <f>Forecasting_EI!H367</f>
        <v>1258.1701075236654</v>
      </c>
      <c r="H105" s="68">
        <f>Forecasting_EI!I367</f>
        <v>2325.7269044361633</v>
      </c>
      <c r="I105" s="68">
        <f>Forecasting_EI!J367</f>
        <v>2993.6184204102797</v>
      </c>
      <c r="J105" s="68">
        <f>Forecasting_EI!K367</f>
        <v>2909.357363376278</v>
      </c>
      <c r="K105" s="68">
        <f>Forecasting_EI!L367</f>
        <v>2874.727787060945</v>
      </c>
      <c r="L105" s="68">
        <f>Forecasting_EI!M367</f>
        <v>3179.7108091501987</v>
      </c>
      <c r="M105" s="62">
        <f>Forecasting_EI!N367</f>
        <v>3438.7573926673667</v>
      </c>
      <c r="N105" s="62">
        <f>Forecasting_EI!O367</f>
        <v>3403.2742690938712</v>
      </c>
      <c r="O105" s="62">
        <f>Forecasting_EI!P367</f>
        <v>3445.3529917618835</v>
      </c>
      <c r="P105" s="62">
        <f>Forecasting_EI!Q367</f>
        <v>3569.2636436731827</v>
      </c>
      <c r="Q105" s="62">
        <f>Forecasting_EI!R367</f>
        <v>3662.5872989207073</v>
      </c>
      <c r="R105" s="81">
        <f t="shared" si="21"/>
        <v>8.132744672018033E-2</v>
      </c>
      <c r="S105" s="81">
        <f t="shared" si="22"/>
        <v>2.8679469827862958E-2</v>
      </c>
      <c r="T105" s="652"/>
      <c r="U105" s="81"/>
      <c r="AA105" s="589">
        <v>1</v>
      </c>
      <c r="AB105" s="402" t="s">
        <v>512</v>
      </c>
    </row>
    <row r="106" spans="1:28" ht="15" customHeight="1">
      <c r="A106" s="4" t="str">
        <f>Home!$B$1</f>
        <v>Hungary</v>
      </c>
      <c r="B106" s="4" t="s">
        <v>49</v>
      </c>
      <c r="C106" s="4" t="s">
        <v>54</v>
      </c>
      <c r="D106" s="2" t="s">
        <v>41</v>
      </c>
      <c r="F106" s="1" t="str">
        <f>Home!$B$2</f>
        <v>Foriant</v>
      </c>
      <c r="G106" s="68">
        <f>Forecasting_EI!H369</f>
        <v>127.14696992104999</v>
      </c>
      <c r="H106" s="68">
        <f>Forecasting_EI!I369</f>
        <v>230.77214639999349</v>
      </c>
      <c r="I106" s="68">
        <f>Forecasting_EI!J369</f>
        <v>295.83489950133276</v>
      </c>
      <c r="J106" s="68">
        <f>Forecasting_EI!K369</f>
        <v>285.73444203346713</v>
      </c>
      <c r="K106" s="68">
        <f>Forecasting_EI!L369</f>
        <v>283.7547965605583</v>
      </c>
      <c r="L106" s="68">
        <f>Forecasting_EI!M369</f>
        <v>319.54221108227409</v>
      </c>
      <c r="M106" s="62">
        <f>Forecasting_EI!N369</f>
        <v>345.33296475966205</v>
      </c>
      <c r="N106" s="62">
        <f>Forecasting_EI!O369</f>
        <v>347.78556940979598</v>
      </c>
      <c r="O106" s="62">
        <f>Forecasting_EI!P369</f>
        <v>348.41238793033227</v>
      </c>
      <c r="P106" s="62">
        <f>Forecasting_EI!Q369</f>
        <v>365.60613096027379</v>
      </c>
      <c r="Q106" s="62">
        <f>Forecasting_EI!R369</f>
        <v>377.09434199731129</v>
      </c>
      <c r="R106" s="81">
        <f t="shared" si="21"/>
        <v>8.4766367335975978E-2</v>
      </c>
      <c r="S106" s="81">
        <f t="shared" si="22"/>
        <v>3.3675817088641091E-2</v>
      </c>
      <c r="T106" s="652"/>
      <c r="U106" s="81"/>
      <c r="AA106" s="589">
        <v>1</v>
      </c>
      <c r="AB106" s="402" t="s">
        <v>512</v>
      </c>
    </row>
    <row r="107" spans="1:28" ht="15" customHeight="1">
      <c r="A107" s="4" t="str">
        <f>Home!$B$1</f>
        <v>Hungary</v>
      </c>
      <c r="B107" s="4" t="s">
        <v>49</v>
      </c>
      <c r="C107" s="4" t="s">
        <v>54</v>
      </c>
      <c r="D107" s="2" t="s">
        <v>42</v>
      </c>
      <c r="F107" s="1" t="str">
        <f>Home!$B$2</f>
        <v>Foriant</v>
      </c>
      <c r="G107" s="68">
        <f>Forecasting_EI!H371</f>
        <v>716.80588706010178</v>
      </c>
      <c r="H107" s="68">
        <f>Forecasting_EI!I371</f>
        <v>1310.6601560572051</v>
      </c>
      <c r="I107" s="68">
        <f>Forecasting_EI!J371</f>
        <v>1703.0360092580852</v>
      </c>
      <c r="J107" s="68">
        <f>Forecasting_EI!K371</f>
        <v>1658.0945260756428</v>
      </c>
      <c r="K107" s="68">
        <f>Forecasting_EI!L371</f>
        <v>1639.5068008339974</v>
      </c>
      <c r="L107" s="68">
        <f>Forecasting_EI!M371</f>
        <v>1832.9543098207241</v>
      </c>
      <c r="M107" s="62">
        <f>Forecasting_EI!N371</f>
        <v>1999.6583097471703</v>
      </c>
      <c r="N107" s="62">
        <f>Forecasting_EI!O371</f>
        <v>1995.927728665454</v>
      </c>
      <c r="O107" s="62">
        <f>Forecasting_EI!P371</f>
        <v>2007.1935095696806</v>
      </c>
      <c r="P107" s="62">
        <f>Forecasting_EI!Q371</f>
        <v>2089.9358103619957</v>
      </c>
      <c r="Q107" s="62">
        <f>Forecasting_EI!R371</f>
        <v>2153.462480032887</v>
      </c>
      <c r="R107" s="81">
        <f t="shared" si="21"/>
        <v>8.7465244048474222E-2</v>
      </c>
      <c r="S107" s="81">
        <f t="shared" si="22"/>
        <v>3.2754590377999548E-2</v>
      </c>
      <c r="T107" s="652"/>
      <c r="U107" s="81"/>
      <c r="AA107" s="589">
        <v>1</v>
      </c>
      <c r="AB107" s="402" t="s">
        <v>512</v>
      </c>
    </row>
    <row r="108" spans="1:28" ht="15" customHeight="1">
      <c r="A108" s="4" t="str">
        <f>Home!$B$1</f>
        <v>Hungary</v>
      </c>
      <c r="B108" s="4" t="s">
        <v>49</v>
      </c>
      <c r="C108" s="2" t="s">
        <v>55</v>
      </c>
      <c r="F108" s="1" t="str">
        <f>Home!$B$2</f>
        <v>Foriant</v>
      </c>
      <c r="G108" s="406">
        <f>Forecasting_EI!H395</f>
        <v>8928.5071229177029</v>
      </c>
      <c r="H108" s="406">
        <f>Forecasting_EI!I395</f>
        <v>9353.4418341480578</v>
      </c>
      <c r="I108" s="406">
        <f>Forecasting_EI!J395</f>
        <v>9612.4628450951059</v>
      </c>
      <c r="J108" s="406">
        <f>Forecasting_EI!K395</f>
        <v>9662.6243245449223</v>
      </c>
      <c r="K108" s="406">
        <f>Forecasting_EI!L395</f>
        <v>9920.254994442781</v>
      </c>
      <c r="L108" s="406">
        <f>Forecasting_EI!M395</f>
        <v>10268.458017515944</v>
      </c>
      <c r="M108" s="160">
        <f>Forecasting_EI!N395</f>
        <v>10513.145832449183</v>
      </c>
      <c r="N108" s="160">
        <f>Forecasting_EI!O395</f>
        <v>10727.4669633623</v>
      </c>
      <c r="O108" s="160">
        <f>Forecasting_EI!P395</f>
        <v>10962.612992971724</v>
      </c>
      <c r="P108" s="160">
        <f>Forecasting_EI!Q395</f>
        <v>11152.579424661273</v>
      </c>
      <c r="Q108" s="160">
        <f>Forecasting_EI!R395</f>
        <v>11315.587457941281</v>
      </c>
      <c r="R108" s="81">
        <f t="shared" si="21"/>
        <v>2.3607467428294449E-2</v>
      </c>
      <c r="S108" s="81">
        <f t="shared" si="22"/>
        <v>1.9610677374803487E-2</v>
      </c>
      <c r="T108" s="652"/>
      <c r="U108" s="81"/>
      <c r="AA108" s="589">
        <v>1</v>
      </c>
      <c r="AB108" s="402" t="s">
        <v>513</v>
      </c>
    </row>
    <row r="109" spans="1:28" ht="15" customHeight="1">
      <c r="A109" s="4" t="str">
        <f>Home!$B$1</f>
        <v>Hungary</v>
      </c>
      <c r="B109" s="4" t="s">
        <v>49</v>
      </c>
      <c r="C109" s="4" t="s">
        <v>55</v>
      </c>
      <c r="D109" s="2" t="s">
        <v>36</v>
      </c>
      <c r="F109" s="1" t="str">
        <f>Home!$B$2</f>
        <v>Foriant</v>
      </c>
      <c r="G109" s="68">
        <f>Forecasting_EI!H397</f>
        <v>1140.2152690358494</v>
      </c>
      <c r="H109" s="68">
        <f>Forecasting_EI!I397</f>
        <v>1200.260107862832</v>
      </c>
      <c r="I109" s="68">
        <f>Forecasting_EI!J397</f>
        <v>1238.2956396548864</v>
      </c>
      <c r="J109" s="68">
        <f>Forecasting_EI!K397</f>
        <v>1247.3717760643253</v>
      </c>
      <c r="K109" s="68">
        <f>Forecasting_EI!L397</f>
        <v>1283.1912084293824</v>
      </c>
      <c r="L109" s="68">
        <f>Forecasting_EI!M397</f>
        <v>1320.2620990313694</v>
      </c>
      <c r="M109" s="62">
        <f>Forecasting_EI!N397</f>
        <v>1362.0799880051131</v>
      </c>
      <c r="N109" s="62">
        <f>Forecasting_EI!O397</f>
        <v>1386.9559350590762</v>
      </c>
      <c r="O109" s="62">
        <f>Forecasting_EI!P397</f>
        <v>1413.3073158451116</v>
      </c>
      <c r="P109" s="62">
        <f>Forecasting_EI!Q397</f>
        <v>1433.865197903212</v>
      </c>
      <c r="Q109" s="62">
        <f>Forecasting_EI!R397</f>
        <v>1453.4149545325017</v>
      </c>
      <c r="R109" s="81">
        <f t="shared" si="21"/>
        <v>2.4109031194989416E-2</v>
      </c>
      <c r="S109" s="81">
        <f t="shared" si="22"/>
        <v>1.9402967908369817E-2</v>
      </c>
      <c r="T109" s="652"/>
      <c r="U109" s="81"/>
      <c r="AA109" s="589">
        <v>1</v>
      </c>
      <c r="AB109" s="402" t="s">
        <v>513</v>
      </c>
    </row>
    <row r="110" spans="1:28" ht="15" customHeight="1">
      <c r="A110" s="4" t="str">
        <f>Home!$B$1</f>
        <v>Hungary</v>
      </c>
      <c r="B110" s="4" t="s">
        <v>49</v>
      </c>
      <c r="C110" s="4" t="s">
        <v>55</v>
      </c>
      <c r="D110" s="2" t="s">
        <v>37</v>
      </c>
      <c r="F110" s="1" t="str">
        <f>Home!$B$2</f>
        <v>Foriant</v>
      </c>
      <c r="G110" s="68">
        <f>Forecasting_EI!H399</f>
        <v>215.63058378981762</v>
      </c>
      <c r="H110" s="68">
        <f>Forecasting_EI!I399</f>
        <v>225.50719938116674</v>
      </c>
      <c r="I110" s="68">
        <f>Forecasting_EI!J399</f>
        <v>233.11584808066266</v>
      </c>
      <c r="J110" s="68">
        <f>Forecasting_EI!K399</f>
        <v>235.27604239021261</v>
      </c>
      <c r="K110" s="68">
        <f>Forecasting_EI!L399</f>
        <v>241.05630423088721</v>
      </c>
      <c r="L110" s="68">
        <f>Forecasting_EI!M399</f>
        <v>250.76501803081013</v>
      </c>
      <c r="M110" s="62">
        <f>Forecasting_EI!N399</f>
        <v>258.15740841065923</v>
      </c>
      <c r="N110" s="62">
        <f>Forecasting_EI!O399</f>
        <v>262.60519844160029</v>
      </c>
      <c r="O110" s="62">
        <f>Forecasting_EI!P399</f>
        <v>269.04200296907914</v>
      </c>
      <c r="P110" s="62">
        <f>Forecasting_EI!Q399</f>
        <v>276.10977204290117</v>
      </c>
      <c r="Q110" s="62">
        <f>Forecasting_EI!R399</f>
        <v>281.16749219733447</v>
      </c>
      <c r="R110" s="81">
        <f t="shared" si="21"/>
        <v>2.6896408903765767E-2</v>
      </c>
      <c r="S110" s="81">
        <f t="shared" si="22"/>
        <v>2.3150759786507047E-2</v>
      </c>
      <c r="T110" s="652"/>
      <c r="U110" s="81"/>
      <c r="AA110" s="589">
        <v>1</v>
      </c>
      <c r="AB110" s="402" t="s">
        <v>513</v>
      </c>
    </row>
    <row r="111" spans="1:28" ht="15" customHeight="1">
      <c r="A111" s="4" t="str">
        <f>Home!$B$1</f>
        <v>Hungary</v>
      </c>
      <c r="B111" s="4" t="s">
        <v>49</v>
      </c>
      <c r="C111" s="4" t="s">
        <v>55</v>
      </c>
      <c r="D111" s="2" t="s">
        <v>38</v>
      </c>
      <c r="F111" s="1" t="str">
        <f>Home!$B$2</f>
        <v>Foriant</v>
      </c>
      <c r="G111" s="68">
        <f>Forecasting_EI!H401</f>
        <v>1582.156934072276</v>
      </c>
      <c r="H111" s="68">
        <f>Forecasting_EI!I401</f>
        <v>1661.6356324575306</v>
      </c>
      <c r="I111" s="68">
        <f>Forecasting_EI!J401</f>
        <v>1705.0269381780772</v>
      </c>
      <c r="J111" s="68">
        <f>Forecasting_EI!K401</f>
        <v>1725.6889261800502</v>
      </c>
      <c r="K111" s="68">
        <f>Forecasting_EI!L401</f>
        <v>1761.3781967599539</v>
      </c>
      <c r="L111" s="68">
        <f>Forecasting_EI!M401</f>
        <v>1826.8493453729286</v>
      </c>
      <c r="M111" s="62">
        <f>Forecasting_EI!N401</f>
        <v>1871.9221334377494</v>
      </c>
      <c r="N111" s="62">
        <f>Forecasting_EI!O401</f>
        <v>1918.9540996951507</v>
      </c>
      <c r="O111" s="62">
        <f>Forecasting_EI!P401</f>
        <v>1950.5392942879355</v>
      </c>
      <c r="P111" s="62">
        <f>Forecasting_EI!Q401</f>
        <v>1987.1345040247845</v>
      </c>
      <c r="Q111" s="62">
        <f>Forecasting_EI!R401</f>
        <v>2023.6052281953835</v>
      </c>
      <c r="R111" s="81">
        <f t="shared" si="21"/>
        <v>2.3980613149182428E-2</v>
      </c>
      <c r="S111" s="81">
        <f t="shared" si="22"/>
        <v>2.0668265098050975E-2</v>
      </c>
      <c r="T111" s="652"/>
      <c r="U111" s="81"/>
      <c r="AA111" s="589">
        <v>1</v>
      </c>
      <c r="AB111" s="402" t="s">
        <v>513</v>
      </c>
    </row>
    <row r="112" spans="1:28" ht="15" customHeight="1">
      <c r="A112" s="4" t="str">
        <f>Home!$B$1</f>
        <v>Hungary</v>
      </c>
      <c r="B112" s="4" t="s">
        <v>49</v>
      </c>
      <c r="C112" s="4" t="s">
        <v>55</v>
      </c>
      <c r="D112" s="2" t="s">
        <v>39</v>
      </c>
      <c r="F112" s="1" t="str">
        <f>Home!$B$2</f>
        <v>Foriant</v>
      </c>
      <c r="G112" s="68">
        <f>Forecasting_EI!H403</f>
        <v>2335.853660009644</v>
      </c>
      <c r="H112" s="68">
        <f>Forecasting_EI!I403</f>
        <v>2441.4722484900249</v>
      </c>
      <c r="I112" s="68">
        <f>Forecasting_EI!J403</f>
        <v>2524.9008746538266</v>
      </c>
      <c r="J112" s="68">
        <f>Forecasting_EI!K403</f>
        <v>2535.5540402263032</v>
      </c>
      <c r="K112" s="68">
        <f>Forecasting_EI!L403</f>
        <v>2616.2267214839644</v>
      </c>
      <c r="L112" s="68">
        <f>Forecasting_EI!M403</f>
        <v>2694.5165419201603</v>
      </c>
      <c r="M112" s="62">
        <f>Forecasting_EI!N403</f>
        <v>2757.3244908991201</v>
      </c>
      <c r="N112" s="62">
        <f>Forecasting_EI!O403</f>
        <v>2806.1420942297141</v>
      </c>
      <c r="O112" s="62">
        <f>Forecasting_EI!P403</f>
        <v>2859.551121492178</v>
      </c>
      <c r="P112" s="62">
        <f>Forecasting_EI!Q403</f>
        <v>2904.2610769881594</v>
      </c>
      <c r="Q112" s="62">
        <f>Forecasting_EI!R403</f>
        <v>2945.7550364728445</v>
      </c>
      <c r="R112" s="81">
        <f t="shared" si="21"/>
        <v>2.4960822501962854E-2</v>
      </c>
      <c r="S112" s="81">
        <f t="shared" si="22"/>
        <v>1.7989163487376558E-2</v>
      </c>
      <c r="T112" s="652"/>
      <c r="U112" s="81"/>
      <c r="AA112" s="589">
        <v>1</v>
      </c>
      <c r="AB112" s="402" t="s">
        <v>513</v>
      </c>
    </row>
    <row r="113" spans="1:28" ht="15" customHeight="1">
      <c r="A113" s="4" t="str">
        <f>Home!$B$1</f>
        <v>Hungary</v>
      </c>
      <c r="B113" s="4" t="s">
        <v>49</v>
      </c>
      <c r="C113" s="4" t="s">
        <v>55</v>
      </c>
      <c r="D113" s="2" t="s">
        <v>40</v>
      </c>
      <c r="F113" s="1" t="str">
        <f>Home!$B$2</f>
        <v>Foriant</v>
      </c>
      <c r="G113" s="68">
        <f>Forecasting_EI!H405</f>
        <v>2915.3421349638779</v>
      </c>
      <c r="H113" s="68">
        <f>Forecasting_EI!I405</f>
        <v>3052.7330491736193</v>
      </c>
      <c r="I113" s="68">
        <f>Forecasting_EI!J405</f>
        <v>3128.5911605300666</v>
      </c>
      <c r="J113" s="68">
        <f>Forecasting_EI!K405</f>
        <v>3136.9231390324239</v>
      </c>
      <c r="K113" s="68">
        <f>Forecasting_EI!L405</f>
        <v>3213.9235606957391</v>
      </c>
      <c r="L113" s="68">
        <f>Forecasting_EI!M405</f>
        <v>3350.0200798475357</v>
      </c>
      <c r="M113" s="62">
        <f>Forecasting_EI!N405</f>
        <v>3414.7915349870818</v>
      </c>
      <c r="N113" s="62">
        <f>Forecasting_EI!O405</f>
        <v>3490.068352181841</v>
      </c>
      <c r="O113" s="62">
        <f>Forecasting_EI!P405</f>
        <v>3586.4073649223196</v>
      </c>
      <c r="P113" s="62">
        <f>Forecasting_EI!Q405</f>
        <v>3653.9490373670296</v>
      </c>
      <c r="Q113" s="62">
        <f>Forecasting_EI!R405</f>
        <v>3705.8666762535413</v>
      </c>
      <c r="R113" s="81">
        <f t="shared" si="21"/>
        <v>2.35042383868731E-2</v>
      </c>
      <c r="S113" s="81">
        <f t="shared" si="22"/>
        <v>2.0395362471745893E-2</v>
      </c>
      <c r="T113" s="652"/>
      <c r="U113" s="81"/>
      <c r="AA113" s="589">
        <v>1</v>
      </c>
      <c r="AB113" s="402" t="s">
        <v>513</v>
      </c>
    </row>
    <row r="114" spans="1:28" ht="15" customHeight="1">
      <c r="A114" s="4" t="str">
        <f>Home!$B$1</f>
        <v>Hungary</v>
      </c>
      <c r="B114" s="4" t="s">
        <v>49</v>
      </c>
      <c r="C114" s="4" t="s">
        <v>55</v>
      </c>
      <c r="D114" s="2" t="s">
        <v>41</v>
      </c>
      <c r="F114" s="1" t="str">
        <f>Home!$B$2</f>
        <v>Foriant</v>
      </c>
      <c r="G114" s="68">
        <f>Forecasting_EI!H407</f>
        <v>19.485368906370486</v>
      </c>
      <c r="H114" s="68">
        <f>Forecasting_EI!I407</f>
        <v>20.476528892994875</v>
      </c>
      <c r="I114" s="68">
        <f>Forecasting_EI!J407</f>
        <v>20.957123441111499</v>
      </c>
      <c r="J114" s="68">
        <f>Forecasting_EI!K407</f>
        <v>20.977202858542253</v>
      </c>
      <c r="K114" s="68">
        <f>Forecasting_EI!L407</f>
        <v>21.448798072935453</v>
      </c>
      <c r="L114" s="68">
        <f>Forecasting_EI!M407</f>
        <v>22.0684454346713</v>
      </c>
      <c r="M114" s="62">
        <f>Forecasting_EI!N407</f>
        <v>22.805163745534593</v>
      </c>
      <c r="N114" s="62">
        <f>Forecasting_EI!O407</f>
        <v>23.089788216211222</v>
      </c>
      <c r="O114" s="62">
        <f>Forecasting_EI!P407</f>
        <v>23.80791205376957</v>
      </c>
      <c r="P114" s="62">
        <f>Forecasting_EI!Q407</f>
        <v>24.40134523621882</v>
      </c>
      <c r="Q114" s="62">
        <f>Forecasting_EI!R407</f>
        <v>24.87493931450172</v>
      </c>
      <c r="R114" s="81">
        <f t="shared" si="21"/>
        <v>1.8893638440214522E-2</v>
      </c>
      <c r="S114" s="81">
        <f t="shared" si="22"/>
        <v>2.4231333490669416E-2</v>
      </c>
      <c r="T114" s="652"/>
      <c r="U114" s="81"/>
      <c r="AA114" s="589">
        <v>1</v>
      </c>
      <c r="AB114" s="402" t="s">
        <v>513</v>
      </c>
    </row>
    <row r="115" spans="1:28" ht="15" customHeight="1">
      <c r="A115" s="4" t="str">
        <f>Home!$B$1</f>
        <v>Hungary</v>
      </c>
      <c r="B115" s="4" t="s">
        <v>49</v>
      </c>
      <c r="C115" s="4" t="s">
        <v>55</v>
      </c>
      <c r="D115" s="2" t="s">
        <v>42</v>
      </c>
      <c r="F115" s="1" t="str">
        <f>Home!$B$2</f>
        <v>Foriant</v>
      </c>
      <c r="G115" s="68">
        <f>Forecasting_EI!H409</f>
        <v>719.82317213986732</v>
      </c>
      <c r="H115" s="68">
        <f>Forecasting_EI!I409</f>
        <v>751.3570678898883</v>
      </c>
      <c r="I115" s="68">
        <f>Forecasting_EI!J409</f>
        <v>761.57526055647691</v>
      </c>
      <c r="J115" s="68">
        <f>Forecasting_EI!K409</f>
        <v>760.83319779306441</v>
      </c>
      <c r="K115" s="68">
        <f>Forecasting_EI!L409</f>
        <v>783.03020476991833</v>
      </c>
      <c r="L115" s="68">
        <f>Forecasting_EI!M409</f>
        <v>803.97648787846856</v>
      </c>
      <c r="M115" s="62">
        <f>Forecasting_EI!N409</f>
        <v>826.06511296392557</v>
      </c>
      <c r="N115" s="62">
        <f>Forecasting_EI!O409</f>
        <v>839.65149553870629</v>
      </c>
      <c r="O115" s="62">
        <f>Forecasting_EI!P409</f>
        <v>859.95798140133195</v>
      </c>
      <c r="P115" s="62">
        <f>Forecasting_EI!Q409</f>
        <v>872.85849109896799</v>
      </c>
      <c r="Q115" s="62">
        <f>Forecasting_EI!R409</f>
        <v>880.90313097517446</v>
      </c>
      <c r="R115" s="81">
        <f t="shared" si="21"/>
        <v>1.706624984416405E-2</v>
      </c>
      <c r="S115" s="81">
        <f t="shared" si="22"/>
        <v>1.8443547771322288E-2</v>
      </c>
      <c r="T115" s="652"/>
      <c r="U115" s="81"/>
      <c r="AA115" s="589">
        <v>1</v>
      </c>
      <c r="AB115" s="402" t="s">
        <v>513</v>
      </c>
    </row>
    <row r="116" spans="1:28" ht="15" customHeight="1">
      <c r="A116" s="4" t="str">
        <f>Home!$B$1</f>
        <v>Hungary</v>
      </c>
      <c r="B116" s="4" t="s">
        <v>49</v>
      </c>
      <c r="C116" s="2" t="s">
        <v>56</v>
      </c>
      <c r="F116" s="1" t="str">
        <f>Home!$B$2</f>
        <v>Foriant</v>
      </c>
      <c r="G116" s="406">
        <f>Forecasting_EI!H433</f>
        <v>252739.54284759835</v>
      </c>
      <c r="H116" s="406">
        <f>Forecasting_EI!I433</f>
        <v>564868.13022977731</v>
      </c>
      <c r="I116" s="406">
        <f>Forecasting_EI!J433</f>
        <v>601255.37047358591</v>
      </c>
      <c r="J116" s="406">
        <f>Forecasting_EI!K433</f>
        <v>722345.57632485148</v>
      </c>
      <c r="K116" s="406">
        <f>Forecasting_EI!L433</f>
        <v>805769.9164906654</v>
      </c>
      <c r="L116" s="406">
        <f>Forecasting_EI!M433</f>
        <v>983521.95634734421</v>
      </c>
      <c r="M116" s="160">
        <f>Forecasting_EI!N433</f>
        <v>1064769.8344744868</v>
      </c>
      <c r="N116" s="160">
        <f>Forecasting_EI!O433</f>
        <v>1170180.7833655321</v>
      </c>
      <c r="O116" s="160">
        <f>Forecasting_EI!P433</f>
        <v>1228071.6662066106</v>
      </c>
      <c r="P116" s="160">
        <f>Forecasting_EI!Q433</f>
        <v>1337476.9713172989</v>
      </c>
      <c r="Q116" s="160">
        <f>Forecasting_EI!R433</f>
        <v>1455245.5347022437</v>
      </c>
      <c r="R116" s="81">
        <f t="shared" si="21"/>
        <v>0.1487069449252123</v>
      </c>
      <c r="S116" s="81">
        <f t="shared" si="22"/>
        <v>8.1509760235766393E-2</v>
      </c>
      <c r="T116" s="652"/>
      <c r="U116" s="81"/>
      <c r="AA116" s="589">
        <v>1</v>
      </c>
      <c r="AB116" s="402" t="s">
        <v>514</v>
      </c>
    </row>
    <row r="117" spans="1:28" ht="15" customHeight="1">
      <c r="A117" s="4" t="str">
        <f>Home!$B$1</f>
        <v>Hungary</v>
      </c>
      <c r="B117" s="4" t="s">
        <v>49</v>
      </c>
      <c r="C117" s="4" t="s">
        <v>56</v>
      </c>
      <c r="D117" s="2" t="s">
        <v>36</v>
      </c>
      <c r="F117" s="1" t="str">
        <f>Home!$B$2</f>
        <v>Foriant</v>
      </c>
      <c r="G117" s="68">
        <f>Forecasting_EI!H435</f>
        <v>76303.425979472857</v>
      </c>
      <c r="H117" s="68">
        <f>Forecasting_EI!I435</f>
        <v>171924.05693040759</v>
      </c>
      <c r="I117" s="68">
        <f>Forecasting_EI!J435</f>
        <v>181484.36395228663</v>
      </c>
      <c r="J117" s="68">
        <f>Forecasting_EI!K435</f>
        <v>217341.99881864985</v>
      </c>
      <c r="K117" s="68">
        <f>Forecasting_EI!L435</f>
        <v>240919.66495235535</v>
      </c>
      <c r="L117" s="68">
        <f>Forecasting_EI!M435</f>
        <v>294851.14241246326</v>
      </c>
      <c r="M117" s="62">
        <f>Forecasting_EI!N435</f>
        <v>317179.99236988905</v>
      </c>
      <c r="N117" s="62">
        <f>Forecasting_EI!O435</f>
        <v>347953.93772533303</v>
      </c>
      <c r="O117" s="62">
        <f>Forecasting_EI!P435</f>
        <v>363454.07390650903</v>
      </c>
      <c r="P117" s="62">
        <f>Forecasting_EI!Q435</f>
        <v>394574.60254775599</v>
      </c>
      <c r="Q117" s="62">
        <f>Forecasting_EI!R435</f>
        <v>426848.74166616367</v>
      </c>
      <c r="R117" s="81">
        <f t="shared" si="21"/>
        <v>0.14437020261008837</v>
      </c>
      <c r="S117" s="81">
        <f t="shared" si="22"/>
        <v>7.6797994777017875E-2</v>
      </c>
      <c r="T117" s="652"/>
      <c r="U117" s="81"/>
      <c r="AA117" s="589">
        <v>1</v>
      </c>
      <c r="AB117" s="402" t="s">
        <v>514</v>
      </c>
    </row>
    <row r="118" spans="1:28" ht="15" customHeight="1">
      <c r="A118" s="4" t="str">
        <f>Home!$B$1</f>
        <v>Hungary</v>
      </c>
      <c r="B118" s="4" t="s">
        <v>49</v>
      </c>
      <c r="C118" s="4" t="s">
        <v>56</v>
      </c>
      <c r="D118" s="2" t="s">
        <v>37</v>
      </c>
      <c r="F118" s="1" t="str">
        <f>Home!$B$2</f>
        <v>Foriant</v>
      </c>
      <c r="G118" s="68">
        <f>Forecasting_EI!H437</f>
        <v>16860.695017045662</v>
      </c>
      <c r="H118" s="68">
        <f>Forecasting_EI!I437</f>
        <v>37347.199390385387</v>
      </c>
      <c r="I118" s="68">
        <f>Forecasting_EI!J437</f>
        <v>39974.915405248947</v>
      </c>
      <c r="J118" s="68">
        <f>Forecasting_EI!K437</f>
        <v>48106.252275746047</v>
      </c>
      <c r="K118" s="68">
        <f>Forecasting_EI!L437</f>
        <v>52959.626098336928</v>
      </c>
      <c r="L118" s="68">
        <f>Forecasting_EI!M437</f>
        <v>64363.008749948152</v>
      </c>
      <c r="M118" s="62">
        <f>Forecasting_EI!N437</f>
        <v>69510.368258070914</v>
      </c>
      <c r="N118" s="62">
        <f>Forecasting_EI!O437</f>
        <v>76047.144692128786</v>
      </c>
      <c r="O118" s="62">
        <f>Forecasting_EI!P437</f>
        <v>79344.414645559547</v>
      </c>
      <c r="P118" s="62">
        <f>Forecasting_EI!Q437</f>
        <v>86522.081021199469</v>
      </c>
      <c r="Q118" s="62">
        <f>Forecasting_EI!R437</f>
        <v>94095.608102665341</v>
      </c>
      <c r="R118" s="81">
        <f t="shared" si="21"/>
        <v>0.14576242178650922</v>
      </c>
      <c r="S118" s="81">
        <f t="shared" si="22"/>
        <v>7.8913439979497513E-2</v>
      </c>
      <c r="T118" s="652"/>
      <c r="U118" s="81"/>
      <c r="AA118" s="589">
        <v>1</v>
      </c>
      <c r="AB118" s="402" t="s">
        <v>514</v>
      </c>
    </row>
    <row r="119" spans="1:28" ht="15" customHeight="1">
      <c r="A119" s="4" t="str">
        <f>Home!$B$1</f>
        <v>Hungary</v>
      </c>
      <c r="B119" s="4" t="s">
        <v>49</v>
      </c>
      <c r="C119" s="4" t="s">
        <v>56</v>
      </c>
      <c r="D119" s="2" t="s">
        <v>38</v>
      </c>
      <c r="F119" s="1" t="str">
        <f>Home!$B$2</f>
        <v>Foriant</v>
      </c>
      <c r="G119" s="68">
        <f>Forecasting_EI!H439</f>
        <v>46181.040147983273</v>
      </c>
      <c r="H119" s="68">
        <f>Forecasting_EI!I439</f>
        <v>103055.28357768148</v>
      </c>
      <c r="I119" s="68">
        <f>Forecasting_EI!J439</f>
        <v>109198.07173320778</v>
      </c>
      <c r="J119" s="68">
        <f>Forecasting_EI!K439</f>
        <v>131404.49703915609</v>
      </c>
      <c r="K119" s="68">
        <f>Forecasting_EI!L439</f>
        <v>144675.84691291966</v>
      </c>
      <c r="L119" s="68">
        <f>Forecasting_EI!M439</f>
        <v>176353.53805526803</v>
      </c>
      <c r="M119" s="62">
        <f>Forecasting_EI!N439</f>
        <v>189555.10749575502</v>
      </c>
      <c r="N119" s="62">
        <f>Forecasting_EI!O439</f>
        <v>206992.8421487016</v>
      </c>
      <c r="O119" s="62">
        <f>Forecasting_EI!P439</f>
        <v>216468.5518742268</v>
      </c>
      <c r="P119" s="62">
        <f>Forecasting_EI!Q439</f>
        <v>234904.60415570563</v>
      </c>
      <c r="Q119" s="62">
        <f>Forecasting_EI!R439</f>
        <v>253638.89762429369</v>
      </c>
      <c r="R119" s="81">
        <f t="shared" si="21"/>
        <v>0.14374307768460914</v>
      </c>
      <c r="S119" s="81">
        <f t="shared" si="22"/>
        <v>7.539084762424797E-2</v>
      </c>
      <c r="T119" s="652"/>
      <c r="U119" s="81"/>
      <c r="AA119" s="589">
        <v>1</v>
      </c>
      <c r="AB119" s="402" t="s">
        <v>514</v>
      </c>
    </row>
    <row r="120" spans="1:28" ht="15" customHeight="1">
      <c r="A120" s="4" t="str">
        <f>Home!$B$1</f>
        <v>Hungary</v>
      </c>
      <c r="B120" s="4" t="s">
        <v>49</v>
      </c>
      <c r="C120" s="4" t="s">
        <v>56</v>
      </c>
      <c r="D120" s="2" t="s">
        <v>39</v>
      </c>
      <c r="F120" s="1" t="str">
        <f>Home!$B$2</f>
        <v>Foriant</v>
      </c>
      <c r="G120" s="68">
        <f>Forecasting_EI!H441</f>
        <v>37822.539103292336</v>
      </c>
      <c r="H120" s="68">
        <f>Forecasting_EI!I441</f>
        <v>83428.229264684676</v>
      </c>
      <c r="I120" s="68">
        <f>Forecasting_EI!J441</f>
        <v>89554.317076978317</v>
      </c>
      <c r="J120" s="68">
        <f>Forecasting_EI!K441</f>
        <v>108170.38708573328</v>
      </c>
      <c r="K120" s="68">
        <f>Forecasting_EI!L441</f>
        <v>120070.87698941573</v>
      </c>
      <c r="L120" s="68">
        <f>Forecasting_EI!M441</f>
        <v>147677.09243533111</v>
      </c>
      <c r="M120" s="62">
        <f>Forecasting_EI!N441</f>
        <v>162093.4766187334</v>
      </c>
      <c r="N120" s="62">
        <f>Forecasting_EI!O441</f>
        <v>178202.03204675243</v>
      </c>
      <c r="O120" s="62">
        <f>Forecasting_EI!P441</f>
        <v>187122.46015715727</v>
      </c>
      <c r="P120" s="62">
        <f>Forecasting_EI!Q441</f>
        <v>205365.3411949969</v>
      </c>
      <c r="Q120" s="62">
        <f>Forecasting_EI!R441</f>
        <v>224603.50838178079</v>
      </c>
      <c r="R120" s="81">
        <f t="shared" si="21"/>
        <v>0.15345332897090547</v>
      </c>
      <c r="S120" s="81">
        <f t="shared" si="22"/>
        <v>8.7478502636977762E-2</v>
      </c>
      <c r="T120" s="652"/>
      <c r="U120" s="81"/>
      <c r="AA120" s="589">
        <v>1</v>
      </c>
      <c r="AB120" s="402" t="s">
        <v>514</v>
      </c>
    </row>
    <row r="121" spans="1:28" ht="15" customHeight="1">
      <c r="A121" s="4" t="str">
        <f>Home!$B$1</f>
        <v>Hungary</v>
      </c>
      <c r="B121" s="4" t="s">
        <v>49</v>
      </c>
      <c r="C121" s="4" t="s">
        <v>56</v>
      </c>
      <c r="D121" s="2" t="s">
        <v>40</v>
      </c>
      <c r="F121" s="1" t="str">
        <f>Home!$B$2</f>
        <v>Foriant</v>
      </c>
      <c r="G121" s="68">
        <f>Forecasting_EI!H443</f>
        <v>23226.773204952526</v>
      </c>
      <c r="H121" s="68">
        <f>Forecasting_EI!I443</f>
        <v>53705.472732913222</v>
      </c>
      <c r="I121" s="68">
        <f>Forecasting_EI!J443</f>
        <v>59871.90172094739</v>
      </c>
      <c r="J121" s="68">
        <f>Forecasting_EI!K443</f>
        <v>71208.261826778529</v>
      </c>
      <c r="K121" s="68">
        <f>Forecasting_EI!L443</f>
        <v>84138.601454035743</v>
      </c>
      <c r="L121" s="68">
        <f>Forecasting_EI!M443</f>
        <v>102137.00532746845</v>
      </c>
      <c r="M121" s="62">
        <f>Forecasting_EI!N443</f>
        <v>113402.0164096785</v>
      </c>
      <c r="N121" s="62">
        <f>Forecasting_EI!O443</f>
        <v>126161.77270477657</v>
      </c>
      <c r="O121" s="62">
        <f>Forecasting_EI!P443</f>
        <v>134480.30300083137</v>
      </c>
      <c r="P121" s="62">
        <f>Forecasting_EI!Q443</f>
        <v>146973.15318319309</v>
      </c>
      <c r="Q121" s="62">
        <f>Forecasting_EI!R443</f>
        <v>163536.32687023011</v>
      </c>
      <c r="R121" s="81">
        <f t="shared" si="21"/>
        <v>0.17433267257185059</v>
      </c>
      <c r="S121" s="81">
        <f t="shared" si="22"/>
        <v>9.8717960206801569E-2</v>
      </c>
      <c r="T121" s="652"/>
      <c r="U121" s="81"/>
      <c r="AA121" s="589">
        <v>1</v>
      </c>
      <c r="AB121" s="402" t="s">
        <v>514</v>
      </c>
    </row>
    <row r="122" spans="1:28" ht="15" customHeight="1">
      <c r="A122" s="4" t="str">
        <f>Home!$B$1</f>
        <v>Hungary</v>
      </c>
      <c r="B122" s="4" t="s">
        <v>49</v>
      </c>
      <c r="C122" s="4" t="s">
        <v>56</v>
      </c>
      <c r="D122" s="2" t="s">
        <v>41</v>
      </c>
      <c r="F122" s="1" t="str">
        <f>Home!$B$2</f>
        <v>Foriant</v>
      </c>
      <c r="G122" s="68">
        <f>Forecasting_EI!H445</f>
        <v>38601.088084160408</v>
      </c>
      <c r="H122" s="68">
        <f>Forecasting_EI!I445</f>
        <v>84410.068914767209</v>
      </c>
      <c r="I122" s="68">
        <f>Forecasting_EI!J445</f>
        <v>89113.006711388822</v>
      </c>
      <c r="J122" s="68">
        <f>Forecasting_EI!K445</f>
        <v>107775.46361900425</v>
      </c>
      <c r="K122" s="68">
        <f>Forecasting_EI!L445</f>
        <v>119260.12207281946</v>
      </c>
      <c r="L122" s="68">
        <f>Forecasting_EI!M445</f>
        <v>145139.38475198566</v>
      </c>
      <c r="M122" s="62">
        <f>Forecasting_EI!M445</f>
        <v>145139.38475198566</v>
      </c>
      <c r="N122" s="62">
        <f>Forecasting_EI!N445</f>
        <v>156101.71270905304</v>
      </c>
      <c r="O122" s="62">
        <f>Forecasting_EI!O445</f>
        <v>171535.30366023784</v>
      </c>
      <c r="P122" s="62">
        <f>Forecasting_EI!P445</f>
        <v>179512.10335546319</v>
      </c>
      <c r="Q122" s="62">
        <f>Forecasting_EI!Q445</f>
        <v>196268.76597568812</v>
      </c>
      <c r="R122" s="81">
        <f t="shared" si="21"/>
        <v>0.14511144609640625</v>
      </c>
      <c r="S122" s="81">
        <f t="shared" si="22"/>
        <v>6.2216841319207905E-2</v>
      </c>
      <c r="T122" s="652"/>
      <c r="U122" s="81"/>
      <c r="AA122" s="589">
        <v>1</v>
      </c>
      <c r="AB122" s="402" t="s">
        <v>514</v>
      </c>
    </row>
    <row r="123" spans="1:28" ht="15" customHeight="1">
      <c r="A123" s="4" t="str">
        <f>Home!$B$1</f>
        <v>Hungary</v>
      </c>
      <c r="B123" s="4" t="s">
        <v>49</v>
      </c>
      <c r="C123" s="4" t="s">
        <v>56</v>
      </c>
      <c r="D123" s="2" t="s">
        <v>42</v>
      </c>
      <c r="F123" s="1" t="str">
        <f>Home!$B$2</f>
        <v>Foriant</v>
      </c>
      <c r="G123" s="68">
        <f>Forecasting_EI!H447</f>
        <v>13743.981310691341</v>
      </c>
      <c r="H123" s="68">
        <f>Forecasting_EI!I447</f>
        <v>30997.819418937914</v>
      </c>
      <c r="I123" s="68">
        <f>Forecasting_EI!J447</f>
        <v>32058.793873527982</v>
      </c>
      <c r="J123" s="68">
        <f>Forecasting_EI!K447</f>
        <v>38338.715659783396</v>
      </c>
      <c r="K123" s="68">
        <f>Forecasting_EI!L447</f>
        <v>43745.178010782474</v>
      </c>
      <c r="L123" s="68">
        <f>Forecasting_EI!M447</f>
        <v>53000.784614879689</v>
      </c>
      <c r="M123" s="62">
        <f>Forecasting_EI!N447</f>
        <v>56927.160613306769</v>
      </c>
      <c r="N123" s="62">
        <f>Forecasting_EI!O447</f>
        <v>63287.750387601962</v>
      </c>
      <c r="O123" s="62">
        <f>Forecasting_EI!P447</f>
        <v>67689.759266863257</v>
      </c>
      <c r="P123" s="62">
        <f>Forecasting_EI!Q447</f>
        <v>72868.423238759729</v>
      </c>
      <c r="Q123" s="62">
        <f>Forecasting_EI!R447</f>
        <v>80180.279414230681</v>
      </c>
      <c r="R123" s="81">
        <f t="shared" si="21"/>
        <v>0.14350426494494206</v>
      </c>
      <c r="S123" s="81">
        <f t="shared" si="22"/>
        <v>8.6318193995892134E-2</v>
      </c>
      <c r="T123" s="652"/>
      <c r="U123" s="81"/>
      <c r="AA123" s="589">
        <v>1</v>
      </c>
      <c r="AB123" s="402" t="s">
        <v>514</v>
      </c>
    </row>
    <row r="124" spans="1:28" ht="15" customHeight="1">
      <c r="A124" s="4" t="str">
        <f>Home!$B$1</f>
        <v>Hungary</v>
      </c>
      <c r="B124" s="2" t="s">
        <v>57</v>
      </c>
      <c r="R124" s="81"/>
      <c r="S124" s="81"/>
      <c r="T124" s="652"/>
      <c r="U124" s="81"/>
    </row>
    <row r="125" spans="1:28" ht="15" customHeight="1">
      <c r="A125" s="4" t="str">
        <f>Home!$B$1</f>
        <v>Hungary</v>
      </c>
      <c r="B125" s="4" t="s">
        <v>57</v>
      </c>
      <c r="C125" s="2" t="s">
        <v>58</v>
      </c>
      <c r="F125" s="1" t="s">
        <v>178</v>
      </c>
      <c r="H125" s="100">
        <f>Airline_WS!B5/1000</f>
        <v>43642.272628716666</v>
      </c>
      <c r="I125" s="100">
        <f>Airline_WS!C5/1000</f>
        <v>38330.218883188019</v>
      </c>
      <c r="J125" s="100">
        <f>Airline_WS!D5/1000</f>
        <v>39717.749755377074</v>
      </c>
      <c r="K125" s="100">
        <f>Airline_WS!E5/1000</f>
        <v>44089.619556337864</v>
      </c>
      <c r="L125" s="100">
        <f>Airline_WS!F5/1000</f>
        <v>44178.597702287239</v>
      </c>
      <c r="M125" s="33">
        <f>FORECAST(M126,H125:L125,H126:L126)</f>
        <v>45762.767301759726</v>
      </c>
      <c r="N125" s="33">
        <f>FORECAST(N126,I125:M125,I126:M126)</f>
        <v>46441.802113827049</v>
      </c>
      <c r="O125" s="33">
        <f>FORECAST(O126,J125:N125,J126:N126)</f>
        <v>47736.601532698434</v>
      </c>
      <c r="P125" s="33">
        <f>FORECAST(P126,K125:O125,K126:O126)</f>
        <v>49062.351056112544</v>
      </c>
      <c r="Q125" s="33">
        <f>FORECAST(Q126,L125:P125,L126:P126)</f>
        <v>50705.757487872113</v>
      </c>
      <c r="R125" s="81">
        <f>(L125/H125)^(1/4)-1</f>
        <v>3.058221995829058E-3</v>
      </c>
      <c r="S125" s="81">
        <f>(Q125/L125)^(1/5)-1</f>
        <v>2.7943085732597739E-2</v>
      </c>
      <c r="T125" s="652"/>
      <c r="U125" s="54"/>
      <c r="V125" s="6"/>
      <c r="W125" s="6"/>
      <c r="X125" s="6"/>
      <c r="Y125" s="6"/>
      <c r="Z125" s="6"/>
      <c r="AA125" s="589">
        <v>2</v>
      </c>
      <c r="AB125" t="s">
        <v>993</v>
      </c>
    </row>
    <row r="126" spans="1:28" ht="15" customHeight="1">
      <c r="A126" s="4" t="str">
        <f>Home!$B$1</f>
        <v>Hungary</v>
      </c>
      <c r="B126" s="4" t="s">
        <v>57</v>
      </c>
      <c r="C126" s="2" t="s">
        <v>59</v>
      </c>
      <c r="F126" s="1" t="s">
        <v>178</v>
      </c>
      <c r="H126" s="445">
        <f>Airline_WS!B2/1000</f>
        <v>28075.972000000002</v>
      </c>
      <c r="I126" s="445">
        <f>Airline_WS!C2/1000</f>
        <v>25455.255000000001</v>
      </c>
      <c r="J126" s="445">
        <f>Airline_WS!D2/1000</f>
        <v>26927.026999999998</v>
      </c>
      <c r="K126" s="445">
        <f>Airline_WS!E2/1000</f>
        <v>30058.674999999999</v>
      </c>
      <c r="L126" s="445">
        <f>Airline_WS!F2/1000</f>
        <v>30706.269</v>
      </c>
      <c r="M126" s="33">
        <f>Airline_Forecasting!M4</f>
        <v>31465.990201422796</v>
      </c>
      <c r="N126" s="33">
        <f>Airline_Forecasting!N4</f>
        <v>32199.238307235162</v>
      </c>
      <c r="O126" s="33">
        <f>Airline_Forecasting!O4</f>
        <v>33161.865129326987</v>
      </c>
      <c r="P126" s="33">
        <f>Airline_Forecasting!P4</f>
        <v>34259.162102382732</v>
      </c>
      <c r="Q126" s="33">
        <f>Airline_Forecasting!Q4</f>
        <v>35424.226186030202</v>
      </c>
      <c r="R126" s="81">
        <f t="shared" si="21"/>
        <v>2.2640674588797927E-2</v>
      </c>
      <c r="S126" s="81">
        <f t="shared" si="22"/>
        <v>2.8998316897379972E-2</v>
      </c>
      <c r="T126" s="652"/>
      <c r="U126" t="s">
        <v>997</v>
      </c>
      <c r="V126" s="6" t="s">
        <v>998</v>
      </c>
      <c r="W126" s="6"/>
      <c r="X126" s="6"/>
      <c r="Y126" s="6"/>
      <c r="Z126" s="6"/>
      <c r="AA126" s="589">
        <v>5</v>
      </c>
      <c r="AB126" t="s">
        <v>992</v>
      </c>
    </row>
    <row r="127" spans="1:28" ht="15" customHeight="1">
      <c r="A127" s="4" t="str">
        <f>Home!$B$1</f>
        <v>Hungary</v>
      </c>
      <c r="B127" s="4" t="s">
        <v>57</v>
      </c>
      <c r="C127" s="4" t="s">
        <v>59</v>
      </c>
      <c r="D127" s="2" t="s">
        <v>19</v>
      </c>
      <c r="F127" s="1" t="s">
        <v>178</v>
      </c>
      <c r="H127" s="463">
        <f>Airline_WS!B12/1000</f>
        <v>11718.739480682489</v>
      </c>
      <c r="I127" s="463">
        <f>Airline_WS!C12/1000</f>
        <v>11157.024703091427</v>
      </c>
      <c r="J127" s="463">
        <f>Airline_WS!D12/1000</f>
        <v>11472.478863782853</v>
      </c>
      <c r="K127" s="463">
        <f>Airline_WS!E12/1000</f>
        <v>12143.704699999998</v>
      </c>
      <c r="L127" s="463">
        <f>Airline_WS!F12/1000</f>
        <v>12282.507600000001</v>
      </c>
      <c r="M127" s="33">
        <f>Airline_Forecasting!M16</f>
        <v>12466.491337218598</v>
      </c>
      <c r="N127" s="33">
        <f>Airline_Forecasting!N16</f>
        <v>12661.562635995988</v>
      </c>
      <c r="O127" s="33">
        <f>Airline_Forecasting!O16</f>
        <v>12858.913762916978</v>
      </c>
      <c r="P127" s="33">
        <f>Airline_Forecasting!P16</f>
        <v>13162.413389532105</v>
      </c>
      <c r="Q127" s="33">
        <f>Airline_Forecasting!Q16</f>
        <v>13487.249147787586</v>
      </c>
      <c r="R127" s="81">
        <f t="shared" si="21"/>
        <v>1.1815983227898785E-2</v>
      </c>
      <c r="S127" s="81">
        <f t="shared" si="22"/>
        <v>1.8889924703469507E-2</v>
      </c>
      <c r="T127" s="652"/>
      <c r="U127" s="736" t="s">
        <v>969</v>
      </c>
      <c r="V127" s="6"/>
      <c r="W127" s="6"/>
      <c r="X127" s="6"/>
      <c r="Y127" s="6"/>
      <c r="Z127" s="6"/>
      <c r="AA127" s="589">
        <v>2</v>
      </c>
      <c r="AB127" t="s">
        <v>994</v>
      </c>
    </row>
    <row r="128" spans="1:28" ht="15" customHeight="1">
      <c r="A128" s="4" t="str">
        <f>Home!$B$1</f>
        <v>Hungary</v>
      </c>
      <c r="B128" s="4" t="s">
        <v>57</v>
      </c>
      <c r="C128" s="4" t="s">
        <v>59</v>
      </c>
      <c r="D128" s="2" t="s">
        <v>20</v>
      </c>
      <c r="F128" s="1" t="s">
        <v>178</v>
      </c>
      <c r="H128" s="463">
        <f>Airline_WS!B13/1000</f>
        <v>16357.232519317511</v>
      </c>
      <c r="I128" s="463">
        <f>Airline_WS!C13/1000</f>
        <v>14298.230296908572</v>
      </c>
      <c r="J128" s="463">
        <f>Airline_WS!D13/1000</f>
        <v>15454.548136217147</v>
      </c>
      <c r="K128" s="463">
        <f>Airline_WS!E13/1000</f>
        <v>17914.970300000001</v>
      </c>
      <c r="L128" s="463">
        <f>Airline_WS!F13/1000</f>
        <v>18423.761399999999</v>
      </c>
      <c r="M128" s="33">
        <f>Airline_Forecasting!M18</f>
        <v>18999.498864204197</v>
      </c>
      <c r="N128" s="33">
        <f>Airline_Forecasting!N18</f>
        <v>19537.675671239173</v>
      </c>
      <c r="O128" s="33">
        <f>Airline_Forecasting!O18</f>
        <v>20302.951366410009</v>
      </c>
      <c r="P128" s="33">
        <f>Airline_Forecasting!P18</f>
        <v>21096.748712850625</v>
      </c>
      <c r="Q128" s="33">
        <f>Airline_Forecasting!Q18</f>
        <v>21936.977038242614</v>
      </c>
      <c r="R128" s="81">
        <f t="shared" si="21"/>
        <v>3.0189498164723494E-2</v>
      </c>
      <c r="S128" s="81">
        <f t="shared" si="22"/>
        <v>3.5522872589228482E-2</v>
      </c>
      <c r="T128" s="652"/>
      <c r="U128" s="54"/>
      <c r="V128" s="6"/>
      <c r="W128" s="6"/>
      <c r="X128" s="6"/>
      <c r="Y128" s="6"/>
      <c r="Z128" s="6"/>
      <c r="AA128" s="589">
        <v>2</v>
      </c>
      <c r="AB128" t="s">
        <v>995</v>
      </c>
    </row>
    <row r="129" spans="1:28" ht="15" customHeight="1">
      <c r="A129" s="4" t="str">
        <f>Home!$B$1</f>
        <v>Hungary</v>
      </c>
      <c r="B129" s="4" t="s">
        <v>57</v>
      </c>
      <c r="C129" s="2" t="s">
        <v>60</v>
      </c>
      <c r="F129" s="1" t="s">
        <v>176</v>
      </c>
      <c r="H129" s="723">
        <f>Airline_WS!B19</f>
        <v>0.68</v>
      </c>
      <c r="I129" s="723">
        <f>Airline_WS!C19</f>
        <v>0.69899999999999995</v>
      </c>
      <c r="J129" s="464">
        <f>Airline_WS!D19</f>
        <v>0.72688308115543321</v>
      </c>
      <c r="K129" s="464">
        <f>Airline_WS!E19</f>
        <v>0.72015268225584583</v>
      </c>
      <c r="L129" s="464">
        <f>Airline_WS!F19</f>
        <v>0.73745942228335615</v>
      </c>
      <c r="M129" s="37">
        <f>Airline_Forecasting!M25</f>
        <v>0.74428069116924633</v>
      </c>
      <c r="N129" s="37">
        <f>Airline_Forecasting!N25</f>
        <v>0.74671528215540672</v>
      </c>
      <c r="O129" s="37">
        <f>Airline_Forecasting!O25</f>
        <v>0.75248968084224721</v>
      </c>
      <c r="P129" s="37">
        <f>Airline_Forecasting!P25</f>
        <v>0.75393107654205971</v>
      </c>
      <c r="Q129" s="37">
        <f>Airline_Forecasting!Q25</f>
        <v>0.75867066745643674</v>
      </c>
      <c r="R129" s="81">
        <f t="shared" ref="R129:R149" si="23">(L129/H129)^(1/4)-1</f>
        <v>2.0486594500620736E-2</v>
      </c>
      <c r="S129" s="81">
        <f t="shared" ref="S129:S149" si="24">(Q129/L129)^(1/5)-1</f>
        <v>5.6874552990482385E-3</v>
      </c>
      <c r="T129" s="652"/>
      <c r="U129" s="739">
        <v>2008</v>
      </c>
      <c r="V129" s="740" t="s">
        <v>952</v>
      </c>
      <c r="W129" s="739">
        <v>2009</v>
      </c>
      <c r="X129" s="740" t="s">
        <v>996</v>
      </c>
      <c r="Y129" s="6"/>
      <c r="Z129" s="6"/>
      <c r="AA129" s="589">
        <v>3</v>
      </c>
      <c r="AB129" t="s">
        <v>991</v>
      </c>
    </row>
    <row r="130" spans="1:28" ht="15" customHeight="1">
      <c r="A130" s="4" t="str">
        <f>Home!$B$1</f>
        <v>Hungary</v>
      </c>
      <c r="B130" s="4" t="s">
        <v>57</v>
      </c>
      <c r="C130" s="2" t="s">
        <v>61</v>
      </c>
      <c r="F130" s="1" t="s">
        <v>177</v>
      </c>
      <c r="H130" s="731">
        <f>H131/H129</f>
        <v>19738.148339510579</v>
      </c>
      <c r="I130" s="731">
        <f>I131/I129</f>
        <v>17534.370635676933</v>
      </c>
      <c r="J130" s="731">
        <f>J131/J129</f>
        <v>17954.671057734526</v>
      </c>
      <c r="K130" s="731">
        <f>K131/K129</f>
        <v>20270.766726977166</v>
      </c>
      <c r="L130" s="731">
        <f>L131/L129</f>
        <v>20376.636833590394</v>
      </c>
      <c r="M130" s="33">
        <f>Airline_Forecasting!M28</f>
        <v>20830.418096038215</v>
      </c>
      <c r="N130" s="33">
        <f>Airline_Forecasting!N28</f>
        <v>21416.412633005475</v>
      </c>
      <c r="O130" s="33">
        <f>Airline_Forecasting!O28</f>
        <v>22015.651420789713</v>
      </c>
      <c r="P130" s="33">
        <f>Airline_Forecasting!P28</f>
        <v>22798.825866108211</v>
      </c>
      <c r="Q130" s="33">
        <f>Airline_Forecasting!Q28</f>
        <v>23676.87256684625</v>
      </c>
      <c r="R130" s="81">
        <f t="shared" si="23"/>
        <v>7.9906976003241148E-3</v>
      </c>
      <c r="S130" s="81">
        <f t="shared" si="24"/>
        <v>3.0477150482979498E-2</v>
      </c>
      <c r="T130" s="652"/>
      <c r="U130" s="54"/>
      <c r="V130" s="6"/>
      <c r="W130" s="6"/>
      <c r="X130" s="6"/>
      <c r="Y130" s="6"/>
      <c r="Z130" s="6"/>
      <c r="AA130" s="589">
        <v>2</v>
      </c>
      <c r="AB130" t="s">
        <v>554</v>
      </c>
    </row>
    <row r="131" spans="1:28" ht="15" customHeight="1">
      <c r="A131" s="4" t="str">
        <f>Home!$B$1</f>
        <v>Hungary</v>
      </c>
      <c r="B131" s="4" t="s">
        <v>57</v>
      </c>
      <c r="C131" s="2" t="s">
        <v>62</v>
      </c>
      <c r="F131" s="1" t="s">
        <v>177</v>
      </c>
      <c r="H131" s="463">
        <f>Airline_WS!B31</f>
        <v>13421.940870867194</v>
      </c>
      <c r="I131" s="463">
        <f>Airline_WS!C31</f>
        <v>12256.525074338175</v>
      </c>
      <c r="J131" s="463">
        <f>Airline_WS!D31</f>
        <v>13050.946619578353</v>
      </c>
      <c r="K131" s="463">
        <f>Airline_WS!E31</f>
        <v>14598.047029815159</v>
      </c>
      <c r="L131" s="463">
        <f>Airline_WS!F31</f>
        <v>15026.942827377328</v>
      </c>
      <c r="M131" s="33">
        <f>Airline_Forecasting!M45</f>
        <v>15503.677977863699</v>
      </c>
      <c r="N131" s="33">
        <f>Airline_Forecasting!N45</f>
        <v>15991.962602011299</v>
      </c>
      <c r="O131" s="33">
        <f>Airline_Forecasting!O45</f>
        <v>16566.550511164216</v>
      </c>
      <c r="P131" s="33">
        <f>Airline_Forecasting!P45</f>
        <v>17188.74332912992</v>
      </c>
      <c r="Q131" s="33">
        <f>Airline_Forecasting!Q45</f>
        <v>17962.94871357024</v>
      </c>
      <c r="R131" s="81">
        <f t="shared" si="23"/>
        <v>2.864099428245992E-2</v>
      </c>
      <c r="S131" s="81">
        <f t="shared" si="24"/>
        <v>3.6337943213042179E-2</v>
      </c>
      <c r="T131" s="652"/>
      <c r="U131" s="738" t="s">
        <v>999</v>
      </c>
      <c r="V131" s="6"/>
      <c r="W131" s="6"/>
      <c r="X131" s="6"/>
      <c r="Y131" s="6"/>
      <c r="Z131" s="6"/>
      <c r="AA131" s="589">
        <v>2</v>
      </c>
      <c r="AB131" t="s">
        <v>990</v>
      </c>
    </row>
    <row r="132" spans="1:28" ht="15" customHeight="1">
      <c r="A132" s="4" t="str">
        <f>Home!$B$1</f>
        <v>Hungary</v>
      </c>
      <c r="B132" s="4" t="s">
        <v>57</v>
      </c>
      <c r="C132" s="2" t="s">
        <v>63</v>
      </c>
      <c r="F132" s="1" t="str">
        <f>F123</f>
        <v>Foriant</v>
      </c>
      <c r="H132" s="100">
        <f>Airline_WS!B37</f>
        <v>1087.6339838796573</v>
      </c>
      <c r="I132" s="100">
        <f>Airline_WS!C37</f>
        <v>1018.6929610097217</v>
      </c>
      <c r="J132" s="100">
        <f>Airline_WS!D37</f>
        <v>903.96279454953958</v>
      </c>
      <c r="K132" s="100">
        <f>Airline_WS!E37</f>
        <v>844.08076454890204</v>
      </c>
      <c r="L132" s="100">
        <f>Airline_WS!F37</f>
        <v>854.36528548579372</v>
      </c>
      <c r="M132" s="33">
        <f>Airline_Forecasting!M63</f>
        <v>858.01858414436583</v>
      </c>
      <c r="N132" s="33">
        <f>Airline_Forecasting!N63</f>
        <v>859.92874203542124</v>
      </c>
      <c r="O132" s="33">
        <f>Airline_Forecasting!O63</f>
        <v>862.44859951198691</v>
      </c>
      <c r="P132" s="33">
        <f>Airline_Forecasting!P63</f>
        <v>867.09245676322632</v>
      </c>
      <c r="Q132" s="33">
        <f>Airline_Forecasting!Q63</f>
        <v>873.16100354231492</v>
      </c>
      <c r="R132" s="81">
        <f t="shared" si="23"/>
        <v>-5.8565290362005418E-2</v>
      </c>
      <c r="S132" s="81">
        <f t="shared" si="24"/>
        <v>4.3617101542654524E-3</v>
      </c>
      <c r="T132" s="652"/>
      <c r="U132" s="54"/>
      <c r="V132" s="6"/>
      <c r="W132" s="6"/>
      <c r="X132" s="6"/>
      <c r="Y132" s="6"/>
      <c r="Z132" s="6"/>
      <c r="AA132" s="589">
        <v>1</v>
      </c>
      <c r="AB132" t="s">
        <v>989</v>
      </c>
    </row>
    <row r="133" spans="1:28" ht="15" customHeight="1">
      <c r="A133" s="4" t="str">
        <f>Home!$B$1</f>
        <v>Hungary</v>
      </c>
      <c r="B133" s="4" t="s">
        <v>57</v>
      </c>
      <c r="C133" s="2" t="s">
        <v>64</v>
      </c>
      <c r="F133" s="1" t="str">
        <f>F135</f>
        <v>Foriant Million</v>
      </c>
      <c r="H133" s="644">
        <f t="shared" ref="H133:M133" si="25">(H132*H126)/1000</f>
        <v>30536.381277653712</v>
      </c>
      <c r="I133" s="644">
        <f t="shared" si="25"/>
        <v>25931.089089207522</v>
      </c>
      <c r="J133" s="644">
        <f t="shared" si="25"/>
        <v>24341.030575830904</v>
      </c>
      <c r="K133" s="644">
        <f t="shared" si="25"/>
        <v>25371.949375326967</v>
      </c>
      <c r="L133" s="644">
        <f t="shared" si="25"/>
        <v>26234.370280388579</v>
      </c>
      <c r="M133" s="33">
        <f t="shared" si="25"/>
        <v>26998.404361325276</v>
      </c>
      <c r="N133" s="33">
        <f t="shared" ref="N133:Q133" si="26">(N132*N126)/1000</f>
        <v>27689.050492039478</v>
      </c>
      <c r="O133" s="33">
        <f t="shared" si="26"/>
        <v>28600.404137993453</v>
      </c>
      <c r="P133" s="33">
        <f t="shared" si="26"/>
        <v>29705.861034004662</v>
      </c>
      <c r="Q133" s="33">
        <f t="shared" si="26"/>
        <v>30931.052886304082</v>
      </c>
      <c r="R133" s="81">
        <f t="shared" si="23"/>
        <v>-3.725057345449212E-2</v>
      </c>
      <c r="S133" s="81">
        <f t="shared" si="24"/>
        <v>3.3486509304913481E-2</v>
      </c>
      <c r="T133" s="652"/>
      <c r="U133" s="81"/>
      <c r="AA133" s="589">
        <v>1</v>
      </c>
      <c r="AB133" t="s">
        <v>555</v>
      </c>
    </row>
    <row r="134" spans="1:28" ht="15" customHeight="1">
      <c r="A134" s="4" t="str">
        <f>Home!$B$1</f>
        <v>Hungary</v>
      </c>
      <c r="B134" s="2" t="s">
        <v>74</v>
      </c>
      <c r="R134" s="81"/>
      <c r="S134" s="81"/>
      <c r="T134" s="652"/>
      <c r="U134" s="81"/>
      <c r="AB134"/>
    </row>
    <row r="135" spans="1:28" ht="15" customHeight="1">
      <c r="A135" s="4" t="str">
        <f>Home!$B$1</f>
        <v>Hungary</v>
      </c>
      <c r="B135" s="4" t="s">
        <v>74</v>
      </c>
      <c r="C135" s="2" t="s">
        <v>75</v>
      </c>
      <c r="F135" s="1" t="str">
        <f>""&amp;Home!$B$2&amp;" Million"</f>
        <v>Foriant Million</v>
      </c>
      <c r="H135" s="405">
        <f>'Car rental Working sheet'!B2</f>
        <v>2019.8551586425158</v>
      </c>
      <c r="I135" s="405">
        <f>'Car rental Working sheet'!C2</f>
        <v>1872.2784268589198</v>
      </c>
      <c r="J135" s="405">
        <f>'Car rental Working sheet'!D2</f>
        <v>2102.934326278521</v>
      </c>
      <c r="K135" s="405">
        <f>'Car rental Working sheet'!E2</f>
        <v>2206.7548677920909</v>
      </c>
      <c r="L135" s="405">
        <f>'Car rental Working sheet'!F2</f>
        <v>2131.7312648005327</v>
      </c>
      <c r="M135" s="40">
        <f>'Forecasting_Car Rental'!M4</f>
        <v>2197.6678027174025</v>
      </c>
      <c r="N135" s="40">
        <f>'Forecasting_Car Rental'!N4</f>
        <v>2272.8949782030604</v>
      </c>
      <c r="O135" s="40">
        <f>'Forecasting_Car Rental'!O4</f>
        <v>2343.3244007059684</v>
      </c>
      <c r="P135" s="40">
        <f>'Forecasting_Car Rental'!P4</f>
        <v>2434.4282489378866</v>
      </c>
      <c r="Q135" s="40">
        <f>'Forecasting_Car Rental'!Q4</f>
        <v>2518.5039541777005</v>
      </c>
      <c r="R135" s="324">
        <f t="shared" si="23"/>
        <v>1.3568387488480438E-2</v>
      </c>
      <c r="S135" s="324">
        <f t="shared" si="24"/>
        <v>3.3908334973252074E-2</v>
      </c>
      <c r="T135" s="653"/>
      <c r="U135" s="1" t="s">
        <v>787</v>
      </c>
      <c r="V135" s="82" t="s">
        <v>784</v>
      </c>
      <c r="W135" s="629" t="s">
        <v>786</v>
      </c>
      <c r="AA135" s="589">
        <v>2</v>
      </c>
      <c r="AB135" t="s">
        <v>788</v>
      </c>
    </row>
    <row r="136" spans="1:28" ht="15" customHeight="1">
      <c r="A136" s="4" t="str">
        <f>Home!$B$1</f>
        <v>Hungary</v>
      </c>
      <c r="B136" s="4" t="s">
        <v>74</v>
      </c>
      <c r="C136" s="4" t="s">
        <v>75</v>
      </c>
      <c r="D136" s="2" t="s">
        <v>19</v>
      </c>
      <c r="F136" s="1" t="str">
        <f>""&amp;Home!$B$2&amp;" Million"</f>
        <v>Foriant Million</v>
      </c>
      <c r="H136" s="64">
        <f>'Car rental Working sheet'!B30</f>
        <v>-3029.8111700109721</v>
      </c>
      <c r="I136" s="64">
        <f>'Car rental Working sheet'!C30</f>
        <v>-1789.500471367704</v>
      </c>
      <c r="J136" s="64">
        <f>'Car rental Working sheet'!D30</f>
        <v>-2077.7306787646471</v>
      </c>
      <c r="K136" s="64">
        <f>'Car rental Working sheet'!E30</f>
        <v>-3600.3337045582816</v>
      </c>
      <c r="L136" s="64">
        <f>'Car rental Working sheet'!F30</f>
        <v>-3771.4958295038114</v>
      </c>
      <c r="M136" s="39">
        <f>'Forecasting_Car Rental'!M6</f>
        <v>-4028.4543069346632</v>
      </c>
      <c r="N136" s="39">
        <f>'Forecasting_Car Rental'!N6</f>
        <v>-4902.4828951349937</v>
      </c>
      <c r="O136" s="39">
        <f>'Forecasting_Car Rental'!O6</f>
        <v>-6196.0273944758355</v>
      </c>
      <c r="P136" s="39">
        <f>'Forecasting_Car Rental'!P6</f>
        <v>-7324.4810340155909</v>
      </c>
      <c r="Q136" s="39">
        <f>'Forecasting_Car Rental'!Q6</f>
        <v>-8652.2440527174676</v>
      </c>
      <c r="R136" s="81">
        <f t="shared" si="23"/>
        <v>5.626895941155019E-2</v>
      </c>
      <c r="S136" s="81">
        <f t="shared" si="24"/>
        <v>0.18065504126047993</v>
      </c>
      <c r="T136" s="652"/>
      <c r="U136" s="81"/>
      <c r="V136" s="6"/>
      <c r="W136" s="6"/>
      <c r="X136" s="6"/>
      <c r="AA136" s="589">
        <v>1</v>
      </c>
      <c r="AB136" t="s">
        <v>777</v>
      </c>
    </row>
    <row r="137" spans="1:28" ht="15" customHeight="1">
      <c r="A137" s="4" t="str">
        <f>Home!$B$1</f>
        <v>Hungary</v>
      </c>
      <c r="B137" s="4" t="s">
        <v>74</v>
      </c>
      <c r="C137" s="4" t="s">
        <v>75</v>
      </c>
      <c r="D137" s="2" t="s">
        <v>20</v>
      </c>
      <c r="F137" s="1" t="str">
        <f>""&amp;Home!$B$2&amp;" Million"</f>
        <v>Foriant Million</v>
      </c>
      <c r="H137" s="64">
        <f>'Car rental Working sheet'!B31</f>
        <v>-3231.350736038512</v>
      </c>
      <c r="I137" s="64">
        <f>'Car rental Working sheet'!C31</f>
        <v>-3603.9410550855137</v>
      </c>
      <c r="J137" s="64">
        <f>'Car rental Working sheet'!D31</f>
        <v>-3021.5988788077275</v>
      </c>
      <c r="K137" s="64">
        <f>'Car rental Working sheet'!E31</f>
        <v>-2759.4808049172111</v>
      </c>
      <c r="L137" s="64">
        <f>'Car rental Working sheet'!F31</f>
        <v>-2948.8945955388263</v>
      </c>
      <c r="M137" s="39">
        <f>'Forecasting_Car Rental'!M9</f>
        <v>-2940.393838604698</v>
      </c>
      <c r="N137" s="39">
        <f>'Forecasting_Car Rental'!N9</f>
        <v>-2789.2139064314829</v>
      </c>
      <c r="O137" s="39">
        <f>'Forecasting_Car Rental'!O9</f>
        <v>-2773.0131941655677</v>
      </c>
      <c r="P137" s="39">
        <f>'Forecasting_Car Rental'!P9</f>
        <v>-2839.6669342334985</v>
      </c>
      <c r="Q137" s="39">
        <f>'Forecasting_Car Rental'!Q9</f>
        <v>-2817.3854471934269</v>
      </c>
      <c r="R137" s="81">
        <f t="shared" si="23"/>
        <v>-2.2607983129922959E-2</v>
      </c>
      <c r="S137" s="81">
        <f t="shared" si="24"/>
        <v>-9.0827163073690098E-3</v>
      </c>
      <c r="T137" s="652"/>
      <c r="U137" s="81"/>
      <c r="V137" s="6"/>
      <c r="W137" s="6"/>
      <c r="X137" s="6"/>
      <c r="AA137" s="589">
        <v>1</v>
      </c>
      <c r="AB137" s="84" t="s">
        <v>778</v>
      </c>
    </row>
    <row r="138" spans="1:28" ht="15" customHeight="1">
      <c r="A138" s="4" t="str">
        <f>Home!$B$1</f>
        <v>Hungary</v>
      </c>
      <c r="B138" s="4" t="s">
        <v>74</v>
      </c>
      <c r="C138" s="4" t="s">
        <v>75</v>
      </c>
      <c r="D138" s="2" t="s">
        <v>67</v>
      </c>
      <c r="F138" s="1" t="str">
        <f>""&amp;Home!$B$2&amp;" Million"</f>
        <v>Foriant Million</v>
      </c>
      <c r="H138" s="64">
        <f>'Car rental Working sheet'!B32</f>
        <v>8281.0170646919996</v>
      </c>
      <c r="I138" s="64">
        <f>'Car rental Working sheet'!C32</f>
        <v>7265.7199533121375</v>
      </c>
      <c r="J138" s="64">
        <f>'Car rental Working sheet'!D32</f>
        <v>7202.2638838508956</v>
      </c>
      <c r="K138" s="64">
        <f>'Car rental Working sheet'!E32</f>
        <v>8566.5693772675841</v>
      </c>
      <c r="L138" s="64">
        <f>'Car rental Working sheet'!F32</f>
        <v>8852.1216898431703</v>
      </c>
      <c r="M138" s="39">
        <f>'Forecasting_Car Rental'!M12</f>
        <v>9166.5159482567633</v>
      </c>
      <c r="N138" s="39">
        <f>'Forecasting_Car Rental'!N12</f>
        <v>9964.5917797695365</v>
      </c>
      <c r="O138" s="39">
        <f>'Forecasting_Car Rental'!O12</f>
        <v>11312.364989347372</v>
      </c>
      <c r="P138" s="39">
        <f>'Forecasting_Car Rental'!P12</f>
        <v>12598.576217186976</v>
      </c>
      <c r="Q138" s="39">
        <f>'Forecasting_Car Rental'!Q12</f>
        <v>13988.133454088595</v>
      </c>
      <c r="R138" s="81">
        <f t="shared" si="23"/>
        <v>1.6812611175657244E-2</v>
      </c>
      <c r="S138" s="81">
        <f t="shared" si="24"/>
        <v>9.5828215000800299E-2</v>
      </c>
      <c r="T138" s="652"/>
      <c r="U138" s="81"/>
      <c r="V138" s="6"/>
      <c r="W138" s="6"/>
      <c r="X138" s="6"/>
      <c r="AA138" s="589">
        <v>1</v>
      </c>
      <c r="AB138" t="s">
        <v>779</v>
      </c>
    </row>
    <row r="139" spans="1:28" ht="15" customHeight="1">
      <c r="A139" s="4" t="str">
        <f>Home!$B$1</f>
        <v>Hungary</v>
      </c>
      <c r="B139" s="4" t="s">
        <v>74</v>
      </c>
      <c r="C139" s="2" t="s">
        <v>76</v>
      </c>
      <c r="F139" s="1" t="str">
        <f>""&amp;Home!$B$2&amp;" Million"</f>
        <v>Foriant Million</v>
      </c>
      <c r="H139" s="405">
        <f>H135</f>
        <v>2019.8551586425158</v>
      </c>
      <c r="I139" s="405">
        <f t="shared" ref="I139:L139" si="27">I135</f>
        <v>1872.2784268589198</v>
      </c>
      <c r="J139" s="405">
        <f t="shared" si="27"/>
        <v>2102.934326278521</v>
      </c>
      <c r="K139" s="405">
        <f t="shared" si="27"/>
        <v>2206.7548677920909</v>
      </c>
      <c r="L139" s="405">
        <f t="shared" si="27"/>
        <v>2131.7312648005327</v>
      </c>
      <c r="M139" s="40">
        <f>'Forecasting_Car Rental'!M4</f>
        <v>2197.6678027174025</v>
      </c>
      <c r="N139" s="40">
        <f>'Forecasting_Car Rental'!N4</f>
        <v>2272.8949782030604</v>
      </c>
      <c r="O139" s="40">
        <f>'Forecasting_Car Rental'!O4</f>
        <v>2343.3244007059684</v>
      </c>
      <c r="P139" s="40">
        <f>'Forecasting_Car Rental'!P4</f>
        <v>2434.4282489378866</v>
      </c>
      <c r="Q139" s="40">
        <f>'Forecasting_Car Rental'!Q4</f>
        <v>2518.5039541777005</v>
      </c>
      <c r="R139" s="324">
        <f t="shared" si="23"/>
        <v>1.3568387488480438E-2</v>
      </c>
      <c r="S139" s="324">
        <f t="shared" si="24"/>
        <v>3.3908334973252074E-2</v>
      </c>
      <c r="T139" s="653"/>
      <c r="U139" s="81"/>
      <c r="V139" s="6"/>
      <c r="W139" s="6"/>
      <c r="X139" s="6"/>
      <c r="AA139" s="589">
        <v>2</v>
      </c>
      <c r="AB139" t="s">
        <v>775</v>
      </c>
    </row>
    <row r="140" spans="1:28" ht="15" customHeight="1">
      <c r="A140" s="4" t="str">
        <f>Home!$B$1</f>
        <v>Hungary</v>
      </c>
      <c r="B140" s="4" t="s">
        <v>74</v>
      </c>
      <c r="C140" s="4" t="s">
        <v>76</v>
      </c>
      <c r="D140" s="2" t="s">
        <v>65</v>
      </c>
      <c r="F140" s="1" t="str">
        <f>""&amp;Home!$B$2&amp;" Million"</f>
        <v>Foriant Million</v>
      </c>
      <c r="H140" s="64">
        <f>'Car rental Working sheet'!B14</f>
        <v>367.46359809689318</v>
      </c>
      <c r="I140" s="64">
        <f>'Car rental Working sheet'!C14</f>
        <v>346.37056017024804</v>
      </c>
      <c r="J140" s="64">
        <f>'Car rental Working sheet'!D14</f>
        <v>379.33804478426163</v>
      </c>
      <c r="K140" s="64">
        <f>'Car rental Working sheet'!E14</f>
        <v>394.17704137433242</v>
      </c>
      <c r="L140" s="64">
        <f>'Car rental Working sheet'!F14</f>
        <v>383.45397084574103</v>
      </c>
      <c r="M140" s="39">
        <f>'Forecasting_Car Rental'!M16</f>
        <v>394.19807806942612</v>
      </c>
      <c r="N140" s="39">
        <f>'Forecasting_Car Rental'!N16</f>
        <v>404.55475087350766</v>
      </c>
      <c r="O140" s="39">
        <f>'Forecasting_Car Rental'!O16</f>
        <v>416.11535330572542</v>
      </c>
      <c r="P140" s="39">
        <f>'Forecasting_Car Rental'!P16</f>
        <v>432.08919372848527</v>
      </c>
      <c r="Q140" s="39">
        <f>'Forecasting_Car Rental'!Q16</f>
        <v>445.966309315422</v>
      </c>
      <c r="R140" s="81">
        <f t="shared" si="23"/>
        <v>1.0705732805298629E-2</v>
      </c>
      <c r="S140" s="81">
        <f t="shared" si="24"/>
        <v>3.0665555504785891E-2</v>
      </c>
      <c r="T140" s="652"/>
      <c r="U140" s="1" t="s">
        <v>789</v>
      </c>
      <c r="V140" s="82" t="s">
        <v>784</v>
      </c>
      <c r="W140" s="629" t="s">
        <v>786</v>
      </c>
      <c r="X140" s="6"/>
      <c r="AA140" s="589">
        <v>2</v>
      </c>
      <c r="AB140" t="s">
        <v>780</v>
      </c>
    </row>
    <row r="141" spans="1:28" ht="15" customHeight="1">
      <c r="A141" s="4" t="str">
        <f>Home!$B$1</f>
        <v>Hungary</v>
      </c>
      <c r="B141" s="4" t="s">
        <v>74</v>
      </c>
      <c r="C141" s="4" t="s">
        <v>76</v>
      </c>
      <c r="D141" s="2" t="s">
        <v>66</v>
      </c>
      <c r="F141" s="1" t="str">
        <f>""&amp;Home!$B$2&amp;" Million"</f>
        <v>Foriant Million</v>
      </c>
      <c r="H141" s="64">
        <f>'Car rental Working sheet'!B15</f>
        <v>1652.3915605456227</v>
      </c>
      <c r="I141" s="64">
        <f>'Car rental Working sheet'!C15</f>
        <v>1525.9078666886717</v>
      </c>
      <c r="J141" s="64">
        <f>'Car rental Working sheet'!D15</f>
        <v>1723.5962814942593</v>
      </c>
      <c r="K141" s="64">
        <f>'Car rental Working sheet'!E15</f>
        <v>1812.5778264177584</v>
      </c>
      <c r="L141" s="64">
        <f>'Car rental Working sheet'!F15</f>
        <v>1748.2772939547917</v>
      </c>
      <c r="M141" s="39">
        <f>'Forecasting_Car Rental'!M19</f>
        <v>1803.4697246479766</v>
      </c>
      <c r="N141" s="39">
        <f>'Forecasting_Car Rental'!N19</f>
        <v>1868.3402273295528</v>
      </c>
      <c r="O141" s="39">
        <f>'Forecasting_Car Rental'!O19</f>
        <v>1927.209047400243</v>
      </c>
      <c r="P141" s="39">
        <f>'Forecasting_Car Rental'!P19</f>
        <v>2002.3390552094013</v>
      </c>
      <c r="Q141" s="39">
        <f>'Forecasting_Car Rental'!Q19</f>
        <v>2072.5376448622787</v>
      </c>
      <c r="R141" s="81">
        <f t="shared" si="23"/>
        <v>1.4201707150307996E-2</v>
      </c>
      <c r="S141" s="81">
        <f t="shared" si="24"/>
        <v>3.4614169828588226E-2</v>
      </c>
      <c r="T141" s="652"/>
      <c r="U141" s="81"/>
      <c r="V141" s="6"/>
      <c r="W141" s="6"/>
      <c r="X141" s="6"/>
      <c r="AA141" s="589">
        <v>2</v>
      </c>
      <c r="AB141" t="s">
        <v>523</v>
      </c>
    </row>
    <row r="142" spans="1:28" ht="15" customHeight="1">
      <c r="A142" s="4" t="str">
        <f>Home!$B$1</f>
        <v>Hungary</v>
      </c>
      <c r="B142" s="4" t="s">
        <v>74</v>
      </c>
      <c r="C142" s="2" t="s">
        <v>68</v>
      </c>
      <c r="F142" s="1" t="s">
        <v>175</v>
      </c>
      <c r="H142" s="627">
        <f>'Car rental Working sheet'!B9</f>
        <v>22751</v>
      </c>
      <c r="I142" s="627">
        <f>'Car rental Working sheet'!C9</f>
        <v>25913</v>
      </c>
      <c r="J142" s="627">
        <f>'Car rental Working sheet'!D9</f>
        <v>26361</v>
      </c>
      <c r="K142" s="627">
        <f>'Car rental Working sheet'!E9</f>
        <v>28640</v>
      </c>
      <c r="L142" s="627">
        <f>'Car rental Working sheet'!F9</f>
        <v>28051</v>
      </c>
      <c r="M142" s="20">
        <f>'Forecasting_Car Rental'!M23</f>
        <v>28487.254433838923</v>
      </c>
      <c r="N142" s="20">
        <f>'Forecasting_Car Rental'!N23</f>
        <v>28775.07568982428</v>
      </c>
      <c r="O142" s="20">
        <f>'Forecasting_Car Rental'!O23</f>
        <v>29108.880889999713</v>
      </c>
      <c r="P142" s="20">
        <f>'Forecasting_Car Rental'!P23</f>
        <v>29644.724427262969</v>
      </c>
      <c r="Q142" s="20">
        <f>'Forecasting_Car Rental'!Q23</f>
        <v>30057.585643225801</v>
      </c>
      <c r="R142" s="324">
        <f t="shared" si="23"/>
        <v>5.3748487908437337E-2</v>
      </c>
      <c r="S142" s="324">
        <f t="shared" si="24"/>
        <v>1.3914068231170251E-2</v>
      </c>
      <c r="T142" s="653"/>
      <c r="U142" s="1" t="s">
        <v>785</v>
      </c>
      <c r="V142" s="82" t="s">
        <v>784</v>
      </c>
      <c r="W142" s="629" t="s">
        <v>786</v>
      </c>
      <c r="X142" s="6"/>
      <c r="AA142" s="589">
        <v>5</v>
      </c>
      <c r="AB142" t="s">
        <v>781</v>
      </c>
    </row>
    <row r="143" spans="1:28" ht="15" customHeight="1">
      <c r="A143" s="4" t="str">
        <f>Home!$B$1</f>
        <v>Hungary</v>
      </c>
      <c r="B143" s="4" t="s">
        <v>74</v>
      </c>
      <c r="C143" s="2" t="s">
        <v>69</v>
      </c>
      <c r="F143" s="1" t="s">
        <v>177</v>
      </c>
      <c r="H143" s="628">
        <f>H144/H145</f>
        <v>1.0780523637058455</v>
      </c>
      <c r="I143" s="628">
        <f>I144/I145</f>
        <v>1.2030183883320529</v>
      </c>
      <c r="J143" s="628">
        <f>J144/J145</f>
        <v>1.2142702810193595</v>
      </c>
      <c r="K143" s="628">
        <f>K144/K145</f>
        <v>1.3349704659661277</v>
      </c>
      <c r="L143" s="628">
        <f>L144/L145</f>
        <v>1.3100132790610755</v>
      </c>
      <c r="M143" s="39">
        <f>'Forecasting_Car Rental'!M33</f>
        <v>1.3311325785864183</v>
      </c>
      <c r="N143" s="39">
        <f>'Forecasting_Car Rental'!N33</f>
        <v>1.3515449778513566</v>
      </c>
      <c r="O143" s="39">
        <f>'Forecasting_Car Rental'!O33</f>
        <v>1.3701134383510227</v>
      </c>
      <c r="P143" s="39">
        <f>'Forecasting_Car Rental'!P33</f>
        <v>1.3912787911202142</v>
      </c>
      <c r="Q143" s="39">
        <f>'Forecasting_Car Rental'!Q33</f>
        <v>1.4051925126816738</v>
      </c>
      <c r="R143" s="81">
        <f t="shared" si="23"/>
        <v>4.9926652449049369E-2</v>
      </c>
      <c r="S143" s="81">
        <f t="shared" si="24"/>
        <v>1.4126253578259584E-2</v>
      </c>
      <c r="T143" s="652"/>
      <c r="U143" s="81"/>
      <c r="V143" s="6"/>
      <c r="W143" s="6"/>
      <c r="X143" s="6"/>
      <c r="AA143" s="589">
        <v>1</v>
      </c>
      <c r="AB143" t="s">
        <v>520</v>
      </c>
    </row>
    <row r="144" spans="1:28" ht="15" customHeight="1">
      <c r="A144" s="4" t="str">
        <f>Home!$B$1</f>
        <v>Hungary</v>
      </c>
      <c r="B144" s="4" t="s">
        <v>74</v>
      </c>
      <c r="C144" s="2" t="s">
        <v>70</v>
      </c>
      <c r="F144" s="1" t="s">
        <v>177</v>
      </c>
      <c r="H144" s="628">
        <f>H142*H146*365/1000000</f>
        <v>5.9041598974397891</v>
      </c>
      <c r="I144" s="628">
        <f>I142*I146*365/1000000</f>
        <v>6.8686189956796344</v>
      </c>
      <c r="J144" s="628">
        <f>J142*J146*365/1000000</f>
        <v>7.0020660734926974</v>
      </c>
      <c r="K144" s="628">
        <f>K142*K146*365/1000000</f>
        <v>7.5225647729096545</v>
      </c>
      <c r="L144" s="628">
        <f>L142*L146*365/1000000</f>
        <v>7.5081894803578306</v>
      </c>
      <c r="M144" s="60">
        <f>'Forecasting_Car Rental'!M35</f>
        <v>7.7140248844381256</v>
      </c>
      <c r="N144" s="60">
        <f>'Forecasting_Car Rental'!N35</f>
        <v>7.9412147767709254</v>
      </c>
      <c r="O144" s="60">
        <f>'Forecasting_Car Rental'!O35</f>
        <v>8.1340882368926462</v>
      </c>
      <c r="P144" s="39">
        <f>'Forecasting_Car Rental'!P35</f>
        <v>8.3591442604072448</v>
      </c>
      <c r="Q144" s="39">
        <f>'Forecasting_Car Rental'!Q35</f>
        <v>8.5360850110249462</v>
      </c>
      <c r="R144" s="81">
        <f t="shared" si="23"/>
        <v>6.192605934365969E-2</v>
      </c>
      <c r="S144" s="81">
        <f t="shared" si="24"/>
        <v>2.5993717573006947E-2</v>
      </c>
      <c r="T144" s="652"/>
      <c r="U144" s="81"/>
      <c r="V144" s="6"/>
      <c r="W144" s="6"/>
      <c r="X144" s="6"/>
      <c r="AA144" s="589">
        <v>1</v>
      </c>
      <c r="AB144" t="s">
        <v>521</v>
      </c>
    </row>
    <row r="145" spans="1:49" ht="15" customHeight="1">
      <c r="A145" s="4" t="str">
        <f>Home!$B$1</f>
        <v>Hungary</v>
      </c>
      <c r="B145" s="4" t="s">
        <v>74</v>
      </c>
      <c r="C145" s="2" t="s">
        <v>71</v>
      </c>
      <c r="F145" s="1" t="s">
        <v>450</v>
      </c>
      <c r="H145" s="388">
        <f>'Car rental Working sheet'!B62</f>
        <v>5.4766912037037034</v>
      </c>
      <c r="I145" s="388">
        <f>'Car rental Working sheet'!C62</f>
        <v>5.7094879532163745</v>
      </c>
      <c r="J145" s="388">
        <f>'Car rental Working sheet'!D62</f>
        <v>5.7664806451612902</v>
      </c>
      <c r="K145" s="388">
        <f>'Car rental Working sheet'!E62</f>
        <v>5.63500464219298</v>
      </c>
      <c r="L145" s="388">
        <f>'Car rental Working sheet'!F62</f>
        <v>5.7313842541650937</v>
      </c>
      <c r="M145" s="39">
        <f>'Forecasting_Car Rental'!M47</f>
        <v>5.7950838320176565</v>
      </c>
      <c r="N145" s="39">
        <f>'Forecasting_Car Rental'!N47</f>
        <v>5.8756570494572937</v>
      </c>
      <c r="O145" s="39">
        <f>'Forecasting_Car Rental'!O47</f>
        <v>5.9367991067092172</v>
      </c>
      <c r="P145" s="39">
        <f>'Forecasting_Car Rental'!P47</f>
        <v>6.0082453019187643</v>
      </c>
      <c r="Q145" s="39">
        <f>'Forecasting_Car Rental'!Q47</f>
        <v>6.0746729960399906</v>
      </c>
      <c r="R145" s="81">
        <f t="shared" si="23"/>
        <v>1.1428804923296898E-2</v>
      </c>
      <c r="S145" s="81">
        <f t="shared" si="24"/>
        <v>1.1702156366501626E-2</v>
      </c>
      <c r="T145" s="652"/>
      <c r="U145" s="81"/>
      <c r="V145" s="6"/>
      <c r="W145" s="6"/>
      <c r="X145" s="6"/>
      <c r="AA145" s="589">
        <v>1</v>
      </c>
      <c r="AB145" t="s">
        <v>783</v>
      </c>
    </row>
    <row r="146" spans="1:49" ht="15" customHeight="1">
      <c r="A146" s="4" t="str">
        <f>Home!$B$1</f>
        <v>Hungary</v>
      </c>
      <c r="B146" s="4" t="s">
        <v>74</v>
      </c>
      <c r="C146" s="2" t="s">
        <v>72</v>
      </c>
      <c r="F146" s="1" t="s">
        <v>176</v>
      </c>
      <c r="H146" s="389">
        <f>'Car rental Working sheet'!B47</f>
        <v>0.71099206808188342</v>
      </c>
      <c r="I146" s="389">
        <f>'Car rental Working sheet'!C47</f>
        <v>0.72620438524056363</v>
      </c>
      <c r="J146" s="389">
        <f>'Car rental Working sheet'!D47</f>
        <v>0.72773197781204357</v>
      </c>
      <c r="K146" s="389">
        <f>'Car rental Working sheet'!E47</f>
        <v>0.71961475213415993</v>
      </c>
      <c r="L146" s="389">
        <f>'Car rental Working sheet'!F47</f>
        <v>0.73332081344574729</v>
      </c>
      <c r="M146" s="32">
        <f>'Forecasting_Car Rental'!M58</f>
        <v>0.74188668483195874</v>
      </c>
      <c r="N146" s="32">
        <f>'Forecasting_Car Rental'!N58</f>
        <v>0.75609715323059468</v>
      </c>
      <c r="O146" s="32">
        <f>'Forecasting_Car Rental'!O58</f>
        <v>0.76557987014254103</v>
      </c>
      <c r="P146" s="32">
        <f>'Forecasting_Car Rental'!P58</f>
        <v>0.77254100145874149</v>
      </c>
      <c r="Q146" s="32">
        <f>'Forecasting_Car Rental'!Q58</f>
        <v>0.77805764422903312</v>
      </c>
      <c r="R146" s="81">
        <f t="shared" si="23"/>
        <v>7.7604585240771407E-3</v>
      </c>
      <c r="S146" s="81">
        <f t="shared" si="24"/>
        <v>1.1913878819050705E-2</v>
      </c>
      <c r="T146" s="652"/>
      <c r="U146" s="81"/>
      <c r="V146" s="6"/>
      <c r="W146" s="6"/>
      <c r="X146" s="6"/>
      <c r="AA146" s="589">
        <v>1</v>
      </c>
      <c r="AB146" t="s">
        <v>782</v>
      </c>
    </row>
    <row r="147" spans="1:49" ht="15" customHeight="1">
      <c r="A147" s="4" t="str">
        <f>Home!$B$1</f>
        <v>Hungary</v>
      </c>
      <c r="B147" s="4" t="s">
        <v>74</v>
      </c>
      <c r="C147" s="2" t="s">
        <v>73</v>
      </c>
      <c r="F147" s="1" t="s">
        <v>174</v>
      </c>
      <c r="H147" s="628">
        <f>H135/H144</f>
        <v>342.10712340605517</v>
      </c>
      <c r="I147" s="628">
        <f>I135/I144</f>
        <v>272.58440569153481</v>
      </c>
      <c r="J147" s="628">
        <f>J135/J144</f>
        <v>300.33054589979861</v>
      </c>
      <c r="K147" s="628">
        <f>K135/K144</f>
        <v>293.35139469175215</v>
      </c>
      <c r="L147" s="628">
        <f>L135/L144</f>
        <v>283.92081345008052</v>
      </c>
      <c r="M147" s="39">
        <f>'Forecasting_Car Rental'!M60</f>
        <v>284.89249589418148</v>
      </c>
      <c r="N147" s="39">
        <f>'Forecasting_Car Rental'!N60</f>
        <v>286.21502403531139</v>
      </c>
      <c r="O147" s="39">
        <f>'Forecasting_Car Rental'!O60</f>
        <v>288.08691674595804</v>
      </c>
      <c r="P147" s="39">
        <f>'Forecasting_Car Rental'!P60</f>
        <v>291.22936189395119</v>
      </c>
      <c r="Q147" s="39">
        <f>'Forecasting_Car Rental'!Q60</f>
        <v>295.0420422154744</v>
      </c>
      <c r="R147" s="81">
        <f t="shared" si="23"/>
        <v>-4.5537701452648793E-2</v>
      </c>
      <c r="S147" s="81">
        <f t="shared" si="24"/>
        <v>7.7140992821740362E-3</v>
      </c>
      <c r="T147" s="652"/>
      <c r="U147" s="81"/>
      <c r="V147" s="6"/>
      <c r="W147" s="6"/>
      <c r="X147" s="6"/>
      <c r="AA147" s="589">
        <v>2</v>
      </c>
      <c r="AB147" t="s">
        <v>519</v>
      </c>
    </row>
    <row r="148" spans="1:49" ht="15" customHeight="1">
      <c r="A148" s="4" t="str">
        <f>Home!$B$1</f>
        <v>Hungary</v>
      </c>
      <c r="B148" s="2" t="s">
        <v>77</v>
      </c>
      <c r="R148" s="81"/>
      <c r="S148" s="81"/>
      <c r="T148" s="652"/>
      <c r="U148" s="81"/>
    </row>
    <row r="149" spans="1:49" ht="15" customHeight="1">
      <c r="A149" s="4" t="str">
        <f>Home!$B$1</f>
        <v>Hungary</v>
      </c>
      <c r="B149" s="4" t="s">
        <v>77</v>
      </c>
      <c r="C149" s="2" t="s">
        <v>94</v>
      </c>
      <c r="F149" s="1" t="s">
        <v>175</v>
      </c>
      <c r="H149" s="73">
        <f>'Hotel working sheet'!K12</f>
        <v>5599</v>
      </c>
      <c r="I149" s="73">
        <f>'Hotel working sheet'!L12</f>
        <v>5737</v>
      </c>
      <c r="J149" s="73">
        <f>'Hotel working sheet'!M12</f>
        <v>5670</v>
      </c>
      <c r="K149" s="73">
        <f>'Hotel working sheet'!N12</f>
        <v>5540</v>
      </c>
      <c r="L149" s="73">
        <f>'Hotel working sheet'!O12</f>
        <v>7864</v>
      </c>
      <c r="M149" s="33">
        <f>'Hotel-Forecasting'!L6</f>
        <v>8134.918784071453</v>
      </c>
      <c r="N149" s="33">
        <f>'Hotel-Forecasting'!M6</f>
        <v>8842.1065292181411</v>
      </c>
      <c r="O149" s="33">
        <f>'Hotel-Forecasting'!N6</f>
        <v>9659.4926429886145</v>
      </c>
      <c r="P149" s="33">
        <f>'Hotel-Forecasting'!O6</f>
        <v>10641.108581559691</v>
      </c>
      <c r="Q149" s="33">
        <f>'Hotel-Forecasting'!P6</f>
        <v>11149.385420981365</v>
      </c>
      <c r="R149" s="19">
        <f t="shared" si="23"/>
        <v>8.8637422467378935E-2</v>
      </c>
      <c r="S149" s="19">
        <f t="shared" si="24"/>
        <v>7.2312786852233968E-2</v>
      </c>
      <c r="T149" s="654"/>
      <c r="U149" s="82" t="s">
        <v>1072</v>
      </c>
      <c r="V149" s="82" t="s">
        <v>1072</v>
      </c>
      <c r="W149" s="82" t="s">
        <v>1072</v>
      </c>
      <c r="X149" s="82" t="s">
        <v>1072</v>
      </c>
      <c r="Y149" s="82" t="s">
        <v>1072</v>
      </c>
      <c r="AA149" s="589">
        <v>5</v>
      </c>
      <c r="AB149" s="1" t="s">
        <v>1073</v>
      </c>
      <c r="AW149" s="450"/>
    </row>
    <row r="150" spans="1:49" ht="15" customHeight="1">
      <c r="A150" s="4" t="str">
        <f>Home!$B$1</f>
        <v>Hungary</v>
      </c>
      <c r="B150" s="4" t="s">
        <v>77</v>
      </c>
      <c r="C150" s="2" t="s">
        <v>95</v>
      </c>
      <c r="F150" s="1" t="s">
        <v>175</v>
      </c>
      <c r="H150" s="465">
        <f>'Hotel working sheet'!K18</f>
        <v>65815</v>
      </c>
      <c r="I150" s="465">
        <f>'Hotel working sheet'!L18</f>
        <v>67310</v>
      </c>
      <c r="J150" s="465">
        <f>'Hotel working sheet'!M18</f>
        <v>69129</v>
      </c>
      <c r="K150" s="465">
        <f>'Hotel working sheet'!N18</f>
        <v>66029</v>
      </c>
      <c r="L150" s="465">
        <f>'Hotel working sheet'!O18</f>
        <v>70252</v>
      </c>
      <c r="M150" s="33">
        <f>'Hotel-Forecasting'!L18</f>
        <v>68816.786870399257</v>
      </c>
      <c r="N150" s="33">
        <f>'Hotel-Forecasting'!M18</f>
        <v>71862.631762585865</v>
      </c>
      <c r="O150" s="33">
        <f>'Hotel-Forecasting'!N18</f>
        <v>74721.102316365635</v>
      </c>
      <c r="P150" s="33">
        <f>'Hotel-Forecasting'!O18</f>
        <v>74725.727906830449</v>
      </c>
      <c r="Q150" s="33">
        <f>'Hotel-Forecasting'!P18</f>
        <v>74179.933061612523</v>
      </c>
      <c r="R150" s="19">
        <f t="shared" ref="R150:R162" si="28">(L150/H150)^(1/4)-1</f>
        <v>1.6443988667009579E-2</v>
      </c>
      <c r="S150" s="19">
        <f t="shared" ref="S150:S162" si="29">(Q150/L150)^(1/5)-1</f>
        <v>1.0940391565981811E-2</v>
      </c>
      <c r="T150" s="654"/>
      <c r="U150" s="82" t="s">
        <v>1072</v>
      </c>
      <c r="V150" s="82" t="s">
        <v>1072</v>
      </c>
      <c r="W150" s="82" t="s">
        <v>1072</v>
      </c>
      <c r="X150" s="82" t="s">
        <v>1072</v>
      </c>
      <c r="Y150" s="82" t="s">
        <v>1072</v>
      </c>
      <c r="AA150" s="589">
        <v>5</v>
      </c>
      <c r="AB150" s="1" t="s">
        <v>1073</v>
      </c>
      <c r="AW150" s="450"/>
    </row>
    <row r="151" spans="1:49" ht="15" customHeight="1">
      <c r="A151" s="4" t="str">
        <f>Home!$B$1</f>
        <v>Hungary</v>
      </c>
      <c r="B151" s="4" t="s">
        <v>77</v>
      </c>
      <c r="C151" s="2" t="s">
        <v>96</v>
      </c>
      <c r="F151" s="1" t="s">
        <v>176</v>
      </c>
      <c r="H151" s="838">
        <f>'Hotel working sheet'!I153</f>
        <v>0.48499999999999999</v>
      </c>
      <c r="I151" s="636">
        <f>'Hotel working sheet'!I166</f>
        <v>0.43099999999999999</v>
      </c>
      <c r="J151" s="636">
        <f>'Hotel working sheet'!I179</f>
        <v>0.44299999999999995</v>
      </c>
      <c r="K151" s="636">
        <f>'Hotel working sheet'!I192</f>
        <v>0.45899999999999996</v>
      </c>
      <c r="L151" s="636">
        <f>'Hotel working sheet'!I205</f>
        <v>0.47700000000000004</v>
      </c>
      <c r="M151" s="37">
        <f>M153/M152</f>
        <v>0.49148620151387556</v>
      </c>
      <c r="N151" s="37">
        <f t="shared" ref="N151:Q151" si="30">N153/N152</f>
        <v>0.48395902595397294</v>
      </c>
      <c r="O151" s="37">
        <f t="shared" si="30"/>
        <v>0.44068718587636735</v>
      </c>
      <c r="P151" s="37">
        <f t="shared" si="30"/>
        <v>0.44292727355082173</v>
      </c>
      <c r="Q151" s="37">
        <f t="shared" si="30"/>
        <v>0.44750265910872766</v>
      </c>
      <c r="R151" s="19">
        <f t="shared" si="28"/>
        <v>-4.1494670841006887E-3</v>
      </c>
      <c r="S151" s="19">
        <f t="shared" si="29"/>
        <v>-1.2685652299119665E-2</v>
      </c>
      <c r="T151" s="654"/>
      <c r="U151" s="82" t="s">
        <v>1119</v>
      </c>
      <c r="V151" s="82" t="s">
        <v>1119</v>
      </c>
      <c r="W151" s="82" t="s">
        <v>1119</v>
      </c>
      <c r="X151" s="82" t="s">
        <v>1119</v>
      </c>
      <c r="Y151" s="82" t="s">
        <v>1119</v>
      </c>
      <c r="AA151" s="589">
        <v>5</v>
      </c>
      <c r="AB151" s="1" t="s">
        <v>1120</v>
      </c>
      <c r="AW151" s="450"/>
    </row>
    <row r="152" spans="1:49" ht="15" customHeight="1">
      <c r="A152" s="4" t="str">
        <f>Home!$B$1</f>
        <v>Hungary</v>
      </c>
      <c r="B152" s="4" t="s">
        <v>77</v>
      </c>
      <c r="C152" s="2" t="s">
        <v>97</v>
      </c>
      <c r="F152" s="1" t="s">
        <v>177</v>
      </c>
      <c r="H152" s="97">
        <f>(H150*365)/1000000</f>
        <v>24.022475</v>
      </c>
      <c r="I152" s="97">
        <f t="shared" ref="I152:J152" si="31">(I150*365)/1000000</f>
        <v>24.568149999999999</v>
      </c>
      <c r="J152" s="97">
        <f t="shared" si="31"/>
        <v>25.232085000000001</v>
      </c>
      <c r="K152" s="97">
        <f t="shared" ref="K152:Q152" si="32">(K150*365)/1000000</f>
        <v>24.100584999999999</v>
      </c>
      <c r="L152" s="97">
        <f t="shared" si="32"/>
        <v>25.64198</v>
      </c>
      <c r="M152" s="97">
        <f t="shared" si="32"/>
        <v>25.118127207695728</v>
      </c>
      <c r="N152" s="97">
        <f t="shared" si="32"/>
        <v>26.22986059334384</v>
      </c>
      <c r="O152" s="97">
        <f t="shared" si="32"/>
        <v>27.273202345473457</v>
      </c>
      <c r="P152" s="97">
        <f t="shared" si="32"/>
        <v>27.274890685993114</v>
      </c>
      <c r="Q152" s="97">
        <f t="shared" si="32"/>
        <v>27.07567556748857</v>
      </c>
      <c r="R152" s="19">
        <f t="shared" si="28"/>
        <v>1.6443988667009579E-2</v>
      </c>
      <c r="S152" s="19">
        <f t="shared" si="29"/>
        <v>1.0940391565981811E-2</v>
      </c>
      <c r="T152" s="654"/>
      <c r="U152" s="19"/>
      <c r="V152" s="82"/>
      <c r="W152" s="82"/>
      <c r="X152" s="82"/>
      <c r="Y152" s="82"/>
      <c r="AA152" s="589">
        <v>5</v>
      </c>
      <c r="AB152" s="1" t="s">
        <v>292</v>
      </c>
      <c r="AW152" s="450"/>
    </row>
    <row r="153" spans="1:49" ht="15" customHeight="1">
      <c r="A153" s="4" t="str">
        <f>Home!$B$1</f>
        <v>Hungary</v>
      </c>
      <c r="B153" s="4" t="s">
        <v>77</v>
      </c>
      <c r="C153" s="2" t="s">
        <v>98</v>
      </c>
      <c r="F153" s="1" t="s">
        <v>177</v>
      </c>
      <c r="H153" s="97">
        <f>H152*H151</f>
        <v>11.650900374999999</v>
      </c>
      <c r="I153" s="97">
        <f t="shared" ref="I153:L153" si="33">I152*I151</f>
        <v>10.588872649999999</v>
      </c>
      <c r="J153" s="97">
        <f t="shared" si="33"/>
        <v>11.177813655</v>
      </c>
      <c r="K153" s="97">
        <f t="shared" si="33"/>
        <v>11.062168514999998</v>
      </c>
      <c r="L153" s="97">
        <f t="shared" si="33"/>
        <v>12.231224460000002</v>
      </c>
      <c r="M153" s="99">
        <f>'Hotel-Forecasting'!L25</f>
        <v>12.345212930452703</v>
      </c>
      <c r="N153" s="99">
        <f>'Hotel-Forecasting'!M25</f>
        <v>12.694177783663184</v>
      </c>
      <c r="O153" s="99">
        <f>'Hotel-Forecasting'!N25</f>
        <v>12.018950791463439</v>
      </c>
      <c r="P153" s="99">
        <f>'Hotel-Forecasting'!O25</f>
        <v>12.080792967943632</v>
      </c>
      <c r="Q153" s="99">
        <f>'Hotel-Forecasting'!P25</f>
        <v>12.116436813616344</v>
      </c>
      <c r="R153" s="19">
        <f t="shared" si="28"/>
        <v>1.2226287793204005E-2</v>
      </c>
      <c r="S153" s="19">
        <f>(Q153/L153)^(1/5)-1</f>
        <v>-1.8840467365601743E-3</v>
      </c>
      <c r="T153" s="654"/>
      <c r="U153" s="19"/>
      <c r="V153" s="82"/>
      <c r="W153" s="82"/>
      <c r="X153" s="82"/>
      <c r="Y153" s="82"/>
      <c r="Z153" s="82"/>
      <c r="AA153" s="589">
        <v>5</v>
      </c>
      <c r="AB153" s="1" t="s">
        <v>810</v>
      </c>
      <c r="AW153" s="450"/>
    </row>
    <row r="154" spans="1:49" ht="15" customHeight="1">
      <c r="A154" s="4" t="str">
        <f>Home!$B$1</f>
        <v>Hungary</v>
      </c>
      <c r="B154" s="4" t="s">
        <v>77</v>
      </c>
      <c r="C154" s="2" t="s">
        <v>99</v>
      </c>
      <c r="F154" s="1" t="str">
        <f>Home!$B$2</f>
        <v>Foriant</v>
      </c>
      <c r="H154" s="777">
        <f>'Hotel working sheet'!E271</f>
        <v>6447.7088935667107</v>
      </c>
      <c r="I154" s="97">
        <f>'Hotel working sheet'!G243</f>
        <v>6416.1892500000004</v>
      </c>
      <c r="J154" s="97">
        <f>'Hotel working sheet'!G248</f>
        <v>6286.5022499999995</v>
      </c>
      <c r="K154" s="97">
        <f>'Hotel working sheet'!G253</f>
        <v>6628.8779999999997</v>
      </c>
      <c r="L154" s="97">
        <f>'Hotel working sheet'!G258</f>
        <v>6974.3362500000003</v>
      </c>
      <c r="M154" s="39">
        <f>'Hotel-Forecasting'!L36</f>
        <v>7080.7832531473396</v>
      </c>
      <c r="N154" s="39">
        <f>'Hotel-Forecasting'!M36</f>
        <v>7073.5764284010529</v>
      </c>
      <c r="O154" s="39">
        <f>'Hotel-Forecasting'!N36</f>
        <v>6927.0082209974289</v>
      </c>
      <c r="P154" s="39">
        <f>'Hotel-Forecasting'!O36</f>
        <v>7060.2320052708792</v>
      </c>
      <c r="Q154" s="39">
        <f>'Hotel-Forecasting'!P36</f>
        <v>7081.7422861306886</v>
      </c>
      <c r="R154" s="19">
        <f t="shared" si="28"/>
        <v>1.9821973338935761E-2</v>
      </c>
      <c r="S154" s="19">
        <f t="shared" si="29"/>
        <v>3.0612362740565224E-3</v>
      </c>
      <c r="T154" s="654"/>
      <c r="V154" t="s">
        <v>1150</v>
      </c>
      <c r="W154" t="s">
        <v>1150</v>
      </c>
      <c r="X154" t="s">
        <v>1150</v>
      </c>
      <c r="Y154" t="s">
        <v>1150</v>
      </c>
      <c r="AA154" s="589">
        <v>4</v>
      </c>
      <c r="AB154" s="1" t="s">
        <v>1132</v>
      </c>
      <c r="AW154" s="450"/>
    </row>
    <row r="155" spans="1:49" ht="15" customHeight="1">
      <c r="A155" s="4" t="str">
        <f>Home!$B$1</f>
        <v>Hungary</v>
      </c>
      <c r="B155" s="4" t="s">
        <v>77</v>
      </c>
      <c r="C155" s="2" t="s">
        <v>100</v>
      </c>
      <c r="F155" s="1" t="str">
        <f>Home!$B$2</f>
        <v>Foriant</v>
      </c>
      <c r="H155" s="777">
        <f>H154/H151</f>
        <v>13294.245141374662</v>
      </c>
      <c r="I155" s="97">
        <f t="shared" ref="I155:L155" si="34">I154/I151</f>
        <v>14886.750000000002</v>
      </c>
      <c r="J155" s="97">
        <f t="shared" si="34"/>
        <v>14190.75</v>
      </c>
      <c r="K155" s="97">
        <f t="shared" si="34"/>
        <v>14442</v>
      </c>
      <c r="L155" s="97">
        <f t="shared" si="34"/>
        <v>14621.25</v>
      </c>
      <c r="M155" s="39">
        <f>M154/M151</f>
        <v>14406.881070795303</v>
      </c>
      <c r="N155" s="39">
        <f t="shared" ref="N155:Q155" si="35">N154/N151</f>
        <v>14616.06468534753</v>
      </c>
      <c r="O155" s="39">
        <f t="shared" si="35"/>
        <v>15718.651331379458</v>
      </c>
      <c r="P155" s="39">
        <f t="shared" si="35"/>
        <v>15939.935124498004</v>
      </c>
      <c r="Q155" s="39">
        <f t="shared" si="35"/>
        <v>15825.028392535361</v>
      </c>
      <c r="R155" s="19">
        <f t="shared" si="28"/>
        <v>2.4071323587935289E-2</v>
      </c>
      <c r="S155" s="19">
        <f t="shared" si="29"/>
        <v>1.5949214766143305E-2</v>
      </c>
      <c r="T155" s="654"/>
      <c r="U155" s="19"/>
      <c r="AA155" s="589">
        <v>4</v>
      </c>
      <c r="AB155" s="1" t="s">
        <v>811</v>
      </c>
      <c r="AW155" s="450"/>
    </row>
    <row r="156" spans="1:49" ht="15" customHeight="1">
      <c r="A156" s="4" t="str">
        <f>Home!$B$1</f>
        <v>Hungary</v>
      </c>
      <c r="B156" s="4" t="s">
        <v>77</v>
      </c>
      <c r="C156" s="2" t="s">
        <v>78</v>
      </c>
      <c r="F156" s="1" t="str">
        <f>Home!$B$2</f>
        <v>Foriant</v>
      </c>
      <c r="H156" s="640">
        <f>(H159*1000000)/(H150*365)</f>
        <v>26.676929702048863</v>
      </c>
      <c r="I156" s="640">
        <f t="shared" ref="I156:L156" si="36">(I159*1000000)/(I150*365)</f>
        <v>26.561813901477116</v>
      </c>
      <c r="J156" s="640">
        <f t="shared" si="36"/>
        <v>26.022725194539014</v>
      </c>
      <c r="K156" s="640">
        <f t="shared" si="36"/>
        <v>27.443430001432205</v>
      </c>
      <c r="L156" s="640">
        <f t="shared" si="36"/>
        <v>28.845595688597381</v>
      </c>
      <c r="M156" s="39">
        <f>(M157+M158)*1000000/(M150*365)</f>
        <v>7090.9293975950332</v>
      </c>
      <c r="N156" s="39">
        <f t="shared" ref="N156:Q156" si="37">(N157+N158)*1000000/(N150*365)</f>
        <v>7083.6974953570498</v>
      </c>
      <c r="O156" s="39">
        <f t="shared" si="37"/>
        <v>6937.1902209225536</v>
      </c>
      <c r="P156" s="39">
        <f t="shared" si="37"/>
        <v>7070.9643847124225</v>
      </c>
      <c r="Q156" s="39">
        <f t="shared" si="37"/>
        <v>7093.0447120376539</v>
      </c>
      <c r="R156" s="19">
        <f t="shared" si="28"/>
        <v>1.9731692135255718E-2</v>
      </c>
      <c r="S156" s="19">
        <f t="shared" si="29"/>
        <v>2.0071191553224494</v>
      </c>
      <c r="T156" s="654"/>
      <c r="U156" s="19"/>
      <c r="AA156" s="589">
        <v>1</v>
      </c>
      <c r="AB156" s="118" t="s">
        <v>299</v>
      </c>
      <c r="AW156" s="450"/>
    </row>
    <row r="157" spans="1:49" ht="15" customHeight="1">
      <c r="A157" s="4" t="str">
        <f>Home!$B$1</f>
        <v>Hungary</v>
      </c>
      <c r="B157" s="4" t="s">
        <v>77</v>
      </c>
      <c r="C157" s="2" t="s">
        <v>101</v>
      </c>
      <c r="F157" s="1" t="str">
        <f>Home!$B$2&amp;" Million"</f>
        <v>Foriant Million</v>
      </c>
      <c r="H157" s="100">
        <f>(H150*H154)/1000000</f>
        <v>424.35596083009307</v>
      </c>
      <c r="I157" s="465">
        <f t="shared" ref="I157:L157" si="38">(I150*I154)/1000000</f>
        <v>431.87369841750001</v>
      </c>
      <c r="J157" s="465">
        <f t="shared" si="38"/>
        <v>434.57961404024996</v>
      </c>
      <c r="K157" s="465">
        <f t="shared" si="38"/>
        <v>437.69818546199997</v>
      </c>
      <c r="L157" s="465">
        <f t="shared" si="38"/>
        <v>489.96107023500002</v>
      </c>
      <c r="M157" s="33">
        <f>'Hotel-Forecasting'!L45</f>
        <v>177856.01448267649</v>
      </c>
      <c r="N157" s="33">
        <f>'Hotel-Forecasting'!M45</f>
        <v>185538.92361332264</v>
      </c>
      <c r="O157" s="33">
        <f>'Hotel-Forecasting'!N45</f>
        <v>188921.69686002101</v>
      </c>
      <c r="P157" s="33">
        <f>'Hotel-Forecasting'!O45</f>
        <v>192567.05616151317</v>
      </c>
      <c r="Q157" s="33">
        <f>'Hotel-Forecasting'!P45</f>
        <v>191742.95659183935</v>
      </c>
      <c r="R157" s="19">
        <f t="shared" si="28"/>
        <v>3.6591914310888818E-2</v>
      </c>
      <c r="S157" s="19">
        <f t="shared" si="29"/>
        <v>2.2999819850180261</v>
      </c>
      <c r="T157" s="654"/>
      <c r="U157" s="82"/>
      <c r="V157" s="82"/>
      <c r="W157" s="82"/>
      <c r="X157" s="82"/>
      <c r="Y157" s="82"/>
      <c r="AA157" s="589">
        <v>4</v>
      </c>
      <c r="AB157" s="1" t="s">
        <v>294</v>
      </c>
      <c r="AF157"/>
      <c r="AG157"/>
      <c r="AH157"/>
      <c r="AI157"/>
      <c r="AJ157"/>
      <c r="AK157"/>
      <c r="AL157"/>
      <c r="AM157"/>
      <c r="AN157"/>
      <c r="AO157"/>
      <c r="AW157" s="450"/>
    </row>
    <row r="158" spans="1:49" ht="15" customHeight="1">
      <c r="A158" s="4" t="str">
        <f>Home!$B$1</f>
        <v>Hungary</v>
      </c>
      <c r="B158" s="4" t="s">
        <v>77</v>
      </c>
      <c r="C158" s="2" t="s">
        <v>102</v>
      </c>
      <c r="F158" s="1" t="str">
        <f>Home!$B$2&amp;" Million"</f>
        <v>Foriant Million</v>
      </c>
      <c r="H158" s="100">
        <f>'Hotel working sheet'!F331</f>
        <v>216.48991601413323</v>
      </c>
      <c r="I158" s="100">
        <f>'Hotel working sheet'!G331</f>
        <v>220.70092978607499</v>
      </c>
      <c r="J158" s="100">
        <f>'Hotel working sheet'!H331</f>
        <v>222.02799999999996</v>
      </c>
      <c r="K158" s="100">
        <f>'Hotel working sheet'!I331</f>
        <v>223.70453197906704</v>
      </c>
      <c r="L158" s="100">
        <f>'Hotel working sheet'!J331</f>
        <v>249.69711750010021</v>
      </c>
      <c r="M158" s="33">
        <f>'Hotel-Forecasting'!L47</f>
        <v>254.85214690479074</v>
      </c>
      <c r="N158" s="33">
        <f>'Hotel-Forecasting'!M47</f>
        <v>265.47417531169913</v>
      </c>
      <c r="O158" s="33">
        <f>'Hotel-Forecasting'!N47</f>
        <v>277.69574423953094</v>
      </c>
      <c r="P158" s="33">
        <f>'Hotel-Forecasting'!O47</f>
        <v>292.72447606871907</v>
      </c>
      <c r="Q158" s="33">
        <f>'Hotel-Forecasting'!P47</f>
        <v>306.02081698255034</v>
      </c>
      <c r="R158" s="19">
        <f t="shared" si="28"/>
        <v>3.6320201694092891E-2</v>
      </c>
      <c r="S158" s="19">
        <f t="shared" si="29"/>
        <v>4.1519698499028257E-2</v>
      </c>
      <c r="T158" s="654"/>
      <c r="U158" s="19"/>
      <c r="AA158" s="589">
        <v>3</v>
      </c>
      <c r="AB158" s="166" t="s">
        <v>1191</v>
      </c>
      <c r="AF158"/>
      <c r="AG158"/>
      <c r="AH158"/>
      <c r="AI158"/>
      <c r="AJ158"/>
      <c r="AK158"/>
      <c r="AL158"/>
      <c r="AM158"/>
      <c r="AN158"/>
      <c r="AO158"/>
      <c r="AW158" s="450"/>
    </row>
    <row r="159" spans="1:49" ht="15" customHeight="1">
      <c r="A159" s="4" t="str">
        <f>Home!$B$1</f>
        <v>Hungary</v>
      </c>
      <c r="B159" s="4" t="s">
        <v>77</v>
      </c>
      <c r="C159" s="2" t="s">
        <v>103</v>
      </c>
      <c r="F159" s="1" t="str">
        <f>Home!$B$2&amp;" Million"</f>
        <v>Foriant Million</v>
      </c>
      <c r="H159" s="100">
        <f>H157+H158</f>
        <v>640.84587684422627</v>
      </c>
      <c r="I159" s="100">
        <f t="shared" ref="I159:L159" si="39">I157+I158</f>
        <v>652.574628203575</v>
      </c>
      <c r="J159" s="100">
        <f t="shared" si="39"/>
        <v>656.60761404024993</v>
      </c>
      <c r="K159" s="100">
        <f t="shared" si="39"/>
        <v>661.40271744106701</v>
      </c>
      <c r="L159" s="100">
        <f t="shared" si="39"/>
        <v>739.65818773510023</v>
      </c>
      <c r="M159" s="33">
        <f>M157+M158</f>
        <v>178110.86662958129</v>
      </c>
      <c r="N159" s="33">
        <f t="shared" ref="N159:Q159" si="40">N157+N158</f>
        <v>185804.39778863435</v>
      </c>
      <c r="O159" s="33">
        <f t="shared" si="40"/>
        <v>189199.39260426053</v>
      </c>
      <c r="P159" s="33">
        <f t="shared" si="40"/>
        <v>192859.78063758189</v>
      </c>
      <c r="Q159" s="33">
        <f t="shared" si="40"/>
        <v>192048.9774088219</v>
      </c>
      <c r="R159" s="19">
        <f t="shared" si="28"/>
        <v>3.6500148524118314E-2</v>
      </c>
      <c r="S159" s="19">
        <f t="shared" si="29"/>
        <v>2.0400182163672413</v>
      </c>
      <c r="T159" s="654"/>
      <c r="U159" s="19"/>
      <c r="V159" s="82"/>
      <c r="AA159" s="589">
        <v>3</v>
      </c>
      <c r="AB159" s="1" t="s">
        <v>556</v>
      </c>
      <c r="AF159"/>
      <c r="AG159"/>
      <c r="AH159"/>
      <c r="AI159"/>
      <c r="AJ159"/>
      <c r="AK159"/>
      <c r="AL159"/>
      <c r="AM159"/>
      <c r="AN159"/>
      <c r="AO159"/>
      <c r="AW159" s="450"/>
    </row>
    <row r="160" spans="1:49" ht="15" customHeight="1">
      <c r="A160" s="4" t="str">
        <f>Home!$B$1</f>
        <v>Hungary</v>
      </c>
      <c r="B160" s="4" t="s">
        <v>77</v>
      </c>
      <c r="C160" s="2" t="s">
        <v>93</v>
      </c>
      <c r="D160" s="2"/>
      <c r="F160" s="1" t="s">
        <v>178</v>
      </c>
      <c r="H160" s="465">
        <f>'Hotel working sheet'!B368</f>
        <v>6509.4049999999997</v>
      </c>
      <c r="I160" s="465">
        <f>'Hotel working sheet'!C368</f>
        <v>5980.174</v>
      </c>
      <c r="J160" s="465">
        <f>'Hotel working sheet'!D368</f>
        <v>6261.4260000000004</v>
      </c>
      <c r="K160" s="465">
        <f>'Hotel working sheet'!E368</f>
        <v>6558.6930000000002</v>
      </c>
      <c r="L160" s="465">
        <f>'Hotel working sheet'!F368</f>
        <v>4194.8334999999997</v>
      </c>
      <c r="M160" s="33">
        <f>'Hotel-Forecasting'!L58</f>
        <v>3839.790943285544</v>
      </c>
      <c r="N160" s="33">
        <f>'Hotel-Forecasting'!M58</f>
        <v>3344.7803213098164</v>
      </c>
      <c r="O160" s="33">
        <f>'Hotel-Forecasting'!N58</f>
        <v>2673.077548555998</v>
      </c>
      <c r="P160" s="33">
        <f>'Hotel-Forecasting'!O58</f>
        <v>2590.3045696189674</v>
      </c>
      <c r="Q160" s="33">
        <f>'Hotel-Forecasting'!P58</f>
        <v>2495.4502104150811</v>
      </c>
      <c r="R160" s="19">
        <f t="shared" si="28"/>
        <v>-0.1040302263057179</v>
      </c>
      <c r="S160" s="19">
        <f t="shared" si="29"/>
        <v>-9.8663753301313384E-2</v>
      </c>
      <c r="T160" s="654"/>
      <c r="U160" s="650" t="s">
        <v>243</v>
      </c>
      <c r="V160" s="650" t="s">
        <v>243</v>
      </c>
      <c r="W160" s="650" t="s">
        <v>243</v>
      </c>
      <c r="X160" s="650" t="s">
        <v>243</v>
      </c>
      <c r="Y160" s="650" t="s">
        <v>243</v>
      </c>
      <c r="Z160" s="82"/>
      <c r="AA160" s="589">
        <v>4</v>
      </c>
      <c r="AB160" s="117" t="s">
        <v>812</v>
      </c>
      <c r="AW160" s="450"/>
    </row>
    <row r="161" spans="1:49" ht="15" customHeight="1">
      <c r="A161" s="4" t="str">
        <f>Home!$B$1</f>
        <v>Hungary</v>
      </c>
      <c r="B161" s="4" t="s">
        <v>77</v>
      </c>
      <c r="C161" s="4" t="s">
        <v>93</v>
      </c>
      <c r="D161" s="2" t="s">
        <v>19</v>
      </c>
      <c r="F161" s="1" t="s">
        <v>178</v>
      </c>
      <c r="H161" s="100">
        <f>'Hotel- WS'!B25/1000</f>
        <v>185.18210349405379</v>
      </c>
      <c r="I161" s="100">
        <f>'Hotel- WS'!C25/1000</f>
        <v>144.13822927401068</v>
      </c>
      <c r="J161" s="100">
        <f>'Hotel- WS'!D25/1000</f>
        <v>95.457305914693251</v>
      </c>
      <c r="K161" s="100">
        <f>'Hotel- WS'!E25/1000</f>
        <v>72.396573421508023</v>
      </c>
      <c r="L161" s="100">
        <f>'Hotel- WS'!F25/1000</f>
        <v>93.678110400162595</v>
      </c>
      <c r="M161" s="33">
        <f>'Hotel-Forecasting'!L68</f>
        <v>83.231551267755918</v>
      </c>
      <c r="N161" s="33">
        <f>'Hotel-Forecasting'!M68</f>
        <v>72.311861527933942</v>
      </c>
      <c r="O161" s="33">
        <f>'Hotel-Forecasting'!N68</f>
        <v>58.317474645817178</v>
      </c>
      <c r="P161" s="33">
        <f>'Hotel-Forecasting'!O68</f>
        <v>57.561021147353181</v>
      </c>
      <c r="Q161" s="33">
        <f>'Hotel-Forecasting'!P68</f>
        <v>55.446348932066435</v>
      </c>
      <c r="R161" s="19">
        <f t="shared" si="28"/>
        <v>-0.15664625609439542</v>
      </c>
      <c r="S161" s="19">
        <f t="shared" si="29"/>
        <v>-9.957619873588841E-2</v>
      </c>
      <c r="T161" s="654"/>
      <c r="U161" s="19"/>
      <c r="V161" s="82"/>
      <c r="AA161" s="589">
        <v>1</v>
      </c>
      <c r="AB161" s="1" t="s">
        <v>813</v>
      </c>
      <c r="AW161" s="450"/>
    </row>
    <row r="162" spans="1:49" ht="15" customHeight="1">
      <c r="A162" s="4" t="str">
        <f>Home!$B$1</f>
        <v>Hungary</v>
      </c>
      <c r="B162" s="4" t="s">
        <v>77</v>
      </c>
      <c r="C162" s="4" t="s">
        <v>93</v>
      </c>
      <c r="D162" s="2" t="s">
        <v>20</v>
      </c>
      <c r="F162" s="1" t="s">
        <v>178</v>
      </c>
      <c r="H162" s="100">
        <f>'Hotel- WS'!B26/1000</f>
        <v>15331.931896505946</v>
      </c>
      <c r="I162" s="100">
        <f>'Hotel- WS'!C26/1000</f>
        <v>15266.71377072599</v>
      </c>
      <c r="J162" s="100">
        <f>'Hotel- WS'!D26/1000</f>
        <v>16245.897694085308</v>
      </c>
      <c r="K162" s="100">
        <f>'Hotel- WS'!E26/1000</f>
        <v>16712.15342657849</v>
      </c>
      <c r="L162" s="100">
        <f>'Hotel- WS'!F26/1000</f>
        <v>17036.295269222814</v>
      </c>
      <c r="M162" s="33">
        <f>'Hotel-Forecasting'!L70</f>
        <v>3756.559392017788</v>
      </c>
      <c r="N162" s="33">
        <f>'Hotel-Forecasting'!M70</f>
        <v>3272.4684597818823</v>
      </c>
      <c r="O162" s="33">
        <f>'Hotel-Forecasting'!N70</f>
        <v>2614.7600739101808</v>
      </c>
      <c r="P162" s="33">
        <f>'Hotel-Forecasting'!O70</f>
        <v>2532.7435484716143</v>
      </c>
      <c r="Q162" s="33">
        <f>'Hotel-Forecasting'!P70</f>
        <v>2440.0038614830146</v>
      </c>
      <c r="R162" s="19">
        <f t="shared" si="28"/>
        <v>2.6702381203499215E-2</v>
      </c>
      <c r="S162" s="19">
        <f t="shared" si="29"/>
        <v>-0.32204156106145243</v>
      </c>
      <c r="T162" s="654"/>
      <c r="U162" s="19"/>
      <c r="V162" s="82"/>
      <c r="AA162" s="589">
        <v>1</v>
      </c>
      <c r="AB162" s="1" t="s">
        <v>814</v>
      </c>
      <c r="AW162" s="450"/>
    </row>
    <row r="163" spans="1:49" ht="15" customHeight="1">
      <c r="A163" s="4" t="str">
        <f>Home!$B$1</f>
        <v>Hungary</v>
      </c>
      <c r="B163" s="2" t="s">
        <v>79</v>
      </c>
      <c r="I163" s="32"/>
      <c r="J163" s="32"/>
      <c r="K163" s="32"/>
      <c r="L163" s="32"/>
      <c r="M163" s="32"/>
      <c r="N163" s="32"/>
      <c r="O163" s="32"/>
      <c r="P163" s="32"/>
      <c r="Q163" s="32"/>
      <c r="R163" s="81"/>
      <c r="S163" s="81"/>
      <c r="T163" s="652"/>
      <c r="U163" s="81"/>
    </row>
    <row r="164" spans="1:49" ht="15" customHeight="1">
      <c r="A164" s="441" t="str">
        <f>Home!$B$1</f>
        <v>Hungary</v>
      </c>
      <c r="B164" s="441" t="s">
        <v>79</v>
      </c>
      <c r="C164" s="2" t="s">
        <v>80</v>
      </c>
      <c r="D164" s="2"/>
      <c r="E164" s="2"/>
      <c r="F164" s="2" t="s">
        <v>1025</v>
      </c>
      <c r="G164" s="768">
        <f>'TI working sheet'!F20</f>
        <v>54475.363658565184</v>
      </c>
      <c r="H164" s="401">
        <f>'TI working sheet'!G20</f>
        <v>56245.163249999998</v>
      </c>
      <c r="I164" s="401">
        <f>'TI working sheet'!H20</f>
        <v>52886.647520000006</v>
      </c>
      <c r="J164" s="401">
        <f>'TI working sheet'!I20</f>
        <v>55634.867340000004</v>
      </c>
      <c r="K164" s="768">
        <f>'TI working sheet'!J20</f>
        <v>57802.691043436396</v>
      </c>
      <c r="L164" s="768">
        <f>'TI working sheet'!K20</f>
        <v>59692.642640828475</v>
      </c>
      <c r="M164" s="401">
        <f>TI_Forecasting!N4</f>
        <v>61234.67283855877</v>
      </c>
      <c r="N164" s="401">
        <f>TI_Forecasting!O4</f>
        <v>60198.073290933797</v>
      </c>
      <c r="O164" s="401">
        <f>TI_Forecasting!P4</f>
        <v>58889.343116093223</v>
      </c>
      <c r="P164" s="401">
        <f>TI_Forecasting!Q4</f>
        <v>61037.548154835313</v>
      </c>
      <c r="Q164" s="401">
        <f>TI_Forecasting!R4</f>
        <v>61711.182862643487</v>
      </c>
      <c r="R164" s="324">
        <f t="shared" ref="R164" si="41">(L164/H164)^(1/4)-1</f>
        <v>1.4983321977036557E-2</v>
      </c>
      <c r="S164" s="324">
        <f t="shared" ref="S164" si="42">(Q164/L164)^(1/5)-1</f>
        <v>6.6734461235915532E-3</v>
      </c>
      <c r="T164" s="653"/>
      <c r="U164" s="81"/>
      <c r="AA164" s="589">
        <v>4</v>
      </c>
      <c r="AB164" s="1" t="s">
        <v>1049</v>
      </c>
      <c r="AG164" s="773">
        <f>I164/H164-1</f>
        <v>-5.9712080753894781E-2</v>
      </c>
      <c r="AH164" s="773">
        <f t="shared" ref="AH164:AO164" si="43">J164/I164-1</f>
        <v>5.1964341641445699E-2</v>
      </c>
      <c r="AI164" s="773">
        <f t="shared" si="43"/>
        <v>3.8965199470832212E-2</v>
      </c>
      <c r="AJ164" s="773">
        <f t="shared" si="43"/>
        <v>3.2696602239017825E-2</v>
      </c>
      <c r="AK164" s="773">
        <f t="shared" si="43"/>
        <v>2.5832835162093781E-2</v>
      </c>
      <c r="AL164" s="773">
        <f t="shared" si="43"/>
        <v>-1.6928310376670086E-2</v>
      </c>
      <c r="AM164" s="773">
        <f t="shared" si="43"/>
        <v>-2.174039970541175E-2</v>
      </c>
      <c r="AN164" s="773">
        <f t="shared" si="43"/>
        <v>3.6478672117417954E-2</v>
      </c>
      <c r="AO164" s="773">
        <f t="shared" si="43"/>
        <v>1.1036398547650483E-2</v>
      </c>
    </row>
    <row r="165" spans="1:49" ht="15" customHeight="1">
      <c r="A165" s="4" t="str">
        <f>Home!$B$1</f>
        <v>Hungary</v>
      </c>
      <c r="B165" s="4" t="s">
        <v>79</v>
      </c>
      <c r="C165" s="4" t="s">
        <v>80</v>
      </c>
      <c r="D165" s="2" t="s">
        <v>81</v>
      </c>
      <c r="F165" s="1" t="s">
        <v>1025</v>
      </c>
      <c r="G165" s="587">
        <f>(('Norway TI'!H4/'Norway TI'!H$3)*0.99)*G$164</f>
        <v>6553.4736969591859</v>
      </c>
      <c r="H165" s="587">
        <f>(('Norway TI'!I4/'Norway TI'!I$3)*0.985)*H$164</f>
        <v>6710.5785967827578</v>
      </c>
      <c r="I165" s="587">
        <f>FORECAST(I$164,G165:H165,G$164:H$164)*0.99</f>
        <v>6348.3191182316514</v>
      </c>
      <c r="J165" s="587">
        <f>FORECAST(J$164,H165:I165,H$164:I$164)*0.995</f>
        <v>6611.5265165349865</v>
      </c>
      <c r="K165" s="587">
        <f t="shared" ref="K165:L165" si="44">FORECAST(K$164,I165:J165,I$164:J$164)</f>
        <v>6819.1471853073244</v>
      </c>
      <c r="L165" s="587">
        <f t="shared" si="44"/>
        <v>7000.1549923424991</v>
      </c>
      <c r="M165" s="237">
        <f>TI_Forecasting!N20</f>
        <v>7128.652198551229</v>
      </c>
      <c r="N165" s="237">
        <f>TI_Forecasting!O20</f>
        <v>6954.5165348620376</v>
      </c>
      <c r="O165" s="237">
        <f>TI_Forecasting!P20</f>
        <v>6755.4374790392485</v>
      </c>
      <c r="P165" s="237">
        <f>TI_Forecasting!Q20</f>
        <v>6953.0049649264056</v>
      </c>
      <c r="Q165" s="237">
        <f>TI_Forecasting!R20</f>
        <v>6978.8920854117596</v>
      </c>
      <c r="R165" s="81">
        <f t="shared" ref="R165:R182" si="45">(L165/H165)^(1/4)-1</f>
        <v>1.0617751035628675E-2</v>
      </c>
      <c r="S165" s="81">
        <f t="shared" ref="S165:S182" si="46">(Q165/L165)^(1/5)-1</f>
        <v>-6.0823763164308264E-4</v>
      </c>
      <c r="T165" s="652"/>
      <c r="U165" s="81"/>
      <c r="AA165" s="589">
        <v>0</v>
      </c>
      <c r="AB165" s="1" t="s">
        <v>1051</v>
      </c>
      <c r="AG165" s="773">
        <f t="shared" ref="AG165:AG182" si="47">I165/H165-1</f>
        <v>-5.3983344852675419E-2</v>
      </c>
      <c r="AH165" s="773">
        <f t="shared" ref="AH165:AH182" si="48">J165/I165-1</f>
        <v>4.1460958940679804E-2</v>
      </c>
      <c r="AI165" s="773">
        <f t="shared" ref="AI165:AI182" si="49">K165/J165-1</f>
        <v>3.1402833861906565E-2</v>
      </c>
      <c r="AJ165" s="773">
        <f t="shared" ref="AJ165:AJ182" si="50">L165/K165-1</f>
        <v>2.6544053400867851E-2</v>
      </c>
      <c r="AK165" s="773">
        <f t="shared" ref="AK165:AK179" si="51">M165/L165-1</f>
        <v>1.8356337302430248E-2</v>
      </c>
      <c r="AL165" s="773">
        <f t="shared" ref="AL165:AL179" si="52">N165/M165-1</f>
        <v>-2.4427571838135376E-2</v>
      </c>
      <c r="AM165" s="773">
        <f t="shared" ref="AM165:AM179" si="53">O165/N165-1</f>
        <v>-2.8625865626292324E-2</v>
      </c>
      <c r="AN165" s="773">
        <f t="shared" ref="AN165:AN179" si="54">P165/O165-1</f>
        <v>2.9245698224603434E-2</v>
      </c>
      <c r="AO165" s="773">
        <f t="shared" ref="AO165:AO179" si="55">Q165/P165-1</f>
        <v>3.7231557601264953E-3</v>
      </c>
    </row>
    <row r="166" spans="1:49" ht="15" customHeight="1">
      <c r="A166" s="4" t="str">
        <f>Home!$B$1</f>
        <v>Hungary</v>
      </c>
      <c r="B166" s="4" t="s">
        <v>79</v>
      </c>
      <c r="C166" s="4" t="s">
        <v>80</v>
      </c>
      <c r="D166" s="2" t="s">
        <v>82</v>
      </c>
      <c r="F166" s="1" t="s">
        <v>1025</v>
      </c>
      <c r="G166" s="587">
        <f>(('Norway TI'!H5/'Norway TI'!H$3)*0.978)*G$164</f>
        <v>20182.449782071963</v>
      </c>
      <c r="H166" s="587">
        <f>(('Norway TI'!I5/'Norway TI'!I$3)*0.992)*H$164</f>
        <v>21207.54183554713</v>
      </c>
      <c r="I166" s="587">
        <f>FORECAST(I$164,G166:H166,G$164:H$164)*1.025</f>
        <v>19743.799826795559</v>
      </c>
      <c r="J166" s="587">
        <f>FORECAST(J$164,H166:I166,H$164:I$164)*1.008</f>
        <v>21109.089003667254</v>
      </c>
      <c r="K166" s="587">
        <f t="shared" ref="K166" si="56">FORECAST(K$164,I166:J166,I$164:J$164)</f>
        <v>22186.04297151529</v>
      </c>
      <c r="L166" s="587">
        <f t="shared" ref="L166" si="57">FORECAST(L$164,J166:K166,J$164:K$164)</f>
        <v>23124.952749384065</v>
      </c>
      <c r="M166" s="237">
        <f>TI_Forecasting!N22</f>
        <v>23895.342914809637</v>
      </c>
      <c r="N166" s="237">
        <f>TI_Forecasting!O22</f>
        <v>23754.231797721812</v>
      </c>
      <c r="O166" s="237">
        <f>TI_Forecasting!P22</f>
        <v>23466.812309023117</v>
      </c>
      <c r="P166" s="237">
        <f>TI_Forecasting!Q22</f>
        <v>24551.943113433557</v>
      </c>
      <c r="Q166" s="237">
        <f>TI_Forecasting!R22</f>
        <v>25057.333049552693</v>
      </c>
      <c r="R166" s="81">
        <f t="shared" si="45"/>
        <v>2.1874661334792878E-2</v>
      </c>
      <c r="S166" s="81">
        <f t="shared" si="46"/>
        <v>1.6180363178936341E-2</v>
      </c>
      <c r="T166" s="652"/>
      <c r="U166" s="81"/>
      <c r="AA166" s="589">
        <v>0</v>
      </c>
      <c r="AB166" s="1" t="s">
        <v>1051</v>
      </c>
      <c r="AG166" s="773">
        <f t="shared" si="47"/>
        <v>-6.9019880762329233E-2</v>
      </c>
      <c r="AH166" s="773">
        <f t="shared" si="48"/>
        <v>6.9150274458251726E-2</v>
      </c>
      <c r="AI166" s="773">
        <f t="shared" si="49"/>
        <v>5.1018495760804194E-2</v>
      </c>
      <c r="AJ166" s="773">
        <f t="shared" si="50"/>
        <v>4.2319839507849233E-2</v>
      </c>
      <c r="AK166" s="773">
        <f t="shared" si="51"/>
        <v>3.3314237385678069E-2</v>
      </c>
      <c r="AL166" s="773">
        <f t="shared" si="52"/>
        <v>-5.9053815461408421E-3</v>
      </c>
      <c r="AM166" s="773">
        <f t="shared" si="53"/>
        <v>-1.2099717269167254E-2</v>
      </c>
      <c r="AN166" s="773">
        <f t="shared" si="54"/>
        <v>4.6241082517765042E-2</v>
      </c>
      <c r="AO166" s="773">
        <f t="shared" si="55"/>
        <v>2.0584518862077905E-2</v>
      </c>
    </row>
    <row r="167" spans="1:49" ht="15" customHeight="1">
      <c r="A167" s="4" t="str">
        <f>Home!$B$1</f>
        <v>Hungary</v>
      </c>
      <c r="B167" s="4" t="s">
        <v>79</v>
      </c>
      <c r="C167" s="4" t="s">
        <v>80</v>
      </c>
      <c r="D167" s="4" t="s">
        <v>82</v>
      </c>
      <c r="E167" s="2" t="s">
        <v>83</v>
      </c>
      <c r="F167" s="1" t="s">
        <v>1025</v>
      </c>
      <c r="G167" s="587">
        <f>(('Norway TI'!H6/'Norway TI'!H5)*0.995)*G$166</f>
        <v>18785.20449517715</v>
      </c>
      <c r="H167" s="587">
        <f>(('Norway TI'!I6/'Norway TI'!I5)*0.991)*H$166</f>
        <v>19673.68385163122</v>
      </c>
      <c r="I167" s="587">
        <f>FORECAST(I$166,G167:H167,G166:H166)*0.997</f>
        <v>18349.797815628426</v>
      </c>
      <c r="J167" s="587">
        <f>FORECAST(J$166,H167:I167,H166:I166)*1.0005</f>
        <v>19594.430198978291</v>
      </c>
      <c r="K167" s="587">
        <f t="shared" ref="K167:L167" si="58">FORECAST(K$166,I167:J167,I166:J166)</f>
        <v>20576.208862771775</v>
      </c>
      <c r="L167" s="587">
        <f t="shared" si="58"/>
        <v>21432.142927419482</v>
      </c>
      <c r="M167" s="237">
        <f>TI_Forecasting!N24</f>
        <v>22142.011454030395</v>
      </c>
      <c r="N167" s="237">
        <f>TI_Forecasting!O24</f>
        <v>21994.829955175992</v>
      </c>
      <c r="O167" s="237">
        <f>TI_Forecasting!P24</f>
        <v>21715.150126756635</v>
      </c>
      <c r="P167" s="237">
        <f>TI_Forecasting!Q24</f>
        <v>22706.511259452287</v>
      </c>
      <c r="Q167" s="237">
        <f>TI_Forecasting!R24</f>
        <v>23161.641675193154</v>
      </c>
      <c r="R167" s="81">
        <f t="shared" si="45"/>
        <v>2.1633151596283984E-2</v>
      </c>
      <c r="S167" s="81">
        <f t="shared" si="46"/>
        <v>1.5642225245442454E-2</v>
      </c>
      <c r="T167" s="652"/>
      <c r="U167" s="81"/>
      <c r="AA167" s="589">
        <v>0</v>
      </c>
      <c r="AB167" s="1" t="s">
        <v>1051</v>
      </c>
      <c r="AG167" s="390">
        <f t="shared" si="47"/>
        <v>-6.7292228846761004E-2</v>
      </c>
      <c r="AH167" s="390">
        <f t="shared" si="48"/>
        <v>6.7828125184562937E-2</v>
      </c>
      <c r="AI167" s="390">
        <f t="shared" si="49"/>
        <v>5.0104986663234374E-2</v>
      </c>
      <c r="AJ167" s="390">
        <f t="shared" si="50"/>
        <v>4.1598239518084279E-2</v>
      </c>
      <c r="AK167" s="390">
        <f t="shared" si="51"/>
        <v>3.3121677520297599E-2</v>
      </c>
      <c r="AL167" s="390">
        <f t="shared" si="52"/>
        <v>-6.6471602708710886E-3</v>
      </c>
      <c r="AM167" s="390">
        <f t="shared" si="53"/>
        <v>-1.2715707690822198E-2</v>
      </c>
      <c r="AN167" s="390">
        <f t="shared" si="54"/>
        <v>4.5652971630812278E-2</v>
      </c>
      <c r="AO167" s="390">
        <f t="shared" si="55"/>
        <v>2.0044048622898991E-2</v>
      </c>
    </row>
    <row r="168" spans="1:49" ht="15" customHeight="1">
      <c r="A168" s="4" t="str">
        <f>Home!$B$1</f>
        <v>Hungary</v>
      </c>
      <c r="B168" s="4" t="s">
        <v>79</v>
      </c>
      <c r="C168" s="4" t="s">
        <v>80</v>
      </c>
      <c r="D168" s="4" t="s">
        <v>82</v>
      </c>
      <c r="E168" s="2" t="s">
        <v>84</v>
      </c>
      <c r="F168" s="1" t="s">
        <v>1025</v>
      </c>
      <c r="G168" s="588">
        <f>G166-G167</f>
        <v>1397.245286894813</v>
      </c>
      <c r="H168" s="588">
        <f>H166-H167</f>
        <v>1533.8579839159102</v>
      </c>
      <c r="I168" s="588">
        <f t="shared" ref="I168:L168" si="59">I166-I167</f>
        <v>1394.0020111671329</v>
      </c>
      <c r="J168" s="588">
        <f t="shared" si="59"/>
        <v>1514.6588046889628</v>
      </c>
      <c r="K168" s="588">
        <f t="shared" si="59"/>
        <v>1609.8341087435147</v>
      </c>
      <c r="L168" s="588">
        <f t="shared" si="59"/>
        <v>1692.8098219645835</v>
      </c>
      <c r="M168" s="237">
        <f>TI_Forecasting!N26</f>
        <v>1753.331460779242</v>
      </c>
      <c r="N168" s="237">
        <f>TI_Forecasting!O26</f>
        <v>1759.4018425458187</v>
      </c>
      <c r="O168" s="237">
        <f>TI_Forecasting!P26</f>
        <v>1751.6621822664827</v>
      </c>
      <c r="P168" s="237">
        <f>TI_Forecasting!Q26</f>
        <v>1845.4318539812684</v>
      </c>
      <c r="Q168" s="237">
        <f>TI_Forecasting!R26</f>
        <v>1895.6913743595399</v>
      </c>
      <c r="R168" s="81">
        <f t="shared" si="45"/>
        <v>2.4957257053079385E-2</v>
      </c>
      <c r="S168" s="81">
        <f t="shared" si="46"/>
        <v>2.2896971417970313E-2</v>
      </c>
      <c r="T168" s="652"/>
      <c r="U168" s="81"/>
      <c r="AA168" s="589">
        <v>0</v>
      </c>
      <c r="AB168" s="1" t="s">
        <v>587</v>
      </c>
      <c r="AG168" s="390">
        <f t="shared" si="47"/>
        <v>-9.1179218816417218E-2</v>
      </c>
      <c r="AH168" s="390">
        <f t="shared" si="48"/>
        <v>8.6554246375017518E-2</v>
      </c>
      <c r="AI168" s="390">
        <f t="shared" si="49"/>
        <v>6.283613428972612E-2</v>
      </c>
      <c r="AJ168" s="390">
        <f t="shared" si="50"/>
        <v>5.1543020967441233E-2</v>
      </c>
      <c r="AK168" s="390">
        <f t="shared" si="51"/>
        <v>3.5752178436925908E-2</v>
      </c>
      <c r="AL168" s="390">
        <f t="shared" si="52"/>
        <v>3.46219862151953E-3</v>
      </c>
      <c r="AM168" s="390">
        <f t="shared" si="53"/>
        <v>-4.3990293133585601E-3</v>
      </c>
      <c r="AN168" s="390">
        <f t="shared" si="54"/>
        <v>5.3531824037815756E-2</v>
      </c>
      <c r="AO168" s="390">
        <f t="shared" si="55"/>
        <v>2.7234557737715104E-2</v>
      </c>
    </row>
    <row r="169" spans="1:49" ht="15" customHeight="1">
      <c r="A169" s="4" t="str">
        <f>Home!$B$1</f>
        <v>Hungary</v>
      </c>
      <c r="B169" s="4" t="s">
        <v>79</v>
      </c>
      <c r="C169" s="4" t="s">
        <v>80</v>
      </c>
      <c r="D169" s="2" t="s">
        <v>85</v>
      </c>
      <c r="F169" s="1" t="s">
        <v>1025</v>
      </c>
      <c r="G169" s="587">
        <f>(('Norway TI'!H8/'Norway TI'!H$3)*0.985)*G$164</f>
        <v>1608.723256073828</v>
      </c>
      <c r="H169" s="587">
        <f>(('Norway TI'!I8/'Norway TI'!I$3)*0.992)*H$164</f>
        <v>1654.4798629476502</v>
      </c>
      <c r="I169" s="587">
        <f>FORECAST(I$164,G169:H169,G$164:H$164)*0.993</f>
        <v>1556.6748632823271</v>
      </c>
      <c r="J169" s="587">
        <f>FORECAST(J$164,H169:I169,H$164:I$164)*0.995</f>
        <v>1628.5235978744713</v>
      </c>
      <c r="K169" s="587">
        <f t="shared" ref="K169:K170" si="60">FORECAST(K$164,I169:J169,I$164:J$164)</f>
        <v>1685.198609377285</v>
      </c>
      <c r="L169" s="587">
        <f t="shared" ref="L169:L170" si="61">FORECAST(L$164,J169:K169,J$164:K$164)</f>
        <v>1734.6090057818283</v>
      </c>
      <c r="M169" s="237">
        <f>TI_Forecasting!N28</f>
        <v>1774.0028555386093</v>
      </c>
      <c r="N169" s="237">
        <f>TI_Forecasting!O28</f>
        <v>1737.0637752823536</v>
      </c>
      <c r="O169" s="237">
        <f>TI_Forecasting!P28</f>
        <v>1694.9250679283257</v>
      </c>
      <c r="P169" s="237">
        <f>TI_Forecasting!Q28</f>
        <v>1763.3683157056157</v>
      </c>
      <c r="Q169" s="237">
        <f>TI_Forecasting!R28</f>
        <v>1778.4497670243297</v>
      </c>
      <c r="R169" s="81">
        <f t="shared" si="45"/>
        <v>1.189401636575993E-2</v>
      </c>
      <c r="S169" s="81">
        <f t="shared" si="46"/>
        <v>5.0044880935504743E-3</v>
      </c>
      <c r="T169" s="652"/>
      <c r="U169" s="81"/>
      <c r="AA169" s="589">
        <v>0</v>
      </c>
      <c r="AB169" s="1" t="s">
        <v>1051</v>
      </c>
      <c r="AG169" s="773">
        <f t="shared" si="47"/>
        <v>-5.9115255407866996E-2</v>
      </c>
      <c r="AH169" s="773">
        <f t="shared" si="48"/>
        <v>4.615526099049827E-2</v>
      </c>
      <c r="AI169" s="773">
        <f t="shared" si="49"/>
        <v>3.4801467769202343E-2</v>
      </c>
      <c r="AJ169" s="773">
        <f t="shared" si="50"/>
        <v>2.9320221444285144E-2</v>
      </c>
      <c r="AK169" s="773">
        <f t="shared" si="51"/>
        <v>2.2710506878191428E-2</v>
      </c>
      <c r="AL169" s="773">
        <f t="shared" si="52"/>
        <v>-2.0822446897945102E-2</v>
      </c>
      <c r="AM169" s="773">
        <f t="shared" si="53"/>
        <v>-2.4258583912486698E-2</v>
      </c>
      <c r="AN169" s="773">
        <f t="shared" si="54"/>
        <v>4.0381282377838001E-2</v>
      </c>
      <c r="AO169" s="773">
        <f t="shared" si="55"/>
        <v>8.5526382573564153E-3</v>
      </c>
    </row>
    <row r="170" spans="1:49" ht="15" customHeight="1">
      <c r="A170" s="4" t="str">
        <f>Home!$B$1</f>
        <v>Hungary</v>
      </c>
      <c r="B170" s="4" t="s">
        <v>79</v>
      </c>
      <c r="C170" s="4" t="s">
        <v>80</v>
      </c>
      <c r="D170" s="2" t="s">
        <v>86</v>
      </c>
      <c r="F170" s="1" t="s">
        <v>1025</v>
      </c>
      <c r="G170" s="587">
        <f>(('Norway TI'!H9/'Norway TI'!H$3)*0.993)*G$164</f>
        <v>18863.468878097094</v>
      </c>
      <c r="H170" s="587">
        <f>(('Norway TI'!I9/'Norway TI'!I$3)*0.994)*H$164</f>
        <v>19524.43420574447</v>
      </c>
      <c r="I170" s="587">
        <f>FORECAST(I$164,G170:H170,G$164:H$164)*1.005</f>
        <v>18361.48327407004</v>
      </c>
      <c r="J170" s="587">
        <f>FORECAST(J$164,H170:I170,H$164:I$164)*1.003</f>
        <v>19371.046783162717</v>
      </c>
      <c r="K170" s="587">
        <f t="shared" si="60"/>
        <v>20167.400731710954</v>
      </c>
      <c r="L170" s="587">
        <f t="shared" si="61"/>
        <v>20861.677860779346</v>
      </c>
      <c r="M170" s="237">
        <f>TI_Forecasting!N30</f>
        <v>21415.346585410003</v>
      </c>
      <c r="N170" s="237">
        <f>TI_Forecasting!O30</f>
        <v>21091.224403747601</v>
      </c>
      <c r="O170" s="237">
        <f>TI_Forecasting!P30</f>
        <v>20664.942587928781</v>
      </c>
      <c r="P170" s="237">
        <f>TI_Forecasting!Q30</f>
        <v>21449.56448856289</v>
      </c>
      <c r="Q170" s="237">
        <f>TI_Forecasting!R30</f>
        <v>21737.90015413185</v>
      </c>
      <c r="R170" s="81">
        <f t="shared" si="45"/>
        <v>1.6699697566467497E-2</v>
      </c>
      <c r="S170" s="81">
        <f t="shared" si="46"/>
        <v>8.2626301093753352E-3</v>
      </c>
      <c r="T170" s="652"/>
      <c r="U170" s="81"/>
      <c r="AA170" s="589">
        <v>0</v>
      </c>
      <c r="AB170" s="1" t="s">
        <v>1051</v>
      </c>
      <c r="AG170" s="773">
        <f t="shared" si="47"/>
        <v>-5.9563873627245356E-2</v>
      </c>
      <c r="AH170" s="773">
        <f t="shared" si="48"/>
        <v>5.498267727195949E-2</v>
      </c>
      <c r="AI170" s="773">
        <f t="shared" si="49"/>
        <v>4.1110527348497516E-2</v>
      </c>
      <c r="AJ170" s="773">
        <f t="shared" si="50"/>
        <v>3.4425711984624741E-2</v>
      </c>
      <c r="AK170" s="773">
        <f t="shared" si="51"/>
        <v>2.6539990135288738E-2</v>
      </c>
      <c r="AL170" s="773">
        <f t="shared" si="52"/>
        <v>-1.5135042543893418E-2</v>
      </c>
      <c r="AM170" s="773">
        <f t="shared" si="53"/>
        <v>-2.0211335655936469E-2</v>
      </c>
      <c r="AN170" s="773">
        <f t="shared" si="54"/>
        <v>3.7968743309862329E-2</v>
      </c>
      <c r="AO170" s="773">
        <f t="shared" si="55"/>
        <v>1.3442495101600116E-2</v>
      </c>
    </row>
    <row r="171" spans="1:49" ht="15" customHeight="1">
      <c r="A171" s="4" t="str">
        <f>Home!$B$1</f>
        <v>Hungary</v>
      </c>
      <c r="B171" s="4" t="s">
        <v>79</v>
      </c>
      <c r="C171" s="4" t="s">
        <v>80</v>
      </c>
      <c r="D171" s="4" t="s">
        <v>86</v>
      </c>
      <c r="E171" s="2" t="s">
        <v>87</v>
      </c>
      <c r="F171" s="1" t="s">
        <v>1025</v>
      </c>
      <c r="G171" s="237">
        <f>(('Norway TI'!H10/'Norway TI'!H14)*1.01)*G175</f>
        <v>1728.1132541390296</v>
      </c>
      <c r="H171" s="237">
        <f>(('Norway TI'!I10/'Norway TI'!I14)*1.02)*H175</f>
        <v>2114.6811481569298</v>
      </c>
      <c r="I171" s="587">
        <f>FORECAST(I175,G171:H171,G175:H175)*0.95</f>
        <v>2597.8026064028622</v>
      </c>
      <c r="J171" s="587">
        <f t="shared" ref="J171:L171" si="62">FORECAST(J175,H171:I171,H175:I175)</f>
        <v>3131.0612916041018</v>
      </c>
      <c r="K171" s="587">
        <f t="shared" si="62"/>
        <v>3662.9051127877578</v>
      </c>
      <c r="L171" s="587">
        <f t="shared" si="62"/>
        <v>4058.1592247410636</v>
      </c>
      <c r="M171" s="237">
        <f>TI_Forecasting!N32</f>
        <v>4436.8131117837829</v>
      </c>
      <c r="N171" s="237">
        <f>TI_Forecasting!O32</f>
        <v>4624.1807680051907</v>
      </c>
      <c r="O171" s="237">
        <f>TI_Forecasting!P32</f>
        <v>4777.0568568814961</v>
      </c>
      <c r="P171" s="237">
        <f>TI_Forecasting!Q32</f>
        <v>5182.3578821022811</v>
      </c>
      <c r="Q171" s="237">
        <f>TI_Forecasting!R32</f>
        <v>5472.3760470435091</v>
      </c>
      <c r="R171" s="81">
        <f t="shared" si="45"/>
        <v>0.1769853231974996</v>
      </c>
      <c r="S171" s="81">
        <f t="shared" si="46"/>
        <v>6.1620680583041487E-2</v>
      </c>
      <c r="T171" s="652"/>
      <c r="U171" s="81"/>
      <c r="AA171" s="589">
        <v>0</v>
      </c>
      <c r="AB171" s="1" t="s">
        <v>1052</v>
      </c>
      <c r="AG171" s="435">
        <f t="shared" si="47"/>
        <v>0.22846066352225325</v>
      </c>
      <c r="AH171" s="435">
        <f t="shared" si="48"/>
        <v>0.20527298105210345</v>
      </c>
      <c r="AI171" s="435">
        <f t="shared" si="49"/>
        <v>0.16986055897717112</v>
      </c>
      <c r="AJ171" s="435">
        <f t="shared" si="50"/>
        <v>0.10790727572314496</v>
      </c>
      <c r="AK171" s="435">
        <f t="shared" si="51"/>
        <v>9.3306808844317857E-2</v>
      </c>
      <c r="AL171" s="435">
        <f t="shared" si="52"/>
        <v>4.2230234066829686E-2</v>
      </c>
      <c r="AM171" s="435">
        <f t="shared" si="53"/>
        <v>3.3060145471400793E-2</v>
      </c>
      <c r="AN171" s="435">
        <f t="shared" si="54"/>
        <v>8.484324917274888E-2</v>
      </c>
      <c r="AO171" s="435">
        <f t="shared" si="55"/>
        <v>5.5962589141678176E-2</v>
      </c>
    </row>
    <row r="172" spans="1:49" ht="15" customHeight="1">
      <c r="A172" s="4" t="str">
        <f>Home!$B$1</f>
        <v>Hungary</v>
      </c>
      <c r="B172" s="4" t="s">
        <v>79</v>
      </c>
      <c r="C172" s="4" t="s">
        <v>80</v>
      </c>
      <c r="D172" s="4" t="s">
        <v>86</v>
      </c>
      <c r="E172" s="2" t="s">
        <v>88</v>
      </c>
      <c r="F172" s="1" t="s">
        <v>1025</v>
      </c>
      <c r="G172" s="588">
        <f>G170-G171</f>
        <v>17135.355623958065</v>
      </c>
      <c r="H172" s="588">
        <f>H170-H171</f>
        <v>17409.753057587539</v>
      </c>
      <c r="I172" s="588">
        <f t="shared" ref="I172:L172" si="63">I170-I171</f>
        <v>15763.680667667179</v>
      </c>
      <c r="J172" s="588">
        <f t="shared" si="63"/>
        <v>16239.985491558615</v>
      </c>
      <c r="K172" s="588">
        <f t="shared" si="63"/>
        <v>16504.495618923196</v>
      </c>
      <c r="L172" s="588">
        <f t="shared" si="63"/>
        <v>16803.518636038283</v>
      </c>
      <c r="M172" s="237">
        <f>TI_Forecasting!N34</f>
        <v>16978.533473626219</v>
      </c>
      <c r="N172" s="237">
        <f>TI_Forecasting!O34</f>
        <v>16467.043635742411</v>
      </c>
      <c r="O172" s="237">
        <f>TI_Forecasting!P34</f>
        <v>15887.885731047285</v>
      </c>
      <c r="P172" s="237">
        <f>TI_Forecasting!Q34</f>
        <v>16267.206606460608</v>
      </c>
      <c r="Q172" s="237">
        <f>TI_Forecasting!R34</f>
        <v>16265.52410708834</v>
      </c>
      <c r="R172" s="81">
        <f t="shared" si="45"/>
        <v>-8.8214265311812312E-3</v>
      </c>
      <c r="S172" s="81">
        <f t="shared" si="46"/>
        <v>-6.4869730916115032E-3</v>
      </c>
      <c r="T172" s="652"/>
      <c r="U172" s="81"/>
      <c r="AA172" s="589">
        <v>0</v>
      </c>
      <c r="AB172" s="1" t="s">
        <v>588</v>
      </c>
      <c r="AG172" s="390">
        <f t="shared" si="47"/>
        <v>-9.4548864907820551E-2</v>
      </c>
      <c r="AH172" s="390">
        <f t="shared" si="48"/>
        <v>3.0215330666294449E-2</v>
      </c>
      <c r="AI172" s="390">
        <f t="shared" si="49"/>
        <v>1.6287583969953223E-2</v>
      </c>
      <c r="AJ172" s="390">
        <f t="shared" si="50"/>
        <v>1.8117670725559254E-2</v>
      </c>
      <c r="AK172" s="390">
        <f t="shared" si="51"/>
        <v>1.0415368434357752E-2</v>
      </c>
      <c r="AL172" s="390">
        <f t="shared" si="52"/>
        <v>-3.0125678326596073E-2</v>
      </c>
      <c r="AM172" s="390">
        <f t="shared" si="53"/>
        <v>-3.5170727515292377E-2</v>
      </c>
      <c r="AN172" s="390">
        <f t="shared" si="54"/>
        <v>2.3874849167128342E-2</v>
      </c>
      <c r="AO172" s="390">
        <f t="shared" si="55"/>
        <v>-1.0342890534131843E-4</v>
      </c>
    </row>
    <row r="173" spans="1:49" ht="15" customHeight="1">
      <c r="A173" s="4" t="str">
        <f>Home!$B$1</f>
        <v>Hungary</v>
      </c>
      <c r="B173" s="4" t="s">
        <v>79</v>
      </c>
      <c r="C173" s="4" t="s">
        <v>80</v>
      </c>
      <c r="D173" s="2" t="s">
        <v>89</v>
      </c>
      <c r="F173" s="1" t="s">
        <v>1025</v>
      </c>
      <c r="G173" s="588">
        <f>G164-SUM(G165,G166,G169,G170)</f>
        <v>7267.2480453631142</v>
      </c>
      <c r="H173" s="588">
        <f>H164-SUM(H165,H166,H169,H170)</f>
        <v>7148.1287489779934</v>
      </c>
      <c r="I173" s="588">
        <f t="shared" ref="I173:L173" si="64">I164-SUM(I165,I166,I169,I170)</f>
        <v>6876.3704376204332</v>
      </c>
      <c r="J173" s="588">
        <f t="shared" si="64"/>
        <v>6914.6814387605773</v>
      </c>
      <c r="K173" s="588">
        <f t="shared" si="64"/>
        <v>6944.901545525543</v>
      </c>
      <c r="L173" s="588">
        <f t="shared" si="64"/>
        <v>6971.2480325407378</v>
      </c>
      <c r="M173" s="237">
        <f>TI_Forecasting!N36</f>
        <v>7021.3282842492899</v>
      </c>
      <c r="N173" s="237">
        <f>TI_Forecasting!O36</f>
        <v>6661.0367793199875</v>
      </c>
      <c r="O173" s="237">
        <f>TI_Forecasting!P36</f>
        <v>6307.2256721737485</v>
      </c>
      <c r="P173" s="237">
        <f>TI_Forecasting!Q36</f>
        <v>6319.6672722068497</v>
      </c>
      <c r="Q173" s="237">
        <f>TI_Forecasting!R36</f>
        <v>6158.6078065228612</v>
      </c>
      <c r="R173" s="81">
        <f t="shared" si="45"/>
        <v>-6.2445071489835025E-3</v>
      </c>
      <c r="S173" s="81">
        <f t="shared" si="46"/>
        <v>-2.4483987101283966E-2</v>
      </c>
      <c r="T173" s="652"/>
      <c r="U173" s="81"/>
      <c r="AA173" s="589">
        <v>0</v>
      </c>
      <c r="AB173" s="1" t="s">
        <v>1054</v>
      </c>
      <c r="AG173" s="773">
        <f t="shared" si="47"/>
        <v>-3.8018105283346371E-2</v>
      </c>
      <c r="AH173" s="773">
        <f t="shared" si="48"/>
        <v>5.5713986742984556E-3</v>
      </c>
      <c r="AI173" s="773">
        <f t="shared" si="49"/>
        <v>4.3704264661514891E-3</v>
      </c>
      <c r="AJ173" s="773">
        <f t="shared" si="50"/>
        <v>3.793644422816822E-3</v>
      </c>
      <c r="AK173" s="773">
        <f t="shared" si="51"/>
        <v>7.1838287025201009E-3</v>
      </c>
      <c r="AL173" s="773">
        <f t="shared" si="52"/>
        <v>-5.13138668843518E-2</v>
      </c>
      <c r="AM173" s="773">
        <f t="shared" si="53"/>
        <v>-5.3116522077267248E-2</v>
      </c>
      <c r="AN173" s="773">
        <f t="shared" si="54"/>
        <v>1.9725947159288104E-3</v>
      </c>
      <c r="AO173" s="773">
        <f t="shared" si="55"/>
        <v>-2.5485434398153983E-2</v>
      </c>
    </row>
    <row r="174" spans="1:49" ht="15" customHeight="1">
      <c r="A174" s="4" t="str">
        <f>Home!$B$1</f>
        <v>Hungary</v>
      </c>
      <c r="B174" s="4" t="s">
        <v>79</v>
      </c>
      <c r="C174" s="2" t="s">
        <v>104</v>
      </c>
      <c r="D174" s="2"/>
      <c r="E174" s="2"/>
      <c r="F174" s="2" t="s">
        <v>1025</v>
      </c>
      <c r="G174" s="768">
        <f>G164</f>
        <v>54475.363658565184</v>
      </c>
      <c r="H174" s="401">
        <f t="shared" ref="H174:L174" si="65">H164</f>
        <v>56245.163249999998</v>
      </c>
      <c r="I174" s="401">
        <f t="shared" si="65"/>
        <v>52886.647520000006</v>
      </c>
      <c r="J174" s="401">
        <f t="shared" si="65"/>
        <v>55634.867340000004</v>
      </c>
      <c r="K174" s="768">
        <f t="shared" si="65"/>
        <v>57802.691043436396</v>
      </c>
      <c r="L174" s="768">
        <f t="shared" si="65"/>
        <v>59692.642640828475</v>
      </c>
      <c r="M174" s="401">
        <f>M164</f>
        <v>61234.67283855877</v>
      </c>
      <c r="N174" s="401">
        <f t="shared" ref="N174:Q174" si="66">N164</f>
        <v>60198.073290933797</v>
      </c>
      <c r="O174" s="401">
        <f t="shared" si="66"/>
        <v>58889.343116093223</v>
      </c>
      <c r="P174" s="401">
        <f t="shared" si="66"/>
        <v>61037.548154835313</v>
      </c>
      <c r="Q174" s="401">
        <f t="shared" si="66"/>
        <v>61711.182862643487</v>
      </c>
      <c r="R174" s="324">
        <f t="shared" si="45"/>
        <v>1.4983321977036557E-2</v>
      </c>
      <c r="S174" s="324">
        <f t="shared" si="46"/>
        <v>6.6734461235915532E-3</v>
      </c>
      <c r="T174" s="653"/>
      <c r="U174" s="324"/>
      <c r="V174" s="2"/>
      <c r="W174" s="2"/>
      <c r="X174" s="2"/>
      <c r="Y174" s="2"/>
      <c r="Z174" s="2"/>
      <c r="AA174" s="589">
        <v>4</v>
      </c>
      <c r="AB174" s="1" t="s">
        <v>1049</v>
      </c>
      <c r="AC174" s="2"/>
      <c r="AD174" s="468"/>
      <c r="AE174" s="2"/>
      <c r="AF174" s="2"/>
      <c r="AG174" s="773">
        <f t="shared" si="47"/>
        <v>-5.9712080753894781E-2</v>
      </c>
      <c r="AH174" s="773">
        <f t="shared" si="48"/>
        <v>5.1964341641445699E-2</v>
      </c>
      <c r="AI174" s="773">
        <f t="shared" si="49"/>
        <v>3.8965199470832212E-2</v>
      </c>
      <c r="AJ174" s="773">
        <f t="shared" si="50"/>
        <v>3.2696602239017825E-2</v>
      </c>
      <c r="AK174" s="773">
        <f t="shared" si="51"/>
        <v>2.5832835162093781E-2</v>
      </c>
      <c r="AL174" s="773">
        <f t="shared" si="52"/>
        <v>-1.6928310376670086E-2</v>
      </c>
      <c r="AM174" s="773">
        <f t="shared" si="53"/>
        <v>-2.174039970541175E-2</v>
      </c>
      <c r="AN174" s="773">
        <f t="shared" si="54"/>
        <v>3.6478672117417954E-2</v>
      </c>
      <c r="AO174" s="773">
        <f t="shared" si="55"/>
        <v>1.1036398547650483E-2</v>
      </c>
    </row>
    <row r="175" spans="1:49" ht="15" customHeight="1">
      <c r="A175" s="4" t="str">
        <f>Home!$B$1</f>
        <v>Hungary</v>
      </c>
      <c r="B175" s="4" t="s">
        <v>79</v>
      </c>
      <c r="C175" s="4" t="s">
        <v>104</v>
      </c>
      <c r="D175" s="2" t="s">
        <v>90</v>
      </c>
      <c r="F175" s="1" t="s">
        <v>1025</v>
      </c>
      <c r="G175" s="587">
        <f>'TI working sheet'!F59</f>
        <v>13247.977544161855</v>
      </c>
      <c r="H175" s="587">
        <f>'TI working sheet'!G59</f>
        <v>15198.998202003122</v>
      </c>
      <c r="I175" s="587">
        <f>'TI working sheet'!H59</f>
        <v>18327.390647970864</v>
      </c>
      <c r="J175" s="587">
        <f>'TI working sheet'!I59</f>
        <v>21780.440422632353</v>
      </c>
      <c r="K175" s="587">
        <f>'TI working sheet'!J59</f>
        <v>25224.328422694241</v>
      </c>
      <c r="L175" s="587">
        <f>'TI working sheet'!K59</f>
        <v>27783.746881484709</v>
      </c>
      <c r="M175" s="237">
        <f>TI_Forecasting!N56</f>
        <v>29876.076326124363</v>
      </c>
      <c r="N175" s="237">
        <f>TI_Forecasting!O56</f>
        <v>30553.080988501584</v>
      </c>
      <c r="O175" s="237">
        <f>TI_Forecasting!P56</f>
        <v>31095.815468493573</v>
      </c>
      <c r="P175" s="237">
        <f>TI_Forecasting!Q56</f>
        <v>33262.572965058767</v>
      </c>
      <c r="Q175" s="237">
        <f>TI_Forecasting!R56</f>
        <v>34730.144305875336</v>
      </c>
      <c r="R175" s="81">
        <f t="shared" si="45"/>
        <v>0.16277038631658924</v>
      </c>
      <c r="S175" s="81">
        <f t="shared" si="46"/>
        <v>4.5642326747203699E-2</v>
      </c>
      <c r="T175" s="652"/>
      <c r="U175" s="81"/>
      <c r="AA175" s="589">
        <v>0</v>
      </c>
      <c r="AB175" s="1" t="s">
        <v>1055</v>
      </c>
      <c r="AG175" s="435">
        <f t="shared" si="47"/>
        <v>0.20582885821747388</v>
      </c>
      <c r="AH175" s="435">
        <f t="shared" si="48"/>
        <v>0.18840924171842199</v>
      </c>
      <c r="AI175" s="435">
        <f t="shared" si="49"/>
        <v>0.15811838205453821</v>
      </c>
      <c r="AJ175" s="435">
        <f t="shared" si="50"/>
        <v>0.10146626764055955</v>
      </c>
      <c r="AK175" s="435">
        <f t="shared" si="51"/>
        <v>7.5307677310938903E-2</v>
      </c>
      <c r="AL175" s="435">
        <f t="shared" si="52"/>
        <v>2.2660427526931759E-2</v>
      </c>
      <c r="AM175" s="435">
        <f t="shared" si="53"/>
        <v>1.7763657949790401E-2</v>
      </c>
      <c r="AN175" s="435">
        <f t="shared" si="54"/>
        <v>6.9680034561581561E-2</v>
      </c>
      <c r="AO175" s="435">
        <f t="shared" si="55"/>
        <v>4.4120800346930666E-2</v>
      </c>
    </row>
    <row r="176" spans="1:49" ht="15" customHeight="1">
      <c r="A176" s="4" t="str">
        <f>Home!$B$1</f>
        <v>Hungary</v>
      </c>
      <c r="B176" s="4" t="s">
        <v>79</v>
      </c>
      <c r="C176" s="4" t="s">
        <v>104</v>
      </c>
      <c r="D176" s="2" t="s">
        <v>91</v>
      </c>
      <c r="F176" s="1" t="s">
        <v>1025</v>
      </c>
      <c r="G176" s="588">
        <f>G174-G175</f>
        <v>41227.386114403329</v>
      </c>
      <c r="H176" s="588">
        <f>H174-H175</f>
        <v>41046.165047996874</v>
      </c>
      <c r="I176" s="588">
        <f t="shared" ref="I176:L176" si="67">I174-I175</f>
        <v>34559.256872029146</v>
      </c>
      <c r="J176" s="588">
        <f t="shared" si="67"/>
        <v>33854.426917367651</v>
      </c>
      <c r="K176" s="588">
        <f t="shared" si="67"/>
        <v>32578.362620742155</v>
      </c>
      <c r="L176" s="588">
        <f t="shared" si="67"/>
        <v>31908.895759343766</v>
      </c>
      <c r="M176" s="237">
        <f>TI_Forecasting!N58</f>
        <v>31358.596512434407</v>
      </c>
      <c r="N176" s="237">
        <f>TI_Forecasting!O58</f>
        <v>29644.992302432212</v>
      </c>
      <c r="O176" s="237">
        <f>TI_Forecasting!P58</f>
        <v>27793.527647599651</v>
      </c>
      <c r="P176" s="237">
        <f>TI_Forecasting!Q58</f>
        <v>27774.975189776545</v>
      </c>
      <c r="Q176" s="237">
        <f>TI_Forecasting!R58</f>
        <v>26981.038556768151</v>
      </c>
      <c r="R176" s="81">
        <f t="shared" si="45"/>
        <v>-6.101252995776707E-2</v>
      </c>
      <c r="S176" s="81">
        <f t="shared" si="46"/>
        <v>-3.2993535309253752E-2</v>
      </c>
      <c r="T176" s="652"/>
      <c r="U176" s="81"/>
      <c r="AA176" s="589">
        <v>0</v>
      </c>
      <c r="AB176" s="1" t="s">
        <v>589</v>
      </c>
      <c r="AG176" s="390">
        <f t="shared" si="47"/>
        <v>-0.15803932397539056</v>
      </c>
      <c r="AH176" s="390">
        <f t="shared" si="48"/>
        <v>-2.0394823802821871E-2</v>
      </c>
      <c r="AI176" s="390">
        <f t="shared" si="49"/>
        <v>-3.7692686387518326E-2</v>
      </c>
      <c r="AJ176" s="390">
        <f t="shared" si="50"/>
        <v>-2.0549432431332448E-2</v>
      </c>
      <c r="AK176" s="390">
        <f t="shared" si="51"/>
        <v>-1.7245950817593503E-2</v>
      </c>
      <c r="AL176" s="390">
        <f t="shared" si="52"/>
        <v>-5.4645436995967356E-2</v>
      </c>
      <c r="AM176" s="390">
        <f t="shared" si="53"/>
        <v>-6.2454550028021361E-2</v>
      </c>
      <c r="AN176" s="390">
        <f t="shared" si="54"/>
        <v>-6.6751000658626936E-4</v>
      </c>
      <c r="AO176" s="390">
        <f t="shared" si="55"/>
        <v>-2.8584602779433865E-2</v>
      </c>
    </row>
    <row r="177" spans="1:41" ht="15" customHeight="1">
      <c r="A177" s="4" t="str">
        <f>Home!$B$1</f>
        <v>Hungary</v>
      </c>
      <c r="B177" s="4" t="s">
        <v>79</v>
      </c>
      <c r="C177" s="2" t="s">
        <v>105</v>
      </c>
      <c r="D177" s="2"/>
      <c r="E177" s="2"/>
      <c r="F177" s="2" t="s">
        <v>1025</v>
      </c>
      <c r="G177" s="768">
        <f>G174</f>
        <v>54475.363658565184</v>
      </c>
      <c r="H177" s="401">
        <f t="shared" ref="H177:L177" si="68">H174</f>
        <v>56245.163249999998</v>
      </c>
      <c r="I177" s="401">
        <f t="shared" si="68"/>
        <v>52886.647520000006</v>
      </c>
      <c r="J177" s="401">
        <f t="shared" si="68"/>
        <v>55634.867340000004</v>
      </c>
      <c r="K177" s="768">
        <f t="shared" si="68"/>
        <v>57802.691043436396</v>
      </c>
      <c r="L177" s="768">
        <f t="shared" si="68"/>
        <v>59692.642640828475</v>
      </c>
      <c r="M177" s="401">
        <f>M164</f>
        <v>61234.67283855877</v>
      </c>
      <c r="N177" s="401">
        <f t="shared" ref="N177:Q177" si="69">N164</f>
        <v>60198.073290933797</v>
      </c>
      <c r="O177" s="401">
        <f t="shared" si="69"/>
        <v>58889.343116093223</v>
      </c>
      <c r="P177" s="401">
        <f t="shared" si="69"/>
        <v>61037.548154835313</v>
      </c>
      <c r="Q177" s="401">
        <f t="shared" si="69"/>
        <v>61711.182862643487</v>
      </c>
      <c r="R177" s="324">
        <f t="shared" si="45"/>
        <v>1.4983321977036557E-2</v>
      </c>
      <c r="S177" s="324">
        <f t="shared" si="46"/>
        <v>6.6734461235915532E-3</v>
      </c>
      <c r="T177" s="653"/>
      <c r="U177" s="324"/>
      <c r="V177" s="2"/>
      <c r="W177" s="2"/>
      <c r="X177" s="2"/>
      <c r="Y177" s="2"/>
      <c r="Z177" s="2"/>
      <c r="AA177" s="589">
        <v>4</v>
      </c>
      <c r="AB177" s="1" t="s">
        <v>1049</v>
      </c>
      <c r="AC177" s="2"/>
      <c r="AD177" s="468"/>
      <c r="AE177" s="2"/>
      <c r="AF177" s="2"/>
      <c r="AG177" s="773">
        <f t="shared" si="47"/>
        <v>-5.9712080753894781E-2</v>
      </c>
      <c r="AH177" s="773">
        <f t="shared" si="48"/>
        <v>5.1964341641445699E-2</v>
      </c>
      <c r="AI177" s="773">
        <f t="shared" si="49"/>
        <v>3.8965199470832212E-2</v>
      </c>
      <c r="AJ177" s="773">
        <f t="shared" si="50"/>
        <v>3.2696602239017825E-2</v>
      </c>
      <c r="AK177" s="773">
        <f t="shared" si="51"/>
        <v>2.5832835162093781E-2</v>
      </c>
      <c r="AL177" s="773">
        <f t="shared" si="52"/>
        <v>-1.6928310376670086E-2</v>
      </c>
      <c r="AM177" s="773">
        <f t="shared" si="53"/>
        <v>-2.174039970541175E-2</v>
      </c>
      <c r="AN177" s="773">
        <f t="shared" si="54"/>
        <v>3.6478672117417954E-2</v>
      </c>
      <c r="AO177" s="773">
        <f t="shared" si="55"/>
        <v>1.1036398547650483E-2</v>
      </c>
    </row>
    <row r="178" spans="1:41" ht="15" customHeight="1">
      <c r="A178" s="4" t="str">
        <f>Home!$B$1</f>
        <v>Hungary</v>
      </c>
      <c r="B178" s="4" t="s">
        <v>79</v>
      </c>
      <c r="C178" s="4" t="s">
        <v>92</v>
      </c>
      <c r="D178" s="2" t="s">
        <v>14</v>
      </c>
      <c r="F178" s="1" t="s">
        <v>1025</v>
      </c>
      <c r="G178" s="587">
        <f>'TI working sheet'!F65*G177</f>
        <v>30298.916019302047</v>
      </c>
      <c r="H178" s="587">
        <f>'TI working sheet'!G65*H177</f>
        <v>30650.479684337635</v>
      </c>
      <c r="I178" s="587">
        <f>'TI working sheet'!H65*I177</f>
        <v>29301.648398054145</v>
      </c>
      <c r="J178" s="587">
        <f>'TI working sheet'!I65*J177</f>
        <v>30939.451953254389</v>
      </c>
      <c r="K178" s="587">
        <f>'TI working sheet'!J65*K177</f>
        <v>32322.387426805872</v>
      </c>
      <c r="L178" s="587">
        <f>'TI working sheet'!K65*L177</f>
        <v>34310.23287417939</v>
      </c>
      <c r="M178" s="237">
        <f>TI_Forecasting!N61</f>
        <v>35668.755199181047</v>
      </c>
      <c r="N178" s="237">
        <f>TI_Forecasting!O61</f>
        <v>35506.61547150871</v>
      </c>
      <c r="O178" s="237">
        <f>TI_Forecasting!P61</f>
        <v>35249.558100167618</v>
      </c>
      <c r="P178" s="237">
        <f>TI_Forecasting!Q61</f>
        <v>37162.459175414784</v>
      </c>
      <c r="Q178" s="237">
        <f>TI_Forecasting!R61</f>
        <v>38117.320380456636</v>
      </c>
      <c r="R178" s="81">
        <f t="shared" si="45"/>
        <v>2.8600183636614762E-2</v>
      </c>
      <c r="S178" s="81">
        <f t="shared" si="46"/>
        <v>2.1268035808031938E-2</v>
      </c>
      <c r="T178" s="652"/>
      <c r="U178" s="81"/>
      <c r="AA178" s="589">
        <v>1</v>
      </c>
      <c r="AB178" s="1" t="s">
        <v>590</v>
      </c>
      <c r="AG178" s="390">
        <f t="shared" si="47"/>
        <v>-4.4006857320824988E-2</v>
      </c>
      <c r="AH178" s="390">
        <f t="shared" si="48"/>
        <v>5.5894587667941753E-2</v>
      </c>
      <c r="AI178" s="390">
        <f t="shared" si="49"/>
        <v>4.4698124441277187E-2</v>
      </c>
      <c r="AJ178" s="390">
        <f t="shared" si="50"/>
        <v>6.1500576090643078E-2</v>
      </c>
      <c r="AK178" s="390">
        <f t="shared" si="51"/>
        <v>3.9595252238116663E-2</v>
      </c>
      <c r="AL178" s="390">
        <f t="shared" si="52"/>
        <v>-4.5457074901245065E-3</v>
      </c>
      <c r="AM178" s="390">
        <f t="shared" si="53"/>
        <v>-7.2397035855856773E-3</v>
      </c>
      <c r="AN178" s="390">
        <f t="shared" si="54"/>
        <v>5.4267377474955358E-2</v>
      </c>
      <c r="AO178" s="390">
        <f t="shared" si="55"/>
        <v>2.5694241614493407E-2</v>
      </c>
    </row>
    <row r="179" spans="1:41" ht="15" customHeight="1">
      <c r="A179" s="4" t="str">
        <f>Home!$B$1</f>
        <v>Hungary</v>
      </c>
      <c r="B179" s="4" t="s">
        <v>79</v>
      </c>
      <c r="C179" s="4" t="s">
        <v>92</v>
      </c>
      <c r="D179" s="2" t="s">
        <v>15</v>
      </c>
      <c r="F179" s="1" t="s">
        <v>1025</v>
      </c>
      <c r="G179" s="588">
        <f>G177-G178</f>
        <v>24176.447639263137</v>
      </c>
      <c r="H179" s="588">
        <f>H177-H178</f>
        <v>25594.683565662363</v>
      </c>
      <c r="I179" s="588">
        <f t="shared" ref="I179:L179" si="70">I177-I178</f>
        <v>23584.999121945861</v>
      </c>
      <c r="J179" s="588">
        <f t="shared" si="70"/>
        <v>24695.415386745615</v>
      </c>
      <c r="K179" s="588">
        <f t="shared" si="70"/>
        <v>25480.303616630525</v>
      </c>
      <c r="L179" s="588">
        <f t="shared" si="70"/>
        <v>25382.409766649085</v>
      </c>
      <c r="M179" s="237">
        <f>TI_Forecasting!N63</f>
        <v>25565.91763937772</v>
      </c>
      <c r="N179" s="237">
        <f>TI_Forecasting!O63</f>
        <v>24691.457819425086</v>
      </c>
      <c r="O179" s="237">
        <f>TI_Forecasting!P63</f>
        <v>23639.785015925605</v>
      </c>
      <c r="P179" s="237">
        <f>TI_Forecasting!Q63</f>
        <v>23875.088979420529</v>
      </c>
      <c r="Q179" s="237">
        <f>TI_Forecasting!R63</f>
        <v>23593.862482186847</v>
      </c>
      <c r="R179" s="81">
        <f t="shared" si="45"/>
        <v>-2.0798968752704372E-3</v>
      </c>
      <c r="S179" s="81">
        <f t="shared" si="46"/>
        <v>-1.4507692665080341E-2</v>
      </c>
      <c r="T179" s="652"/>
      <c r="U179" s="81"/>
      <c r="AA179" s="589">
        <v>1</v>
      </c>
      <c r="AB179" s="1" t="s">
        <v>591</v>
      </c>
      <c r="AG179" s="390">
        <f t="shared" si="47"/>
        <v>-7.8519605001590276E-2</v>
      </c>
      <c r="AH179" s="390">
        <f t="shared" si="48"/>
        <v>4.7081463054476469E-2</v>
      </c>
      <c r="AI179" s="390">
        <f t="shared" si="49"/>
        <v>3.178275066821401E-2</v>
      </c>
      <c r="AJ179" s="390">
        <f t="shared" si="50"/>
        <v>-3.8419420527447956E-3</v>
      </c>
      <c r="AK179" s="390">
        <f t="shared" si="51"/>
        <v>7.2297261928908618E-3</v>
      </c>
      <c r="AL179" s="390">
        <f t="shared" si="52"/>
        <v>-3.4204124111146816E-2</v>
      </c>
      <c r="AM179" s="390">
        <f t="shared" si="53"/>
        <v>-4.2592576395878767E-2</v>
      </c>
      <c r="AN179" s="390">
        <f t="shared" si="54"/>
        <v>9.9537268776515031E-3</v>
      </c>
      <c r="AO179" s="390">
        <f t="shared" si="55"/>
        <v>-1.1779076403697908E-2</v>
      </c>
    </row>
    <row r="180" spans="1:41" ht="15" customHeight="1">
      <c r="A180" s="4" t="str">
        <f>Home!$B$1</f>
        <v>Hungary</v>
      </c>
      <c r="B180" s="4" t="s">
        <v>79</v>
      </c>
      <c r="C180" s="2" t="s">
        <v>75</v>
      </c>
      <c r="D180" s="2"/>
      <c r="E180" s="2"/>
      <c r="F180" s="2" t="s">
        <v>1025</v>
      </c>
      <c r="G180" s="768">
        <f>G177</f>
        <v>54475.363658565184</v>
      </c>
      <c r="H180" s="401">
        <f t="shared" ref="H180:L180" si="71">H177</f>
        <v>56245.163249999998</v>
      </c>
      <c r="I180" s="401">
        <f t="shared" si="71"/>
        <v>52886.647520000006</v>
      </c>
      <c r="J180" s="401">
        <f t="shared" si="71"/>
        <v>55634.867340000004</v>
      </c>
      <c r="K180" s="768">
        <f t="shared" si="71"/>
        <v>57802.691043436396</v>
      </c>
      <c r="L180" s="768">
        <f t="shared" si="71"/>
        <v>59692.642640828475</v>
      </c>
      <c r="M180" s="401">
        <f>M164</f>
        <v>61234.67283855877</v>
      </c>
      <c r="N180" s="401">
        <f t="shared" ref="N180:Q180" si="72">N164</f>
        <v>60198.073290933797</v>
      </c>
      <c r="O180" s="401">
        <f t="shared" si="72"/>
        <v>58889.343116093223</v>
      </c>
      <c r="P180" s="401">
        <f t="shared" si="72"/>
        <v>61037.548154835313</v>
      </c>
      <c r="Q180" s="401">
        <f t="shared" si="72"/>
        <v>61711.182862643487</v>
      </c>
      <c r="R180" s="324">
        <f t="shared" si="45"/>
        <v>1.4983321977036557E-2</v>
      </c>
      <c r="S180" s="324">
        <f t="shared" si="46"/>
        <v>6.6734461235915532E-3</v>
      </c>
      <c r="T180" s="653"/>
      <c r="U180" s="324"/>
      <c r="V180" s="2"/>
      <c r="W180" s="2"/>
      <c r="X180" s="2"/>
      <c r="Y180" s="2"/>
      <c r="Z180" s="2"/>
      <c r="AA180" s="589">
        <v>4</v>
      </c>
      <c r="AB180" s="1" t="s">
        <v>1049</v>
      </c>
      <c r="AC180" s="2"/>
      <c r="AD180" s="468"/>
      <c r="AE180" s="2"/>
      <c r="AF180" s="2"/>
      <c r="AG180" s="773">
        <f t="shared" si="47"/>
        <v>-5.9712080753894781E-2</v>
      </c>
      <c r="AH180" s="773">
        <f t="shared" si="48"/>
        <v>5.1964341641445699E-2</v>
      </c>
      <c r="AI180" s="773">
        <f t="shared" si="49"/>
        <v>3.8965199470832212E-2</v>
      </c>
      <c r="AJ180" s="773">
        <f t="shared" si="50"/>
        <v>3.2696602239017825E-2</v>
      </c>
      <c r="AK180" s="773">
        <f t="shared" ref="AK180:AO182" si="73">M180/L180-1</f>
        <v>2.5832835162093781E-2</v>
      </c>
      <c r="AL180" s="773">
        <f t="shared" si="73"/>
        <v>-1.6928310376670086E-2</v>
      </c>
      <c r="AM180" s="773">
        <f t="shared" si="73"/>
        <v>-2.174039970541175E-2</v>
      </c>
      <c r="AN180" s="773">
        <f t="shared" si="73"/>
        <v>3.6478672117417954E-2</v>
      </c>
      <c r="AO180" s="773">
        <f t="shared" si="73"/>
        <v>1.1036398547650483E-2</v>
      </c>
    </row>
    <row r="181" spans="1:41" ht="15" customHeight="1">
      <c r="A181" s="4" t="str">
        <f>Home!$B$1</f>
        <v>Hungary</v>
      </c>
      <c r="B181" s="4" t="s">
        <v>79</v>
      </c>
      <c r="C181" s="4" t="s">
        <v>75</v>
      </c>
      <c r="D181" s="2" t="s">
        <v>19</v>
      </c>
      <c r="F181" s="1" t="s">
        <v>1025</v>
      </c>
      <c r="G181" s="587" t="e">
        <f>'TI working sheet'!F83*G180</f>
        <v>#VALUE!</v>
      </c>
      <c r="H181" s="587" t="e">
        <f>'TI working sheet'!G83*H180</f>
        <v>#VALUE!</v>
      </c>
      <c r="I181" s="587" t="e">
        <f>'TI working sheet'!H83*I180</f>
        <v>#VALUE!</v>
      </c>
      <c r="J181" s="587" t="e">
        <f>'TI working sheet'!I83*J180</f>
        <v>#VALUE!</v>
      </c>
      <c r="K181" s="587" t="e">
        <f>'TI working sheet'!J83*K180</f>
        <v>#VALUE!</v>
      </c>
      <c r="L181" s="587">
        <f>'TI working sheet'!K83*L180</f>
        <v>37822.629247566714</v>
      </c>
      <c r="M181" s="237" t="e">
        <f>TI_Forecasting!N65</f>
        <v>#VALUE!</v>
      </c>
      <c r="N181" s="237" t="e">
        <f>TI_Forecasting!O65</f>
        <v>#VALUE!</v>
      </c>
      <c r="O181" s="237" t="e">
        <f>TI_Forecasting!P65</f>
        <v>#VALUE!</v>
      </c>
      <c r="P181" s="237" t="e">
        <f>TI_Forecasting!Q65</f>
        <v>#VALUE!</v>
      </c>
      <c r="Q181" s="237" t="e">
        <f>TI_Forecasting!R65</f>
        <v>#VALUE!</v>
      </c>
      <c r="R181" s="81" t="e">
        <f t="shared" si="45"/>
        <v>#VALUE!</v>
      </c>
      <c r="S181" s="81" t="e">
        <f t="shared" si="46"/>
        <v>#VALUE!</v>
      </c>
      <c r="T181" s="652"/>
      <c r="U181" s="81"/>
      <c r="AA181" s="589">
        <v>1</v>
      </c>
      <c r="AB181" s="1" t="s">
        <v>1053</v>
      </c>
      <c r="AG181" s="390" t="e">
        <f t="shared" si="47"/>
        <v>#VALUE!</v>
      </c>
      <c r="AH181" s="390" t="e">
        <f t="shared" si="48"/>
        <v>#VALUE!</v>
      </c>
      <c r="AI181" s="390" t="e">
        <f t="shared" si="49"/>
        <v>#VALUE!</v>
      </c>
      <c r="AJ181" s="390" t="e">
        <f t="shared" si="50"/>
        <v>#VALUE!</v>
      </c>
      <c r="AK181" s="390" t="e">
        <f t="shared" si="73"/>
        <v>#VALUE!</v>
      </c>
      <c r="AL181" s="390" t="e">
        <f t="shared" si="73"/>
        <v>#VALUE!</v>
      </c>
      <c r="AM181" s="390" t="e">
        <f t="shared" si="73"/>
        <v>#VALUE!</v>
      </c>
      <c r="AN181" s="390" t="e">
        <f t="shared" si="73"/>
        <v>#VALUE!</v>
      </c>
      <c r="AO181" s="390" t="e">
        <f t="shared" si="73"/>
        <v>#VALUE!</v>
      </c>
    </row>
    <row r="182" spans="1:41" ht="15" customHeight="1">
      <c r="A182" s="4" t="str">
        <f>Home!$B$1</f>
        <v>Hungary</v>
      </c>
      <c r="B182" s="4" t="s">
        <v>79</v>
      </c>
      <c r="C182" s="4" t="s">
        <v>75</v>
      </c>
      <c r="D182" s="2" t="s">
        <v>20</v>
      </c>
      <c r="F182" s="1" t="s">
        <v>1025</v>
      </c>
      <c r="G182" s="588" t="e">
        <f>G180-G181</f>
        <v>#VALUE!</v>
      </c>
      <c r="H182" s="588" t="e">
        <f>H180-H181</f>
        <v>#VALUE!</v>
      </c>
      <c r="I182" s="588" t="e">
        <f t="shared" ref="I182:L182" si="74">I180-I181</f>
        <v>#VALUE!</v>
      </c>
      <c r="J182" s="588" t="e">
        <f t="shared" si="74"/>
        <v>#VALUE!</v>
      </c>
      <c r="K182" s="588" t="e">
        <f t="shared" si="74"/>
        <v>#VALUE!</v>
      </c>
      <c r="L182" s="588">
        <f t="shared" si="74"/>
        <v>21870.013393261761</v>
      </c>
      <c r="M182" s="237" t="e">
        <f>TI_Forecasting!N67</f>
        <v>#VALUE!</v>
      </c>
      <c r="N182" s="237" t="e">
        <f>TI_Forecasting!O67</f>
        <v>#VALUE!</v>
      </c>
      <c r="O182" s="237" t="e">
        <f>TI_Forecasting!P67</f>
        <v>#VALUE!</v>
      </c>
      <c r="P182" s="237" t="e">
        <f>TI_Forecasting!Q67</f>
        <v>#VALUE!</v>
      </c>
      <c r="Q182" s="237" t="e">
        <f>TI_Forecasting!R67</f>
        <v>#VALUE!</v>
      </c>
      <c r="R182" s="81" t="e">
        <f t="shared" si="45"/>
        <v>#VALUE!</v>
      </c>
      <c r="S182" s="81" t="e">
        <f t="shared" si="46"/>
        <v>#VALUE!</v>
      </c>
      <c r="T182" s="652"/>
      <c r="U182" s="81"/>
      <c r="AA182" s="589">
        <v>1</v>
      </c>
      <c r="AB182" s="1" t="s">
        <v>592</v>
      </c>
      <c r="AG182" s="390" t="e">
        <f t="shared" si="47"/>
        <v>#VALUE!</v>
      </c>
      <c r="AH182" s="390" t="e">
        <f t="shared" si="48"/>
        <v>#VALUE!</v>
      </c>
      <c r="AI182" s="390" t="e">
        <f t="shared" si="49"/>
        <v>#VALUE!</v>
      </c>
      <c r="AJ182" s="390" t="e">
        <f t="shared" si="50"/>
        <v>#VALUE!</v>
      </c>
      <c r="AK182" s="390" t="e">
        <f t="shared" si="73"/>
        <v>#VALUE!</v>
      </c>
      <c r="AL182" s="390" t="e">
        <f t="shared" si="73"/>
        <v>#VALUE!</v>
      </c>
      <c r="AM182" s="390" t="e">
        <f t="shared" si="73"/>
        <v>#VALUE!</v>
      </c>
      <c r="AN182" s="390" t="e">
        <f t="shared" si="73"/>
        <v>#VALUE!</v>
      </c>
      <c r="AO182" s="390" t="e">
        <f t="shared" si="73"/>
        <v>#VALUE!</v>
      </c>
    </row>
    <row r="184" spans="1:41" ht="15" customHeight="1">
      <c r="G184" s="43"/>
      <c r="H184" s="43"/>
      <c r="I184" s="43"/>
      <c r="J184" s="43"/>
      <c r="K184" s="43"/>
      <c r="L184" s="43"/>
    </row>
    <row r="185" spans="1:41" ht="15" customHeight="1">
      <c r="G185" s="633"/>
      <c r="H185" s="633"/>
      <c r="I185" s="633"/>
      <c r="J185" s="633"/>
      <c r="K185" s="633"/>
      <c r="L185" s="633"/>
    </row>
  </sheetData>
  <customSheetViews>
    <customSheetView guid="{BD5E9955-DC4B-4EA0-9160-9EF1C693DE04}" showGridLines="0" hiddenColumns="1" topLeftCell="E1">
      <pane ySplit="1" topLeftCell="A149" activePane="bottomLeft" state="frozen"/>
      <selection pane="bottomLeft" activeCell="U160" sqref="U160"/>
      <pageMargins left="0.7" right="0.7" top="0.75" bottom="0.75" header="0.3" footer="0.3"/>
      <pageSetup orientation="portrait" r:id="rId1"/>
    </customSheetView>
    <customSheetView guid="{1ACDCC85-59E3-4410-927D-E7E5C71B61F5}" showGridLines="0" topLeftCell="C1">
      <pane ySplit="1" topLeftCell="A139" activePane="bottomLeft" state="frozen"/>
      <selection pane="bottomLeft" activeCell="C129" sqref="C129"/>
      <pageMargins left="0.7" right="0.7" top="0.75" bottom="0.75" header="0.3" footer="0.3"/>
      <pageSetup orientation="portrait" r:id="rId2"/>
    </customSheetView>
    <customSheetView guid="{28AA611C-F120-4D09-9666-0AAAA1997A5D}" showGridLines="0" topLeftCell="I1">
      <pane ySplit="1" topLeftCell="A11" activePane="bottomLeft" state="frozen"/>
      <selection pane="bottomLeft" activeCell="T26" sqref="T26"/>
      <pageMargins left="0.7" right="0.7" top="0.75" bottom="0.75" header="0.3" footer="0.3"/>
      <pageSetup orientation="portrait" r:id="rId3"/>
    </customSheetView>
    <customSheetView guid="{63078F6D-D19C-47E9-B618-80B24EAAED3A}">
      <pane ySplit="1" topLeftCell="A145" activePane="bottomLeft" state="frozen"/>
      <selection pane="bottomLeft" activeCell="G150" sqref="G150"/>
      <pageMargins left="0.7" right="0.7" top="0.75" bottom="0.75" header="0.3" footer="0.3"/>
      <pageSetup orientation="portrait" r:id="rId4"/>
    </customSheetView>
    <customSheetView guid="{92F60ACF-D6F3-4086-9F2B-BC0D304DAC43}">
      <pane ySplit="1" topLeftCell="A144" activePane="bottomLeft" state="frozen"/>
      <selection pane="bottomLeft" activeCell="L158" sqref="L158"/>
      <pageMargins left="0.7" right="0.7" top="0.75" bottom="0.75" header="0.3" footer="0.3"/>
      <pageSetup orientation="portrait" r:id="rId5"/>
    </customSheetView>
    <customSheetView guid="{9144D9B3-2327-4B3A-89B1-6A595780C3C5}" showGridLines="0" hiddenRows="1" topLeftCell="L1">
      <selection activeCell="S10" sqref="S10"/>
      <pageMargins left="0.7" right="0.7" top="0.75" bottom="0.75" header="0.3" footer="0.3"/>
      <pageSetup orientation="portrait" r:id="rId6"/>
    </customSheetView>
    <customSheetView guid="{513032B5-C585-49C2-98E7-9FDE6F7A4BA7}" showGridLines="0">
      <pane ySplit="1" topLeftCell="A161" activePane="bottomLeft" state="frozen"/>
      <selection pane="bottomLeft" activeCell="F173" sqref="F173"/>
      <pageMargins left="0.7" right="0.7" top="0.75" bottom="0.75" header="0.3" footer="0.3"/>
      <pageSetup orientation="portrait" r:id="rId7"/>
    </customSheetView>
    <customSheetView guid="{AF983ECA-536A-40E6-8A04-FF0A375E9ACC}" showGridLines="0">
      <pane ySplit="1" topLeftCell="A2" activePane="bottomLeft" state="frozen"/>
      <selection pane="bottomLeft"/>
      <pageMargins left="0.7" right="0.7" top="0.75" bottom="0.75" header="0.3" footer="0.3"/>
      <pageSetup orientation="portrait" r:id="rId8"/>
    </customSheetView>
  </customSheetViews>
  <hyperlinks>
    <hyperlink ref="V142" r:id="rId9"/>
    <hyperlink ref="W142" r:id="rId10"/>
    <hyperlink ref="V135" r:id="rId11"/>
    <hyperlink ref="W135" r:id="rId12"/>
    <hyperlink ref="V140" r:id="rId13"/>
    <hyperlink ref="W140" r:id="rId14"/>
    <hyperlink ref="U160" r:id="rId15"/>
    <hyperlink ref="U40" r:id="rId16" display="Sources\TDF\tour_dem_ttw (19) Eurostat data for domestic &amp; outbound  - Sweden.xls"/>
    <hyperlink ref="V40:Y40" r:id="rId17" display="Sources\TDF\tour_dem_ttw (19) Eurostat data for domestic &amp; outbound  - Sweden.xls"/>
    <hyperlink ref="Y22" r:id="rId18" display="http://data.worldbank.org/indicator/ST.INT.ARVL"/>
    <hyperlink ref="U42" r:id="rId19" display="Sources\TDF\tour_dem_ttq (6) - business lesuire &amp; personal  - outbound.xls"/>
    <hyperlink ref="U43" r:id="rId20" display="Sources\TDF\tour_dem_ttq (6) - business lesuire &amp; personal  - outbound.xls"/>
    <hyperlink ref="V42:Y42" r:id="rId21" display="Sources\TDF\tour_dem_ttq (6) - business lesuire &amp; personal  - outbound.xls"/>
    <hyperlink ref="V43:Y43" r:id="rId22" display="Sources\TDF\tour_dem_ttq (6) - business lesuire &amp; personal  - outbound.xls"/>
    <hyperlink ref="U46" r:id="rId23"/>
    <hyperlink ref="V46:Y46" r:id="rId24" display="Sources\TDF\tour_dem_tnq -No.of overnight stays.xls"/>
    <hyperlink ref="U45" r:id="rId25"/>
    <hyperlink ref="V45:Y45" r:id="rId26" display="Sources\TDF\tour_dem_tnq -No.of overnight stays.xls"/>
    <hyperlink ref="U7" r:id="rId27"/>
    <hyperlink ref="V7:Y7" r:id="rId28" display="Sources\TDF\tour_dem_ttq (8) - No. of trips by season.xls"/>
    <hyperlink ref="U8" r:id="rId29"/>
    <hyperlink ref="U9" r:id="rId30"/>
    <hyperlink ref="U10" r:id="rId31"/>
    <hyperlink ref="V8:Y8" r:id="rId32" display="Sources\TDF\tour_dem_ttq (8) - No. of trips by season.xls"/>
    <hyperlink ref="V9:Y9" r:id="rId33" display="Sources\TDF\tour_dem_ttq (8) - No. of trips by season.xls"/>
    <hyperlink ref="V10:Y10" r:id="rId34" display="Sources\TDF\tour_dem_ttq (8) - No. of trips by season.xls"/>
    <hyperlink ref="U25" r:id="rId35"/>
    <hyperlink ref="V25:Y25" r:id="rId36" display="Sources\TDF\tour_occ_arnraw (2) - Arrivals region wise.xls"/>
    <hyperlink ref="U27" r:id="rId37"/>
    <hyperlink ref="U28" r:id="rId38"/>
    <hyperlink ref="V27:Y27" r:id="rId39" display="Sources\TDF\tour_occ_arnraw (2) - Arrivals region wise.xls"/>
    <hyperlink ref="V28:Y28" r:id="rId40" display="Sources\TDF\tour_occ_arnraw (2) - Arrivals region wise.xls"/>
    <hyperlink ref="U23" r:id="rId41"/>
    <hyperlink ref="V23:Y23" r:id="rId42" display="Sources\TDF\tour_occ_arnraw (2) - Arrivals region wise.xls"/>
    <hyperlink ref="U48" r:id="rId43"/>
    <hyperlink ref="V48:Z48" r:id="rId44" display="2007-2011 pg 11"/>
    <hyperlink ref="U56" r:id="rId45"/>
    <hyperlink ref="V56:Z56" r:id="rId46" display="2007-2011 pg 11"/>
    <hyperlink ref="Y29" r:id="rId47" display="http://data.worldbank.org/indicator/ST.INT.ARVL"/>
    <hyperlink ref="U149" r:id="rId48"/>
    <hyperlink ref="V149:Y149" r:id="rId49" display="EUROSTAT"/>
    <hyperlink ref="U150:Y150" r:id="rId50" display="EUROSTAT"/>
    <hyperlink ref="V160:X160" r:id="rId51" display="Eurostat"/>
    <hyperlink ref="Y160" r:id="rId52"/>
    <hyperlink ref="Y12" r:id="rId53"/>
    <hyperlink ref="Y13" r:id="rId54"/>
    <hyperlink ref="Y33" r:id="rId55"/>
    <hyperlink ref="Y18" r:id="rId56"/>
    <hyperlink ref="U19" r:id="rId57"/>
    <hyperlink ref="V19:Y19" r:id="rId58" display="EUROSTAT"/>
    <hyperlink ref="U41" r:id="rId59"/>
    <hyperlink ref="V41:Y41" r:id="rId60" display="EUROSTAT"/>
  </hyperlinks>
  <pageMargins left="0.7" right="0.7" top="0.75" bottom="0.75" header="0.3" footer="0.3"/>
  <pageSetup orientation="portrait" r:id="rId61"/>
  <legacyDrawing r:id="rId62"/>
</worksheet>
</file>

<file path=xl/worksheets/sheet11.xml><?xml version="1.0" encoding="utf-8"?>
<worksheet xmlns="http://schemas.openxmlformats.org/spreadsheetml/2006/main" xmlns:r="http://schemas.openxmlformats.org/officeDocument/2006/relationships">
  <dimension ref="A1:Z346"/>
  <sheetViews>
    <sheetView showGridLines="0" topLeftCell="G1" workbookViewId="0">
      <pane ySplit="1" topLeftCell="A88" activePane="bottomLeft" state="frozen"/>
      <selection pane="bottomLeft" activeCell="Q140" sqref="Q140"/>
    </sheetView>
  </sheetViews>
  <sheetFormatPr defaultRowHeight="15" outlineLevelRow="1"/>
  <cols>
    <col min="1" max="1" width="9.140625" style="6" customWidth="1"/>
    <col min="2" max="2" width="21.140625" style="6" customWidth="1"/>
    <col min="3" max="3" width="16.5703125" style="6" customWidth="1"/>
    <col min="4" max="4" width="16.140625" style="6" customWidth="1"/>
    <col min="5" max="5" width="11" style="6" customWidth="1"/>
    <col min="6" max="7" width="9.140625" style="6" customWidth="1"/>
    <col min="8" max="8" width="10.140625" style="269" customWidth="1"/>
    <col min="9" max="9" width="10.28515625" style="269" customWidth="1"/>
    <col min="10" max="11" width="11.140625" style="269" customWidth="1"/>
    <col min="12" max="17" width="9.5703125" style="269" customWidth="1"/>
    <col min="18" max="18" width="11" style="278" customWidth="1"/>
    <col min="19" max="19" width="13.42578125" style="278" bestFit="1" customWidth="1"/>
    <col min="20" max="22" width="9.140625" style="6"/>
    <col min="23" max="23" width="9.140625" style="1"/>
  </cols>
  <sheetData>
    <row r="1" spans="1:22">
      <c r="A1" s="3" t="e">
        <f>'[2]TDF-Secondary cum Calculation'!A1</f>
        <v>#REF!</v>
      </c>
      <c r="B1" s="3" t="str">
        <f>'[3]TDF-Secondary cum Calculation'!B1</f>
        <v>Subject</v>
      </c>
      <c r="C1" s="3" t="str">
        <f>'[3]TDF-Secondary cum Calculation'!C1</f>
        <v>Metric</v>
      </c>
      <c r="D1" s="3" t="str">
        <f>'[3]TDF-Secondary cum Calculation'!D1</f>
        <v>Metric-1</v>
      </c>
      <c r="E1" s="3" t="str">
        <f>'[3]TDF-Secondary cum Calculation'!E1</f>
        <v>Metric-2</v>
      </c>
      <c r="F1" s="3" t="str">
        <f>'[3]TDF-Secondary cum Calculation'!J1</f>
        <v>Units</v>
      </c>
      <c r="G1" s="274">
        <v>2007</v>
      </c>
      <c r="H1" s="274">
        <f>'[3]TDF-Secondary cum Calculation'!M1</f>
        <v>2008</v>
      </c>
      <c r="I1" s="274">
        <f>'[3]TDF-Secondary cum Calculation'!N1</f>
        <v>2009</v>
      </c>
      <c r="J1" s="274">
        <f>'[3]TDF-Secondary cum Calculation'!O1</f>
        <v>2010</v>
      </c>
      <c r="K1" s="274">
        <f>'[3]TDF-Secondary cum Calculation'!P1</f>
        <v>2011</v>
      </c>
      <c r="L1" s="274">
        <f>'[3]TDF-Secondary cum Calculation'!Q1</f>
        <v>2012</v>
      </c>
      <c r="M1" s="274">
        <f>'[3]TDF-Secondary cum Calculation'!R1</f>
        <v>2013</v>
      </c>
      <c r="N1" s="274">
        <f>'[3]TDF-Secondary cum Calculation'!S1</f>
        <v>2014</v>
      </c>
      <c r="O1" s="274">
        <f>'[3]TDF-Secondary cum Calculation'!T1</f>
        <v>2015</v>
      </c>
      <c r="P1" s="274">
        <f>'[3]TDF-Secondary cum Calculation'!U1</f>
        <v>2016</v>
      </c>
      <c r="Q1" s="274">
        <v>2017</v>
      </c>
      <c r="R1" s="341" t="str">
        <f>'Tourism Medium DB-LCU'!R1</f>
        <v>CAGR 2008-2012</v>
      </c>
      <c r="S1" s="341" t="str">
        <f>'Tourism Medium DB-LCU'!S1</f>
        <v>CAGR 2013-2017</v>
      </c>
      <c r="T1" s="3"/>
      <c r="U1" s="3"/>
      <c r="V1" s="3"/>
    </row>
    <row r="2" spans="1:22">
      <c r="A2" s="15" t="str">
        <f>'[3]TDF-Secondary cum Calculation'!A2</f>
        <v>Tunisia</v>
      </c>
      <c r="B2" s="15" t="str">
        <f>'[3]TDF-Secondary cum Calculation'!B2</f>
        <v>Tourism Demand Factors</v>
      </c>
      <c r="H2" s="275"/>
      <c r="I2" s="275"/>
      <c r="J2" s="275"/>
      <c r="K2" s="275"/>
      <c r="L2" s="275"/>
      <c r="M2" s="275"/>
      <c r="N2" s="275"/>
      <c r="O2" s="275"/>
      <c r="P2" s="275"/>
      <c r="Q2" s="275"/>
      <c r="R2" s="276"/>
      <c r="S2" s="276"/>
    </row>
    <row r="3" spans="1:22">
      <c r="A3" s="277"/>
      <c r="B3" s="277"/>
      <c r="C3" s="277"/>
      <c r="D3" s="277"/>
      <c r="E3" s="277"/>
      <c r="F3" s="277"/>
      <c r="G3" s="277"/>
    </row>
    <row r="4" spans="1:22">
      <c r="A4" s="279" t="str">
        <f>'[3]TDF-Secondary cum Calculation'!A4</f>
        <v>Tunisia</v>
      </c>
      <c r="B4" s="280" t="str">
        <f>'[3]TDF-Secondary cum Calculation'!B4</f>
        <v>Tourism Demand Factors</v>
      </c>
      <c r="C4" s="279" t="str">
        <f>'[3]TDF-Secondary cum Calculation'!C4</f>
        <v>Typical Holiday Entitlement of Employees per Annum by Type</v>
      </c>
      <c r="D4" s="279"/>
      <c r="E4" s="207"/>
      <c r="F4" s="207" t="str">
        <f>'Tourism Medium DB-LCU'!F3</f>
        <v>Days</v>
      </c>
      <c r="G4" s="207"/>
      <c r="H4" s="281">
        <f>'Tourism Medium DB-LCU'!H3</f>
        <v>33</v>
      </c>
      <c r="I4" s="281">
        <f>'Tourism Medium DB-LCU'!I3</f>
        <v>33</v>
      </c>
      <c r="J4" s="281">
        <f>'Tourism Medium DB-LCU'!J3</f>
        <v>33</v>
      </c>
      <c r="K4" s="281">
        <f>'Tourism Medium DB-LCU'!K3</f>
        <v>33</v>
      </c>
      <c r="L4" s="281">
        <f>'Tourism Medium DB-LCU'!L3</f>
        <v>33</v>
      </c>
      <c r="M4" s="343"/>
      <c r="N4" s="343"/>
      <c r="O4" s="343"/>
      <c r="P4" s="343"/>
      <c r="Q4" s="343"/>
      <c r="R4" s="326">
        <f>'Tourism Medium DB-LCU'!R3</f>
        <v>0</v>
      </c>
      <c r="S4" s="344"/>
    </row>
    <row r="5" spans="1:22">
      <c r="A5" s="207"/>
      <c r="B5" s="207"/>
      <c r="C5" s="282" t="str">
        <f>'[3]TDF-Secondary cum Calculation'!C5</f>
        <v>Growth Rate</v>
      </c>
      <c r="D5" s="282"/>
      <c r="E5" s="282"/>
      <c r="F5" s="282" t="str">
        <f>'[3]TDF-Secondary cum Calculation'!J5</f>
        <v>%</v>
      </c>
      <c r="G5" s="282"/>
      <c r="H5" s="213"/>
      <c r="I5" s="213">
        <f>I4/H4-1</f>
        <v>0</v>
      </c>
      <c r="J5" s="213">
        <f t="shared" ref="J5:L5" si="0">J4/I4-1</f>
        <v>0</v>
      </c>
      <c r="K5" s="213">
        <f t="shared" si="0"/>
        <v>0</v>
      </c>
      <c r="L5" s="213">
        <f t="shared" si="0"/>
        <v>0</v>
      </c>
      <c r="M5" s="200"/>
      <c r="N5" s="200"/>
      <c r="O5" s="200"/>
      <c r="P5" s="200"/>
      <c r="Q5" s="200"/>
      <c r="R5" s="210"/>
      <c r="S5" s="345"/>
    </row>
    <row r="6" spans="1:22">
      <c r="A6" s="279" t="str">
        <f>'[3]TDF-Secondary cum Calculation'!A6</f>
        <v>Tunisia</v>
      </c>
      <c r="B6" s="280" t="str">
        <f>'[3]TDF-Secondary cum Calculation'!B6</f>
        <v>Tourism Demand Factors</v>
      </c>
      <c r="C6" s="280" t="str">
        <f>'[3]TDF-Secondary cum Calculation'!C6</f>
        <v>Typical Holiday Entitlement of Employees per Annum by Type</v>
      </c>
      <c r="D6" s="279" t="str">
        <f>'[3]TDF-Secondary cum Calculation'!D6</f>
        <v>Paid Holidays</v>
      </c>
      <c r="E6" s="207"/>
      <c r="F6" s="207" t="str">
        <f>'Tourism Medium DB-LCU'!F4</f>
        <v>Days</v>
      </c>
      <c r="G6" s="207"/>
      <c r="H6" s="281">
        <f>'Tourism Medium DB-LCU'!H4</f>
        <v>23</v>
      </c>
      <c r="I6" s="281">
        <f>'Tourism Medium DB-LCU'!I4</f>
        <v>23</v>
      </c>
      <c r="J6" s="281">
        <f>'Tourism Medium DB-LCU'!J4</f>
        <v>23</v>
      </c>
      <c r="K6" s="281">
        <f>'Tourism Medium DB-LCU'!K4</f>
        <v>23</v>
      </c>
      <c r="L6" s="281">
        <f>'Tourism Medium DB-LCU'!L4</f>
        <v>23</v>
      </c>
      <c r="M6" s="199"/>
      <c r="N6" s="199"/>
      <c r="O6" s="199"/>
      <c r="P6" s="199"/>
      <c r="Q6" s="199"/>
      <c r="R6" s="326">
        <f>'Tourism Medium DB-LCU'!R4</f>
        <v>0</v>
      </c>
      <c r="S6" s="346"/>
    </row>
    <row r="7" spans="1:22">
      <c r="A7" s="207"/>
      <c r="B7" s="207"/>
      <c r="C7" s="282" t="str">
        <f>'[3]TDF-Secondary cum Calculation'!C7</f>
        <v>Growth Rate</v>
      </c>
      <c r="D7" s="282"/>
      <c r="E7" s="282"/>
      <c r="F7" s="282" t="str">
        <f>'[3]TDF-Secondary cum Calculation'!J7</f>
        <v>%</v>
      </c>
      <c r="G7" s="282"/>
      <c r="H7" s="213"/>
      <c r="I7" s="213">
        <f t="shared" ref="I7:L7" si="1">I6/H6-1</f>
        <v>0</v>
      </c>
      <c r="J7" s="213">
        <f t="shared" si="1"/>
        <v>0</v>
      </c>
      <c r="K7" s="213">
        <f t="shared" si="1"/>
        <v>0</v>
      </c>
      <c r="L7" s="213">
        <f t="shared" si="1"/>
        <v>0</v>
      </c>
      <c r="M7" s="200"/>
      <c r="N7" s="200"/>
      <c r="O7" s="200"/>
      <c r="P7" s="200"/>
      <c r="Q7" s="200"/>
      <c r="R7" s="210"/>
      <c r="S7" s="345"/>
    </row>
    <row r="8" spans="1:22">
      <c r="A8" s="279" t="str">
        <f>'[3]TDF-Secondary cum Calculation'!A8</f>
        <v>Tunisia</v>
      </c>
      <c r="B8" s="280" t="str">
        <f>'[3]TDF-Secondary cum Calculation'!B8</f>
        <v>Tourism Demand Factors</v>
      </c>
      <c r="C8" s="280" t="str">
        <f>'[3]TDF-Secondary cum Calculation'!C8</f>
        <v>Typical Holiday Entitlement of Employees per Annum by Type</v>
      </c>
      <c r="D8" s="279" t="str">
        <f>'[3]TDF-Secondary cum Calculation'!D8</f>
        <v>Public Holidays</v>
      </c>
      <c r="E8" s="207"/>
      <c r="F8" s="207" t="str">
        <f>'Tourism Medium DB-LCU'!F5</f>
        <v>Days</v>
      </c>
      <c r="G8" s="207"/>
      <c r="H8" s="281">
        <f>'Tourism Medium DB-LCU'!H5</f>
        <v>10</v>
      </c>
      <c r="I8" s="281">
        <f>'Tourism Medium DB-LCU'!I5</f>
        <v>10</v>
      </c>
      <c r="J8" s="281">
        <f>'Tourism Medium DB-LCU'!J5</f>
        <v>10</v>
      </c>
      <c r="K8" s="281">
        <f>'Tourism Medium DB-LCU'!K5</f>
        <v>10</v>
      </c>
      <c r="L8" s="281">
        <f>'Tourism Medium DB-LCU'!L5</f>
        <v>10</v>
      </c>
      <c r="M8" s="343"/>
      <c r="N8" s="343"/>
      <c r="O8" s="343"/>
      <c r="P8" s="343"/>
      <c r="Q8" s="343"/>
      <c r="R8" s="326">
        <f>'Tourism Medium DB-LCU'!R5</f>
        <v>0</v>
      </c>
      <c r="S8" s="344"/>
    </row>
    <row r="9" spans="1:22">
      <c r="A9" s="207"/>
      <c r="B9" s="207"/>
      <c r="C9" s="282" t="str">
        <f>'[3]TDF-Secondary cum Calculation'!C9</f>
        <v>Growth Rate</v>
      </c>
      <c r="D9" s="282"/>
      <c r="E9" s="282"/>
      <c r="F9" s="282" t="str">
        <f>'[3]TDF-Secondary cum Calculation'!J9</f>
        <v>%</v>
      </c>
      <c r="G9" s="282"/>
      <c r="H9" s="213"/>
      <c r="I9" s="213">
        <f t="shared" ref="I9:L9" si="2">I8/H8-1</f>
        <v>0</v>
      </c>
      <c r="J9" s="213">
        <f t="shared" si="2"/>
        <v>0</v>
      </c>
      <c r="K9" s="213">
        <f t="shared" si="2"/>
        <v>0</v>
      </c>
      <c r="L9" s="213">
        <f t="shared" si="2"/>
        <v>0</v>
      </c>
      <c r="M9" s="200"/>
      <c r="N9" s="200"/>
      <c r="O9" s="200"/>
      <c r="P9" s="200"/>
      <c r="Q9" s="200"/>
      <c r="R9" s="212"/>
      <c r="S9" s="345"/>
    </row>
    <row r="10" spans="1:22">
      <c r="A10" s="279" t="str">
        <f>'[3]TDF-Secondary cum Calculation'!A150</f>
        <v>Tunisia</v>
      </c>
      <c r="B10" s="280" t="str">
        <f>'[3]TDF-Secondary cum Calculation'!B150</f>
        <v>Tourism Demand Factors</v>
      </c>
      <c r="C10" s="279" t="str">
        <f>'[3]TDF-Secondary cum Calculation'!C150</f>
        <v>Number of Trips by Season</v>
      </c>
      <c r="D10" s="207"/>
      <c r="E10" s="207"/>
      <c r="F10" s="279" t="str">
        <f>'Tourism Medium DB-LCU'!F6</f>
        <v>Thousand</v>
      </c>
      <c r="G10" s="279"/>
      <c r="H10" s="297">
        <f>'Tourism Medium DB-LCU'!H6</f>
        <v>23179.153999999999</v>
      </c>
      <c r="I10" s="297">
        <f>'Tourism Medium DB-LCU'!I6</f>
        <v>19399.268</v>
      </c>
      <c r="J10" s="297">
        <f>'Tourism Medium DB-LCU'!J6</f>
        <v>19170.006000000001</v>
      </c>
      <c r="K10" s="297">
        <f>'Tourism Medium DB-LCU'!K6</f>
        <v>20077.920999999998</v>
      </c>
      <c r="L10" s="297">
        <f>'Tourism Medium DB-LCU'!L6</f>
        <v>18493.900000000001</v>
      </c>
      <c r="M10" s="297">
        <f t="shared" ref="M10:P10" si="3">M27</f>
        <v>17368.874762650797</v>
      </c>
      <c r="N10" s="297">
        <f t="shared" si="3"/>
        <v>16970.260899469889</v>
      </c>
      <c r="O10" s="297">
        <f t="shared" si="3"/>
        <v>16803.300694536974</v>
      </c>
      <c r="P10" s="297">
        <f t="shared" si="3"/>
        <v>16671.38572346501</v>
      </c>
      <c r="Q10" s="297">
        <f>Q27</f>
        <v>16515.509206374561</v>
      </c>
      <c r="R10" s="325">
        <f>'Tourism Medium DB-LCU'!R6</f>
        <v>-5.4889189024128537E-2</v>
      </c>
      <c r="S10" s="325">
        <f>'Tourism Medium DB-LCU'!S6</f>
        <v>-2.2374113557698139E-2</v>
      </c>
    </row>
    <row r="11" spans="1:22">
      <c r="A11" s="207"/>
      <c r="B11" s="207"/>
      <c r="C11" s="282" t="str">
        <f>'[3]TDF-Secondary cum Calculation'!C151</f>
        <v>Growth Rate</v>
      </c>
      <c r="D11" s="282"/>
      <c r="E11" s="282"/>
      <c r="F11" s="282" t="str">
        <f>'[3]TDF-Secondary cum Calculation'!J151</f>
        <v>%</v>
      </c>
      <c r="G11" s="282"/>
      <c r="H11" s="213"/>
      <c r="I11" s="213">
        <f>I10/H10-1</f>
        <v>-0.16307264708625691</v>
      </c>
      <c r="J11" s="213">
        <f t="shared" ref="J11:Q11" si="4">J10/I10-1</f>
        <v>-1.1818074785089783E-2</v>
      </c>
      <c r="K11" s="213">
        <f t="shared" si="4"/>
        <v>4.7361226699668135E-2</v>
      </c>
      <c r="L11" s="213">
        <f t="shared" si="4"/>
        <v>-7.8893676292480563E-2</v>
      </c>
      <c r="M11" s="213">
        <f t="shared" si="4"/>
        <v>-6.0832233187656626E-2</v>
      </c>
      <c r="N11" s="213">
        <f t="shared" si="4"/>
        <v>-2.2949895639645446E-2</v>
      </c>
      <c r="O11" s="213">
        <f t="shared" si="4"/>
        <v>-9.8383994166012512E-3</v>
      </c>
      <c r="P11" s="213">
        <f t="shared" si="4"/>
        <v>-7.850539216670227E-3</v>
      </c>
      <c r="Q11" s="213">
        <f t="shared" si="4"/>
        <v>-9.349943650518E-3</v>
      </c>
      <c r="R11" s="210"/>
      <c r="S11" s="210"/>
    </row>
    <row r="12" spans="1:22">
      <c r="A12" s="279" t="str">
        <f>'[3]TDF-Secondary cum Calculation'!A152</f>
        <v>Tunisia</v>
      </c>
      <c r="B12" s="280" t="str">
        <f>'[3]TDF-Secondary cum Calculation'!B152</f>
        <v>Tourism Demand Factors</v>
      </c>
      <c r="C12" s="280" t="str">
        <f>'[3]TDF-Secondary cum Calculation'!C152</f>
        <v>Number of Holiday Takers by Season</v>
      </c>
      <c r="D12" s="279" t="str">
        <f>'[3]TDF-Secondary cum Calculation'!D152</f>
        <v>January - March</v>
      </c>
      <c r="E12" s="207"/>
      <c r="F12" s="207" t="str">
        <f>'Tourism Medium DB-LCU'!F7</f>
        <v>Thousand</v>
      </c>
      <c r="G12" s="207"/>
      <c r="H12" s="298">
        <f>'Tourism Medium DB-LCU'!H7</f>
        <v>0</v>
      </c>
      <c r="I12" s="298">
        <f>'Tourism Medium DB-LCU'!I7</f>
        <v>0</v>
      </c>
      <c r="J12" s="298">
        <f>'Tourism Medium DB-LCU'!J7</f>
        <v>0</v>
      </c>
      <c r="K12" s="298">
        <f>'Tourism Medium DB-LCU'!K7</f>
        <v>0</v>
      </c>
      <c r="L12" s="298">
        <f>'Tourism Medium DB-LCU'!L7</f>
        <v>0</v>
      </c>
      <c r="M12" s="298" t="e">
        <f>M20*M$10</f>
        <v>#DIV/0!</v>
      </c>
      <c r="N12" s="298" t="e">
        <f>N20*N$10</f>
        <v>#DIV/0!</v>
      </c>
      <c r="O12" s="298" t="e">
        <f>O20*O$10</f>
        <v>#DIV/0!</v>
      </c>
      <c r="P12" s="298" t="e">
        <f>P20*P$10</f>
        <v>#DIV/0!</v>
      </c>
      <c r="Q12" s="298" t="e">
        <f>Q20*Q$10</f>
        <v>#DIV/0!</v>
      </c>
      <c r="R12" s="326" t="e">
        <f>(L12/H12)^(1/4)-1</f>
        <v>#DIV/0!</v>
      </c>
      <c r="S12" s="326" t="e">
        <f>(Q12/L12)^(1/5)-1</f>
        <v>#DIV/0!</v>
      </c>
      <c r="T12" s="70"/>
    </row>
    <row r="13" spans="1:22">
      <c r="A13" s="207"/>
      <c r="B13" s="207"/>
      <c r="C13" s="282" t="str">
        <f>'[3]TDF-Secondary cum Calculation'!C153</f>
        <v>Growth Rate</v>
      </c>
      <c r="D13" s="282"/>
      <c r="E13" s="282"/>
      <c r="F13" s="282" t="str">
        <f>'[3]TDF-Secondary cum Calculation'!J153</f>
        <v>%</v>
      </c>
      <c r="G13" s="282"/>
      <c r="H13" s="213"/>
      <c r="I13" s="213" t="e">
        <f>I12/H12-1</f>
        <v>#DIV/0!</v>
      </c>
      <c r="J13" s="213" t="e">
        <f t="shared" ref="J13" si="5">J12/I12-1</f>
        <v>#DIV/0!</v>
      </c>
      <c r="K13" s="213" t="e">
        <f t="shared" ref="K13" si="6">K12/J12-1</f>
        <v>#DIV/0!</v>
      </c>
      <c r="L13" s="213" t="e">
        <f t="shared" ref="L13" si="7">L12/K12-1</f>
        <v>#DIV/0!</v>
      </c>
      <c r="M13" s="213" t="e">
        <f t="shared" ref="M13" si="8">M12/L12-1</f>
        <v>#DIV/0!</v>
      </c>
      <c r="N13" s="213" t="e">
        <f t="shared" ref="N13" si="9">N12/M12-1</f>
        <v>#DIV/0!</v>
      </c>
      <c r="O13" s="213" t="e">
        <f t="shared" ref="O13" si="10">O12/N12-1</f>
        <v>#DIV/0!</v>
      </c>
      <c r="P13" s="213" t="e">
        <f t="shared" ref="P13" si="11">P12/O12-1</f>
        <v>#DIV/0!</v>
      </c>
      <c r="Q13" s="213" t="e">
        <f t="shared" ref="Q13" si="12">Q12/P12-1</f>
        <v>#DIV/0!</v>
      </c>
      <c r="R13" s="210"/>
      <c r="S13" s="210"/>
    </row>
    <row r="14" spans="1:22">
      <c r="A14" s="279" t="str">
        <f>'[3]TDF-Secondary cum Calculation'!A154</f>
        <v>Tunisia</v>
      </c>
      <c r="B14" s="280" t="str">
        <f>'[3]TDF-Secondary cum Calculation'!B154</f>
        <v>Tourism Demand Factors</v>
      </c>
      <c r="C14" s="280" t="str">
        <f>'[3]TDF-Secondary cum Calculation'!C154</f>
        <v>Number of Holiday Takers by Season</v>
      </c>
      <c r="D14" s="279" t="str">
        <f>'[3]TDF-Secondary cum Calculation'!D154</f>
        <v>April - June</v>
      </c>
      <c r="E14" s="207"/>
      <c r="F14" s="207" t="str">
        <f>'Tourism Medium DB-LCU'!F8</f>
        <v>Thousand</v>
      </c>
      <c r="G14" s="207"/>
      <c r="H14" s="298">
        <f>'Tourism Medium DB-LCU'!H8</f>
        <v>0</v>
      </c>
      <c r="I14" s="298">
        <f>'Tourism Medium DB-LCU'!I8</f>
        <v>0</v>
      </c>
      <c r="J14" s="298">
        <f>'Tourism Medium DB-LCU'!J8</f>
        <v>0</v>
      </c>
      <c r="K14" s="298">
        <f>'Tourism Medium DB-LCU'!K8</f>
        <v>0</v>
      </c>
      <c r="L14" s="298">
        <f>'Tourism Medium DB-LCU'!L8</f>
        <v>0</v>
      </c>
      <c r="M14" s="298" t="e">
        <f>M22*M$10</f>
        <v>#DIV/0!</v>
      </c>
      <c r="N14" s="298" t="e">
        <f>N22*N$10</f>
        <v>#DIV/0!</v>
      </c>
      <c r="O14" s="298" t="e">
        <f>O22*O$10</f>
        <v>#DIV/0!</v>
      </c>
      <c r="P14" s="298" t="e">
        <f>P22*P$10</f>
        <v>#DIV/0!</v>
      </c>
      <c r="Q14" s="298" t="e">
        <f>Q22*Q$10</f>
        <v>#DIV/0!</v>
      </c>
      <c r="R14" s="326" t="e">
        <f>(L14/H14)^(1/4)-1</f>
        <v>#DIV/0!</v>
      </c>
      <c r="S14" s="326" t="e">
        <f t="shared" ref="S14" si="13">(Q14/L14)^(1/5)-1</f>
        <v>#DIV/0!</v>
      </c>
      <c r="T14" s="70"/>
    </row>
    <row r="15" spans="1:22">
      <c r="A15" s="207"/>
      <c r="B15" s="207"/>
      <c r="C15" s="282" t="str">
        <f>'[3]TDF-Secondary cum Calculation'!C155</f>
        <v>Growth Rate</v>
      </c>
      <c r="D15" s="282"/>
      <c r="E15" s="282"/>
      <c r="F15" s="282" t="str">
        <f>'[3]TDF-Secondary cum Calculation'!J155</f>
        <v>%</v>
      </c>
      <c r="G15" s="282"/>
      <c r="H15" s="213"/>
      <c r="I15" s="213" t="e">
        <f>I14/H14-1</f>
        <v>#DIV/0!</v>
      </c>
      <c r="J15" s="213" t="e">
        <f t="shared" ref="J15" si="14">J14/I14-1</f>
        <v>#DIV/0!</v>
      </c>
      <c r="K15" s="213" t="e">
        <f t="shared" ref="K15" si="15">K14/J14-1</f>
        <v>#DIV/0!</v>
      </c>
      <c r="L15" s="213" t="e">
        <f t="shared" ref="L15" si="16">L14/K14-1</f>
        <v>#DIV/0!</v>
      </c>
      <c r="M15" s="213" t="e">
        <f t="shared" ref="M15" si="17">M14/L14-1</f>
        <v>#DIV/0!</v>
      </c>
      <c r="N15" s="213" t="e">
        <f t="shared" ref="N15" si="18">N14/M14-1</f>
        <v>#DIV/0!</v>
      </c>
      <c r="O15" s="213" t="e">
        <f t="shared" ref="O15" si="19">O14/N14-1</f>
        <v>#DIV/0!</v>
      </c>
      <c r="P15" s="213" t="e">
        <f t="shared" ref="P15" si="20">P14/O14-1</f>
        <v>#DIV/0!</v>
      </c>
      <c r="Q15" s="213" t="e">
        <f t="shared" ref="Q15" si="21">Q14/P14-1</f>
        <v>#DIV/0!</v>
      </c>
      <c r="R15" s="210"/>
      <c r="S15" s="210"/>
    </row>
    <row r="16" spans="1:22">
      <c r="A16" s="279" t="str">
        <f>'[3]TDF-Secondary cum Calculation'!A156</f>
        <v>Tunisia</v>
      </c>
      <c r="B16" s="280" t="str">
        <f>'[3]TDF-Secondary cum Calculation'!B156</f>
        <v>Tourism Demand Factors</v>
      </c>
      <c r="C16" s="280" t="str">
        <f>'[3]TDF-Secondary cum Calculation'!C156</f>
        <v>Number of Holiday Takers by Season</v>
      </c>
      <c r="D16" s="279" t="str">
        <f>'[3]TDF-Secondary cum Calculation'!D156</f>
        <v>July - September</v>
      </c>
      <c r="E16" s="207"/>
      <c r="F16" s="207" t="str">
        <f>'Tourism Medium DB-LCU'!F9</f>
        <v>Thousand</v>
      </c>
      <c r="G16" s="207"/>
      <c r="H16" s="298">
        <f>'Tourism Medium DB-LCU'!H9</f>
        <v>0</v>
      </c>
      <c r="I16" s="298">
        <f>'Tourism Medium DB-LCU'!I9</f>
        <v>0</v>
      </c>
      <c r="J16" s="298">
        <f>'Tourism Medium DB-LCU'!J9</f>
        <v>0</v>
      </c>
      <c r="K16" s="298">
        <f>'Tourism Medium DB-LCU'!K9</f>
        <v>0</v>
      </c>
      <c r="L16" s="298">
        <f>'Tourism Medium DB-LCU'!L9</f>
        <v>0</v>
      </c>
      <c r="M16" s="298" t="e">
        <f>M24*M$10</f>
        <v>#DIV/0!</v>
      </c>
      <c r="N16" s="298" t="e">
        <f>N24*N$10</f>
        <v>#DIV/0!</v>
      </c>
      <c r="O16" s="298" t="e">
        <f>O24*O$10</f>
        <v>#DIV/0!</v>
      </c>
      <c r="P16" s="298" t="e">
        <f>P24*P$10</f>
        <v>#DIV/0!</v>
      </c>
      <c r="Q16" s="298" t="e">
        <f>Q24*Q$10</f>
        <v>#DIV/0!</v>
      </c>
      <c r="R16" s="326" t="e">
        <f>(L16/H16)^(1/4)-1</f>
        <v>#DIV/0!</v>
      </c>
      <c r="S16" s="326" t="e">
        <f t="shared" ref="S16" si="22">(Q16/L16)^(1/5)-1</f>
        <v>#DIV/0!</v>
      </c>
      <c r="T16" s="70"/>
    </row>
    <row r="17" spans="1:23">
      <c r="A17" s="207"/>
      <c r="B17" s="207"/>
      <c r="C17" s="282" t="str">
        <f>'[3]TDF-Secondary cum Calculation'!C157</f>
        <v>Growth Rate</v>
      </c>
      <c r="D17" s="282"/>
      <c r="E17" s="282"/>
      <c r="F17" s="282" t="str">
        <f>'[3]TDF-Secondary cum Calculation'!J157</f>
        <v>%</v>
      </c>
      <c r="G17" s="282"/>
      <c r="H17" s="213"/>
      <c r="I17" s="213" t="e">
        <f>I16/H16-1</f>
        <v>#DIV/0!</v>
      </c>
      <c r="J17" s="213" t="e">
        <f t="shared" ref="J17" si="23">J16/I16-1</f>
        <v>#DIV/0!</v>
      </c>
      <c r="K17" s="213" t="e">
        <f t="shared" ref="K17" si="24">K16/J16-1</f>
        <v>#DIV/0!</v>
      </c>
      <c r="L17" s="213" t="e">
        <f t="shared" ref="L17" si="25">L16/K16-1</f>
        <v>#DIV/0!</v>
      </c>
      <c r="M17" s="213" t="e">
        <f t="shared" ref="M17" si="26">M16/L16-1</f>
        <v>#DIV/0!</v>
      </c>
      <c r="N17" s="213" t="e">
        <f t="shared" ref="N17" si="27">N16/M16-1</f>
        <v>#DIV/0!</v>
      </c>
      <c r="O17" s="213" t="e">
        <f t="shared" ref="O17" si="28">O16/N16-1</f>
        <v>#DIV/0!</v>
      </c>
      <c r="P17" s="213" t="e">
        <f t="shared" ref="P17" si="29">P16/O16-1</f>
        <v>#DIV/0!</v>
      </c>
      <c r="Q17" s="213" t="e">
        <f t="shared" ref="Q17" si="30">Q16/P16-1</f>
        <v>#DIV/0!</v>
      </c>
      <c r="R17" s="210"/>
      <c r="S17" s="210"/>
    </row>
    <row r="18" spans="1:23">
      <c r="A18" s="279" t="str">
        <f>'[3]TDF-Secondary cum Calculation'!A158</f>
        <v>Tunisia</v>
      </c>
      <c r="B18" s="280" t="str">
        <f>'[3]TDF-Secondary cum Calculation'!B158</f>
        <v>Tourism Demand Factors</v>
      </c>
      <c r="C18" s="280" t="str">
        <f>'[3]TDF-Secondary cum Calculation'!C158</f>
        <v>Number of Holiday Takers by Season</v>
      </c>
      <c r="D18" s="279" t="str">
        <f>'[3]TDF-Secondary cum Calculation'!D158</f>
        <v>October - December</v>
      </c>
      <c r="E18" s="207"/>
      <c r="F18" s="207" t="str">
        <f>'Tourism Medium DB-LCU'!F10</f>
        <v>Thousand</v>
      </c>
      <c r="G18" s="207"/>
      <c r="H18" s="298">
        <f>'Tourism Medium DB-LCU'!H10</f>
        <v>0</v>
      </c>
      <c r="I18" s="298">
        <f>'Tourism Medium DB-LCU'!I10</f>
        <v>0</v>
      </c>
      <c r="J18" s="298">
        <f>'Tourism Medium DB-LCU'!J10</f>
        <v>0</v>
      </c>
      <c r="K18" s="298">
        <f>'Tourism Medium DB-LCU'!K10</f>
        <v>0</v>
      </c>
      <c r="L18" s="298">
        <f>'Tourism Medium DB-LCU'!L10</f>
        <v>0</v>
      </c>
      <c r="M18" s="298" t="e">
        <f>M26*M$10</f>
        <v>#DIV/0!</v>
      </c>
      <c r="N18" s="298" t="e">
        <f>N26*N$10</f>
        <v>#DIV/0!</v>
      </c>
      <c r="O18" s="298" t="e">
        <f>O26*O$10</f>
        <v>#DIV/0!</v>
      </c>
      <c r="P18" s="298" t="e">
        <f>P26*P$10</f>
        <v>#DIV/0!</v>
      </c>
      <c r="Q18" s="298" t="e">
        <f>Q26*Q$10</f>
        <v>#DIV/0!</v>
      </c>
      <c r="R18" s="326" t="e">
        <f>(L18/H18)^(1/4)-1</f>
        <v>#DIV/0!</v>
      </c>
      <c r="S18" s="326" t="e">
        <f t="shared" ref="S18" si="31">(Q18/L18)^(1/5)-1</f>
        <v>#DIV/0!</v>
      </c>
      <c r="T18" s="70"/>
    </row>
    <row r="19" spans="1:23">
      <c r="A19" s="207"/>
      <c r="B19" s="207"/>
      <c r="C19" s="282" t="str">
        <f>'[3]TDF-Secondary cum Calculation'!C159</f>
        <v>Growth Rate</v>
      </c>
      <c r="D19" s="282"/>
      <c r="E19" s="282"/>
      <c r="F19" s="282" t="str">
        <f>'[3]TDF-Secondary cum Calculation'!J159</f>
        <v>%</v>
      </c>
      <c r="G19" s="282"/>
      <c r="H19" s="213"/>
      <c r="I19" s="213" t="e">
        <f>I18/H18-1</f>
        <v>#DIV/0!</v>
      </c>
      <c r="J19" s="213" t="e">
        <f t="shared" ref="J19" si="32">J18/I18-1</f>
        <v>#DIV/0!</v>
      </c>
      <c r="K19" s="213" t="e">
        <f t="shared" ref="K19" si="33">K18/J18-1</f>
        <v>#DIV/0!</v>
      </c>
      <c r="L19" s="213" t="e">
        <f t="shared" ref="L19" si="34">L18/K18-1</f>
        <v>#DIV/0!</v>
      </c>
      <c r="M19" s="213" t="e">
        <f t="shared" ref="M19" si="35">M18/L18-1</f>
        <v>#DIV/0!</v>
      </c>
      <c r="N19" s="213" t="e">
        <f t="shared" ref="N19" si="36">N18/M18-1</f>
        <v>#DIV/0!</v>
      </c>
      <c r="O19" s="213" t="e">
        <f t="shared" ref="O19" si="37">O18/N18-1</f>
        <v>#DIV/0!</v>
      </c>
      <c r="P19" s="213" t="e">
        <f t="shared" ref="P19" si="38">P18/O18-1</f>
        <v>#DIV/0!</v>
      </c>
      <c r="Q19" s="213" t="e">
        <f t="shared" ref="Q19" si="39">Q18/P18-1</f>
        <v>#DIV/0!</v>
      </c>
      <c r="R19" s="210"/>
      <c r="S19" s="210"/>
    </row>
    <row r="20" spans="1:23" s="296" customFormat="1" outlineLevel="1">
      <c r="A20" s="294"/>
      <c r="B20" s="294"/>
      <c r="C20" s="295" t="s">
        <v>399</v>
      </c>
      <c r="D20" s="299" t="str">
        <f>'[3]TDF-Secondary cum Calculation'!D160</f>
        <v>January - March</v>
      </c>
      <c r="E20" s="295"/>
      <c r="F20" s="295"/>
      <c r="G20" s="295"/>
      <c r="H20" s="300">
        <f>H12/H$10</f>
        <v>0</v>
      </c>
      <c r="I20" s="300">
        <f t="shared" ref="I20:L20" si="40">I12/I$10</f>
        <v>0</v>
      </c>
      <c r="J20" s="300">
        <f t="shared" si="40"/>
        <v>0</v>
      </c>
      <c r="K20" s="300">
        <f t="shared" si="40"/>
        <v>0</v>
      </c>
      <c r="L20" s="300">
        <f t="shared" si="40"/>
        <v>0</v>
      </c>
      <c r="M20" s="638" t="e">
        <f>L20*(1+(((L20/H20)^(1/4))-1))*1.033</f>
        <v>#DIV/0!</v>
      </c>
      <c r="N20" s="638" t="e">
        <f>M20*(1+(((M20/I20)^(1/4))-1))*0.992</f>
        <v>#DIV/0!</v>
      </c>
      <c r="O20" s="638" t="e">
        <f>N20*(1+(((N20/J20)^(1/4))-1)*0.09)</f>
        <v>#DIV/0!</v>
      </c>
      <c r="P20" s="638" t="e">
        <f>O20*(1+(((O20/K20)^(1/4))-1)*0.38)</f>
        <v>#DIV/0!</v>
      </c>
      <c r="Q20" s="638" t="e">
        <f>P20*(1+(((P20/L20)^(1/4))-1))*1.001</f>
        <v>#DIV/0!</v>
      </c>
      <c r="R20" s="300"/>
      <c r="S20" s="300"/>
      <c r="T20" s="294"/>
      <c r="U20" s="294"/>
      <c r="V20" s="294"/>
      <c r="W20" s="294"/>
    </row>
    <row r="21" spans="1:23" s="296" customFormat="1" outlineLevel="1">
      <c r="A21" s="294"/>
      <c r="B21" s="294"/>
      <c r="C21" s="295"/>
      <c r="D21" s="295"/>
      <c r="E21" s="295"/>
      <c r="F21" s="295"/>
      <c r="G21" s="295"/>
      <c r="H21" s="302"/>
      <c r="I21" s="302"/>
      <c r="J21" s="302"/>
      <c r="K21" s="302"/>
      <c r="L21" s="302"/>
      <c r="M21" s="304"/>
      <c r="N21" s="304"/>
      <c r="O21" s="304"/>
      <c r="P21" s="304"/>
      <c r="Q21" s="304"/>
      <c r="R21" s="300"/>
      <c r="S21" s="300"/>
      <c r="T21" s="294"/>
      <c r="U21" s="294"/>
      <c r="V21" s="294"/>
      <c r="W21" s="294"/>
    </row>
    <row r="22" spans="1:23" s="296" customFormat="1" outlineLevel="1">
      <c r="A22" s="294"/>
      <c r="B22" s="294"/>
      <c r="C22" s="295"/>
      <c r="D22" s="299" t="str">
        <f>'[3]TDF-Secondary cum Calculation'!D162</f>
        <v>April - June</v>
      </c>
      <c r="E22" s="295"/>
      <c r="F22" s="295"/>
      <c r="G22" s="295"/>
      <c r="H22" s="300">
        <f>H14/H$10</f>
        <v>0</v>
      </c>
      <c r="I22" s="300">
        <f t="shared" ref="I22:L22" si="41">I14/I$10</f>
        <v>0</v>
      </c>
      <c r="J22" s="300">
        <f t="shared" si="41"/>
        <v>0</v>
      </c>
      <c r="K22" s="300">
        <f t="shared" si="41"/>
        <v>0</v>
      </c>
      <c r="L22" s="300">
        <f t="shared" si="41"/>
        <v>0</v>
      </c>
      <c r="M22" s="638" t="e">
        <f>L22*(1+(((L22/H22)^(1/4))-1))*1.023</f>
        <v>#DIV/0!</v>
      </c>
      <c r="N22" s="638" t="e">
        <f>M22*(1+(((M22/I22)^(1/4))-1))*0.997</f>
        <v>#DIV/0!</v>
      </c>
      <c r="O22" s="638" t="e">
        <f>N22*(1+(((N22/J22)^(1/4))-1)*0.25)</f>
        <v>#DIV/0!</v>
      </c>
      <c r="P22" s="638" t="e">
        <f t="shared" ref="P22" si="42">O22*(1+(((O22/K22)^(1/4))-1)*1.8)</f>
        <v>#DIV/0!</v>
      </c>
      <c r="Q22" s="638" t="e">
        <f>P22*(1+(((P22/L22)^(1/4))-1))</f>
        <v>#DIV/0!</v>
      </c>
      <c r="R22" s="300"/>
      <c r="S22" s="300"/>
      <c r="T22" s="294"/>
      <c r="U22" s="294"/>
      <c r="V22" s="294"/>
      <c r="W22" s="294"/>
    </row>
    <row r="23" spans="1:23" s="296" customFormat="1" outlineLevel="1">
      <c r="A23" s="294"/>
      <c r="B23" s="294"/>
      <c r="C23" s="295"/>
      <c r="D23" s="295"/>
      <c r="E23" s="295"/>
      <c r="F23" s="295"/>
      <c r="G23" s="295"/>
      <c r="H23" s="302"/>
      <c r="I23" s="302"/>
      <c r="J23" s="302"/>
      <c r="K23" s="302"/>
      <c r="L23" s="302"/>
      <c r="M23" s="304"/>
      <c r="N23" s="304"/>
      <c r="O23" s="304"/>
      <c r="P23" s="304"/>
      <c r="Q23" s="304"/>
      <c r="R23" s="300"/>
      <c r="S23" s="300"/>
      <c r="T23" s="294"/>
      <c r="U23" s="294"/>
      <c r="V23" s="294"/>
      <c r="W23" s="294"/>
    </row>
    <row r="24" spans="1:23" s="296" customFormat="1" outlineLevel="1">
      <c r="A24" s="294"/>
      <c r="B24" s="294"/>
      <c r="C24" s="295"/>
      <c r="D24" s="299" t="str">
        <f>'[3]TDF-Secondary cum Calculation'!D164</f>
        <v>July - September</v>
      </c>
      <c r="E24" s="295"/>
      <c r="F24" s="295"/>
      <c r="G24" s="295"/>
      <c r="H24" s="300">
        <f>H16/H$10</f>
        <v>0</v>
      </c>
      <c r="I24" s="300">
        <f t="shared" ref="I24:L24" si="43">I16/I$10</f>
        <v>0</v>
      </c>
      <c r="J24" s="300">
        <f t="shared" si="43"/>
        <v>0</v>
      </c>
      <c r="K24" s="300">
        <f t="shared" si="43"/>
        <v>0</v>
      </c>
      <c r="L24" s="300">
        <f t="shared" si="43"/>
        <v>0</v>
      </c>
      <c r="M24" s="368" t="e">
        <f>L24*(1+(((L24/H24)^(1/4))-1))*0.984</f>
        <v>#DIV/0!</v>
      </c>
      <c r="N24" s="368" t="e">
        <f>M24*(1+(((M24/I24)^(1/4))-1))*0.975</f>
        <v>#DIV/0!</v>
      </c>
      <c r="O24" s="368" t="e">
        <f>N24*(1+(((N24/J24)^(1/4))-1))*0.985</f>
        <v>#DIV/0!</v>
      </c>
      <c r="P24" s="368" t="e">
        <f>O24*(1+(((O24/K24)^(1/4))-1)*1.09)</f>
        <v>#DIV/0!</v>
      </c>
      <c r="Q24" s="368" t="e">
        <f>P24*(1+(((P24/L24)^(1/4))-1)*1.05)</f>
        <v>#DIV/0!</v>
      </c>
      <c r="R24" s="300"/>
      <c r="S24" s="300"/>
      <c r="T24" s="294"/>
      <c r="U24" s="294"/>
      <c r="V24" s="294"/>
      <c r="W24" s="294"/>
    </row>
    <row r="25" spans="1:23" s="296" customFormat="1" outlineLevel="1">
      <c r="A25" s="294"/>
      <c r="B25" s="294"/>
      <c r="C25" s="295"/>
      <c r="D25" s="295"/>
      <c r="E25" s="295"/>
      <c r="F25" s="295"/>
      <c r="G25" s="295"/>
      <c r="H25" s="302"/>
      <c r="I25" s="302"/>
      <c r="J25" s="302"/>
      <c r="K25" s="302"/>
      <c r="L25" s="302"/>
      <c r="M25" s="304"/>
      <c r="N25" s="304"/>
      <c r="O25" s="304"/>
      <c r="P25" s="304"/>
      <c r="Q25" s="304"/>
      <c r="R25" s="300"/>
      <c r="S25" s="300"/>
      <c r="T25" s="294"/>
      <c r="U25" s="294"/>
      <c r="V25" s="294"/>
      <c r="W25" s="294"/>
    </row>
    <row r="26" spans="1:23" s="296" customFormat="1" outlineLevel="1">
      <c r="A26" s="294"/>
      <c r="B26" s="294"/>
      <c r="C26" s="295"/>
      <c r="D26" s="299" t="str">
        <f>'[3]TDF-Secondary cum Calculation'!D166</f>
        <v>October - December</v>
      </c>
      <c r="E26" s="295"/>
      <c r="F26" s="295"/>
      <c r="G26" s="295"/>
      <c r="H26" s="300">
        <f>H18/H$10</f>
        <v>0</v>
      </c>
      <c r="I26" s="300">
        <f t="shared" ref="I26:L26" si="44">I18/I$10</f>
        <v>0</v>
      </c>
      <c r="J26" s="300">
        <f t="shared" si="44"/>
        <v>0</v>
      </c>
      <c r="K26" s="300">
        <f t="shared" si="44"/>
        <v>0</v>
      </c>
      <c r="L26" s="300">
        <f t="shared" si="44"/>
        <v>0</v>
      </c>
      <c r="M26" s="638" t="e">
        <f>1-SUM(M20:M24)</f>
        <v>#DIV/0!</v>
      </c>
      <c r="N26" s="639" t="e">
        <f>1-SUM(N20:N24)</f>
        <v>#DIV/0!</v>
      </c>
      <c r="O26" s="639" t="e">
        <f>1-SUM(O20:O24)</f>
        <v>#DIV/0!</v>
      </c>
      <c r="P26" s="638" t="e">
        <f>1-SUM(P20:P24)</f>
        <v>#DIV/0!</v>
      </c>
      <c r="Q26" s="639" t="e">
        <f>1-SUM(Q20:Q24)</f>
        <v>#DIV/0!</v>
      </c>
      <c r="R26" s="300"/>
      <c r="S26" s="300"/>
      <c r="T26" s="294"/>
      <c r="U26" s="294"/>
      <c r="V26" s="294"/>
      <c r="W26" s="294"/>
    </row>
    <row r="27" spans="1:23">
      <c r="A27" s="284" t="str">
        <f>'[3]TDF-Secondary cum Calculation'!A167</f>
        <v>Tunisia</v>
      </c>
      <c r="B27" s="285" t="str">
        <f>'[3]TDF-Secondary cum Calculation'!B167</f>
        <v>Tourism Demand Factors</v>
      </c>
      <c r="C27" s="284" t="str">
        <f>'[3]TDF-Secondary cum Calculation'!C167</f>
        <v>Number of Trips by Residents by Type</v>
      </c>
      <c r="D27" s="286"/>
      <c r="E27" s="286"/>
      <c r="F27" s="284" t="str">
        <f>'Tourism Medium DB-LCU'!F11</f>
        <v>Thousand</v>
      </c>
      <c r="G27" s="284"/>
      <c r="H27" s="323">
        <f>'Tourism Medium DB-LCU'!H11</f>
        <v>23179.153999999999</v>
      </c>
      <c r="I27" s="323">
        <f>'Tourism Medium DB-LCU'!I11</f>
        <v>19399.268</v>
      </c>
      <c r="J27" s="323">
        <f>'Tourism Medium DB-LCU'!J11</f>
        <v>19170.006000000001</v>
      </c>
      <c r="K27" s="323">
        <f>'Tourism Medium DB-LCU'!K11</f>
        <v>20077.920999999998</v>
      </c>
      <c r="L27" s="323">
        <f>'Tourism Medium DB-LCU'!L11</f>
        <v>18493.900000000001</v>
      </c>
      <c r="M27" s="340">
        <f>M29+M43</f>
        <v>17368.874762650797</v>
      </c>
      <c r="N27" s="340">
        <f>N29+N43</f>
        <v>16970.260899469889</v>
      </c>
      <c r="O27" s="340">
        <f>O29+O43</f>
        <v>16803.300694536974</v>
      </c>
      <c r="P27" s="340">
        <f>P29+P43</f>
        <v>16671.38572346501</v>
      </c>
      <c r="Q27" s="340">
        <f>Q29+Q43</f>
        <v>16515.509206374561</v>
      </c>
      <c r="R27" s="327">
        <f>'Tourism Medium DB-LCU'!R11</f>
        <v>-5.4889189024128537E-2</v>
      </c>
      <c r="S27" s="327">
        <f>'Tourism Medium DB-LCU'!S11</f>
        <v>-2.2374113557698139E-2</v>
      </c>
    </row>
    <row r="28" spans="1:23">
      <c r="A28" s="286"/>
      <c r="B28" s="286"/>
      <c r="C28" s="290" t="str">
        <f>'[3]TDF-Secondary cum Calculation'!C168</f>
        <v>Growth Rate</v>
      </c>
      <c r="D28" s="290"/>
      <c r="E28" s="290"/>
      <c r="F28" s="290" t="str">
        <f>'[3]TDF-Secondary cum Calculation'!J168</f>
        <v>%</v>
      </c>
      <c r="G28" s="290"/>
      <c r="H28" s="292"/>
      <c r="I28" s="292">
        <f>I27/H27-1</f>
        <v>-0.16307264708625691</v>
      </c>
      <c r="J28" s="292">
        <f t="shared" ref="J28:L28" si="45">J27/I27-1</f>
        <v>-1.1818074785089783E-2</v>
      </c>
      <c r="K28" s="292">
        <f t="shared" si="45"/>
        <v>4.7361226699668135E-2</v>
      </c>
      <c r="L28" s="292">
        <f t="shared" si="45"/>
        <v>-7.8893676292480563E-2</v>
      </c>
      <c r="M28" s="292">
        <f t="shared" ref="M28" si="46">M27/L27-1</f>
        <v>-6.0832233187656626E-2</v>
      </c>
      <c r="N28" s="292">
        <f t="shared" ref="N28" si="47">N27/M27-1</f>
        <v>-2.2949895639645446E-2</v>
      </c>
      <c r="O28" s="292">
        <f t="shared" ref="O28" si="48">O27/N27-1</f>
        <v>-9.8383994166012512E-3</v>
      </c>
      <c r="P28" s="292">
        <f t="shared" ref="P28" si="49">P27/O27-1</f>
        <v>-7.850539216670227E-3</v>
      </c>
      <c r="Q28" s="292">
        <f>Q27/P27-1</f>
        <v>-9.349943650518E-3</v>
      </c>
      <c r="R28" s="328"/>
      <c r="S28" s="328"/>
    </row>
    <row r="29" spans="1:23">
      <c r="A29" s="284" t="str">
        <f>'[3]TDF-Secondary cum Calculation'!A169</f>
        <v>Tunisia</v>
      </c>
      <c r="B29" s="285" t="str">
        <f>'[3]TDF-Secondary cum Calculation'!B169</f>
        <v>Tourism Demand Factors</v>
      </c>
      <c r="C29" s="285" t="str">
        <f>'[3]TDF-Secondary cum Calculation'!C169</f>
        <v>Number of Return Trips by Residents by Length &amp; Type</v>
      </c>
      <c r="D29" s="284" t="str">
        <f>'[3]TDF-Secondary cum Calculation'!D169</f>
        <v>Domestic Trips</v>
      </c>
      <c r="E29" s="286"/>
      <c r="F29" s="286" t="str">
        <f>'Tourism Medium DB-LCU'!F12</f>
        <v>Thousand</v>
      </c>
      <c r="G29" s="286"/>
      <c r="H29" s="339">
        <f>'Tourism Medium DB-LCU'!H12</f>
        <v>18121.427</v>
      </c>
      <c r="I29" s="339">
        <f>'Tourism Medium DB-LCU'!I12</f>
        <v>14843.013999999999</v>
      </c>
      <c r="J29" s="339">
        <f>'Tourism Medium DB-LCU'!J12</f>
        <v>14771.822</v>
      </c>
      <c r="K29" s="339">
        <f>'Tourism Medium DB-LCU'!K12</f>
        <v>15663.802</v>
      </c>
      <c r="L29" s="339">
        <f>'Tourism Medium DB-LCU'!L12</f>
        <v>14443.02</v>
      </c>
      <c r="M29" s="339">
        <f>L29*(1+M30)</f>
        <v>13808.951337287452</v>
      </c>
      <c r="N29" s="339">
        <f>M29*(1+N30)</f>
        <v>13666.405585739971</v>
      </c>
      <c r="O29" s="339">
        <f>N29*(1+O30)</f>
        <v>13494.007109354587</v>
      </c>
      <c r="P29" s="339">
        <f>O29*(1+P30)</f>
        <v>13196.318682617461</v>
      </c>
      <c r="Q29" s="339">
        <f>P29*(1+Q30)</f>
        <v>12917.400924362986</v>
      </c>
      <c r="R29" s="329">
        <f>'Tourism Medium DB-LCU'!R12</f>
        <v>-5.514230426393163E-2</v>
      </c>
      <c r="S29" s="329">
        <f>'Tourism Medium DB-LCU'!S12</f>
        <v>-2.2079781372025264E-2</v>
      </c>
    </row>
    <row r="30" spans="1:23">
      <c r="A30" s="286"/>
      <c r="B30" s="286"/>
      <c r="C30" s="290" t="str">
        <f>'[3]TDF-Secondary cum Calculation'!C170</f>
        <v>Growth Rate</v>
      </c>
      <c r="D30" s="290"/>
      <c r="E30" s="290"/>
      <c r="F30" s="290" t="str">
        <f>'[3]TDF-Secondary cum Calculation'!J170</f>
        <v>%</v>
      </c>
      <c r="G30" s="290"/>
      <c r="H30" s="292"/>
      <c r="I30" s="292">
        <f t="shared" ref="I30:L30" si="50">I29/H29-1</f>
        <v>-0.18091362231020769</v>
      </c>
      <c r="J30" s="292">
        <f t="shared" si="50"/>
        <v>-4.7963304487887992E-3</v>
      </c>
      <c r="K30" s="292">
        <f t="shared" si="50"/>
        <v>6.0383884939853694E-2</v>
      </c>
      <c r="L30" s="292">
        <f t="shared" si="50"/>
        <v>-7.7936506092199043E-2</v>
      </c>
      <c r="M30" s="292">
        <f>0.85*((L29/H29)^(1/4)-1)+0.15*($E$32*M33+$E$34*M35+$E$38*M39+$E$40*M41)</f>
        <v>-4.3901390617235768E-2</v>
      </c>
      <c r="N30" s="292">
        <f>0.88*((M29/I29)^(1/4)-1)+0.12*($E$32*N33+$E$34*N35+$E$38*N39+$E$40*N41)</f>
        <v>-1.0322706486956301E-2</v>
      </c>
      <c r="O30" s="292">
        <f>0.88*((N29/J29)^(1/4)-1)+0.12*($E$32*O33+$E$34*O35+$E$38*O39+$E$40*O41)</f>
        <v>-1.2614763648261022E-2</v>
      </c>
      <c r="P30" s="292">
        <f>0.81*((O29/K29)^(1/4)-1)+0.19*($E$32*P33+$E$34*P35+$E$38*P39+$E$40*P41)</f>
        <v>-2.206078775004916E-2</v>
      </c>
      <c r="Q30" s="292">
        <f>0.9*((N29/L29)^(1/2)-1)+0.1*($E$32*Q33+$E$34*Q35+$E$38*Q39+$E$40*Q41+E36*Q37)</f>
        <v>-2.1136027778858719E-2</v>
      </c>
      <c r="R30" s="328"/>
      <c r="S30" s="328"/>
    </row>
    <row r="31" spans="1:23" outlineLevel="1">
      <c r="A31" s="195"/>
      <c r="B31" s="195"/>
      <c r="C31" s="195"/>
      <c r="D31" s="196" t="s">
        <v>351</v>
      </c>
      <c r="E31" s="197" t="s">
        <v>352</v>
      </c>
      <c r="F31" s="197"/>
      <c r="G31" s="197"/>
      <c r="H31" s="200"/>
      <c r="I31" s="200"/>
      <c r="J31" s="200"/>
      <c r="K31" s="200"/>
      <c r="L31" s="200"/>
      <c r="M31" s="200"/>
      <c r="N31" s="200"/>
      <c r="O31" s="200"/>
      <c r="P31" s="200"/>
      <c r="Q31" s="200"/>
      <c r="R31" s="328"/>
      <c r="S31" s="328"/>
    </row>
    <row r="32" spans="1:23" outlineLevel="1">
      <c r="A32" s="23"/>
      <c r="B32" s="23"/>
      <c r="C32" s="23"/>
      <c r="D32" s="23" t="s">
        <v>400</v>
      </c>
      <c r="E32" s="24">
        <f>R33/$R$42</f>
        <v>0.19462342553978548</v>
      </c>
      <c r="F32" s="25"/>
      <c r="G32" s="25">
        <v>463.625</v>
      </c>
      <c r="H32" s="26">
        <v>486.61200000000002</v>
      </c>
      <c r="I32" s="26">
        <v>406.41199999999998</v>
      </c>
      <c r="J32" s="26">
        <v>462.46</v>
      </c>
      <c r="K32" s="26">
        <v>538.62400000000002</v>
      </c>
      <c r="L32" s="26">
        <v>526.19200000000001</v>
      </c>
      <c r="M32" s="26">
        <v>576.01099999999997</v>
      </c>
      <c r="N32" s="26">
        <v>602.94500000000005</v>
      </c>
      <c r="O32" s="26">
        <v>632.94399999999996</v>
      </c>
      <c r="P32" s="26">
        <v>663.83399999999995</v>
      </c>
      <c r="Q32" s="26">
        <v>696.45500000000004</v>
      </c>
      <c r="R32" s="330" t="s">
        <v>182</v>
      </c>
      <c r="S32" s="331"/>
    </row>
    <row r="33" spans="1:26" outlineLevel="1">
      <c r="A33" s="28"/>
      <c r="B33" s="28"/>
      <c r="C33" s="28"/>
      <c r="D33" s="28" t="s">
        <v>184</v>
      </c>
      <c r="E33" s="29"/>
      <c r="F33" s="28"/>
      <c r="G33" s="30"/>
      <c r="H33" s="30">
        <f t="shared" ref="H33" si="51">H32/G32-1</f>
        <v>4.9581019142626026E-2</v>
      </c>
      <c r="I33" s="30">
        <f t="shared" ref="I33:P33" si="52">I32/H32-1</f>
        <v>-0.16481303379283707</v>
      </c>
      <c r="J33" s="30">
        <f t="shared" si="52"/>
        <v>0.13790931370136716</v>
      </c>
      <c r="K33" s="30">
        <f t="shared" si="52"/>
        <v>0.16469316265190503</v>
      </c>
      <c r="L33" s="30">
        <f t="shared" si="52"/>
        <v>-2.3081036121673004E-2</v>
      </c>
      <c r="M33" s="30">
        <f t="shared" si="52"/>
        <v>9.4678368352236308E-2</v>
      </c>
      <c r="N33" s="30">
        <f t="shared" si="52"/>
        <v>4.6759523689651861E-2</v>
      </c>
      <c r="O33" s="30">
        <f t="shared" si="52"/>
        <v>4.9754123510436177E-2</v>
      </c>
      <c r="P33" s="30">
        <f t="shared" si="52"/>
        <v>4.8803685634116079E-2</v>
      </c>
      <c r="Q33" s="30">
        <f>Q32/P32-1</f>
        <v>4.9140297122473475E-2</v>
      </c>
      <c r="R33" s="332">
        <f>CORREL(H32:K32,$H$29:$K$29)</f>
        <v>0.37632468448980028</v>
      </c>
      <c r="S33" s="333"/>
    </row>
    <row r="34" spans="1:26" ht="45" outlineLevel="1">
      <c r="A34" s="25"/>
      <c r="B34" s="25"/>
      <c r="C34" s="25"/>
      <c r="D34" s="25" t="s">
        <v>401</v>
      </c>
      <c r="E34" s="24">
        <f>R35/$R$42</f>
        <v>0.19933895310056871</v>
      </c>
      <c r="F34" s="25"/>
      <c r="G34" s="25"/>
      <c r="H34" s="26">
        <f t="shared" ref="H34:P34" si="53">H288</f>
        <v>243265.6213799479</v>
      </c>
      <c r="I34" s="26">
        <v>209746.7</v>
      </c>
      <c r="J34" s="26">
        <v>229862.9</v>
      </c>
      <c r="K34" s="26">
        <v>267252.2</v>
      </c>
      <c r="L34" s="26">
        <v>265907.5</v>
      </c>
      <c r="M34" s="26">
        <v>272054.09999999998</v>
      </c>
      <c r="N34" s="26">
        <f t="shared" si="53"/>
        <v>275377.1800377366</v>
      </c>
      <c r="O34" s="26">
        <f t="shared" si="53"/>
        <v>279078.41557839373</v>
      </c>
      <c r="P34" s="26">
        <f t="shared" si="53"/>
        <v>282889.58147895371</v>
      </c>
      <c r="Q34" s="26">
        <f>Q288</f>
        <v>286914.31578915659</v>
      </c>
      <c r="R34" s="332"/>
      <c r="S34" s="334"/>
      <c r="T34" t="s">
        <v>792</v>
      </c>
    </row>
    <row r="35" spans="1:26" outlineLevel="1">
      <c r="A35" s="28"/>
      <c r="B35" s="28"/>
      <c r="C35" s="28"/>
      <c r="D35" s="28" t="s">
        <v>184</v>
      </c>
      <c r="E35" s="29"/>
      <c r="F35" s="28"/>
      <c r="G35" s="28"/>
      <c r="H35" s="29"/>
      <c r="I35" s="29">
        <f t="shared" ref="I35:P35" si="54">I34/H34-1</f>
        <v>-0.13778733381975039</v>
      </c>
      <c r="J35" s="29">
        <f t="shared" si="54"/>
        <v>9.5907110815092622E-2</v>
      </c>
      <c r="K35" s="29">
        <f t="shared" si="54"/>
        <v>0.16265913290052469</v>
      </c>
      <c r="L35" s="29">
        <f t="shared" si="54"/>
        <v>-5.0315769149890111E-3</v>
      </c>
      <c r="M35" s="29">
        <f t="shared" si="54"/>
        <v>2.3115557101623496E-2</v>
      </c>
      <c r="N35" s="29">
        <f t="shared" si="54"/>
        <v>1.221477653796299E-2</v>
      </c>
      <c r="O35" s="29">
        <f t="shared" si="54"/>
        <v>1.3440603684553354E-2</v>
      </c>
      <c r="P35" s="29">
        <f t="shared" si="54"/>
        <v>1.3656254614536456E-2</v>
      </c>
      <c r="Q35" s="29">
        <f>Q34/P34-1</f>
        <v>1.422722706563273E-2</v>
      </c>
      <c r="R35" s="332">
        <f>CORREL(H34:K34,$H$29:$K$29)</f>
        <v>0.3854426486639122</v>
      </c>
      <c r="S35" s="335"/>
    </row>
    <row r="36" spans="1:26" ht="60" outlineLevel="1">
      <c r="A36" s="25"/>
      <c r="B36" s="25"/>
      <c r="C36" s="25"/>
      <c r="D36" s="25" t="s">
        <v>402</v>
      </c>
      <c r="E36" s="24">
        <f>R37/$R$42</f>
        <v>0.12106757921714321</v>
      </c>
      <c r="F36" s="25"/>
      <c r="G36" s="25"/>
      <c r="H36" s="26">
        <f t="shared" ref="H36:P36" si="55">H290</f>
        <v>0.35599999999999998</v>
      </c>
      <c r="I36" s="26">
        <f t="shared" si="55"/>
        <v>0.317</v>
      </c>
      <c r="J36" s="26">
        <f t="shared" si="55"/>
        <v>0.34799999999999998</v>
      </c>
      <c r="K36" s="26">
        <f t="shared" si="55"/>
        <v>0.40300000000000002</v>
      </c>
      <c r="L36" s="26">
        <f t="shared" si="55"/>
        <v>0.39500000000000002</v>
      </c>
      <c r="M36" s="26">
        <f t="shared" si="55"/>
        <v>0.40799999999999997</v>
      </c>
      <c r="N36" s="26">
        <f t="shared" si="55"/>
        <v>0.42299999999999999</v>
      </c>
      <c r="O36" s="26">
        <f t="shared" si="55"/>
        <v>0.435</v>
      </c>
      <c r="P36" s="26">
        <f t="shared" si="55"/>
        <v>0.44800000000000001</v>
      </c>
      <c r="Q36" s="26">
        <f>Q290</f>
        <v>0.46</v>
      </c>
      <c r="R36" s="332"/>
      <c r="S36" s="334"/>
      <c r="T36" s="6" t="s">
        <v>196</v>
      </c>
    </row>
    <row r="37" spans="1:26" s="6" customFormat="1" outlineLevel="1">
      <c r="A37" s="28"/>
      <c r="B37" s="28"/>
      <c r="C37" s="28"/>
      <c r="D37" s="28" t="s">
        <v>184</v>
      </c>
      <c r="E37" s="29"/>
      <c r="F37" s="28"/>
      <c r="G37" s="28"/>
      <c r="H37" s="29"/>
      <c r="I37" s="29">
        <f>I36/H36-1</f>
        <v>-0.1095505617977528</v>
      </c>
      <c r="J37" s="29">
        <f t="shared" ref="J37:P37" si="56">J36/I36-1</f>
        <v>9.7791798107255357E-2</v>
      </c>
      <c r="K37" s="29">
        <f t="shared" si="56"/>
        <v>0.15804597701149437</v>
      </c>
      <c r="L37" s="29">
        <f t="shared" si="56"/>
        <v>-1.9851116625310139E-2</v>
      </c>
      <c r="M37" s="29">
        <f t="shared" si="56"/>
        <v>3.2911392405063244E-2</v>
      </c>
      <c r="N37" s="29">
        <f t="shared" si="56"/>
        <v>3.6764705882353033E-2</v>
      </c>
      <c r="O37" s="29">
        <f t="shared" si="56"/>
        <v>2.8368794326241176E-2</v>
      </c>
      <c r="P37" s="29">
        <f t="shared" si="56"/>
        <v>2.9885057471264354E-2</v>
      </c>
      <c r="Q37" s="29">
        <f>Q36/P36-1</f>
        <v>2.6785714285714413E-2</v>
      </c>
      <c r="R37" s="332">
        <f>CORREL(H36:K36,$H$29:$K$29)</f>
        <v>0.23409678677925475</v>
      </c>
      <c r="S37" s="335"/>
      <c r="W37" s="1"/>
      <c r="X37"/>
      <c r="Y37"/>
      <c r="Z37"/>
    </row>
    <row r="38" spans="1:26" s="6" customFormat="1" ht="60" outlineLevel="1">
      <c r="A38" s="25"/>
      <c r="B38" s="25"/>
      <c r="C38" s="25"/>
      <c r="D38" s="25" t="s">
        <v>403</v>
      </c>
      <c r="E38" s="24">
        <f>R39/$R$42</f>
        <v>4.078328241651321E-2</v>
      </c>
      <c r="F38" s="25"/>
      <c r="G38" s="25"/>
      <c r="H38" s="26">
        <f t="shared" ref="H38:P38" si="57">H292</f>
        <v>46.375999999999998</v>
      </c>
      <c r="I38" s="26">
        <f t="shared" si="57"/>
        <v>42.408999999999999</v>
      </c>
      <c r="J38" s="26">
        <f t="shared" si="57"/>
        <v>46.771999999999998</v>
      </c>
      <c r="K38" s="26">
        <f t="shared" si="57"/>
        <v>55.003</v>
      </c>
      <c r="L38" s="26">
        <f t="shared" si="57"/>
        <v>56.588000000000001</v>
      </c>
      <c r="M38" s="26">
        <f t="shared" si="57"/>
        <v>58.281999999999996</v>
      </c>
      <c r="N38" s="26">
        <f t="shared" si="57"/>
        <v>62.168999999999997</v>
      </c>
      <c r="O38" s="26">
        <f t="shared" si="57"/>
        <v>65.19</v>
      </c>
      <c r="P38" s="26">
        <f t="shared" si="57"/>
        <v>68.13</v>
      </c>
      <c r="Q38" s="26">
        <f>Q292</f>
        <v>71.046000000000006</v>
      </c>
      <c r="R38" s="332"/>
      <c r="S38" s="334"/>
      <c r="T38" s="6" t="s">
        <v>196</v>
      </c>
      <c r="W38" s="1"/>
      <c r="X38"/>
      <c r="Y38"/>
      <c r="Z38"/>
    </row>
    <row r="39" spans="1:26" s="6" customFormat="1" outlineLevel="1">
      <c r="A39" s="28"/>
      <c r="B39" s="28"/>
      <c r="C39" s="28"/>
      <c r="D39" s="28" t="s">
        <v>184</v>
      </c>
      <c r="E39" s="29"/>
      <c r="F39" s="28"/>
      <c r="G39" s="28"/>
      <c r="H39" s="29"/>
      <c r="I39" s="29">
        <f t="shared" ref="I39:P39" si="58">I38/H38-1</f>
        <v>-8.5539934448852883E-2</v>
      </c>
      <c r="J39" s="29">
        <f t="shared" si="58"/>
        <v>0.10287910585017324</v>
      </c>
      <c r="K39" s="29">
        <f t="shared" si="58"/>
        <v>0.17598135636705736</v>
      </c>
      <c r="L39" s="29">
        <f t="shared" si="58"/>
        <v>2.8816610003090659E-2</v>
      </c>
      <c r="M39" s="29">
        <f t="shared" si="58"/>
        <v>2.9935675408213624E-2</v>
      </c>
      <c r="N39" s="29">
        <f t="shared" si="58"/>
        <v>6.669297553275455E-2</v>
      </c>
      <c r="O39" s="29">
        <f t="shared" si="58"/>
        <v>4.8593350383631773E-2</v>
      </c>
      <c r="P39" s="29">
        <f t="shared" si="58"/>
        <v>4.5098941555453242E-2</v>
      </c>
      <c r="Q39" s="29">
        <f>Q38/P38-1</f>
        <v>4.2800528401585325E-2</v>
      </c>
      <c r="R39" s="332">
        <f>CORREL(H38:K38,H29:K29)</f>
        <v>7.8858728569214914E-2</v>
      </c>
      <c r="S39" s="335"/>
      <c r="W39" s="1"/>
      <c r="X39"/>
      <c r="Y39"/>
      <c r="Z39"/>
    </row>
    <row r="40" spans="1:26" s="6" customFormat="1" ht="45" outlineLevel="1">
      <c r="A40" s="25"/>
      <c r="B40" s="25"/>
      <c r="C40" s="25"/>
      <c r="D40" s="25" t="s">
        <v>368</v>
      </c>
      <c r="E40" s="24">
        <f>R41/$R$42</f>
        <v>0.44418675972598937</v>
      </c>
      <c r="F40" s="25"/>
      <c r="G40" s="25"/>
      <c r="H40" s="26">
        <f t="shared" ref="H40:P40" si="59">H294</f>
        <v>2.9830000000000001</v>
      </c>
      <c r="I40" s="26">
        <f t="shared" si="59"/>
        <v>2.0310000000000001</v>
      </c>
      <c r="J40" s="26">
        <f t="shared" si="59"/>
        <v>2.5499999999999998</v>
      </c>
      <c r="K40" s="26">
        <f t="shared" si="59"/>
        <v>2.7930000000000001</v>
      </c>
      <c r="L40" s="26">
        <f t="shared" si="59"/>
        <v>2.9889999999999999</v>
      </c>
      <c r="M40" s="26">
        <f t="shared" si="59"/>
        <v>2.9590000000000001</v>
      </c>
      <c r="N40" s="26">
        <f t="shared" si="59"/>
        <v>3.165</v>
      </c>
      <c r="O40" s="26">
        <f t="shared" si="59"/>
        <v>3.32</v>
      </c>
      <c r="P40" s="26">
        <f t="shared" si="59"/>
        <v>3.5129999999999999</v>
      </c>
      <c r="Q40" s="26">
        <f>Q294</f>
        <v>3.6440000000000001</v>
      </c>
      <c r="R40" s="332"/>
      <c r="S40" s="334"/>
      <c r="T40" s="6" t="s">
        <v>196</v>
      </c>
      <c r="W40" s="1"/>
      <c r="X40"/>
      <c r="Y40"/>
      <c r="Z40"/>
    </row>
    <row r="41" spans="1:26" s="6" customFormat="1" outlineLevel="1">
      <c r="A41" s="28"/>
      <c r="B41" s="28"/>
      <c r="C41" s="28"/>
      <c r="D41" s="28" t="s">
        <v>184</v>
      </c>
      <c r="E41" s="29"/>
      <c r="F41" s="28"/>
      <c r="G41" s="28"/>
      <c r="H41" s="29"/>
      <c r="I41" s="29">
        <f t="shared" ref="I41:P41" si="60">I40/H40-1</f>
        <v>-0.31914180355346966</v>
      </c>
      <c r="J41" s="29">
        <f t="shared" si="60"/>
        <v>0.25553914327917271</v>
      </c>
      <c r="K41" s="29">
        <f t="shared" si="60"/>
        <v>9.5294117647058973E-2</v>
      </c>
      <c r="L41" s="29">
        <f t="shared" si="60"/>
        <v>7.0175438596491224E-2</v>
      </c>
      <c r="M41" s="29">
        <f t="shared" si="60"/>
        <v>-1.0036801605888157E-2</v>
      </c>
      <c r="N41" s="29">
        <f t="shared" si="60"/>
        <v>6.9618114227779637E-2</v>
      </c>
      <c r="O41" s="29">
        <f t="shared" si="60"/>
        <v>4.8973143759873494E-2</v>
      </c>
      <c r="P41" s="29">
        <f t="shared" si="60"/>
        <v>5.8132530120482029E-2</v>
      </c>
      <c r="Q41" s="29">
        <f>Q40/P40-1</f>
        <v>3.729006547110747E-2</v>
      </c>
      <c r="R41" s="332">
        <f>CORREL(H41:K41,$H$30:$K$30)</f>
        <v>0.85888141031747833</v>
      </c>
      <c r="S41" s="335"/>
      <c r="W41" s="1"/>
      <c r="X41"/>
      <c r="Y41"/>
      <c r="Z41"/>
    </row>
    <row r="42" spans="1:26" s="6" customFormat="1" outlineLevel="1">
      <c r="A42" s="305"/>
      <c r="B42" s="225"/>
      <c r="C42" s="25"/>
      <c r="D42" s="306" t="s">
        <v>188</v>
      </c>
      <c r="E42" s="358">
        <f>SUM(E40,E34,E32,E36,E38)</f>
        <v>1</v>
      </c>
      <c r="F42" s="25"/>
      <c r="G42" s="25"/>
      <c r="H42" s="25"/>
      <c r="I42" s="25"/>
      <c r="J42" s="25"/>
      <c r="K42" s="25"/>
      <c r="L42" s="25"/>
      <c r="M42" s="25"/>
      <c r="N42" s="25"/>
      <c r="O42" s="25"/>
      <c r="P42" s="25"/>
      <c r="Q42" s="25"/>
      <c r="R42" s="336">
        <f>SUM(R33,R35,R39,R41,R37)</f>
        <v>1.9336042588196605</v>
      </c>
      <c r="S42" s="334"/>
      <c r="W42" s="1"/>
      <c r="X42"/>
      <c r="Y42"/>
      <c r="Z42"/>
    </row>
    <row r="43" spans="1:26" s="6" customFormat="1">
      <c r="A43" s="284" t="str">
        <f>'[3]TDF-Secondary cum Calculation'!A171</f>
        <v>Tunisia</v>
      </c>
      <c r="B43" s="285" t="str">
        <f>'[3]TDF-Secondary cum Calculation'!B171</f>
        <v>Tourism Demand Factors</v>
      </c>
      <c r="C43" s="285" t="str">
        <f>'[3]TDF-Secondary cum Calculation'!C171</f>
        <v>Number of Return Trips by Residents by Length &amp; Type</v>
      </c>
      <c r="D43" s="284" t="str">
        <f>'[3]TDF-Secondary cum Calculation'!D171</f>
        <v>International Trips</v>
      </c>
      <c r="E43" s="286"/>
      <c r="F43" s="286" t="str">
        <f>'Tourism Medium DB-LCU'!F13</f>
        <v>Thousand</v>
      </c>
      <c r="G43" s="286"/>
      <c r="H43" s="339">
        <f>'Tourism Medium DB-LCU'!H13</f>
        <v>5057.7269999999999</v>
      </c>
      <c r="I43" s="339">
        <f>'Tourism Medium DB-LCU'!I13</f>
        <v>4556.2539999999999</v>
      </c>
      <c r="J43" s="339">
        <f>'Tourism Medium DB-LCU'!J13</f>
        <v>4398.1840000000002</v>
      </c>
      <c r="K43" s="339">
        <f>'Tourism Medium DB-LCU'!K13</f>
        <v>4414.1189999999997</v>
      </c>
      <c r="L43" s="339">
        <f>'Tourism Medium DB-LCU'!L13</f>
        <v>4050.88</v>
      </c>
      <c r="M43" s="339">
        <f>M151</f>
        <v>3559.9234253633458</v>
      </c>
      <c r="N43" s="339">
        <f>N151</f>
        <v>3303.85531372992</v>
      </c>
      <c r="O43" s="339">
        <f>O151</f>
        <v>3309.2935851823891</v>
      </c>
      <c r="P43" s="339">
        <f>P151</f>
        <v>3475.0670408475485</v>
      </c>
      <c r="Q43" s="339">
        <f>Q151</f>
        <v>3598.1082820115757</v>
      </c>
      <c r="R43" s="329">
        <f>'Tourism Medium DB-LCU'!R33</f>
        <v>-5.3983963201367891E-2</v>
      </c>
      <c r="S43" s="329">
        <f>'Tourism Medium DB-LCU'!S33</f>
        <v>-2.3426421470017722E-2</v>
      </c>
      <c r="W43" s="1"/>
      <c r="X43"/>
      <c r="Y43"/>
      <c r="Z43"/>
    </row>
    <row r="44" spans="1:26" s="6" customFormat="1">
      <c r="A44" s="286"/>
      <c r="B44" s="286"/>
      <c r="C44" s="290" t="str">
        <f>'[3]TDF-Secondary cum Calculation'!C172</f>
        <v>Growth Rate</v>
      </c>
      <c r="D44" s="290"/>
      <c r="E44" s="290"/>
      <c r="F44" s="290" t="str">
        <f>'[3]TDF-Secondary cum Calculation'!J172</f>
        <v>%</v>
      </c>
      <c r="G44" s="290"/>
      <c r="H44" s="292"/>
      <c r="I44" s="292">
        <f>I43/H43-1</f>
        <v>-9.9149875032796375E-2</v>
      </c>
      <c r="J44" s="791">
        <f t="shared" ref="J44:Q44" si="61">J43/I43-1</f>
        <v>-3.4692973657745929E-2</v>
      </c>
      <c r="K44" s="791">
        <f t="shared" si="61"/>
        <v>3.6230862555999277E-3</v>
      </c>
      <c r="L44" s="791">
        <f t="shared" si="61"/>
        <v>-8.2290259959008738E-2</v>
      </c>
      <c r="M44" s="791">
        <f t="shared" si="61"/>
        <v>-0.12119751131523382</v>
      </c>
      <c r="N44" s="791">
        <f t="shared" si="61"/>
        <v>-7.1930792052722348E-2</v>
      </c>
      <c r="O44" s="791">
        <f t="shared" si="61"/>
        <v>1.6460380180296497E-3</v>
      </c>
      <c r="P44" s="791">
        <f t="shared" si="61"/>
        <v>5.0093305836454771E-2</v>
      </c>
      <c r="Q44" s="791">
        <f t="shared" si="61"/>
        <v>3.5406868333112351E-2</v>
      </c>
      <c r="R44" s="328"/>
      <c r="S44" s="328"/>
      <c r="W44" s="1"/>
      <c r="X44"/>
      <c r="Y44"/>
      <c r="Z44"/>
    </row>
    <row r="45" spans="1:26" s="6" customFormat="1">
      <c r="A45" s="279" t="str">
        <f>'[3]TDF-Secondary cum Calculation'!A173</f>
        <v>Tunisia</v>
      </c>
      <c r="B45" s="280" t="str">
        <f>'[3]TDF-Secondary cum Calculation'!B173</f>
        <v>Tourism Demand Factors</v>
      </c>
      <c r="C45" s="279" t="str">
        <f>'[3]TDF-Secondary cum Calculation'!C173</f>
        <v>Average Length of Tourism Trips by Type</v>
      </c>
      <c r="D45" s="279"/>
      <c r="E45" s="207"/>
      <c r="F45" s="207"/>
      <c r="G45" s="207"/>
      <c r="H45" s="283" t="b">
        <f>H43=H151</f>
        <v>1</v>
      </c>
      <c r="I45" s="283" t="b">
        <f t="shared" ref="I45:Q45" si="62">I43=I151</f>
        <v>1</v>
      </c>
      <c r="J45" s="283" t="b">
        <f t="shared" si="62"/>
        <v>1</v>
      </c>
      <c r="K45" s="283" t="b">
        <f t="shared" si="62"/>
        <v>1</v>
      </c>
      <c r="L45" s="283" t="b">
        <f t="shared" si="62"/>
        <v>1</v>
      </c>
      <c r="M45" s="283" t="b">
        <f t="shared" si="62"/>
        <v>1</v>
      </c>
      <c r="N45" s="283" t="b">
        <f t="shared" si="62"/>
        <v>1</v>
      </c>
      <c r="O45" s="283" t="b">
        <f t="shared" si="62"/>
        <v>1</v>
      </c>
      <c r="P45" s="283" t="b">
        <f t="shared" si="62"/>
        <v>1</v>
      </c>
      <c r="Q45" s="283" t="b">
        <f t="shared" si="62"/>
        <v>1</v>
      </c>
      <c r="R45" s="326" t="e">
        <f>'[3]TDF-Secondary cum Calculation'!V173</f>
        <v>#DIV/0!</v>
      </c>
      <c r="S45" s="326" t="e">
        <f>'[3]TDF-Secondary cum Calculation'!W173</f>
        <v>#DIV/0!</v>
      </c>
      <c r="W45" s="1"/>
      <c r="X45"/>
      <c r="Y45"/>
      <c r="Z45"/>
    </row>
    <row r="46" spans="1:26" s="6" customFormat="1">
      <c r="A46" s="279" t="str">
        <f>'[3]TDF-Secondary cum Calculation'!A175</f>
        <v>Tunisia</v>
      </c>
      <c r="B46" s="280" t="str">
        <f>'[3]TDF-Secondary cum Calculation'!B175</f>
        <v>Tourism Demand Factors</v>
      </c>
      <c r="C46" s="280" t="str">
        <f>'[3]TDF-Secondary cum Calculation'!C175</f>
        <v>Average Length of Tourism Trips by Type</v>
      </c>
      <c r="D46" s="279" t="str">
        <f>'[3]TDF-Secondary cum Calculation'!D175</f>
        <v>Domestic Trips</v>
      </c>
      <c r="E46" s="207"/>
      <c r="F46" s="207" t="s">
        <v>450</v>
      </c>
      <c r="G46" s="207"/>
      <c r="H46" s="283">
        <f>'Tourism Medium DB-LCU'!H15</f>
        <v>5.1855739616973873</v>
      </c>
      <c r="I46" s="283">
        <f>'Tourism Medium DB-LCU'!I15</f>
        <v>6.2013685360668669</v>
      </c>
      <c r="J46" s="283">
        <f>'Tourism Medium DB-LCU'!J15</f>
        <v>7.4038260141504546</v>
      </c>
      <c r="K46" s="283">
        <f>'Tourism Medium DB-LCU'!K15</f>
        <v>6.8856207452060492</v>
      </c>
      <c r="L46" s="283">
        <f>'Tourism Medium DB-LCU'!L15</f>
        <v>7.8186653053523747</v>
      </c>
      <c r="M46" s="283">
        <f t="shared" ref="M46:P46" si="63">L46*(1+M47)</f>
        <v>7.8673910354855741</v>
      </c>
      <c r="N46" s="283">
        <f t="shared" si="63"/>
        <v>8.3112573325738861</v>
      </c>
      <c r="O46" s="283">
        <f t="shared" si="63"/>
        <v>8.5469523832598142</v>
      </c>
      <c r="P46" s="283">
        <f t="shared" si="63"/>
        <v>9.0107961746842591</v>
      </c>
      <c r="Q46" s="283">
        <f>P46*(1+Q47)</f>
        <v>9.345642697388735</v>
      </c>
      <c r="R46" s="326">
        <f>'Tourism Medium DB-LCU'!R15</f>
        <v>0.10811273850358671</v>
      </c>
      <c r="S46" s="326">
        <f>'Tourism Medium DB-LCU'!S15</f>
        <v>3.6323413192161258E-2</v>
      </c>
      <c r="W46" s="1"/>
      <c r="X46"/>
      <c r="Y46"/>
      <c r="Z46"/>
    </row>
    <row r="47" spans="1:26" s="6" customFormat="1">
      <c r="A47" s="207"/>
      <c r="B47" s="207"/>
      <c r="C47" s="282" t="str">
        <f>'[3]TDF-Secondary cum Calculation'!C176</f>
        <v>Growth Rate</v>
      </c>
      <c r="D47" s="282"/>
      <c r="E47" s="282"/>
      <c r="F47" s="282" t="str">
        <f>'[3]TDF-Secondary cum Calculation'!J176</f>
        <v>%</v>
      </c>
      <c r="G47" s="282"/>
      <c r="H47" s="213"/>
      <c r="I47" s="213">
        <f>I46/H46-1</f>
        <v>0.19588855194671284</v>
      </c>
      <c r="J47" s="213">
        <f t="shared" ref="J47:L47" si="64">J46/I46-1</f>
        <v>0.19390195423641599</v>
      </c>
      <c r="K47" s="213">
        <f t="shared" si="64"/>
        <v>-6.9991551388970175E-2</v>
      </c>
      <c r="L47" s="213">
        <f t="shared" si="64"/>
        <v>0.13550623751619417</v>
      </c>
      <c r="M47" s="213">
        <f>(M49*$F$48+M51*$F$50)*0.06+0.04*((L46/H46)^(1/4)-1)</f>
        <v>6.2319754370153274E-3</v>
      </c>
      <c r="N47" s="213">
        <f>(N49*$F$48+N51*$F$50)*0.1+0.9*((M46/I46)^(1/4)-1)</f>
        <v>5.6418486774874953E-2</v>
      </c>
      <c r="O47" s="213">
        <f t="shared" ref="O47:Q47" si="65">(O49*$F$48+O51*$F$50)*0.1+0.9*((N46/J46)^(1/4)-1)</f>
        <v>2.8358531237166765E-2</v>
      </c>
      <c r="P47" s="213">
        <f t="shared" si="65"/>
        <v>5.427008021396449E-2</v>
      </c>
      <c r="Q47" s="213">
        <f t="shared" si="65"/>
        <v>3.7160592273213555E-2</v>
      </c>
      <c r="R47" s="210"/>
      <c r="S47" s="210"/>
      <c r="W47" s="1"/>
      <c r="X47"/>
      <c r="Y47"/>
      <c r="Z47"/>
    </row>
    <row r="48" spans="1:26" s="6" customFormat="1" ht="16.5" customHeight="1" outlineLevel="1">
      <c r="A48" s="207"/>
      <c r="B48" s="207"/>
      <c r="C48" s="282"/>
      <c r="D48" s="282"/>
      <c r="E48" s="307" t="s">
        <v>404</v>
      </c>
      <c r="F48" s="359">
        <f>R48/R52</f>
        <v>0.54411063037831819</v>
      </c>
      <c r="G48" s="359"/>
      <c r="H48" s="307">
        <f>H334*1000000/'Tourism Medium DB-LCU'!H12</f>
        <v>102.64092336657593</v>
      </c>
      <c r="I48" s="307">
        <f>I334*1000000/'Tourism Medium DB-LCU'!I12</f>
        <v>124.09878478858809</v>
      </c>
      <c r="J48" s="307">
        <f>J334*1000000/'Tourism Medium DB-LCU'!J12</f>
        <v>126.99855170201752</v>
      </c>
      <c r="K48" s="307">
        <f>K334*1000000/'Tourism Medium DB-LCU'!K12</f>
        <v>126.66145805469196</v>
      </c>
      <c r="L48" s="307">
        <f>L334*1000000/'Tourism Medium DB-LCU'!L12</f>
        <v>137.43663028923314</v>
      </c>
      <c r="M48" s="307">
        <f>M334*1000000/'Tourism Medium DB-LCU'!M12</f>
        <v>151.56835221429179</v>
      </c>
      <c r="N48" s="307">
        <f>N334*1000000/'Tourism Medium DB-LCU'!N12</f>
        <v>157.53959492073901</v>
      </c>
      <c r="O48" s="307">
        <f>O334*1000000/'Tourism Medium DB-LCU'!O12</f>
        <v>166.07372308603937</v>
      </c>
      <c r="P48" s="307">
        <f>P334*1000000/'Tourism Medium DB-LCU'!P12</f>
        <v>183.46025571427015</v>
      </c>
      <c r="Q48" s="307">
        <f>Q334*1000000/'Tourism Medium DB-LCU'!Q12</f>
        <v>203.75615926233979</v>
      </c>
      <c r="R48" s="337">
        <f>CORREL(H48:K48,H46:K46)</f>
        <v>0.90626894499060295</v>
      </c>
      <c r="S48" s="210"/>
      <c r="W48" s="1"/>
      <c r="X48"/>
      <c r="Y48"/>
      <c r="Z48"/>
    </row>
    <row r="49" spans="1:26" s="6" customFormat="1" ht="16.5" customHeight="1" outlineLevel="1">
      <c r="A49" s="207"/>
      <c r="B49" s="207"/>
      <c r="C49" s="282"/>
      <c r="D49" s="282"/>
      <c r="E49" s="29"/>
      <c r="F49" s="282"/>
      <c r="G49" s="282"/>
      <c r="H49" s="29"/>
      <c r="I49" s="29">
        <f t="shared" ref="I49:P49" si="66">I48/H48-1</f>
        <v>0.20905756415866095</v>
      </c>
      <c r="J49" s="29">
        <f t="shared" si="66"/>
        <v>2.336660200476115E-2</v>
      </c>
      <c r="K49" s="29">
        <f t="shared" si="66"/>
        <v>-2.6543109571556256E-3</v>
      </c>
      <c r="L49" s="29">
        <f t="shared" si="66"/>
        <v>8.5070647377898378E-2</v>
      </c>
      <c r="M49" s="29">
        <f t="shared" si="66"/>
        <v>0.10282354780758718</v>
      </c>
      <c r="N49" s="29">
        <f t="shared" si="66"/>
        <v>3.9396368827741224E-2</v>
      </c>
      <c r="O49" s="29">
        <f t="shared" si="66"/>
        <v>5.4171322260883281E-2</v>
      </c>
      <c r="P49" s="29">
        <f t="shared" si="66"/>
        <v>0.10469165323175877</v>
      </c>
      <c r="Q49" s="29">
        <f>Q48/P48-1</f>
        <v>0.11062834001321509</v>
      </c>
      <c r="R49" s="337"/>
      <c r="S49" s="210"/>
      <c r="W49" s="1"/>
      <c r="X49"/>
      <c r="Y49"/>
      <c r="Z49"/>
    </row>
    <row r="50" spans="1:26" s="6" customFormat="1" ht="16.5" customHeight="1" outlineLevel="1">
      <c r="A50" s="207"/>
      <c r="B50" s="207"/>
      <c r="C50" s="282"/>
      <c r="D50" s="282"/>
      <c r="E50" s="307" t="s">
        <v>405</v>
      </c>
      <c r="F50" s="359">
        <f>R50/R52</f>
        <v>0.45588936962168192</v>
      </c>
      <c r="G50" s="359"/>
      <c r="H50" s="365">
        <f t="shared" ref="H50:Q50" si="67">H29/(H336*1000)</f>
        <v>1.7566610209778446</v>
      </c>
      <c r="I50" s="365">
        <f t="shared" si="67"/>
        <v>1.4243981916119406</v>
      </c>
      <c r="J50" s="365">
        <f t="shared" si="67"/>
        <v>1.4034930600270348</v>
      </c>
      <c r="K50" s="365">
        <f t="shared" si="67"/>
        <v>1.4736596010268328</v>
      </c>
      <c r="L50" s="365">
        <f t="shared" si="67"/>
        <v>1.3456773099535075</v>
      </c>
      <c r="M50" s="365">
        <f t="shared" si="67"/>
        <v>1.2743736787324338</v>
      </c>
      <c r="N50" s="365">
        <f t="shared" si="67"/>
        <v>1.2494975402323771</v>
      </c>
      <c r="O50" s="365">
        <f t="shared" si="67"/>
        <v>1.2225905614277672</v>
      </c>
      <c r="P50" s="365">
        <f t="shared" si="67"/>
        <v>1.1851645236103445</v>
      </c>
      <c r="Q50" s="365">
        <f t="shared" si="67"/>
        <v>1.149766950759959</v>
      </c>
      <c r="R50" s="337">
        <f>CORREL(H51:K51,H46:K46)</f>
        <v>0.75932789210937701</v>
      </c>
      <c r="S50" s="210"/>
      <c r="W50" s="1"/>
      <c r="X50"/>
      <c r="Y50"/>
      <c r="Z50"/>
    </row>
    <row r="51" spans="1:26" s="6" customFormat="1" outlineLevel="1">
      <c r="A51" s="207"/>
      <c r="B51" s="207"/>
      <c r="C51" s="282"/>
      <c r="D51" s="282"/>
      <c r="E51" s="29"/>
      <c r="F51" s="282"/>
      <c r="G51" s="282"/>
      <c r="H51" s="29"/>
      <c r="I51" s="29">
        <f t="shared" ref="I51:P51" si="68">I50/H50-1</f>
        <v>-0.18914453352016092</v>
      </c>
      <c r="J51" s="29">
        <f t="shared" si="68"/>
        <v>-1.4676465968584407E-2</v>
      </c>
      <c r="K51" s="29">
        <f t="shared" si="68"/>
        <v>4.9994220134188971E-2</v>
      </c>
      <c r="L51" s="29">
        <f t="shared" si="68"/>
        <v>-8.6846576362783034E-2</v>
      </c>
      <c r="M51" s="29">
        <f t="shared" si="68"/>
        <v>-5.2987169133094203E-2</v>
      </c>
      <c r="N51" s="29">
        <f t="shared" si="68"/>
        <v>-1.9520285859011111E-2</v>
      </c>
      <c r="O51" s="29">
        <f t="shared" si="68"/>
        <v>-2.1534239114713083E-2</v>
      </c>
      <c r="P51" s="29">
        <f t="shared" si="68"/>
        <v>-3.0612078154534261E-2</v>
      </c>
      <c r="Q51" s="29">
        <f>Q50/P50-1</f>
        <v>-2.986722277389342E-2</v>
      </c>
      <c r="R51" s="337"/>
      <c r="S51" s="210"/>
      <c r="W51" s="1"/>
      <c r="X51"/>
      <c r="Y51"/>
      <c r="Z51"/>
    </row>
    <row r="52" spans="1:26" s="6" customFormat="1" outlineLevel="1">
      <c r="A52" s="207"/>
      <c r="B52" s="207"/>
      <c r="C52" s="282"/>
      <c r="D52" s="282"/>
      <c r="E52" s="29"/>
      <c r="F52" s="366">
        <f>F50+F48</f>
        <v>1</v>
      </c>
      <c r="G52" s="366"/>
      <c r="H52" s="29"/>
      <c r="I52" s="29"/>
      <c r="J52" s="29"/>
      <c r="K52" s="29"/>
      <c r="L52" s="29"/>
      <c r="M52" s="29"/>
      <c r="N52" s="29"/>
      <c r="O52" s="29"/>
      <c r="P52" s="29"/>
      <c r="Q52" s="29"/>
      <c r="R52" s="337">
        <f>SUM(R50,R48)</f>
        <v>1.6655968370999799</v>
      </c>
      <c r="S52" s="210"/>
      <c r="W52" s="1"/>
      <c r="X52"/>
      <c r="Y52"/>
      <c r="Z52"/>
    </row>
    <row r="53" spans="1:26" s="6" customFormat="1">
      <c r="A53" s="279" t="str">
        <f>'[3]TDF-Secondary cum Calculation'!A177</f>
        <v>Tunisia</v>
      </c>
      <c r="B53" s="280" t="str">
        <f>'[3]TDF-Secondary cum Calculation'!B177</f>
        <v>Tourism Demand Factors</v>
      </c>
      <c r="C53" s="280" t="str">
        <f>'[3]TDF-Secondary cum Calculation'!C177</f>
        <v>Average Length of Tourism Trips by Type</v>
      </c>
      <c r="D53" s="279" t="str">
        <f>'[3]TDF-Secondary cum Calculation'!D177</f>
        <v>International Trips</v>
      </c>
      <c r="E53" s="207"/>
      <c r="F53" s="207" t="str">
        <f>'[3]TDF-Secondary cum Calculation'!J177</f>
        <v>Average No. of nights spent</v>
      </c>
      <c r="G53" s="207"/>
      <c r="H53" s="283">
        <f>'Tourism Medium DB-LCU'!H16</f>
        <v>16.188695040281928</v>
      </c>
      <c r="I53" s="283">
        <f>'Tourism Medium DB-LCU'!I16</f>
        <v>16.237022782311961</v>
      </c>
      <c r="J53" s="283">
        <f>'Tourism Medium DB-LCU'!J16</f>
        <v>18.387134326349237</v>
      </c>
      <c r="K53" s="283">
        <f>'Tourism Medium DB-LCU'!K16</f>
        <v>20.179791256194047</v>
      </c>
      <c r="L53" s="283">
        <f>'Tourism Medium DB-LCU'!L16</f>
        <v>22.61565421618047</v>
      </c>
      <c r="M53" s="283">
        <f t="shared" ref="M53:P53" si="69">L53*(1+M54)</f>
        <v>24.481030097771672</v>
      </c>
      <c r="N53" s="283">
        <f t="shared" si="69"/>
        <v>26.416793512251058</v>
      </c>
      <c r="O53" s="283">
        <f>N53*(1+O54)</f>
        <v>28.760538379980698</v>
      </c>
      <c r="P53" s="283">
        <f t="shared" si="69"/>
        <v>30.091620685579009</v>
      </c>
      <c r="Q53" s="283">
        <f>P53*(1+Q54)</f>
        <v>30.981991420973888</v>
      </c>
      <c r="R53" s="326">
        <f>'Tourism Medium DB-LCU'!R16</f>
        <v>8.7174677747127616E-2</v>
      </c>
      <c r="S53" s="326">
        <f>'Tourism Medium DB-LCU'!S16</f>
        <v>6.4976524899081012E-2</v>
      </c>
      <c r="W53" s="1"/>
      <c r="X53"/>
      <c r="Y53"/>
      <c r="Z53"/>
    </row>
    <row r="54" spans="1:26" s="6" customFormat="1">
      <c r="A54" s="207"/>
      <c r="B54" s="207"/>
      <c r="C54" s="282" t="str">
        <f>'[3]TDF-Secondary cum Calculation'!C178</f>
        <v>Growth Rate</v>
      </c>
      <c r="D54" s="282"/>
      <c r="E54" s="282"/>
      <c r="F54" s="282" t="s">
        <v>176</v>
      </c>
      <c r="G54" s="282"/>
      <c r="H54" s="213"/>
      <c r="I54" s="213">
        <f>I53/H53-1</f>
        <v>2.9852771894078867E-3</v>
      </c>
      <c r="J54" s="213">
        <f>J53/I53-1</f>
        <v>0.13242030715012199</v>
      </c>
      <c r="K54" s="213">
        <f>K53/J53-1</f>
        <v>9.7495177770898556E-2</v>
      </c>
      <c r="L54" s="213">
        <f>L53/K53-1</f>
        <v>0.12070803553226805</v>
      </c>
      <c r="M54" s="213">
        <f>(M56*$F$55+M58*$F$57+M60*$F$59)*0.2+0.8*((L53/H53)^(1/4)-1)</f>
        <v>8.248162373550133E-2</v>
      </c>
      <c r="N54" s="213">
        <f>(N56*$F$55+N58*$F$57+N60*$F$59)*0.38+0.62*((M53/I53)^(1/4)-1)</f>
        <v>7.9071975596957597E-2</v>
      </c>
      <c r="O54" s="213">
        <f>(O56*$F$55+O58*$F$57+O60*$F$59)*0.1+0.9*((N53/J53)^(1/4)-1)</f>
        <v>8.8721777177184977E-2</v>
      </c>
      <c r="P54" s="213">
        <f>((P56*$F$55+P58*$F$57+P60*$F$59)*0.001+0.999*((O53/K53)^(1/4)-1))*0.5</f>
        <v>4.6281550366415736E-2</v>
      </c>
      <c r="Q54" s="213">
        <f>((Q56*$F$55+Q58*$F$57+Q60*$F$59)*0.001+0.999*((P53/L53)^(1/4)-1))*0.4</f>
        <v>2.9588660069132605E-2</v>
      </c>
      <c r="R54" s="210"/>
      <c r="S54" s="210"/>
      <c r="W54" s="1"/>
      <c r="X54"/>
      <c r="Y54"/>
      <c r="Z54"/>
    </row>
    <row r="55" spans="1:26" s="6" customFormat="1" ht="12" customHeight="1" outlineLevel="1">
      <c r="A55" s="207"/>
      <c r="B55" s="207"/>
      <c r="C55" s="282"/>
      <c r="D55" s="25" t="s">
        <v>406</v>
      </c>
      <c r="E55" s="25"/>
      <c r="F55" s="359">
        <v>0.6</v>
      </c>
      <c r="G55" s="359"/>
      <c r="H55" s="198">
        <f t="shared" ref="H55:P55" si="70">H286</f>
        <v>486.61200000000002</v>
      </c>
      <c r="I55" s="198">
        <f t="shared" si="70"/>
        <v>406.41199999999998</v>
      </c>
      <c r="J55" s="198">
        <f t="shared" si="70"/>
        <v>462.46</v>
      </c>
      <c r="K55" s="198">
        <f t="shared" si="70"/>
        <v>538.62400000000002</v>
      </c>
      <c r="L55" s="198">
        <f t="shared" si="70"/>
        <v>526.19200000000001</v>
      </c>
      <c r="M55" s="198">
        <f t="shared" si="70"/>
        <v>576.01099999999997</v>
      </c>
      <c r="N55" s="198">
        <f t="shared" si="70"/>
        <v>602.94500000000005</v>
      </c>
      <c r="O55" s="198">
        <f t="shared" si="70"/>
        <v>632.94399999999996</v>
      </c>
      <c r="P55" s="198">
        <f t="shared" si="70"/>
        <v>663.83399999999995</v>
      </c>
      <c r="Q55" s="198">
        <f>Q286</f>
        <v>696.45500000000004</v>
      </c>
      <c r="R55" s="337">
        <f>CORREL(I55:L55,$I$53:$L$53)</f>
        <v>0.89600901124933874</v>
      </c>
      <c r="S55" s="337"/>
      <c r="W55" s="1"/>
      <c r="X55"/>
      <c r="Y55"/>
      <c r="Z55"/>
    </row>
    <row r="56" spans="1:26" s="6" customFormat="1" outlineLevel="1">
      <c r="A56" s="207"/>
      <c r="B56" s="207"/>
      <c r="C56" s="282"/>
      <c r="D56" s="28"/>
      <c r="E56" s="28"/>
      <c r="F56" s="29"/>
      <c r="G56" s="29"/>
      <c r="H56" s="308"/>
      <c r="I56" s="29">
        <f t="shared" ref="I56:P56" si="71">I55/H55-1</f>
        <v>-0.16481303379283707</v>
      </c>
      <c r="J56" s="29">
        <f t="shared" si="71"/>
        <v>0.13790931370136716</v>
      </c>
      <c r="K56" s="29">
        <f t="shared" si="71"/>
        <v>0.16469316265190503</v>
      </c>
      <c r="L56" s="29">
        <f t="shared" si="71"/>
        <v>-2.3081036121673004E-2</v>
      </c>
      <c r="M56" s="29">
        <f t="shared" si="71"/>
        <v>9.4678368352236308E-2</v>
      </c>
      <c r="N56" s="29">
        <f t="shared" si="71"/>
        <v>4.6759523689651861E-2</v>
      </c>
      <c r="O56" s="29">
        <f t="shared" si="71"/>
        <v>4.9754123510436177E-2</v>
      </c>
      <c r="P56" s="29">
        <f t="shared" si="71"/>
        <v>4.8803685634116079E-2</v>
      </c>
      <c r="Q56" s="29">
        <f>Q55/P55-1</f>
        <v>4.9140297122473475E-2</v>
      </c>
      <c r="R56" s="337"/>
      <c r="S56" s="337"/>
      <c r="W56" s="1"/>
      <c r="X56"/>
      <c r="Y56"/>
      <c r="Z56"/>
    </row>
    <row r="57" spans="1:26" s="6" customFormat="1" ht="22.5" customHeight="1" outlineLevel="1">
      <c r="A57" s="207"/>
      <c r="B57" s="207"/>
      <c r="C57" s="282"/>
      <c r="D57" s="25" t="s">
        <v>407</v>
      </c>
      <c r="E57" s="197"/>
      <c r="F57" s="359">
        <v>0.3</v>
      </c>
      <c r="G57" s="359"/>
      <c r="H57" s="198">
        <f t="shared" ref="H57:P57" si="72">H288</f>
        <v>243265.6213799479</v>
      </c>
      <c r="I57" s="198">
        <f t="shared" si="72"/>
        <v>209746.7</v>
      </c>
      <c r="J57" s="198">
        <f t="shared" si="72"/>
        <v>229862.9</v>
      </c>
      <c r="K57" s="198">
        <f t="shared" si="72"/>
        <v>267252.2</v>
      </c>
      <c r="L57" s="198">
        <f t="shared" si="72"/>
        <v>265907.5</v>
      </c>
      <c r="M57" s="198">
        <f t="shared" si="72"/>
        <v>272054.09999999998</v>
      </c>
      <c r="N57" s="198">
        <f t="shared" si="72"/>
        <v>275377.1800377366</v>
      </c>
      <c r="O57" s="198">
        <f t="shared" si="72"/>
        <v>279078.41557839373</v>
      </c>
      <c r="P57" s="198">
        <f t="shared" si="72"/>
        <v>282889.58147895371</v>
      </c>
      <c r="Q57" s="198">
        <f>Q288</f>
        <v>286914.31578915659</v>
      </c>
      <c r="R57" s="337">
        <f>CORREL(I57:L57,$I$53:$L$53)</f>
        <v>0.92098492091003203</v>
      </c>
      <c r="S57" s="210"/>
      <c r="W57" s="1"/>
      <c r="X57"/>
      <c r="Y57"/>
      <c r="Z57"/>
    </row>
    <row r="58" spans="1:26" s="6" customFormat="1" outlineLevel="1">
      <c r="A58" s="207"/>
      <c r="B58" s="207"/>
      <c r="C58" s="282"/>
      <c r="D58" s="28"/>
      <c r="E58" s="28"/>
      <c r="F58" s="29"/>
      <c r="G58" s="29"/>
      <c r="H58" s="29"/>
      <c r="I58" s="29">
        <f t="shared" ref="I58:P58" si="73">I57/H57-1</f>
        <v>-0.13778733381975039</v>
      </c>
      <c r="J58" s="29">
        <f t="shared" si="73"/>
        <v>9.5907110815092622E-2</v>
      </c>
      <c r="K58" s="29">
        <f t="shared" si="73"/>
        <v>0.16265913290052469</v>
      </c>
      <c r="L58" s="29">
        <f t="shared" si="73"/>
        <v>-5.0315769149890111E-3</v>
      </c>
      <c r="M58" s="29">
        <f t="shared" si="73"/>
        <v>2.3115557101623496E-2</v>
      </c>
      <c r="N58" s="29">
        <f t="shared" si="73"/>
        <v>1.221477653796299E-2</v>
      </c>
      <c r="O58" s="29">
        <f t="shared" si="73"/>
        <v>1.3440603684553354E-2</v>
      </c>
      <c r="P58" s="29">
        <f t="shared" si="73"/>
        <v>1.3656254614536456E-2</v>
      </c>
      <c r="Q58" s="29">
        <f>Q57/P57-1</f>
        <v>1.422722706563273E-2</v>
      </c>
      <c r="R58" s="337"/>
      <c r="S58" s="210"/>
      <c r="W58" s="1"/>
      <c r="X58"/>
      <c r="Y58"/>
      <c r="Z58"/>
    </row>
    <row r="59" spans="1:26" s="6" customFormat="1" ht="27" customHeight="1" outlineLevel="1">
      <c r="A59" s="207"/>
      <c r="B59" s="207"/>
      <c r="C59" s="282"/>
      <c r="D59" s="25" t="s">
        <v>380</v>
      </c>
      <c r="E59" s="197"/>
      <c r="F59" s="359">
        <f>1-SUM(F57,F55)</f>
        <v>0.10000000000000009</v>
      </c>
      <c r="G59" s="359"/>
      <c r="H59" s="309">
        <f t="shared" ref="H59:P59" si="74">H296</f>
        <v>2.2749999999999999</v>
      </c>
      <c r="I59" s="309">
        <f t="shared" si="74"/>
        <v>2.2789999999999999</v>
      </c>
      <c r="J59" s="309">
        <f t="shared" si="74"/>
        <v>2.2765994215599035</v>
      </c>
      <c r="K59" s="309">
        <f t="shared" si="74"/>
        <v>2.2721375476736672</v>
      </c>
      <c r="L59" s="309">
        <f t="shared" si="74"/>
        <v>2.2722980182311483</v>
      </c>
      <c r="M59" s="309">
        <f t="shared" si="74"/>
        <v>2.2715645101411561</v>
      </c>
      <c r="N59" s="309">
        <f t="shared" si="74"/>
        <v>2.271167948449917</v>
      </c>
      <c r="O59" s="309">
        <f t="shared" si="74"/>
        <v>2.2707262593515471</v>
      </c>
      <c r="P59" s="309">
        <f t="shared" si="74"/>
        <v>2.2702714516496694</v>
      </c>
      <c r="Q59" s="309">
        <f>Q296</f>
        <v>2.2697911576372718</v>
      </c>
      <c r="R59" s="337">
        <f>CORREL(I60:L60,$I$54:$L$54)</f>
        <v>-0.75109578224204498</v>
      </c>
      <c r="S59" s="210"/>
      <c r="W59" s="1"/>
      <c r="X59"/>
      <c r="Y59"/>
      <c r="Z59"/>
    </row>
    <row r="60" spans="1:26" s="6" customFormat="1" outlineLevel="1">
      <c r="A60" s="207"/>
      <c r="B60" s="207"/>
      <c r="C60" s="282"/>
      <c r="D60" s="360"/>
      <c r="E60" s="360"/>
      <c r="F60" s="360"/>
      <c r="G60" s="360"/>
      <c r="H60" s="360"/>
      <c r="I60" s="360">
        <f t="shared" ref="I60:Q60" si="75">I59/H59-1</f>
        <v>1.7582417582417964E-3</v>
      </c>
      <c r="J60" s="360">
        <f t="shared" si="75"/>
        <v>-1.0533472751630413E-3</v>
      </c>
      <c r="K60" s="360">
        <f t="shared" si="75"/>
        <v>-1.9598853641010772E-3</v>
      </c>
      <c r="L60" s="360">
        <f t="shared" si="75"/>
        <v>7.0625371094035216E-5</v>
      </c>
      <c r="M60" s="360">
        <f t="shared" si="75"/>
        <v>-3.2280452832644801E-4</v>
      </c>
      <c r="N60" s="360">
        <f t="shared" si="75"/>
        <v>-1.7457646017482453E-4</v>
      </c>
      <c r="O60" s="360">
        <f t="shared" si="75"/>
        <v>-1.9447663422300643E-4</v>
      </c>
      <c r="P60" s="360">
        <f t="shared" si="75"/>
        <v>-2.0029173486002527E-4</v>
      </c>
      <c r="Q60" s="360">
        <f t="shared" si="75"/>
        <v>-2.1155796680105698E-4</v>
      </c>
      <c r="R60" s="337"/>
      <c r="S60" s="210"/>
      <c r="W60" s="1"/>
      <c r="X60"/>
      <c r="Y60"/>
      <c r="Z60"/>
    </row>
    <row r="61" spans="1:26" s="6" customFormat="1" outlineLevel="1">
      <c r="A61" s="207"/>
      <c r="B61" s="207"/>
      <c r="C61" s="282"/>
      <c r="D61" s="347"/>
      <c r="E61" s="347"/>
      <c r="F61" s="347"/>
      <c r="G61" s="347"/>
      <c r="H61" s="348"/>
      <c r="I61" s="348"/>
      <c r="J61" s="348"/>
      <c r="K61" s="348"/>
      <c r="L61" s="348"/>
      <c r="M61" s="348"/>
      <c r="N61" s="348"/>
      <c r="O61" s="348"/>
      <c r="P61" s="348"/>
      <c r="Q61" s="348"/>
      <c r="R61" s="337">
        <f>SUM(R59,R57,R55)</f>
        <v>1.0658981499173259</v>
      </c>
      <c r="S61" s="210"/>
      <c r="W61" s="1"/>
      <c r="X61"/>
      <c r="Y61"/>
      <c r="Z61"/>
    </row>
    <row r="62" spans="1:26" s="6" customFormat="1" outlineLevel="1">
      <c r="A62" s="207" t="s">
        <v>153</v>
      </c>
      <c r="B62" s="207" t="s">
        <v>17</v>
      </c>
      <c r="C62" s="282" t="s">
        <v>18</v>
      </c>
      <c r="D62" s="347"/>
      <c r="E62" s="347"/>
      <c r="F62" s="347" t="str">
        <f>'Tourism Medium DB-LCU'!F18</f>
        <v>Thousand</v>
      </c>
      <c r="G62" s="347">
        <v>31041</v>
      </c>
      <c r="H62" s="349">
        <f>'Tourism Medium DB-LCU'!H18</f>
        <v>18121.427</v>
      </c>
      <c r="I62" s="349">
        <f>'Tourism Medium DB-LCU'!I18</f>
        <v>14843.013999999999</v>
      </c>
      <c r="J62" s="349">
        <f>'Tourism Medium DB-LCU'!J18</f>
        <v>14771.822</v>
      </c>
      <c r="K62" s="349">
        <f>'Tourism Medium DB-LCU'!K18</f>
        <v>15663.802</v>
      </c>
      <c r="L62" s="349">
        <f>'Tourism Medium DB-LCU'!L18</f>
        <v>14443.02</v>
      </c>
      <c r="M62" s="349">
        <f>M29</f>
        <v>13808.951337287452</v>
      </c>
      <c r="N62" s="349">
        <f>N29</f>
        <v>13666.405585739971</v>
      </c>
      <c r="O62" s="349">
        <f>O29</f>
        <v>13494.007109354587</v>
      </c>
      <c r="P62" s="349">
        <f>P29</f>
        <v>13196.318682617461</v>
      </c>
      <c r="Q62" s="349">
        <f>Q29</f>
        <v>12917.400924362986</v>
      </c>
      <c r="R62" s="337">
        <f>'Tourism Medium DB-LCU'!R18</f>
        <v>-5.514230426393163E-2</v>
      </c>
      <c r="S62" s="355">
        <f>'Tourism Medium DB-LCU'!S18</f>
        <v>-2.2079781372025264E-2</v>
      </c>
      <c r="W62" s="1"/>
      <c r="X62"/>
      <c r="Y62"/>
      <c r="Z62"/>
    </row>
    <row r="63" spans="1:26" s="6" customFormat="1" outlineLevel="1">
      <c r="A63" s="207"/>
      <c r="B63" s="207"/>
      <c r="C63" s="282"/>
      <c r="D63" s="347"/>
      <c r="E63" s="347"/>
      <c r="F63" s="361" t="s">
        <v>176</v>
      </c>
      <c r="G63" s="361"/>
      <c r="H63" s="350"/>
      <c r="I63" s="351">
        <f t="shared" ref="I63:Q63" si="76">I62/H62-1</f>
        <v>-0.18091362231020769</v>
      </c>
      <c r="J63" s="351">
        <f t="shared" si="76"/>
        <v>-4.7963304487887992E-3</v>
      </c>
      <c r="K63" s="351">
        <f t="shared" si="76"/>
        <v>6.0383884939853694E-2</v>
      </c>
      <c r="L63" s="351">
        <f t="shared" si="76"/>
        <v>-7.7936506092199043E-2</v>
      </c>
      <c r="M63" s="351">
        <f t="shared" si="76"/>
        <v>-4.3901390617235747E-2</v>
      </c>
      <c r="N63" s="351">
        <f t="shared" si="76"/>
        <v>-1.0322706486956323E-2</v>
      </c>
      <c r="O63" s="351">
        <f t="shared" si="76"/>
        <v>-1.2614763648261085E-2</v>
      </c>
      <c r="P63" s="351">
        <f t="shared" si="76"/>
        <v>-2.206078775004916E-2</v>
      </c>
      <c r="Q63" s="351">
        <f t="shared" si="76"/>
        <v>-2.1136027778858701E-2</v>
      </c>
      <c r="R63" s="337"/>
      <c r="S63" s="210"/>
      <c r="W63" s="1"/>
      <c r="X63"/>
      <c r="Y63"/>
      <c r="Z63"/>
    </row>
    <row r="64" spans="1:26" s="6" customFormat="1" outlineLevel="1">
      <c r="A64" s="207" t="s">
        <v>153</v>
      </c>
      <c r="B64" s="207" t="s">
        <v>17</v>
      </c>
      <c r="C64" s="282"/>
      <c r="D64" s="347" t="s">
        <v>19</v>
      </c>
      <c r="E64" s="347"/>
      <c r="F64" s="347" t="str">
        <f>'Tourism Medium DB-LCU'!F19</f>
        <v>Thousand</v>
      </c>
      <c r="G64" s="347">
        <v>4536</v>
      </c>
      <c r="H64" s="349">
        <f>'Tourism Medium DB-LCU'!H19</f>
        <v>320.29899999999998</v>
      </c>
      <c r="I64" s="349">
        <f>'Tourism Medium DB-LCU'!I19</f>
        <v>225.28899999999999</v>
      </c>
      <c r="J64" s="349">
        <f>'Tourism Medium DB-LCU'!J19</f>
        <v>140.928</v>
      </c>
      <c r="K64" s="349">
        <f>'Tourism Medium DB-LCU'!K19</f>
        <v>110.51900000000001</v>
      </c>
      <c r="L64" s="349">
        <f>'Tourism Medium DB-LCU'!L19</f>
        <v>136.61933469808844</v>
      </c>
      <c r="M64" s="349">
        <f>M$62*M70</f>
        <v>124.9516036429889</v>
      </c>
      <c r="N64" s="349">
        <f>N$62*N70</f>
        <v>110.16165165665797</v>
      </c>
      <c r="O64" s="349">
        <f>O$62*O70</f>
        <v>103.83589176012438</v>
      </c>
      <c r="P64" s="349">
        <f>P$62*P70</f>
        <v>104.88392483170742</v>
      </c>
      <c r="Q64" s="349">
        <f>Q$62*Q70</f>
        <v>101.79269177191381</v>
      </c>
      <c r="R64" s="337">
        <f>'Tourism Medium DB-LCU'!R19</f>
        <v>-0.19185526881083026</v>
      </c>
      <c r="S64" s="355">
        <f>'Tourism Medium DB-LCU'!S19</f>
        <v>-5.7153731612003544E-2</v>
      </c>
      <c r="W64" s="1"/>
      <c r="X64"/>
      <c r="Y64"/>
      <c r="Z64"/>
    </row>
    <row r="65" spans="1:26" s="6" customFormat="1" outlineLevel="1">
      <c r="A65" s="207"/>
      <c r="B65" s="207"/>
      <c r="C65" s="282"/>
      <c r="D65" s="347"/>
      <c r="E65" s="347"/>
      <c r="F65" s="361" t="s">
        <v>176</v>
      </c>
      <c r="G65" s="361"/>
      <c r="H65" s="351"/>
      <c r="I65" s="351">
        <f t="shared" ref="I65:Q65" si="77">I64/H64-1</f>
        <v>-0.2966290871966506</v>
      </c>
      <c r="J65" s="351">
        <f t="shared" si="77"/>
        <v>-0.37445680881001731</v>
      </c>
      <c r="K65" s="351">
        <f t="shared" si="77"/>
        <v>-0.21577685059037233</v>
      </c>
      <c r="L65" s="351">
        <f t="shared" si="77"/>
        <v>0.23616151700692578</v>
      </c>
      <c r="M65" s="351">
        <f t="shared" si="77"/>
        <v>-8.5403219689832E-2</v>
      </c>
      <c r="N65" s="351">
        <f t="shared" si="77"/>
        <v>-0.11836544354075451</v>
      </c>
      <c r="O65" s="351">
        <f>O64/N64-1</f>
        <v>-5.7422522278888333E-2</v>
      </c>
      <c r="P65" s="467">
        <f t="shared" si="77"/>
        <v>1.0093167726667573E-2</v>
      </c>
      <c r="Q65" s="467">
        <f t="shared" si="77"/>
        <v>-2.9472896487747535E-2</v>
      </c>
      <c r="R65" s="337"/>
      <c r="S65" s="210"/>
      <c r="W65" s="1"/>
      <c r="X65"/>
      <c r="Y65"/>
      <c r="Z65"/>
    </row>
    <row r="66" spans="1:26" s="6" customFormat="1" outlineLevel="1">
      <c r="A66" s="207" t="s">
        <v>153</v>
      </c>
      <c r="B66" s="207" t="s">
        <v>17</v>
      </c>
      <c r="C66" s="282"/>
      <c r="D66" s="347" t="s">
        <v>20</v>
      </c>
      <c r="E66" s="347"/>
      <c r="F66" s="347" t="str">
        <f>'Tourism Medium DB-LCU'!F20</f>
        <v>Thousand</v>
      </c>
      <c r="G66" s="347">
        <v>16454.304</v>
      </c>
      <c r="H66" s="349">
        <f>'Tourism Medium DB-LCU'!H20</f>
        <v>0</v>
      </c>
      <c r="I66" s="349">
        <f>'Tourism Medium DB-LCU'!I20</f>
        <v>0</v>
      </c>
      <c r="J66" s="349">
        <f>'Tourism Medium DB-LCU'!J20</f>
        <v>0</v>
      </c>
      <c r="K66" s="349">
        <f>'Tourism Medium DB-LCU'!K20</f>
        <v>0</v>
      </c>
      <c r="L66" s="349">
        <f>'Tourism Medium DB-LCU'!L20</f>
        <v>0</v>
      </c>
      <c r="M66" s="349" t="e">
        <f>M$62*M72</f>
        <v>#DIV/0!</v>
      </c>
      <c r="N66" s="349" t="e">
        <f>N$62*N72</f>
        <v>#DIV/0!</v>
      </c>
      <c r="O66" s="349" t="e">
        <f>O$62*O72</f>
        <v>#DIV/0!</v>
      </c>
      <c r="P66" s="349" t="e">
        <f>P$62*P72</f>
        <v>#DIV/0!</v>
      </c>
      <c r="Q66" s="349" t="e">
        <f>Q$62*Q72</f>
        <v>#DIV/0!</v>
      </c>
      <c r="R66" s="337" t="e">
        <f>'Tourism Medium DB-LCU'!R20</f>
        <v>#DIV/0!</v>
      </c>
      <c r="S66" s="355" t="e">
        <f>'Tourism Medium DB-LCU'!S20</f>
        <v>#DIV/0!</v>
      </c>
      <c r="W66" s="1"/>
      <c r="X66"/>
      <c r="Y66"/>
      <c r="Z66"/>
    </row>
    <row r="67" spans="1:26" s="6" customFormat="1" outlineLevel="1">
      <c r="A67" s="207"/>
      <c r="B67" s="207"/>
      <c r="C67" s="282"/>
      <c r="D67" s="347"/>
      <c r="E67" s="347"/>
      <c r="F67" s="361" t="s">
        <v>176</v>
      </c>
      <c r="G67" s="361"/>
      <c r="H67" s="351"/>
      <c r="I67" s="351" t="e">
        <f t="shared" ref="I67:Q67" si="78">I66/H66-1</f>
        <v>#DIV/0!</v>
      </c>
      <c r="J67" s="351" t="e">
        <f t="shared" si="78"/>
        <v>#DIV/0!</v>
      </c>
      <c r="K67" s="351" t="e">
        <f t="shared" si="78"/>
        <v>#DIV/0!</v>
      </c>
      <c r="L67" s="351" t="e">
        <f t="shared" si="78"/>
        <v>#DIV/0!</v>
      </c>
      <c r="M67" s="351" t="e">
        <f t="shared" si="78"/>
        <v>#DIV/0!</v>
      </c>
      <c r="N67" s="351" t="e">
        <f t="shared" si="78"/>
        <v>#DIV/0!</v>
      </c>
      <c r="O67" s="351" t="e">
        <f t="shared" si="78"/>
        <v>#DIV/0!</v>
      </c>
      <c r="P67" s="351" t="e">
        <f t="shared" si="78"/>
        <v>#DIV/0!</v>
      </c>
      <c r="Q67" s="351" t="e">
        <f t="shared" si="78"/>
        <v>#DIV/0!</v>
      </c>
      <c r="R67" s="337"/>
      <c r="S67" s="210"/>
      <c r="W67" s="1"/>
      <c r="X67"/>
      <c r="Y67"/>
      <c r="Z67"/>
    </row>
    <row r="68" spans="1:26" s="6" customFormat="1" outlineLevel="1">
      <c r="A68" s="207" t="s">
        <v>153</v>
      </c>
      <c r="B68" s="207" t="s">
        <v>17</v>
      </c>
      <c r="C68" s="282"/>
      <c r="D68" s="347" t="s">
        <v>21</v>
      </c>
      <c r="E68" s="347"/>
      <c r="F68" s="347" t="str">
        <f>'Tourism Medium DB-LCU'!F21</f>
        <v>Thousand</v>
      </c>
      <c r="G68" s="347">
        <v>10050.696</v>
      </c>
      <c r="H68" s="349">
        <f>'Tourism Medium DB-LCU'!H21</f>
        <v>0</v>
      </c>
      <c r="I68" s="349">
        <f>'Tourism Medium DB-LCU'!I21</f>
        <v>0</v>
      </c>
      <c r="J68" s="349">
        <f>'Tourism Medium DB-LCU'!J21</f>
        <v>0</v>
      </c>
      <c r="K68" s="349">
        <f>'Tourism Medium DB-LCU'!K21</f>
        <v>0</v>
      </c>
      <c r="L68" s="349">
        <f>'Tourism Medium DB-LCU'!L21</f>
        <v>0</v>
      </c>
      <c r="M68" s="349" t="e">
        <f>M$62*M74</f>
        <v>#DIV/0!</v>
      </c>
      <c r="N68" s="349" t="e">
        <f>N$62*N74</f>
        <v>#DIV/0!</v>
      </c>
      <c r="O68" s="349" t="e">
        <f>O$62*O74</f>
        <v>#DIV/0!</v>
      </c>
      <c r="P68" s="349" t="e">
        <f>P$62*P74</f>
        <v>#DIV/0!</v>
      </c>
      <c r="Q68" s="349" t="e">
        <f>Q$62*Q74</f>
        <v>#DIV/0!</v>
      </c>
      <c r="R68" s="337" t="e">
        <f>'Tourism Medium DB-LCU'!R21</f>
        <v>#DIV/0!</v>
      </c>
      <c r="S68" s="355" t="e">
        <f>'Tourism Medium DB-LCU'!S21</f>
        <v>#DIV/0!</v>
      </c>
      <c r="W68" s="1"/>
      <c r="X68"/>
      <c r="Y68"/>
      <c r="Z68"/>
    </row>
    <row r="69" spans="1:26" s="6" customFormat="1" outlineLevel="1">
      <c r="A69" s="207"/>
      <c r="B69" s="207"/>
      <c r="C69" s="282"/>
      <c r="D69" s="347"/>
      <c r="E69" s="347"/>
      <c r="F69" s="361" t="s">
        <v>176</v>
      </c>
      <c r="G69" s="361"/>
      <c r="H69" s="351"/>
      <c r="I69" s="351" t="e">
        <f t="shared" ref="I69:Q69" si="79">I68/H68-1</f>
        <v>#DIV/0!</v>
      </c>
      <c r="J69" s="351" t="e">
        <f t="shared" si="79"/>
        <v>#DIV/0!</v>
      </c>
      <c r="K69" s="351" t="e">
        <f t="shared" si="79"/>
        <v>#DIV/0!</v>
      </c>
      <c r="L69" s="351" t="e">
        <f t="shared" si="79"/>
        <v>#DIV/0!</v>
      </c>
      <c r="M69" s="351" t="e">
        <f t="shared" si="79"/>
        <v>#DIV/0!</v>
      </c>
      <c r="N69" s="351" t="e">
        <f t="shared" si="79"/>
        <v>#DIV/0!</v>
      </c>
      <c r="O69" s="351" t="e">
        <f t="shared" si="79"/>
        <v>#DIV/0!</v>
      </c>
      <c r="P69" s="351" t="e">
        <f t="shared" si="79"/>
        <v>#DIV/0!</v>
      </c>
      <c r="Q69" s="351" t="e">
        <f t="shared" si="79"/>
        <v>#DIV/0!</v>
      </c>
      <c r="R69" s="337"/>
      <c r="S69" s="210"/>
      <c r="W69" s="1"/>
      <c r="X69"/>
      <c r="Y69"/>
      <c r="Z69"/>
    </row>
    <row r="70" spans="1:26" s="6" customFormat="1" outlineLevel="1">
      <c r="A70" s="207"/>
      <c r="B70" s="207"/>
      <c r="C70" s="282"/>
      <c r="D70" s="347" t="s">
        <v>19</v>
      </c>
      <c r="E70" s="347"/>
      <c r="F70" s="347"/>
      <c r="G70" s="347"/>
      <c r="H70" s="352">
        <f>H64/H$62</f>
        <v>1.7675153286769302E-2</v>
      </c>
      <c r="I70" s="352">
        <f>I64/I$62</f>
        <v>1.5178116789487633E-2</v>
      </c>
      <c r="J70" s="352">
        <f>J64/J$62</f>
        <v>9.5403261696492148E-3</v>
      </c>
      <c r="K70" s="352">
        <f>K64/K$62</f>
        <v>7.0556943965456153E-3</v>
      </c>
      <c r="L70" s="352">
        <f>L64/L$62</f>
        <v>9.4591944550439198E-3</v>
      </c>
      <c r="M70" s="367">
        <f>L70*(1+(((L70/H70)^(1/4))-1)*0.3)</f>
        <v>9.0485946826092331E-3</v>
      </c>
      <c r="N70" s="367">
        <f>M70*(1+(((M70/I70)^(1/4))-1)*0.9)</f>
        <v>8.0607626464419199E-3</v>
      </c>
      <c r="O70" s="367">
        <f>N70*(1+(((N70/J70)^(1/4))-1)*1.1)</f>
        <v>7.6949634692382203E-3</v>
      </c>
      <c r="P70" s="367">
        <f>O70*(1+(((O70/K70)^(1/4))-1)*1.5)</f>
        <v>7.9479684716816743E-3</v>
      </c>
      <c r="Q70" s="367">
        <f>P70*(1+(((P70/L70)^(1/4))-1)*0.2)</f>
        <v>7.8802765639894891E-3</v>
      </c>
      <c r="R70" s="337"/>
      <c r="S70" s="210"/>
      <c r="W70" s="1"/>
      <c r="X70"/>
      <c r="Y70"/>
      <c r="Z70"/>
    </row>
    <row r="71" spans="1:26" s="6" customFormat="1" outlineLevel="1">
      <c r="A71" s="207"/>
      <c r="B71" s="207"/>
      <c r="C71" s="282"/>
      <c r="D71" s="347"/>
      <c r="E71" s="347"/>
      <c r="F71" s="347"/>
      <c r="G71" s="661"/>
      <c r="H71" s="353"/>
      <c r="I71" s="352"/>
      <c r="J71" s="352"/>
      <c r="K71" s="352"/>
      <c r="L71" s="352"/>
      <c r="M71" s="354"/>
      <c r="N71" s="354"/>
      <c r="O71" s="354"/>
      <c r="P71" s="354"/>
      <c r="Q71" s="354"/>
      <c r="R71" s="337"/>
      <c r="S71" s="210"/>
      <c r="W71" s="1"/>
      <c r="X71"/>
      <c r="Y71"/>
      <c r="Z71"/>
    </row>
    <row r="72" spans="1:26" s="6" customFormat="1" outlineLevel="1">
      <c r="A72" s="207"/>
      <c r="B72" s="207"/>
      <c r="C72" s="282"/>
      <c r="D72" s="347" t="s">
        <v>20</v>
      </c>
      <c r="E72" s="347"/>
      <c r="F72" s="347"/>
      <c r="G72" s="347"/>
      <c r="H72" s="352">
        <f>H66/H$62</f>
        <v>0</v>
      </c>
      <c r="I72" s="352">
        <f>I66/I$62</f>
        <v>0</v>
      </c>
      <c r="J72" s="352">
        <f>J66/J$62</f>
        <v>0</v>
      </c>
      <c r="K72" s="352">
        <f>K66/K$62</f>
        <v>0</v>
      </c>
      <c r="L72" s="352">
        <f>L66/L$62</f>
        <v>0</v>
      </c>
      <c r="M72" s="367" t="e">
        <f>L72*(1+(((L72/H72)^(1/4))-1)*0.01)</f>
        <v>#DIV/0!</v>
      </c>
      <c r="N72" s="367" t="e">
        <f t="shared" ref="N72:Q72" si="80">M72*(1+(((M72/I72)^(1/4))-1)*0.01)</f>
        <v>#DIV/0!</v>
      </c>
      <c r="O72" s="367" t="e">
        <f t="shared" si="80"/>
        <v>#DIV/0!</v>
      </c>
      <c r="P72" s="367" t="e">
        <f t="shared" si="80"/>
        <v>#DIV/0!</v>
      </c>
      <c r="Q72" s="367" t="e">
        <f t="shared" si="80"/>
        <v>#DIV/0!</v>
      </c>
      <c r="R72" s="337"/>
      <c r="S72" s="210"/>
      <c r="W72" s="1"/>
      <c r="X72"/>
      <c r="Y72"/>
      <c r="Z72"/>
    </row>
    <row r="73" spans="1:26" s="6" customFormat="1" outlineLevel="1">
      <c r="A73" s="207"/>
      <c r="B73" s="207"/>
      <c r="C73" s="282"/>
      <c r="D73" s="347"/>
      <c r="E73" s="347"/>
      <c r="F73" s="347"/>
      <c r="G73" s="347"/>
      <c r="H73" s="353"/>
      <c r="I73" s="352"/>
      <c r="J73" s="352"/>
      <c r="K73" s="352"/>
      <c r="L73" s="352"/>
      <c r="M73" s="354"/>
      <c r="N73" s="354"/>
      <c r="O73" s="354"/>
      <c r="P73" s="354"/>
      <c r="Q73" s="354"/>
      <c r="R73" s="337"/>
      <c r="S73" s="210"/>
      <c r="W73" s="1"/>
      <c r="X73"/>
      <c r="Y73"/>
      <c r="Z73"/>
    </row>
    <row r="74" spans="1:26" s="6" customFormat="1" outlineLevel="1">
      <c r="A74" s="207"/>
      <c r="B74" s="207"/>
      <c r="C74" s="282"/>
      <c r="D74" s="347" t="s">
        <v>21</v>
      </c>
      <c r="E74" s="347"/>
      <c r="F74" s="347"/>
      <c r="G74" s="347"/>
      <c r="H74" s="352">
        <f t="shared" ref="H74:L74" si="81">1-SUM(H72,H70)</f>
        <v>0.98232484671323073</v>
      </c>
      <c r="I74" s="352">
        <f t="shared" si="81"/>
        <v>0.98482188321051234</v>
      </c>
      <c r="J74" s="352">
        <f t="shared" si="81"/>
        <v>0.99045967383035083</v>
      </c>
      <c r="K74" s="352">
        <f t="shared" si="81"/>
        <v>0.99294430560345437</v>
      </c>
      <c r="L74" s="352">
        <f t="shared" si="81"/>
        <v>0.99054080554495605</v>
      </c>
      <c r="M74" s="379" t="e">
        <f>1-SUM(M72,M70)</f>
        <v>#DIV/0!</v>
      </c>
      <c r="N74" s="379" t="e">
        <f>1-SUM(N72,N70)</f>
        <v>#DIV/0!</v>
      </c>
      <c r="O74" s="379" t="e">
        <f>1-SUM(O72,O70)</f>
        <v>#DIV/0!</v>
      </c>
      <c r="P74" s="379" t="e">
        <f>1-SUM(P72,P70)</f>
        <v>#DIV/0!</v>
      </c>
      <c r="Q74" s="379" t="e">
        <f>1-SUM(Q72,Q70)</f>
        <v>#DIV/0!</v>
      </c>
      <c r="R74" s="337"/>
      <c r="S74" s="210"/>
      <c r="W74" s="1"/>
      <c r="X74"/>
      <c r="Y74"/>
      <c r="Z74"/>
    </row>
    <row r="75" spans="1:26" s="6" customFormat="1">
      <c r="A75" s="284" t="str">
        <f>'[3]TDF-Secondary cum Calculation'!A242</f>
        <v>Tunisia</v>
      </c>
      <c r="B75" s="284" t="str">
        <f>'[3]TDF-Secondary cum Calculation'!B242</f>
        <v>Tourism Flows</v>
      </c>
      <c r="C75" s="286"/>
      <c r="D75" s="286"/>
      <c r="E75" s="286"/>
      <c r="F75" s="286"/>
      <c r="G75" s="286"/>
      <c r="H75" s="291"/>
      <c r="I75" s="291"/>
      <c r="J75" s="291"/>
      <c r="K75" s="291"/>
      <c r="L75" s="291"/>
      <c r="M75" s="291"/>
      <c r="N75" s="291"/>
      <c r="O75" s="291"/>
      <c r="P75" s="291"/>
      <c r="Q75" s="291"/>
      <c r="R75" s="329"/>
      <c r="S75" s="329"/>
      <c r="W75" s="1"/>
      <c r="X75"/>
      <c r="Y75"/>
      <c r="Z75"/>
    </row>
    <row r="76" spans="1:26">
      <c r="A76" s="284" t="str">
        <f>'[3]TDF-Secondary cum Calculation'!A376</f>
        <v>Tunisia</v>
      </c>
      <c r="B76" s="285" t="str">
        <f>'[3]TDF-Secondary cum Calculation'!B376</f>
        <v>Tourism Flows</v>
      </c>
      <c r="C76" s="284" t="str">
        <f>'[3]TDF-Secondary cum Calculation'!C376</f>
        <v>International Arrivals by Place of Origin</v>
      </c>
      <c r="D76" s="286"/>
      <c r="E76" s="286"/>
      <c r="F76" s="284" t="str">
        <f>'[3]TDF-Secondary cum Calculation'!J376</f>
        <v>Thousand</v>
      </c>
      <c r="G76" s="284"/>
      <c r="H76" s="340">
        <f>'Tourism Medium DB-LCU'!H22</f>
        <v>8717.646556833155</v>
      </c>
      <c r="I76" s="340">
        <f>'Tourism Medium DB-LCU'!I22</f>
        <v>9244.2489954946413</v>
      </c>
      <c r="J76" s="340">
        <f>'Tourism Medium DB-LCU'!J22</f>
        <v>9353.6700759870073</v>
      </c>
      <c r="K76" s="340">
        <f>'Tourism Medium DB-LCU'!K22</f>
        <v>9959.1190000000006</v>
      </c>
      <c r="L76" s="340">
        <f>'Tourism Medium DB-LCU'!L22</f>
        <v>10913.915999999999</v>
      </c>
      <c r="M76" s="340">
        <f>'Tourism Medium DB-LCU'!M22</f>
        <v>11543.224747546275</v>
      </c>
      <c r="N76" s="340">
        <f>'Tourism Medium DB-LCU'!N22</f>
        <v>12121.058448030881</v>
      </c>
      <c r="O76" s="340">
        <f>'Tourism Medium DB-LCU'!O22</f>
        <v>12724.036091365158</v>
      </c>
      <c r="P76" s="340">
        <f>'Tourism Medium DB-LCU'!P22</f>
        <v>13353.985537537084</v>
      </c>
      <c r="Q76" s="340">
        <f>'Tourism Medium DB-LCU'!Q22</f>
        <v>13942.947242026106</v>
      </c>
      <c r="R76" s="787">
        <f>'Tourism Medium DB-LCU'!R22</f>
        <v>5.7779966086145773E-2</v>
      </c>
      <c r="S76" s="787">
        <f>'Tourism Medium DB-LCU'!S22</f>
        <v>4.8351348449297227E-2</v>
      </c>
    </row>
    <row r="77" spans="1:26" s="6" customFormat="1">
      <c r="A77" s="286"/>
      <c r="B77" s="286"/>
      <c r="C77" s="290" t="str">
        <f>'[3]TDF-Secondary cum Calculation'!C377</f>
        <v>Growth Rate</v>
      </c>
      <c r="D77" s="290"/>
      <c r="E77" s="290"/>
      <c r="F77" s="290" t="str">
        <f>'[3]TDF-Secondary cum Calculation'!J377</f>
        <v>%</v>
      </c>
      <c r="G77" s="290"/>
      <c r="H77" s="292"/>
      <c r="I77" s="292">
        <f t="shared" ref="I77:Q77" si="82">I76/H76-1</f>
        <v>6.0406491044159072E-2</v>
      </c>
      <c r="J77" s="292">
        <f t="shared" si="82"/>
        <v>1.183666521160287E-2</v>
      </c>
      <c r="K77" s="292">
        <f t="shared" si="82"/>
        <v>6.4728488293308351E-2</v>
      </c>
      <c r="L77" s="292">
        <f t="shared" si="82"/>
        <v>9.5871632822140063E-2</v>
      </c>
      <c r="M77" s="292">
        <f t="shared" si="82"/>
        <v>5.766113167320297E-2</v>
      </c>
      <c r="N77" s="292">
        <f t="shared" si="82"/>
        <v>5.0058256087185171E-2</v>
      </c>
      <c r="O77" s="292">
        <f t="shared" si="82"/>
        <v>4.9746286260358152E-2</v>
      </c>
      <c r="P77" s="292">
        <f t="shared" si="82"/>
        <v>4.9508618307002816E-2</v>
      </c>
      <c r="Q77" s="292">
        <f t="shared" si="82"/>
        <v>4.4103814762528559E-2</v>
      </c>
      <c r="R77" s="328"/>
      <c r="S77" s="328"/>
      <c r="W77" s="1"/>
      <c r="X77"/>
      <c r="Y77"/>
      <c r="Z77"/>
    </row>
    <row r="78" spans="1:26" s="6" customFormat="1">
      <c r="A78" s="284" t="str">
        <f>'[3]TDF-Secondary cum Calculation'!A378</f>
        <v>Tunisia</v>
      </c>
      <c r="B78" s="285" t="str">
        <f>'[3]TDF-Secondary cum Calculation'!B378</f>
        <v>Tourism Flows</v>
      </c>
      <c r="C78" s="285" t="str">
        <f>'[3]TDF-Secondary cum Calculation'!C378</f>
        <v>International Arrivals by Place of Origin</v>
      </c>
      <c r="D78" s="284" t="str">
        <f>'[3]TDF-Secondary cum Calculation'!D378</f>
        <v>Africa</v>
      </c>
      <c r="E78" s="286"/>
      <c r="F78" s="284" t="str">
        <f>'[3]TDF-Secondary cum Calculation'!J378</f>
        <v>Thousand</v>
      </c>
      <c r="G78" s="284"/>
      <c r="H78" s="340">
        <f>'Tourism Medium DB-LCU'!H23</f>
        <v>28.294271514968301</v>
      </c>
      <c r="I78" s="340">
        <f>'Tourism Medium DB-LCU'!I23</f>
        <v>30.144787051452624</v>
      </c>
      <c r="J78" s="340">
        <f>'Tourism Medium DB-LCU'!J23</f>
        <v>30.733104006390946</v>
      </c>
      <c r="K78" s="340">
        <f>'Tourism Medium DB-LCU'!K23</f>
        <v>32.809878272139187</v>
      </c>
      <c r="L78" s="340">
        <f>'Tourism Medium DB-LCU'!L23</f>
        <v>36.084965170420752</v>
      </c>
      <c r="M78" s="287">
        <f>L78*(1+M79)</f>
        <v>38.313372357950932</v>
      </c>
      <c r="N78" s="287">
        <f>M78*(1+N79)</f>
        <v>40.598624758423817</v>
      </c>
      <c r="O78" s="287">
        <f>N78*(1+O79)</f>
        <v>43.134292182954624</v>
      </c>
      <c r="P78" s="287">
        <f>O78*(1+P79)</f>
        <v>45.415289721960725</v>
      </c>
      <c r="Q78" s="287">
        <f>P78*(1+Q79)</f>
        <v>47.364177114787459</v>
      </c>
      <c r="R78" s="329">
        <f>'Tourism Medium DB-LCU'!R23</f>
        <v>6.2690855382214528E-2</v>
      </c>
      <c r="S78" s="329">
        <f>'Tourism Medium DB-LCU'!S23</f>
        <v>5.5904744261138672E-2</v>
      </c>
      <c r="T78" s="70"/>
      <c r="U78" s="289"/>
      <c r="W78" s="1"/>
      <c r="X78"/>
      <c r="Y78"/>
      <c r="Z78"/>
    </row>
    <row r="79" spans="1:26" s="6" customFormat="1">
      <c r="A79" s="286"/>
      <c r="B79" s="286"/>
      <c r="C79" s="290" t="str">
        <f>'[3]TDF-Secondary cum Calculation'!C379</f>
        <v>Growth Rate</v>
      </c>
      <c r="D79" s="290"/>
      <c r="E79" s="290"/>
      <c r="F79" s="290" t="str">
        <f>'[3]TDF-Secondary cum Calculation'!J379</f>
        <v>%</v>
      </c>
      <c r="G79" s="290"/>
      <c r="H79" s="292"/>
      <c r="I79" s="292">
        <f>I78/H78-1</f>
        <v>6.5402480339716851E-2</v>
      </c>
      <c r="J79" s="292">
        <f>J78/I78-1</f>
        <v>1.9516374553721461E-2</v>
      </c>
      <c r="K79" s="292">
        <f>K78/J78-1</f>
        <v>6.7574504199653163E-2</v>
      </c>
      <c r="L79" s="292">
        <f>L78/K78-1</f>
        <v>9.9820147795629977E-2</v>
      </c>
      <c r="M79" s="292">
        <f>((L78/I78)^(1/3)-1)*0.999+0.001*($E$81*M82+$E$83*M84+$E$85*M86)</f>
        <v>6.1754450281604624E-2</v>
      </c>
      <c r="N79" s="292">
        <f>((M78/J78)^(1/3)-1)*0.39+0.61*($E$81*N82+$E$83*N84+$E$85*N86)</f>
        <v>5.9646339119470378E-2</v>
      </c>
      <c r="O79" s="292">
        <f>((N78/K78)^(1/3)-1)*0.7+0.3*($E$81*O82+$E$83*O84+$E$85*O86)</f>
        <v>6.2456978274976753E-2</v>
      </c>
      <c r="P79" s="292">
        <f>((O78/L78)^(1/3)-1)*0.65+0.35*($E$81*P82+$E$83*P84+$E$85*P86)</f>
        <v>5.2881302174409686E-2</v>
      </c>
      <c r="Q79" s="292">
        <f>((P78/M78)^(1/3)-1)*0.4+0.6*($E$81*Q82+$E$83*Q84+$E$85*Q86)</f>
        <v>4.2912583069669233E-2</v>
      </c>
      <c r="R79" s="328"/>
      <c r="S79" s="328"/>
      <c r="W79" s="1"/>
      <c r="X79"/>
      <c r="Y79"/>
      <c r="Z79"/>
    </row>
    <row r="80" spans="1:26" s="6" customFormat="1" hidden="1" outlineLevel="1">
      <c r="A80" s="195"/>
      <c r="B80" s="195"/>
      <c r="C80" s="195"/>
      <c r="D80" s="196" t="s">
        <v>351</v>
      </c>
      <c r="E80" s="197" t="s">
        <v>352</v>
      </c>
      <c r="F80" s="197"/>
      <c r="G80" s="197"/>
      <c r="H80" s="200"/>
      <c r="I80" s="200"/>
      <c r="J80" s="200"/>
      <c r="K80" s="200"/>
      <c r="L80" s="200"/>
      <c r="M80" s="200"/>
      <c r="N80" s="200"/>
      <c r="O80" s="200"/>
      <c r="P80" s="200"/>
      <c r="Q80" s="200"/>
      <c r="R80" s="331"/>
      <c r="S80" s="331"/>
      <c r="W80" s="1"/>
      <c r="X80"/>
      <c r="Y80"/>
      <c r="Z80"/>
    </row>
    <row r="81" spans="1:26" s="6" customFormat="1" ht="15.75" hidden="1" customHeight="1" outlineLevel="1">
      <c r="A81" s="25"/>
      <c r="B81" s="25"/>
      <c r="C81" s="25"/>
      <c r="D81" s="25" t="s">
        <v>408</v>
      </c>
      <c r="E81" s="41">
        <v>0.6</v>
      </c>
      <c r="F81" s="25"/>
      <c r="G81" s="25"/>
      <c r="H81" s="26">
        <f t="shared" ref="H81:P81" si="83">H290</f>
        <v>0.35599999999999998</v>
      </c>
      <c r="I81" s="26">
        <f t="shared" si="83"/>
        <v>0.317</v>
      </c>
      <c r="J81" s="26">
        <f t="shared" si="83"/>
        <v>0.34799999999999998</v>
      </c>
      <c r="K81" s="26">
        <f t="shared" si="83"/>
        <v>0.40300000000000002</v>
      </c>
      <c r="L81" s="26">
        <f t="shared" si="83"/>
        <v>0.39500000000000002</v>
      </c>
      <c r="M81" s="26">
        <f t="shared" si="83"/>
        <v>0.40799999999999997</v>
      </c>
      <c r="N81" s="26">
        <f t="shared" si="83"/>
        <v>0.42299999999999999</v>
      </c>
      <c r="O81" s="26">
        <f t="shared" si="83"/>
        <v>0.435</v>
      </c>
      <c r="P81" s="26">
        <f t="shared" si="83"/>
        <v>0.44800000000000001</v>
      </c>
      <c r="Q81" s="26">
        <f>Q290</f>
        <v>0.46</v>
      </c>
      <c r="R81" s="332"/>
      <c r="S81" s="334"/>
      <c r="W81" s="1"/>
      <c r="X81"/>
      <c r="Y81"/>
      <c r="Z81"/>
    </row>
    <row r="82" spans="1:26" s="6" customFormat="1" ht="15.75" hidden="1" customHeight="1" outlineLevel="1">
      <c r="A82" s="28"/>
      <c r="B82" s="28"/>
      <c r="C82" s="28"/>
      <c r="D82" s="28" t="s">
        <v>184</v>
      </c>
      <c r="E82" s="28"/>
      <c r="F82" s="28"/>
      <c r="G82" s="28"/>
      <c r="H82" s="29"/>
      <c r="I82" s="29">
        <f t="shared" ref="I82:P82" si="84">I81/H81-1</f>
        <v>-0.1095505617977528</v>
      </c>
      <c r="J82" s="29">
        <f t="shared" si="84"/>
        <v>9.7791798107255357E-2</v>
      </c>
      <c r="K82" s="29">
        <f t="shared" si="84"/>
        <v>0.15804597701149437</v>
      </c>
      <c r="L82" s="29">
        <f t="shared" si="84"/>
        <v>-1.9851116625310139E-2</v>
      </c>
      <c r="M82" s="29">
        <f t="shared" si="84"/>
        <v>3.2911392405063244E-2</v>
      </c>
      <c r="N82" s="29">
        <f t="shared" si="84"/>
        <v>3.6764705882353033E-2</v>
      </c>
      <c r="O82" s="29">
        <f t="shared" si="84"/>
        <v>2.8368794326241176E-2</v>
      </c>
      <c r="P82" s="29">
        <f t="shared" si="84"/>
        <v>2.9885057471264354E-2</v>
      </c>
      <c r="Q82" s="29">
        <f>Q81/P81-1</f>
        <v>2.6785714285714413E-2</v>
      </c>
      <c r="R82" s="332">
        <f>CORREL(J81:L81,J$79:L$79)</f>
        <v>0.8549093417467073</v>
      </c>
      <c r="S82" s="335"/>
      <c r="W82" s="1"/>
      <c r="X82"/>
      <c r="Y82"/>
      <c r="Z82"/>
    </row>
    <row r="83" spans="1:26" s="6" customFormat="1" ht="15.75" hidden="1" customHeight="1" outlineLevel="1">
      <c r="A83" s="25"/>
      <c r="B83" s="25"/>
      <c r="C83" s="25"/>
      <c r="D83" s="25" t="s">
        <v>409</v>
      </c>
      <c r="E83" s="41">
        <v>0.3</v>
      </c>
      <c r="F83" s="25"/>
      <c r="G83" s="25"/>
      <c r="H83" s="26">
        <f t="shared" ref="H83:P83" si="85">H292</f>
        <v>46.375999999999998</v>
      </c>
      <c r="I83" s="26">
        <f t="shared" si="85"/>
        <v>42.408999999999999</v>
      </c>
      <c r="J83" s="26">
        <f t="shared" si="85"/>
        <v>46.771999999999998</v>
      </c>
      <c r="K83" s="26">
        <f t="shared" si="85"/>
        <v>55.003</v>
      </c>
      <c r="L83" s="26">
        <f t="shared" si="85"/>
        <v>56.588000000000001</v>
      </c>
      <c r="M83" s="26">
        <f t="shared" si="85"/>
        <v>58.281999999999996</v>
      </c>
      <c r="N83" s="26">
        <f t="shared" si="85"/>
        <v>62.168999999999997</v>
      </c>
      <c r="O83" s="26">
        <f t="shared" si="85"/>
        <v>65.19</v>
      </c>
      <c r="P83" s="26">
        <f t="shared" si="85"/>
        <v>68.13</v>
      </c>
      <c r="Q83" s="26">
        <f>Q292</f>
        <v>71.046000000000006</v>
      </c>
      <c r="R83" s="332"/>
      <c r="S83" s="334"/>
      <c r="W83" s="1"/>
      <c r="X83"/>
      <c r="Y83"/>
      <c r="Z83"/>
    </row>
    <row r="84" spans="1:26" s="6" customFormat="1" ht="15.75" hidden="1" customHeight="1" outlineLevel="1">
      <c r="A84" s="28"/>
      <c r="B84" s="28"/>
      <c r="C84" s="28"/>
      <c r="D84" s="28" t="s">
        <v>184</v>
      </c>
      <c r="E84" s="28"/>
      <c r="F84" s="28"/>
      <c r="G84" s="28"/>
      <c r="H84" s="29"/>
      <c r="I84" s="29">
        <f t="shared" ref="I84:P84" si="86">I83/H83-1</f>
        <v>-8.5539934448852883E-2</v>
      </c>
      <c r="J84" s="29">
        <f t="shared" si="86"/>
        <v>0.10287910585017324</v>
      </c>
      <c r="K84" s="29">
        <f t="shared" si="86"/>
        <v>0.17598135636705736</v>
      </c>
      <c r="L84" s="29">
        <f t="shared" si="86"/>
        <v>2.8816610003090659E-2</v>
      </c>
      <c r="M84" s="29">
        <f t="shared" si="86"/>
        <v>2.9935675408213624E-2</v>
      </c>
      <c r="N84" s="29">
        <f t="shared" si="86"/>
        <v>6.669297553275455E-2</v>
      </c>
      <c r="O84" s="29">
        <f t="shared" si="86"/>
        <v>4.8593350383631773E-2</v>
      </c>
      <c r="P84" s="29">
        <f t="shared" si="86"/>
        <v>4.5098941555453242E-2</v>
      </c>
      <c r="Q84" s="29">
        <f>Q83/P83-1</f>
        <v>4.2800528401585325E-2</v>
      </c>
      <c r="R84" s="332">
        <f>CORREL(H83:K83,H$79:K$79)</f>
        <v>0.21385721429581317</v>
      </c>
      <c r="S84" s="335"/>
      <c r="W84" s="1"/>
      <c r="X84"/>
      <c r="Y84"/>
      <c r="Z84"/>
    </row>
    <row r="85" spans="1:26" s="6" customFormat="1" ht="15.75" hidden="1" customHeight="1" outlineLevel="1">
      <c r="A85" s="25"/>
      <c r="B85" s="25"/>
      <c r="C85" s="25"/>
      <c r="D85" s="25" t="s">
        <v>410</v>
      </c>
      <c r="E85" s="41">
        <f>1-SUM(E83,E81)</f>
        <v>0.10000000000000009</v>
      </c>
      <c r="F85" s="25"/>
      <c r="G85" s="25"/>
      <c r="H85" s="26">
        <f t="shared" ref="H85:P85" si="87">H294</f>
        <v>2.9830000000000001</v>
      </c>
      <c r="I85" s="26">
        <f t="shared" si="87"/>
        <v>2.0310000000000001</v>
      </c>
      <c r="J85" s="26">
        <f t="shared" si="87"/>
        <v>2.5499999999999998</v>
      </c>
      <c r="K85" s="26">
        <f t="shared" si="87"/>
        <v>2.7930000000000001</v>
      </c>
      <c r="L85" s="26">
        <f t="shared" si="87"/>
        <v>2.9889999999999999</v>
      </c>
      <c r="M85" s="26">
        <f t="shared" si="87"/>
        <v>2.9590000000000001</v>
      </c>
      <c r="N85" s="26">
        <f t="shared" si="87"/>
        <v>3.165</v>
      </c>
      <c r="O85" s="26">
        <f t="shared" si="87"/>
        <v>3.32</v>
      </c>
      <c r="P85" s="26">
        <f t="shared" si="87"/>
        <v>3.5129999999999999</v>
      </c>
      <c r="Q85" s="26">
        <f>Q294</f>
        <v>3.6440000000000001</v>
      </c>
      <c r="R85" s="332"/>
      <c r="S85" s="334"/>
      <c r="W85" s="1"/>
      <c r="X85"/>
      <c r="Y85"/>
      <c r="Z85"/>
    </row>
    <row r="86" spans="1:26" s="6" customFormat="1" ht="15.75" hidden="1" customHeight="1" outlineLevel="1">
      <c r="A86" s="28"/>
      <c r="B86" s="28"/>
      <c r="C86" s="28"/>
      <c r="D86" s="28" t="s">
        <v>184</v>
      </c>
      <c r="E86" s="28"/>
      <c r="F86" s="28"/>
      <c r="G86" s="28"/>
      <c r="H86" s="29"/>
      <c r="I86" s="29">
        <f t="shared" ref="I86:P86" si="88">I85/H85-1</f>
        <v>-0.31914180355346966</v>
      </c>
      <c r="J86" s="29">
        <f t="shared" si="88"/>
        <v>0.25553914327917271</v>
      </c>
      <c r="K86" s="29">
        <f t="shared" si="88"/>
        <v>9.5294117647058973E-2</v>
      </c>
      <c r="L86" s="29">
        <f t="shared" si="88"/>
        <v>7.0175438596491224E-2</v>
      </c>
      <c r="M86" s="29">
        <f t="shared" si="88"/>
        <v>-1.0036801605888157E-2</v>
      </c>
      <c r="N86" s="29">
        <f t="shared" si="88"/>
        <v>6.9618114227779637E-2</v>
      </c>
      <c r="O86" s="29">
        <f t="shared" si="88"/>
        <v>4.8973143759873494E-2</v>
      </c>
      <c r="P86" s="29">
        <f t="shared" si="88"/>
        <v>5.8132530120482029E-2</v>
      </c>
      <c r="Q86" s="29">
        <f>Q85/P85-1</f>
        <v>3.729006547110747E-2</v>
      </c>
      <c r="R86" s="332">
        <f>CORREL(H85:L85,H$78:L$78)</f>
        <v>0.33243788231477189</v>
      </c>
      <c r="S86" s="335"/>
      <c r="W86" s="1"/>
      <c r="X86"/>
      <c r="Y86"/>
      <c r="Z86"/>
    </row>
    <row r="87" spans="1:26" s="6" customFormat="1" hidden="1" outlineLevel="1">
      <c r="A87" s="305"/>
      <c r="B87" s="225"/>
      <c r="C87" s="25"/>
      <c r="D87" s="306" t="s">
        <v>188</v>
      </c>
      <c r="E87" s="313">
        <f>E81+E83+E85</f>
        <v>1</v>
      </c>
      <c r="F87" s="25"/>
      <c r="G87" s="25"/>
      <c r="H87" s="25"/>
      <c r="I87" s="25"/>
      <c r="J87" s="25"/>
      <c r="K87" s="25"/>
      <c r="L87" s="25"/>
      <c r="M87" s="25"/>
      <c r="N87" s="25"/>
      <c r="O87" s="25"/>
      <c r="P87" s="25"/>
      <c r="Q87" s="25"/>
      <c r="R87" s="336">
        <f>R86+R84+R82</f>
        <v>1.4012044383572924</v>
      </c>
      <c r="S87" s="334"/>
      <c r="W87" s="1"/>
      <c r="X87"/>
      <c r="Y87"/>
      <c r="Z87"/>
    </row>
    <row r="88" spans="1:26" s="6" customFormat="1" collapsed="1">
      <c r="A88" s="284" t="str">
        <f>'[3]TDF-Secondary cum Calculation'!A490</f>
        <v>Tunisia</v>
      </c>
      <c r="B88" s="285" t="str">
        <f>'[3]TDF-Secondary cum Calculation'!B490</f>
        <v>Tourism Flows</v>
      </c>
      <c r="C88" s="285" t="str">
        <f>'[3]TDF-Secondary cum Calculation'!C490</f>
        <v>International Arrivals by Place of Origin</v>
      </c>
      <c r="D88" s="284" t="str">
        <f>'[3]TDF-Secondary cum Calculation'!D490</f>
        <v>Asia-Pacific</v>
      </c>
      <c r="E88" s="286"/>
      <c r="F88" s="286" t="str">
        <f>'[3]TDF-Secondary cum Calculation'!J490</f>
        <v>Thousand</v>
      </c>
      <c r="G88" s="286"/>
      <c r="H88" s="287">
        <f>'Tourism Medium DB-LCU'!H24</f>
        <v>318.04157587558427</v>
      </c>
      <c r="I88" s="287">
        <f>'Tourism Medium DB-LCU'!I24</f>
        <v>337.94103012077073</v>
      </c>
      <c r="J88" s="287">
        <f>'Tourism Medium DB-LCU'!J24</f>
        <v>342.54838465105053</v>
      </c>
      <c r="K88" s="287">
        <f>'Tourism Medium DB-LCU'!K24</f>
        <v>367.65066458663881</v>
      </c>
      <c r="L88" s="287">
        <f>'Tourism Medium DB-LCU'!L24</f>
        <v>407.2371278291526</v>
      </c>
      <c r="M88" s="287">
        <f t="shared" ref="M88:P88" si="89">L88*(1+M89)</f>
        <v>432.77010401946814</v>
      </c>
      <c r="N88" s="287">
        <f t="shared" si="89"/>
        <v>458.46060435633109</v>
      </c>
      <c r="O88" s="287">
        <f t="shared" si="89"/>
        <v>482.25482199582171</v>
      </c>
      <c r="P88" s="287">
        <f t="shared" si="89"/>
        <v>505.14712121772197</v>
      </c>
      <c r="Q88" s="287">
        <f>P88*(1+Q89)</f>
        <v>525.7768816361413</v>
      </c>
      <c r="R88" s="329">
        <f>'Tourism Medium DB-LCU'!R24</f>
        <v>6.3753169936920706E-2</v>
      </c>
      <c r="S88" s="329">
        <f>'Tourism Medium DB-LCU'!S24</f>
        <v>5.2424195582844169E-2</v>
      </c>
      <c r="U88" s="312"/>
      <c r="W88" s="1"/>
      <c r="X88"/>
      <c r="Y88"/>
      <c r="Z88"/>
    </row>
    <row r="89" spans="1:26" s="6" customFormat="1">
      <c r="A89" s="286"/>
      <c r="B89" s="286"/>
      <c r="C89" s="290" t="str">
        <f>'[3]TDF-Secondary cum Calculation'!C491</f>
        <v>Growth Rate</v>
      </c>
      <c r="D89" s="290"/>
      <c r="E89" s="290"/>
      <c r="F89" s="290" t="str">
        <f>'[3]TDF-Secondary cum Calculation'!J491</f>
        <v>%</v>
      </c>
      <c r="G89" s="290"/>
      <c r="H89" s="292"/>
      <c r="I89" s="292">
        <f>I88/H88-1</f>
        <v>6.2568719798354211E-2</v>
      </c>
      <c r="J89" s="292">
        <f>J88/I88-1</f>
        <v>1.3633605036456276E-2</v>
      </c>
      <c r="K89" s="292">
        <f>K88/J88-1</f>
        <v>7.3280975944929994E-2</v>
      </c>
      <c r="L89" s="292">
        <f>L88/K88-1</f>
        <v>0.10767412398675269</v>
      </c>
      <c r="M89" s="292">
        <f>(($E91*M92+$E93*M94+M96*$E$95)*0.001+0.999*(((L88/I88)^(1/5))-1))*1.65</f>
        <v>6.2698055863480415E-2</v>
      </c>
      <c r="N89" s="292">
        <f>(($E91*N92+$E93*N94+N96*$E$95)*0.001+0.999*(((M88/J88)^(1/5))-1))*1.24</f>
        <v>5.9362927564209092E-2</v>
      </c>
      <c r="O89" s="292">
        <f>(($E91*O92+$E93*O94+O96*$E$95)*0.001+0.999*(((N88/K88)^(1/5))-1))*1.15</f>
        <v>5.1900244892136946E-2</v>
      </c>
      <c r="P89" s="292">
        <f t="shared" ref="P89" si="90">(($E91*P92+$E93*P94+P96*$E$95)*0.001+0.999*(((O88/L88)^(1/5))-1))*1.38</f>
        <v>4.7469300829714886E-2</v>
      </c>
      <c r="Q89" s="292">
        <f>(($E91*Q92+$E93*Q94+Q96*$E$95)*0.001+0.999*(((P88/M88)^(1/5))-1))*1.3</f>
        <v>4.0839113105680211E-2</v>
      </c>
      <c r="R89" s="328"/>
      <c r="S89" s="328"/>
      <c r="W89" s="1"/>
      <c r="X89"/>
      <c r="Y89"/>
      <c r="Z89"/>
    </row>
    <row r="90" spans="1:26" s="6" customFormat="1" hidden="1" outlineLevel="1">
      <c r="A90" s="195"/>
      <c r="B90" s="195"/>
      <c r="C90" s="195"/>
      <c r="D90" s="196" t="s">
        <v>351</v>
      </c>
      <c r="E90" s="197" t="s">
        <v>352</v>
      </c>
      <c r="F90" s="197"/>
      <c r="G90" s="197"/>
      <c r="H90" s="200"/>
      <c r="I90" s="200"/>
      <c r="J90" s="200"/>
      <c r="K90" s="200"/>
      <c r="L90" s="200"/>
      <c r="M90" s="200"/>
      <c r="N90" s="200"/>
      <c r="O90" s="200"/>
      <c r="P90" s="200"/>
      <c r="Q90" s="200"/>
      <c r="R90" s="331"/>
      <c r="S90" s="331"/>
      <c r="W90" s="1"/>
      <c r="X90"/>
      <c r="Y90"/>
      <c r="Z90"/>
    </row>
    <row r="91" spans="1:26" s="6" customFormat="1" ht="16.5" hidden="1" customHeight="1" outlineLevel="1">
      <c r="A91" s="25"/>
      <c r="B91" s="25"/>
      <c r="C91" s="25"/>
      <c r="D91" s="25" t="s">
        <v>408</v>
      </c>
      <c r="E91" s="41">
        <v>0.5</v>
      </c>
      <c r="F91" s="25"/>
      <c r="G91" s="25"/>
      <c r="H91" s="26">
        <f t="shared" ref="H91:P91" si="91">H290</f>
        <v>0.35599999999999998</v>
      </c>
      <c r="I91" s="26">
        <f t="shared" si="91"/>
        <v>0.317</v>
      </c>
      <c r="J91" s="26">
        <f t="shared" si="91"/>
        <v>0.34799999999999998</v>
      </c>
      <c r="K91" s="26">
        <f t="shared" si="91"/>
        <v>0.40300000000000002</v>
      </c>
      <c r="L91" s="26">
        <f t="shared" si="91"/>
        <v>0.39500000000000002</v>
      </c>
      <c r="M91" s="26">
        <f t="shared" si="91"/>
        <v>0.40799999999999997</v>
      </c>
      <c r="N91" s="26">
        <f t="shared" si="91"/>
        <v>0.42299999999999999</v>
      </c>
      <c r="O91" s="26">
        <f t="shared" si="91"/>
        <v>0.435</v>
      </c>
      <c r="P91" s="26">
        <f t="shared" si="91"/>
        <v>0.44800000000000001</v>
      </c>
      <c r="Q91" s="26">
        <f>Q290</f>
        <v>0.46</v>
      </c>
      <c r="R91" s="332"/>
      <c r="S91" s="334"/>
      <c r="W91" s="1"/>
      <c r="X91"/>
      <c r="Y91"/>
      <c r="Z91"/>
    </row>
    <row r="92" spans="1:26" s="6" customFormat="1" ht="16.5" hidden="1" customHeight="1" outlineLevel="1">
      <c r="A92" s="28"/>
      <c r="B92" s="28"/>
      <c r="C92" s="28"/>
      <c r="D92" s="28" t="s">
        <v>184</v>
      </c>
      <c r="E92" s="28"/>
      <c r="F92" s="28"/>
      <c r="G92" s="28"/>
      <c r="H92" s="29"/>
      <c r="I92" s="29">
        <f t="shared" ref="I92:P92" si="92">I91/H91-1</f>
        <v>-0.1095505617977528</v>
      </c>
      <c r="J92" s="29">
        <f t="shared" si="92"/>
        <v>9.7791798107255357E-2</v>
      </c>
      <c r="K92" s="29">
        <f t="shared" si="92"/>
        <v>0.15804597701149437</v>
      </c>
      <c r="L92" s="29">
        <f t="shared" si="92"/>
        <v>-1.9851116625310139E-2</v>
      </c>
      <c r="M92" s="29">
        <f t="shared" si="92"/>
        <v>3.2911392405063244E-2</v>
      </c>
      <c r="N92" s="29">
        <f t="shared" si="92"/>
        <v>3.6764705882353033E-2</v>
      </c>
      <c r="O92" s="29">
        <f t="shared" si="92"/>
        <v>2.8368794326241176E-2</v>
      </c>
      <c r="P92" s="29">
        <f t="shared" si="92"/>
        <v>2.9885057471264354E-2</v>
      </c>
      <c r="Q92" s="29">
        <f>Q91/P91-1</f>
        <v>2.6785714285714413E-2</v>
      </c>
      <c r="R92" s="332">
        <f>CORREL(H92:K92,H$88:K$88)</f>
        <v>0.77358407159172282</v>
      </c>
      <c r="S92" s="335"/>
      <c r="W92" s="1"/>
      <c r="X92"/>
      <c r="Y92"/>
      <c r="Z92"/>
    </row>
    <row r="93" spans="1:26" s="6" customFormat="1" ht="16.5" hidden="1" customHeight="1" outlineLevel="1">
      <c r="A93" s="25"/>
      <c r="B93" s="25"/>
      <c r="C93" s="25"/>
      <c r="D93" s="25" t="s">
        <v>411</v>
      </c>
      <c r="E93" s="41">
        <v>0.4</v>
      </c>
      <c r="F93" s="25"/>
      <c r="G93" s="25"/>
      <c r="H93" s="26">
        <f t="shared" ref="H93:P93" si="93">H292</f>
        <v>46.375999999999998</v>
      </c>
      <c r="I93" s="26">
        <f t="shared" si="93"/>
        <v>42.408999999999999</v>
      </c>
      <c r="J93" s="26">
        <f t="shared" si="93"/>
        <v>46.771999999999998</v>
      </c>
      <c r="K93" s="26">
        <f t="shared" si="93"/>
        <v>55.003</v>
      </c>
      <c r="L93" s="26">
        <f t="shared" si="93"/>
        <v>56.588000000000001</v>
      </c>
      <c r="M93" s="26">
        <f t="shared" si="93"/>
        <v>58.281999999999996</v>
      </c>
      <c r="N93" s="26">
        <f t="shared" si="93"/>
        <v>62.168999999999997</v>
      </c>
      <c r="O93" s="26">
        <f t="shared" si="93"/>
        <v>65.19</v>
      </c>
      <c r="P93" s="26">
        <f t="shared" si="93"/>
        <v>68.13</v>
      </c>
      <c r="Q93" s="26">
        <f>Q292</f>
        <v>71.046000000000006</v>
      </c>
      <c r="R93" s="332"/>
      <c r="S93" s="334"/>
      <c r="W93" s="1"/>
      <c r="X93"/>
      <c r="Y93"/>
      <c r="Z93"/>
    </row>
    <row r="94" spans="1:26" s="6" customFormat="1" ht="16.5" hidden="1" customHeight="1" outlineLevel="1">
      <c r="A94" s="28"/>
      <c r="B94" s="28"/>
      <c r="C94" s="28"/>
      <c r="D94" s="28" t="s">
        <v>184</v>
      </c>
      <c r="E94" s="28"/>
      <c r="F94" s="28"/>
      <c r="G94" s="28"/>
      <c r="H94" s="29"/>
      <c r="I94" s="29">
        <f t="shared" ref="I94:P94" si="94">I93/H93-1</f>
        <v>-8.5539934448852883E-2</v>
      </c>
      <c r="J94" s="29">
        <f t="shared" si="94"/>
        <v>0.10287910585017324</v>
      </c>
      <c r="K94" s="29">
        <f t="shared" si="94"/>
        <v>0.17598135636705736</v>
      </c>
      <c r="L94" s="29">
        <f t="shared" si="94"/>
        <v>2.8816610003090659E-2</v>
      </c>
      <c r="M94" s="29">
        <f t="shared" si="94"/>
        <v>2.9935675408213624E-2</v>
      </c>
      <c r="N94" s="29">
        <f t="shared" si="94"/>
        <v>6.669297553275455E-2</v>
      </c>
      <c r="O94" s="29">
        <f t="shared" si="94"/>
        <v>4.8593350383631773E-2</v>
      </c>
      <c r="P94" s="29">
        <f t="shared" si="94"/>
        <v>4.5098941555453242E-2</v>
      </c>
      <c r="Q94" s="29">
        <f>Q93/P93-1</f>
        <v>4.2800528401585325E-2</v>
      </c>
      <c r="R94" s="332">
        <f>CORREL(H94:K94,H$88:K$88)</f>
        <v>0.80902343565247381</v>
      </c>
      <c r="S94" s="335"/>
      <c r="W94" s="1"/>
      <c r="X94"/>
      <c r="Y94"/>
      <c r="Z94"/>
    </row>
    <row r="95" spans="1:26" s="6" customFormat="1" ht="16.5" hidden="1" customHeight="1" outlineLevel="1">
      <c r="A95" s="25"/>
      <c r="B95" s="25"/>
      <c r="C95" s="25"/>
      <c r="D95" s="25" t="s">
        <v>412</v>
      </c>
      <c r="E95" s="41">
        <f>1-SUM(E93,E91)</f>
        <v>9.9999999999999978E-2</v>
      </c>
      <c r="F95" s="25"/>
      <c r="G95" s="25"/>
      <c r="H95" s="26">
        <f t="shared" ref="H95:P95" si="95">H294</f>
        <v>2.9830000000000001</v>
      </c>
      <c r="I95" s="26">
        <f t="shared" si="95"/>
        <v>2.0310000000000001</v>
      </c>
      <c r="J95" s="26">
        <f t="shared" si="95"/>
        <v>2.5499999999999998</v>
      </c>
      <c r="K95" s="26">
        <f t="shared" si="95"/>
        <v>2.7930000000000001</v>
      </c>
      <c r="L95" s="26">
        <f t="shared" si="95"/>
        <v>2.9889999999999999</v>
      </c>
      <c r="M95" s="26">
        <f t="shared" si="95"/>
        <v>2.9590000000000001</v>
      </c>
      <c r="N95" s="26">
        <f t="shared" si="95"/>
        <v>3.165</v>
      </c>
      <c r="O95" s="26">
        <f t="shared" si="95"/>
        <v>3.32</v>
      </c>
      <c r="P95" s="26">
        <f t="shared" si="95"/>
        <v>3.5129999999999999</v>
      </c>
      <c r="Q95" s="26">
        <f>Q294</f>
        <v>3.6440000000000001</v>
      </c>
      <c r="R95" s="332"/>
      <c r="S95" s="334"/>
      <c r="W95" s="1"/>
      <c r="X95"/>
      <c r="Y95"/>
      <c r="Z95"/>
    </row>
    <row r="96" spans="1:26" s="6" customFormat="1" ht="16.5" hidden="1" customHeight="1" outlineLevel="1">
      <c r="A96" s="28"/>
      <c r="B96" s="28"/>
      <c r="C96" s="28"/>
      <c r="D96" s="28" t="s">
        <v>184</v>
      </c>
      <c r="E96" s="28"/>
      <c r="F96" s="28"/>
      <c r="G96" s="28"/>
      <c r="H96" s="29"/>
      <c r="I96" s="29">
        <f t="shared" ref="I96:P96" si="96">I95/H95-1</f>
        <v>-0.31914180355346966</v>
      </c>
      <c r="J96" s="29">
        <f t="shared" si="96"/>
        <v>0.25553914327917271</v>
      </c>
      <c r="K96" s="29">
        <f t="shared" si="96"/>
        <v>9.5294117647058973E-2</v>
      </c>
      <c r="L96" s="29">
        <f t="shared" si="96"/>
        <v>7.0175438596491224E-2</v>
      </c>
      <c r="M96" s="29">
        <f t="shared" si="96"/>
        <v>-1.0036801605888157E-2</v>
      </c>
      <c r="N96" s="29">
        <f t="shared" si="96"/>
        <v>6.9618114227779637E-2</v>
      </c>
      <c r="O96" s="29">
        <f t="shared" si="96"/>
        <v>4.8973143759873494E-2</v>
      </c>
      <c r="P96" s="29">
        <f t="shared" si="96"/>
        <v>5.8132530120482029E-2</v>
      </c>
      <c r="Q96" s="29">
        <f>Q95/P95-1</f>
        <v>3.729006547110747E-2</v>
      </c>
      <c r="R96" s="332">
        <f>CORREL(H96:K96,H$88:K$88)</f>
        <v>0.38444260881681697</v>
      </c>
      <c r="S96" s="335"/>
      <c r="W96" s="1"/>
      <c r="X96"/>
      <c r="Y96"/>
      <c r="Z96"/>
    </row>
    <row r="97" spans="1:26" s="6" customFormat="1" hidden="1" outlineLevel="1">
      <c r="A97" s="305"/>
      <c r="B97" s="225"/>
      <c r="C97" s="25"/>
      <c r="D97" s="306" t="s">
        <v>188</v>
      </c>
      <c r="E97" s="313">
        <f>SUM(E95,E93,E91)</f>
        <v>1</v>
      </c>
      <c r="F97" s="25"/>
      <c r="G97" s="25"/>
      <c r="H97" s="25"/>
      <c r="I97" s="25"/>
      <c r="J97" s="25"/>
      <c r="K97" s="25"/>
      <c r="L97" s="25"/>
      <c r="M97" s="25"/>
      <c r="N97" s="25"/>
      <c r="O97" s="25"/>
      <c r="P97" s="25"/>
      <c r="Q97" s="25"/>
      <c r="R97" s="336">
        <f>SUM(R91:R96)</f>
        <v>1.9670501160610137</v>
      </c>
      <c r="S97" s="334"/>
      <c r="W97" s="1"/>
      <c r="X97"/>
      <c r="Y97"/>
      <c r="Z97"/>
    </row>
    <row r="98" spans="1:26" s="6" customFormat="1" collapsed="1">
      <c r="A98" s="284" t="str">
        <f>'[3]TDF-Secondary cum Calculation'!A582</f>
        <v>Tunisia</v>
      </c>
      <c r="B98" s="285" t="str">
        <f>'[3]TDF-Secondary cum Calculation'!B582</f>
        <v>Tourism Flows</v>
      </c>
      <c r="C98" s="285" t="str">
        <f>'[3]TDF-Secondary cum Calculation'!C582</f>
        <v>International Arrivals by Place of Origin</v>
      </c>
      <c r="D98" s="284" t="str">
        <f>'[3]TDF-Secondary cum Calculation'!D582</f>
        <v>Europe</v>
      </c>
      <c r="E98" s="286"/>
      <c r="F98" s="286" t="str">
        <f>'[3]TDF-Secondary cum Calculation'!J582</f>
        <v>Thousand</v>
      </c>
      <c r="G98" s="286"/>
      <c r="H98" s="340">
        <f>'Tourism Medium DB-LCU'!H25</f>
        <v>7866.6543217392427</v>
      </c>
      <c r="I98" s="340">
        <f>'Tourism Medium DB-LCU'!I25</f>
        <v>8344.163831356007</v>
      </c>
      <c r="J98" s="340">
        <f>'Tourism Medium DB-LCU'!J25</f>
        <v>8439.3126637373425</v>
      </c>
      <c r="K98" s="340">
        <f>'Tourism Medium DB-LCU'!K25</f>
        <v>8981.5700284097038</v>
      </c>
      <c r="L98" s="340">
        <f>'Tourism Medium DB-LCU'!L25</f>
        <v>9836.7135169560061</v>
      </c>
      <c r="M98" s="340">
        <f t="shared" ref="M98:P98" si="97">L98*(1+M99)</f>
        <v>10402.750004608706</v>
      </c>
      <c r="N98" s="340">
        <f t="shared" si="97"/>
        <v>10918.861188767602</v>
      </c>
      <c r="O98" s="340">
        <f t="shared" si="97"/>
        <v>11459.183327404906</v>
      </c>
      <c r="P98" s="340">
        <f t="shared" si="97"/>
        <v>12030.362813459347</v>
      </c>
      <c r="Q98" s="340">
        <f>P98*(1+Q99)</f>
        <v>12564.550988019018</v>
      </c>
      <c r="R98" s="329">
        <f>'Tourism Medium DB-LCU'!R25</f>
        <v>5.7462533769739421E-2</v>
      </c>
      <c r="S98" s="329">
        <f>'Tourism Medium DB-LCU'!S25</f>
        <v>5.0169473443488322E-2</v>
      </c>
      <c r="W98" s="1"/>
      <c r="X98"/>
      <c r="Y98"/>
      <c r="Z98"/>
    </row>
    <row r="99" spans="1:26" s="6" customFormat="1">
      <c r="A99" s="286"/>
      <c r="B99" s="286"/>
      <c r="C99" s="290" t="str">
        <f>'[3]TDF-Secondary cum Calculation'!C583</f>
        <v>Growth Rate</v>
      </c>
      <c r="D99" s="290"/>
      <c r="E99" s="290"/>
      <c r="F99" s="290" t="str">
        <f>'[3]TDF-Secondary cum Calculation'!J583</f>
        <v>%</v>
      </c>
      <c r="G99" s="290"/>
      <c r="H99" s="292"/>
      <c r="I99" s="292">
        <f>I98/H98-1</f>
        <v>6.0700456647393652E-2</v>
      </c>
      <c r="J99" s="292">
        <f>J98/I98-1</f>
        <v>1.1403039813741689E-2</v>
      </c>
      <c r="K99" s="292">
        <f>K98/J98-1</f>
        <v>6.4253735615504848E-2</v>
      </c>
      <c r="L99" s="292">
        <f>L98/K98-1</f>
        <v>9.5210913664469432E-2</v>
      </c>
      <c r="M99" s="292">
        <f>(($E101*M102+$E103*M104+M106*$E$105)*0.001+0.999*(((K98/H98)^(1/3))-1))*1.2745</f>
        <v>5.7543252294274462E-2</v>
      </c>
      <c r="N99" s="292">
        <f>(($E101*N102+$E103*N104+N106*$E$105)*0.001+0.999*(((L98/I98)^(1/3))-1))*0.88</f>
        <v>4.9612956567277391E-2</v>
      </c>
      <c r="O99" s="292">
        <f>($E101*O102+$E103*O104+O106*$E$105)*0.637+0.363*(((M98/J98)^(1/3))-1)</f>
        <v>4.9485209977130247E-2</v>
      </c>
      <c r="P99" s="292">
        <f>($E101*P102+$E103*P104+P106*$E$105)*0.665+0.335*(((M98/J98)^(1/3))-1)</f>
        <v>4.9844693965969772E-2</v>
      </c>
      <c r="Q99" s="292">
        <f>($E101*Q102+$E103*Q104+Q106*$E$105)*0.65+0.35*(((N98/K98)^(1/3))-1)</f>
        <v>4.4403330376872163E-2</v>
      </c>
      <c r="R99" s="328"/>
      <c r="S99" s="328"/>
      <c r="W99" s="1"/>
      <c r="X99"/>
      <c r="Y99"/>
      <c r="Z99"/>
    </row>
    <row r="100" spans="1:26" s="6" customFormat="1" hidden="1" outlineLevel="1">
      <c r="A100" s="195"/>
      <c r="B100" s="195"/>
      <c r="C100" s="195"/>
      <c r="D100" s="196" t="s">
        <v>351</v>
      </c>
      <c r="E100" s="197" t="s">
        <v>352</v>
      </c>
      <c r="F100" s="197"/>
      <c r="G100" s="197"/>
      <c r="H100" s="200"/>
      <c r="I100" s="200"/>
      <c r="J100" s="200"/>
      <c r="K100" s="200"/>
      <c r="L100" s="200"/>
      <c r="M100" s="200"/>
      <c r="N100" s="200"/>
      <c r="O100" s="200"/>
      <c r="P100" s="200"/>
      <c r="Q100" s="200"/>
      <c r="R100" s="331"/>
      <c r="S100" s="331"/>
      <c r="W100" s="1"/>
      <c r="X100"/>
      <c r="Y100"/>
      <c r="Z100"/>
    </row>
    <row r="101" spans="1:26" s="6" customFormat="1" ht="16.5" hidden="1" customHeight="1" outlineLevel="1">
      <c r="A101" s="25"/>
      <c r="B101" s="25"/>
      <c r="C101" s="25"/>
      <c r="D101" s="25" t="s">
        <v>408</v>
      </c>
      <c r="E101" s="41">
        <v>0.6</v>
      </c>
      <c r="F101" s="25"/>
      <c r="G101" s="25"/>
      <c r="H101" s="26">
        <f t="shared" ref="H101:P101" si="98">H290</f>
        <v>0.35599999999999998</v>
      </c>
      <c r="I101" s="26">
        <f t="shared" si="98"/>
        <v>0.317</v>
      </c>
      <c r="J101" s="26">
        <f t="shared" si="98"/>
        <v>0.34799999999999998</v>
      </c>
      <c r="K101" s="26">
        <f t="shared" si="98"/>
        <v>0.40300000000000002</v>
      </c>
      <c r="L101" s="26">
        <f t="shared" si="98"/>
        <v>0.39500000000000002</v>
      </c>
      <c r="M101" s="26">
        <f t="shared" si="98"/>
        <v>0.40799999999999997</v>
      </c>
      <c r="N101" s="26">
        <f t="shared" si="98"/>
        <v>0.42299999999999999</v>
      </c>
      <c r="O101" s="26">
        <f t="shared" si="98"/>
        <v>0.435</v>
      </c>
      <c r="P101" s="26">
        <f t="shared" si="98"/>
        <v>0.44800000000000001</v>
      </c>
      <c r="Q101" s="26">
        <f>Q290</f>
        <v>0.46</v>
      </c>
      <c r="R101" s="332"/>
      <c r="S101" s="334"/>
      <c r="W101" s="1"/>
      <c r="X101"/>
      <c r="Y101"/>
      <c r="Z101"/>
    </row>
    <row r="102" spans="1:26" s="6" customFormat="1" ht="16.5" hidden="1" customHeight="1" outlineLevel="1">
      <c r="A102" s="28"/>
      <c r="B102" s="28"/>
      <c r="C102" s="28"/>
      <c r="D102" s="28" t="s">
        <v>184</v>
      </c>
      <c r="E102" s="28"/>
      <c r="F102" s="28"/>
      <c r="G102" s="28"/>
      <c r="H102" s="29"/>
      <c r="I102" s="29">
        <f t="shared" ref="I102:P102" si="99">I101/H101-1</f>
        <v>-0.1095505617977528</v>
      </c>
      <c r="J102" s="29">
        <f t="shared" si="99"/>
        <v>9.7791798107255357E-2</v>
      </c>
      <c r="K102" s="29">
        <f t="shared" si="99"/>
        <v>0.15804597701149437</v>
      </c>
      <c r="L102" s="29">
        <f t="shared" si="99"/>
        <v>-1.9851116625310139E-2</v>
      </c>
      <c r="M102" s="29">
        <f t="shared" si="99"/>
        <v>3.2911392405063244E-2</v>
      </c>
      <c r="N102" s="29">
        <f t="shared" si="99"/>
        <v>3.6764705882353033E-2</v>
      </c>
      <c r="O102" s="29">
        <f t="shared" si="99"/>
        <v>2.8368794326241176E-2</v>
      </c>
      <c r="P102" s="29">
        <f t="shared" si="99"/>
        <v>2.9885057471264354E-2</v>
      </c>
      <c r="Q102" s="29">
        <f>Q101/P101-1</f>
        <v>2.6785714285714413E-2</v>
      </c>
      <c r="R102" s="332">
        <f>CORREL(J101:L101,J$98:L$98)</f>
        <v>0.70584679755317581</v>
      </c>
      <c r="S102" s="335"/>
      <c r="W102" s="1"/>
      <c r="X102"/>
      <c r="Y102"/>
      <c r="Z102"/>
    </row>
    <row r="103" spans="1:26" s="6" customFormat="1" ht="16.5" hidden="1" customHeight="1" outlineLevel="1">
      <c r="A103" s="25"/>
      <c r="B103" s="25"/>
      <c r="C103" s="25"/>
      <c r="D103" s="25" t="s">
        <v>411</v>
      </c>
      <c r="E103" s="41">
        <v>0.2</v>
      </c>
      <c r="F103" s="25"/>
      <c r="G103" s="25"/>
      <c r="H103" s="26">
        <f t="shared" ref="H103:P103" si="100">H292</f>
        <v>46.375999999999998</v>
      </c>
      <c r="I103" s="26">
        <f t="shared" si="100"/>
        <v>42.408999999999999</v>
      </c>
      <c r="J103" s="26">
        <f t="shared" si="100"/>
        <v>46.771999999999998</v>
      </c>
      <c r="K103" s="26">
        <f t="shared" si="100"/>
        <v>55.003</v>
      </c>
      <c r="L103" s="26">
        <f t="shared" si="100"/>
        <v>56.588000000000001</v>
      </c>
      <c r="M103" s="26">
        <f t="shared" si="100"/>
        <v>58.281999999999996</v>
      </c>
      <c r="N103" s="26">
        <f t="shared" si="100"/>
        <v>62.168999999999997</v>
      </c>
      <c r="O103" s="26">
        <f t="shared" si="100"/>
        <v>65.19</v>
      </c>
      <c r="P103" s="26">
        <f t="shared" si="100"/>
        <v>68.13</v>
      </c>
      <c r="Q103" s="26">
        <f>Q292</f>
        <v>71.046000000000006</v>
      </c>
      <c r="R103" s="332"/>
      <c r="S103" s="334"/>
      <c r="W103" s="1"/>
      <c r="X103"/>
      <c r="Y103"/>
      <c r="Z103"/>
    </row>
    <row r="104" spans="1:26" s="6" customFormat="1" ht="16.5" hidden="1" customHeight="1" outlineLevel="1">
      <c r="A104" s="28"/>
      <c r="B104" s="28"/>
      <c r="C104" s="28"/>
      <c r="D104" s="28" t="s">
        <v>184</v>
      </c>
      <c r="E104" s="28"/>
      <c r="F104" s="28"/>
      <c r="G104" s="28"/>
      <c r="H104" s="29"/>
      <c r="I104" s="29">
        <f t="shared" ref="I104:P104" si="101">I103/H103-1</f>
        <v>-8.5539934448852883E-2</v>
      </c>
      <c r="J104" s="29">
        <f t="shared" si="101"/>
        <v>0.10287910585017324</v>
      </c>
      <c r="K104" s="29">
        <f t="shared" si="101"/>
        <v>0.17598135636705736</v>
      </c>
      <c r="L104" s="29">
        <f t="shared" si="101"/>
        <v>2.8816610003090659E-2</v>
      </c>
      <c r="M104" s="29">
        <f t="shared" si="101"/>
        <v>2.9935675408213624E-2</v>
      </c>
      <c r="N104" s="29">
        <f t="shared" si="101"/>
        <v>6.669297553275455E-2</v>
      </c>
      <c r="O104" s="29">
        <f t="shared" si="101"/>
        <v>4.8593350383631773E-2</v>
      </c>
      <c r="P104" s="29">
        <f t="shared" si="101"/>
        <v>4.5098941555453242E-2</v>
      </c>
      <c r="Q104" s="29">
        <f>Q103/P103-1</f>
        <v>4.2800528401585325E-2</v>
      </c>
      <c r="R104" s="332">
        <f>CORREL(H103:K103,H$98:K$98)</f>
        <v>0.71873357164746177</v>
      </c>
      <c r="S104" s="335"/>
      <c r="W104" s="1"/>
      <c r="X104"/>
      <c r="Y104"/>
      <c r="Z104"/>
    </row>
    <row r="105" spans="1:26" s="6" customFormat="1" ht="16.5" hidden="1" customHeight="1" outlineLevel="1">
      <c r="A105" s="25"/>
      <c r="B105" s="25"/>
      <c r="C105" s="25"/>
      <c r="D105" s="25" t="s">
        <v>412</v>
      </c>
      <c r="E105" s="41">
        <f>1-SUM(E103,E101)</f>
        <v>0.19999999999999996</v>
      </c>
      <c r="F105" s="25"/>
      <c r="G105" s="25"/>
      <c r="H105" s="26">
        <f t="shared" ref="H105:P105" si="102">H294</f>
        <v>2.9830000000000001</v>
      </c>
      <c r="I105" s="26">
        <f t="shared" si="102"/>
        <v>2.0310000000000001</v>
      </c>
      <c r="J105" s="26">
        <f t="shared" si="102"/>
        <v>2.5499999999999998</v>
      </c>
      <c r="K105" s="26">
        <f t="shared" si="102"/>
        <v>2.7930000000000001</v>
      </c>
      <c r="L105" s="26">
        <f t="shared" si="102"/>
        <v>2.9889999999999999</v>
      </c>
      <c r="M105" s="26">
        <f t="shared" si="102"/>
        <v>2.9590000000000001</v>
      </c>
      <c r="N105" s="26">
        <f t="shared" si="102"/>
        <v>3.165</v>
      </c>
      <c r="O105" s="26">
        <f t="shared" si="102"/>
        <v>3.32</v>
      </c>
      <c r="P105" s="26">
        <f t="shared" si="102"/>
        <v>3.5129999999999999</v>
      </c>
      <c r="Q105" s="26">
        <f>Q294</f>
        <v>3.6440000000000001</v>
      </c>
      <c r="R105" s="332"/>
      <c r="S105" s="334"/>
      <c r="W105" s="1"/>
      <c r="X105"/>
      <c r="Y105"/>
      <c r="Z105"/>
    </row>
    <row r="106" spans="1:26" s="6" customFormat="1" ht="16.5" hidden="1" customHeight="1" outlineLevel="1">
      <c r="A106" s="28"/>
      <c r="B106" s="28"/>
      <c r="C106" s="28"/>
      <c r="D106" s="28" t="s">
        <v>184</v>
      </c>
      <c r="E106" s="28"/>
      <c r="F106" s="28"/>
      <c r="G106" s="28"/>
      <c r="H106" s="29"/>
      <c r="I106" s="29">
        <f t="shared" ref="I106:P106" si="103">I105/H105-1</f>
        <v>-0.31914180355346966</v>
      </c>
      <c r="J106" s="29">
        <f t="shared" si="103"/>
        <v>0.25553914327917271</v>
      </c>
      <c r="K106" s="29">
        <f t="shared" si="103"/>
        <v>9.5294117647058973E-2</v>
      </c>
      <c r="L106" s="29">
        <f t="shared" si="103"/>
        <v>7.0175438596491224E-2</v>
      </c>
      <c r="M106" s="29">
        <f t="shared" si="103"/>
        <v>-1.0036801605888157E-2</v>
      </c>
      <c r="N106" s="29">
        <f t="shared" si="103"/>
        <v>6.9618114227779637E-2</v>
      </c>
      <c r="O106" s="29">
        <f t="shared" si="103"/>
        <v>4.8973143759873494E-2</v>
      </c>
      <c r="P106" s="29">
        <f t="shared" si="103"/>
        <v>5.8132530120482029E-2</v>
      </c>
      <c r="Q106" s="29">
        <f>Q105/P105-1</f>
        <v>3.729006547110747E-2</v>
      </c>
      <c r="R106" s="332">
        <f>CORREL(J105:L105,J$98:L$98)</f>
        <v>0.98194894401965993</v>
      </c>
      <c r="S106" s="335"/>
      <c r="W106" s="1"/>
      <c r="X106"/>
      <c r="Y106"/>
      <c r="Z106"/>
    </row>
    <row r="107" spans="1:26" s="6" customFormat="1" hidden="1" outlineLevel="1">
      <c r="A107" s="305"/>
      <c r="B107" s="225"/>
      <c r="C107" s="25"/>
      <c r="D107" s="306" t="s">
        <v>188</v>
      </c>
      <c r="E107" s="313">
        <f>E101+E103+E105</f>
        <v>1</v>
      </c>
      <c r="F107" s="25"/>
      <c r="G107" s="25"/>
      <c r="H107" s="25"/>
      <c r="I107" s="25"/>
      <c r="J107" s="25"/>
      <c r="K107" s="25"/>
      <c r="L107" s="25"/>
      <c r="M107" s="25"/>
      <c r="N107" s="25"/>
      <c r="O107" s="25"/>
      <c r="P107" s="25"/>
      <c r="Q107" s="25"/>
      <c r="R107" s="336">
        <f>SUM(R101:R106)</f>
        <v>2.4065293132202976</v>
      </c>
      <c r="S107" s="334"/>
      <c r="W107" s="1"/>
      <c r="X107"/>
      <c r="Y107"/>
      <c r="Z107"/>
    </row>
    <row r="108" spans="1:26" s="6" customFormat="1" collapsed="1">
      <c r="A108" s="284" t="str">
        <f>'[3]TDF-Secondary cum Calculation'!A674</f>
        <v>Tunisia</v>
      </c>
      <c r="B108" s="285" t="str">
        <f>'[3]TDF-Secondary cum Calculation'!B674</f>
        <v>Tourism Flows</v>
      </c>
      <c r="C108" s="285" t="str">
        <f>'[3]TDF-Secondary cum Calculation'!C674</f>
        <v>International Arrivals by Place of Origin</v>
      </c>
      <c r="D108" s="284" t="str">
        <f>'[3]TDF-Secondary cum Calculation'!D674</f>
        <v>Middle East</v>
      </c>
      <c r="E108" s="286"/>
      <c r="F108" s="286" t="str">
        <f>'[3]TDF-Secondary cum Calculation'!J674</f>
        <v>Thousand</v>
      </c>
      <c r="G108" s="286"/>
      <c r="H108" s="340">
        <f>'Tourism Medium DB-LCU'!H26</f>
        <v>38.264220231907309</v>
      </c>
      <c r="I108" s="340">
        <f>'Tourism Medium DB-LCU'!I26</f>
        <v>40.520405428405837</v>
      </c>
      <c r="J108" s="340">
        <f>'Tourism Medium DB-LCU'!J26</f>
        <v>41.121226041136822</v>
      </c>
      <c r="K108" s="340">
        <f>'Tourism Medium DB-LCU'!K26</f>
        <v>43.943387863477184</v>
      </c>
      <c r="L108" s="340">
        <f>'Tourism Medium DB-LCU'!L26</f>
        <v>48.39395592068837</v>
      </c>
      <c r="M108" s="340">
        <f t="shared" ref="M108:P108" si="104">L108*(1+M109)</f>
        <v>51.235566155611167</v>
      </c>
      <c r="N108" s="340">
        <f t="shared" si="104"/>
        <v>54.447307795013451</v>
      </c>
      <c r="O108" s="340">
        <f t="shared" si="104"/>
        <v>57.404860387100818</v>
      </c>
      <c r="P108" s="340">
        <f t="shared" si="104"/>
        <v>60.372411167091414</v>
      </c>
      <c r="Q108" s="340">
        <f>P108*(1+Q109)</f>
        <v>63.323222644604051</v>
      </c>
      <c r="R108" s="329">
        <f>'Tourism Medium DB-LCU'!R26</f>
        <v>6.047287440357052E-2</v>
      </c>
      <c r="S108" s="329">
        <f>'Tourism Medium DB-LCU'!S26</f>
        <v>5.4381718672503965E-2</v>
      </c>
      <c r="W108" s="1"/>
      <c r="X108"/>
      <c r="Y108"/>
      <c r="Z108"/>
    </row>
    <row r="109" spans="1:26" s="6" customFormat="1">
      <c r="A109" s="286"/>
      <c r="B109" s="286"/>
      <c r="C109" s="290" t="str">
        <f>'[3]TDF-Secondary cum Calculation'!C675</f>
        <v>Growth Rate</v>
      </c>
      <c r="D109" s="290"/>
      <c r="E109" s="290"/>
      <c r="F109" s="290" t="str">
        <f>'[3]TDF-Secondary cum Calculation'!J675</f>
        <v>%</v>
      </c>
      <c r="G109" s="290"/>
      <c r="H109" s="292"/>
      <c r="I109" s="292">
        <f>I108/H108-1</f>
        <v>5.8963313059158251E-2</v>
      </c>
      <c r="J109" s="292">
        <f>J108/I108-1</f>
        <v>1.4827606150006334E-2</v>
      </c>
      <c r="K109" s="292">
        <f>K108/J108-1</f>
        <v>6.8630293744576853E-2</v>
      </c>
      <c r="L109" s="292">
        <f>L108/K108-1</f>
        <v>0.10127958433787954</v>
      </c>
      <c r="M109" s="292">
        <f>(($E111*M112+$E113*M114+M116*$E$115)*0.01+0.99*(((K108/H108)^(1/3))-1))*1.25</f>
        <v>5.8718287870076991E-2</v>
      </c>
      <c r="N109" s="292">
        <f>(($E111*N112+$E113*N114+N116*$E$115)*0.01+0.99*(((L108/I108)^(1/3))-1))*1.03</f>
        <v>6.2685784122062313E-2</v>
      </c>
      <c r="O109" s="292">
        <f>(($E111*O112+$E113*O114+O116*$E$115)*0.55+0.45*(((M108/J108)^(1/3))-1))</f>
        <v>5.4319537767085618E-2</v>
      </c>
      <c r="P109" s="292">
        <f>($E111*P112+$E113*P114+P116*$E$115)*0.65+0.35*(((M108/J108)^(1/3))-1)</f>
        <v>5.169511361894058E-2</v>
      </c>
      <c r="Q109" s="292">
        <f>($E111*Q112+$E113*Q114+Q116*$E$115)*0.6+0.4*(((N108/K108)^(1/3))-1)</f>
        <v>4.8876820065141109E-2</v>
      </c>
      <c r="R109" s="328"/>
      <c r="S109" s="328"/>
      <c r="W109" s="1"/>
      <c r="X109"/>
      <c r="Y109"/>
      <c r="Z109"/>
    </row>
    <row r="110" spans="1:26" s="6" customFormat="1" hidden="1" outlineLevel="1">
      <c r="A110" s="195"/>
      <c r="B110" s="195"/>
      <c r="C110" s="195"/>
      <c r="D110" s="196" t="s">
        <v>351</v>
      </c>
      <c r="E110" s="197" t="s">
        <v>352</v>
      </c>
      <c r="F110" s="197"/>
      <c r="G110" s="197"/>
      <c r="H110" s="200"/>
      <c r="I110" s="200"/>
      <c r="J110" s="200"/>
      <c r="K110" s="200"/>
      <c r="L110" s="200"/>
      <c r="M110" s="200"/>
      <c r="N110" s="200"/>
      <c r="O110" s="200"/>
      <c r="P110" s="200"/>
      <c r="Q110" s="200"/>
      <c r="R110" s="331"/>
      <c r="S110" s="331"/>
      <c r="W110" s="1"/>
      <c r="X110"/>
      <c r="Y110"/>
      <c r="Z110"/>
    </row>
    <row r="111" spans="1:26" s="6" customFormat="1" ht="12" hidden="1" customHeight="1" outlineLevel="1">
      <c r="A111" s="25"/>
      <c r="B111" s="25"/>
      <c r="C111" s="25"/>
      <c r="D111" s="25" t="s">
        <v>408</v>
      </c>
      <c r="E111" s="41">
        <v>0.6</v>
      </c>
      <c r="F111" s="25"/>
      <c r="G111" s="25"/>
      <c r="H111" s="26">
        <f t="shared" ref="H111:P111" si="105">H290</f>
        <v>0.35599999999999998</v>
      </c>
      <c r="I111" s="26">
        <f t="shared" si="105"/>
        <v>0.317</v>
      </c>
      <c r="J111" s="26">
        <f t="shared" si="105"/>
        <v>0.34799999999999998</v>
      </c>
      <c r="K111" s="26">
        <f t="shared" si="105"/>
        <v>0.40300000000000002</v>
      </c>
      <c r="L111" s="26">
        <f t="shared" si="105"/>
        <v>0.39500000000000002</v>
      </c>
      <c r="M111" s="26">
        <f t="shared" si="105"/>
        <v>0.40799999999999997</v>
      </c>
      <c r="N111" s="26">
        <f t="shared" si="105"/>
        <v>0.42299999999999999</v>
      </c>
      <c r="O111" s="26">
        <f t="shared" si="105"/>
        <v>0.435</v>
      </c>
      <c r="P111" s="26">
        <f t="shared" si="105"/>
        <v>0.44800000000000001</v>
      </c>
      <c r="Q111" s="26">
        <f>Q290</f>
        <v>0.46</v>
      </c>
      <c r="R111" s="332"/>
      <c r="S111" s="334"/>
      <c r="W111" s="1"/>
      <c r="X111"/>
      <c r="Y111"/>
      <c r="Z111"/>
    </row>
    <row r="112" spans="1:26" s="6" customFormat="1" ht="12" hidden="1" customHeight="1" outlineLevel="1">
      <c r="A112" s="28"/>
      <c r="B112" s="28"/>
      <c r="C112" s="28"/>
      <c r="D112" s="28" t="s">
        <v>184</v>
      </c>
      <c r="E112" s="28"/>
      <c r="F112" s="28"/>
      <c r="G112" s="28"/>
      <c r="H112" s="29"/>
      <c r="I112" s="29">
        <f t="shared" ref="I112:P112" si="106">I111/H111-1</f>
        <v>-0.1095505617977528</v>
      </c>
      <c r="J112" s="29">
        <f t="shared" si="106"/>
        <v>9.7791798107255357E-2</v>
      </c>
      <c r="K112" s="29">
        <f t="shared" si="106"/>
        <v>0.15804597701149437</v>
      </c>
      <c r="L112" s="29">
        <f t="shared" si="106"/>
        <v>-1.9851116625310139E-2</v>
      </c>
      <c r="M112" s="29">
        <f t="shared" si="106"/>
        <v>3.2911392405063244E-2</v>
      </c>
      <c r="N112" s="29">
        <f t="shared" si="106"/>
        <v>3.6764705882353033E-2</v>
      </c>
      <c r="O112" s="29">
        <f t="shared" si="106"/>
        <v>2.8368794326241176E-2</v>
      </c>
      <c r="P112" s="29">
        <f t="shared" si="106"/>
        <v>2.9885057471264354E-2</v>
      </c>
      <c r="Q112" s="29">
        <f>Q111/P111-1</f>
        <v>2.6785714285714413E-2</v>
      </c>
      <c r="R112" s="332">
        <f>CORREL(H112:K112,H$108:K$108)</f>
        <v>0.78643638231237756</v>
      </c>
      <c r="S112" s="335"/>
      <c r="W112" s="1"/>
      <c r="X112"/>
      <c r="Y112"/>
      <c r="Z112"/>
    </row>
    <row r="113" spans="1:26" s="6" customFormat="1" ht="12" hidden="1" customHeight="1" outlineLevel="1">
      <c r="A113" s="25"/>
      <c r="B113" s="25"/>
      <c r="C113" s="25"/>
      <c r="D113" s="25" t="s">
        <v>413</v>
      </c>
      <c r="E113" s="41">
        <v>0.2</v>
      </c>
      <c r="F113" s="25"/>
      <c r="G113" s="25"/>
      <c r="H113" s="26">
        <f t="shared" ref="H113:P113" si="107">H292</f>
        <v>46.375999999999998</v>
      </c>
      <c r="I113" s="26">
        <f t="shared" si="107"/>
        <v>42.408999999999999</v>
      </c>
      <c r="J113" s="26">
        <f t="shared" si="107"/>
        <v>46.771999999999998</v>
      </c>
      <c r="K113" s="26">
        <f t="shared" si="107"/>
        <v>55.003</v>
      </c>
      <c r="L113" s="26">
        <f t="shared" si="107"/>
        <v>56.588000000000001</v>
      </c>
      <c r="M113" s="26">
        <f t="shared" si="107"/>
        <v>58.281999999999996</v>
      </c>
      <c r="N113" s="26">
        <f t="shared" si="107"/>
        <v>62.168999999999997</v>
      </c>
      <c r="O113" s="26">
        <f t="shared" si="107"/>
        <v>65.19</v>
      </c>
      <c r="P113" s="26">
        <f t="shared" si="107"/>
        <v>68.13</v>
      </c>
      <c r="Q113" s="26">
        <f>Q292</f>
        <v>71.046000000000006</v>
      </c>
      <c r="R113" s="332"/>
      <c r="S113" s="334"/>
      <c r="W113" s="1"/>
      <c r="X113"/>
      <c r="Y113"/>
      <c r="Z113"/>
    </row>
    <row r="114" spans="1:26" s="6" customFormat="1" ht="12" hidden="1" customHeight="1" outlineLevel="1">
      <c r="A114" s="28"/>
      <c r="B114" s="28"/>
      <c r="C114" s="28"/>
      <c r="D114" s="28" t="s">
        <v>184</v>
      </c>
      <c r="E114" s="28"/>
      <c r="F114" s="28"/>
      <c r="G114" s="28"/>
      <c r="H114" s="29"/>
      <c r="I114" s="29">
        <f t="shared" ref="I114:P114" si="108">I113/H113-1</f>
        <v>-8.5539934448852883E-2</v>
      </c>
      <c r="J114" s="29">
        <f t="shared" si="108"/>
        <v>0.10287910585017324</v>
      </c>
      <c r="K114" s="29">
        <f t="shared" si="108"/>
        <v>0.17598135636705736</v>
      </c>
      <c r="L114" s="29">
        <f t="shared" si="108"/>
        <v>2.8816610003090659E-2</v>
      </c>
      <c r="M114" s="29">
        <f t="shared" si="108"/>
        <v>2.9935675408213624E-2</v>
      </c>
      <c r="N114" s="29">
        <f t="shared" si="108"/>
        <v>6.669297553275455E-2</v>
      </c>
      <c r="O114" s="29">
        <f t="shared" si="108"/>
        <v>4.8593350383631773E-2</v>
      </c>
      <c r="P114" s="29">
        <f t="shared" si="108"/>
        <v>4.5098941555453242E-2</v>
      </c>
      <c r="Q114" s="29">
        <f>Q113/P113-1</f>
        <v>4.2800528401585325E-2</v>
      </c>
      <c r="R114" s="332">
        <f>CORREL(H113:K113,H$108:K$108)</f>
        <v>0.74243858883621672</v>
      </c>
      <c r="S114" s="335"/>
      <c r="W114" s="1"/>
      <c r="X114"/>
      <c r="Y114"/>
      <c r="Z114"/>
    </row>
    <row r="115" spans="1:26" s="6" customFormat="1" ht="12" hidden="1" customHeight="1" outlineLevel="1">
      <c r="A115" s="25"/>
      <c r="B115" s="25"/>
      <c r="C115" s="25"/>
      <c r="D115" s="25" t="s">
        <v>412</v>
      </c>
      <c r="E115" s="41">
        <f>1-SUM(E113,E111)</f>
        <v>0.19999999999999996</v>
      </c>
      <c r="F115" s="25"/>
      <c r="G115" s="25"/>
      <c r="H115" s="26">
        <f t="shared" ref="H115:P115" si="109">H294</f>
        <v>2.9830000000000001</v>
      </c>
      <c r="I115" s="26">
        <f t="shared" si="109"/>
        <v>2.0310000000000001</v>
      </c>
      <c r="J115" s="26">
        <f t="shared" si="109"/>
        <v>2.5499999999999998</v>
      </c>
      <c r="K115" s="26">
        <f t="shared" si="109"/>
        <v>2.7930000000000001</v>
      </c>
      <c r="L115" s="26">
        <f t="shared" si="109"/>
        <v>2.9889999999999999</v>
      </c>
      <c r="M115" s="26">
        <f t="shared" si="109"/>
        <v>2.9590000000000001</v>
      </c>
      <c r="N115" s="26">
        <f t="shared" si="109"/>
        <v>3.165</v>
      </c>
      <c r="O115" s="26">
        <f t="shared" si="109"/>
        <v>3.32</v>
      </c>
      <c r="P115" s="26">
        <f t="shared" si="109"/>
        <v>3.5129999999999999</v>
      </c>
      <c r="Q115" s="26">
        <f>Q294</f>
        <v>3.6440000000000001</v>
      </c>
      <c r="R115" s="332"/>
      <c r="S115" s="334"/>
      <c r="W115" s="1"/>
      <c r="X115"/>
      <c r="Y115"/>
      <c r="Z115"/>
    </row>
    <row r="116" spans="1:26" s="6" customFormat="1" ht="12" hidden="1" customHeight="1" outlineLevel="1">
      <c r="A116" s="28"/>
      <c r="B116" s="28"/>
      <c r="C116" s="28"/>
      <c r="D116" s="28" t="s">
        <v>184</v>
      </c>
      <c r="E116" s="28"/>
      <c r="F116" s="28"/>
      <c r="G116" s="28"/>
      <c r="H116" s="29"/>
      <c r="I116" s="29">
        <f t="shared" ref="I116:P116" si="110">I115/H115-1</f>
        <v>-0.31914180355346966</v>
      </c>
      <c r="J116" s="29">
        <f t="shared" si="110"/>
        <v>0.25553914327917271</v>
      </c>
      <c r="K116" s="29">
        <f t="shared" si="110"/>
        <v>9.5294117647058973E-2</v>
      </c>
      <c r="L116" s="29">
        <f t="shared" si="110"/>
        <v>7.0175438596491224E-2</v>
      </c>
      <c r="M116" s="29">
        <f t="shared" si="110"/>
        <v>-1.0036801605888157E-2</v>
      </c>
      <c r="N116" s="29">
        <f t="shared" si="110"/>
        <v>6.9618114227779637E-2</v>
      </c>
      <c r="O116" s="29">
        <f t="shared" si="110"/>
        <v>4.8973143759873494E-2</v>
      </c>
      <c r="P116" s="29">
        <f t="shared" si="110"/>
        <v>5.8132530120482029E-2</v>
      </c>
      <c r="Q116" s="29">
        <f>Q115/P115-1</f>
        <v>3.729006547110747E-2</v>
      </c>
      <c r="R116" s="332">
        <f>CORREL(I115:L115,I$109:L$109)</f>
        <v>0.46501348634923978</v>
      </c>
      <c r="S116" s="335"/>
      <c r="W116" s="1"/>
      <c r="X116"/>
      <c r="Y116"/>
      <c r="Z116"/>
    </row>
    <row r="117" spans="1:26" s="6" customFormat="1" hidden="1" outlineLevel="1">
      <c r="A117" s="305"/>
      <c r="B117" s="225"/>
      <c r="C117" s="25"/>
      <c r="D117" s="306" t="s">
        <v>188</v>
      </c>
      <c r="E117" s="313">
        <f>E111+E113+E115</f>
        <v>1</v>
      </c>
      <c r="F117" s="25"/>
      <c r="G117" s="25"/>
      <c r="H117" s="25"/>
      <c r="I117" s="25"/>
      <c r="J117" s="25"/>
      <c r="K117" s="25"/>
      <c r="L117" s="25"/>
      <c r="M117" s="25"/>
      <c r="N117" s="25"/>
      <c r="O117" s="25"/>
      <c r="P117" s="25"/>
      <c r="Q117" s="25"/>
      <c r="R117" s="336">
        <f>SUM(R111:R116)</f>
        <v>1.9938884574978339</v>
      </c>
      <c r="S117" s="334"/>
      <c r="W117" s="1"/>
      <c r="X117"/>
      <c r="Y117"/>
      <c r="Z117"/>
    </row>
    <row r="118" spans="1:26" s="1" customFormat="1" collapsed="1">
      <c r="A118" s="284" t="str">
        <f>'[3]TDF-Secondary cum Calculation'!A706</f>
        <v>Tunisia</v>
      </c>
      <c r="B118" s="285" t="str">
        <f>'[3]TDF-Secondary cum Calculation'!B706</f>
        <v>Tourism Flows</v>
      </c>
      <c r="C118" s="285" t="str">
        <f>'[3]TDF-Secondary cum Calculation'!C706</f>
        <v>International Arrivals by Place of Origin</v>
      </c>
      <c r="D118" s="284" t="str">
        <f>'[3]TDF-Secondary cum Calculation'!D706</f>
        <v>North America</v>
      </c>
      <c r="E118" s="286"/>
      <c r="F118" s="286" t="str">
        <f>'[3]TDF-Secondary cum Calculation'!J706</f>
        <v>Thousand</v>
      </c>
      <c r="G118" s="286"/>
      <c r="H118" s="287">
        <f>'Tourism Medium DB-LCU'!H27</f>
        <v>431.20611213830216</v>
      </c>
      <c r="I118" s="287">
        <f>'Tourism Medium DB-LCU'!I27</f>
        <v>454.00899261728284</v>
      </c>
      <c r="J118" s="287">
        <f>'Tourism Medium DB-LCU'!J27</f>
        <v>462.01333013491194</v>
      </c>
      <c r="K118" s="287">
        <f>'Tourism Medium DB-LCU'!K27</f>
        <v>492.45456352859901</v>
      </c>
      <c r="L118" s="287">
        <f>'Tourism Medium DB-LCU'!L27</f>
        <v>540.46059206019561</v>
      </c>
      <c r="M118" s="287">
        <f t="shared" ref="M118:P118" si="111">L118*(1+M119)</f>
        <v>570.49314963193831</v>
      </c>
      <c r="N118" s="287">
        <f t="shared" si="111"/>
        <v>598.4144207465099</v>
      </c>
      <c r="O118" s="287">
        <f t="shared" si="111"/>
        <v>628.9241193644956</v>
      </c>
      <c r="P118" s="287">
        <f t="shared" si="111"/>
        <v>656.46516791992951</v>
      </c>
      <c r="Q118" s="287">
        <f>P118*(1+Q119)</f>
        <v>682.86789081066956</v>
      </c>
      <c r="R118" s="329">
        <f>'Tourism Medium DB-LCU'!R27</f>
        <v>5.8083108187395815E-2</v>
      </c>
      <c r="S118" s="329">
        <f>'Tourism Medium DB-LCU'!S27</f>
        <v>4.7887191435022736E-2</v>
      </c>
      <c r="T118" s="6"/>
      <c r="U118" s="6"/>
      <c r="V118" s="6"/>
      <c r="X118"/>
      <c r="Y118"/>
      <c r="Z118"/>
    </row>
    <row r="119" spans="1:26" s="1" customFormat="1">
      <c r="A119" s="286"/>
      <c r="B119" s="286"/>
      <c r="C119" s="290" t="str">
        <f>'[3]TDF-Secondary cum Calculation'!C707</f>
        <v>Growth Rate</v>
      </c>
      <c r="D119" s="290"/>
      <c r="E119" s="290"/>
      <c r="F119" s="290" t="str">
        <f>'[3]TDF-Secondary cum Calculation'!J707</f>
        <v>%</v>
      </c>
      <c r="G119" s="290"/>
      <c r="H119" s="292"/>
      <c r="I119" s="292">
        <f>I118/H118-1</f>
        <v>5.2881626296769735E-2</v>
      </c>
      <c r="J119" s="292">
        <f>J118/I118-1</f>
        <v>1.7630350164399733E-2</v>
      </c>
      <c r="K119" s="292">
        <f>K118/J118-1</f>
        <v>6.5888214491123032E-2</v>
      </c>
      <c r="L119" s="292">
        <f>L118/K118-1</f>
        <v>9.7483163091468983E-2</v>
      </c>
      <c r="M119" s="292">
        <f>(($E121*M122+$E123*M124+M126*$E$125)*0.1+0.9*(((L118/I118)^(1/5))-1))*1.6</f>
        <v>5.556845034207001E-2</v>
      </c>
      <c r="N119" s="292">
        <f>(($E121*N122+$E123*N124+N126*$E$125)*0.9+0.1*(((M118/J118)^(1/5))-1))*1.07</f>
        <v>4.8942342484892959E-2</v>
      </c>
      <c r="O119" s="292">
        <f>(($E121*O122+$E123*O124+O126*$E$125)*0.1+0.9*(((N118/K118)^(1/5))-1))*1.3</f>
        <v>5.0984230259567415E-2</v>
      </c>
      <c r="P119" s="292">
        <f>(($E121*P122+$E123*P124+P126*$E$125)*0.1+0.9*(((O118/L118)^(1/5))-1))*1.4</f>
        <v>4.3790733583668501E-2</v>
      </c>
      <c r="Q119" s="292">
        <f>(($E121*Q122+$E123*Q124+Q126*$E$125)*0.1+0.9*(((P118/M118)^(1/5))-1))*1.4</f>
        <v>4.0219533618820281E-2</v>
      </c>
      <c r="R119" s="328"/>
      <c r="S119" s="328"/>
      <c r="T119" s="6"/>
      <c r="U119" s="6"/>
      <c r="V119" s="6"/>
      <c r="X119"/>
      <c r="Y119"/>
      <c r="Z119"/>
    </row>
    <row r="120" spans="1:26" s="1" customFormat="1" hidden="1" outlineLevel="1">
      <c r="A120" s="195"/>
      <c r="B120" s="195"/>
      <c r="C120" s="195"/>
      <c r="D120" s="196" t="s">
        <v>351</v>
      </c>
      <c r="E120" s="197" t="s">
        <v>352</v>
      </c>
      <c r="F120" s="197"/>
      <c r="G120" s="197"/>
      <c r="H120" s="200"/>
      <c r="I120" s="200"/>
      <c r="J120" s="200"/>
      <c r="K120" s="200"/>
      <c r="L120" s="200"/>
      <c r="M120" s="200"/>
      <c r="N120" s="200"/>
      <c r="O120" s="200"/>
      <c r="P120" s="200"/>
      <c r="Q120" s="200"/>
      <c r="R120" s="331"/>
      <c r="S120" s="331"/>
      <c r="T120" s="6"/>
      <c r="U120" s="6"/>
      <c r="V120" s="6"/>
      <c r="X120"/>
      <c r="Y120"/>
      <c r="Z120"/>
    </row>
    <row r="121" spans="1:26" s="6" customFormat="1" ht="16.5" hidden="1" customHeight="1" outlineLevel="1">
      <c r="A121" s="25"/>
      <c r="B121" s="25"/>
      <c r="C121" s="25"/>
      <c r="D121" s="25" t="s">
        <v>408</v>
      </c>
      <c r="E121" s="41">
        <v>0.7</v>
      </c>
      <c r="F121" s="25"/>
      <c r="G121" s="25"/>
      <c r="H121" s="26">
        <f t="shared" ref="H121:P121" si="112">H290</f>
        <v>0.35599999999999998</v>
      </c>
      <c r="I121" s="26">
        <f t="shared" si="112"/>
        <v>0.317</v>
      </c>
      <c r="J121" s="26">
        <f t="shared" si="112"/>
        <v>0.34799999999999998</v>
      </c>
      <c r="K121" s="26">
        <f t="shared" si="112"/>
        <v>0.40300000000000002</v>
      </c>
      <c r="L121" s="26">
        <f t="shared" si="112"/>
        <v>0.39500000000000002</v>
      </c>
      <c r="M121" s="26">
        <f t="shared" si="112"/>
        <v>0.40799999999999997</v>
      </c>
      <c r="N121" s="26">
        <f t="shared" si="112"/>
        <v>0.42299999999999999</v>
      </c>
      <c r="O121" s="26">
        <f t="shared" si="112"/>
        <v>0.435</v>
      </c>
      <c r="P121" s="26">
        <f t="shared" si="112"/>
        <v>0.44800000000000001</v>
      </c>
      <c r="Q121" s="26">
        <f>Q290</f>
        <v>0.46</v>
      </c>
      <c r="R121" s="332"/>
      <c r="S121" s="334"/>
      <c r="W121" s="1"/>
      <c r="X121"/>
      <c r="Y121"/>
      <c r="Z121"/>
    </row>
    <row r="122" spans="1:26" s="6" customFormat="1" ht="16.5" hidden="1" customHeight="1" outlineLevel="1">
      <c r="A122" s="28"/>
      <c r="B122" s="28"/>
      <c r="C122" s="28"/>
      <c r="D122" s="28" t="s">
        <v>184</v>
      </c>
      <c r="E122" s="28"/>
      <c r="F122" s="28"/>
      <c r="G122" s="28"/>
      <c r="H122" s="29"/>
      <c r="I122" s="29">
        <f t="shared" ref="I122:P122" si="113">I121/H121-1</f>
        <v>-0.1095505617977528</v>
      </c>
      <c r="J122" s="29">
        <f t="shared" si="113"/>
        <v>9.7791798107255357E-2</v>
      </c>
      <c r="K122" s="29">
        <f t="shared" si="113"/>
        <v>0.15804597701149437</v>
      </c>
      <c r="L122" s="29">
        <f t="shared" si="113"/>
        <v>-1.9851116625310139E-2</v>
      </c>
      <c r="M122" s="29">
        <f t="shared" si="113"/>
        <v>3.2911392405063244E-2</v>
      </c>
      <c r="N122" s="29">
        <f t="shared" si="113"/>
        <v>3.6764705882353033E-2</v>
      </c>
      <c r="O122" s="29">
        <f t="shared" si="113"/>
        <v>2.8368794326241176E-2</v>
      </c>
      <c r="P122" s="29">
        <f t="shared" si="113"/>
        <v>2.9885057471264354E-2</v>
      </c>
      <c r="Q122" s="29">
        <f>Q121/P121-1</f>
        <v>2.6785714285714413E-2</v>
      </c>
      <c r="R122" s="332">
        <f>CORREL(H122:K122,H$118:K$118)</f>
        <v>0.80667546133002532</v>
      </c>
      <c r="S122" s="335"/>
      <c r="W122" s="1"/>
      <c r="X122"/>
      <c r="Y122"/>
      <c r="Z122"/>
    </row>
    <row r="123" spans="1:26" s="6" customFormat="1" ht="16.5" hidden="1" customHeight="1" outlineLevel="1">
      <c r="A123" s="25"/>
      <c r="B123" s="25"/>
      <c r="C123" s="25"/>
      <c r="D123" s="25" t="s">
        <v>413</v>
      </c>
      <c r="E123" s="41">
        <v>0.2</v>
      </c>
      <c r="F123" s="25"/>
      <c r="G123" s="25"/>
      <c r="H123" s="26">
        <f t="shared" ref="H123:P123" si="114">H292</f>
        <v>46.375999999999998</v>
      </c>
      <c r="I123" s="26">
        <f t="shared" si="114"/>
        <v>42.408999999999999</v>
      </c>
      <c r="J123" s="26">
        <f t="shared" si="114"/>
        <v>46.771999999999998</v>
      </c>
      <c r="K123" s="26">
        <f t="shared" si="114"/>
        <v>55.003</v>
      </c>
      <c r="L123" s="26">
        <f t="shared" si="114"/>
        <v>56.588000000000001</v>
      </c>
      <c r="M123" s="26">
        <f t="shared" si="114"/>
        <v>58.281999999999996</v>
      </c>
      <c r="N123" s="26">
        <f t="shared" si="114"/>
        <v>62.168999999999997</v>
      </c>
      <c r="O123" s="26">
        <f t="shared" si="114"/>
        <v>65.19</v>
      </c>
      <c r="P123" s="26">
        <f t="shared" si="114"/>
        <v>68.13</v>
      </c>
      <c r="Q123" s="26">
        <f>Q292</f>
        <v>71.046000000000006</v>
      </c>
      <c r="R123" s="332"/>
      <c r="S123" s="334"/>
      <c r="W123" s="1"/>
      <c r="X123"/>
      <c r="Y123"/>
      <c r="Z123"/>
    </row>
    <row r="124" spans="1:26" s="6" customFormat="1" ht="16.5" hidden="1" customHeight="1" outlineLevel="1">
      <c r="A124" s="28"/>
      <c r="B124" s="28"/>
      <c r="C124" s="28"/>
      <c r="D124" s="28" t="s">
        <v>184</v>
      </c>
      <c r="E124" s="28"/>
      <c r="F124" s="28"/>
      <c r="G124" s="28"/>
      <c r="H124" s="29"/>
      <c r="I124" s="29">
        <f t="shared" ref="I124:P124" si="115">I123/H123-1</f>
        <v>-8.5539934448852883E-2</v>
      </c>
      <c r="J124" s="29">
        <f t="shared" si="115"/>
        <v>0.10287910585017324</v>
      </c>
      <c r="K124" s="29">
        <f t="shared" si="115"/>
        <v>0.17598135636705736</v>
      </c>
      <c r="L124" s="29">
        <f t="shared" si="115"/>
        <v>2.8816610003090659E-2</v>
      </c>
      <c r="M124" s="29">
        <f t="shared" si="115"/>
        <v>2.9935675408213624E-2</v>
      </c>
      <c r="N124" s="29">
        <f t="shared" si="115"/>
        <v>6.669297553275455E-2</v>
      </c>
      <c r="O124" s="29">
        <f t="shared" si="115"/>
        <v>4.8593350383631773E-2</v>
      </c>
      <c r="P124" s="29">
        <f t="shared" si="115"/>
        <v>4.5098941555453242E-2</v>
      </c>
      <c r="Q124" s="29">
        <f>Q123/P123-1</f>
        <v>4.2800528401585325E-2</v>
      </c>
      <c r="R124" s="332">
        <f>CORREL(H124:K124,H$118:K$118)</f>
        <v>0.8395835313404062</v>
      </c>
      <c r="S124" s="335"/>
      <c r="W124" s="1"/>
      <c r="X124"/>
      <c r="Y124"/>
      <c r="Z124"/>
    </row>
    <row r="125" spans="1:26" s="6" customFormat="1" ht="16.5" hidden="1" customHeight="1" outlineLevel="1">
      <c r="A125" s="25"/>
      <c r="B125" s="25"/>
      <c r="C125" s="25"/>
      <c r="D125" s="25" t="s">
        <v>412</v>
      </c>
      <c r="E125" s="41">
        <f>1-SUM(E123,E121)</f>
        <v>0.10000000000000009</v>
      </c>
      <c r="F125" s="25"/>
      <c r="G125" s="25"/>
      <c r="H125" s="26">
        <f t="shared" ref="H125:P125" si="116">H294</f>
        <v>2.9830000000000001</v>
      </c>
      <c r="I125" s="26">
        <f t="shared" si="116"/>
        <v>2.0310000000000001</v>
      </c>
      <c r="J125" s="26">
        <f t="shared" si="116"/>
        <v>2.5499999999999998</v>
      </c>
      <c r="K125" s="26">
        <f t="shared" si="116"/>
        <v>2.7930000000000001</v>
      </c>
      <c r="L125" s="26">
        <f t="shared" si="116"/>
        <v>2.9889999999999999</v>
      </c>
      <c r="M125" s="26">
        <f t="shared" si="116"/>
        <v>2.9590000000000001</v>
      </c>
      <c r="N125" s="26">
        <f t="shared" si="116"/>
        <v>3.165</v>
      </c>
      <c r="O125" s="26">
        <f t="shared" si="116"/>
        <v>3.32</v>
      </c>
      <c r="P125" s="26">
        <f t="shared" si="116"/>
        <v>3.5129999999999999</v>
      </c>
      <c r="Q125" s="26">
        <f>Q294</f>
        <v>3.6440000000000001</v>
      </c>
      <c r="R125" s="332"/>
      <c r="S125" s="334"/>
      <c r="W125" s="1"/>
      <c r="X125"/>
      <c r="Y125"/>
      <c r="Z125"/>
    </row>
    <row r="126" spans="1:26" s="6" customFormat="1" ht="16.5" hidden="1" customHeight="1" outlineLevel="1">
      <c r="A126" s="28"/>
      <c r="B126" s="28"/>
      <c r="C126" s="28"/>
      <c r="D126" s="28" t="s">
        <v>184</v>
      </c>
      <c r="E126" s="28"/>
      <c r="F126" s="28"/>
      <c r="G126" s="28"/>
      <c r="H126" s="29"/>
      <c r="I126" s="29">
        <f t="shared" ref="I126:P126" si="117">I125/H125-1</f>
        <v>-0.31914180355346966</v>
      </c>
      <c r="J126" s="29">
        <f t="shared" si="117"/>
        <v>0.25553914327917271</v>
      </c>
      <c r="K126" s="29">
        <f t="shared" si="117"/>
        <v>9.5294117647058973E-2</v>
      </c>
      <c r="L126" s="29">
        <f t="shared" si="117"/>
        <v>7.0175438596491224E-2</v>
      </c>
      <c r="M126" s="29">
        <f t="shared" si="117"/>
        <v>-1.0036801605888157E-2</v>
      </c>
      <c r="N126" s="29">
        <f t="shared" si="117"/>
        <v>6.9618114227779637E-2</v>
      </c>
      <c r="O126" s="29">
        <f t="shared" si="117"/>
        <v>4.8973143759873494E-2</v>
      </c>
      <c r="P126" s="29">
        <f t="shared" si="117"/>
        <v>5.8132530120482029E-2</v>
      </c>
      <c r="Q126" s="29">
        <f>Q125/P125-1</f>
        <v>3.729006547110747E-2</v>
      </c>
      <c r="R126" s="332">
        <f>CORREL(H126:K126,H$118:K$118)</f>
        <v>0.43373269808187526</v>
      </c>
      <c r="S126" s="335"/>
      <c r="W126" s="1"/>
      <c r="X126"/>
      <c r="Y126"/>
      <c r="Z126"/>
    </row>
    <row r="127" spans="1:26" s="6" customFormat="1" hidden="1" outlineLevel="1">
      <c r="A127" s="305"/>
      <c r="B127" s="225"/>
      <c r="C127" s="25"/>
      <c r="D127" s="306" t="s">
        <v>188</v>
      </c>
      <c r="E127" s="313">
        <f>E121+E123+E125</f>
        <v>1</v>
      </c>
      <c r="F127" s="25"/>
      <c r="G127" s="25"/>
      <c r="H127" s="25"/>
      <c r="I127" s="25"/>
      <c r="J127" s="25"/>
      <c r="K127" s="25"/>
      <c r="L127" s="25"/>
      <c r="M127" s="25"/>
      <c r="N127" s="25"/>
      <c r="O127" s="25"/>
      <c r="P127" s="25"/>
      <c r="Q127" s="25"/>
      <c r="R127" s="336">
        <f>SUM(R121:R126)</f>
        <v>2.0799916907523071</v>
      </c>
      <c r="S127" s="334"/>
      <c r="W127" s="1"/>
      <c r="X127"/>
      <c r="Y127"/>
      <c r="Z127"/>
    </row>
    <row r="128" spans="1:26" s="6" customFormat="1" collapsed="1">
      <c r="A128" s="284" t="str">
        <f>'[3]TDF-Secondary cum Calculation'!A714</f>
        <v>Tunisia</v>
      </c>
      <c r="B128" s="285" t="str">
        <f>'[3]TDF-Secondary cum Calculation'!B714</f>
        <v>Tourism Flows</v>
      </c>
      <c r="C128" s="285" t="str">
        <f>'[3]TDF-Secondary cum Calculation'!C714</f>
        <v>International Arrivals by Place of Origin</v>
      </c>
      <c r="D128" s="284" t="str">
        <f>'[3]TDF-Secondary cum Calculation'!D714</f>
        <v>South &amp; Central America</v>
      </c>
      <c r="E128" s="286"/>
      <c r="F128" s="284" t="str">
        <f>'[3]TDF-Secondary cum Calculation'!J714</f>
        <v>Thousand</v>
      </c>
      <c r="G128" s="284"/>
      <c r="H128" s="287">
        <f>'Tourism Medium DB-LCU'!H28</f>
        <v>35.186055333149852</v>
      </c>
      <c r="I128" s="287">
        <f>'Tourism Medium DB-LCU'!I28</f>
        <v>37.469948920723255</v>
      </c>
      <c r="J128" s="287">
        <f>'Tourism Medium DB-LCU'!J28</f>
        <v>37.941367416173307</v>
      </c>
      <c r="K128" s="287">
        <f>'Tourism Medium DB-LCU'!K28</f>
        <v>40.690477339441713</v>
      </c>
      <c r="L128" s="287">
        <f>'Tourism Medium DB-LCU'!L28</f>
        <v>45.025842063536402</v>
      </c>
      <c r="M128" s="287">
        <f>M76-(M78+M88+M98+M108+M118)</f>
        <v>47.662550772602117</v>
      </c>
      <c r="N128" s="287">
        <f t="shared" ref="N128:Q128" si="118">N76-(N78+N88+N98+N108+N118)</f>
        <v>50.276301607000278</v>
      </c>
      <c r="O128" s="287">
        <f t="shared" si="118"/>
        <v>53.13467002987818</v>
      </c>
      <c r="P128" s="287">
        <f t="shared" si="118"/>
        <v>56.222734051034422</v>
      </c>
      <c r="Q128" s="287">
        <f t="shared" si="118"/>
        <v>59.064081800885106</v>
      </c>
      <c r="R128" s="329">
        <f>'Tourism Medium DB-LCU'!R28</f>
        <v>6.3586498393016999E-2</v>
      </c>
      <c r="S128" s="329">
        <f>'Tourism Medium DB-LCU'!S28</f>
        <v>5.5777306171793217E-2</v>
      </c>
      <c r="W128" s="1"/>
      <c r="X128"/>
      <c r="Y128"/>
      <c r="Z128"/>
    </row>
    <row r="129" spans="1:26" s="6" customFormat="1">
      <c r="A129" s="286"/>
      <c r="B129" s="286"/>
      <c r="C129" s="290" t="str">
        <f>'[3]TDF-Secondary cum Calculation'!C715</f>
        <v>Growth Rate</v>
      </c>
      <c r="D129" s="290"/>
      <c r="E129" s="290"/>
      <c r="F129" s="290" t="str">
        <f>'[3]TDF-Secondary cum Calculation'!J715</f>
        <v>%</v>
      </c>
      <c r="G129" s="290"/>
      <c r="H129" s="292"/>
      <c r="I129" s="292">
        <f>I128/H128-1</f>
        <v>6.4909054622604323E-2</v>
      </c>
      <c r="J129" s="292">
        <f>J128/I128-1</f>
        <v>1.2581242009362059E-2</v>
      </c>
      <c r="K129" s="292">
        <f>K128/J128-1</f>
        <v>7.2456796116856292E-2</v>
      </c>
      <c r="L129" s="292">
        <f>L128/K128-1</f>
        <v>0.10654494632562028</v>
      </c>
      <c r="M129" s="292">
        <f t="shared" ref="M129:Q129" si="119">M128/L128-1</f>
        <v>5.8559897788142079E-2</v>
      </c>
      <c r="N129" s="292">
        <f t="shared" si="119"/>
        <v>5.4838668766771681E-2</v>
      </c>
      <c r="O129" s="292">
        <f t="shared" si="119"/>
        <v>5.6853195869918771E-2</v>
      </c>
      <c r="P129" s="292">
        <f t="shared" si="119"/>
        <v>5.8117685108796113E-2</v>
      </c>
      <c r="Q129" s="292">
        <f t="shared" si="119"/>
        <v>5.0537345751836549E-2</v>
      </c>
      <c r="R129" s="328"/>
      <c r="S129" s="328"/>
      <c r="W129" s="1"/>
      <c r="X129"/>
      <c r="Y129"/>
      <c r="Z129"/>
    </row>
    <row r="130" spans="1:26" s="6" customFormat="1">
      <c r="A130" s="195"/>
      <c r="B130" s="195"/>
      <c r="C130" s="195"/>
      <c r="D130" s="196" t="s">
        <v>351</v>
      </c>
      <c r="E130" s="197" t="s">
        <v>352</v>
      </c>
      <c r="F130" s="197"/>
      <c r="G130" s="197"/>
      <c r="H130" s="200"/>
      <c r="I130" s="200"/>
      <c r="J130" s="200"/>
      <c r="K130" s="200"/>
      <c r="L130" s="200"/>
      <c r="M130" s="200"/>
      <c r="N130" s="200"/>
      <c r="O130" s="200"/>
      <c r="P130" s="200"/>
      <c r="Q130" s="200"/>
      <c r="R130" s="331"/>
      <c r="S130" s="331"/>
      <c r="W130" s="1"/>
      <c r="X130"/>
      <c r="Y130"/>
      <c r="Z130"/>
    </row>
    <row r="131" spans="1:26" s="6" customFormat="1" ht="12" hidden="1" customHeight="1" outlineLevel="1">
      <c r="A131" s="25"/>
      <c r="B131" s="25"/>
      <c r="C131" s="25"/>
      <c r="D131" s="25" t="s">
        <v>408</v>
      </c>
      <c r="E131" s="41">
        <v>0.5</v>
      </c>
      <c r="F131" s="25"/>
      <c r="G131" s="25"/>
      <c r="H131" s="26">
        <f t="shared" ref="H131:P131" si="120">H290</f>
        <v>0.35599999999999998</v>
      </c>
      <c r="I131" s="26">
        <f t="shared" si="120"/>
        <v>0.317</v>
      </c>
      <c r="J131" s="26">
        <f t="shared" si="120"/>
        <v>0.34799999999999998</v>
      </c>
      <c r="K131" s="26">
        <f t="shared" si="120"/>
        <v>0.40300000000000002</v>
      </c>
      <c r="L131" s="26">
        <f t="shared" si="120"/>
        <v>0.39500000000000002</v>
      </c>
      <c r="M131" s="26">
        <f t="shared" si="120"/>
        <v>0.40799999999999997</v>
      </c>
      <c r="N131" s="26">
        <f t="shared" si="120"/>
        <v>0.42299999999999999</v>
      </c>
      <c r="O131" s="26">
        <f t="shared" si="120"/>
        <v>0.435</v>
      </c>
      <c r="P131" s="26">
        <f t="shared" si="120"/>
        <v>0.44800000000000001</v>
      </c>
      <c r="Q131" s="26">
        <f>Q290</f>
        <v>0.46</v>
      </c>
      <c r="R131" s="332"/>
      <c r="S131" s="334"/>
      <c r="W131" s="1"/>
      <c r="X131"/>
      <c r="Y131"/>
      <c r="Z131"/>
    </row>
    <row r="132" spans="1:26" s="6" customFormat="1" ht="12" hidden="1" customHeight="1" outlineLevel="1">
      <c r="A132" s="28"/>
      <c r="B132" s="28"/>
      <c r="C132" s="28"/>
      <c r="D132" s="28" t="s">
        <v>184</v>
      </c>
      <c r="E132" s="28"/>
      <c r="F132" s="28"/>
      <c r="G132" s="28"/>
      <c r="H132" s="29"/>
      <c r="I132" s="29">
        <f t="shared" ref="I132:P132" si="121">I131/H131-1</f>
        <v>-0.1095505617977528</v>
      </c>
      <c r="J132" s="29">
        <f t="shared" si="121"/>
        <v>9.7791798107255357E-2</v>
      </c>
      <c r="K132" s="29">
        <f t="shared" si="121"/>
        <v>0.15804597701149437</v>
      </c>
      <c r="L132" s="29">
        <f t="shared" si="121"/>
        <v>-1.9851116625310139E-2</v>
      </c>
      <c r="M132" s="29">
        <f t="shared" si="121"/>
        <v>3.2911392405063244E-2</v>
      </c>
      <c r="N132" s="29">
        <f t="shared" si="121"/>
        <v>3.6764705882353033E-2</v>
      </c>
      <c r="O132" s="29">
        <f t="shared" si="121"/>
        <v>2.8368794326241176E-2</v>
      </c>
      <c r="P132" s="29">
        <f t="shared" si="121"/>
        <v>2.9885057471264354E-2</v>
      </c>
      <c r="Q132" s="29">
        <f>Q131/P131-1</f>
        <v>2.6785714285714413E-2</v>
      </c>
      <c r="R132" s="332">
        <f>CORREL(H132:K132,H$129:K$129)</f>
        <v>-0.19014192082725787</v>
      </c>
      <c r="S132" s="335"/>
      <c r="W132" s="1"/>
      <c r="X132"/>
      <c r="Y132"/>
      <c r="Z132"/>
    </row>
    <row r="133" spans="1:26" s="6" customFormat="1" ht="12" hidden="1" customHeight="1" outlineLevel="1">
      <c r="A133" s="25"/>
      <c r="B133" s="25"/>
      <c r="C133" s="25"/>
      <c r="D133" s="25" t="s">
        <v>413</v>
      </c>
      <c r="E133" s="41">
        <v>0.25</v>
      </c>
      <c r="F133" s="25"/>
      <c r="G133" s="25"/>
      <c r="H133" s="26">
        <f t="shared" ref="H133:P133" si="122">H292</f>
        <v>46.375999999999998</v>
      </c>
      <c r="I133" s="26">
        <f t="shared" si="122"/>
        <v>42.408999999999999</v>
      </c>
      <c r="J133" s="26">
        <f t="shared" si="122"/>
        <v>46.771999999999998</v>
      </c>
      <c r="K133" s="26">
        <f t="shared" si="122"/>
        <v>55.003</v>
      </c>
      <c r="L133" s="26">
        <f t="shared" si="122"/>
        <v>56.588000000000001</v>
      </c>
      <c r="M133" s="26">
        <f t="shared" si="122"/>
        <v>58.281999999999996</v>
      </c>
      <c r="N133" s="26">
        <f t="shared" si="122"/>
        <v>62.168999999999997</v>
      </c>
      <c r="O133" s="26">
        <f t="shared" si="122"/>
        <v>65.19</v>
      </c>
      <c r="P133" s="26">
        <f t="shared" si="122"/>
        <v>68.13</v>
      </c>
      <c r="Q133" s="26">
        <f>Q292</f>
        <v>71.046000000000006</v>
      </c>
      <c r="R133" s="332"/>
      <c r="S133" s="334"/>
      <c r="W133" s="1"/>
      <c r="X133"/>
      <c r="Y133"/>
      <c r="Z133"/>
    </row>
    <row r="134" spans="1:26" s="6" customFormat="1" ht="12" hidden="1" customHeight="1" outlineLevel="1">
      <c r="A134" s="28"/>
      <c r="B134" s="28"/>
      <c r="C134" s="28"/>
      <c r="D134" s="28" t="s">
        <v>184</v>
      </c>
      <c r="E134" s="28"/>
      <c r="F134" s="28"/>
      <c r="G134" s="28"/>
      <c r="H134" s="29"/>
      <c r="I134" s="29">
        <f t="shared" ref="I134:P134" si="123">I133/H133-1</f>
        <v>-8.5539934448852883E-2</v>
      </c>
      <c r="J134" s="29">
        <f t="shared" si="123"/>
        <v>0.10287910585017324</v>
      </c>
      <c r="K134" s="29">
        <f t="shared" si="123"/>
        <v>0.17598135636705736</v>
      </c>
      <c r="L134" s="29">
        <f t="shared" si="123"/>
        <v>2.8816610003090659E-2</v>
      </c>
      <c r="M134" s="29">
        <f t="shared" si="123"/>
        <v>2.9935675408213624E-2</v>
      </c>
      <c r="N134" s="29">
        <f t="shared" si="123"/>
        <v>6.669297553275455E-2</v>
      </c>
      <c r="O134" s="29">
        <f t="shared" si="123"/>
        <v>4.8593350383631773E-2</v>
      </c>
      <c r="P134" s="29">
        <f t="shared" si="123"/>
        <v>4.5098941555453242E-2</v>
      </c>
      <c r="Q134" s="29">
        <f>Q133/P133-1</f>
        <v>4.2800528401585325E-2</v>
      </c>
      <c r="R134" s="332">
        <f>CORREL(H134:K134,H$129:K$129)</f>
        <v>-0.13290120445324738</v>
      </c>
      <c r="S134" s="335"/>
      <c r="W134" s="1"/>
      <c r="X134"/>
      <c r="Y134"/>
      <c r="Z134"/>
    </row>
    <row r="135" spans="1:26" s="6" customFormat="1" ht="12" hidden="1" customHeight="1" outlineLevel="1">
      <c r="A135" s="25"/>
      <c r="B135" s="25"/>
      <c r="C135" s="25"/>
      <c r="D135" s="25" t="s">
        <v>412</v>
      </c>
      <c r="E135" s="41">
        <f>1-SUM(E133,E131)</f>
        <v>0.25</v>
      </c>
      <c r="F135" s="25"/>
      <c r="G135" s="25"/>
      <c r="H135" s="26">
        <f t="shared" ref="H135:P135" si="124">H294</f>
        <v>2.9830000000000001</v>
      </c>
      <c r="I135" s="26">
        <f t="shared" si="124"/>
        <v>2.0310000000000001</v>
      </c>
      <c r="J135" s="26">
        <f t="shared" si="124"/>
        <v>2.5499999999999998</v>
      </c>
      <c r="K135" s="26">
        <f t="shared" si="124"/>
        <v>2.7930000000000001</v>
      </c>
      <c r="L135" s="26">
        <f t="shared" si="124"/>
        <v>2.9889999999999999</v>
      </c>
      <c r="M135" s="26">
        <f t="shared" si="124"/>
        <v>2.9590000000000001</v>
      </c>
      <c r="N135" s="26">
        <f t="shared" si="124"/>
        <v>3.165</v>
      </c>
      <c r="O135" s="26">
        <f t="shared" si="124"/>
        <v>3.32</v>
      </c>
      <c r="P135" s="26">
        <f t="shared" si="124"/>
        <v>3.5129999999999999</v>
      </c>
      <c r="Q135" s="26">
        <f>Q294</f>
        <v>3.6440000000000001</v>
      </c>
      <c r="R135" s="332"/>
      <c r="S135" s="334"/>
      <c r="W135" s="1"/>
      <c r="X135"/>
      <c r="Y135"/>
      <c r="Z135"/>
    </row>
    <row r="136" spans="1:26" s="6" customFormat="1" ht="12" hidden="1" customHeight="1" outlineLevel="1">
      <c r="A136" s="28"/>
      <c r="B136" s="28"/>
      <c r="C136" s="28"/>
      <c r="D136" s="28" t="s">
        <v>184</v>
      </c>
      <c r="E136" s="28"/>
      <c r="F136" s="28"/>
      <c r="G136" s="28"/>
      <c r="H136" s="29"/>
      <c r="I136" s="29">
        <f t="shared" ref="I136:P136" si="125">I135/H135-1</f>
        <v>-0.31914180355346966</v>
      </c>
      <c r="J136" s="29">
        <f t="shared" si="125"/>
        <v>0.25553914327917271</v>
      </c>
      <c r="K136" s="29">
        <f t="shared" si="125"/>
        <v>9.5294117647058973E-2</v>
      </c>
      <c r="L136" s="29">
        <f t="shared" si="125"/>
        <v>7.0175438596491224E-2</v>
      </c>
      <c r="M136" s="29">
        <f t="shared" si="125"/>
        <v>-1.0036801605888157E-2</v>
      </c>
      <c r="N136" s="29">
        <f t="shared" si="125"/>
        <v>6.9618114227779637E-2</v>
      </c>
      <c r="O136" s="29">
        <f t="shared" si="125"/>
        <v>4.8973143759873494E-2</v>
      </c>
      <c r="P136" s="29">
        <f t="shared" si="125"/>
        <v>5.8132530120482029E-2</v>
      </c>
      <c r="Q136" s="29">
        <f>Q135/P135-1</f>
        <v>3.729006547110747E-2</v>
      </c>
      <c r="R136" s="332">
        <f>CORREL(H136:K136,H$129:K$129)</f>
        <v>-0.62971041834276109</v>
      </c>
      <c r="S136" s="335"/>
      <c r="W136" s="1"/>
      <c r="X136"/>
      <c r="Y136"/>
      <c r="Z136"/>
    </row>
    <row r="137" spans="1:26" s="6" customFormat="1" collapsed="1">
      <c r="A137" s="305"/>
      <c r="B137" s="225"/>
      <c r="C137" s="25"/>
      <c r="D137" s="306" t="s">
        <v>188</v>
      </c>
      <c r="E137" s="313">
        <f>E131+E133+E135</f>
        <v>1</v>
      </c>
      <c r="F137" s="25"/>
      <c r="G137" s="25"/>
      <c r="H137" s="25"/>
      <c r="I137" s="25"/>
      <c r="J137" s="25"/>
      <c r="K137" s="25"/>
      <c r="L137" s="25"/>
      <c r="M137" s="25"/>
      <c r="N137" s="25"/>
      <c r="O137" s="25"/>
      <c r="P137" s="25"/>
      <c r="Q137" s="25"/>
      <c r="R137" s="336">
        <f>SUM(R131:R136)</f>
        <v>-0.95275354362326636</v>
      </c>
      <c r="S137" s="334"/>
      <c r="W137" s="1"/>
      <c r="X137"/>
      <c r="Y137"/>
      <c r="Z137"/>
    </row>
    <row r="138" spans="1:26" s="1" customFormat="1">
      <c r="A138" s="279" t="str">
        <f>'[3]TDF-Secondary cum Calculation'!A792</f>
        <v>Tunisia</v>
      </c>
      <c r="B138" s="280" t="str">
        <f>'[3]TDF-Secondary cum Calculation'!B792</f>
        <v>Tourism Flows</v>
      </c>
      <c r="C138" s="279" t="str">
        <f>'[3]TDF-Secondary cum Calculation'!C792</f>
        <v>International Arrivals by Purpose of Visit</v>
      </c>
      <c r="D138" s="207"/>
      <c r="E138" s="207"/>
      <c r="F138" s="279" t="str">
        <f>'[3]TDF-Secondary cum Calculation'!J792</f>
        <v>Thousand</v>
      </c>
      <c r="G138" s="279"/>
      <c r="H138" s="342">
        <f>'Tourism Medium DB-LCU'!H29</f>
        <v>8717.646556833155</v>
      </c>
      <c r="I138" s="342">
        <f>'Tourism Medium DB-LCU'!I29</f>
        <v>9244.2489954946413</v>
      </c>
      <c r="J138" s="342">
        <f>'Tourism Medium DB-LCU'!J29</f>
        <v>9353.6700759870073</v>
      </c>
      <c r="K138" s="342">
        <f>'Tourism Medium DB-LCU'!K29</f>
        <v>9959.1190000000006</v>
      </c>
      <c r="L138" s="342">
        <f>'Tourism Medium DB-LCU'!L29</f>
        <v>10913.915999999999</v>
      </c>
      <c r="M138" s="342">
        <f>M76</f>
        <v>11543.224747546275</v>
      </c>
      <c r="N138" s="342">
        <f t="shared" ref="N138:Q138" si="126">N76</f>
        <v>12121.058448030881</v>
      </c>
      <c r="O138" s="342">
        <f t="shared" si="126"/>
        <v>12724.036091365158</v>
      </c>
      <c r="P138" s="342">
        <f t="shared" si="126"/>
        <v>13353.985537537084</v>
      </c>
      <c r="Q138" s="342">
        <f t="shared" si="126"/>
        <v>13942.947242026106</v>
      </c>
      <c r="R138" s="325">
        <f>(L138/H138)^(1/4)-1</f>
        <v>5.7779966086145773E-2</v>
      </c>
      <c r="S138" s="325">
        <f>(Q138/L138)^(1/5)-1</f>
        <v>5.0206726146625025E-2</v>
      </c>
      <c r="T138" s="6"/>
      <c r="U138" s="6"/>
      <c r="V138" s="6"/>
      <c r="X138"/>
      <c r="Y138"/>
      <c r="Z138"/>
    </row>
    <row r="139" spans="1:26">
      <c r="A139" s="207"/>
      <c r="B139" s="207"/>
      <c r="C139" s="282" t="str">
        <f>'[3]TDF-Secondary cum Calculation'!C793</f>
        <v>Growth Rate</v>
      </c>
      <c r="D139" s="282"/>
      <c r="E139" s="282"/>
      <c r="F139" s="282" t="str">
        <f>'[3]TDF-Secondary cum Calculation'!J793</f>
        <v>%</v>
      </c>
      <c r="G139" s="282"/>
      <c r="H139" s="213"/>
      <c r="I139" s="213">
        <f>I138/H138-1</f>
        <v>6.0406491044159072E-2</v>
      </c>
      <c r="J139" s="213">
        <f>J138/I138-1</f>
        <v>1.183666521160287E-2</v>
      </c>
      <c r="K139" s="213">
        <f>K138/J138-1</f>
        <v>6.4728488293308351E-2</v>
      </c>
      <c r="L139" s="213">
        <f>L138/K138-1</f>
        <v>9.5871632822140063E-2</v>
      </c>
      <c r="M139" s="213">
        <f t="shared" ref="M139:P139" si="127">M138/L138-1</f>
        <v>5.766113167320297E-2</v>
      </c>
      <c r="N139" s="213">
        <f t="shared" si="127"/>
        <v>5.0058256087185171E-2</v>
      </c>
      <c r="O139" s="213">
        <f t="shared" si="127"/>
        <v>4.9746286260358152E-2</v>
      </c>
      <c r="P139" s="213">
        <f t="shared" si="127"/>
        <v>4.9508618307002816E-2</v>
      </c>
      <c r="Q139" s="213">
        <f>Q138/P138-1</f>
        <v>4.4103814762528559E-2</v>
      </c>
      <c r="R139" s="210"/>
      <c r="S139" s="210"/>
    </row>
    <row r="140" spans="1:26">
      <c r="A140" s="279" t="str">
        <f>'[3]TDF-Secondary cum Calculation'!A794</f>
        <v>Tunisia</v>
      </c>
      <c r="B140" s="280" t="str">
        <f>'[3]TDF-Secondary cum Calculation'!B794</f>
        <v>Tourism Flows</v>
      </c>
      <c r="C140" s="280" t="str">
        <f>'[3]TDF-Secondary cum Calculation'!C794</f>
        <v>International Arrivals by Purpose of Visit</v>
      </c>
      <c r="D140" s="279" t="str">
        <f>'[3]TDF-Secondary cum Calculation'!D794</f>
        <v>Business</v>
      </c>
      <c r="E140" s="207"/>
      <c r="F140" s="207" t="str">
        <f>'[3]TDF-Secondary cum Calculation'!J794</f>
        <v>Thousand</v>
      </c>
      <c r="G140" s="207"/>
      <c r="H140" s="369">
        <f>'Tourism Medium DB-LCU'!H30</f>
        <v>0</v>
      </c>
      <c r="I140" s="369">
        <f>'Tourism Medium DB-LCU'!I30</f>
        <v>0</v>
      </c>
      <c r="J140" s="369">
        <f>'Tourism Medium DB-LCU'!J30</f>
        <v>0</v>
      </c>
      <c r="K140" s="369">
        <f>'Tourism Medium DB-LCU'!K30</f>
        <v>0</v>
      </c>
      <c r="L140" s="369">
        <f>'Tourism Medium DB-LCU'!L30</f>
        <v>0</v>
      </c>
      <c r="M140" s="369" t="e">
        <f>M$138*M146</f>
        <v>#DIV/0!</v>
      </c>
      <c r="N140" s="369" t="e">
        <f t="shared" ref="N140:P142" si="128">N$138*N146</f>
        <v>#DIV/0!</v>
      </c>
      <c r="O140" s="369" t="e">
        <f t="shared" si="128"/>
        <v>#DIV/0!</v>
      </c>
      <c r="P140" s="369" t="e">
        <f t="shared" si="128"/>
        <v>#DIV/0!</v>
      </c>
      <c r="Q140" s="369" t="e">
        <f>Q$138*Q146</f>
        <v>#DIV/0!</v>
      </c>
      <c r="R140" s="326" t="e">
        <f>(L140/H140)^(1/4)-1</f>
        <v>#DIV/0!</v>
      </c>
      <c r="S140" s="326" t="e">
        <f>(Q140/L140)^(1/5)-1</f>
        <v>#DIV/0!</v>
      </c>
      <c r="T140" s="314"/>
    </row>
    <row r="141" spans="1:26">
      <c r="A141" s="207"/>
      <c r="B141" s="207"/>
      <c r="C141" s="282" t="str">
        <f>'[3]TDF-Secondary cum Calculation'!C795</f>
        <v>Growth Rate</v>
      </c>
      <c r="D141" s="282"/>
      <c r="E141" s="282"/>
      <c r="F141" s="282" t="str">
        <f>'[3]TDF-Secondary cum Calculation'!J795</f>
        <v>%</v>
      </c>
      <c r="G141" s="282"/>
      <c r="H141" s="213"/>
      <c r="I141" s="213" t="e">
        <f t="shared" ref="I141:N141" si="129">I140/H140-1</f>
        <v>#DIV/0!</v>
      </c>
      <c r="J141" s="213" t="e">
        <f t="shared" si="129"/>
        <v>#DIV/0!</v>
      </c>
      <c r="K141" s="213" t="e">
        <f t="shared" si="129"/>
        <v>#DIV/0!</v>
      </c>
      <c r="L141" s="213" t="e">
        <f t="shared" si="129"/>
        <v>#DIV/0!</v>
      </c>
      <c r="M141" s="213" t="e">
        <f t="shared" si="129"/>
        <v>#DIV/0!</v>
      </c>
      <c r="N141" s="213" t="e">
        <f t="shared" si="129"/>
        <v>#DIV/0!</v>
      </c>
      <c r="O141" s="213" t="e">
        <f t="shared" ref="O141:P141" si="130">O140/N140-1</f>
        <v>#DIV/0!</v>
      </c>
      <c r="P141" s="213" t="e">
        <f t="shared" si="130"/>
        <v>#DIV/0!</v>
      </c>
      <c r="Q141" s="213" t="e">
        <f>Q140/P140-1</f>
        <v>#DIV/0!</v>
      </c>
      <c r="R141" s="210"/>
      <c r="S141" s="210"/>
    </row>
    <row r="142" spans="1:26">
      <c r="A142" s="279" t="str">
        <f>'[3]TDF-Secondary cum Calculation'!A796</f>
        <v>Tunisia</v>
      </c>
      <c r="B142" s="280" t="str">
        <f>'[3]TDF-Secondary cum Calculation'!B796</f>
        <v>Tourism Flows</v>
      </c>
      <c r="C142" s="280" t="str">
        <f>'[3]TDF-Secondary cum Calculation'!C796</f>
        <v>International Arrivals by Purpose of Visit</v>
      </c>
      <c r="D142" s="279" t="str">
        <f>'[3]TDF-Secondary cum Calculation'!D796</f>
        <v>Leisure</v>
      </c>
      <c r="E142" s="207"/>
      <c r="F142" s="207" t="str">
        <f>'[3]TDF-Secondary cum Calculation'!J796</f>
        <v>Thousand</v>
      </c>
      <c r="G142" s="207"/>
      <c r="H142" s="369" t="str">
        <f>'Tourism Medium DB-LCU'!H31</f>
        <v>:</v>
      </c>
      <c r="I142" s="369" t="str">
        <f>'Tourism Medium DB-LCU'!I31</f>
        <v>:</v>
      </c>
      <c r="J142" s="369" t="str">
        <f>'Tourism Medium DB-LCU'!J31</f>
        <v>:</v>
      </c>
      <c r="K142" s="369" t="str">
        <f>'Tourism Medium DB-LCU'!K31</f>
        <v>:</v>
      </c>
      <c r="L142" s="369">
        <f>'Tourism Medium DB-LCU'!L31</f>
        <v>4050.88</v>
      </c>
      <c r="M142" s="369" t="e">
        <f>M$138*M148</f>
        <v>#VALUE!</v>
      </c>
      <c r="N142" s="369" t="e">
        <f t="shared" si="128"/>
        <v>#VALUE!</v>
      </c>
      <c r="O142" s="369" t="e">
        <f t="shared" si="128"/>
        <v>#VALUE!</v>
      </c>
      <c r="P142" s="369" t="e">
        <f t="shared" si="128"/>
        <v>#VALUE!</v>
      </c>
      <c r="Q142" s="369" t="e">
        <f>Q$138*Q148</f>
        <v>#VALUE!</v>
      </c>
      <c r="R142" s="326" t="e">
        <f>(L142/H142)^(1/4)-1</f>
        <v>#VALUE!</v>
      </c>
      <c r="S142" s="326" t="e">
        <f>(Q142/L142)^(1/5)-1</f>
        <v>#VALUE!</v>
      </c>
      <c r="T142" s="314"/>
    </row>
    <row r="143" spans="1:26">
      <c r="A143" s="207"/>
      <c r="B143" s="207"/>
      <c r="C143" s="282" t="str">
        <f>'[3]TDF-Secondary cum Calculation'!C797</f>
        <v>Growth Rate</v>
      </c>
      <c r="D143" s="282"/>
      <c r="E143" s="282"/>
      <c r="F143" s="282" t="str">
        <f>'[3]TDF-Secondary cum Calculation'!J797</f>
        <v>%</v>
      </c>
      <c r="G143" s="282"/>
      <c r="H143" s="213"/>
      <c r="I143" s="213" t="e">
        <f>I142/H142-1</f>
        <v>#VALUE!</v>
      </c>
      <c r="J143" s="213" t="e">
        <f>J142/I142-1</f>
        <v>#VALUE!</v>
      </c>
      <c r="K143" s="213" t="e">
        <f>K142/J142-1</f>
        <v>#VALUE!</v>
      </c>
      <c r="L143" s="213" t="e">
        <f>L142/K142-1</f>
        <v>#VALUE!</v>
      </c>
      <c r="M143" s="213" t="e">
        <f t="shared" ref="M143:P143" si="131">M142/L142-1</f>
        <v>#VALUE!</v>
      </c>
      <c r="N143" s="213" t="e">
        <f t="shared" si="131"/>
        <v>#VALUE!</v>
      </c>
      <c r="O143" s="780" t="e">
        <f t="shared" si="131"/>
        <v>#VALUE!</v>
      </c>
      <c r="P143" s="780" t="e">
        <f t="shared" si="131"/>
        <v>#VALUE!</v>
      </c>
      <c r="Q143" s="213" t="e">
        <f>Q142/P142-1</f>
        <v>#VALUE!</v>
      </c>
      <c r="R143" s="210"/>
      <c r="S143" s="210"/>
    </row>
    <row r="144" spans="1:26">
      <c r="A144" s="279" t="str">
        <f>'[3]TDF-Secondary cum Calculation'!A798</f>
        <v>Tunisia</v>
      </c>
      <c r="B144" s="280" t="str">
        <f>'[3]TDF-Secondary cum Calculation'!B798</f>
        <v>Tourism Flows</v>
      </c>
      <c r="C144" s="280" t="str">
        <f>'[3]TDF-Secondary cum Calculation'!C798</f>
        <v>International Arrivals by Purpose of Visit</v>
      </c>
      <c r="D144" s="279" t="str">
        <f>'[3]TDF-Secondary cum Calculation'!D798</f>
        <v>Other Personal</v>
      </c>
      <c r="E144" s="279"/>
      <c r="F144" s="207" t="str">
        <f>'[3]TDF-Secondary cum Calculation'!J798</f>
        <v>Thousand</v>
      </c>
      <c r="G144" s="207"/>
      <c r="H144" s="369">
        <f>'Tourism Medium DB-LCU'!H32</f>
        <v>0</v>
      </c>
      <c r="I144" s="369">
        <f>'Tourism Medium DB-LCU'!I32</f>
        <v>0</v>
      </c>
      <c r="J144" s="369">
        <f>'Tourism Medium DB-LCU'!J32</f>
        <v>0</v>
      </c>
      <c r="K144" s="369">
        <f>'Tourism Medium DB-LCU'!K32</f>
        <v>0</v>
      </c>
      <c r="L144" s="369">
        <f>'Tourism Medium DB-LCU'!L32</f>
        <v>0</v>
      </c>
      <c r="M144" s="369" t="e">
        <f t="shared" ref="M144:Q144" si="132">M138-SUM(M142,M140)</f>
        <v>#VALUE!</v>
      </c>
      <c r="N144" s="369" t="e">
        <f t="shared" si="132"/>
        <v>#VALUE!</v>
      </c>
      <c r="O144" s="369" t="e">
        <f t="shared" si="132"/>
        <v>#VALUE!</v>
      </c>
      <c r="P144" s="369" t="e">
        <f t="shared" si="132"/>
        <v>#VALUE!</v>
      </c>
      <c r="Q144" s="369" t="e">
        <f t="shared" si="132"/>
        <v>#VALUE!</v>
      </c>
      <c r="R144" s="326" t="e">
        <f>(L144/H144)^(1/4)-1</f>
        <v>#DIV/0!</v>
      </c>
      <c r="S144" s="326" t="e">
        <f>(Q144/L144)^(1/5)-1</f>
        <v>#VALUE!</v>
      </c>
      <c r="T144" s="314"/>
    </row>
    <row r="145" spans="1:26">
      <c r="A145" s="207"/>
      <c r="B145" s="207"/>
      <c r="C145" s="282" t="str">
        <f>'[3]TDF-Secondary cum Calculation'!C799</f>
        <v>Growth Rate</v>
      </c>
      <c r="D145" s="282"/>
      <c r="E145" s="282"/>
      <c r="F145" s="282" t="str">
        <f>'[3]TDF-Secondary cum Calculation'!J799</f>
        <v>%</v>
      </c>
      <c r="G145" s="282"/>
      <c r="H145" s="213"/>
      <c r="I145" s="213" t="e">
        <f>I144/H144-1</f>
        <v>#DIV/0!</v>
      </c>
      <c r="J145" s="213" t="e">
        <f>J144/I144-1</f>
        <v>#DIV/0!</v>
      </c>
      <c r="K145" s="213" t="e">
        <f>K144/J144-1</f>
        <v>#DIV/0!</v>
      </c>
      <c r="L145" s="213" t="e">
        <f>L144/K144-1</f>
        <v>#DIV/0!</v>
      </c>
      <c r="M145" s="213" t="e">
        <f t="shared" ref="M145:P145" si="133">M144/L144-1</f>
        <v>#VALUE!</v>
      </c>
      <c r="N145" s="213" t="e">
        <f t="shared" si="133"/>
        <v>#VALUE!</v>
      </c>
      <c r="O145" s="213" t="e">
        <f t="shared" si="133"/>
        <v>#VALUE!</v>
      </c>
      <c r="P145" s="213" t="e">
        <f t="shared" si="133"/>
        <v>#VALUE!</v>
      </c>
      <c r="Q145" s="213" t="e">
        <f>Q144/P144-1</f>
        <v>#VALUE!</v>
      </c>
      <c r="R145" s="210"/>
      <c r="S145" s="210"/>
    </row>
    <row r="146" spans="1:26" s="267" customFormat="1" outlineLevel="1">
      <c r="A146" s="294"/>
      <c r="B146" s="294"/>
      <c r="C146" s="294"/>
      <c r="D146" s="294" t="str">
        <f>'[3]TDF-Secondary cum Calculation'!D800</f>
        <v>Business</v>
      </c>
      <c r="E146" s="294"/>
      <c r="F146" s="294"/>
      <c r="G146" s="294"/>
      <c r="H146" s="315">
        <f>H140/H$138</f>
        <v>0</v>
      </c>
      <c r="I146" s="315">
        <f>I140/I$138</f>
        <v>0</v>
      </c>
      <c r="J146" s="315">
        <f>J140/J$138</f>
        <v>0</v>
      </c>
      <c r="K146" s="315">
        <f>K140/K$138</f>
        <v>0</v>
      </c>
      <c r="L146" s="641">
        <f>L140/L$138</f>
        <v>0</v>
      </c>
      <c r="M146" s="368" t="e">
        <f>L146*(1+(((L146/H146)^(1/4))-1))*0.999</f>
        <v>#DIV/0!</v>
      </c>
      <c r="N146" s="368" t="e">
        <f>M146*(1+(((M146/I146)^(1/4))-1))*0.999</f>
        <v>#DIV/0!</v>
      </c>
      <c r="O146" s="368" t="e">
        <f>N146*(1+(((N146/J146)^(1/4))-1))*0.999</f>
        <v>#DIV/0!</v>
      </c>
      <c r="P146" s="368" t="e">
        <f t="shared" ref="P146:Q146" si="134">O146*(1+(((O146/K146)^(1/4))-1))*0.999</f>
        <v>#DIV/0!</v>
      </c>
      <c r="Q146" s="368" t="e">
        <f t="shared" si="134"/>
        <v>#DIV/0!</v>
      </c>
      <c r="R146" s="300"/>
      <c r="S146" s="300"/>
      <c r="T146" s="305"/>
      <c r="U146" s="305"/>
      <c r="V146" s="305"/>
      <c r="W146" s="305"/>
    </row>
    <row r="147" spans="1:26" s="267" customFormat="1" outlineLevel="1">
      <c r="A147" s="294"/>
      <c r="B147" s="294"/>
      <c r="C147" s="294"/>
      <c r="D147" s="294"/>
      <c r="E147" s="294"/>
      <c r="F147" s="294"/>
      <c r="G147" s="294"/>
      <c r="H147" s="315"/>
      <c r="I147" s="315"/>
      <c r="J147" s="315"/>
      <c r="K147" s="315"/>
      <c r="L147" s="642"/>
      <c r="M147" s="304"/>
      <c r="N147" s="304"/>
      <c r="O147" s="304"/>
      <c r="P147" s="304"/>
      <c r="Q147" s="304"/>
      <c r="R147" s="300"/>
      <c r="S147" s="300"/>
      <c r="T147" s="305"/>
      <c r="U147" s="305"/>
      <c r="V147" s="305"/>
      <c r="W147" s="305"/>
    </row>
    <row r="148" spans="1:26" s="267" customFormat="1" outlineLevel="1">
      <c r="A148" s="294"/>
      <c r="B148" s="294"/>
      <c r="C148" s="294"/>
      <c r="D148" s="294" t="str">
        <f>'[3]TDF-Secondary cum Calculation'!D802</f>
        <v>Leisure</v>
      </c>
      <c r="E148" s="294"/>
      <c r="F148" s="294"/>
      <c r="G148" s="294"/>
      <c r="H148" s="315" t="e">
        <f>H142/H$138</f>
        <v>#VALUE!</v>
      </c>
      <c r="I148" s="315" t="e">
        <f>I142/I$138</f>
        <v>#VALUE!</v>
      </c>
      <c r="J148" s="315" t="e">
        <f>J142/J$138</f>
        <v>#VALUE!</v>
      </c>
      <c r="K148" s="315" t="e">
        <f>K142/K$138</f>
        <v>#VALUE!</v>
      </c>
      <c r="L148" s="641">
        <f>L142/L$138</f>
        <v>0.37116649972383886</v>
      </c>
      <c r="M148" s="368" t="e">
        <f>L148*(1+(((L148/H148)^(1/4))-1))*1.0005</f>
        <v>#VALUE!</v>
      </c>
      <c r="N148" s="368" t="e">
        <f>M148*(1+(((M148/I148)^(1/4))-1))*1.0005</f>
        <v>#VALUE!</v>
      </c>
      <c r="O148" s="368" t="e">
        <f>N148*(1+(((N148/J148)^(1/4))-1))*1.0005</f>
        <v>#VALUE!</v>
      </c>
      <c r="P148" s="368" t="e">
        <f t="shared" ref="P148:Q148" si="135">O148*(1+(((O148/K148)^(1/4))-1))*1.0005</f>
        <v>#VALUE!</v>
      </c>
      <c r="Q148" s="368" t="e">
        <f t="shared" si="135"/>
        <v>#VALUE!</v>
      </c>
      <c r="R148" s="300"/>
      <c r="S148" s="300"/>
      <c r="T148" s="305"/>
      <c r="U148" s="305"/>
      <c r="V148" s="305"/>
      <c r="W148" s="305"/>
    </row>
    <row r="149" spans="1:26" s="267" customFormat="1" outlineLevel="1">
      <c r="A149" s="294"/>
      <c r="B149" s="294"/>
      <c r="C149" s="294"/>
      <c r="D149" s="294"/>
      <c r="E149" s="294"/>
      <c r="F149" s="294"/>
      <c r="G149" s="294"/>
      <c r="H149" s="315"/>
      <c r="I149" s="315"/>
      <c r="J149" s="315"/>
      <c r="K149" s="315"/>
      <c r="L149" s="642"/>
      <c r="M149" s="304"/>
      <c r="N149" s="304"/>
      <c r="O149" s="304"/>
      <c r="P149" s="304"/>
      <c r="Q149" s="304"/>
      <c r="R149" s="300"/>
      <c r="S149" s="300"/>
      <c r="T149" s="305"/>
      <c r="U149" s="305"/>
      <c r="V149" s="305"/>
      <c r="W149" s="305"/>
    </row>
    <row r="150" spans="1:26" s="267" customFormat="1" outlineLevel="1">
      <c r="A150" s="294"/>
      <c r="B150" s="294"/>
      <c r="C150" s="294"/>
      <c r="D150" s="294" t="str">
        <f>'[3]TDF-Secondary cum Calculation'!D804</f>
        <v>Other Personal</v>
      </c>
      <c r="E150" s="294"/>
      <c r="F150" s="294"/>
      <c r="G150" s="294"/>
      <c r="H150" s="315">
        <f>H144/H$138</f>
        <v>0</v>
      </c>
      <c r="I150" s="315">
        <f>I144/I$138</f>
        <v>0</v>
      </c>
      <c r="J150" s="315">
        <f>J144/J$138</f>
        <v>0</v>
      </c>
      <c r="K150" s="315">
        <f>K144/K$138</f>
        <v>0</v>
      </c>
      <c r="L150" s="641">
        <f>L144/L$138</f>
        <v>0</v>
      </c>
      <c r="M150" s="303" t="e">
        <f t="shared" ref="M150" si="136">1-SUM(M146:M148)</f>
        <v>#DIV/0!</v>
      </c>
      <c r="N150" s="303" t="e">
        <f>1-SUM(N146:N148)</f>
        <v>#DIV/0!</v>
      </c>
      <c r="O150" s="303" t="e">
        <f>1-SUM(O146:O148)</f>
        <v>#DIV/0!</v>
      </c>
      <c r="P150" s="303" t="e">
        <f>1-SUM(P146:P148)</f>
        <v>#DIV/0!</v>
      </c>
      <c r="Q150" s="303" t="e">
        <f>1-SUM(Q146:Q148)</f>
        <v>#DIV/0!</v>
      </c>
      <c r="R150" s="300"/>
      <c r="S150" s="300"/>
      <c r="T150" s="305"/>
      <c r="U150" s="305"/>
      <c r="V150" s="305"/>
      <c r="W150" s="305"/>
    </row>
    <row r="151" spans="1:26" s="6" customFormat="1">
      <c r="A151" s="279" t="str">
        <f>'[3]TDF-Secondary cum Calculation'!A823</f>
        <v>Tunisia</v>
      </c>
      <c r="B151" s="280" t="str">
        <f>'[3]TDF-Secondary cum Calculation'!B823</f>
        <v>Tourism Flows</v>
      </c>
      <c r="C151" s="279" t="str">
        <f>'[3]TDF-Secondary cum Calculation'!C823</f>
        <v>International Departures by Destination</v>
      </c>
      <c r="D151" s="207"/>
      <c r="E151" s="207"/>
      <c r="F151" s="279" t="str">
        <f>'[3]TDF-Secondary cum Calculation'!J823</f>
        <v>Thousand</v>
      </c>
      <c r="G151" s="279"/>
      <c r="H151" s="342">
        <f>'Tourism Medium DB-LCU'!H33</f>
        <v>5057.7269999999999</v>
      </c>
      <c r="I151" s="342">
        <f>'Tourism Medium DB-LCU'!I33</f>
        <v>4556.2539999999999</v>
      </c>
      <c r="J151" s="342">
        <f>'Tourism Medium DB-LCU'!J33</f>
        <v>4398.1840000000002</v>
      </c>
      <c r="K151" s="342">
        <f>'Tourism Medium DB-LCU'!K33</f>
        <v>4414.1189999999997</v>
      </c>
      <c r="L151" s="342">
        <f>'Tourism Medium DB-LCU'!L33</f>
        <v>4050.88</v>
      </c>
      <c r="M151" s="342">
        <f>(M153+M169+M185+M201+M217+M233)</f>
        <v>3559.9234253633458</v>
      </c>
      <c r="N151" s="342">
        <f>(N153+N169+N185+N201+N217+N233)</f>
        <v>3303.85531372992</v>
      </c>
      <c r="O151" s="342">
        <f>(O153+O169+O185+O201+O217+O233)</f>
        <v>3309.2935851823891</v>
      </c>
      <c r="P151" s="342">
        <f>(P153+P169+P185+P201+P217+P233)</f>
        <v>3475.0670408475485</v>
      </c>
      <c r="Q151" s="342">
        <f>(Q153+Q169+Q185+Q201+Q217+Q233)</f>
        <v>3598.1082820115757</v>
      </c>
      <c r="R151" s="325">
        <f>'Tourism Medium DB-LCU'!R33</f>
        <v>-5.3983963201367891E-2</v>
      </c>
      <c r="S151" s="325">
        <f>'Tourism Medium DB-LCU'!S33</f>
        <v>-2.3426421470017722E-2</v>
      </c>
      <c r="U151" s="289"/>
      <c r="W151" s="1"/>
      <c r="X151"/>
      <c r="Y151"/>
      <c r="Z151"/>
    </row>
    <row r="152" spans="1:26" s="6" customFormat="1">
      <c r="A152" s="207"/>
      <c r="B152" s="207"/>
      <c r="C152" s="282" t="str">
        <f>'[3]TDF-Secondary cum Calculation'!C824</f>
        <v>Growth Rate</v>
      </c>
      <c r="D152" s="282"/>
      <c r="E152" s="282"/>
      <c r="F152" s="282" t="str">
        <f>'[3]TDF-Secondary cum Calculation'!J824</f>
        <v>%</v>
      </c>
      <c r="G152" s="282"/>
      <c r="H152" s="213"/>
      <c r="I152" s="213">
        <f>I151/H151-1</f>
        <v>-9.9149875032796375E-2</v>
      </c>
      <c r="J152" s="213">
        <f>J151/I151-1</f>
        <v>-3.4692973657745929E-2</v>
      </c>
      <c r="K152" s="213">
        <f>K151/J151-1</f>
        <v>3.6230862555999277E-3</v>
      </c>
      <c r="L152" s="213">
        <f>L151/K151-1</f>
        <v>-8.2290259959008738E-2</v>
      </c>
      <c r="M152" s="213">
        <f t="shared" ref="M152:P152" si="137">M151/L151-1</f>
        <v>-0.12119751131523382</v>
      </c>
      <c r="N152" s="213">
        <f t="shared" si="137"/>
        <v>-7.1930792052722348E-2</v>
      </c>
      <c r="O152" s="213">
        <f t="shared" si="137"/>
        <v>1.6460380180296497E-3</v>
      </c>
      <c r="P152" s="213">
        <f t="shared" si="137"/>
        <v>5.0093305836454771E-2</v>
      </c>
      <c r="Q152" s="213">
        <f>Q151/P151-1</f>
        <v>3.5406868333112351E-2</v>
      </c>
      <c r="R152" s="210"/>
      <c r="S152" s="210"/>
      <c r="W152" s="1"/>
      <c r="X152"/>
      <c r="Y152"/>
      <c r="Z152"/>
    </row>
    <row r="153" spans="1:26" s="6" customFormat="1">
      <c r="A153" s="279" t="str">
        <f>'[3]TDF-Secondary cum Calculation'!A825</f>
        <v>Tunisia</v>
      </c>
      <c r="B153" s="280" t="str">
        <f>'[3]TDF-Secondary cum Calculation'!B825</f>
        <v>Tourism Flows</v>
      </c>
      <c r="C153" s="280" t="str">
        <f>'[3]TDF-Secondary cum Calculation'!C825</f>
        <v>International Departures by Destination</v>
      </c>
      <c r="D153" s="279" t="str">
        <f>'[3]TDF-Secondary cum Calculation'!D825</f>
        <v>Africa</v>
      </c>
      <c r="E153" s="207"/>
      <c r="F153" s="207" t="str">
        <f>'[3]TDF-Secondary cum Calculation'!J825</f>
        <v>Thousand</v>
      </c>
      <c r="G153" s="207"/>
      <c r="H153" s="342">
        <f>'Tourism Medium DB-LCU'!H34</f>
        <v>60.458483956878901</v>
      </c>
      <c r="I153" s="342">
        <f>'Tourism Medium DB-LCU'!I34</f>
        <v>54.464107449908383</v>
      </c>
      <c r="J153" s="342">
        <f>'Tourism Medium DB-LCU'!J34</f>
        <v>50.917463663318053</v>
      </c>
      <c r="K153" s="342">
        <f>'Tourism Medium DB-LCU'!K34</f>
        <v>51.274999999999999</v>
      </c>
      <c r="L153" s="342">
        <f>'Tourism Medium DB-LCU'!L34</f>
        <v>66.811999999999998</v>
      </c>
      <c r="M153" s="342">
        <f t="shared" ref="M153:P153" si="138">L153*(1+M154)</f>
        <v>69.991676486715264</v>
      </c>
      <c r="N153" s="342">
        <f t="shared" si="138"/>
        <v>72.142610728890531</v>
      </c>
      <c r="O153" s="342">
        <f t="shared" si="138"/>
        <v>75.884753562421665</v>
      </c>
      <c r="P153" s="342">
        <f t="shared" si="138"/>
        <v>78.265685757909537</v>
      </c>
      <c r="Q153" s="342">
        <f>P153*(1+Q154)</f>
        <v>80.657126753683244</v>
      </c>
      <c r="R153" s="326">
        <f>'Tourism Medium DB-LCU'!R34</f>
        <v>2.5296098858250238E-2</v>
      </c>
      <c r="S153" s="326">
        <f>'Tourism Medium DB-LCU'!S34</f>
        <v>3.8383204461236886E-2</v>
      </c>
      <c r="U153" s="289"/>
      <c r="W153" s="1"/>
      <c r="X153"/>
      <c r="Y153"/>
      <c r="Z153"/>
    </row>
    <row r="154" spans="1:26" s="6" customFormat="1">
      <c r="A154" s="207"/>
      <c r="B154" s="207"/>
      <c r="C154" s="282" t="str">
        <f>'[3]TDF-Secondary cum Calculation'!C826</f>
        <v>Growth Rate</v>
      </c>
      <c r="D154" s="282"/>
      <c r="E154" s="282"/>
      <c r="F154" s="282" t="str">
        <f>'[3]TDF-Secondary cum Calculation'!J826</f>
        <v>%</v>
      </c>
      <c r="G154" s="282"/>
      <c r="H154" s="213"/>
      <c r="I154" s="213">
        <f>I153/H153-1</f>
        <v>-9.9148640763898732E-2</v>
      </c>
      <c r="J154" s="213">
        <f>J153/I153-1</f>
        <v>-6.5118918727388397E-2</v>
      </c>
      <c r="K154" s="213">
        <f>K153/J153-1</f>
        <v>7.021880332572783E-3</v>
      </c>
      <c r="L154" s="213">
        <f>L153/K153-1</f>
        <v>0.30301316431009262</v>
      </c>
      <c r="M154" s="213">
        <f>($E$156*M157+$E$160*M161+$E$162*M163+$E$164*M165)*0.92+0.08*((L153/I153)^(1/4)-1)</f>
        <v>4.7591398052973341E-2</v>
      </c>
      <c r="N154" s="213">
        <f>($E$156*N157+$E$160*N161+$E$162*N163+$E$164*N165)*0.98+0.02*((M153/J153)^(1/4)-1)</f>
        <v>3.0731286206346613E-2</v>
      </c>
      <c r="O154" s="213">
        <f t="shared" ref="O154:P154" si="139">($E$156*O157+$E$160*O161+$E$162*O163+$E$164*O165)*0.64+0.36*((N153/K153)^(1/4)-1)</f>
        <v>5.1871463975624282E-2</v>
      </c>
      <c r="P154" s="213">
        <f t="shared" si="139"/>
        <v>3.1375633229530742E-2</v>
      </c>
      <c r="Q154" s="213">
        <f>($E$156*Q157+$E$160*Q161+$E$162*Q163+$E$164*Q165)*0.95+0.05*((P153/M153)^(1/4)-1)</f>
        <v>3.0555421224709986E-2</v>
      </c>
      <c r="R154" s="210"/>
      <c r="S154" s="210"/>
      <c r="W154" s="1"/>
      <c r="X154"/>
      <c r="Y154"/>
      <c r="Z154"/>
    </row>
    <row r="155" spans="1:26" s="6" customFormat="1" outlineLevel="1">
      <c r="A155" s="195"/>
      <c r="B155" s="195"/>
      <c r="C155" s="195"/>
      <c r="D155" s="196" t="s">
        <v>351</v>
      </c>
      <c r="E155" s="197" t="s">
        <v>352</v>
      </c>
      <c r="F155" s="197"/>
      <c r="G155" s="197"/>
      <c r="H155" s="200"/>
      <c r="I155" s="200"/>
      <c r="J155" s="200"/>
      <c r="K155" s="200"/>
      <c r="L155" s="200"/>
      <c r="M155" s="200"/>
      <c r="N155" s="200"/>
      <c r="O155" s="200"/>
      <c r="P155" s="200"/>
      <c r="Q155" s="200"/>
      <c r="R155" s="331"/>
      <c r="S155" s="331"/>
      <c r="W155" s="1"/>
      <c r="X155"/>
      <c r="Y155"/>
      <c r="Z155"/>
    </row>
    <row r="156" spans="1:26" s="6" customFormat="1" outlineLevel="1">
      <c r="A156" s="23"/>
      <c r="B156" s="23"/>
      <c r="C156" s="23"/>
      <c r="D156" s="23" t="s">
        <v>414</v>
      </c>
      <c r="E156" s="41">
        <v>0.3</v>
      </c>
      <c r="F156" s="25"/>
      <c r="G156" s="25"/>
      <c r="H156" s="26">
        <f t="shared" ref="H156:P156" si="140">H286</f>
        <v>486.61200000000002</v>
      </c>
      <c r="I156" s="26">
        <f t="shared" si="140"/>
        <v>406.41199999999998</v>
      </c>
      <c r="J156" s="26">
        <f t="shared" si="140"/>
        <v>462.46</v>
      </c>
      <c r="K156" s="26">
        <f t="shared" si="140"/>
        <v>538.62400000000002</v>
      </c>
      <c r="L156" s="26">
        <f t="shared" si="140"/>
        <v>526.19200000000001</v>
      </c>
      <c r="M156" s="26">
        <f t="shared" si="140"/>
        <v>576.01099999999997</v>
      </c>
      <c r="N156" s="26">
        <f t="shared" si="140"/>
        <v>602.94500000000005</v>
      </c>
      <c r="O156" s="26">
        <f t="shared" si="140"/>
        <v>632.94399999999996</v>
      </c>
      <c r="P156" s="26">
        <f t="shared" si="140"/>
        <v>663.83399999999995</v>
      </c>
      <c r="Q156" s="26">
        <f>Q286</f>
        <v>696.45500000000004</v>
      </c>
      <c r="R156" s="330" t="s">
        <v>182</v>
      </c>
      <c r="S156" s="331"/>
      <c r="W156" s="1"/>
      <c r="X156"/>
      <c r="Y156"/>
      <c r="Z156"/>
    </row>
    <row r="157" spans="1:26" s="6" customFormat="1" outlineLevel="1">
      <c r="A157" s="28"/>
      <c r="B157" s="28"/>
      <c r="C157" s="28"/>
      <c r="D157" s="28" t="s">
        <v>184</v>
      </c>
      <c r="E157" s="28"/>
      <c r="F157" s="28"/>
      <c r="G157" s="28"/>
      <c r="H157" s="30"/>
      <c r="I157" s="30">
        <f t="shared" ref="I157:P157" si="141">I156/H156-1</f>
        <v>-0.16481303379283707</v>
      </c>
      <c r="J157" s="30">
        <f t="shared" si="141"/>
        <v>0.13790931370136716</v>
      </c>
      <c r="K157" s="30">
        <f t="shared" si="141"/>
        <v>0.16469316265190503</v>
      </c>
      <c r="L157" s="30">
        <f t="shared" si="141"/>
        <v>-2.3081036121673004E-2</v>
      </c>
      <c r="M157" s="30">
        <f t="shared" si="141"/>
        <v>9.4678368352236308E-2</v>
      </c>
      <c r="N157" s="30">
        <f t="shared" si="141"/>
        <v>4.6759523689651861E-2</v>
      </c>
      <c r="O157" s="30">
        <f t="shared" si="141"/>
        <v>4.9754123510436177E-2</v>
      </c>
      <c r="P157" s="30">
        <f t="shared" si="141"/>
        <v>4.8803685634116079E-2</v>
      </c>
      <c r="Q157" s="30">
        <f>Q156/P156-1</f>
        <v>4.9140297122473475E-2</v>
      </c>
      <c r="R157" s="332">
        <f>CORREL(H156:J156,H$153:J$153)</f>
        <v>0.43040794530288035</v>
      </c>
      <c r="S157" s="333"/>
      <c r="W157" s="1"/>
      <c r="X157"/>
      <c r="Y157"/>
      <c r="Z157"/>
    </row>
    <row r="158" spans="1:26" s="6" customFormat="1" ht="18" customHeight="1" outlineLevel="1">
      <c r="A158" s="25"/>
      <c r="B158" s="25"/>
      <c r="C158" s="25"/>
      <c r="D158" s="25" t="s">
        <v>376</v>
      </c>
      <c r="E158" s="41">
        <v>0.25</v>
      </c>
      <c r="F158" s="25"/>
      <c r="G158" s="25"/>
      <c r="H158" s="26">
        <f t="shared" ref="H158:P158" si="142">H288</f>
        <v>243265.6213799479</v>
      </c>
      <c r="I158" s="26">
        <f t="shared" si="142"/>
        <v>209746.7</v>
      </c>
      <c r="J158" s="26">
        <f t="shared" si="142"/>
        <v>229862.9</v>
      </c>
      <c r="K158" s="26">
        <f t="shared" si="142"/>
        <v>267252.2</v>
      </c>
      <c r="L158" s="26">
        <f t="shared" si="142"/>
        <v>265907.5</v>
      </c>
      <c r="M158" s="26">
        <f t="shared" si="142"/>
        <v>272054.09999999998</v>
      </c>
      <c r="N158" s="26">
        <f t="shared" si="142"/>
        <v>275377.1800377366</v>
      </c>
      <c r="O158" s="26">
        <f t="shared" si="142"/>
        <v>279078.41557839373</v>
      </c>
      <c r="P158" s="26">
        <f t="shared" si="142"/>
        <v>282889.58147895371</v>
      </c>
      <c r="Q158" s="26">
        <f>Q288</f>
        <v>286914.31578915659</v>
      </c>
      <c r="R158" s="332"/>
      <c r="S158" s="334"/>
      <c r="W158" s="1"/>
      <c r="X158"/>
      <c r="Y158"/>
      <c r="Z158"/>
    </row>
    <row r="159" spans="1:26" s="6" customFormat="1" outlineLevel="1">
      <c r="A159" s="28"/>
      <c r="B159" s="28"/>
      <c r="C159" s="28"/>
      <c r="D159" s="28" t="s">
        <v>184</v>
      </c>
      <c r="E159" s="28"/>
      <c r="F159" s="28"/>
      <c r="G159" s="28"/>
      <c r="H159" s="29"/>
      <c r="I159" s="29">
        <f t="shared" ref="I159:P159" si="143">I158/H158-1</f>
        <v>-0.13778733381975039</v>
      </c>
      <c r="J159" s="29">
        <f t="shared" si="143"/>
        <v>9.5907110815092622E-2</v>
      </c>
      <c r="K159" s="29">
        <f t="shared" si="143"/>
        <v>0.16265913290052469</v>
      </c>
      <c r="L159" s="29">
        <f t="shared" si="143"/>
        <v>-5.0315769149890111E-3</v>
      </c>
      <c r="M159" s="29">
        <f t="shared" si="143"/>
        <v>2.3115557101623496E-2</v>
      </c>
      <c r="N159" s="29">
        <f t="shared" si="143"/>
        <v>1.221477653796299E-2</v>
      </c>
      <c r="O159" s="29">
        <f t="shared" si="143"/>
        <v>1.3440603684553354E-2</v>
      </c>
      <c r="P159" s="29">
        <f t="shared" si="143"/>
        <v>1.3656254614536456E-2</v>
      </c>
      <c r="Q159" s="29">
        <f>Q158/P158-1</f>
        <v>1.422722706563273E-2</v>
      </c>
      <c r="R159" s="332">
        <f>CORREL(H158:J158,H$153:J$153)</f>
        <v>0.52738701633886098</v>
      </c>
      <c r="S159" s="335"/>
      <c r="W159" s="1"/>
      <c r="X159"/>
      <c r="Y159"/>
      <c r="Z159"/>
    </row>
    <row r="160" spans="1:26" s="6" customFormat="1" ht="12" customHeight="1" outlineLevel="1">
      <c r="A160" s="25"/>
      <c r="B160" s="25"/>
      <c r="C160" s="25"/>
      <c r="D160" s="25" t="s">
        <v>377</v>
      </c>
      <c r="E160" s="41">
        <v>0.2</v>
      </c>
      <c r="F160" s="25"/>
      <c r="G160" s="25"/>
      <c r="H160" s="26">
        <f t="shared" ref="H160:P160" si="144">H296</f>
        <v>2.2749999999999999</v>
      </c>
      <c r="I160" s="26">
        <f t="shared" si="144"/>
        <v>2.2789999999999999</v>
      </c>
      <c r="J160" s="26">
        <f t="shared" si="144"/>
        <v>2.2765994215599035</v>
      </c>
      <c r="K160" s="26">
        <f t="shared" si="144"/>
        <v>2.2721375476736672</v>
      </c>
      <c r="L160" s="26">
        <f t="shared" si="144"/>
        <v>2.2722980182311483</v>
      </c>
      <c r="M160" s="26">
        <f t="shared" si="144"/>
        <v>2.2715645101411561</v>
      </c>
      <c r="N160" s="26">
        <f t="shared" si="144"/>
        <v>2.271167948449917</v>
      </c>
      <c r="O160" s="26">
        <f t="shared" si="144"/>
        <v>2.2707262593515471</v>
      </c>
      <c r="P160" s="26">
        <f t="shared" si="144"/>
        <v>2.2702714516496694</v>
      </c>
      <c r="Q160" s="26">
        <f>Q296</f>
        <v>2.2697911576372718</v>
      </c>
      <c r="R160" s="334"/>
      <c r="S160" s="334"/>
      <c r="W160" s="1"/>
      <c r="X160"/>
      <c r="Y160"/>
      <c r="Z160"/>
    </row>
    <row r="161" spans="1:26" s="6" customFormat="1" outlineLevel="1">
      <c r="A161" s="28"/>
      <c r="B161" s="28"/>
      <c r="C161" s="28"/>
      <c r="D161" s="28" t="s">
        <v>184</v>
      </c>
      <c r="E161" s="28"/>
      <c r="F161" s="28"/>
      <c r="G161" s="28"/>
      <c r="H161" s="29"/>
      <c r="I161" s="29">
        <f t="shared" ref="I161:P161" si="145">I160/H160-1</f>
        <v>1.7582417582417964E-3</v>
      </c>
      <c r="J161" s="29">
        <f t="shared" si="145"/>
        <v>-1.0533472751630413E-3</v>
      </c>
      <c r="K161" s="29">
        <f t="shared" si="145"/>
        <v>-1.9598853641010772E-3</v>
      </c>
      <c r="L161" s="29">
        <f t="shared" si="145"/>
        <v>7.0625371094035216E-5</v>
      </c>
      <c r="M161" s="29">
        <f t="shared" si="145"/>
        <v>-3.2280452832644801E-4</v>
      </c>
      <c r="N161" s="29">
        <f t="shared" si="145"/>
        <v>-1.7457646017482453E-4</v>
      </c>
      <c r="O161" s="29">
        <f t="shared" si="145"/>
        <v>-1.9447663422300643E-4</v>
      </c>
      <c r="P161" s="29">
        <f t="shared" si="145"/>
        <v>-2.0029173486002527E-4</v>
      </c>
      <c r="Q161" s="29">
        <f>Q160/P160-1</f>
        <v>-2.1155796680105698E-4</v>
      </c>
      <c r="R161" s="332">
        <f>CORREL(H160:K160,H$153:K$153)</f>
        <v>0.10384982497121238</v>
      </c>
      <c r="S161" s="335"/>
      <c r="W161" s="1"/>
      <c r="X161"/>
      <c r="Y161"/>
      <c r="Z161"/>
    </row>
    <row r="162" spans="1:26" s="6" customFormat="1" ht="18" customHeight="1" outlineLevel="1">
      <c r="A162" s="25"/>
      <c r="B162" s="25"/>
      <c r="C162" s="25"/>
      <c r="D162" s="25" t="s">
        <v>415</v>
      </c>
      <c r="E162" s="41">
        <v>0.1</v>
      </c>
      <c r="F162" s="25"/>
      <c r="G162" s="25"/>
      <c r="H162" s="26">
        <f t="shared" ref="H162:Q162" si="146">H298</f>
        <v>0.70399999999999996</v>
      </c>
      <c r="I162" s="26">
        <f t="shared" si="146"/>
        <v>0.73100000000000009</v>
      </c>
      <c r="J162" s="26">
        <f t="shared" si="146"/>
        <v>0.80200000000000005</v>
      </c>
      <c r="K162" s="26">
        <f t="shared" si="146"/>
        <v>0.86499999999999999</v>
      </c>
      <c r="L162" s="26">
        <f t="shared" si="146"/>
        <v>0.91600000000000004</v>
      </c>
      <c r="M162" s="26">
        <f t="shared" si="146"/>
        <v>1.01</v>
      </c>
      <c r="N162" s="26">
        <f t="shared" si="146"/>
        <v>1.0870000000000002</v>
      </c>
      <c r="O162" s="26">
        <f t="shared" si="146"/>
        <v>1.1749999999999998</v>
      </c>
      <c r="P162" s="26">
        <f t="shared" si="146"/>
        <v>1.27</v>
      </c>
      <c r="Q162" s="26">
        <f t="shared" si="146"/>
        <v>1.373</v>
      </c>
      <c r="R162" s="332"/>
      <c r="S162" s="334"/>
      <c r="W162" s="1"/>
      <c r="X162"/>
      <c r="Y162"/>
      <c r="Z162"/>
    </row>
    <row r="163" spans="1:26" s="6" customFormat="1" outlineLevel="1">
      <c r="A163" s="28"/>
      <c r="B163" s="28"/>
      <c r="C163" s="28"/>
      <c r="D163" s="28" t="s">
        <v>184</v>
      </c>
      <c r="E163" s="28"/>
      <c r="F163" s="28"/>
      <c r="G163" s="28"/>
      <c r="H163" s="29"/>
      <c r="I163" s="29">
        <f t="shared" ref="I163:P163" si="147">I162/H162-1</f>
        <v>3.8352272727272929E-2</v>
      </c>
      <c r="J163" s="29">
        <f t="shared" si="147"/>
        <v>9.7127222982215988E-2</v>
      </c>
      <c r="K163" s="29">
        <f t="shared" si="147"/>
        <v>7.8553615960099687E-2</v>
      </c>
      <c r="L163" s="29">
        <f t="shared" si="147"/>
        <v>5.8959537572254472E-2</v>
      </c>
      <c r="M163" s="29">
        <f t="shared" si="147"/>
        <v>0.10262008733624461</v>
      </c>
      <c r="N163" s="29">
        <f t="shared" si="147"/>
        <v>7.6237623762376305E-2</v>
      </c>
      <c r="O163" s="29">
        <f t="shared" si="147"/>
        <v>8.0956761729530369E-2</v>
      </c>
      <c r="P163" s="29">
        <f t="shared" si="147"/>
        <v>8.0851063829787462E-2</v>
      </c>
      <c r="Q163" s="29">
        <f>Q162/P162-1</f>
        <v>8.1102362204724443E-2</v>
      </c>
      <c r="R163" s="332">
        <f>CORREL(H163:K163,H$154:K$154)</f>
        <v>0.50431085331267633</v>
      </c>
      <c r="S163" s="335"/>
      <c r="W163" s="1"/>
      <c r="X163"/>
      <c r="Y163"/>
      <c r="Z163"/>
    </row>
    <row r="164" spans="1:26" s="6" customFormat="1" ht="18" customHeight="1" outlineLevel="1">
      <c r="A164" s="25"/>
      <c r="B164" s="25"/>
      <c r="C164" s="25"/>
      <c r="D164" s="25" t="s">
        <v>416</v>
      </c>
      <c r="E164" s="41">
        <v>0.1</v>
      </c>
      <c r="F164" s="25"/>
      <c r="G164" s="25"/>
      <c r="H164" s="26">
        <f t="shared" ref="H164:P164" si="148">H302</f>
        <v>152.797</v>
      </c>
      <c r="I164" s="26">
        <f t="shared" si="148"/>
        <v>148.35000000000002</v>
      </c>
      <c r="J164" s="26">
        <f t="shared" si="148"/>
        <v>159.75799999999998</v>
      </c>
      <c r="K164" s="26">
        <f t="shared" si="148"/>
        <v>163.87299999999999</v>
      </c>
      <c r="L164" s="26">
        <f t="shared" si="148"/>
        <v>168.92599999999999</v>
      </c>
      <c r="M164" s="26">
        <f t="shared" si="148"/>
        <v>183.405</v>
      </c>
      <c r="N164" s="26">
        <f t="shared" si="148"/>
        <v>198.173</v>
      </c>
      <c r="O164" s="26">
        <f t="shared" si="148"/>
        <v>213.91200000000001</v>
      </c>
      <c r="P164" s="26">
        <f t="shared" si="148"/>
        <v>231.333</v>
      </c>
      <c r="Q164" s="26">
        <f>Q302</f>
        <v>249.52199999999999</v>
      </c>
      <c r="R164" s="332"/>
      <c r="S164" s="334"/>
      <c r="W164" s="1"/>
      <c r="X164"/>
      <c r="Y164"/>
      <c r="Z164"/>
    </row>
    <row r="165" spans="1:26" s="6" customFormat="1" outlineLevel="1">
      <c r="A165" s="28"/>
      <c r="B165" s="28"/>
      <c r="C165" s="28"/>
      <c r="D165" s="28" t="s">
        <v>184</v>
      </c>
      <c r="E165" s="28"/>
      <c r="F165" s="28"/>
      <c r="G165" s="28"/>
      <c r="H165" s="29"/>
      <c r="I165" s="29">
        <f t="shared" ref="I165:P165" si="149">I164/H164-1</f>
        <v>-2.910397455447411E-2</v>
      </c>
      <c r="J165" s="29">
        <f t="shared" si="149"/>
        <v>7.6899224806201261E-2</v>
      </c>
      <c r="K165" s="29">
        <f t="shared" si="149"/>
        <v>2.5757708534158041E-2</v>
      </c>
      <c r="L165" s="29">
        <f t="shared" si="149"/>
        <v>3.0834853819726282E-2</v>
      </c>
      <c r="M165" s="29">
        <f t="shared" si="149"/>
        <v>8.5712086949315092E-2</v>
      </c>
      <c r="N165" s="29">
        <f t="shared" si="149"/>
        <v>8.052125078378447E-2</v>
      </c>
      <c r="O165" s="29">
        <f t="shared" si="149"/>
        <v>7.9420506325281526E-2</v>
      </c>
      <c r="P165" s="29">
        <f t="shared" si="149"/>
        <v>8.1440031414787395E-2</v>
      </c>
      <c r="Q165" s="29">
        <f>Q164/P164-1</f>
        <v>7.8626914448003404E-2</v>
      </c>
      <c r="R165" s="332">
        <f>CORREL(H165:K165,H$154:K$154)</f>
        <v>0.3330201455503074</v>
      </c>
      <c r="S165" s="335"/>
      <c r="W165" s="1"/>
      <c r="X165"/>
      <c r="Y165"/>
      <c r="Z165"/>
    </row>
    <row r="166" spans="1:26" s="6" customFormat="1" ht="18" customHeight="1" outlineLevel="1">
      <c r="A166" s="25"/>
      <c r="B166" s="25"/>
      <c r="C166" s="25"/>
      <c r="D166" s="25" t="s">
        <v>417</v>
      </c>
      <c r="E166" s="41">
        <v>0.05</v>
      </c>
      <c r="F166" s="25"/>
      <c r="G166" s="25"/>
      <c r="H166" s="26">
        <f t="shared" ref="H166:Q166" si="150">H300</f>
        <v>25.683</v>
      </c>
      <c r="I166" s="26">
        <f t="shared" si="150"/>
        <v>23.072000000000003</v>
      </c>
      <c r="J166" s="26">
        <f t="shared" si="150"/>
        <v>23.113999999999997</v>
      </c>
      <c r="K166" s="26">
        <f t="shared" si="150"/>
        <v>24.317999999999998</v>
      </c>
      <c r="L166" s="26">
        <f t="shared" si="150"/>
        <v>24.58</v>
      </c>
      <c r="M166" s="26">
        <f t="shared" si="150"/>
        <v>26.677999999999997</v>
      </c>
      <c r="N166" s="26">
        <f t="shared" si="150"/>
        <v>28.938000000000002</v>
      </c>
      <c r="O166" s="26">
        <f t="shared" si="150"/>
        <v>31.326000000000001</v>
      </c>
      <c r="P166" s="26">
        <f t="shared" si="150"/>
        <v>33.799999999999997</v>
      </c>
      <c r="Q166" s="26">
        <f t="shared" si="150"/>
        <v>36.474000000000004</v>
      </c>
      <c r="R166" s="332"/>
      <c r="S166" s="334"/>
      <c r="W166" s="1"/>
      <c r="X166"/>
      <c r="Y166"/>
      <c r="Z166"/>
    </row>
    <row r="167" spans="1:26" s="6" customFormat="1" outlineLevel="1">
      <c r="A167" s="28"/>
      <c r="B167" s="28"/>
      <c r="C167" s="28"/>
      <c r="D167" s="28" t="s">
        <v>184</v>
      </c>
      <c r="E167" s="28"/>
      <c r="F167" s="28"/>
      <c r="G167" s="28"/>
      <c r="H167" s="29"/>
      <c r="I167" s="29">
        <f t="shared" ref="I167:P167" si="151">I166/H166-1</f>
        <v>-0.10166257835922587</v>
      </c>
      <c r="J167" s="29">
        <f t="shared" si="151"/>
        <v>1.820388349514257E-3</v>
      </c>
      <c r="K167" s="29">
        <f t="shared" si="151"/>
        <v>5.2089642640823719E-2</v>
      </c>
      <c r="L167" s="29">
        <f t="shared" si="151"/>
        <v>1.0773912328316593E-2</v>
      </c>
      <c r="M167" s="29">
        <f t="shared" si="151"/>
        <v>8.5353946297803018E-2</v>
      </c>
      <c r="N167" s="29">
        <f t="shared" si="151"/>
        <v>8.4713996551465831E-2</v>
      </c>
      <c r="O167" s="29">
        <f t="shared" si="151"/>
        <v>8.2521252332573125E-2</v>
      </c>
      <c r="P167" s="29">
        <f t="shared" si="151"/>
        <v>7.8975930536933969E-2</v>
      </c>
      <c r="Q167" s="29">
        <f>Q166/P166-1</f>
        <v>7.9112426035503169E-2</v>
      </c>
      <c r="R167" s="332">
        <f>CORREL(H167:K167,H$154:K$154)</f>
        <v>0.92044577476948364</v>
      </c>
      <c r="S167" s="335"/>
      <c r="W167" s="1"/>
      <c r="X167"/>
      <c r="Y167"/>
      <c r="Z167"/>
    </row>
    <row r="168" spans="1:26" s="6" customFormat="1" outlineLevel="1">
      <c r="A168" s="305"/>
      <c r="B168" s="225"/>
      <c r="C168" s="25"/>
      <c r="D168" s="306" t="s">
        <v>188</v>
      </c>
      <c r="E168" s="313">
        <f>E156+E158+E160+E162+E164+E166</f>
        <v>1</v>
      </c>
      <c r="F168" s="25"/>
      <c r="G168" s="25"/>
      <c r="H168" s="25"/>
      <c r="I168" s="25"/>
      <c r="J168" s="25"/>
      <c r="K168" s="25"/>
      <c r="L168" s="25"/>
      <c r="M168" s="25"/>
      <c r="N168" s="25"/>
      <c r="O168" s="25"/>
      <c r="P168" s="25"/>
      <c r="Q168" s="25"/>
      <c r="R168" s="336">
        <f>SUM(R157:R167)</f>
        <v>2.8194215602454209</v>
      </c>
      <c r="S168" s="334"/>
      <c r="W168" s="1"/>
      <c r="X168"/>
      <c r="Y168"/>
      <c r="Z168"/>
    </row>
    <row r="169" spans="1:26" s="6" customFormat="1">
      <c r="A169" s="279" t="str">
        <f>'[3]TDF-Secondary cum Calculation'!A937</f>
        <v>Tunisia</v>
      </c>
      <c r="B169" s="280" t="str">
        <f>'[3]TDF-Secondary cum Calculation'!B937</f>
        <v>Tourism Flows</v>
      </c>
      <c r="C169" s="280" t="str">
        <f>'[3]TDF-Secondary cum Calculation'!C937</f>
        <v>International Departures by Destination</v>
      </c>
      <c r="D169" s="279" t="str">
        <f>'[3]TDF-Secondary cum Calculation'!D937</f>
        <v>Asia-Pacific</v>
      </c>
      <c r="E169" s="207"/>
      <c r="F169" s="207" t="str">
        <f>'[3]TDF-Secondary cum Calculation'!J937</f>
        <v>Thousand</v>
      </c>
      <c r="G169" s="207"/>
      <c r="H169" s="310">
        <f>'Tourism Medium DB-LCU'!H35</f>
        <v>931.09378323445389</v>
      </c>
      <c r="I169" s="310">
        <f>'Tourism Medium DB-LCU'!I35</f>
        <v>1101.9330945166028</v>
      </c>
      <c r="J169" s="310">
        <f>'Tourism Medium DB-LCU'!J35</f>
        <v>1042.9807068854489</v>
      </c>
      <c r="K169" s="310">
        <f>'Tourism Medium DB-LCU'!K35</f>
        <v>563.57179217197154</v>
      </c>
      <c r="L169" s="310">
        <f>'Tourism Medium DB-LCU'!L35</f>
        <v>569.28103512192229</v>
      </c>
      <c r="M169" s="310">
        <f t="shared" ref="M169:P169" si="152">L169*(1+M170)</f>
        <v>243.50086514979009</v>
      </c>
      <c r="N169" s="310">
        <f t="shared" si="152"/>
        <v>128.817435368247</v>
      </c>
      <c r="O169" s="310">
        <f t="shared" si="152"/>
        <v>74.318338646089288</v>
      </c>
      <c r="P169" s="310">
        <f t="shared" si="152"/>
        <v>110.66248910240984</v>
      </c>
      <c r="Q169" s="310">
        <f>P169*(1+Q170)</f>
        <v>112.08653109014443</v>
      </c>
      <c r="R169" s="326">
        <f>'Tourism Medium DB-LCU'!R35</f>
        <v>-0.11573319460564868</v>
      </c>
      <c r="S169" s="326">
        <f>'Tourism Medium DB-LCU'!S35</f>
        <v>-0.27748753760345002</v>
      </c>
      <c r="U169" s="289"/>
      <c r="W169" s="1"/>
      <c r="X169"/>
      <c r="Y169"/>
      <c r="Z169"/>
    </row>
    <row r="170" spans="1:26" s="6" customFormat="1">
      <c r="A170" s="207"/>
      <c r="B170" s="207"/>
      <c r="C170" s="282" t="str">
        <f>'[3]TDF-Secondary cum Calculation'!C938</f>
        <v>Growth Rate</v>
      </c>
      <c r="D170" s="282"/>
      <c r="E170" s="282"/>
      <c r="F170" s="282" t="str">
        <f>'[3]TDF-Secondary cum Calculation'!J938</f>
        <v>%</v>
      </c>
      <c r="G170" s="282"/>
      <c r="H170" s="213"/>
      <c r="I170" s="213">
        <f>I169/H169-1</f>
        <v>0.18348238851803256</v>
      </c>
      <c r="J170" s="213">
        <f>J169/I169-1</f>
        <v>-5.349906262413795E-2</v>
      </c>
      <c r="K170" s="213">
        <f>K169/J169-1</f>
        <v>-0.45965271605559144</v>
      </c>
      <c r="L170" s="213">
        <f>L169/K169-1</f>
        <v>1.0130462576822152E-2</v>
      </c>
      <c r="M170" s="213">
        <f>((M173*$E$172+M175*$E$174+M177*$E$176+M179*$E$178+M181*$E$180+M183*$E$182)*0.001+0.999*(((L169/I169)^(1/3))-1))*2.9</f>
        <v>-0.57226598090055858</v>
      </c>
      <c r="N170" s="213">
        <f>((N173*$E$172+N175*$E$174+N177*$E$176+N179*$E$178+N181*$E$180+N183*$E$182)*0.001+0.999*(((M169/I169)^(1/4))-1))*1.5</f>
        <v>-0.47097750437558128</v>
      </c>
      <c r="O170" s="213">
        <f>((O173*$E$172+O175*$E$174+O177*$E$176+O179*$E$178+O181*$E$180+O183*$E$182)*0.001+0.999*(((N169/I169)^(1/4))-1))*1.02</f>
        <v>-0.42307236257547415</v>
      </c>
      <c r="P170" s="213">
        <f>((P173*$E$172+P175*$E$174+P177*$E$176+P179*$E$178+P181*$E$180+P183*$E$182)*0.999+0.001*(((O169/J169)^(1/4))-1))*6</f>
        <v>0.489033408421503</v>
      </c>
      <c r="Q170" s="213">
        <f>(Q173*$E$172+Q175*$E$174+Q177*$E$176+Q179*$E$178+Q181*$E$180+Q183*$E$182)*0.83+0.17*(((P169/K169)^(1/4))-1)</f>
        <v>1.2868335054498421E-2</v>
      </c>
      <c r="R170" s="210"/>
      <c r="S170" s="210"/>
      <c r="W170" s="1"/>
      <c r="X170"/>
      <c r="Y170"/>
      <c r="Z170"/>
    </row>
    <row r="171" spans="1:26" s="6" customFormat="1" outlineLevel="1">
      <c r="A171" s="195"/>
      <c r="B171" s="195"/>
      <c r="C171" s="195"/>
      <c r="D171" s="196" t="s">
        <v>351</v>
      </c>
      <c r="E171" s="197" t="s">
        <v>352</v>
      </c>
      <c r="F171" s="197"/>
      <c r="G171" s="197"/>
      <c r="H171" s="200"/>
      <c r="I171" s="200"/>
      <c r="J171" s="200"/>
      <c r="K171" s="200"/>
      <c r="L171" s="200"/>
      <c r="M171" s="200"/>
      <c r="N171" s="200"/>
      <c r="O171" s="200"/>
      <c r="P171" s="200"/>
      <c r="Q171" s="200"/>
      <c r="R171" s="331"/>
      <c r="S171" s="331"/>
      <c r="W171" s="1"/>
      <c r="X171"/>
      <c r="Y171"/>
      <c r="Z171"/>
    </row>
    <row r="172" spans="1:26" s="6" customFormat="1" outlineLevel="1">
      <c r="A172" s="23"/>
      <c r="B172" s="23"/>
      <c r="C172" s="23"/>
      <c r="D172" s="23" t="s">
        <v>414</v>
      </c>
      <c r="E172" s="25">
        <f>R173/R$184</f>
        <v>0.24250557857188437</v>
      </c>
      <c r="F172" s="25"/>
      <c r="G172" s="25"/>
      <c r="H172" s="26">
        <f t="shared" ref="H172:P172" si="153">H286</f>
        <v>486.61200000000002</v>
      </c>
      <c r="I172" s="26">
        <f t="shared" si="153"/>
        <v>406.41199999999998</v>
      </c>
      <c r="J172" s="26">
        <f t="shared" si="153"/>
        <v>462.46</v>
      </c>
      <c r="K172" s="26">
        <f t="shared" si="153"/>
        <v>538.62400000000002</v>
      </c>
      <c r="L172" s="26">
        <f t="shared" si="153"/>
        <v>526.19200000000001</v>
      </c>
      <c r="M172" s="26">
        <f t="shared" si="153"/>
        <v>576.01099999999997</v>
      </c>
      <c r="N172" s="26">
        <f t="shared" si="153"/>
        <v>602.94500000000005</v>
      </c>
      <c r="O172" s="26">
        <f t="shared" si="153"/>
        <v>632.94399999999996</v>
      </c>
      <c r="P172" s="26">
        <f t="shared" si="153"/>
        <v>663.83399999999995</v>
      </c>
      <c r="Q172" s="26">
        <f>Q286</f>
        <v>696.45500000000004</v>
      </c>
      <c r="R172" s="330" t="s">
        <v>182</v>
      </c>
      <c r="S172" s="331"/>
      <c r="W172" s="1"/>
      <c r="X172"/>
      <c r="Y172"/>
      <c r="Z172"/>
    </row>
    <row r="173" spans="1:26" s="6" customFormat="1" outlineLevel="1">
      <c r="A173" s="28"/>
      <c r="B173" s="28"/>
      <c r="C173" s="28"/>
      <c r="D173" s="28" t="s">
        <v>184</v>
      </c>
      <c r="E173" s="28"/>
      <c r="F173" s="28"/>
      <c r="G173" s="28"/>
      <c r="H173" s="30"/>
      <c r="I173" s="30">
        <f t="shared" ref="I173:P173" si="154">I172/H172-1</f>
        <v>-0.16481303379283707</v>
      </c>
      <c r="J173" s="30">
        <f t="shared" si="154"/>
        <v>0.13790931370136716</v>
      </c>
      <c r="K173" s="30">
        <f t="shared" si="154"/>
        <v>0.16469316265190503</v>
      </c>
      <c r="L173" s="30">
        <f t="shared" si="154"/>
        <v>-2.3081036121673004E-2</v>
      </c>
      <c r="M173" s="30">
        <f t="shared" si="154"/>
        <v>9.4678368352236308E-2</v>
      </c>
      <c r="N173" s="30">
        <f t="shared" si="154"/>
        <v>4.6759523689651861E-2</v>
      </c>
      <c r="O173" s="30">
        <f t="shared" si="154"/>
        <v>4.9754123510436177E-2</v>
      </c>
      <c r="P173" s="30">
        <f t="shared" si="154"/>
        <v>4.8803685634116079E-2</v>
      </c>
      <c r="Q173" s="30">
        <f>Q172/P172-1</f>
        <v>4.9140297122473475E-2</v>
      </c>
      <c r="R173" s="332">
        <f>CORREL(I172:K172,I$169:K$169)</f>
        <v>-0.94408471295478813</v>
      </c>
      <c r="S173" s="333"/>
      <c r="W173" s="1"/>
      <c r="X173"/>
      <c r="Y173"/>
      <c r="Z173"/>
    </row>
    <row r="174" spans="1:26" s="6" customFormat="1" ht="18.75" customHeight="1" outlineLevel="1">
      <c r="A174" s="25"/>
      <c r="B174" s="25"/>
      <c r="C174" s="25"/>
      <c r="D174" s="25" t="s">
        <v>376</v>
      </c>
      <c r="E174" s="25">
        <f>R175/R$184</f>
        <v>0.23003656814964213</v>
      </c>
      <c r="F174" s="25"/>
      <c r="G174" s="25"/>
      <c r="H174" s="26">
        <f t="shared" ref="H174:P174" si="155">H288</f>
        <v>243265.6213799479</v>
      </c>
      <c r="I174" s="26">
        <f t="shared" si="155"/>
        <v>209746.7</v>
      </c>
      <c r="J174" s="26">
        <f t="shared" si="155"/>
        <v>229862.9</v>
      </c>
      <c r="K174" s="26">
        <f t="shared" si="155"/>
        <v>267252.2</v>
      </c>
      <c r="L174" s="26">
        <f t="shared" si="155"/>
        <v>265907.5</v>
      </c>
      <c r="M174" s="26">
        <f t="shared" si="155"/>
        <v>272054.09999999998</v>
      </c>
      <c r="N174" s="26">
        <f t="shared" si="155"/>
        <v>275377.1800377366</v>
      </c>
      <c r="O174" s="26">
        <f t="shared" si="155"/>
        <v>279078.41557839373</v>
      </c>
      <c r="P174" s="26">
        <f t="shared" si="155"/>
        <v>282889.58147895371</v>
      </c>
      <c r="Q174" s="26">
        <f>Q288</f>
        <v>286914.31578915659</v>
      </c>
      <c r="R174" s="332"/>
      <c r="S174" s="334"/>
      <c r="W174" s="1"/>
      <c r="X174"/>
      <c r="Y174"/>
      <c r="Z174"/>
    </row>
    <row r="175" spans="1:26" s="6" customFormat="1" outlineLevel="1">
      <c r="A175" s="28"/>
      <c r="B175" s="28"/>
      <c r="C175" s="28"/>
      <c r="D175" s="28" t="s">
        <v>184</v>
      </c>
      <c r="E175" s="28"/>
      <c r="F175" s="28"/>
      <c r="G175" s="28"/>
      <c r="H175" s="29"/>
      <c r="I175" s="29">
        <f t="shared" ref="I175:P175" si="156">I174/H174-1</f>
        <v>-0.13778733381975039</v>
      </c>
      <c r="J175" s="29">
        <f t="shared" si="156"/>
        <v>9.5907110815092622E-2</v>
      </c>
      <c r="K175" s="29">
        <f t="shared" si="156"/>
        <v>0.16265913290052469</v>
      </c>
      <c r="L175" s="29">
        <f t="shared" si="156"/>
        <v>-5.0315769149890111E-3</v>
      </c>
      <c r="M175" s="29">
        <f t="shared" si="156"/>
        <v>2.3115557101623496E-2</v>
      </c>
      <c r="N175" s="29">
        <f t="shared" si="156"/>
        <v>1.221477653796299E-2</v>
      </c>
      <c r="O175" s="29">
        <f t="shared" si="156"/>
        <v>1.3440603684553354E-2</v>
      </c>
      <c r="P175" s="29">
        <f t="shared" si="156"/>
        <v>1.3656254614536456E-2</v>
      </c>
      <c r="Q175" s="29">
        <f>Q174/P174-1</f>
        <v>1.422722706563273E-2</v>
      </c>
      <c r="R175" s="332">
        <f>CORREL(H175:K175,H$170:K$170)</f>
        <v>-0.89554231572567289</v>
      </c>
      <c r="S175" s="335"/>
      <c r="W175" s="1"/>
      <c r="X175"/>
      <c r="Y175"/>
      <c r="Z175"/>
    </row>
    <row r="176" spans="1:26" s="6" customFormat="1" ht="15" customHeight="1" outlineLevel="1">
      <c r="A176" s="25"/>
      <c r="B176" s="25"/>
      <c r="C176" s="25"/>
      <c r="D176" s="25" t="s">
        <v>377</v>
      </c>
      <c r="E176" s="25">
        <f>R177/R$184</f>
        <v>-0.10711447456490075</v>
      </c>
      <c r="F176" s="25"/>
      <c r="G176" s="25"/>
      <c r="H176" s="26">
        <f t="shared" ref="H176:P176" si="157">H296</f>
        <v>2.2749999999999999</v>
      </c>
      <c r="I176" s="26">
        <f t="shared" si="157"/>
        <v>2.2789999999999999</v>
      </c>
      <c r="J176" s="26">
        <f t="shared" si="157"/>
        <v>2.2765994215599035</v>
      </c>
      <c r="K176" s="26">
        <f t="shared" si="157"/>
        <v>2.2721375476736672</v>
      </c>
      <c r="L176" s="26">
        <f t="shared" si="157"/>
        <v>2.2722980182311483</v>
      </c>
      <c r="M176" s="26">
        <f t="shared" si="157"/>
        <v>2.2715645101411561</v>
      </c>
      <c r="N176" s="26">
        <f t="shared" si="157"/>
        <v>2.271167948449917</v>
      </c>
      <c r="O176" s="26">
        <f t="shared" si="157"/>
        <v>2.2707262593515471</v>
      </c>
      <c r="P176" s="26">
        <f t="shared" si="157"/>
        <v>2.2702714516496694</v>
      </c>
      <c r="Q176" s="26">
        <f>Q296</f>
        <v>2.2697911576372718</v>
      </c>
      <c r="R176" s="334"/>
      <c r="S176" s="334"/>
      <c r="W176" s="1"/>
      <c r="X176"/>
      <c r="Y176"/>
      <c r="Z176"/>
    </row>
    <row r="177" spans="1:26" s="6" customFormat="1" outlineLevel="1">
      <c r="A177" s="28"/>
      <c r="B177" s="28"/>
      <c r="C177" s="28"/>
      <c r="D177" s="28" t="s">
        <v>184</v>
      </c>
      <c r="E177" s="28"/>
      <c r="F177" s="28"/>
      <c r="G177" s="28"/>
      <c r="H177" s="29"/>
      <c r="I177" s="29">
        <f t="shared" ref="I177:P177" si="158">I176/H176-1</f>
        <v>1.7582417582417964E-3</v>
      </c>
      <c r="J177" s="29">
        <f t="shared" si="158"/>
        <v>-1.0533472751630413E-3</v>
      </c>
      <c r="K177" s="29">
        <f t="shared" si="158"/>
        <v>-1.9598853641010772E-3</v>
      </c>
      <c r="L177" s="29">
        <f t="shared" si="158"/>
        <v>7.0625371094035216E-5</v>
      </c>
      <c r="M177" s="29">
        <f t="shared" si="158"/>
        <v>-3.2280452832644801E-4</v>
      </c>
      <c r="N177" s="29">
        <f t="shared" si="158"/>
        <v>-1.7457646017482453E-4</v>
      </c>
      <c r="O177" s="29">
        <f t="shared" si="158"/>
        <v>-1.9447663422300643E-4</v>
      </c>
      <c r="P177" s="29">
        <f t="shared" si="158"/>
        <v>-2.0029173486002527E-4</v>
      </c>
      <c r="Q177" s="29">
        <f>Q176/P176-1</f>
        <v>-2.1155796680105698E-4</v>
      </c>
      <c r="R177" s="332">
        <f>CORREL(J176:L176,J$170:L$170)</f>
        <v>0.41700128536602471</v>
      </c>
      <c r="S177" s="335"/>
      <c r="W177" s="1"/>
      <c r="X177"/>
      <c r="Y177"/>
      <c r="Z177"/>
    </row>
    <row r="178" spans="1:26" s="314" customFormat="1" outlineLevel="1">
      <c r="A178" s="792"/>
      <c r="B178" s="792"/>
      <c r="C178" s="792"/>
      <c r="D178" s="792" t="s">
        <v>418</v>
      </c>
      <c r="E178" s="792">
        <f>R179/R$184</f>
        <v>0.18333862507414408</v>
      </c>
      <c r="F178" s="792"/>
      <c r="G178" s="792"/>
      <c r="H178" s="793">
        <f t="shared" ref="H178:P178" si="159">H304</f>
        <v>11.117999999999999</v>
      </c>
      <c r="I178" s="793">
        <f t="shared" si="159"/>
        <v>12.135999999999999</v>
      </c>
      <c r="J178" s="793">
        <f t="shared" si="159"/>
        <v>13.936999999999999</v>
      </c>
      <c r="K178" s="793">
        <f t="shared" si="159"/>
        <v>16.180999999999997</v>
      </c>
      <c r="L178" s="793">
        <f t="shared" si="159"/>
        <v>17.241</v>
      </c>
      <c r="M178" s="793">
        <f t="shared" si="159"/>
        <v>17.585000000000001</v>
      </c>
      <c r="N178" s="793">
        <f t="shared" si="159"/>
        <v>18.826000000000001</v>
      </c>
      <c r="O178" s="793">
        <f t="shared" si="159"/>
        <v>20.422000000000001</v>
      </c>
      <c r="P178" s="793">
        <f t="shared" si="159"/>
        <v>22.306000000000001</v>
      </c>
      <c r="Q178" s="793">
        <f>Q304</f>
        <v>24.429000000000002</v>
      </c>
      <c r="R178" s="332"/>
      <c r="S178" s="794"/>
      <c r="W178" s="139"/>
      <c r="X178" s="765"/>
      <c r="Y178" s="765"/>
      <c r="Z178" s="765"/>
    </row>
    <row r="179" spans="1:26" s="314" customFormat="1" outlineLevel="1">
      <c r="A179" s="795"/>
      <c r="B179" s="795"/>
      <c r="C179" s="795"/>
      <c r="D179" s="795" t="s">
        <v>184</v>
      </c>
      <c r="E179" s="795"/>
      <c r="F179" s="795"/>
      <c r="G179" s="795"/>
      <c r="H179" s="796"/>
      <c r="I179" s="796">
        <f t="shared" ref="I179:P179" si="160">I178/H178-1</f>
        <v>9.1563230796906092E-2</v>
      </c>
      <c r="J179" s="796">
        <f t="shared" si="160"/>
        <v>0.14840145023071849</v>
      </c>
      <c r="K179" s="796">
        <f t="shared" si="160"/>
        <v>0.16101026045777411</v>
      </c>
      <c r="L179" s="796">
        <f t="shared" si="160"/>
        <v>6.5508930226809481E-2</v>
      </c>
      <c r="M179" s="796">
        <f t="shared" si="160"/>
        <v>1.9952438953656948E-2</v>
      </c>
      <c r="N179" s="796">
        <f t="shared" si="160"/>
        <v>7.057150980949678E-2</v>
      </c>
      <c r="O179" s="796">
        <f t="shared" si="160"/>
        <v>8.4776373101030478E-2</v>
      </c>
      <c r="P179" s="796">
        <f t="shared" si="160"/>
        <v>9.2253452159435811E-2</v>
      </c>
      <c r="Q179" s="796">
        <f>Q178/P178-1</f>
        <v>9.5176185779610956E-2</v>
      </c>
      <c r="R179" s="332">
        <f>CORREL(H179:K179,H$169:K$169)</f>
        <v>-0.71374520225868421</v>
      </c>
      <c r="S179" s="797"/>
      <c r="W179" s="139"/>
      <c r="X179" s="765"/>
      <c r="Y179" s="765"/>
      <c r="Z179" s="765"/>
    </row>
    <row r="180" spans="1:26" s="314" customFormat="1" outlineLevel="1">
      <c r="A180" s="792"/>
      <c r="B180" s="792"/>
      <c r="C180" s="792"/>
      <c r="D180" s="792" t="s">
        <v>419</v>
      </c>
      <c r="E180" s="792">
        <f>R181/R$184</f>
        <v>0.19558989657548498</v>
      </c>
      <c r="F180" s="792"/>
      <c r="G180" s="792"/>
      <c r="H180" s="793">
        <f t="shared" ref="H180:P180" si="161">H308</f>
        <v>1251.884</v>
      </c>
      <c r="I180" s="793">
        <f t="shared" si="161"/>
        <v>1287.944</v>
      </c>
      <c r="J180" s="793">
        <f t="shared" si="161"/>
        <v>1419.5309999999999</v>
      </c>
      <c r="K180" s="793">
        <f t="shared" si="161"/>
        <v>1599.1679999999999</v>
      </c>
      <c r="L180" s="793">
        <f t="shared" si="161"/>
        <v>1739.731</v>
      </c>
      <c r="M180" s="793">
        <f t="shared" si="161"/>
        <v>1863.857</v>
      </c>
      <c r="N180" s="793">
        <f t="shared" si="161"/>
        <v>2056.2370000000001</v>
      </c>
      <c r="O180" s="793">
        <f t="shared" si="161"/>
        <v>2274.0330000000004</v>
      </c>
      <c r="P180" s="793">
        <f t="shared" si="161"/>
        <v>2519.828</v>
      </c>
      <c r="Q180" s="793">
        <f>Q308</f>
        <v>2799.3510000000001</v>
      </c>
      <c r="R180" s="332"/>
      <c r="S180" s="794"/>
      <c r="W180" s="139"/>
      <c r="X180" s="765"/>
      <c r="Y180" s="765"/>
      <c r="Z180" s="765"/>
    </row>
    <row r="181" spans="1:26" s="6" customFormat="1" outlineLevel="1">
      <c r="A181" s="28"/>
      <c r="B181" s="28"/>
      <c r="C181" s="28"/>
      <c r="D181" s="28" t="s">
        <v>184</v>
      </c>
      <c r="E181" s="28"/>
      <c r="F181" s="28"/>
      <c r="G181" s="28"/>
      <c r="H181" s="29"/>
      <c r="I181" s="29">
        <f t="shared" ref="I181:P181" si="162">I180/H180-1</f>
        <v>2.8804585728390064E-2</v>
      </c>
      <c r="J181" s="29">
        <f t="shared" si="162"/>
        <v>0.1021682619741231</v>
      </c>
      <c r="K181" s="29">
        <f t="shared" si="162"/>
        <v>0.12654672564389213</v>
      </c>
      <c r="L181" s="29">
        <f t="shared" si="162"/>
        <v>8.7897581742506281E-2</v>
      </c>
      <c r="M181" s="29">
        <f t="shared" si="162"/>
        <v>7.134781181688421E-2</v>
      </c>
      <c r="N181" s="29">
        <f t="shared" si="162"/>
        <v>0.10321607290688073</v>
      </c>
      <c r="O181" s="29">
        <f t="shared" si="162"/>
        <v>0.10591969699990811</v>
      </c>
      <c r="P181" s="29">
        <f t="shared" si="162"/>
        <v>0.10808770145376068</v>
      </c>
      <c r="Q181" s="29">
        <f>Q180/P180-1</f>
        <v>0.1109293967683509</v>
      </c>
      <c r="R181" s="332">
        <f>CORREL(H181:K181,H$169:K$169)</f>
        <v>-0.76143993244505015</v>
      </c>
      <c r="S181" s="335"/>
      <c r="W181" s="1"/>
      <c r="X181"/>
      <c r="Y181"/>
      <c r="Z181"/>
    </row>
    <row r="182" spans="1:26" s="314" customFormat="1" outlineLevel="1">
      <c r="A182" s="792"/>
      <c r="B182" s="792"/>
      <c r="C182" s="792"/>
      <c r="D182" s="792" t="s">
        <v>420</v>
      </c>
      <c r="E182" s="792">
        <f>R183/R$184</f>
        <v>0.25564380619374516</v>
      </c>
      <c r="F182" s="792"/>
      <c r="G182" s="792"/>
      <c r="H182" s="793">
        <f t="shared" ref="H182:P182" si="163">H306</f>
        <v>197.709</v>
      </c>
      <c r="I182" s="793">
        <f t="shared" si="163"/>
        <v>192.95999999999998</v>
      </c>
      <c r="J182" s="793">
        <f t="shared" si="163"/>
        <v>195.06300000000002</v>
      </c>
      <c r="K182" s="793">
        <f t="shared" si="163"/>
        <v>223.23400000000001</v>
      </c>
      <c r="L182" s="793">
        <f t="shared" si="163"/>
        <v>243.66800000000001</v>
      </c>
      <c r="M182" s="793">
        <f t="shared" si="163"/>
        <v>266.69600000000003</v>
      </c>
      <c r="N182" s="793">
        <f t="shared" si="163"/>
        <v>296.78199999999998</v>
      </c>
      <c r="O182" s="793">
        <f t="shared" si="163"/>
        <v>328.32</v>
      </c>
      <c r="P182" s="793">
        <f t="shared" si="163"/>
        <v>365.58799999999997</v>
      </c>
      <c r="Q182" s="793">
        <f>Q306</f>
        <v>407.94900000000001</v>
      </c>
      <c r="R182" s="332"/>
      <c r="S182" s="794"/>
      <c r="W182" s="139"/>
      <c r="X182" s="765"/>
      <c r="Y182" s="765"/>
      <c r="Z182" s="765"/>
    </row>
    <row r="183" spans="1:26" s="6" customFormat="1" outlineLevel="1">
      <c r="A183" s="28"/>
      <c r="B183" s="28"/>
      <c r="C183" s="28"/>
      <c r="D183" s="28" t="s">
        <v>184</v>
      </c>
      <c r="E183" s="28"/>
      <c r="F183" s="28"/>
      <c r="G183" s="28"/>
      <c r="H183" s="29"/>
      <c r="I183" s="29">
        <f t="shared" ref="I183:P183" si="164">I182/H182-1</f>
        <v>-2.402015082773179E-2</v>
      </c>
      <c r="J183" s="29">
        <f t="shared" si="164"/>
        <v>1.0898631840796202E-2</v>
      </c>
      <c r="K183" s="29">
        <f t="shared" si="164"/>
        <v>0.14442000789488518</v>
      </c>
      <c r="L183" s="29">
        <f t="shared" si="164"/>
        <v>9.1536235519678932E-2</v>
      </c>
      <c r="M183" s="29">
        <f t="shared" si="164"/>
        <v>9.4505638820033822E-2</v>
      </c>
      <c r="N183" s="29">
        <f t="shared" si="164"/>
        <v>0.11281009089000182</v>
      </c>
      <c r="O183" s="29">
        <f t="shared" si="164"/>
        <v>0.1062665525537263</v>
      </c>
      <c r="P183" s="29">
        <f t="shared" si="164"/>
        <v>0.11351120857699804</v>
      </c>
      <c r="Q183" s="29">
        <f>Q182/P182-1</f>
        <v>0.11587087103515437</v>
      </c>
      <c r="R183" s="332">
        <f>CORREL(H183:K183,H$169:K$169)</f>
        <v>-0.99523240170555383</v>
      </c>
      <c r="S183" s="335"/>
      <c r="W183" s="1"/>
      <c r="X183"/>
      <c r="Y183"/>
      <c r="Z183"/>
    </row>
    <row r="184" spans="1:26" s="6" customFormat="1" outlineLevel="1">
      <c r="A184" s="305"/>
      <c r="B184" s="225"/>
      <c r="C184" s="25"/>
      <c r="D184" s="306" t="s">
        <v>188</v>
      </c>
      <c r="E184" s="306">
        <f>E172+E174+E176+E178+E180+E182</f>
        <v>1</v>
      </c>
      <c r="F184" s="25"/>
      <c r="G184" s="25"/>
      <c r="H184" s="25"/>
      <c r="I184" s="25"/>
      <c r="J184" s="25"/>
      <c r="K184" s="25"/>
      <c r="L184" s="25"/>
      <c r="M184" s="25"/>
      <c r="N184" s="25"/>
      <c r="O184" s="25"/>
      <c r="P184" s="25"/>
      <c r="Q184" s="25"/>
      <c r="R184" s="336">
        <f>SUM(R173:R183)</f>
        <v>-3.8930432797237247</v>
      </c>
      <c r="S184" s="334"/>
      <c r="W184" s="1"/>
      <c r="X184"/>
      <c r="Y184"/>
      <c r="Z184"/>
    </row>
    <row r="185" spans="1:26" s="6" customFormat="1">
      <c r="A185" s="279" t="str">
        <f>'[3]TDF-Secondary cum Calculation'!A1029</f>
        <v>Tunisia</v>
      </c>
      <c r="B185" s="280" t="str">
        <f>'[3]TDF-Secondary cum Calculation'!B1029</f>
        <v>Tourism Flows</v>
      </c>
      <c r="C185" s="280" t="str">
        <f>'[3]TDF-Secondary cum Calculation'!C1029</f>
        <v>International Departures by Destination</v>
      </c>
      <c r="D185" s="279" t="str">
        <f>'[3]TDF-Secondary cum Calculation'!D1029</f>
        <v>Europe</v>
      </c>
      <c r="E185" s="207"/>
      <c r="F185" s="207" t="str">
        <f>'[3]TDF-Secondary cum Calculation'!J1029</f>
        <v>Thousand</v>
      </c>
      <c r="G185" s="207"/>
      <c r="H185" s="310">
        <f>'Tourism Medium DB-LCU'!H36</f>
        <v>3745.7489999999998</v>
      </c>
      <c r="I185" s="310">
        <f>'Tourism Medium DB-LCU'!I36</f>
        <v>3049.3220000000001</v>
      </c>
      <c r="J185" s="310">
        <f>'Tourism Medium DB-LCU'!J36</f>
        <v>2970.1959999999999</v>
      </c>
      <c r="K185" s="310">
        <f>'Tourism Medium DB-LCU'!K36</f>
        <v>3573.95</v>
      </c>
      <c r="L185" s="310">
        <f>'Tourism Medium DB-LCU'!L36</f>
        <v>3200.7759999999998</v>
      </c>
      <c r="M185" s="310">
        <f t="shared" ref="M185:P185" si="165">L185*(1+M186)</f>
        <v>3067.0812476942829</v>
      </c>
      <c r="N185" s="310">
        <f t="shared" si="165"/>
        <v>3142.1394435842262</v>
      </c>
      <c r="O185" s="310">
        <f t="shared" si="165"/>
        <v>3118.7915386967343</v>
      </c>
      <c r="P185" s="310">
        <f t="shared" si="165"/>
        <v>3234.6343917511854</v>
      </c>
      <c r="Q185" s="310">
        <f>P185*(1+Q186)</f>
        <v>3350.9711389762974</v>
      </c>
      <c r="R185" s="326">
        <f>'Tourism Medium DB-LCU'!R36</f>
        <v>-3.8544579094633935E-2</v>
      </c>
      <c r="S185" s="326">
        <f>'Tourism Medium DB-LCU'!S36</f>
        <v>9.2135691337851267E-3</v>
      </c>
      <c r="U185" s="289"/>
      <c r="W185" s="1"/>
      <c r="X185"/>
      <c r="Y185"/>
      <c r="Z185"/>
    </row>
    <row r="186" spans="1:26" s="6" customFormat="1">
      <c r="A186" s="207"/>
      <c r="B186" s="207"/>
      <c r="C186" s="282" t="str">
        <f>'[3]TDF-Secondary cum Calculation'!C1030</f>
        <v>Growth Rate</v>
      </c>
      <c r="D186" s="282"/>
      <c r="E186" s="282"/>
      <c r="F186" s="282" t="str">
        <f>'[3]TDF-Secondary cum Calculation'!J1030</f>
        <v>%</v>
      </c>
      <c r="G186" s="282"/>
      <c r="H186" s="213"/>
      <c r="I186" s="213">
        <f>I185/H185-1</f>
        <v>-0.18592463082817345</v>
      </c>
      <c r="J186" s="213">
        <f>J185/I185-1</f>
        <v>-2.594871909230978E-2</v>
      </c>
      <c r="K186" s="213">
        <f>K185/J185-1</f>
        <v>0.20327076058280324</v>
      </c>
      <c r="L186" s="213">
        <f>L185/K185-1</f>
        <v>-0.10441500300787643</v>
      </c>
      <c r="M186" s="213">
        <f>((M189*$E$188+M195*$E$194+M197*$E$196+M199*$E$198)*0.001+0.999*(((L185/H185)^(1/3))-1))*0.82</f>
        <v>-4.1769480996394832E-2</v>
      </c>
      <c r="N186" s="213">
        <f>(N189*$E$188+N193*$E$192+N195*$E$194+N197*$E$196+N199*$E$198)*0.85+0.15*(((M185/I185)^(1/3))-1)</f>
        <v>2.4472190277440211E-2</v>
      </c>
      <c r="O186" s="213">
        <f>(O189*$E$188+O191*$E$190+O195*$E$194+O197*$E$196+O199*$E$198)*0.5+0.5*(((L185/H185)^(1/3))-1)</f>
        <v>-7.4305756656232111E-3</v>
      </c>
      <c r="P186" s="213">
        <f>(P189*$E$188+P191*$E$190+P195*$E$194+P197*$E$196+P199*$E$198)*0.9+0.1*(((M185/I185)^(1/3))-1)</f>
        <v>3.7143506264243432E-2</v>
      </c>
      <c r="Q186" s="213">
        <f>(Q189*$E$188+Q191*$E$190+Q195*$E$194+Q197*$E$196+Q199*$E$198)*0.75+0.25*(((N185/J185)^(1/3))-1)</f>
        <v>3.5965964970195274E-2</v>
      </c>
      <c r="R186" s="210"/>
      <c r="S186" s="210"/>
      <c r="W186" s="1"/>
      <c r="X186"/>
      <c r="Y186"/>
      <c r="Z186"/>
    </row>
    <row r="187" spans="1:26" s="6" customFormat="1" outlineLevel="1">
      <c r="A187" s="195"/>
      <c r="B187" s="195"/>
      <c r="C187" s="195"/>
      <c r="D187" s="196" t="s">
        <v>351</v>
      </c>
      <c r="E187" s="197" t="s">
        <v>352</v>
      </c>
      <c r="F187" s="197"/>
      <c r="G187" s="197"/>
      <c r="H187" s="200"/>
      <c r="I187" s="200"/>
      <c r="J187" s="200"/>
      <c r="K187" s="200"/>
      <c r="L187" s="200"/>
      <c r="M187" s="200"/>
      <c r="N187" s="200"/>
      <c r="O187" s="200"/>
      <c r="P187" s="200"/>
      <c r="Q187" s="200"/>
      <c r="R187" s="331"/>
      <c r="S187" s="331"/>
      <c r="W187" s="1"/>
      <c r="X187"/>
      <c r="Y187"/>
      <c r="Z187"/>
    </row>
    <row r="188" spans="1:26" s="6" customFormat="1" outlineLevel="1">
      <c r="A188" s="23"/>
      <c r="B188" s="23"/>
      <c r="C188" s="23"/>
      <c r="D188" s="23" t="s">
        <v>414</v>
      </c>
      <c r="E188" s="41">
        <v>0.5</v>
      </c>
      <c r="F188" s="25"/>
      <c r="G188" s="25"/>
      <c r="H188" s="26">
        <f t="shared" ref="H188:P188" si="166">H286</f>
        <v>486.61200000000002</v>
      </c>
      <c r="I188" s="26">
        <f t="shared" si="166"/>
        <v>406.41199999999998</v>
      </c>
      <c r="J188" s="26">
        <f t="shared" si="166"/>
        <v>462.46</v>
      </c>
      <c r="K188" s="26">
        <f t="shared" si="166"/>
        <v>538.62400000000002</v>
      </c>
      <c r="L188" s="26">
        <f t="shared" si="166"/>
        <v>526.19200000000001</v>
      </c>
      <c r="M188" s="26">
        <f t="shared" si="166"/>
        <v>576.01099999999997</v>
      </c>
      <c r="N188" s="26">
        <f t="shared" si="166"/>
        <v>602.94500000000005</v>
      </c>
      <c r="O188" s="26">
        <f t="shared" si="166"/>
        <v>632.94399999999996</v>
      </c>
      <c r="P188" s="26">
        <f t="shared" si="166"/>
        <v>663.83399999999995</v>
      </c>
      <c r="Q188" s="26">
        <f>Q286</f>
        <v>696.45500000000004</v>
      </c>
      <c r="R188" s="330" t="s">
        <v>182</v>
      </c>
      <c r="S188" s="331"/>
      <c r="W188" s="1"/>
      <c r="X188"/>
      <c r="Y188"/>
      <c r="Z188"/>
    </row>
    <row r="189" spans="1:26" s="6" customFormat="1" outlineLevel="1">
      <c r="A189" s="28"/>
      <c r="B189" s="28"/>
      <c r="C189" s="28"/>
      <c r="D189" s="28" t="s">
        <v>184</v>
      </c>
      <c r="E189" s="28"/>
      <c r="F189" s="28"/>
      <c r="G189" s="28"/>
      <c r="H189" s="30"/>
      <c r="I189" s="30">
        <f t="shared" ref="I189:P189" si="167">I188/H188-1</f>
        <v>-0.16481303379283707</v>
      </c>
      <c r="J189" s="30">
        <f t="shared" si="167"/>
        <v>0.13790931370136716</v>
      </c>
      <c r="K189" s="30">
        <f t="shared" si="167"/>
        <v>0.16469316265190503</v>
      </c>
      <c r="L189" s="30">
        <f t="shared" si="167"/>
        <v>-2.3081036121673004E-2</v>
      </c>
      <c r="M189" s="30">
        <f t="shared" si="167"/>
        <v>9.4678368352236308E-2</v>
      </c>
      <c r="N189" s="30">
        <f t="shared" si="167"/>
        <v>4.6759523689651861E-2</v>
      </c>
      <c r="O189" s="30">
        <f t="shared" si="167"/>
        <v>4.9754123510436177E-2</v>
      </c>
      <c r="P189" s="30">
        <f t="shared" si="167"/>
        <v>4.8803685634116079E-2</v>
      </c>
      <c r="Q189" s="30">
        <f>Q188/P188-1</f>
        <v>4.9140297122473475E-2</v>
      </c>
      <c r="R189" s="332">
        <f>CORREL(H189:K189,H$185:K$185)</f>
        <v>0.45820895709063442</v>
      </c>
      <c r="S189" s="333"/>
      <c r="W189" s="1"/>
      <c r="X189"/>
      <c r="Y189"/>
      <c r="Z189"/>
    </row>
    <row r="190" spans="1:26" s="314" customFormat="1" outlineLevel="1">
      <c r="A190" s="792"/>
      <c r="B190" s="792"/>
      <c r="C190" s="792"/>
      <c r="D190" s="792" t="s">
        <v>376</v>
      </c>
      <c r="E190" s="798">
        <v>0.1</v>
      </c>
      <c r="F190" s="792"/>
      <c r="G190" s="792"/>
      <c r="H190" s="793">
        <f t="shared" ref="H190:P190" si="168">H288</f>
        <v>243265.6213799479</v>
      </c>
      <c r="I190" s="793">
        <f t="shared" si="168"/>
        <v>209746.7</v>
      </c>
      <c r="J190" s="793">
        <f t="shared" si="168"/>
        <v>229862.9</v>
      </c>
      <c r="K190" s="793">
        <f t="shared" si="168"/>
        <v>267252.2</v>
      </c>
      <c r="L190" s="793">
        <f t="shared" si="168"/>
        <v>265907.5</v>
      </c>
      <c r="M190" s="793">
        <f t="shared" si="168"/>
        <v>272054.09999999998</v>
      </c>
      <c r="N190" s="793">
        <f t="shared" si="168"/>
        <v>275377.1800377366</v>
      </c>
      <c r="O190" s="793">
        <f t="shared" si="168"/>
        <v>279078.41557839373</v>
      </c>
      <c r="P190" s="793">
        <f t="shared" si="168"/>
        <v>282889.58147895371</v>
      </c>
      <c r="Q190" s="793">
        <f>Q288</f>
        <v>286914.31578915659</v>
      </c>
      <c r="R190" s="332"/>
      <c r="S190" s="794"/>
      <c r="W190" s="139"/>
      <c r="X190" s="765"/>
      <c r="Y190" s="765"/>
      <c r="Z190" s="765"/>
    </row>
    <row r="191" spans="1:26" s="314" customFormat="1" outlineLevel="1">
      <c r="A191" s="795"/>
      <c r="B191" s="795"/>
      <c r="C191" s="795"/>
      <c r="D191" s="795" t="s">
        <v>184</v>
      </c>
      <c r="E191" s="795"/>
      <c r="F191" s="795"/>
      <c r="G191" s="795"/>
      <c r="H191" s="796"/>
      <c r="I191" s="796">
        <f t="shared" ref="I191:P191" si="169">I190/H190-1</f>
        <v>-0.13778733381975039</v>
      </c>
      <c r="J191" s="796">
        <f t="shared" si="169"/>
        <v>9.5907110815092622E-2</v>
      </c>
      <c r="K191" s="796">
        <f t="shared" si="169"/>
        <v>0.16265913290052469</v>
      </c>
      <c r="L191" s="796">
        <f t="shared" si="169"/>
        <v>-5.0315769149890111E-3</v>
      </c>
      <c r="M191" s="796">
        <f t="shared" si="169"/>
        <v>2.3115557101623496E-2</v>
      </c>
      <c r="N191" s="796">
        <f t="shared" si="169"/>
        <v>1.221477653796299E-2</v>
      </c>
      <c r="O191" s="796">
        <f t="shared" si="169"/>
        <v>1.3440603684553354E-2</v>
      </c>
      <c r="P191" s="796">
        <f t="shared" si="169"/>
        <v>1.3656254614536456E-2</v>
      </c>
      <c r="Q191" s="796">
        <f>Q190/P190-1</f>
        <v>1.422722706563273E-2</v>
      </c>
      <c r="R191" s="332">
        <f>CORREL(H191:K191,H$185:K$185)</f>
        <v>0.57769394027717458</v>
      </c>
      <c r="S191" s="797"/>
      <c r="W191" s="139"/>
      <c r="X191" s="765"/>
      <c r="Y191" s="765"/>
      <c r="Z191" s="765"/>
    </row>
    <row r="192" spans="1:26" s="314" customFormat="1" outlineLevel="1">
      <c r="A192" s="792"/>
      <c r="B192" s="792"/>
      <c r="C192" s="792"/>
      <c r="D192" s="792" t="s">
        <v>377</v>
      </c>
      <c r="E192" s="798">
        <v>0.1</v>
      </c>
      <c r="F192" s="792"/>
      <c r="G192" s="792"/>
      <c r="H192" s="793">
        <f t="shared" ref="H192:P192" si="170">H296</f>
        <v>2.2749999999999999</v>
      </c>
      <c r="I192" s="793">
        <f t="shared" si="170"/>
        <v>2.2789999999999999</v>
      </c>
      <c r="J192" s="793">
        <f t="shared" si="170"/>
        <v>2.2765994215599035</v>
      </c>
      <c r="K192" s="793">
        <f t="shared" si="170"/>
        <v>2.2721375476736672</v>
      </c>
      <c r="L192" s="793">
        <f t="shared" si="170"/>
        <v>2.2722980182311483</v>
      </c>
      <c r="M192" s="793">
        <f t="shared" si="170"/>
        <v>2.2715645101411561</v>
      </c>
      <c r="N192" s="793">
        <f t="shared" si="170"/>
        <v>2.271167948449917</v>
      </c>
      <c r="O192" s="793">
        <f t="shared" si="170"/>
        <v>2.2707262593515471</v>
      </c>
      <c r="P192" s="793">
        <f t="shared" si="170"/>
        <v>2.2702714516496694</v>
      </c>
      <c r="Q192" s="793">
        <f>Q296</f>
        <v>2.2697911576372718</v>
      </c>
      <c r="R192" s="794"/>
      <c r="S192" s="794"/>
      <c r="W192" s="139"/>
      <c r="X192" s="765"/>
      <c r="Y192" s="765"/>
      <c r="Z192" s="765"/>
    </row>
    <row r="193" spans="1:26" s="314" customFormat="1" outlineLevel="1">
      <c r="A193" s="795"/>
      <c r="B193" s="795"/>
      <c r="C193" s="795"/>
      <c r="D193" s="795" t="s">
        <v>184</v>
      </c>
      <c r="E193" s="795"/>
      <c r="F193" s="795"/>
      <c r="G193" s="795"/>
      <c r="H193" s="796"/>
      <c r="I193" s="796">
        <f t="shared" ref="I193:P193" si="171">I192/H192-1</f>
        <v>1.7582417582417964E-3</v>
      </c>
      <c r="J193" s="796">
        <f t="shared" si="171"/>
        <v>-1.0533472751630413E-3</v>
      </c>
      <c r="K193" s="796">
        <f t="shared" si="171"/>
        <v>-1.9598853641010772E-3</v>
      </c>
      <c r="L193" s="796">
        <f t="shared" si="171"/>
        <v>7.0625371094035216E-5</v>
      </c>
      <c r="M193" s="796">
        <f t="shared" si="171"/>
        <v>-3.2280452832644801E-4</v>
      </c>
      <c r="N193" s="796">
        <f t="shared" si="171"/>
        <v>-1.7457646017482453E-4</v>
      </c>
      <c r="O193" s="796">
        <f t="shared" si="171"/>
        <v>-1.9447663422300643E-4</v>
      </c>
      <c r="P193" s="796">
        <f t="shared" si="171"/>
        <v>-2.0029173486002527E-4</v>
      </c>
      <c r="Q193" s="796">
        <f>Q192/P192-1</f>
        <v>-2.1155796680105698E-4</v>
      </c>
      <c r="R193" s="332">
        <f>CORREL(H192:K192,H$185:K$185)</f>
        <v>-0.7278782569109461</v>
      </c>
      <c r="S193" s="797"/>
      <c r="W193" s="139"/>
      <c r="X193" s="765"/>
      <c r="Y193" s="765"/>
      <c r="Z193" s="765"/>
    </row>
    <row r="194" spans="1:26" s="314" customFormat="1" outlineLevel="1">
      <c r="A194" s="792"/>
      <c r="B194" s="792"/>
      <c r="C194" s="792"/>
      <c r="D194" s="792" t="s">
        <v>421</v>
      </c>
      <c r="E194" s="798">
        <v>0.05</v>
      </c>
      <c r="F194" s="792"/>
      <c r="G194" s="792"/>
      <c r="H194" s="793">
        <f t="shared" ref="H194:P194" si="172">H310</f>
        <v>33.253999999999998</v>
      </c>
      <c r="I194" s="793">
        <f t="shared" si="172"/>
        <v>32.131</v>
      </c>
      <c r="J194" s="793">
        <f t="shared" si="172"/>
        <v>31.669</v>
      </c>
      <c r="K194" s="793">
        <f t="shared" si="172"/>
        <v>33.886000000000003</v>
      </c>
      <c r="L194" s="793">
        <f t="shared" si="172"/>
        <v>31.597999999999999</v>
      </c>
      <c r="M194" s="793">
        <f t="shared" si="172"/>
        <v>33.417999999999999</v>
      </c>
      <c r="N194" s="793">
        <f t="shared" si="172"/>
        <v>33.224000000000004</v>
      </c>
      <c r="O194" s="793">
        <f t="shared" si="172"/>
        <v>33.701000000000001</v>
      </c>
      <c r="P194" s="793">
        <f t="shared" si="172"/>
        <v>34.899000000000001</v>
      </c>
      <c r="Q194" s="793">
        <f>Q310</f>
        <v>36.314999999999998</v>
      </c>
      <c r="R194" s="332"/>
      <c r="S194" s="794"/>
      <c r="W194" s="139"/>
      <c r="X194" s="765"/>
      <c r="Y194" s="765"/>
      <c r="Z194" s="765"/>
    </row>
    <row r="195" spans="1:26" s="314" customFormat="1" outlineLevel="1">
      <c r="A195" s="795"/>
      <c r="B195" s="795"/>
      <c r="C195" s="795"/>
      <c r="D195" s="795" t="s">
        <v>184</v>
      </c>
      <c r="E195" s="795"/>
      <c r="F195" s="795"/>
      <c r="G195" s="795"/>
      <c r="H195" s="796"/>
      <c r="I195" s="796">
        <f t="shared" ref="I195:P195" si="173">I194/H194-1</f>
        <v>-3.3770373488903549E-2</v>
      </c>
      <c r="J195" s="796">
        <f t="shared" si="173"/>
        <v>-1.4378637452927112E-2</v>
      </c>
      <c r="K195" s="796">
        <f t="shared" si="173"/>
        <v>7.0005368025513937E-2</v>
      </c>
      <c r="L195" s="796">
        <f t="shared" si="173"/>
        <v>-6.7520509945110163E-2</v>
      </c>
      <c r="M195" s="796">
        <f t="shared" si="173"/>
        <v>5.7598582188746139E-2</v>
      </c>
      <c r="N195" s="796">
        <f t="shared" si="173"/>
        <v>-5.8052546531808247E-3</v>
      </c>
      <c r="O195" s="796">
        <f t="shared" si="173"/>
        <v>1.435709125933049E-2</v>
      </c>
      <c r="P195" s="796">
        <f t="shared" si="173"/>
        <v>3.554790659030882E-2</v>
      </c>
      <c r="Q195" s="796">
        <f>Q194/P194-1</f>
        <v>4.0574228487922248E-2</v>
      </c>
      <c r="R195" s="332">
        <f>CORREL(H194:K194,H$185:K$185)</f>
        <v>0.89889967915113533</v>
      </c>
      <c r="S195" s="797"/>
      <c r="W195" s="139"/>
      <c r="X195" s="765"/>
      <c r="Y195" s="765"/>
      <c r="Z195" s="765"/>
    </row>
    <row r="196" spans="1:26" s="314" customFormat="1" outlineLevel="1">
      <c r="A196" s="792"/>
      <c r="B196" s="792"/>
      <c r="C196" s="792"/>
      <c r="D196" s="792" t="s">
        <v>422</v>
      </c>
      <c r="E196" s="798">
        <v>0.15</v>
      </c>
      <c r="F196" s="792"/>
      <c r="G196" s="792"/>
      <c r="H196" s="793">
        <f t="shared" ref="H196:P196" si="174">H314</f>
        <v>3311.5299999999997</v>
      </c>
      <c r="I196" s="793">
        <f t="shared" si="174"/>
        <v>2939.2799999999997</v>
      </c>
      <c r="J196" s="793">
        <f t="shared" si="174"/>
        <v>2881.29</v>
      </c>
      <c r="K196" s="793">
        <f t="shared" si="174"/>
        <v>3113.2</v>
      </c>
      <c r="L196" s="793">
        <f t="shared" si="174"/>
        <v>2900.53</v>
      </c>
      <c r="M196" s="793">
        <f t="shared" si="174"/>
        <v>3096.13</v>
      </c>
      <c r="N196" s="793">
        <f t="shared" si="174"/>
        <v>3132.42</v>
      </c>
      <c r="O196" s="793">
        <f t="shared" si="174"/>
        <v>3231.65</v>
      </c>
      <c r="P196" s="793">
        <f t="shared" si="174"/>
        <v>3386.5</v>
      </c>
      <c r="Q196" s="793">
        <f>Q314</f>
        <v>3551.4700000000003</v>
      </c>
      <c r="R196" s="332"/>
      <c r="S196" s="794"/>
      <c r="W196" s="139"/>
      <c r="X196" s="765"/>
      <c r="Y196" s="765"/>
      <c r="Z196" s="765"/>
    </row>
    <row r="197" spans="1:26" s="314" customFormat="1" outlineLevel="1">
      <c r="A197" s="795"/>
      <c r="B197" s="795"/>
      <c r="C197" s="795"/>
      <c r="D197" s="795" t="s">
        <v>184</v>
      </c>
      <c r="E197" s="795"/>
      <c r="F197" s="795"/>
      <c r="G197" s="795"/>
      <c r="H197" s="796"/>
      <c r="I197" s="796">
        <f t="shared" ref="I197:P197" si="175">I196/H196-1</f>
        <v>-0.11241027561278327</v>
      </c>
      <c r="J197" s="796">
        <f t="shared" si="175"/>
        <v>-1.9729321466481542E-2</v>
      </c>
      <c r="K197" s="796">
        <f t="shared" si="175"/>
        <v>8.0488253525330622E-2</v>
      </c>
      <c r="L197" s="796">
        <f t="shared" si="175"/>
        <v>-6.8312347423872377E-2</v>
      </c>
      <c r="M197" s="796">
        <f t="shared" si="175"/>
        <v>6.7435951360613311E-2</v>
      </c>
      <c r="N197" s="796">
        <f t="shared" si="175"/>
        <v>1.1721084063007758E-2</v>
      </c>
      <c r="O197" s="796">
        <f t="shared" si="175"/>
        <v>3.1678382847766251E-2</v>
      </c>
      <c r="P197" s="796">
        <f t="shared" si="175"/>
        <v>4.7916698899942656E-2</v>
      </c>
      <c r="Q197" s="796">
        <f>Q196/P196-1</f>
        <v>4.8714011516314937E-2</v>
      </c>
      <c r="R197" s="332">
        <f>CORREL(H196:K196,H$185:K$185)</f>
        <v>0.96855273440066292</v>
      </c>
      <c r="S197" s="797"/>
      <c r="W197" s="139"/>
      <c r="X197" s="765"/>
      <c r="Y197" s="765"/>
      <c r="Z197" s="765"/>
    </row>
    <row r="198" spans="1:26" s="314" customFormat="1" outlineLevel="1">
      <c r="A198" s="792"/>
      <c r="B198" s="792"/>
      <c r="C198" s="792"/>
      <c r="D198" s="792" t="s">
        <v>423</v>
      </c>
      <c r="E198" s="798">
        <v>0.1</v>
      </c>
      <c r="F198" s="792"/>
      <c r="G198" s="792"/>
      <c r="H198" s="793">
        <f t="shared" ref="H198:P198" si="176">H312</f>
        <v>371.84</v>
      </c>
      <c r="I198" s="793">
        <f t="shared" si="176"/>
        <v>316.68100000000004</v>
      </c>
      <c r="J198" s="793">
        <f t="shared" si="176"/>
        <v>316.58100000000002</v>
      </c>
      <c r="K198" s="793">
        <f t="shared" si="176"/>
        <v>336.61599999999999</v>
      </c>
      <c r="L198" s="793">
        <f t="shared" si="176"/>
        <v>314.31700000000001</v>
      </c>
      <c r="M198" s="793">
        <f t="shared" si="176"/>
        <v>345.62299999999999</v>
      </c>
      <c r="N198" s="793">
        <f t="shared" si="176"/>
        <v>358.13</v>
      </c>
      <c r="O198" s="793">
        <f t="shared" si="176"/>
        <v>374.274</v>
      </c>
      <c r="P198" s="793">
        <f t="shared" si="176"/>
        <v>397.93899999999996</v>
      </c>
      <c r="Q198" s="793">
        <f>Q312</f>
        <v>423.065</v>
      </c>
      <c r="R198" s="332"/>
      <c r="S198" s="794"/>
      <c r="W198" s="139"/>
      <c r="X198" s="765"/>
      <c r="Y198" s="765"/>
      <c r="Z198" s="765"/>
    </row>
    <row r="199" spans="1:26" s="6" customFormat="1" outlineLevel="1">
      <c r="A199" s="28"/>
      <c r="B199" s="28"/>
      <c r="C199" s="28"/>
      <c r="D199" s="28" t="s">
        <v>184</v>
      </c>
      <c r="E199" s="28"/>
      <c r="F199" s="28"/>
      <c r="G199" s="28"/>
      <c r="H199" s="29"/>
      <c r="I199" s="29">
        <f t="shared" ref="I199:P199" si="177">I198/H198-1</f>
        <v>-0.14834068416523216</v>
      </c>
      <c r="J199" s="29">
        <f t="shared" si="177"/>
        <v>-3.1577518070247113E-4</v>
      </c>
      <c r="K199" s="29">
        <f t="shared" si="177"/>
        <v>6.3285541457004602E-2</v>
      </c>
      <c r="L199" s="29">
        <f t="shared" si="177"/>
        <v>-6.6244622953157251E-2</v>
      </c>
      <c r="M199" s="29">
        <f t="shared" si="177"/>
        <v>9.960008526423958E-2</v>
      </c>
      <c r="N199" s="29">
        <f t="shared" si="177"/>
        <v>3.6186827844211678E-2</v>
      </c>
      <c r="O199" s="29">
        <f t="shared" si="177"/>
        <v>4.5078602742021134E-2</v>
      </c>
      <c r="P199" s="29">
        <f t="shared" si="177"/>
        <v>6.3229078161988195E-2</v>
      </c>
      <c r="Q199" s="29">
        <f>Q198/P198-1</f>
        <v>6.314033055317525E-2</v>
      </c>
      <c r="R199" s="332">
        <f>CORREL(H198:K198,H$185:K$185)</f>
        <v>0.91777365939472322</v>
      </c>
      <c r="S199" s="335"/>
      <c r="W199" s="1"/>
      <c r="X199"/>
      <c r="Y199"/>
      <c r="Z199"/>
    </row>
    <row r="200" spans="1:26" s="6" customFormat="1" outlineLevel="1">
      <c r="A200" s="305"/>
      <c r="B200" s="225"/>
      <c r="C200" s="25"/>
      <c r="D200" s="306" t="s">
        <v>188</v>
      </c>
      <c r="E200" s="306">
        <f>E188+E190+E192+E194+E196+E198</f>
        <v>1</v>
      </c>
      <c r="F200" s="25"/>
      <c r="G200" s="25"/>
      <c r="H200" s="25"/>
      <c r="I200" s="25"/>
      <c r="J200" s="25"/>
      <c r="K200" s="25"/>
      <c r="L200" s="25"/>
      <c r="M200" s="25"/>
      <c r="N200" s="25"/>
      <c r="O200" s="25"/>
      <c r="P200" s="25"/>
      <c r="Q200" s="25"/>
      <c r="R200" s="336">
        <f>SUM(R189:R199)</f>
        <v>3.0932507134033842</v>
      </c>
      <c r="S200" s="334"/>
      <c r="W200" s="1"/>
      <c r="X200"/>
      <c r="Y200"/>
      <c r="Z200"/>
    </row>
    <row r="201" spans="1:26" s="6" customFormat="1" collapsed="1">
      <c r="A201" s="279" t="str">
        <f>'[3]TDF-Secondary cum Calculation'!A1121</f>
        <v>Tunisia</v>
      </c>
      <c r="B201" s="280" t="str">
        <f>'[3]TDF-Secondary cum Calculation'!B1121</f>
        <v>Tourism Flows</v>
      </c>
      <c r="C201" s="280" t="str">
        <f>'[3]TDF-Secondary cum Calculation'!C1121</f>
        <v>International Departures by Destination</v>
      </c>
      <c r="D201" s="279" t="str">
        <f>'[3]TDF-Secondary cum Calculation'!D1121</f>
        <v>Middle East</v>
      </c>
      <c r="E201" s="207"/>
      <c r="F201" s="207" t="str">
        <f>'[3]TDF-Secondary cum Calculation'!J1121</f>
        <v>Thousand</v>
      </c>
      <c r="G201" s="207"/>
      <c r="H201" s="310">
        <f>'Tourism Medium DB-LCU'!H37</f>
        <v>212.96726784482803</v>
      </c>
      <c r="I201" s="310">
        <f>'Tourism Medium DB-LCU'!I37</f>
        <v>217.32719573307452</v>
      </c>
      <c r="J201" s="310">
        <f>'Tourism Medium DB-LCU'!J37</f>
        <v>221.32137046968148</v>
      </c>
      <c r="K201" s="310">
        <f>'Tourism Medium DB-LCU'!K37</f>
        <v>119.50020782802865</v>
      </c>
      <c r="L201" s="310">
        <f>'Tourism Medium DB-LCU'!L37</f>
        <v>119.8239648780781</v>
      </c>
      <c r="M201" s="310">
        <f t="shared" ref="M201:P201" si="178">L201*(1+M202)</f>
        <v>86.231516528453383</v>
      </c>
      <c r="N201" s="310">
        <f t="shared" si="178"/>
        <v>-135.77146357781569</v>
      </c>
      <c r="O201" s="310">
        <f t="shared" si="178"/>
        <v>-59.50290950249795</v>
      </c>
      <c r="P201" s="310">
        <f t="shared" si="178"/>
        <v>-51.034159188508809</v>
      </c>
      <c r="Q201" s="310">
        <f>P201*(1+Q202)</f>
        <v>-50.437013077581931</v>
      </c>
      <c r="R201" s="326">
        <f>'Tourism Medium DB-LCU'!R37</f>
        <v>-0.1339206044548592</v>
      </c>
      <c r="S201" s="326" t="e">
        <f>'Tourism Medium DB-LCU'!S37</f>
        <v>#NUM!</v>
      </c>
      <c r="U201" s="289"/>
      <c r="W201" s="1"/>
      <c r="X201"/>
      <c r="Y201"/>
      <c r="Z201"/>
    </row>
    <row r="202" spans="1:26" s="6" customFormat="1">
      <c r="A202" s="207"/>
      <c r="B202" s="207"/>
      <c r="C202" s="282" t="str">
        <f>'[3]TDF-Secondary cum Calculation'!C1122</f>
        <v>Growth Rate</v>
      </c>
      <c r="D202" s="282"/>
      <c r="E202" s="282"/>
      <c r="F202" s="282" t="str">
        <f>'[3]TDF-Secondary cum Calculation'!J1122</f>
        <v>%</v>
      </c>
      <c r="G202" s="282"/>
      <c r="H202" s="213"/>
      <c r="I202" s="213">
        <f>I201/H201-1</f>
        <v>2.0472291034992374E-2</v>
      </c>
      <c r="J202" s="213">
        <f>J201/I201-1</f>
        <v>1.8378623637663294E-2</v>
      </c>
      <c r="K202" s="213">
        <f>K201/J201-1</f>
        <v>-0.46006023921490757</v>
      </c>
      <c r="L202" s="213">
        <f>L201/K201-1</f>
        <v>2.7092593053508196E-3</v>
      </c>
      <c r="M202" s="213">
        <f>((M209*$E$208+M211*$E$210)*0.001+0.999*(((L201/I201)^(1/5))-1))*2.5</f>
        <v>-0.28034832918277514</v>
      </c>
      <c r="N202" s="213">
        <f>((N209*$E$208+N211*$E$210)*0.001+0.999*(((M201/J201)^(1/5))-1))*15</f>
        <v>-2.5744993135197367</v>
      </c>
      <c r="O202" s="213">
        <f>(O209*$E$208+O211*$E$210)*0.72+0.28*(((N201/K201)^(1/5))-1)</f>
        <v>-0.56174215159436203</v>
      </c>
      <c r="P202" s="213">
        <f>(P209*$E$208+P211*$E$210)*0.92+0.08*(((O201/L201)^(1/5))-1)</f>
        <v>-0.14232497847241604</v>
      </c>
      <c r="Q202" s="213">
        <f>(Q209*$E$208+Q211*$E$210)*0.99+0.01*(((P201/M201)^(1/5))-1)</f>
        <v>-1.1700910143755964E-2</v>
      </c>
      <c r="R202" s="210"/>
      <c r="S202" s="210"/>
      <c r="W202" s="1"/>
      <c r="X202"/>
      <c r="Y202"/>
      <c r="Z202"/>
    </row>
    <row r="203" spans="1:26" s="6" customFormat="1">
      <c r="A203" s="195"/>
      <c r="B203" s="195"/>
      <c r="C203" s="195"/>
      <c r="D203" s="196" t="s">
        <v>351</v>
      </c>
      <c r="E203" s="197" t="s">
        <v>352</v>
      </c>
      <c r="F203" s="197"/>
      <c r="G203" s="197"/>
      <c r="H203" s="200"/>
      <c r="I203" s="200"/>
      <c r="J203" s="200"/>
      <c r="K203" s="200"/>
      <c r="L203" s="200"/>
      <c r="M203" s="200"/>
      <c r="N203" s="200"/>
      <c r="O203" s="200"/>
      <c r="P203" s="200"/>
      <c r="Q203" s="200"/>
      <c r="R203" s="331"/>
      <c r="S203" s="331"/>
      <c r="W203" s="1"/>
      <c r="X203"/>
      <c r="Y203"/>
      <c r="Z203"/>
    </row>
    <row r="204" spans="1:26" s="6" customFormat="1" outlineLevel="1">
      <c r="A204" s="23"/>
      <c r="B204" s="23"/>
      <c r="C204" s="23"/>
      <c r="D204" s="23" t="s">
        <v>414</v>
      </c>
      <c r="E204" s="41">
        <v>0.5</v>
      </c>
      <c r="F204" s="25"/>
      <c r="G204" s="25"/>
      <c r="H204" s="26">
        <f t="shared" ref="H204:P204" si="179">H286</f>
        <v>486.61200000000002</v>
      </c>
      <c r="I204" s="26">
        <f t="shared" si="179"/>
        <v>406.41199999999998</v>
      </c>
      <c r="J204" s="26">
        <f t="shared" si="179"/>
        <v>462.46</v>
      </c>
      <c r="K204" s="26">
        <f t="shared" si="179"/>
        <v>538.62400000000002</v>
      </c>
      <c r="L204" s="26">
        <f t="shared" si="179"/>
        <v>526.19200000000001</v>
      </c>
      <c r="M204" s="26">
        <f t="shared" si="179"/>
        <v>576.01099999999997</v>
      </c>
      <c r="N204" s="26">
        <f t="shared" si="179"/>
        <v>602.94500000000005</v>
      </c>
      <c r="O204" s="26">
        <f t="shared" si="179"/>
        <v>632.94399999999996</v>
      </c>
      <c r="P204" s="26">
        <f t="shared" si="179"/>
        <v>663.83399999999995</v>
      </c>
      <c r="Q204" s="26">
        <f>Q286</f>
        <v>696.45500000000004</v>
      </c>
      <c r="R204" s="330" t="s">
        <v>182</v>
      </c>
      <c r="S204" s="331"/>
      <c r="W204" s="1"/>
      <c r="X204"/>
      <c r="Y204"/>
      <c r="Z204"/>
    </row>
    <row r="205" spans="1:26" s="6" customFormat="1" outlineLevel="1">
      <c r="A205" s="28"/>
      <c r="B205" s="28"/>
      <c r="C205" s="28"/>
      <c r="D205" s="28" t="s">
        <v>184</v>
      </c>
      <c r="E205" s="28"/>
      <c r="F205" s="28"/>
      <c r="G205" s="28"/>
      <c r="H205" s="30"/>
      <c r="I205" s="30">
        <f t="shared" ref="I205:P205" si="180">I204/H204-1</f>
        <v>-0.16481303379283707</v>
      </c>
      <c r="J205" s="30">
        <f t="shared" si="180"/>
        <v>0.13790931370136716</v>
      </c>
      <c r="K205" s="30">
        <f t="shared" si="180"/>
        <v>0.16469316265190503</v>
      </c>
      <c r="L205" s="30">
        <f t="shared" si="180"/>
        <v>-2.3081036121673004E-2</v>
      </c>
      <c r="M205" s="30">
        <f t="shared" si="180"/>
        <v>9.4678368352236308E-2</v>
      </c>
      <c r="N205" s="30">
        <f t="shared" si="180"/>
        <v>4.6759523689651861E-2</v>
      </c>
      <c r="O205" s="30">
        <f t="shared" si="180"/>
        <v>4.9754123510436177E-2</v>
      </c>
      <c r="P205" s="30">
        <f t="shared" si="180"/>
        <v>4.8803685634116079E-2</v>
      </c>
      <c r="Q205" s="30">
        <f>Q204/P204-1</f>
        <v>4.9140297122473475E-2</v>
      </c>
      <c r="R205" s="332">
        <f>CORREL(H204:J204,H$201:J$201)</f>
        <v>-0.31757151858928173</v>
      </c>
      <c r="S205" s="333"/>
      <c r="W205" s="1"/>
      <c r="X205"/>
      <c r="Y205"/>
      <c r="Z205"/>
    </row>
    <row r="206" spans="1:26" s="6" customFormat="1" ht="16.5" customHeight="1" outlineLevel="1">
      <c r="A206" s="25"/>
      <c r="B206" s="25"/>
      <c r="C206" s="25"/>
      <c r="D206" s="25" t="s">
        <v>376</v>
      </c>
      <c r="E206" s="41">
        <v>0.1</v>
      </c>
      <c r="F206" s="25"/>
      <c r="G206" s="25"/>
      <c r="H206" s="26">
        <f t="shared" ref="H206:P206" si="181">H288</f>
        <v>243265.6213799479</v>
      </c>
      <c r="I206" s="26">
        <f t="shared" si="181"/>
        <v>209746.7</v>
      </c>
      <c r="J206" s="26">
        <f t="shared" si="181"/>
        <v>229862.9</v>
      </c>
      <c r="K206" s="26">
        <f t="shared" si="181"/>
        <v>267252.2</v>
      </c>
      <c r="L206" s="26">
        <f t="shared" si="181"/>
        <v>265907.5</v>
      </c>
      <c r="M206" s="26">
        <f t="shared" si="181"/>
        <v>272054.09999999998</v>
      </c>
      <c r="N206" s="26">
        <f t="shared" si="181"/>
        <v>275377.1800377366</v>
      </c>
      <c r="O206" s="26">
        <f t="shared" si="181"/>
        <v>279078.41557839373</v>
      </c>
      <c r="P206" s="26">
        <f t="shared" si="181"/>
        <v>282889.58147895371</v>
      </c>
      <c r="Q206" s="26">
        <f>Q288</f>
        <v>286914.31578915659</v>
      </c>
      <c r="R206" s="332"/>
      <c r="S206" s="334"/>
      <c r="W206" s="1"/>
      <c r="X206"/>
      <c r="Y206"/>
      <c r="Z206"/>
    </row>
    <row r="207" spans="1:26" s="6" customFormat="1" ht="16.5" customHeight="1" outlineLevel="1">
      <c r="A207" s="28"/>
      <c r="B207" s="28"/>
      <c r="C207" s="28"/>
      <c r="D207" s="28" t="s">
        <v>184</v>
      </c>
      <c r="E207" s="28"/>
      <c r="F207" s="28"/>
      <c r="G207" s="28"/>
      <c r="H207" s="29"/>
      <c r="I207" s="29">
        <f t="shared" ref="I207:P207" si="182">I206/H206-1</f>
        <v>-0.13778733381975039</v>
      </c>
      <c r="J207" s="29">
        <f t="shared" si="182"/>
        <v>9.5907110815092622E-2</v>
      </c>
      <c r="K207" s="29">
        <f t="shared" si="182"/>
        <v>0.16265913290052469</v>
      </c>
      <c r="L207" s="29">
        <f t="shared" si="182"/>
        <v>-5.0315769149890111E-3</v>
      </c>
      <c r="M207" s="29">
        <f t="shared" si="182"/>
        <v>2.3115557101623496E-2</v>
      </c>
      <c r="N207" s="29">
        <f t="shared" si="182"/>
        <v>1.221477653796299E-2</v>
      </c>
      <c r="O207" s="29">
        <f t="shared" si="182"/>
        <v>1.3440603684553354E-2</v>
      </c>
      <c r="P207" s="29">
        <f t="shared" si="182"/>
        <v>1.3656254614536456E-2</v>
      </c>
      <c r="Q207" s="29">
        <f>Q206/P206-1</f>
        <v>1.422722706563273E-2</v>
      </c>
      <c r="R207" s="332">
        <f>CORREL(I205:K205,I$202:K$202)</f>
        <v>-0.56515894335256434</v>
      </c>
      <c r="S207" s="335"/>
      <c r="W207" s="1"/>
      <c r="X207"/>
      <c r="Y207"/>
      <c r="Z207"/>
    </row>
    <row r="208" spans="1:26" s="6" customFormat="1" ht="16.5" customHeight="1" outlineLevel="1">
      <c r="A208" s="25"/>
      <c r="B208" s="25"/>
      <c r="C208" s="25"/>
      <c r="D208" s="25" t="s">
        <v>377</v>
      </c>
      <c r="E208" s="41">
        <v>0.1</v>
      </c>
      <c r="F208" s="25"/>
      <c r="G208" s="25"/>
      <c r="H208" s="26">
        <f t="shared" ref="H208:P208" si="183">H296</f>
        <v>2.2749999999999999</v>
      </c>
      <c r="I208" s="26">
        <f t="shared" si="183"/>
        <v>2.2789999999999999</v>
      </c>
      <c r="J208" s="26">
        <f t="shared" si="183"/>
        <v>2.2765994215599035</v>
      </c>
      <c r="K208" s="26">
        <f t="shared" si="183"/>
        <v>2.2721375476736672</v>
      </c>
      <c r="L208" s="26">
        <f t="shared" si="183"/>
        <v>2.2722980182311483</v>
      </c>
      <c r="M208" s="26">
        <f t="shared" si="183"/>
        <v>2.2715645101411561</v>
      </c>
      <c r="N208" s="26">
        <f t="shared" si="183"/>
        <v>2.271167948449917</v>
      </c>
      <c r="O208" s="26">
        <f t="shared" si="183"/>
        <v>2.2707262593515471</v>
      </c>
      <c r="P208" s="26">
        <f t="shared" si="183"/>
        <v>2.2702714516496694</v>
      </c>
      <c r="Q208" s="26">
        <f>Q296</f>
        <v>2.2697911576372718</v>
      </c>
      <c r="R208" s="334"/>
      <c r="S208" s="334"/>
      <c r="W208" s="1"/>
      <c r="X208"/>
      <c r="Y208"/>
      <c r="Z208"/>
    </row>
    <row r="209" spans="1:26" s="6" customFormat="1" ht="16.5" customHeight="1" outlineLevel="1">
      <c r="A209" s="28"/>
      <c r="B209" s="28"/>
      <c r="C209" s="28"/>
      <c r="D209" s="28" t="s">
        <v>184</v>
      </c>
      <c r="E209" s="28"/>
      <c r="F209" s="28"/>
      <c r="G209" s="28"/>
      <c r="H209" s="29"/>
      <c r="I209" s="29">
        <f t="shared" ref="I209:P209" si="184">I208/H208-1</f>
        <v>1.7582417582417964E-3</v>
      </c>
      <c r="J209" s="29">
        <f t="shared" si="184"/>
        <v>-1.0533472751630413E-3</v>
      </c>
      <c r="K209" s="29">
        <f t="shared" si="184"/>
        <v>-1.9598853641010772E-3</v>
      </c>
      <c r="L209" s="29">
        <f t="shared" si="184"/>
        <v>7.0625371094035216E-5</v>
      </c>
      <c r="M209" s="29">
        <f t="shared" si="184"/>
        <v>-3.2280452832644801E-4</v>
      </c>
      <c r="N209" s="29">
        <f t="shared" si="184"/>
        <v>-1.7457646017482453E-4</v>
      </c>
      <c r="O209" s="29">
        <f t="shared" si="184"/>
        <v>-1.9447663422300643E-4</v>
      </c>
      <c r="P209" s="29">
        <f t="shared" si="184"/>
        <v>-2.0029173486002527E-4</v>
      </c>
      <c r="Q209" s="29">
        <f>Q208/P208-1</f>
        <v>-2.1155796680105698E-4</v>
      </c>
      <c r="R209" s="332">
        <f>CORREL(H208:K208,H$201:K$201)</f>
        <v>0.83578132665360694</v>
      </c>
      <c r="S209" s="335"/>
      <c r="W209" s="1"/>
      <c r="X209"/>
      <c r="Y209"/>
      <c r="Z209"/>
    </row>
    <row r="210" spans="1:26" s="6" customFormat="1" ht="16.5" customHeight="1" outlineLevel="1">
      <c r="A210" s="25"/>
      <c r="B210" s="25"/>
      <c r="C210" s="25"/>
      <c r="D210" s="25" t="s">
        <v>424</v>
      </c>
      <c r="E210" s="41">
        <v>0.1</v>
      </c>
      <c r="F210" s="25"/>
      <c r="G210" s="25"/>
      <c r="H210" s="26">
        <f t="shared" ref="H210:P210" si="185">H316</f>
        <v>1.002</v>
      </c>
      <c r="I210" s="26">
        <f t="shared" si="185"/>
        <v>1.167</v>
      </c>
      <c r="J210" s="26">
        <f t="shared" si="185"/>
        <v>1.244</v>
      </c>
      <c r="K210" s="26">
        <f t="shared" si="185"/>
        <v>1.3680000000000001</v>
      </c>
      <c r="L210" s="26">
        <f t="shared" si="185"/>
        <v>1.4690000000000001</v>
      </c>
      <c r="M210" s="26">
        <f t="shared" si="185"/>
        <v>1.589</v>
      </c>
      <c r="N210" s="26">
        <f t="shared" si="185"/>
        <v>1.7110000000000001</v>
      </c>
      <c r="O210" s="26">
        <f t="shared" si="185"/>
        <v>1.8420000000000001</v>
      </c>
      <c r="P210" s="26">
        <f t="shared" si="185"/>
        <v>1.9870000000000001</v>
      </c>
      <c r="Q210" s="26">
        <f>Q316</f>
        <v>2.1339999999999999</v>
      </c>
      <c r="R210" s="332"/>
      <c r="S210" s="334"/>
      <c r="W210" s="1"/>
      <c r="X210"/>
      <c r="Y210"/>
      <c r="Z210"/>
    </row>
    <row r="211" spans="1:26" s="6" customFormat="1" ht="16.5" customHeight="1" outlineLevel="1">
      <c r="A211" s="28"/>
      <c r="B211" s="28"/>
      <c r="C211" s="28"/>
      <c r="D211" s="28" t="s">
        <v>184</v>
      </c>
      <c r="E211" s="28"/>
      <c r="F211" s="28"/>
      <c r="G211" s="28"/>
      <c r="H211" s="29"/>
      <c r="I211" s="29">
        <f t="shared" ref="I211:P211" si="186">I210/H210-1</f>
        <v>0.16467065868263475</v>
      </c>
      <c r="J211" s="29">
        <f t="shared" si="186"/>
        <v>6.5981148243358989E-2</v>
      </c>
      <c r="K211" s="29">
        <f t="shared" si="186"/>
        <v>9.9678456591639986E-2</v>
      </c>
      <c r="L211" s="29">
        <f t="shared" si="186"/>
        <v>7.3830409356725024E-2</v>
      </c>
      <c r="M211" s="29">
        <f t="shared" si="186"/>
        <v>8.1688223281143557E-2</v>
      </c>
      <c r="N211" s="29">
        <f t="shared" si="186"/>
        <v>7.6777847702957924E-2</v>
      </c>
      <c r="O211" s="29">
        <f t="shared" si="186"/>
        <v>7.65634132086499E-2</v>
      </c>
      <c r="P211" s="29">
        <f t="shared" si="186"/>
        <v>7.871878393051035E-2</v>
      </c>
      <c r="Q211" s="29">
        <f>Q210/P210-1</f>
        <v>7.398087569199796E-2</v>
      </c>
      <c r="R211" s="332">
        <f>CORREL(H211:K211,H$201:K$201)</f>
        <v>0.14591458416728817</v>
      </c>
      <c r="S211" s="335"/>
      <c r="W211" s="1"/>
      <c r="X211"/>
      <c r="Y211"/>
      <c r="Z211"/>
    </row>
    <row r="212" spans="1:26" s="6" customFormat="1" ht="16.5" customHeight="1" outlineLevel="1">
      <c r="A212" s="25"/>
      <c r="B212" s="25"/>
      <c r="C212" s="25"/>
      <c r="D212" s="25" t="s">
        <v>425</v>
      </c>
      <c r="E212" s="41">
        <v>0.1</v>
      </c>
      <c r="F212" s="25"/>
      <c r="G212" s="25"/>
      <c r="H212" s="26">
        <f t="shared" ref="H212:P212" si="187">H320</f>
        <v>151.27500000000001</v>
      </c>
      <c r="I212" s="26">
        <f t="shared" si="187"/>
        <v>142.58699999999999</v>
      </c>
      <c r="J212" s="26">
        <f t="shared" si="187"/>
        <v>160.874</v>
      </c>
      <c r="K212" s="26">
        <f t="shared" si="187"/>
        <v>180.75899999999999</v>
      </c>
      <c r="L212" s="26">
        <f t="shared" si="187"/>
        <v>185.22300000000001</v>
      </c>
      <c r="M212" s="26">
        <f t="shared" si="187"/>
        <v>195.07599999999999</v>
      </c>
      <c r="N212" s="26">
        <f t="shared" si="187"/>
        <v>209.78100000000001</v>
      </c>
      <c r="O212" s="26">
        <f t="shared" si="187"/>
        <v>225.33600000000001</v>
      </c>
      <c r="P212" s="26">
        <f t="shared" si="187"/>
        <v>242.06100000000001</v>
      </c>
      <c r="Q212" s="26">
        <f>Q320</f>
        <v>259.83600000000001</v>
      </c>
      <c r="R212" s="332"/>
      <c r="S212" s="334"/>
      <c r="W212" s="1"/>
      <c r="X212"/>
      <c r="Y212"/>
      <c r="Z212"/>
    </row>
    <row r="213" spans="1:26" s="6" customFormat="1" ht="16.5" customHeight="1" outlineLevel="1">
      <c r="A213" s="28"/>
      <c r="B213" s="28"/>
      <c r="C213" s="28"/>
      <c r="D213" s="28" t="s">
        <v>184</v>
      </c>
      <c r="E213" s="28"/>
      <c r="F213" s="28"/>
      <c r="G213" s="28"/>
      <c r="H213" s="29"/>
      <c r="I213" s="29">
        <f t="shared" ref="I213:P213" si="188">I212/H212-1</f>
        <v>-5.743182944967784E-2</v>
      </c>
      <c r="J213" s="29">
        <f t="shared" si="188"/>
        <v>0.12825152363118653</v>
      </c>
      <c r="K213" s="29">
        <f t="shared" si="188"/>
        <v>0.12360605194127072</v>
      </c>
      <c r="L213" s="29">
        <f t="shared" si="188"/>
        <v>2.469586576602012E-2</v>
      </c>
      <c r="M213" s="29">
        <f t="shared" si="188"/>
        <v>5.3195337512079943E-2</v>
      </c>
      <c r="N213" s="29">
        <f t="shared" si="188"/>
        <v>7.5380877196579821E-2</v>
      </c>
      <c r="O213" s="29">
        <f t="shared" si="188"/>
        <v>7.4148755130350352E-2</v>
      </c>
      <c r="P213" s="29">
        <f t="shared" si="188"/>
        <v>7.422249440835027E-2</v>
      </c>
      <c r="Q213" s="29">
        <f>Q212/P212-1</f>
        <v>7.3431903528449416E-2</v>
      </c>
      <c r="R213" s="332">
        <f>CORREL(I213:K213,I$201:K$201)</f>
        <v>-0.45023073413280007</v>
      </c>
      <c r="S213" s="335"/>
      <c r="W213" s="1"/>
      <c r="X213"/>
      <c r="Y213"/>
      <c r="Z213"/>
    </row>
    <row r="214" spans="1:26" s="6" customFormat="1" ht="16.5" customHeight="1" outlineLevel="1">
      <c r="A214" s="25"/>
      <c r="B214" s="25"/>
      <c r="C214" s="25"/>
      <c r="D214" s="25" t="s">
        <v>426</v>
      </c>
      <c r="E214" s="41">
        <v>0.1</v>
      </c>
      <c r="F214" s="25"/>
      <c r="G214" s="25"/>
      <c r="H214" s="26">
        <f t="shared" ref="H214:P214" si="189">H318</f>
        <v>32.143000000000001</v>
      </c>
      <c r="I214" s="26">
        <f t="shared" si="189"/>
        <v>28.364999999999998</v>
      </c>
      <c r="J214" s="26">
        <f t="shared" si="189"/>
        <v>33.354999999999997</v>
      </c>
      <c r="K214" s="26">
        <f t="shared" si="189"/>
        <v>37.902999999999999</v>
      </c>
      <c r="L214" s="26">
        <f t="shared" si="189"/>
        <v>40.643999999999998</v>
      </c>
      <c r="M214" s="26">
        <f t="shared" si="189"/>
        <v>44.134999999999998</v>
      </c>
      <c r="N214" s="26">
        <f t="shared" si="189"/>
        <v>47.624000000000002</v>
      </c>
      <c r="O214" s="26">
        <f t="shared" si="189"/>
        <v>51.506999999999998</v>
      </c>
      <c r="P214" s="26">
        <f t="shared" si="189"/>
        <v>55.661000000000001</v>
      </c>
      <c r="Q214" s="26">
        <f>Q318</f>
        <v>59.902000000000001</v>
      </c>
      <c r="R214" s="332"/>
      <c r="S214" s="334"/>
      <c r="W214" s="1"/>
      <c r="X214"/>
      <c r="Y214"/>
      <c r="Z214"/>
    </row>
    <row r="215" spans="1:26" s="6" customFormat="1" outlineLevel="1">
      <c r="A215" s="28"/>
      <c r="B215" s="28"/>
      <c r="C215" s="28"/>
      <c r="D215" s="28" t="s">
        <v>184</v>
      </c>
      <c r="E215" s="28"/>
      <c r="F215" s="28"/>
      <c r="G215" s="28"/>
      <c r="H215" s="29"/>
      <c r="I215" s="29">
        <f t="shared" ref="I215:P215" si="190">I214/H214-1</f>
        <v>-0.11753725538997606</v>
      </c>
      <c r="J215" s="29">
        <f t="shared" si="190"/>
        <v>0.17592102943768717</v>
      </c>
      <c r="K215" s="29">
        <f t="shared" si="190"/>
        <v>0.13635137160845456</v>
      </c>
      <c r="L215" s="29">
        <f t="shared" si="190"/>
        <v>7.2316175500620083E-2</v>
      </c>
      <c r="M215" s="29">
        <f t="shared" si="190"/>
        <v>8.5892136600728364E-2</v>
      </c>
      <c r="N215" s="29">
        <f t="shared" si="190"/>
        <v>7.9052905857029732E-2</v>
      </c>
      <c r="O215" s="29">
        <f t="shared" si="190"/>
        <v>8.1534520409877187E-2</v>
      </c>
      <c r="P215" s="29">
        <f t="shared" si="190"/>
        <v>8.0649232143203964E-2</v>
      </c>
      <c r="Q215" s="29">
        <f>Q214/P214-1</f>
        <v>7.6193384955354659E-2</v>
      </c>
      <c r="R215" s="332">
        <f>CORREL(H215:K215,H$202:K$202)</f>
        <v>-0.39200724496271211</v>
      </c>
      <c r="S215" s="335"/>
      <c r="W215" s="1"/>
      <c r="X215"/>
      <c r="Y215"/>
      <c r="Z215"/>
    </row>
    <row r="216" spans="1:26" s="6" customFormat="1" outlineLevel="1">
      <c r="A216" s="305"/>
      <c r="B216" s="225"/>
      <c r="C216" s="25"/>
      <c r="D216" s="306" t="s">
        <v>188</v>
      </c>
      <c r="E216" s="306">
        <f>E204+E206+E208+E210+E212+E214</f>
        <v>0.99999999999999989</v>
      </c>
      <c r="F216" s="25"/>
      <c r="G216" s="25"/>
      <c r="H216" s="25"/>
      <c r="I216" s="25"/>
      <c r="J216" s="25"/>
      <c r="K216" s="25"/>
      <c r="L216" s="25"/>
      <c r="M216" s="25"/>
      <c r="N216" s="25"/>
      <c r="O216" s="25"/>
      <c r="P216" s="25"/>
      <c r="Q216" s="25"/>
      <c r="R216" s="336">
        <f>SUM(R205:R215)</f>
        <v>-0.74327253021646322</v>
      </c>
      <c r="S216" s="334"/>
      <c r="W216" s="1"/>
      <c r="X216"/>
      <c r="Y216"/>
      <c r="Z216"/>
    </row>
    <row r="217" spans="1:26" s="6" customFormat="1" collapsed="1">
      <c r="A217" s="279" t="str">
        <f>'[3]TDF-Secondary cum Calculation'!A1153</f>
        <v>Tunisia</v>
      </c>
      <c r="B217" s="280" t="str">
        <f>'[3]TDF-Secondary cum Calculation'!B1153</f>
        <v>Tourism Flows</v>
      </c>
      <c r="C217" s="280" t="str">
        <f>'[3]TDF-Secondary cum Calculation'!C1153</f>
        <v>International Departures by Destination</v>
      </c>
      <c r="D217" s="279" t="str">
        <f>'[3]TDF-Secondary cum Calculation'!D1153</f>
        <v>North America</v>
      </c>
      <c r="E217" s="207"/>
      <c r="F217" s="207" t="str">
        <f>'[3]TDF-Secondary cum Calculation'!J1153</f>
        <v>Thousand</v>
      </c>
      <c r="G217" s="207"/>
      <c r="H217" s="310">
        <f>'Tourism Medium DB-LCU'!H38</f>
        <v>102.876</v>
      </c>
      <c r="I217" s="310">
        <f>'Tourism Medium DB-LCU'!I38</f>
        <v>128.49199999999999</v>
      </c>
      <c r="J217" s="310">
        <f>'Tourism Medium DB-LCU'!J38</f>
        <v>105.122</v>
      </c>
      <c r="K217" s="310">
        <f>'Tourism Medium DB-LCU'!K38</f>
        <v>98.471000000000004</v>
      </c>
      <c r="L217" s="310">
        <f>'Tourism Medium DB-LCU'!L38</f>
        <v>80.100999999999999</v>
      </c>
      <c r="M217" s="310">
        <f t="shared" ref="M217:P217" si="191">L217*(1+M218)</f>
        <v>77.111284290710813</v>
      </c>
      <c r="N217" s="310">
        <f t="shared" si="191"/>
        <v>80.009401409808049</v>
      </c>
      <c r="O217" s="310">
        <f t="shared" si="191"/>
        <v>82.838367561364109</v>
      </c>
      <c r="P217" s="310">
        <f t="shared" si="191"/>
        <v>85.19631311128272</v>
      </c>
      <c r="Q217" s="310">
        <f>P217*(1+Q218)</f>
        <v>87.18181906907202</v>
      </c>
      <c r="R217" s="326">
        <f>'Tourism Medium DB-LCU'!R38</f>
        <v>-6.0642370572640769E-2</v>
      </c>
      <c r="S217" s="326">
        <f>'Tourism Medium DB-LCU'!S38</f>
        <v>1.7085815749272815E-2</v>
      </c>
      <c r="U217" s="289"/>
      <c r="W217" s="1"/>
      <c r="X217"/>
      <c r="Y217"/>
      <c r="Z217"/>
    </row>
    <row r="218" spans="1:26" s="6" customFormat="1">
      <c r="A218" s="207"/>
      <c r="B218" s="207"/>
      <c r="C218" s="282" t="str">
        <f>'[3]TDF-Secondary cum Calculation'!C1154</f>
        <v>Growth Rate</v>
      </c>
      <c r="D218" s="282"/>
      <c r="E218" s="282"/>
      <c r="F218" s="282" t="str">
        <f>'[3]TDF-Secondary cum Calculation'!J1154</f>
        <v>%</v>
      </c>
      <c r="G218" s="282"/>
      <c r="H218" s="213"/>
      <c r="I218" s="213">
        <f>I217/H217-1</f>
        <v>0.24899879466542241</v>
      </c>
      <c r="J218" s="213">
        <f>J217/I217-1</f>
        <v>-0.18187902748809259</v>
      </c>
      <c r="K218" s="213">
        <f>K217/J217-1</f>
        <v>-6.3269344190559518E-2</v>
      </c>
      <c r="L218" s="213">
        <f>L217/K217-1</f>
        <v>-0.18655238598165957</v>
      </c>
      <c r="M218" s="213">
        <f>(M221*$E$220+M223*$E$222+M227*$E$226+M229*$E$228+M231*$E$230)*0.1+0.9*(((L217/H217)^(1/5))-1)</f>
        <v>-3.7324324406551514E-2</v>
      </c>
      <c r="N218" s="213">
        <f>((N221*$E$220+N223*$E$222+N227*$E$226+N229*$E$228+N231*$E$230)*0.999+0.001*(((M217/I217)^(1/5))-1))*0.9</f>
        <v>3.7583566993532172E-2</v>
      </c>
      <c r="O218" s="213">
        <f>((O221*$E$220+O223*$E$222+O227*$E$226+O229*$E$228+O231*$E$230)*0.999+0.001*(((N217/J217)^(1/5))-1))*0.8</f>
        <v>3.5357921715550578E-2</v>
      </c>
      <c r="P218" s="213">
        <f>(P221*$E$220+P223*$E$222+P227*$E$226+P229*$E$228+P231*$E$230)*0.8+0.2*(((O217/K217)^(1/5))-1)</f>
        <v>2.8464413523985901E-2</v>
      </c>
      <c r="Q218" s="213">
        <f>((Q221*$E$220+Q223*$E$222+Q227*$E$226+Q229*$E$228+Q231*$E$230)*0.1+0.9*(((P217/L217)^(1/5))-1))*1.5</f>
        <v>2.3305069025649466E-2</v>
      </c>
      <c r="R218" s="210"/>
      <c r="S218" s="210"/>
      <c r="W218" s="1"/>
      <c r="X218"/>
      <c r="Y218"/>
      <c r="Z218"/>
    </row>
    <row r="219" spans="1:26" s="6" customFormat="1">
      <c r="A219" s="195"/>
      <c r="B219" s="195"/>
      <c r="C219" s="195"/>
      <c r="D219" s="196" t="s">
        <v>351</v>
      </c>
      <c r="E219" s="197" t="s">
        <v>352</v>
      </c>
      <c r="F219" s="197"/>
      <c r="G219" s="197"/>
      <c r="H219" s="200"/>
      <c r="I219" s="200"/>
      <c r="J219" s="200"/>
      <c r="K219" s="200"/>
      <c r="L219" s="200"/>
      <c r="M219" s="200"/>
      <c r="N219" s="200"/>
      <c r="O219" s="200"/>
      <c r="P219" s="200"/>
      <c r="Q219" s="200"/>
      <c r="R219" s="331"/>
      <c r="S219" s="331"/>
      <c r="W219" s="1"/>
      <c r="X219"/>
      <c r="Y219"/>
      <c r="Z219"/>
    </row>
    <row r="220" spans="1:26" s="6" customFormat="1" ht="15" customHeight="1" outlineLevel="1">
      <c r="A220" s="23"/>
      <c r="B220" s="23"/>
      <c r="C220" s="23"/>
      <c r="D220" s="23" t="s">
        <v>414</v>
      </c>
      <c r="E220" s="41">
        <v>0.5</v>
      </c>
      <c r="F220" s="25"/>
      <c r="G220" s="25"/>
      <c r="H220" s="26">
        <f t="shared" ref="H220:P220" si="192">H286</f>
        <v>486.61200000000002</v>
      </c>
      <c r="I220" s="26">
        <f t="shared" si="192"/>
        <v>406.41199999999998</v>
      </c>
      <c r="J220" s="26">
        <f t="shared" si="192"/>
        <v>462.46</v>
      </c>
      <c r="K220" s="26">
        <f t="shared" si="192"/>
        <v>538.62400000000002</v>
      </c>
      <c r="L220" s="26">
        <f t="shared" si="192"/>
        <v>526.19200000000001</v>
      </c>
      <c r="M220" s="26">
        <f t="shared" si="192"/>
        <v>576.01099999999997</v>
      </c>
      <c r="N220" s="26">
        <f t="shared" si="192"/>
        <v>602.94500000000005</v>
      </c>
      <c r="O220" s="26">
        <f t="shared" si="192"/>
        <v>632.94399999999996</v>
      </c>
      <c r="P220" s="26">
        <f t="shared" si="192"/>
        <v>663.83399999999995</v>
      </c>
      <c r="Q220" s="26">
        <f>Q286</f>
        <v>696.45500000000004</v>
      </c>
      <c r="R220" s="330" t="s">
        <v>182</v>
      </c>
      <c r="S220" s="331"/>
      <c r="W220" s="1"/>
      <c r="X220"/>
      <c r="Y220"/>
      <c r="Z220"/>
    </row>
    <row r="221" spans="1:26" s="6" customFormat="1" ht="15" customHeight="1" outlineLevel="1">
      <c r="A221" s="28"/>
      <c r="B221" s="28"/>
      <c r="C221" s="28"/>
      <c r="D221" s="28" t="s">
        <v>184</v>
      </c>
      <c r="E221" s="28"/>
      <c r="F221" s="28"/>
      <c r="G221" s="28"/>
      <c r="H221" s="30"/>
      <c r="I221" s="30">
        <f t="shared" ref="I221:P221" si="193">I220/H220-1</f>
        <v>-0.16481303379283707</v>
      </c>
      <c r="J221" s="30">
        <f t="shared" si="193"/>
        <v>0.13790931370136716</v>
      </c>
      <c r="K221" s="30">
        <f t="shared" si="193"/>
        <v>0.16469316265190503</v>
      </c>
      <c r="L221" s="30">
        <f t="shared" si="193"/>
        <v>-2.3081036121673004E-2</v>
      </c>
      <c r="M221" s="30">
        <f t="shared" si="193"/>
        <v>9.4678368352236308E-2</v>
      </c>
      <c r="N221" s="30">
        <f t="shared" si="193"/>
        <v>4.6759523689651861E-2</v>
      </c>
      <c r="O221" s="30">
        <f t="shared" si="193"/>
        <v>4.9754123510436177E-2</v>
      </c>
      <c r="P221" s="30">
        <f t="shared" si="193"/>
        <v>4.8803685634116079E-2</v>
      </c>
      <c r="Q221" s="30">
        <f>Q220/P220-1</f>
        <v>4.9140297122473475E-2</v>
      </c>
      <c r="R221" s="332">
        <f>CORREL(H221:K221,H$218:K$218)</f>
        <v>-0.94176558640973962</v>
      </c>
      <c r="S221" s="333"/>
      <c r="W221" s="1"/>
      <c r="X221"/>
      <c r="Y221"/>
      <c r="Z221"/>
    </row>
    <row r="222" spans="1:26" s="6" customFormat="1" ht="15" customHeight="1" outlineLevel="1">
      <c r="A222" s="25"/>
      <c r="B222" s="25"/>
      <c r="C222" s="25"/>
      <c r="D222" s="25" t="s">
        <v>376</v>
      </c>
      <c r="E222" s="41">
        <v>0.1</v>
      </c>
      <c r="F222" s="25"/>
      <c r="G222" s="25"/>
      <c r="H222" s="26">
        <f t="shared" ref="H222:P222" si="194">H288</f>
        <v>243265.6213799479</v>
      </c>
      <c r="I222" s="26">
        <f t="shared" si="194"/>
        <v>209746.7</v>
      </c>
      <c r="J222" s="26">
        <f t="shared" si="194"/>
        <v>229862.9</v>
      </c>
      <c r="K222" s="26">
        <f t="shared" si="194"/>
        <v>267252.2</v>
      </c>
      <c r="L222" s="26">
        <f t="shared" si="194"/>
        <v>265907.5</v>
      </c>
      <c r="M222" s="26">
        <f t="shared" si="194"/>
        <v>272054.09999999998</v>
      </c>
      <c r="N222" s="26">
        <f t="shared" si="194"/>
        <v>275377.1800377366</v>
      </c>
      <c r="O222" s="26">
        <f t="shared" si="194"/>
        <v>279078.41557839373</v>
      </c>
      <c r="P222" s="26">
        <f t="shared" si="194"/>
        <v>282889.58147895371</v>
      </c>
      <c r="Q222" s="26">
        <f>Q288</f>
        <v>286914.31578915659</v>
      </c>
      <c r="R222" s="332"/>
      <c r="S222" s="334"/>
      <c r="W222" s="1"/>
      <c r="X222"/>
      <c r="Y222"/>
      <c r="Z222"/>
    </row>
    <row r="223" spans="1:26" s="6" customFormat="1" ht="15" customHeight="1" outlineLevel="1">
      <c r="A223" s="28"/>
      <c r="B223" s="28"/>
      <c r="C223" s="28"/>
      <c r="D223" s="28" t="s">
        <v>184</v>
      </c>
      <c r="E223" s="28"/>
      <c r="F223" s="28"/>
      <c r="G223" s="28"/>
      <c r="H223" s="29"/>
      <c r="I223" s="29">
        <f t="shared" ref="I223:P223" si="195">I222/H222-1</f>
        <v>-0.13778733381975039</v>
      </c>
      <c r="J223" s="29">
        <f t="shared" si="195"/>
        <v>9.5907110815092622E-2</v>
      </c>
      <c r="K223" s="29">
        <f t="shared" si="195"/>
        <v>0.16265913290052469</v>
      </c>
      <c r="L223" s="29">
        <f t="shared" si="195"/>
        <v>-5.0315769149890111E-3</v>
      </c>
      <c r="M223" s="29">
        <f t="shared" si="195"/>
        <v>2.3115557101623496E-2</v>
      </c>
      <c r="N223" s="29">
        <f t="shared" si="195"/>
        <v>1.221477653796299E-2</v>
      </c>
      <c r="O223" s="29">
        <f t="shared" si="195"/>
        <v>1.3440603684553354E-2</v>
      </c>
      <c r="P223" s="29">
        <f t="shared" si="195"/>
        <v>1.3656254614536456E-2</v>
      </c>
      <c r="Q223" s="29">
        <f>Q222/P222-1</f>
        <v>1.422722706563273E-2</v>
      </c>
      <c r="R223" s="332">
        <f>CORREL(H223:K223,H$218:K$218)</f>
        <v>-0.8856635980380857</v>
      </c>
      <c r="S223" s="335"/>
      <c r="W223" s="1"/>
      <c r="X223"/>
      <c r="Y223"/>
      <c r="Z223"/>
    </row>
    <row r="224" spans="1:26" s="6" customFormat="1" ht="15" customHeight="1" outlineLevel="1">
      <c r="A224" s="25"/>
      <c r="B224" s="25"/>
      <c r="C224" s="25"/>
      <c r="D224" s="25" t="s">
        <v>377</v>
      </c>
      <c r="E224" s="41">
        <v>0.1</v>
      </c>
      <c r="F224" s="25"/>
      <c r="G224" s="25"/>
      <c r="H224" s="26">
        <f t="shared" ref="H224:P224" si="196">H296</f>
        <v>2.2749999999999999</v>
      </c>
      <c r="I224" s="26">
        <f t="shared" si="196"/>
        <v>2.2789999999999999</v>
      </c>
      <c r="J224" s="26">
        <f t="shared" si="196"/>
        <v>2.2765994215599035</v>
      </c>
      <c r="K224" s="26">
        <f t="shared" si="196"/>
        <v>2.2721375476736672</v>
      </c>
      <c r="L224" s="26">
        <f t="shared" si="196"/>
        <v>2.2722980182311483</v>
      </c>
      <c r="M224" s="26">
        <f t="shared" si="196"/>
        <v>2.2715645101411561</v>
      </c>
      <c r="N224" s="26">
        <f t="shared" si="196"/>
        <v>2.271167948449917</v>
      </c>
      <c r="O224" s="26">
        <f t="shared" si="196"/>
        <v>2.2707262593515471</v>
      </c>
      <c r="P224" s="26">
        <f t="shared" si="196"/>
        <v>2.2702714516496694</v>
      </c>
      <c r="Q224" s="26">
        <f>Q296</f>
        <v>2.2697911576372718</v>
      </c>
      <c r="R224" s="334"/>
      <c r="S224" s="334"/>
      <c r="W224" s="1"/>
      <c r="X224"/>
      <c r="Y224"/>
      <c r="Z224"/>
    </row>
    <row r="225" spans="1:26" s="6" customFormat="1" ht="15" customHeight="1" outlineLevel="1">
      <c r="A225" s="28"/>
      <c r="B225" s="28"/>
      <c r="C225" s="28"/>
      <c r="D225" s="28" t="s">
        <v>184</v>
      </c>
      <c r="E225" s="28"/>
      <c r="F225" s="28"/>
      <c r="G225" s="28"/>
      <c r="H225" s="29"/>
      <c r="I225" s="29">
        <f t="shared" ref="I225:P225" si="197">I224/H224-1</f>
        <v>1.7582417582417964E-3</v>
      </c>
      <c r="J225" s="29">
        <f t="shared" si="197"/>
        <v>-1.0533472751630413E-3</v>
      </c>
      <c r="K225" s="29">
        <f t="shared" si="197"/>
        <v>-1.9598853641010772E-3</v>
      </c>
      <c r="L225" s="29">
        <f t="shared" si="197"/>
        <v>7.0625371094035216E-5</v>
      </c>
      <c r="M225" s="29">
        <f t="shared" si="197"/>
        <v>-3.2280452832644801E-4</v>
      </c>
      <c r="N225" s="29">
        <f t="shared" si="197"/>
        <v>-1.7457646017482453E-4</v>
      </c>
      <c r="O225" s="29">
        <f t="shared" si="197"/>
        <v>-1.9447663422300643E-4</v>
      </c>
      <c r="P225" s="29">
        <f t="shared" si="197"/>
        <v>-2.0029173486002527E-4</v>
      </c>
      <c r="Q225" s="29">
        <f>Q224/P224-1</f>
        <v>-2.1155796680105698E-4</v>
      </c>
      <c r="R225" s="332">
        <f>CORREL(I225:K225,I$217:K$217)</f>
        <v>0.99972439665390644</v>
      </c>
      <c r="S225" s="335"/>
      <c r="W225" s="1"/>
      <c r="X225"/>
      <c r="Y225"/>
      <c r="Z225"/>
    </row>
    <row r="226" spans="1:26" s="6" customFormat="1" ht="15" customHeight="1" outlineLevel="1">
      <c r="A226" s="25"/>
      <c r="B226" s="25"/>
      <c r="C226" s="25"/>
      <c r="D226" s="25" t="s">
        <v>427</v>
      </c>
      <c r="E226" s="41">
        <v>0.1</v>
      </c>
      <c r="F226" s="25"/>
      <c r="G226" s="25"/>
      <c r="H226" s="26">
        <f t="shared" ref="H226:P226" si="198">H322</f>
        <v>17.641999999999999</v>
      </c>
      <c r="I226" s="26">
        <f t="shared" si="198"/>
        <v>17.861999999999998</v>
      </c>
      <c r="J226" s="26">
        <f t="shared" si="198"/>
        <v>18.846</v>
      </c>
      <c r="K226" s="26">
        <f t="shared" si="198"/>
        <v>19.533999999999999</v>
      </c>
      <c r="L226" s="26">
        <f t="shared" si="198"/>
        <v>19.986000000000001</v>
      </c>
      <c r="M226" s="26">
        <f t="shared" si="198"/>
        <v>20.718</v>
      </c>
      <c r="N226" s="26">
        <f t="shared" si="198"/>
        <v>21.690999999999999</v>
      </c>
      <c r="O226" s="26">
        <f t="shared" si="198"/>
        <v>22.751999999999999</v>
      </c>
      <c r="P226" s="26">
        <f t="shared" si="198"/>
        <v>23.893000000000001</v>
      </c>
      <c r="Q226" s="26">
        <f>Q322</f>
        <v>25.126000000000001</v>
      </c>
      <c r="R226" s="332"/>
      <c r="S226" s="334"/>
      <c r="W226" s="1"/>
      <c r="X226"/>
      <c r="Y226"/>
      <c r="Z226"/>
    </row>
    <row r="227" spans="1:26" s="6" customFormat="1" ht="15" customHeight="1" outlineLevel="1">
      <c r="A227" s="28"/>
      <c r="B227" s="28"/>
      <c r="C227" s="28"/>
      <c r="D227" s="28" t="s">
        <v>184</v>
      </c>
      <c r="E227" s="28"/>
      <c r="F227" s="28"/>
      <c r="G227" s="28"/>
      <c r="H227" s="29"/>
      <c r="I227" s="29">
        <f t="shared" ref="I227:P227" si="199">I226/H226-1</f>
        <v>1.2470241469221044E-2</v>
      </c>
      <c r="J227" s="29">
        <f t="shared" si="199"/>
        <v>5.5089015787705753E-2</v>
      </c>
      <c r="K227" s="29">
        <f t="shared" si="199"/>
        <v>3.6506420460575173E-2</v>
      </c>
      <c r="L227" s="29">
        <f t="shared" si="199"/>
        <v>2.313914200880518E-2</v>
      </c>
      <c r="M227" s="29">
        <f t="shared" si="199"/>
        <v>3.6625637946562595E-2</v>
      </c>
      <c r="N227" s="29">
        <f t="shared" si="199"/>
        <v>4.6963992663384468E-2</v>
      </c>
      <c r="O227" s="29">
        <f t="shared" si="199"/>
        <v>4.8914296251901801E-2</v>
      </c>
      <c r="P227" s="29">
        <f t="shared" si="199"/>
        <v>5.0149437412095654E-2</v>
      </c>
      <c r="Q227" s="29">
        <f>Q226/P226-1</f>
        <v>5.1605072615410474E-2</v>
      </c>
      <c r="R227" s="332">
        <f>CORREL(H227:K227,H$218:K$218)</f>
        <v>-0.98381754951787115</v>
      </c>
      <c r="S227" s="335"/>
      <c r="W227" s="1"/>
      <c r="X227"/>
      <c r="Y227"/>
      <c r="Z227"/>
    </row>
    <row r="228" spans="1:26" s="6" customFormat="1" ht="15" customHeight="1" outlineLevel="1">
      <c r="A228" s="25"/>
      <c r="B228" s="25"/>
      <c r="C228" s="25"/>
      <c r="D228" s="25" t="s">
        <v>428</v>
      </c>
      <c r="E228" s="41">
        <v>0.1</v>
      </c>
      <c r="F228" s="25"/>
      <c r="G228" s="25"/>
      <c r="H228" s="26">
        <f t="shared" ref="H228:P228" si="200">H326</f>
        <v>1507.87</v>
      </c>
      <c r="I228" s="26">
        <f t="shared" si="200"/>
        <v>1346.41</v>
      </c>
      <c r="J228" s="26">
        <f t="shared" si="200"/>
        <v>1449.69</v>
      </c>
      <c r="K228" s="26">
        <f t="shared" si="200"/>
        <v>1534.1</v>
      </c>
      <c r="L228" s="26">
        <f t="shared" si="200"/>
        <v>1571.7</v>
      </c>
      <c r="M228" s="26">
        <f t="shared" si="200"/>
        <v>1644.68</v>
      </c>
      <c r="N228" s="26">
        <f t="shared" si="200"/>
        <v>1738.55</v>
      </c>
      <c r="O228" s="26">
        <f t="shared" si="200"/>
        <v>1837.26</v>
      </c>
      <c r="P228" s="26">
        <f t="shared" si="200"/>
        <v>1939.97</v>
      </c>
      <c r="Q228" s="26">
        <f>Q326</f>
        <v>2045.05</v>
      </c>
      <c r="R228" s="332"/>
      <c r="S228" s="334"/>
      <c r="W228" s="1"/>
      <c r="X228"/>
      <c r="Y228"/>
      <c r="Z228"/>
    </row>
    <row r="229" spans="1:26" s="6" customFormat="1" ht="15" customHeight="1" outlineLevel="1">
      <c r="A229" s="28"/>
      <c r="B229" s="28"/>
      <c r="C229" s="28"/>
      <c r="D229" s="28" t="s">
        <v>184</v>
      </c>
      <c r="E229" s="28"/>
      <c r="F229" s="28"/>
      <c r="G229" s="28"/>
      <c r="H229" s="29"/>
      <c r="I229" s="29">
        <f t="shared" ref="I229:P229" si="201">I228/H228-1</f>
        <v>-0.10707819639624094</v>
      </c>
      <c r="J229" s="29">
        <f t="shared" si="201"/>
        <v>7.6707689336829032E-2</v>
      </c>
      <c r="K229" s="29">
        <f t="shared" si="201"/>
        <v>5.8226241472314699E-2</v>
      </c>
      <c r="L229" s="29">
        <f t="shared" si="201"/>
        <v>2.4509484388240743E-2</v>
      </c>
      <c r="M229" s="29">
        <f t="shared" si="201"/>
        <v>4.6433797798562049E-2</v>
      </c>
      <c r="N229" s="29">
        <f t="shared" si="201"/>
        <v>5.7074932509667553E-2</v>
      </c>
      <c r="O229" s="29">
        <f t="shared" si="201"/>
        <v>5.6777199390296573E-2</v>
      </c>
      <c r="P229" s="29">
        <f t="shared" si="201"/>
        <v>5.5903900373382109E-2</v>
      </c>
      <c r="Q229" s="29">
        <f>Q228/P228-1</f>
        <v>5.4165786068856692E-2</v>
      </c>
      <c r="R229" s="332">
        <f>CORREL(H229:K229,H$218:K$218)</f>
        <v>-0.98415268069469153</v>
      </c>
      <c r="S229" s="335"/>
      <c r="W229" s="1"/>
      <c r="X229"/>
      <c r="Y229"/>
      <c r="Z229"/>
    </row>
    <row r="230" spans="1:26" s="6" customFormat="1" ht="15" customHeight="1" outlineLevel="1">
      <c r="A230" s="25"/>
      <c r="B230" s="25"/>
      <c r="C230" s="25"/>
      <c r="D230" s="25" t="s">
        <v>429</v>
      </c>
      <c r="E230" s="41">
        <v>0.1</v>
      </c>
      <c r="F230" s="25"/>
      <c r="G230" s="25"/>
      <c r="H230" s="26">
        <f t="shared" ref="H230:P230" si="202">H324</f>
        <v>193.614</v>
      </c>
      <c r="I230" s="26">
        <f t="shared" si="202"/>
        <v>165.93799999999999</v>
      </c>
      <c r="J230" s="26">
        <f t="shared" si="202"/>
        <v>175.41</v>
      </c>
      <c r="K230" s="26">
        <f t="shared" si="202"/>
        <v>185.74199999999999</v>
      </c>
      <c r="L230" s="26">
        <f t="shared" si="202"/>
        <v>191.255</v>
      </c>
      <c r="M230" s="26">
        <f t="shared" si="202"/>
        <v>206.822</v>
      </c>
      <c r="N230" s="26">
        <f t="shared" si="202"/>
        <v>221.07900000000001</v>
      </c>
      <c r="O230" s="26">
        <f t="shared" si="202"/>
        <v>237.67</v>
      </c>
      <c r="P230" s="26">
        <f t="shared" si="202"/>
        <v>255.97900000000001</v>
      </c>
      <c r="Q230" s="26">
        <f>Q324</f>
        <v>274.16399999999999</v>
      </c>
      <c r="R230" s="332"/>
      <c r="S230" s="334"/>
      <c r="W230" s="1"/>
      <c r="X230"/>
      <c r="Y230"/>
      <c r="Z230"/>
    </row>
    <row r="231" spans="1:26" s="6" customFormat="1" outlineLevel="1">
      <c r="A231" s="28"/>
      <c r="B231" s="28"/>
      <c r="C231" s="28"/>
      <c r="D231" s="28" t="s">
        <v>184</v>
      </c>
      <c r="E231" s="28"/>
      <c r="F231" s="28"/>
      <c r="G231" s="28"/>
      <c r="H231" s="29"/>
      <c r="I231" s="29">
        <f t="shared" ref="I231:P231" si="203">I230/H230-1</f>
        <v>-0.14294420857995815</v>
      </c>
      <c r="J231" s="29">
        <f t="shared" si="203"/>
        <v>5.7081560582868285E-2</v>
      </c>
      <c r="K231" s="29">
        <f t="shared" si="203"/>
        <v>5.8902001026167161E-2</v>
      </c>
      <c r="L231" s="29">
        <f t="shared" si="203"/>
        <v>2.9680955303593271E-2</v>
      </c>
      <c r="M231" s="29">
        <f t="shared" si="203"/>
        <v>8.1393950484954791E-2</v>
      </c>
      <c r="N231" s="29">
        <f t="shared" si="203"/>
        <v>6.8933672433300064E-2</v>
      </c>
      <c r="O231" s="29">
        <f t="shared" si="203"/>
        <v>7.5045571944870382E-2</v>
      </c>
      <c r="P231" s="29">
        <f t="shared" si="203"/>
        <v>7.7035385197963713E-2</v>
      </c>
      <c r="Q231" s="29">
        <f>Q230/P230-1</f>
        <v>7.1040983830704674E-2</v>
      </c>
      <c r="R231" s="332">
        <f>CORREL(H231:K231,H$218:K$218)</f>
        <v>-0.96172859902498697</v>
      </c>
      <c r="S231" s="335"/>
      <c r="W231" s="1"/>
      <c r="X231"/>
      <c r="Y231"/>
      <c r="Z231"/>
    </row>
    <row r="232" spans="1:26" s="6" customFormat="1" outlineLevel="1">
      <c r="A232" s="305"/>
      <c r="B232" s="225"/>
      <c r="C232" s="25"/>
      <c r="D232" s="306" t="s">
        <v>188</v>
      </c>
      <c r="E232" s="306">
        <f>E220+E222+E224+E226+E228+E230</f>
        <v>0.99999999999999989</v>
      </c>
      <c r="F232" s="25"/>
      <c r="G232" s="25"/>
      <c r="H232" s="25"/>
      <c r="I232" s="25"/>
      <c r="J232" s="25"/>
      <c r="K232" s="25"/>
      <c r="L232" s="25"/>
      <c r="M232" s="25"/>
      <c r="N232" s="25"/>
      <c r="O232" s="25"/>
      <c r="P232" s="25"/>
      <c r="Q232" s="25"/>
      <c r="R232" s="336">
        <f>SUM(R221:R231)</f>
        <v>-3.7574036170314686</v>
      </c>
      <c r="S232" s="334"/>
      <c r="W232" s="1"/>
      <c r="X232"/>
      <c r="Y232"/>
      <c r="Z232"/>
    </row>
    <row r="233" spans="1:26" s="6" customFormat="1">
      <c r="A233" s="279" t="str">
        <f>'[3]TDF-Secondary cum Calculation'!A1161</f>
        <v>Tunisia</v>
      </c>
      <c r="B233" s="280" t="str">
        <f>'[3]TDF-Secondary cum Calculation'!B1161</f>
        <v>Tourism Flows</v>
      </c>
      <c r="C233" s="280" t="str">
        <f>'[3]TDF-Secondary cum Calculation'!C1161</f>
        <v>International Departures by Destination</v>
      </c>
      <c r="D233" s="279" t="str">
        <f>'[3]TDF-Secondary cum Calculation'!D1161</f>
        <v>South &amp; Central America</v>
      </c>
      <c r="E233" s="207"/>
      <c r="F233" s="207" t="str">
        <f>'[3]TDF-Secondary cum Calculation'!J1161</f>
        <v>Thousand</v>
      </c>
      <c r="G233" s="207"/>
      <c r="H233" s="310">
        <f>'Tourism Medium DB-LCU'!H39</f>
        <v>4.5824649638392714</v>
      </c>
      <c r="I233" s="310">
        <f>'Tourism Medium DB-LCU'!I39</f>
        <v>4.7156023004137637</v>
      </c>
      <c r="J233" s="310">
        <f>'Tourism Medium DB-LCU'!J39</f>
        <v>7.6464589815520867</v>
      </c>
      <c r="K233" s="310">
        <f>'Tourism Medium DB-LCU'!K39</f>
        <v>7.351</v>
      </c>
      <c r="L233" s="310">
        <f>'Tourism Medium DB-LCU'!L39</f>
        <v>14.086</v>
      </c>
      <c r="M233" s="310">
        <f t="shared" ref="M233:P233" si="204">L233*(1+M234)</f>
        <v>16.006835213392851</v>
      </c>
      <c r="N233" s="310">
        <f t="shared" si="204"/>
        <v>16.517886216564115</v>
      </c>
      <c r="O233" s="310">
        <f t="shared" si="204"/>
        <v>16.963496218277751</v>
      </c>
      <c r="P233" s="310">
        <f t="shared" si="204"/>
        <v>17.342320313270058</v>
      </c>
      <c r="Q233" s="310">
        <f>P233*(1+Q234)</f>
        <v>17.64867919996065</v>
      </c>
      <c r="R233" s="326">
        <f>'Tourism Medium DB-LCU'!R39</f>
        <v>0.32410410730160732</v>
      </c>
      <c r="S233" s="326">
        <f>'Tourism Medium DB-LCU'!S39</f>
        <v>4.612818954333453E-2</v>
      </c>
      <c r="U233" s="289"/>
      <c r="W233" s="1"/>
      <c r="X233"/>
      <c r="Y233"/>
      <c r="Z233"/>
    </row>
    <row r="234" spans="1:26" s="6" customFormat="1">
      <c r="A234" s="207"/>
      <c r="B234" s="207"/>
      <c r="C234" s="282" t="str">
        <f>'[3]TDF-Secondary cum Calculation'!C1162</f>
        <v>Growth Rate</v>
      </c>
      <c r="D234" s="282"/>
      <c r="E234" s="282"/>
      <c r="F234" s="282" t="str">
        <f>'[3]TDF-Secondary cum Calculation'!J1162</f>
        <v>%</v>
      </c>
      <c r="G234" s="282"/>
      <c r="H234" s="213"/>
      <c r="I234" s="213">
        <f>I233/H233-1</f>
        <v>2.9053650737123737E-2</v>
      </c>
      <c r="J234" s="213">
        <f>J233/I233-1</f>
        <v>0.62152329531291461</v>
      </c>
      <c r="K234" s="213">
        <f>K233/J233-1</f>
        <v>-3.8639974694811507E-2</v>
      </c>
      <c r="L234" s="213">
        <f>L233/K233-1</f>
        <v>0.91620187729560598</v>
      </c>
      <c r="M234" s="213">
        <f>(M237*$E$236+M239*$E$238+M243*$E$242+M245*$E$244+M247*$E$246)*0.65+0.35*(((L233/H233)^(1/5))-1)</f>
        <v>0.13636484547727168</v>
      </c>
      <c r="N234" s="213">
        <f>((N237*$E$236+N239*$E$238+N243*$E$242+N245*$E$244+N247*$E$246)*0.999+0.001*(((M233/I233)^(1/5))-1))*0.7</f>
        <v>3.1927048436387322E-2</v>
      </c>
      <c r="O234" s="213">
        <f>((O237*$E$236+O239*$E$238+O243*$E$242+O245*$E$244+O247*$E$246)*0.999+0.001*(((N233/J233)^(1/5))-1))*0.6</f>
        <v>2.6977422890029235E-2</v>
      </c>
      <c r="P234" s="213">
        <f>((P237*$E$236+P239*$E$238+P243*$E$242+P245*$E$244+P247*$E$246)*0.999+0.001*(((O233/K233)^(1/5))-1))*0.5</f>
        <v>2.2331722783899593E-2</v>
      </c>
      <c r="Q234" s="213">
        <f>((Q237*$E$236+Q239*$E$238+Q243*$E$242+Q245*$E$244+Q247*$E$246)*0.999+0.001*(((P233/L233)^(1/5))-1))*0.4</f>
        <v>1.7665392009636027E-2</v>
      </c>
      <c r="R234" s="210"/>
      <c r="S234" s="210"/>
      <c r="W234" s="1"/>
      <c r="X234"/>
      <c r="Y234"/>
      <c r="Z234"/>
    </row>
    <row r="235" spans="1:26" s="6" customFormat="1" hidden="1" outlineLevel="1">
      <c r="A235" s="195"/>
      <c r="B235" s="195"/>
      <c r="C235" s="195"/>
      <c r="D235" s="196" t="s">
        <v>351</v>
      </c>
      <c r="E235" s="197" t="s">
        <v>352</v>
      </c>
      <c r="F235" s="197"/>
      <c r="G235" s="197"/>
      <c r="H235" s="200"/>
      <c r="I235" s="200"/>
      <c r="J235" s="200"/>
      <c r="K235" s="200"/>
      <c r="L235" s="200"/>
      <c r="M235" s="200"/>
      <c r="N235" s="200"/>
      <c r="O235" s="200"/>
      <c r="P235" s="200"/>
      <c r="Q235" s="200"/>
      <c r="R235" s="331"/>
      <c r="S235" s="331"/>
      <c r="W235" s="1"/>
      <c r="X235"/>
      <c r="Y235"/>
      <c r="Z235"/>
    </row>
    <row r="236" spans="1:26" s="6" customFormat="1" hidden="1" outlineLevel="1">
      <c r="A236" s="23"/>
      <c r="B236" s="23"/>
      <c r="C236" s="23"/>
      <c r="D236" s="23" t="s">
        <v>414</v>
      </c>
      <c r="E236" s="41">
        <v>0.4</v>
      </c>
      <c r="F236" s="25"/>
      <c r="G236" s="25"/>
      <c r="H236" s="26">
        <f t="shared" ref="H236:P236" si="205">H286</f>
        <v>486.61200000000002</v>
      </c>
      <c r="I236" s="26">
        <f t="shared" si="205"/>
        <v>406.41199999999998</v>
      </c>
      <c r="J236" s="26">
        <f t="shared" si="205"/>
        <v>462.46</v>
      </c>
      <c r="K236" s="26">
        <f t="shared" si="205"/>
        <v>538.62400000000002</v>
      </c>
      <c r="L236" s="26">
        <f t="shared" si="205"/>
        <v>526.19200000000001</v>
      </c>
      <c r="M236" s="26">
        <f t="shared" si="205"/>
        <v>576.01099999999997</v>
      </c>
      <c r="N236" s="26">
        <f t="shared" si="205"/>
        <v>602.94500000000005</v>
      </c>
      <c r="O236" s="26">
        <f t="shared" si="205"/>
        <v>632.94399999999996</v>
      </c>
      <c r="P236" s="26">
        <f t="shared" si="205"/>
        <v>663.83399999999995</v>
      </c>
      <c r="Q236" s="26">
        <f>Q286</f>
        <v>696.45500000000004</v>
      </c>
      <c r="R236" s="330" t="s">
        <v>182</v>
      </c>
      <c r="S236" s="331"/>
      <c r="W236" s="1"/>
      <c r="X236"/>
      <c r="Y236"/>
      <c r="Z236"/>
    </row>
    <row r="237" spans="1:26" s="6" customFormat="1" ht="15.75" hidden="1" customHeight="1" outlineLevel="1">
      <c r="A237" s="28"/>
      <c r="B237" s="28"/>
      <c r="C237" s="28"/>
      <c r="D237" s="28" t="s">
        <v>184</v>
      </c>
      <c r="E237" s="28"/>
      <c r="F237" s="28"/>
      <c r="G237" s="28"/>
      <c r="H237" s="30"/>
      <c r="I237" s="30">
        <f t="shared" ref="I237:P237" si="206">I236/H236-1</f>
        <v>-0.16481303379283707</v>
      </c>
      <c r="J237" s="30">
        <f t="shared" si="206"/>
        <v>0.13790931370136716</v>
      </c>
      <c r="K237" s="30">
        <f t="shared" si="206"/>
        <v>0.16469316265190503</v>
      </c>
      <c r="L237" s="30">
        <f t="shared" si="206"/>
        <v>-2.3081036121673004E-2</v>
      </c>
      <c r="M237" s="30">
        <f t="shared" si="206"/>
        <v>9.4678368352236308E-2</v>
      </c>
      <c r="N237" s="30">
        <f t="shared" si="206"/>
        <v>4.6759523689651861E-2</v>
      </c>
      <c r="O237" s="30">
        <f t="shared" si="206"/>
        <v>4.9754123510436177E-2</v>
      </c>
      <c r="P237" s="30">
        <f t="shared" si="206"/>
        <v>4.8803685634116079E-2</v>
      </c>
      <c r="Q237" s="30">
        <f>Q236/P236-1</f>
        <v>4.9140297122473475E-2</v>
      </c>
      <c r="R237" s="332">
        <f>CORREL(H237:K237,H$234:K$234)</f>
        <v>0.3494866662050809</v>
      </c>
      <c r="S237" s="333"/>
      <c r="W237" s="1"/>
      <c r="X237"/>
      <c r="Y237"/>
      <c r="Z237"/>
    </row>
    <row r="238" spans="1:26" s="6" customFormat="1" ht="16.5" hidden="1" customHeight="1" outlineLevel="1">
      <c r="A238" s="25"/>
      <c r="B238" s="25"/>
      <c r="C238" s="25"/>
      <c r="D238" s="25" t="s">
        <v>376</v>
      </c>
      <c r="E238" s="41">
        <v>0.1</v>
      </c>
      <c r="F238" s="25"/>
      <c r="G238" s="25"/>
      <c r="H238" s="26">
        <f t="shared" ref="H238:P238" si="207">H288</f>
        <v>243265.6213799479</v>
      </c>
      <c r="I238" s="26">
        <f t="shared" si="207"/>
        <v>209746.7</v>
      </c>
      <c r="J238" s="26">
        <f t="shared" si="207"/>
        <v>229862.9</v>
      </c>
      <c r="K238" s="26">
        <f t="shared" si="207"/>
        <v>267252.2</v>
      </c>
      <c r="L238" s="26">
        <f t="shared" si="207"/>
        <v>265907.5</v>
      </c>
      <c r="M238" s="26">
        <f t="shared" si="207"/>
        <v>272054.09999999998</v>
      </c>
      <c r="N238" s="26">
        <f t="shared" si="207"/>
        <v>275377.1800377366</v>
      </c>
      <c r="O238" s="26">
        <f t="shared" si="207"/>
        <v>279078.41557839373</v>
      </c>
      <c r="P238" s="26">
        <f t="shared" si="207"/>
        <v>282889.58147895371</v>
      </c>
      <c r="Q238" s="26">
        <f>Q288</f>
        <v>286914.31578915659</v>
      </c>
      <c r="R238" s="332"/>
      <c r="S238" s="334"/>
      <c r="W238" s="1"/>
      <c r="X238"/>
      <c r="Y238"/>
      <c r="Z238"/>
    </row>
    <row r="239" spans="1:26" s="6" customFormat="1" ht="16.5" hidden="1" customHeight="1" outlineLevel="1">
      <c r="A239" s="28"/>
      <c r="B239" s="28"/>
      <c r="C239" s="28"/>
      <c r="D239" s="28" t="s">
        <v>184</v>
      </c>
      <c r="E239" s="28"/>
      <c r="F239" s="28"/>
      <c r="G239" s="28"/>
      <c r="H239" s="29"/>
      <c r="I239" s="29">
        <f t="shared" ref="I239:P239" si="208">I238/H238-1</f>
        <v>-0.13778733381975039</v>
      </c>
      <c r="J239" s="29">
        <f t="shared" si="208"/>
        <v>9.5907110815092622E-2</v>
      </c>
      <c r="K239" s="29">
        <f t="shared" si="208"/>
        <v>0.16265913290052469</v>
      </c>
      <c r="L239" s="29">
        <f t="shared" si="208"/>
        <v>-5.0315769149890111E-3</v>
      </c>
      <c r="M239" s="29">
        <f t="shared" si="208"/>
        <v>2.3115557101623496E-2</v>
      </c>
      <c r="N239" s="29">
        <f t="shared" si="208"/>
        <v>1.221477653796299E-2</v>
      </c>
      <c r="O239" s="29">
        <f t="shared" si="208"/>
        <v>1.3440603684553354E-2</v>
      </c>
      <c r="P239" s="29">
        <f t="shared" si="208"/>
        <v>1.3656254614536456E-2</v>
      </c>
      <c r="Q239" s="29">
        <f>Q238/P238-1</f>
        <v>1.422722706563273E-2</v>
      </c>
      <c r="R239" s="332">
        <f>CORREL(H239:K239,H$234:K$234)</f>
        <v>0.21540017894904734</v>
      </c>
      <c r="S239" s="335"/>
      <c r="W239" s="1"/>
      <c r="X239"/>
      <c r="Y239"/>
      <c r="Z239"/>
    </row>
    <row r="240" spans="1:26" s="6" customFormat="1" ht="16.5" hidden="1" customHeight="1" outlineLevel="1">
      <c r="A240" s="25"/>
      <c r="B240" s="25"/>
      <c r="C240" s="25"/>
      <c r="D240" s="25" t="s">
        <v>377</v>
      </c>
      <c r="E240" s="41">
        <v>0.1</v>
      </c>
      <c r="F240" s="25"/>
      <c r="G240" s="25"/>
      <c r="H240" s="26">
        <f t="shared" ref="H240:P240" si="209">H296</f>
        <v>2.2749999999999999</v>
      </c>
      <c r="I240" s="26">
        <f t="shared" si="209"/>
        <v>2.2789999999999999</v>
      </c>
      <c r="J240" s="26">
        <f t="shared" si="209"/>
        <v>2.2765994215599035</v>
      </c>
      <c r="K240" s="26">
        <f t="shared" si="209"/>
        <v>2.2721375476736672</v>
      </c>
      <c r="L240" s="26">
        <f t="shared" si="209"/>
        <v>2.2722980182311483</v>
      </c>
      <c r="M240" s="26">
        <f t="shared" si="209"/>
        <v>2.2715645101411561</v>
      </c>
      <c r="N240" s="26">
        <f t="shared" si="209"/>
        <v>2.271167948449917</v>
      </c>
      <c r="O240" s="26">
        <f t="shared" si="209"/>
        <v>2.2707262593515471</v>
      </c>
      <c r="P240" s="26">
        <f t="shared" si="209"/>
        <v>2.2702714516496694</v>
      </c>
      <c r="Q240" s="26">
        <f>Q296</f>
        <v>2.2697911576372718</v>
      </c>
      <c r="R240" s="334"/>
      <c r="S240" s="334"/>
      <c r="W240" s="1"/>
      <c r="X240"/>
      <c r="Y240"/>
      <c r="Z240"/>
    </row>
    <row r="241" spans="1:26" s="6" customFormat="1" ht="16.5" hidden="1" customHeight="1" outlineLevel="1">
      <c r="A241" s="28"/>
      <c r="B241" s="28"/>
      <c r="C241" s="28"/>
      <c r="D241" s="28" t="s">
        <v>184</v>
      </c>
      <c r="E241" s="28"/>
      <c r="F241" s="28"/>
      <c r="G241" s="28"/>
      <c r="H241" s="29"/>
      <c r="I241" s="29">
        <f t="shared" ref="I241:P241" si="210">I240/H240-1</f>
        <v>1.7582417582417964E-3</v>
      </c>
      <c r="J241" s="29">
        <f t="shared" si="210"/>
        <v>-1.0533472751630413E-3</v>
      </c>
      <c r="K241" s="29">
        <f t="shared" si="210"/>
        <v>-1.9598853641010772E-3</v>
      </c>
      <c r="L241" s="29">
        <f t="shared" si="210"/>
        <v>7.0625371094035216E-5</v>
      </c>
      <c r="M241" s="29">
        <f t="shared" si="210"/>
        <v>-3.2280452832644801E-4</v>
      </c>
      <c r="N241" s="29">
        <f t="shared" si="210"/>
        <v>-1.7457646017482453E-4</v>
      </c>
      <c r="O241" s="29">
        <f t="shared" si="210"/>
        <v>-1.9447663422300643E-4</v>
      </c>
      <c r="P241" s="29">
        <f t="shared" si="210"/>
        <v>-2.0029173486002527E-4</v>
      </c>
      <c r="Q241" s="29">
        <f>Q240/P240-1</f>
        <v>-2.1155796680105698E-4</v>
      </c>
      <c r="R241" s="332">
        <f>CORREL(H241:L241,H$233:L$233)</f>
        <v>-0.16557222726360904</v>
      </c>
      <c r="S241" s="335"/>
      <c r="W241" s="1"/>
      <c r="X241"/>
      <c r="Y241"/>
      <c r="Z241"/>
    </row>
    <row r="242" spans="1:26" s="6" customFormat="1" ht="16.5" hidden="1" customHeight="1" outlineLevel="1">
      <c r="A242" s="25"/>
      <c r="B242" s="25"/>
      <c r="C242" s="25"/>
      <c r="D242" s="25" t="s">
        <v>430</v>
      </c>
      <c r="E242" s="41">
        <v>0.1</v>
      </c>
      <c r="F242" s="25"/>
      <c r="G242" s="25"/>
      <c r="H242" s="26">
        <f t="shared" ref="H242:P242" si="211">H328</f>
        <v>2.5880000000000001</v>
      </c>
      <c r="I242" s="26">
        <f t="shared" si="211"/>
        <v>2.718</v>
      </c>
      <c r="J242" s="26">
        <f t="shared" si="211"/>
        <v>3.1419999999999999</v>
      </c>
      <c r="K242" s="26">
        <f t="shared" si="211"/>
        <v>3.528</v>
      </c>
      <c r="L242" s="26">
        <f t="shared" si="211"/>
        <v>3.5430000000000001</v>
      </c>
      <c r="M242" s="26">
        <f t="shared" si="211"/>
        <v>3.7119999999999997</v>
      </c>
      <c r="N242" s="26">
        <f t="shared" si="211"/>
        <v>3.8109999999999999</v>
      </c>
      <c r="O242" s="26">
        <f t="shared" si="211"/>
        <v>3.9770000000000003</v>
      </c>
      <c r="P242" s="26">
        <f t="shared" si="211"/>
        <v>4.1589999999999998</v>
      </c>
      <c r="Q242" s="26">
        <f>Q328</f>
        <v>4.3540000000000001</v>
      </c>
      <c r="R242" s="332"/>
      <c r="S242" s="334"/>
      <c r="W242" s="1"/>
      <c r="X242"/>
      <c r="Y242"/>
      <c r="Z242"/>
    </row>
    <row r="243" spans="1:26" s="6" customFormat="1" ht="16.5" hidden="1" customHeight="1" outlineLevel="1">
      <c r="A243" s="28"/>
      <c r="B243" s="28"/>
      <c r="C243" s="28"/>
      <c r="D243" s="28" t="s">
        <v>184</v>
      </c>
      <c r="E243" s="28"/>
      <c r="F243" s="28"/>
      <c r="G243" s="28"/>
      <c r="H243" s="29"/>
      <c r="I243" s="29">
        <f t="shared" ref="I243:P243" si="212">I242/H242-1</f>
        <v>5.0231839258114253E-2</v>
      </c>
      <c r="J243" s="29">
        <f t="shared" si="212"/>
        <v>0.1559970566593083</v>
      </c>
      <c r="K243" s="29">
        <f t="shared" si="212"/>
        <v>0.12285168682367931</v>
      </c>
      <c r="L243" s="29">
        <f t="shared" si="212"/>
        <v>4.2517006802722523E-3</v>
      </c>
      <c r="M243" s="29">
        <f t="shared" si="212"/>
        <v>4.7699689528647893E-2</v>
      </c>
      <c r="N243" s="29">
        <f t="shared" si="212"/>
        <v>2.6670258620689724E-2</v>
      </c>
      <c r="O243" s="29">
        <f t="shared" si="212"/>
        <v>4.3558121228024271E-2</v>
      </c>
      <c r="P243" s="29">
        <f t="shared" si="212"/>
        <v>4.5763138043751539E-2</v>
      </c>
      <c r="Q243" s="29">
        <f>Q242/P242-1</f>
        <v>4.688627073815832E-2</v>
      </c>
      <c r="R243" s="332">
        <f>CORREL(H243:K243,H$233:K$233)</f>
        <v>0.97596704834924874</v>
      </c>
      <c r="S243" s="335"/>
      <c r="W243" s="1"/>
      <c r="X243"/>
      <c r="Y243"/>
      <c r="Z243"/>
    </row>
    <row r="244" spans="1:26" s="6" customFormat="1" ht="16.5" hidden="1" customHeight="1" outlineLevel="1">
      <c r="A244" s="25"/>
      <c r="B244" s="25"/>
      <c r="C244" s="25"/>
      <c r="D244" s="25" t="s">
        <v>431</v>
      </c>
      <c r="E244" s="41">
        <v>0.15</v>
      </c>
      <c r="F244" s="25"/>
      <c r="G244" s="25"/>
      <c r="H244" s="26">
        <f t="shared" ref="H244:P244" si="213">H332</f>
        <v>317.387</v>
      </c>
      <c r="I244" s="26">
        <f t="shared" si="213"/>
        <v>317.83300000000003</v>
      </c>
      <c r="J244" s="26">
        <f t="shared" si="213"/>
        <v>358.67099999999999</v>
      </c>
      <c r="K244" s="26">
        <f t="shared" si="213"/>
        <v>411.45400000000001</v>
      </c>
      <c r="L244" s="26">
        <f t="shared" si="213"/>
        <v>419.21300000000002</v>
      </c>
      <c r="M244" s="26">
        <f t="shared" si="213"/>
        <v>447.06799999999998</v>
      </c>
      <c r="N244" s="26">
        <f t="shared" si="213"/>
        <v>471.85199999999998</v>
      </c>
      <c r="O244" s="26">
        <f t="shared" si="213"/>
        <v>497.709</v>
      </c>
      <c r="P244" s="26">
        <f t="shared" si="213"/>
        <v>526.66000000000008</v>
      </c>
      <c r="Q244" s="26">
        <f>Q332</f>
        <v>553.63700000000006</v>
      </c>
      <c r="R244" s="332"/>
      <c r="S244" s="334"/>
      <c r="W244" s="1"/>
      <c r="X244"/>
      <c r="Y244"/>
      <c r="Z244"/>
    </row>
    <row r="245" spans="1:26" s="6" customFormat="1" ht="16.5" hidden="1" customHeight="1" outlineLevel="1">
      <c r="A245" s="28"/>
      <c r="B245" s="28"/>
      <c r="C245" s="28"/>
      <c r="D245" s="28" t="s">
        <v>184</v>
      </c>
      <c r="E245" s="28"/>
      <c r="F245" s="28"/>
      <c r="G245" s="28"/>
      <c r="H245" s="29"/>
      <c r="I245" s="29">
        <f t="shared" ref="I245:P245" si="214">I244/H244-1</f>
        <v>1.4052245366067417E-3</v>
      </c>
      <c r="J245" s="29">
        <f t="shared" si="214"/>
        <v>0.1284888605022132</v>
      </c>
      <c r="K245" s="29">
        <f t="shared" si="214"/>
        <v>0.14716272015300924</v>
      </c>
      <c r="L245" s="29">
        <f t="shared" si="214"/>
        <v>1.885751505636124E-2</v>
      </c>
      <c r="M245" s="29">
        <f t="shared" si="214"/>
        <v>6.6445935598371086E-2</v>
      </c>
      <c r="N245" s="29">
        <f t="shared" si="214"/>
        <v>5.5436756824465139E-2</v>
      </c>
      <c r="O245" s="29">
        <f t="shared" si="214"/>
        <v>5.4798962386511052E-2</v>
      </c>
      <c r="P245" s="29">
        <f t="shared" si="214"/>
        <v>5.8168528196195224E-2</v>
      </c>
      <c r="Q245" s="29">
        <f>Q244/P244-1</f>
        <v>5.1222800288611259E-2</v>
      </c>
      <c r="R245" s="332">
        <f>CORREL(H245:K245,H$234:K$234)</f>
        <v>0.30722349903872476</v>
      </c>
      <c r="S245" s="335"/>
      <c r="W245" s="1"/>
      <c r="X245"/>
      <c r="Y245"/>
      <c r="Z245"/>
    </row>
    <row r="246" spans="1:26" s="6" customFormat="1" ht="16.5" hidden="1" customHeight="1" outlineLevel="1">
      <c r="A246" s="25"/>
      <c r="B246" s="25"/>
      <c r="C246" s="25"/>
      <c r="D246" s="25" t="s">
        <v>432</v>
      </c>
      <c r="E246" s="41">
        <v>0.15</v>
      </c>
      <c r="F246" s="25"/>
      <c r="G246" s="25"/>
      <c r="H246" s="26">
        <f t="shared" ref="H246:P246" si="215">H330</f>
        <v>47.543999999999997</v>
      </c>
      <c r="I246" s="26">
        <f t="shared" si="215"/>
        <v>41.568000000000005</v>
      </c>
      <c r="J246" s="26">
        <f t="shared" si="215"/>
        <v>46.677999999999997</v>
      </c>
      <c r="K246" s="26">
        <f t="shared" si="215"/>
        <v>54.086000000000006</v>
      </c>
      <c r="L246" s="26">
        <f t="shared" si="215"/>
        <v>54.870999999999995</v>
      </c>
      <c r="M246" s="26">
        <f t="shared" si="215"/>
        <v>61.925000000000004</v>
      </c>
      <c r="N246" s="26">
        <f t="shared" si="215"/>
        <v>67.899000000000001</v>
      </c>
      <c r="O246" s="26">
        <f t="shared" si="215"/>
        <v>72.887</v>
      </c>
      <c r="P246" s="26">
        <f t="shared" si="215"/>
        <v>77.91</v>
      </c>
      <c r="Q246" s="26">
        <f>Q330</f>
        <v>83.474999999999994</v>
      </c>
      <c r="R246" s="332"/>
      <c r="S246" s="334"/>
      <c r="W246" s="1"/>
      <c r="X246"/>
      <c r="Y246"/>
      <c r="Z246"/>
    </row>
    <row r="247" spans="1:26" s="6" customFormat="1" hidden="1" outlineLevel="1">
      <c r="A247" s="28"/>
      <c r="B247" s="28"/>
      <c r="C247" s="28"/>
      <c r="D247" s="28" t="s">
        <v>184</v>
      </c>
      <c r="E247" s="28"/>
      <c r="F247" s="28"/>
      <c r="G247" s="28"/>
      <c r="H247" s="29"/>
      <c r="I247" s="29">
        <f t="shared" ref="I247:P247" si="216">I246/H246-1</f>
        <v>-0.12569409389197361</v>
      </c>
      <c r="J247" s="29">
        <f t="shared" si="216"/>
        <v>0.12293110084680503</v>
      </c>
      <c r="K247" s="29">
        <f t="shared" si="216"/>
        <v>0.15870431466643842</v>
      </c>
      <c r="L247" s="29">
        <f t="shared" si="216"/>
        <v>1.4513922271937041E-2</v>
      </c>
      <c r="M247" s="29">
        <f t="shared" si="216"/>
        <v>0.12855606786827312</v>
      </c>
      <c r="N247" s="29">
        <f t="shared" si="216"/>
        <v>9.6471538150989078E-2</v>
      </c>
      <c r="O247" s="29">
        <f t="shared" si="216"/>
        <v>7.34620539330475E-2</v>
      </c>
      <c r="P247" s="29">
        <f t="shared" si="216"/>
        <v>6.8914895660405762E-2</v>
      </c>
      <c r="Q247" s="29">
        <f>Q246/P246-1</f>
        <v>7.1428571428571397E-2</v>
      </c>
      <c r="R247" s="332">
        <f>CORREL(H247:K247,H$234:K$234)</f>
        <v>0.30938267213945148</v>
      </c>
      <c r="S247" s="335"/>
      <c r="W247" s="1"/>
      <c r="X247"/>
      <c r="Y247"/>
      <c r="Z247"/>
    </row>
    <row r="248" spans="1:26" s="6" customFormat="1" hidden="1" outlineLevel="1">
      <c r="A248" s="305"/>
      <c r="B248" s="225"/>
      <c r="C248" s="25"/>
      <c r="D248" s="306" t="s">
        <v>188</v>
      </c>
      <c r="E248" s="306">
        <f>E236+E238+E240+E242+E244+E246</f>
        <v>1</v>
      </c>
      <c r="F248" s="25"/>
      <c r="G248" s="25"/>
      <c r="H248" s="25"/>
      <c r="I248" s="25"/>
      <c r="J248" s="25"/>
      <c r="K248" s="25"/>
      <c r="L248" s="25"/>
      <c r="M248" s="25"/>
      <c r="N248" s="25"/>
      <c r="O248" s="25"/>
      <c r="P248" s="25"/>
      <c r="Q248" s="25"/>
      <c r="R248" s="336">
        <f>SUM(R237:R247)</f>
        <v>1.9918878374179443</v>
      </c>
      <c r="S248" s="334"/>
      <c r="W248" s="1"/>
      <c r="X248"/>
      <c r="Y248"/>
      <c r="Z248"/>
    </row>
    <row r="249" spans="1:26" collapsed="1">
      <c r="A249" s="284" t="str">
        <f>'[3]TDF-Secondary cum Calculation'!A1239</f>
        <v>Tunisia</v>
      </c>
      <c r="B249" s="285" t="str">
        <f>'[3]TDF-Secondary cum Calculation'!B1239</f>
        <v>Tourism Flows</v>
      </c>
      <c r="C249" s="284" t="str">
        <f>'[3]TDF-Secondary cum Calculation'!C1239</f>
        <v>International Departures by Purpose of Visit</v>
      </c>
      <c r="D249" s="286"/>
      <c r="E249" s="286"/>
      <c r="F249" s="284" t="str">
        <f>'[3]TDF-Secondary cum Calculation'!J1239</f>
        <v>Thousand</v>
      </c>
      <c r="G249" s="284"/>
      <c r="H249" s="340">
        <f>'Tourism Medium DB-LCU'!H40</f>
        <v>5057.7269999999999</v>
      </c>
      <c r="I249" s="340">
        <f>'Tourism Medium DB-LCU'!I40</f>
        <v>4556.2539999999999</v>
      </c>
      <c r="J249" s="340">
        <f>'Tourism Medium DB-LCU'!J40</f>
        <v>4398.1840000000002</v>
      </c>
      <c r="K249" s="340">
        <f>'Tourism Medium DB-LCU'!K40</f>
        <v>4414.1189999999997</v>
      </c>
      <c r="L249" s="340">
        <f>'Tourism Medium DB-LCU'!L40</f>
        <v>3498.7705729627151</v>
      </c>
      <c r="M249" s="340">
        <f t="shared" ref="M249:P249" si="217">M151</f>
        <v>3559.9234253633458</v>
      </c>
      <c r="N249" s="340">
        <f t="shared" si="217"/>
        <v>3303.85531372992</v>
      </c>
      <c r="O249" s="340">
        <f t="shared" si="217"/>
        <v>3309.2935851823891</v>
      </c>
      <c r="P249" s="340">
        <f t="shared" si="217"/>
        <v>3475.0670408475485</v>
      </c>
      <c r="Q249" s="340">
        <f>Q151</f>
        <v>3598.1082820115757</v>
      </c>
      <c r="R249" s="327">
        <f>'Tourism Medium DB-LCU'!R40</f>
        <v>-8.8010117520842757E-2</v>
      </c>
      <c r="S249" s="327">
        <f>'Tourism Medium DB-LCU'!S40</f>
        <v>5.6150231210485568E-3</v>
      </c>
    </row>
    <row r="250" spans="1:26">
      <c r="A250" s="286"/>
      <c r="B250" s="286"/>
      <c r="C250" s="290" t="str">
        <f>'[3]TDF-Secondary cum Calculation'!C1240</f>
        <v>Growth Rate</v>
      </c>
      <c r="D250" s="290"/>
      <c r="E250" s="290"/>
      <c r="F250" s="290" t="str">
        <f>'[3]TDF-Secondary cum Calculation'!J1240</f>
        <v>%</v>
      </c>
      <c r="G250" s="290"/>
      <c r="H250" s="292"/>
      <c r="I250" s="292">
        <f>I249/H249-1</f>
        <v>-9.9149875032796375E-2</v>
      </c>
      <c r="J250" s="292">
        <f>J249/I249-1</f>
        <v>-3.4692973657745929E-2</v>
      </c>
      <c r="K250" s="292">
        <f>K249/J249-1</f>
        <v>3.6230862555999277E-3</v>
      </c>
      <c r="L250" s="292">
        <f>L249/K249-1</f>
        <v>-0.20736831676655854</v>
      </c>
      <c r="M250" s="292">
        <f t="shared" ref="M250:P250" si="218">M249/L249-1</f>
        <v>1.7478383084960969E-2</v>
      </c>
      <c r="N250" s="292">
        <f t="shared" si="218"/>
        <v>-7.1930792052722348E-2</v>
      </c>
      <c r="O250" s="292">
        <f t="shared" si="218"/>
        <v>1.6460380180296497E-3</v>
      </c>
      <c r="P250" s="292">
        <f t="shared" si="218"/>
        <v>5.0093305836454771E-2</v>
      </c>
      <c r="Q250" s="292">
        <f>Q249/P249-1</f>
        <v>3.5406868333112351E-2</v>
      </c>
      <c r="R250" s="328"/>
      <c r="S250" s="328"/>
    </row>
    <row r="251" spans="1:26">
      <c r="A251" s="284" t="str">
        <f>'[3]TDF-Secondary cum Calculation'!A1241</f>
        <v>Tunisia</v>
      </c>
      <c r="B251" s="285" t="str">
        <f>'[3]TDF-Secondary cum Calculation'!B1241</f>
        <v>Tourism Flows</v>
      </c>
      <c r="C251" s="285" t="str">
        <f>'[3]TDF-Secondary cum Calculation'!C1241</f>
        <v>International Departures by Purpose of Visit</v>
      </c>
      <c r="D251" s="284" t="str">
        <f>'[3]TDF-Secondary cum Calculation'!D1241</f>
        <v>Business</v>
      </c>
      <c r="E251" s="286"/>
      <c r="F251" s="286" t="str">
        <f>'[3]TDF-Secondary cum Calculation'!J1241</f>
        <v>Thousand</v>
      </c>
      <c r="G251" s="286"/>
      <c r="H251" s="339">
        <f>'Tourism Medium DB-LCU'!H41</f>
        <v>704.23599999999999</v>
      </c>
      <c r="I251" s="339">
        <f>'Tourism Medium DB-LCU'!I41</f>
        <v>653.40300000000002</v>
      </c>
      <c r="J251" s="339">
        <f>'Tourism Medium DB-LCU'!J41</f>
        <v>625.38099999999997</v>
      </c>
      <c r="K251" s="339">
        <f>'Tourism Medium DB-LCU'!K41</f>
        <v>608.38400000000001</v>
      </c>
      <c r="L251" s="339">
        <f>'Tourism Medium DB-LCU'!L41</f>
        <v>503.11284279025296</v>
      </c>
      <c r="M251" s="291">
        <f t="shared" ref="M251:P251" si="219">M257*M249</f>
        <v>512.11335753704952</v>
      </c>
      <c r="N251" s="291">
        <f t="shared" si="219"/>
        <v>475.3506596745807</v>
      </c>
      <c r="O251" s="291">
        <f t="shared" si="219"/>
        <v>476.69545460536528</v>
      </c>
      <c r="P251" s="291">
        <f t="shared" si="219"/>
        <v>501.13021334716211</v>
      </c>
      <c r="Q251" s="291">
        <f>Q257*Q249</f>
        <v>518.50391862442029</v>
      </c>
      <c r="R251" s="329">
        <f>'Tourism Medium DB-LCU'!R41</f>
        <v>-8.0637478653392658E-2</v>
      </c>
      <c r="S251" s="329">
        <f>'Tourism Medium DB-LCU'!S41</f>
        <v>6.0448167666500296E-3</v>
      </c>
    </row>
    <row r="252" spans="1:26">
      <c r="A252" s="286"/>
      <c r="B252" s="286"/>
      <c r="C252" s="290" t="str">
        <f>'[3]TDF-Secondary cum Calculation'!C1242</f>
        <v>Growth Rate</v>
      </c>
      <c r="D252" s="290"/>
      <c r="E252" s="290"/>
      <c r="F252" s="290" t="str">
        <f>'[3]TDF-Secondary cum Calculation'!J1242</f>
        <v>%</v>
      </c>
      <c r="G252" s="290"/>
      <c r="H252" s="292"/>
      <c r="I252" s="292">
        <f>I251/H251-1</f>
        <v>-7.2181768611658592E-2</v>
      </c>
      <c r="J252" s="292">
        <f>J251/I251-1</f>
        <v>-4.2886243252632794E-2</v>
      </c>
      <c r="K252" s="292">
        <f>K251/J251-1</f>
        <v>-2.7178631905990014E-2</v>
      </c>
      <c r="L252" s="292">
        <f>L251/K251-1</f>
        <v>-0.17303406600066251</v>
      </c>
      <c r="M252" s="292">
        <f t="shared" ref="M252:P252" si="220">M251/L251-1</f>
        <v>1.7889654131824306E-2</v>
      </c>
      <c r="N252" s="292">
        <f t="shared" si="220"/>
        <v>-7.1786250683393282E-2</v>
      </c>
      <c r="O252" s="292">
        <f t="shared" si="220"/>
        <v>2.8290587241537324E-3</v>
      </c>
      <c r="P252" s="292">
        <f t="shared" si="220"/>
        <v>5.125863589789259E-2</v>
      </c>
      <c r="Q252" s="292">
        <f>Q251/P251-1</f>
        <v>3.4669043722619142E-2</v>
      </c>
      <c r="R252" s="328"/>
      <c r="S252" s="328"/>
    </row>
    <row r="253" spans="1:26">
      <c r="A253" s="284" t="str">
        <f>'[3]TDF-Secondary cum Calculation'!A1243</f>
        <v>Tunisia</v>
      </c>
      <c r="B253" s="285" t="str">
        <f>'[3]TDF-Secondary cum Calculation'!B1243</f>
        <v>Tourism Flows</v>
      </c>
      <c r="C253" s="285" t="str">
        <f>'[3]TDF-Secondary cum Calculation'!C1243</f>
        <v>International Departures by Purpose of Visit</v>
      </c>
      <c r="D253" s="284" t="str">
        <f>'[3]TDF-Secondary cum Calculation'!D1243</f>
        <v>Leisure</v>
      </c>
      <c r="E253" s="286"/>
      <c r="F253" s="286" t="str">
        <f>'[3]TDF-Secondary cum Calculation'!J1243</f>
        <v>Thousand</v>
      </c>
      <c r="G253" s="286"/>
      <c r="H253" s="339">
        <f>'Tourism Medium DB-LCU'!H42</f>
        <v>0</v>
      </c>
      <c r="I253" s="339">
        <f>'Tourism Medium DB-LCU'!I42</f>
        <v>0</v>
      </c>
      <c r="J253" s="339">
        <f>'Tourism Medium DB-LCU'!J42</f>
        <v>0</v>
      </c>
      <c r="K253" s="339">
        <f>'Tourism Medium DB-LCU'!K42</f>
        <v>0</v>
      </c>
      <c r="L253" s="339">
        <f>'Tourism Medium DB-LCU'!L42</f>
        <v>0</v>
      </c>
      <c r="M253" s="339" t="e">
        <f t="shared" ref="M253:P253" si="221">M259*M249</f>
        <v>#DIV/0!</v>
      </c>
      <c r="N253" s="339" t="e">
        <f t="shared" si="221"/>
        <v>#DIV/0!</v>
      </c>
      <c r="O253" s="339" t="e">
        <f t="shared" si="221"/>
        <v>#DIV/0!</v>
      </c>
      <c r="P253" s="339" t="e">
        <f t="shared" si="221"/>
        <v>#DIV/0!</v>
      </c>
      <c r="Q253" s="339" t="e">
        <f>Q259*Q249</f>
        <v>#DIV/0!</v>
      </c>
      <c r="R253" s="329" t="e">
        <f>'Tourism Medium DB-LCU'!R42</f>
        <v>#DIV/0!</v>
      </c>
      <c r="S253" s="329" t="e">
        <f>'Tourism Medium DB-LCU'!S42</f>
        <v>#DIV/0!</v>
      </c>
    </row>
    <row r="254" spans="1:26">
      <c r="A254" s="286"/>
      <c r="B254" s="286"/>
      <c r="C254" s="290" t="str">
        <f>'[3]TDF-Secondary cum Calculation'!C1244</f>
        <v>Growth Rate</v>
      </c>
      <c r="D254" s="290"/>
      <c r="E254" s="290"/>
      <c r="F254" s="290" t="str">
        <f>'[3]TDF-Secondary cum Calculation'!J1244</f>
        <v>%</v>
      </c>
      <c r="G254" s="290"/>
      <c r="H254" s="292"/>
      <c r="I254" s="292" t="e">
        <f>I253/H253-1</f>
        <v>#DIV/0!</v>
      </c>
      <c r="J254" s="292" t="e">
        <f>J253/I253-1</f>
        <v>#DIV/0!</v>
      </c>
      <c r="K254" s="292" t="e">
        <f>K253/J253-1</f>
        <v>#DIV/0!</v>
      </c>
      <c r="L254" s="292" t="e">
        <f>L253/K253-1</f>
        <v>#DIV/0!</v>
      </c>
      <c r="M254" s="292" t="e">
        <f t="shared" ref="M254:P254" si="222">M253/L253-1</f>
        <v>#DIV/0!</v>
      </c>
      <c r="N254" s="292" t="e">
        <f t="shared" si="222"/>
        <v>#DIV/0!</v>
      </c>
      <c r="O254" s="292" t="e">
        <f t="shared" si="222"/>
        <v>#DIV/0!</v>
      </c>
      <c r="P254" s="292" t="e">
        <f t="shared" si="222"/>
        <v>#DIV/0!</v>
      </c>
      <c r="Q254" s="292" t="e">
        <f>Q253/P253-1</f>
        <v>#DIV/0!</v>
      </c>
      <c r="R254" s="328"/>
      <c r="S254" s="328"/>
    </row>
    <row r="255" spans="1:26">
      <c r="A255" s="284" t="str">
        <f>'[3]TDF-Secondary cum Calculation'!A1245</f>
        <v>Tunisia</v>
      </c>
      <c r="B255" s="285" t="str">
        <f>'[3]TDF-Secondary cum Calculation'!B1245</f>
        <v>Tourism Flows</v>
      </c>
      <c r="C255" s="285" t="str">
        <f>'[3]TDF-Secondary cum Calculation'!C1245</f>
        <v>International Departures by Purpose of Visit</v>
      </c>
      <c r="D255" s="284" t="str">
        <f>'[3]TDF-Secondary cum Calculation'!D1245</f>
        <v>Other Personal</v>
      </c>
      <c r="E255" s="284"/>
      <c r="F255" s="286" t="str">
        <f>'[3]TDF-Secondary cum Calculation'!J1245</f>
        <v>Thousand</v>
      </c>
      <c r="G255" s="286"/>
      <c r="H255" s="339">
        <f>'Tourism Medium DB-LCU'!H43</f>
        <v>0</v>
      </c>
      <c r="I255" s="339">
        <f>'Tourism Medium DB-LCU'!I43</f>
        <v>0</v>
      </c>
      <c r="J255" s="339">
        <f>'Tourism Medium DB-LCU'!J43</f>
        <v>0</v>
      </c>
      <c r="K255" s="339">
        <f>'Tourism Medium DB-LCU'!K43</f>
        <v>0</v>
      </c>
      <c r="L255" s="339">
        <f>'Tourism Medium DB-LCU'!L43</f>
        <v>0</v>
      </c>
      <c r="M255" s="291" t="e">
        <f t="shared" ref="M255:P255" si="223">M261*M249</f>
        <v>#DIV/0!</v>
      </c>
      <c r="N255" s="291" t="e">
        <f t="shared" si="223"/>
        <v>#DIV/0!</v>
      </c>
      <c r="O255" s="291" t="e">
        <f t="shared" si="223"/>
        <v>#DIV/0!</v>
      </c>
      <c r="P255" s="291" t="e">
        <f t="shared" si="223"/>
        <v>#DIV/0!</v>
      </c>
      <c r="Q255" s="291" t="e">
        <f>Q261*Q249</f>
        <v>#DIV/0!</v>
      </c>
      <c r="R255" s="329" t="e">
        <f>'Tourism Medium DB-LCU'!R43</f>
        <v>#DIV/0!</v>
      </c>
      <c r="S255" s="329" t="e">
        <f>'Tourism Medium DB-LCU'!S43</f>
        <v>#DIV/0!</v>
      </c>
    </row>
    <row r="256" spans="1:26">
      <c r="A256" s="286"/>
      <c r="B256" s="286"/>
      <c r="C256" s="290" t="str">
        <f>'[3]TDF-Secondary cum Calculation'!C1246</f>
        <v>Growth Rate</v>
      </c>
      <c r="D256" s="290"/>
      <c r="E256" s="290"/>
      <c r="F256" s="290" t="str">
        <f>'[3]TDF-Secondary cum Calculation'!J1246</f>
        <v>%</v>
      </c>
      <c r="G256" s="290"/>
      <c r="H256" s="292"/>
      <c r="I256" s="292" t="e">
        <f>I255/H255-1</f>
        <v>#DIV/0!</v>
      </c>
      <c r="J256" s="292" t="e">
        <f>J255/I255-1</f>
        <v>#DIV/0!</v>
      </c>
      <c r="K256" s="292" t="e">
        <f>K255/J255-1</f>
        <v>#DIV/0!</v>
      </c>
      <c r="L256" s="292" t="e">
        <f>L255/K255-1</f>
        <v>#DIV/0!</v>
      </c>
      <c r="M256" s="292" t="e">
        <f t="shared" ref="M256:P256" si="224">M255/L255-1</f>
        <v>#DIV/0!</v>
      </c>
      <c r="N256" s="292" t="e">
        <f t="shared" si="224"/>
        <v>#DIV/0!</v>
      </c>
      <c r="O256" s="292" t="e">
        <f t="shared" si="224"/>
        <v>#DIV/0!</v>
      </c>
      <c r="P256" s="292" t="e">
        <f t="shared" si="224"/>
        <v>#DIV/0!</v>
      </c>
      <c r="Q256" s="292" t="e">
        <f>Q255/P255-1</f>
        <v>#DIV/0!</v>
      </c>
      <c r="R256" s="328"/>
      <c r="S256" s="328"/>
    </row>
    <row r="257" spans="1:23" s="296" customFormat="1" outlineLevel="1">
      <c r="A257" s="294"/>
      <c r="B257" s="294"/>
      <c r="C257" s="295"/>
      <c r="D257" s="299" t="str">
        <f>'[3]TDF-Secondary cum Calculation'!D1247</f>
        <v>Business</v>
      </c>
      <c r="E257" s="295"/>
      <c r="F257" s="295"/>
      <c r="G257" s="295"/>
      <c r="H257" s="311">
        <f>H251/H$249</f>
        <v>0.13923962285825234</v>
      </c>
      <c r="I257" s="311">
        <f>I251/I$249</f>
        <v>0.1434079399436467</v>
      </c>
      <c r="J257" s="311">
        <f>J251/J$249</f>
        <v>0.14219073144734279</v>
      </c>
      <c r="K257" s="311">
        <f>K251/K$249</f>
        <v>0.13782682342727962</v>
      </c>
      <c r="L257" s="311">
        <f>L251/L$249</f>
        <v>0.1437970373588181</v>
      </c>
      <c r="M257" s="372">
        <f>L257*(1+(((L257/H257)^(1/4))-1)*0.05)</f>
        <v>0.14385516100947604</v>
      </c>
      <c r="N257" s="372">
        <f>M257*(1+(((M257/I257)^(1/4))-1)*0.2)</f>
        <v>0.14387756561225706</v>
      </c>
      <c r="O257" s="372">
        <f>N257*(1+(((N257/J257)^(1/4))-1)*0.4)</f>
        <v>0.14404749603957928</v>
      </c>
      <c r="P257" s="372">
        <f>O257*(1+(((O257/K257)^(1/4))-1)*0.1)</f>
        <v>0.14420735124147113</v>
      </c>
      <c r="Q257" s="372">
        <f>P257*(1+(((P257/L257)^(1/4))-1)*-1)</f>
        <v>0.14410458996374145</v>
      </c>
      <c r="R257" s="300"/>
      <c r="S257" s="300"/>
      <c r="T257" s="294"/>
      <c r="U257" s="294"/>
      <c r="V257" s="294"/>
      <c r="W257" s="294"/>
    </row>
    <row r="258" spans="1:23" s="296" customFormat="1" outlineLevel="1">
      <c r="A258" s="294"/>
      <c r="B258" s="294"/>
      <c r="C258" s="295"/>
      <c r="D258" s="295"/>
      <c r="E258" s="295"/>
      <c r="F258" s="295"/>
      <c r="G258" s="295"/>
      <c r="H258" s="311"/>
      <c r="I258" s="311"/>
      <c r="J258" s="311"/>
      <c r="K258" s="311"/>
      <c r="L258" s="311"/>
      <c r="M258" s="311"/>
      <c r="N258" s="311"/>
      <c r="O258" s="311"/>
      <c r="P258" s="311"/>
      <c r="Q258" s="311"/>
      <c r="R258" s="300"/>
      <c r="S258" s="300"/>
      <c r="T258" s="294"/>
      <c r="U258" s="294"/>
      <c r="V258" s="294"/>
      <c r="W258" s="294"/>
    </row>
    <row r="259" spans="1:23" s="296" customFormat="1" outlineLevel="1">
      <c r="A259" s="294"/>
      <c r="B259" s="294"/>
      <c r="C259" s="295"/>
      <c r="D259" s="299" t="str">
        <f>'[3]TDF-Secondary cum Calculation'!D1249</f>
        <v>Leisure</v>
      </c>
      <c r="E259" s="295"/>
      <c r="F259" s="295"/>
      <c r="G259" s="295"/>
      <c r="H259" s="311">
        <f>H253/H$249</f>
        <v>0</v>
      </c>
      <c r="I259" s="311">
        <f>I253/I$249</f>
        <v>0</v>
      </c>
      <c r="J259" s="311">
        <f>J253/J$249</f>
        <v>0</v>
      </c>
      <c r="K259" s="311">
        <f>K253/K$249</f>
        <v>0</v>
      </c>
      <c r="L259" s="311">
        <f>L253/L$249</f>
        <v>0</v>
      </c>
      <c r="M259" s="372" t="e">
        <f>L259*(1+(((L259/H259)^(1/4))-1)*0.03)</f>
        <v>#DIV/0!</v>
      </c>
      <c r="N259" s="372" t="e">
        <f>M259*(1+(((M259/I259)^(1/4))-1)*0.2)</f>
        <v>#DIV/0!</v>
      </c>
      <c r="O259" s="372" t="e">
        <f>N259*(1+(((N259/J259)^(1/4))-1)*0.4)</f>
        <v>#DIV/0!</v>
      </c>
      <c r="P259" s="372" t="e">
        <f>O259*(1+(((O259/K259)^(1/4))-1)*0.3)</f>
        <v>#DIV/0!</v>
      </c>
      <c r="Q259" s="372" t="e">
        <f>P259*(1+(((P259/L259)^(1/4))-1)*-0.01)</f>
        <v>#DIV/0!</v>
      </c>
      <c r="R259" s="300"/>
      <c r="S259" s="300"/>
      <c r="T259" s="294"/>
      <c r="U259" s="294"/>
      <c r="V259" s="294"/>
      <c r="W259" s="294"/>
    </row>
    <row r="260" spans="1:23" s="296" customFormat="1" outlineLevel="1">
      <c r="A260" s="294"/>
      <c r="B260" s="294"/>
      <c r="C260" s="295"/>
      <c r="D260" s="295"/>
      <c r="E260" s="295"/>
      <c r="F260" s="295"/>
      <c r="G260" s="295"/>
      <c r="H260" s="311"/>
      <c r="I260" s="311"/>
      <c r="J260" s="311"/>
      <c r="K260" s="311"/>
      <c r="L260" s="311"/>
      <c r="M260" s="311"/>
      <c r="N260" s="311"/>
      <c r="O260" s="311"/>
      <c r="P260" s="311"/>
      <c r="Q260" s="311"/>
      <c r="R260" s="300"/>
      <c r="S260" s="300"/>
      <c r="T260" s="294"/>
      <c r="U260" s="294"/>
      <c r="V260" s="294"/>
      <c r="W260" s="294"/>
    </row>
    <row r="261" spans="1:23" s="296" customFormat="1" outlineLevel="1">
      <c r="A261" s="294"/>
      <c r="B261" s="294"/>
      <c r="C261" s="295"/>
      <c r="D261" s="299" t="str">
        <f>'[3]TDF-Secondary cum Calculation'!D1251</f>
        <v>Other Personal</v>
      </c>
      <c r="E261" s="295"/>
      <c r="F261" s="295"/>
      <c r="G261" s="295"/>
      <c r="H261" s="311">
        <f>1-SUM(H257,H259)</f>
        <v>0.86076037714174769</v>
      </c>
      <c r="I261" s="311">
        <f>1-SUM(I257,I259)</f>
        <v>0.85659206005635324</v>
      </c>
      <c r="J261" s="311">
        <f>1-SUM(J257,J259)</f>
        <v>0.85780926855265727</v>
      </c>
      <c r="K261" s="311">
        <f>1-SUM(K257,K259)</f>
        <v>0.86217317657272041</v>
      </c>
      <c r="L261" s="311">
        <f>1-SUM(L257,L259)</f>
        <v>0.8562029626411819</v>
      </c>
      <c r="M261" s="372" t="e">
        <f>1-M259-M257</f>
        <v>#DIV/0!</v>
      </c>
      <c r="N261" s="372" t="e">
        <f>1-N259-N257</f>
        <v>#DIV/0!</v>
      </c>
      <c r="O261" s="372" t="e">
        <f>1-O259-O257</f>
        <v>#DIV/0!</v>
      </c>
      <c r="P261" s="372" t="e">
        <f>1-P259-P257</f>
        <v>#DIV/0!</v>
      </c>
      <c r="Q261" s="372" t="e">
        <f>1-Q259-Q257</f>
        <v>#DIV/0!</v>
      </c>
      <c r="R261" s="300"/>
      <c r="S261" s="300"/>
      <c r="T261" s="294"/>
      <c r="U261" s="294"/>
      <c r="V261" s="294"/>
      <c r="W261" s="294"/>
    </row>
    <row r="262" spans="1:23" s="296" customFormat="1" hidden="1" outlineLevel="1">
      <c r="A262" s="294"/>
      <c r="B262" s="294"/>
      <c r="C262" s="294"/>
      <c r="D262" s="299" t="str">
        <f>'[3]TDF-Secondary cum Calculation'!D1270</f>
        <v>Tourism Packages</v>
      </c>
      <c r="E262" s="294"/>
      <c r="F262" s="294"/>
      <c r="G262" s="294"/>
      <c r="H262" s="301" t="e">
        <f>'[3]TDF-Secondary cum Calculation'!M1270</f>
        <v>#DIV/0!</v>
      </c>
      <c r="I262" s="301" t="e">
        <f>'[3]TDF-Secondary cum Calculation'!N1270</f>
        <v>#DIV/0!</v>
      </c>
      <c r="J262" s="301" t="e">
        <f>'[3]TDF-Secondary cum Calculation'!O1270</f>
        <v>#DIV/0!</v>
      </c>
      <c r="K262" s="301" t="e">
        <f>'[3]TDF-Secondary cum Calculation'!P1270</f>
        <v>#DIV/0!</v>
      </c>
      <c r="L262" s="301"/>
      <c r="M262" s="301"/>
      <c r="N262" s="301"/>
      <c r="O262" s="301"/>
      <c r="P262" s="301"/>
      <c r="Q262" s="301"/>
      <c r="R262" s="300">
        <f>'[3]TDF-Secondary cum Calculation'!V1270</f>
        <v>0</v>
      </c>
      <c r="S262" s="300">
        <f>'[3]TDF-Secondary cum Calculation'!W1270</f>
        <v>0</v>
      </c>
      <c r="T262" s="294"/>
      <c r="U262" s="294"/>
      <c r="V262" s="294"/>
      <c r="W262" s="294"/>
    </row>
    <row r="263" spans="1:23" s="296" customFormat="1" hidden="1" outlineLevel="1">
      <c r="A263" s="294"/>
      <c r="B263" s="294"/>
      <c r="C263" s="294"/>
      <c r="D263" s="295"/>
      <c r="E263" s="294"/>
      <c r="F263" s="294"/>
      <c r="G263" s="294"/>
      <c r="H263" s="301">
        <f>'[3]TDF-Secondary cum Calculation'!M1271</f>
        <v>0</v>
      </c>
      <c r="I263" s="301">
        <f>'[3]TDF-Secondary cum Calculation'!N1271</f>
        <v>0</v>
      </c>
      <c r="J263" s="301">
        <f>'[3]TDF-Secondary cum Calculation'!O1271</f>
        <v>0</v>
      </c>
      <c r="K263" s="301">
        <f>'[3]TDF-Secondary cum Calculation'!P1271</f>
        <v>0</v>
      </c>
      <c r="L263" s="301"/>
      <c r="M263" s="301"/>
      <c r="N263" s="301"/>
      <c r="O263" s="301"/>
      <c r="P263" s="301"/>
      <c r="Q263" s="301"/>
      <c r="R263" s="300">
        <f>'[3]TDF-Secondary cum Calculation'!V1271</f>
        <v>0</v>
      </c>
      <c r="S263" s="300">
        <f>'[3]TDF-Secondary cum Calculation'!W1271</f>
        <v>0</v>
      </c>
      <c r="T263" s="294"/>
      <c r="U263" s="294"/>
      <c r="V263" s="294"/>
      <c r="W263" s="294"/>
    </row>
    <row r="264" spans="1:23" s="296" customFormat="1" hidden="1" outlineLevel="1">
      <c r="A264" s="294"/>
      <c r="B264" s="294"/>
      <c r="C264" s="294"/>
      <c r="D264" s="299" t="str">
        <f>'[3]TDF-Secondary cum Calculation'!D1272</f>
        <v>Accommodation</v>
      </c>
      <c r="E264" s="294"/>
      <c r="F264" s="294"/>
      <c r="G264" s="294"/>
      <c r="H264" s="301" t="e">
        <f>'[3]TDF-Secondary cum Calculation'!M1272</f>
        <v>#DIV/0!</v>
      </c>
      <c r="I264" s="301" t="e">
        <f>'[3]TDF-Secondary cum Calculation'!N1272</f>
        <v>#DIV/0!</v>
      </c>
      <c r="J264" s="301" t="e">
        <f>'[3]TDF-Secondary cum Calculation'!O1272</f>
        <v>#DIV/0!</v>
      </c>
      <c r="K264" s="301" t="e">
        <f>'[3]TDF-Secondary cum Calculation'!P1272</f>
        <v>#DIV/0!</v>
      </c>
      <c r="L264" s="301"/>
      <c r="M264" s="301"/>
      <c r="N264" s="301"/>
      <c r="O264" s="301"/>
      <c r="P264" s="301"/>
      <c r="Q264" s="301"/>
      <c r="R264" s="300">
        <f>'[3]TDF-Secondary cum Calculation'!V1272</f>
        <v>0</v>
      </c>
      <c r="S264" s="300">
        <f>'[3]TDF-Secondary cum Calculation'!W1272</f>
        <v>0</v>
      </c>
      <c r="T264" s="294"/>
      <c r="U264" s="294"/>
      <c r="V264" s="294"/>
      <c r="W264" s="294"/>
    </row>
    <row r="265" spans="1:23" s="296" customFormat="1" hidden="1" outlineLevel="1">
      <c r="A265" s="294"/>
      <c r="B265" s="294"/>
      <c r="C265" s="294"/>
      <c r="D265" s="295"/>
      <c r="E265" s="294"/>
      <c r="F265" s="294"/>
      <c r="G265" s="294"/>
      <c r="H265" s="301">
        <f>'[3]TDF-Secondary cum Calculation'!M1273</f>
        <v>0</v>
      </c>
      <c r="I265" s="301">
        <f>'[3]TDF-Secondary cum Calculation'!N1273</f>
        <v>0</v>
      </c>
      <c r="J265" s="301">
        <f>'[3]TDF-Secondary cum Calculation'!O1273</f>
        <v>0</v>
      </c>
      <c r="K265" s="301">
        <f>'[3]TDF-Secondary cum Calculation'!P1273</f>
        <v>0</v>
      </c>
      <c r="L265" s="301"/>
      <c r="M265" s="301"/>
      <c r="N265" s="301"/>
      <c r="O265" s="301"/>
      <c r="P265" s="301"/>
      <c r="Q265" s="301"/>
      <c r="R265" s="300">
        <f>'[3]TDF-Secondary cum Calculation'!V1273</f>
        <v>0</v>
      </c>
      <c r="S265" s="300">
        <f>'[3]TDF-Secondary cum Calculation'!W1273</f>
        <v>0</v>
      </c>
      <c r="T265" s="294"/>
      <c r="U265" s="294"/>
      <c r="V265" s="294"/>
      <c r="W265" s="294"/>
    </row>
    <row r="266" spans="1:23" s="296" customFormat="1" hidden="1" outlineLevel="1">
      <c r="A266" s="294"/>
      <c r="B266" s="294"/>
      <c r="C266" s="294"/>
      <c r="D266" s="299" t="str">
        <f>'[3]TDF-Secondary cum Calculation'!D1274</f>
        <v>Entertainment &amp; Sightseeing</v>
      </c>
      <c r="E266" s="294"/>
      <c r="F266" s="294"/>
      <c r="G266" s="294"/>
      <c r="H266" s="301" t="e">
        <f>'[3]TDF-Secondary cum Calculation'!M1274</f>
        <v>#DIV/0!</v>
      </c>
      <c r="I266" s="301" t="e">
        <f>'[3]TDF-Secondary cum Calculation'!N1274</f>
        <v>#DIV/0!</v>
      </c>
      <c r="J266" s="301" t="e">
        <f>'[3]TDF-Secondary cum Calculation'!O1274</f>
        <v>#DIV/0!</v>
      </c>
      <c r="K266" s="301" t="e">
        <f>'[3]TDF-Secondary cum Calculation'!P1274</f>
        <v>#DIV/0!</v>
      </c>
      <c r="L266" s="301"/>
      <c r="M266" s="301"/>
      <c r="N266" s="301"/>
      <c r="O266" s="301"/>
      <c r="P266" s="301"/>
      <c r="Q266" s="301"/>
      <c r="R266" s="300">
        <f>'[3]TDF-Secondary cum Calculation'!V1274</f>
        <v>0</v>
      </c>
      <c r="S266" s="300">
        <f>'[3]TDF-Secondary cum Calculation'!W1274</f>
        <v>0</v>
      </c>
      <c r="T266" s="294"/>
      <c r="U266" s="294"/>
      <c r="V266" s="294"/>
      <c r="W266" s="294"/>
    </row>
    <row r="267" spans="1:23" s="296" customFormat="1" hidden="1" outlineLevel="1">
      <c r="A267" s="294"/>
      <c r="B267" s="294"/>
      <c r="C267" s="294"/>
      <c r="D267" s="295"/>
      <c r="E267" s="294"/>
      <c r="F267" s="294"/>
      <c r="G267" s="294"/>
      <c r="H267" s="301">
        <f>'[3]TDF-Secondary cum Calculation'!M1275</f>
        <v>0</v>
      </c>
      <c r="I267" s="301">
        <f>'[3]TDF-Secondary cum Calculation'!N1275</f>
        <v>0</v>
      </c>
      <c r="J267" s="301">
        <f>'[3]TDF-Secondary cum Calculation'!O1275</f>
        <v>0</v>
      </c>
      <c r="K267" s="301">
        <f>'[3]TDF-Secondary cum Calculation'!P1275</f>
        <v>0</v>
      </c>
      <c r="L267" s="301"/>
      <c r="M267" s="301"/>
      <c r="N267" s="301"/>
      <c r="O267" s="301"/>
      <c r="P267" s="301"/>
      <c r="Q267" s="301"/>
      <c r="R267" s="300">
        <f>'[3]TDF-Secondary cum Calculation'!V1275</f>
        <v>0</v>
      </c>
      <c r="S267" s="300">
        <f>'[3]TDF-Secondary cum Calculation'!W1275</f>
        <v>0</v>
      </c>
      <c r="T267" s="294"/>
      <c r="U267" s="294"/>
      <c r="V267" s="294"/>
      <c r="W267" s="294"/>
    </row>
    <row r="268" spans="1:23" s="296" customFormat="1" hidden="1" outlineLevel="1">
      <c r="A268" s="294"/>
      <c r="B268" s="294"/>
      <c r="C268" s="294"/>
      <c r="D268" s="299" t="str">
        <f>'[3]TDF-Secondary cum Calculation'!D1276</f>
        <v>Food &amp; Beverage</v>
      </c>
      <c r="E268" s="294"/>
      <c r="F268" s="294"/>
      <c r="G268" s="294"/>
      <c r="H268" s="301" t="e">
        <f>'[3]TDF-Secondary cum Calculation'!M1276</f>
        <v>#DIV/0!</v>
      </c>
      <c r="I268" s="301" t="e">
        <f>'[3]TDF-Secondary cum Calculation'!N1276</f>
        <v>#DIV/0!</v>
      </c>
      <c r="J268" s="301" t="e">
        <f>'[3]TDF-Secondary cum Calculation'!O1276</f>
        <v>#DIV/0!</v>
      </c>
      <c r="K268" s="301" t="e">
        <f>'[3]TDF-Secondary cum Calculation'!P1276</f>
        <v>#DIV/0!</v>
      </c>
      <c r="L268" s="301"/>
      <c r="M268" s="301"/>
      <c r="N268" s="301"/>
      <c r="O268" s="301"/>
      <c r="P268" s="301"/>
      <c r="Q268" s="301"/>
      <c r="R268" s="300">
        <f>'[3]TDF-Secondary cum Calculation'!V1276</f>
        <v>0</v>
      </c>
      <c r="S268" s="300">
        <f>'[3]TDF-Secondary cum Calculation'!W1276</f>
        <v>0</v>
      </c>
      <c r="T268" s="294"/>
      <c r="U268" s="294"/>
      <c r="V268" s="294"/>
      <c r="W268" s="294"/>
    </row>
    <row r="269" spans="1:23" s="296" customFormat="1" hidden="1" outlineLevel="1">
      <c r="A269" s="294"/>
      <c r="B269" s="294"/>
      <c r="C269" s="294"/>
      <c r="D269" s="295"/>
      <c r="E269" s="294"/>
      <c r="F269" s="294"/>
      <c r="G269" s="294"/>
      <c r="H269" s="301">
        <f>'[3]TDF-Secondary cum Calculation'!M1277</f>
        <v>0</v>
      </c>
      <c r="I269" s="301">
        <f>'[3]TDF-Secondary cum Calculation'!N1277</f>
        <v>0</v>
      </c>
      <c r="J269" s="301">
        <f>'[3]TDF-Secondary cum Calculation'!O1277</f>
        <v>0</v>
      </c>
      <c r="K269" s="301">
        <f>'[3]TDF-Secondary cum Calculation'!P1277</f>
        <v>0</v>
      </c>
      <c r="L269" s="301"/>
      <c r="M269" s="301"/>
      <c r="N269" s="301"/>
      <c r="O269" s="301"/>
      <c r="P269" s="301"/>
      <c r="Q269" s="301"/>
      <c r="R269" s="300">
        <f>'[3]TDF-Secondary cum Calculation'!V1277</f>
        <v>0</v>
      </c>
      <c r="S269" s="300">
        <f>'[3]TDF-Secondary cum Calculation'!W1277</f>
        <v>0</v>
      </c>
      <c r="T269" s="294"/>
      <c r="U269" s="294"/>
      <c r="V269" s="294"/>
      <c r="W269" s="294"/>
    </row>
    <row r="270" spans="1:23" s="296" customFormat="1" hidden="1" outlineLevel="1">
      <c r="A270" s="294"/>
      <c r="B270" s="294"/>
      <c r="C270" s="294"/>
      <c r="D270" s="299" t="str">
        <f>'[3]TDF-Secondary cum Calculation'!D1278</f>
        <v>Shopping</v>
      </c>
      <c r="E270" s="294"/>
      <c r="F270" s="294"/>
      <c r="G270" s="294"/>
      <c r="H270" s="301" t="e">
        <f>'[3]TDF-Secondary cum Calculation'!M1278</f>
        <v>#DIV/0!</v>
      </c>
      <c r="I270" s="301" t="e">
        <f>'[3]TDF-Secondary cum Calculation'!N1278</f>
        <v>#DIV/0!</v>
      </c>
      <c r="J270" s="301" t="e">
        <f>'[3]TDF-Secondary cum Calculation'!O1278</f>
        <v>#DIV/0!</v>
      </c>
      <c r="K270" s="301" t="e">
        <f>'[3]TDF-Secondary cum Calculation'!P1278</f>
        <v>#DIV/0!</v>
      </c>
      <c r="L270" s="301"/>
      <c r="M270" s="301"/>
      <c r="N270" s="301"/>
      <c r="O270" s="301"/>
      <c r="P270" s="301"/>
      <c r="Q270" s="301"/>
      <c r="R270" s="300">
        <f>'[3]TDF-Secondary cum Calculation'!V1278</f>
        <v>0</v>
      </c>
      <c r="S270" s="300">
        <f>'[3]TDF-Secondary cum Calculation'!W1278</f>
        <v>0</v>
      </c>
      <c r="T270" s="294"/>
      <c r="U270" s="294"/>
      <c r="V270" s="294"/>
      <c r="W270" s="294"/>
    </row>
    <row r="271" spans="1:23" s="296" customFormat="1" hidden="1" outlineLevel="1">
      <c r="A271" s="294"/>
      <c r="B271" s="294"/>
      <c r="C271" s="294"/>
      <c r="D271" s="295"/>
      <c r="E271" s="294"/>
      <c r="F271" s="294"/>
      <c r="G271" s="294"/>
      <c r="H271" s="301">
        <f>'[3]TDF-Secondary cum Calculation'!M1279</f>
        <v>0</v>
      </c>
      <c r="I271" s="301">
        <f>'[3]TDF-Secondary cum Calculation'!N1279</f>
        <v>0</v>
      </c>
      <c r="J271" s="301">
        <f>'[3]TDF-Secondary cum Calculation'!O1279</f>
        <v>0</v>
      </c>
      <c r="K271" s="301">
        <f>'[3]TDF-Secondary cum Calculation'!P1279</f>
        <v>0</v>
      </c>
      <c r="L271" s="301"/>
      <c r="M271" s="301"/>
      <c r="N271" s="301"/>
      <c r="O271" s="301"/>
      <c r="P271" s="301"/>
      <c r="Q271" s="301"/>
      <c r="R271" s="300">
        <f>'[3]TDF-Secondary cum Calculation'!V1279</f>
        <v>0</v>
      </c>
      <c r="S271" s="300">
        <f>'[3]TDF-Secondary cum Calculation'!W1279</f>
        <v>0</v>
      </c>
      <c r="T271" s="294"/>
      <c r="U271" s="294"/>
      <c r="V271" s="294"/>
      <c r="W271" s="294"/>
    </row>
    <row r="272" spans="1:23" s="296" customFormat="1" hidden="1" outlineLevel="1">
      <c r="A272" s="294"/>
      <c r="B272" s="294"/>
      <c r="C272" s="294"/>
      <c r="D272" s="299" t="str">
        <f>'[3]TDF-Secondary cum Calculation'!D1280</f>
        <v>International Travel</v>
      </c>
      <c r="E272" s="294"/>
      <c r="F272" s="294"/>
      <c r="G272" s="294"/>
      <c r="H272" s="301" t="e">
        <f>'[3]TDF-Secondary cum Calculation'!M1280</f>
        <v>#DIV/0!</v>
      </c>
      <c r="I272" s="301" t="e">
        <f>'[3]TDF-Secondary cum Calculation'!N1280</f>
        <v>#DIV/0!</v>
      </c>
      <c r="J272" s="301" t="e">
        <f>'[3]TDF-Secondary cum Calculation'!O1280</f>
        <v>#DIV/0!</v>
      </c>
      <c r="K272" s="301" t="e">
        <f>'[3]TDF-Secondary cum Calculation'!P1280</f>
        <v>#DIV/0!</v>
      </c>
      <c r="L272" s="301"/>
      <c r="M272" s="301"/>
      <c r="N272" s="301"/>
      <c r="O272" s="301"/>
      <c r="P272" s="301"/>
      <c r="Q272" s="301"/>
      <c r="R272" s="300">
        <f>'[3]TDF-Secondary cum Calculation'!V1280</f>
        <v>0</v>
      </c>
      <c r="S272" s="300">
        <f>'[3]TDF-Secondary cum Calculation'!W1280</f>
        <v>0</v>
      </c>
      <c r="T272" s="294"/>
      <c r="U272" s="294"/>
      <c r="V272" s="294"/>
      <c r="W272" s="294"/>
    </row>
    <row r="273" spans="1:26" s="296" customFormat="1" hidden="1" outlineLevel="1">
      <c r="A273" s="294"/>
      <c r="B273" s="294"/>
      <c r="C273" s="294"/>
      <c r="D273" s="295"/>
      <c r="E273" s="294"/>
      <c r="F273" s="294"/>
      <c r="G273" s="294"/>
      <c r="H273" s="301">
        <f>'[3]TDF-Secondary cum Calculation'!M1281</f>
        <v>0</v>
      </c>
      <c r="I273" s="301">
        <f>'[3]TDF-Secondary cum Calculation'!N1281</f>
        <v>0</v>
      </c>
      <c r="J273" s="301">
        <f>'[3]TDF-Secondary cum Calculation'!O1281</f>
        <v>0</v>
      </c>
      <c r="K273" s="301">
        <f>'[3]TDF-Secondary cum Calculation'!P1281</f>
        <v>0</v>
      </c>
      <c r="L273" s="301"/>
      <c r="M273" s="301"/>
      <c r="N273" s="301"/>
      <c r="O273" s="301"/>
      <c r="P273" s="301"/>
      <c r="Q273" s="301"/>
      <c r="R273" s="300">
        <f>'[3]TDF-Secondary cum Calculation'!V1281</f>
        <v>0</v>
      </c>
      <c r="S273" s="300">
        <f>'[3]TDF-Secondary cum Calculation'!W1281</f>
        <v>0</v>
      </c>
      <c r="T273" s="294"/>
      <c r="U273" s="294"/>
      <c r="V273" s="294"/>
      <c r="W273" s="294"/>
    </row>
    <row r="274" spans="1:26" s="296" customFormat="1" hidden="1" outlineLevel="1">
      <c r="A274" s="294"/>
      <c r="B274" s="294"/>
      <c r="C274" s="294"/>
      <c r="D274" s="299" t="str">
        <f>'[3]TDF-Secondary cum Calculation'!D1282</f>
        <v>Local Travel</v>
      </c>
      <c r="E274" s="294"/>
      <c r="F274" s="294"/>
      <c r="G274" s="294"/>
      <c r="H274" s="301" t="e">
        <f>'[3]TDF-Secondary cum Calculation'!M1282</f>
        <v>#DIV/0!</v>
      </c>
      <c r="I274" s="301" t="e">
        <f>'[3]TDF-Secondary cum Calculation'!N1282</f>
        <v>#DIV/0!</v>
      </c>
      <c r="J274" s="301" t="e">
        <f>'[3]TDF-Secondary cum Calculation'!O1282</f>
        <v>#DIV/0!</v>
      </c>
      <c r="K274" s="301" t="e">
        <f>'[3]TDF-Secondary cum Calculation'!P1282</f>
        <v>#DIV/0!</v>
      </c>
      <c r="L274" s="301"/>
      <c r="M274" s="301"/>
      <c r="N274" s="301"/>
      <c r="O274" s="301"/>
      <c r="P274" s="301"/>
      <c r="Q274" s="301"/>
      <c r="R274" s="300">
        <f>'[3]TDF-Secondary cum Calculation'!V1282</f>
        <v>0</v>
      </c>
      <c r="S274" s="300">
        <f>'[3]TDF-Secondary cum Calculation'!W1282</f>
        <v>0</v>
      </c>
      <c r="T274" s="294"/>
      <c r="U274" s="294"/>
      <c r="V274" s="294"/>
      <c r="W274" s="294"/>
    </row>
    <row r="275" spans="1:26" s="296" customFormat="1" hidden="1" outlineLevel="1">
      <c r="A275" s="294"/>
      <c r="B275" s="294"/>
      <c r="C275" s="294"/>
      <c r="D275" s="295"/>
      <c r="E275" s="294"/>
      <c r="F275" s="294"/>
      <c r="G275" s="294"/>
      <c r="H275" s="301">
        <f>'[3]TDF-Secondary cum Calculation'!M1283</f>
        <v>0</v>
      </c>
      <c r="I275" s="301">
        <f>'[3]TDF-Secondary cum Calculation'!N1283</f>
        <v>0</v>
      </c>
      <c r="J275" s="301">
        <f>'[3]TDF-Secondary cum Calculation'!O1283</f>
        <v>0</v>
      </c>
      <c r="K275" s="301">
        <f>'[3]TDF-Secondary cum Calculation'!P1283</f>
        <v>0</v>
      </c>
      <c r="L275" s="301"/>
      <c r="M275" s="301"/>
      <c r="N275" s="301"/>
      <c r="O275" s="301"/>
      <c r="P275" s="301"/>
      <c r="Q275" s="301"/>
      <c r="R275" s="300">
        <f>'[3]TDF-Secondary cum Calculation'!V1283</f>
        <v>0</v>
      </c>
      <c r="S275" s="300">
        <f>'[3]TDF-Secondary cum Calculation'!W1283</f>
        <v>0</v>
      </c>
      <c r="T275" s="294"/>
      <c r="U275" s="294"/>
      <c r="V275" s="294"/>
      <c r="W275" s="294"/>
    </row>
    <row r="276" spans="1:26" s="296" customFormat="1" hidden="1" outlineLevel="1">
      <c r="A276" s="294"/>
      <c r="B276" s="294"/>
      <c r="C276" s="294"/>
      <c r="D276" s="299" t="str">
        <f>'[3]TDF-Secondary cum Calculation'!D1284</f>
        <v>Other Spending</v>
      </c>
      <c r="E276" s="294"/>
      <c r="F276" s="294"/>
      <c r="G276" s="294"/>
      <c r="H276" s="301" t="e">
        <f>'[3]TDF-Secondary cum Calculation'!M1284</f>
        <v>#DIV/0!</v>
      </c>
      <c r="I276" s="301" t="e">
        <f>'[3]TDF-Secondary cum Calculation'!N1284</f>
        <v>#DIV/0!</v>
      </c>
      <c r="J276" s="301" t="e">
        <f>'[3]TDF-Secondary cum Calculation'!O1284</f>
        <v>#DIV/0!</v>
      </c>
      <c r="K276" s="301" t="e">
        <f>'[3]TDF-Secondary cum Calculation'!P1284</f>
        <v>#DIV/0!</v>
      </c>
      <c r="L276" s="301"/>
      <c r="M276" s="301"/>
      <c r="N276" s="301"/>
      <c r="O276" s="301"/>
      <c r="P276" s="301"/>
      <c r="Q276" s="301"/>
      <c r="R276" s="300">
        <f>'[3]TDF-Secondary cum Calculation'!V1284</f>
        <v>0</v>
      </c>
      <c r="S276" s="300">
        <f>'[3]TDF-Secondary cum Calculation'!W1284</f>
        <v>0</v>
      </c>
      <c r="T276" s="294"/>
      <c r="U276" s="294"/>
      <c r="V276" s="294"/>
      <c r="W276" s="294"/>
    </row>
    <row r="277" spans="1:26" s="1" customFormat="1" collapsed="1">
      <c r="A277" s="284" t="str">
        <f>'[3]TDF-Secondary cum Calculation'!A1285</f>
        <v>Tunisia</v>
      </c>
      <c r="B277" s="285" t="str">
        <f>'[3]TDF-Secondary cum Calculation'!B1285</f>
        <v>Tourism Flows</v>
      </c>
      <c r="C277" s="284" t="str">
        <f>'[3]TDF-Secondary cum Calculation'!C1285</f>
        <v>Number of Overnight stays</v>
      </c>
      <c r="D277" s="286"/>
      <c r="E277" s="286"/>
      <c r="F277" s="284" t="str">
        <f>'[3]TDF-Secondary cum Calculation'!J1285</f>
        <v>Thousand</v>
      </c>
      <c r="G277" s="284"/>
      <c r="H277" s="340">
        <f>'Tourism Medium DB-LCU'!H44</f>
        <v>175848</v>
      </c>
      <c r="I277" s="340">
        <f>'Tourism Medium DB-LCU'!I44</f>
        <v>166027</v>
      </c>
      <c r="J277" s="340">
        <f>'Tourism Medium DB-LCU'!J44</f>
        <v>190238</v>
      </c>
      <c r="K277" s="340">
        <f>'Tourism Medium DB-LCU'!K44</f>
        <v>196931</v>
      </c>
      <c r="L277" s="340">
        <f>'Tourism Medium DB-LCU'!L44</f>
        <v>204538.4407297516</v>
      </c>
      <c r="M277" s="340">
        <f>'Tourism Medium DB-LCU'!M44</f>
        <v>195791.01248251431</v>
      </c>
      <c r="N277" s="340">
        <f>'Tourism Medium DB-LCU'!N44</f>
        <v>200862.27725156676</v>
      </c>
      <c r="O277" s="340">
        <f>'Tourism Medium DB-LCU'!O44</f>
        <v>210509.7013902851</v>
      </c>
      <c r="P277" s="340">
        <f>'Tourism Medium DB-LCU'!P44</f>
        <v>223479.73715538578</v>
      </c>
      <c r="Q277" s="340">
        <f>'Tourism Medium DB-LCU'!Q44</f>
        <v>232197.97354303318</v>
      </c>
      <c r="R277" s="327">
        <f>'Tourism Medium DB-LCU'!R44</f>
        <v>3.8506877277332929E-2</v>
      </c>
      <c r="S277" s="327">
        <f>'Tourism Medium DB-LCU'!S44</f>
        <v>2.5691359194589314E-2</v>
      </c>
      <c r="T277" s="284"/>
      <c r="U277" s="285"/>
      <c r="V277" s="284"/>
      <c r="X277"/>
      <c r="Y277"/>
      <c r="Z277"/>
    </row>
    <row r="278" spans="1:26" s="1" customFormat="1">
      <c r="A278" s="286"/>
      <c r="B278" s="286"/>
      <c r="C278" s="290" t="str">
        <f>'[3]TDF-Secondary cum Calculation'!C1286</f>
        <v>Growth Rate</v>
      </c>
      <c r="D278" s="290"/>
      <c r="E278" s="290"/>
      <c r="F278" s="290"/>
      <c r="G278" s="290"/>
      <c r="H278" s="21"/>
      <c r="I278" s="21">
        <f t="shared" ref="I278:Q278" si="225">I277/H277-1</f>
        <v>-5.5849369910377145E-2</v>
      </c>
      <c r="J278" s="21">
        <f t="shared" si="225"/>
        <v>0.14582567895583254</v>
      </c>
      <c r="K278" s="21">
        <f t="shared" si="225"/>
        <v>3.5182245397870071E-2</v>
      </c>
      <c r="L278" s="21">
        <f t="shared" si="225"/>
        <v>3.862998070264001E-2</v>
      </c>
      <c r="M278" s="21">
        <f t="shared" si="225"/>
        <v>-4.2766671223405495E-2</v>
      </c>
      <c r="N278" s="21">
        <f t="shared" si="225"/>
        <v>2.5901417561265072E-2</v>
      </c>
      <c r="O278" s="21">
        <f t="shared" si="225"/>
        <v>4.8030044619257195E-2</v>
      </c>
      <c r="P278" s="21">
        <f t="shared" si="225"/>
        <v>6.1612532246455576E-2</v>
      </c>
      <c r="Q278" s="21">
        <f t="shared" si="225"/>
        <v>3.9011305895646275E-2</v>
      </c>
      <c r="R278" s="328"/>
      <c r="S278" s="328"/>
      <c r="T278" s="286"/>
      <c r="U278" s="286"/>
      <c r="V278" s="290"/>
      <c r="X278"/>
      <c r="Y278"/>
      <c r="Z278"/>
    </row>
    <row r="279" spans="1:26" s="1" customFormat="1">
      <c r="A279" s="284"/>
      <c r="B279" s="285"/>
      <c r="C279" s="285"/>
      <c r="D279" s="284" t="str">
        <f>'[3]TDF-Secondary cum Calculation'!D1287</f>
        <v>International trips</v>
      </c>
      <c r="E279" s="286"/>
      <c r="F279" s="286" t="str">
        <f>'[3]TDF-Secondary cum Calculation'!J1287</f>
        <v>Thousand</v>
      </c>
      <c r="G279" s="286"/>
      <c r="H279" s="339">
        <f>'Tourism Medium DB-LCU'!H45</f>
        <v>81878</v>
      </c>
      <c r="I279" s="339">
        <f>'Tourism Medium DB-LCU'!I45</f>
        <v>73980</v>
      </c>
      <c r="J279" s="339">
        <f>'Tourism Medium DB-LCU'!J45</f>
        <v>80870</v>
      </c>
      <c r="K279" s="339">
        <f>'Tourism Medium DB-LCU'!K45</f>
        <v>89076</v>
      </c>
      <c r="L279" s="339">
        <f>'Tourism Medium DB-LCU'!L45</f>
        <v>91613.301351241142</v>
      </c>
      <c r="M279" s="339">
        <f>'Tourism Medium DB-LCU'!M45</f>
        <v>87150.592522082501</v>
      </c>
      <c r="N279" s="339">
        <f>'Tourism Medium DB-LCU'!N45</f>
        <v>87277.263617156728</v>
      </c>
      <c r="O279" s="339">
        <f>'Tourism Medium DB-LCU'!O45</f>
        <v>95177.06516726203</v>
      </c>
      <c r="P279" s="339">
        <f>'Tourism Medium DB-LCU'!P45</f>
        <v>104570.39925014193</v>
      </c>
      <c r="Q279" s="339">
        <f>'Tourism Medium DB-LCU'!Q45</f>
        <v>111476.55992501773</v>
      </c>
      <c r="R279" s="329">
        <f>'Tourism Medium DB-LCU'!R45</f>
        <v>2.848467995016768E-2</v>
      </c>
      <c r="S279" s="329">
        <f>'Tourism Medium DB-LCU'!S45</f>
        <v>4.0027935971120199E-2</v>
      </c>
      <c r="T279" s="284"/>
      <c r="U279" s="285"/>
      <c r="V279" s="285"/>
      <c r="X279"/>
      <c r="Y279"/>
      <c r="Z279"/>
    </row>
    <row r="280" spans="1:26" s="1" customFormat="1">
      <c r="A280" s="284"/>
      <c r="B280" s="285"/>
      <c r="C280" s="290" t="str">
        <f>'[3]TDF-Secondary cum Calculation'!C1288</f>
        <v>Growth Rate</v>
      </c>
      <c r="D280" s="286"/>
      <c r="E280" s="286"/>
      <c r="F280" s="284"/>
      <c r="G280" s="284"/>
      <c r="H280" s="21"/>
      <c r="I280" s="21">
        <f t="shared" ref="I280:Q280" si="226">I279/H279-1</f>
        <v>-9.6460587703656619E-2</v>
      </c>
      <c r="J280" s="21">
        <f t="shared" si="226"/>
        <v>9.3133279264666191E-2</v>
      </c>
      <c r="K280" s="21">
        <f t="shared" si="226"/>
        <v>0.10147149746506745</v>
      </c>
      <c r="L280" s="21">
        <f t="shared" si="226"/>
        <v>2.848467995016768E-2</v>
      </c>
      <c r="M280" s="21">
        <f t="shared" si="226"/>
        <v>-4.8712455105714647E-2</v>
      </c>
      <c r="N280" s="21">
        <f t="shared" si="226"/>
        <v>1.4534737103724105E-3</v>
      </c>
      <c r="O280" s="21">
        <f t="shared" si="226"/>
        <v>9.0513854613475608E-2</v>
      </c>
      <c r="P280" s="21">
        <f t="shared" si="226"/>
        <v>9.8693252059960601E-2</v>
      </c>
      <c r="Q280" s="21">
        <f t="shared" si="226"/>
        <v>6.6043170193465839E-2</v>
      </c>
      <c r="R280" s="327"/>
      <c r="S280" s="327"/>
      <c r="T280" s="284"/>
      <c r="U280" s="285"/>
      <c r="V280" s="284"/>
      <c r="X280"/>
      <c r="Y280"/>
      <c r="Z280"/>
    </row>
    <row r="281" spans="1:26" s="1" customFormat="1">
      <c r="A281" s="286"/>
      <c r="B281" s="286"/>
      <c r="C281" s="290"/>
      <c r="D281" s="284" t="str">
        <f>'[3]TDF-Secondary cum Calculation'!D1289</f>
        <v>Domestic Trips</v>
      </c>
      <c r="E281" s="290"/>
      <c r="F281" s="286" t="str">
        <f>'[3]TDF-Secondary cum Calculation'!J1289</f>
        <v>Thousand</v>
      </c>
      <c r="G281" s="286"/>
      <c r="H281" s="339">
        <f>'Tourism Medium DB-LCU'!H46</f>
        <v>93970</v>
      </c>
      <c r="I281" s="339">
        <f>'Tourism Medium DB-LCU'!I46</f>
        <v>92047</v>
      </c>
      <c r="J281" s="339">
        <f>'Tourism Medium DB-LCU'!J46</f>
        <v>109368</v>
      </c>
      <c r="K281" s="339">
        <f>'Tourism Medium DB-LCU'!K46</f>
        <v>107855</v>
      </c>
      <c r="L281" s="339">
        <f>'Tourism Medium DB-LCU'!L46</f>
        <v>112925.13937851046</v>
      </c>
      <c r="M281" s="339">
        <f>'Tourism Medium DB-LCU'!M46</f>
        <v>108640.41996043183</v>
      </c>
      <c r="N281" s="339">
        <f>'Tourism Medium DB-LCU'!N46</f>
        <v>113585.01363441005</v>
      </c>
      <c r="O281" s="339">
        <f>'Tourism Medium DB-LCU'!O46</f>
        <v>115332.63622302306</v>
      </c>
      <c r="P281" s="339">
        <f>'Tourism Medium DB-LCU'!P46</f>
        <v>118909.33790524384</v>
      </c>
      <c r="Q281" s="339">
        <f>'Tourism Medium DB-LCU'!Q46</f>
        <v>120721.41361801543</v>
      </c>
      <c r="R281" s="329">
        <f>'Tourism Medium DB-LCU'!R46</f>
        <v>4.7008848718283369E-2</v>
      </c>
      <c r="S281" s="329">
        <f>'Tourism Medium DB-LCU'!S46</f>
        <v>1.3441618798167188E-2</v>
      </c>
      <c r="T281" s="286"/>
      <c r="U281" s="286"/>
      <c r="V281" s="290"/>
      <c r="X281"/>
      <c r="Y281"/>
      <c r="Z281"/>
    </row>
    <row r="282" spans="1:26" s="1" customFormat="1">
      <c r="A282" s="284"/>
      <c r="B282" s="285"/>
      <c r="C282" s="285"/>
      <c r="D282" s="284"/>
      <c r="E282" s="286"/>
      <c r="F282" s="286"/>
      <c r="G282" s="286"/>
      <c r="H282" s="21"/>
      <c r="I282" s="21">
        <f t="shared" ref="I282:Q282" si="227">I281/H281-1</f>
        <v>-2.0463977865276206E-2</v>
      </c>
      <c r="J282" s="21">
        <f t="shared" si="227"/>
        <v>0.18817560594044358</v>
      </c>
      <c r="K282" s="21">
        <f t="shared" si="227"/>
        <v>-1.3834028234949947E-2</v>
      </c>
      <c r="L282" s="21">
        <f t="shared" si="227"/>
        <v>4.7008848718283369E-2</v>
      </c>
      <c r="M282" s="21">
        <f t="shared" si="227"/>
        <v>-3.7943007568197906E-2</v>
      </c>
      <c r="N282" s="21">
        <f t="shared" si="227"/>
        <v>4.5513388808503308E-2</v>
      </c>
      <c r="O282" s="21">
        <f t="shared" si="227"/>
        <v>1.5386031419936996E-2</v>
      </c>
      <c r="P282" s="21">
        <f t="shared" si="227"/>
        <v>3.1012051743136926E-2</v>
      </c>
      <c r="Q282" s="21">
        <f t="shared" si="227"/>
        <v>1.5239137183789442E-2</v>
      </c>
      <c r="R282" s="293"/>
      <c r="S282" s="293"/>
      <c r="T282" s="284"/>
      <c r="U282" s="285"/>
      <c r="V282" s="285"/>
      <c r="X282"/>
      <c r="Y282"/>
      <c r="Z282"/>
    </row>
    <row r="283" spans="1:26" s="1" customFormat="1">
      <c r="A283" s="284"/>
      <c r="B283" s="285"/>
      <c r="C283" s="284"/>
      <c r="D283" s="286"/>
      <c r="E283" s="286"/>
      <c r="F283" s="284"/>
      <c r="G283" s="284"/>
      <c r="H283" s="287"/>
      <c r="I283" s="287"/>
      <c r="J283" s="287"/>
      <c r="K283" s="287"/>
      <c r="L283" s="287"/>
      <c r="M283" s="287"/>
      <c r="N283" s="287"/>
      <c r="O283" s="287"/>
      <c r="P283" s="287"/>
      <c r="Q283" s="287"/>
      <c r="R283" s="288"/>
      <c r="S283" s="288"/>
      <c r="T283" s="284"/>
      <c r="U283" s="285"/>
      <c r="V283" s="284"/>
      <c r="X283"/>
      <c r="Y283"/>
      <c r="Z283"/>
    </row>
    <row r="285" spans="1:26" s="1" customFormat="1">
      <c r="A285" s="6"/>
      <c r="B285" s="6"/>
      <c r="C285" s="23"/>
      <c r="D285" s="316" t="s">
        <v>433</v>
      </c>
      <c r="E285" s="6"/>
      <c r="F285" s="6"/>
      <c r="G285" s="6"/>
      <c r="H285" s="269"/>
      <c r="I285" s="269"/>
      <c r="J285" s="269"/>
      <c r="K285" s="269"/>
      <c r="L285" s="269"/>
      <c r="M285" s="269"/>
      <c r="N285" s="269"/>
      <c r="O285" s="269"/>
      <c r="P285" s="269"/>
      <c r="Q285" s="269"/>
      <c r="R285" s="278"/>
      <c r="S285" s="278"/>
      <c r="T285" s="6"/>
      <c r="U285" s="6"/>
      <c r="V285" s="6"/>
      <c r="X285"/>
      <c r="Y285"/>
      <c r="Z285"/>
    </row>
    <row r="286" spans="1:26" s="1" customFormat="1">
      <c r="A286" s="6"/>
      <c r="B286" s="6"/>
      <c r="C286" s="6"/>
      <c r="D286" s="6"/>
      <c r="E286" s="23" t="s">
        <v>791</v>
      </c>
      <c r="F286" s="15" t="s">
        <v>434</v>
      </c>
      <c r="G286" s="15">
        <v>463.625</v>
      </c>
      <c r="H286" s="269">
        <v>486.61200000000002</v>
      </c>
      <c r="I286" s="269">
        <v>406.41199999999998</v>
      </c>
      <c r="J286" s="269">
        <v>462.46</v>
      </c>
      <c r="K286" s="269">
        <v>538.62400000000002</v>
      </c>
      <c r="L286" s="269">
        <v>526.19200000000001</v>
      </c>
      <c r="M286" s="269">
        <v>576.01099999999997</v>
      </c>
      <c r="N286" s="269">
        <v>602.94500000000005</v>
      </c>
      <c r="O286" s="269">
        <v>632.94399999999996</v>
      </c>
      <c r="P286" s="269">
        <v>663.83399999999995</v>
      </c>
      <c r="Q286" s="269">
        <v>696.45500000000004</v>
      </c>
      <c r="R286" t="s">
        <v>793</v>
      </c>
      <c r="S286" s="278"/>
      <c r="T286" s="6"/>
      <c r="U286" s="6"/>
      <c r="V286" s="6"/>
      <c r="X286"/>
      <c r="Y286"/>
      <c r="Z286"/>
    </row>
    <row r="287" spans="1:26" s="1" customFormat="1">
      <c r="A287" s="6"/>
      <c r="B287" s="6"/>
      <c r="C287" s="6"/>
      <c r="D287" s="6"/>
      <c r="E287" s="28" t="s">
        <v>184</v>
      </c>
      <c r="F287" s="28"/>
      <c r="G287" s="28"/>
      <c r="H287" s="29"/>
      <c r="I287" s="29">
        <f t="shared" ref="I287:P287" si="228">I286/H286-1</f>
        <v>-0.16481303379283707</v>
      </c>
      <c r="J287" s="29">
        <f t="shared" si="228"/>
        <v>0.13790931370136716</v>
      </c>
      <c r="K287" s="29">
        <f t="shared" si="228"/>
        <v>0.16469316265190503</v>
      </c>
      <c r="L287" s="29">
        <f t="shared" si="228"/>
        <v>-2.3081036121673004E-2</v>
      </c>
      <c r="M287" s="29">
        <f t="shared" si="228"/>
        <v>9.4678368352236308E-2</v>
      </c>
      <c r="N287" s="29">
        <f t="shared" si="228"/>
        <v>4.6759523689651861E-2</v>
      </c>
      <c r="O287" s="29">
        <f t="shared" si="228"/>
        <v>4.9754123510436177E-2</v>
      </c>
      <c r="P287" s="29">
        <f t="shared" si="228"/>
        <v>4.8803685634116079E-2</v>
      </c>
      <c r="Q287" s="29">
        <f>Q286/P286-1</f>
        <v>4.9140297122473475E-2</v>
      </c>
      <c r="R287" s="278"/>
      <c r="S287" s="278"/>
      <c r="T287" s="6"/>
      <c r="U287" s="6"/>
      <c r="V287" s="6"/>
      <c r="X287"/>
      <c r="Y287"/>
      <c r="Z287"/>
    </row>
    <row r="288" spans="1:26" s="1" customFormat="1" ht="23.25" customHeight="1">
      <c r="A288" s="6"/>
      <c r="B288" s="6"/>
      <c r="C288" s="6"/>
      <c r="D288" s="6"/>
      <c r="E288" s="25" t="s">
        <v>794</v>
      </c>
      <c r="F288" s="15" t="s">
        <v>434</v>
      </c>
      <c r="G288" s="15"/>
      <c r="H288" s="269">
        <f>FORECAST(H286,I288:K288,I286:K286)</f>
        <v>243265.6213799479</v>
      </c>
      <c r="I288" s="269">
        <v>209746.7</v>
      </c>
      <c r="J288" s="637">
        <v>229862.9</v>
      </c>
      <c r="K288" s="637">
        <v>267252.2</v>
      </c>
      <c r="L288" s="637">
        <v>265907.5</v>
      </c>
      <c r="M288" s="637">
        <v>272054.09999999998</v>
      </c>
      <c r="N288" s="317">
        <f t="shared" ref="N288:P288" si="229">FORECAST(N286,L288:M288,L286:M286)</f>
        <v>275377.1800377366</v>
      </c>
      <c r="O288" s="317">
        <f t="shared" si="229"/>
        <v>279078.41557839373</v>
      </c>
      <c r="P288" s="317">
        <f t="shared" si="229"/>
        <v>282889.58147895371</v>
      </c>
      <c r="Q288" s="317">
        <f>FORECAST(Q286,O288:P288,O286:P286)</f>
        <v>286914.31578915659</v>
      </c>
      <c r="R288" t="s">
        <v>792</v>
      </c>
      <c r="S288" s="278"/>
      <c r="T288" s="6"/>
      <c r="U288" s="6"/>
      <c r="V288" s="6"/>
      <c r="X288"/>
      <c r="Y288"/>
      <c r="Z288"/>
    </row>
    <row r="289" spans="1:26" s="1" customFormat="1" ht="23.25" customHeight="1">
      <c r="A289" s="6"/>
      <c r="B289" s="6"/>
      <c r="C289" s="6"/>
      <c r="D289" s="6"/>
      <c r="E289" s="28" t="s">
        <v>184</v>
      </c>
      <c r="F289" s="28"/>
      <c r="G289" s="28"/>
      <c r="H289" s="29"/>
      <c r="I289" s="29">
        <f t="shared" ref="I289:P289" si="230">I288/H288-1</f>
        <v>-0.13778733381975039</v>
      </c>
      <c r="J289" s="29">
        <f t="shared" si="230"/>
        <v>9.5907110815092622E-2</v>
      </c>
      <c r="K289" s="29">
        <f t="shared" si="230"/>
        <v>0.16265913290052469</v>
      </c>
      <c r="L289" s="29">
        <f t="shared" si="230"/>
        <v>-5.0315769149890111E-3</v>
      </c>
      <c r="M289" s="29">
        <f t="shared" si="230"/>
        <v>2.3115557101623496E-2</v>
      </c>
      <c r="N289" s="29">
        <f t="shared" si="230"/>
        <v>1.221477653796299E-2</v>
      </c>
      <c r="O289" s="29">
        <f t="shared" si="230"/>
        <v>1.3440603684553354E-2</v>
      </c>
      <c r="P289" s="29">
        <f t="shared" si="230"/>
        <v>1.3656254614536456E-2</v>
      </c>
      <c r="Q289" s="29">
        <f>Q288/P288-1</f>
        <v>1.422722706563273E-2</v>
      </c>
      <c r="R289" s="278"/>
      <c r="S289" s="278"/>
      <c r="T289" s="6"/>
      <c r="U289" s="6"/>
      <c r="V289" s="6"/>
      <c r="X289"/>
      <c r="Y289"/>
      <c r="Z289"/>
    </row>
    <row r="290" spans="1:26" s="1" customFormat="1" ht="23.25" customHeight="1">
      <c r="A290" s="6"/>
      <c r="B290" s="6"/>
      <c r="C290" s="6"/>
      <c r="D290" s="6"/>
      <c r="E290" s="25" t="s">
        <v>795</v>
      </c>
      <c r="F290" s="15" t="s">
        <v>434</v>
      </c>
      <c r="G290" s="15">
        <v>0.33600000000000002</v>
      </c>
      <c r="H290" s="269">
        <v>0.35599999999999998</v>
      </c>
      <c r="I290" s="269">
        <v>0.317</v>
      </c>
      <c r="J290" s="269">
        <v>0.34799999999999998</v>
      </c>
      <c r="K290" s="269">
        <v>0.40300000000000002</v>
      </c>
      <c r="L290" s="269">
        <v>0.39500000000000002</v>
      </c>
      <c r="M290" s="269">
        <v>0.40799999999999997</v>
      </c>
      <c r="N290" s="269">
        <v>0.42299999999999999</v>
      </c>
      <c r="O290" s="269">
        <v>0.435</v>
      </c>
      <c r="P290" s="269">
        <v>0.44800000000000001</v>
      </c>
      <c r="Q290" s="269">
        <v>0.46</v>
      </c>
      <c r="R290" s="278"/>
      <c r="S290" s="278"/>
      <c r="T290" s="6"/>
      <c r="U290" s="6"/>
      <c r="V290" s="6"/>
      <c r="X290"/>
      <c r="Y290"/>
      <c r="Z290"/>
    </row>
    <row r="291" spans="1:26" s="1" customFormat="1" ht="23.25" customHeight="1">
      <c r="A291" s="6"/>
      <c r="B291" s="6"/>
      <c r="C291" s="6"/>
      <c r="D291" s="6"/>
      <c r="E291" s="28" t="s">
        <v>184</v>
      </c>
      <c r="F291" s="28"/>
      <c r="G291" s="28"/>
      <c r="H291" s="29"/>
      <c r="I291" s="29">
        <f t="shared" ref="I291:P291" si="231">I290/H290-1</f>
        <v>-0.1095505617977528</v>
      </c>
      <c r="J291" s="29">
        <f t="shared" si="231"/>
        <v>9.7791798107255357E-2</v>
      </c>
      <c r="K291" s="29">
        <f t="shared" si="231"/>
        <v>0.15804597701149437</v>
      </c>
      <c r="L291" s="29">
        <f t="shared" si="231"/>
        <v>-1.9851116625310139E-2</v>
      </c>
      <c r="M291" s="29">
        <f t="shared" si="231"/>
        <v>3.2911392405063244E-2</v>
      </c>
      <c r="N291" s="29">
        <f t="shared" si="231"/>
        <v>3.6764705882353033E-2</v>
      </c>
      <c r="O291" s="29">
        <f t="shared" si="231"/>
        <v>2.8368794326241176E-2</v>
      </c>
      <c r="P291" s="29">
        <f t="shared" si="231"/>
        <v>2.9885057471264354E-2</v>
      </c>
      <c r="Q291" s="29">
        <f>Q290/P290-1</f>
        <v>2.6785714285714413E-2</v>
      </c>
      <c r="R291" s="278"/>
      <c r="S291" s="278"/>
      <c r="T291" s="6"/>
      <c r="U291" s="6"/>
      <c r="V291" s="6"/>
      <c r="X291"/>
      <c r="Y291"/>
      <c r="Z291"/>
    </row>
    <row r="292" spans="1:26" s="1" customFormat="1" ht="23.25" customHeight="1">
      <c r="A292" s="6"/>
      <c r="B292" s="6"/>
      <c r="C292" s="6"/>
      <c r="D292" s="6"/>
      <c r="E292" s="25" t="s">
        <v>796</v>
      </c>
      <c r="F292" s="15" t="s">
        <v>434</v>
      </c>
      <c r="G292" s="15">
        <v>43.343000000000004</v>
      </c>
      <c r="H292" s="269">
        <v>46.375999999999998</v>
      </c>
      <c r="I292" s="269">
        <v>42.408999999999999</v>
      </c>
      <c r="J292" s="269">
        <v>46.771999999999998</v>
      </c>
      <c r="K292" s="269">
        <v>55.003</v>
      </c>
      <c r="L292" s="269">
        <v>56.588000000000001</v>
      </c>
      <c r="M292" s="269">
        <v>58.281999999999996</v>
      </c>
      <c r="N292" s="269">
        <v>62.168999999999997</v>
      </c>
      <c r="O292" s="269">
        <v>65.19</v>
      </c>
      <c r="P292" s="269">
        <v>68.13</v>
      </c>
      <c r="Q292" s="269">
        <v>71.046000000000006</v>
      </c>
      <c r="R292" s="278"/>
      <c r="S292" s="278"/>
      <c r="T292" s="6"/>
      <c r="U292" s="6"/>
      <c r="V292" s="6"/>
      <c r="X292"/>
      <c r="Y292"/>
      <c r="Z292"/>
    </row>
    <row r="293" spans="1:26" s="278" customFormat="1" ht="23.25" customHeight="1">
      <c r="A293" s="6"/>
      <c r="B293" s="6"/>
      <c r="C293" s="6"/>
      <c r="D293" s="6"/>
      <c r="E293" s="28" t="s">
        <v>184</v>
      </c>
      <c r="F293" s="28"/>
      <c r="G293" s="28"/>
      <c r="H293" s="29"/>
      <c r="I293" s="29">
        <f t="shared" ref="I293:P293" si="232">I292/H292-1</f>
        <v>-8.5539934448852883E-2</v>
      </c>
      <c r="J293" s="29">
        <f t="shared" si="232"/>
        <v>0.10287910585017324</v>
      </c>
      <c r="K293" s="29">
        <f t="shared" si="232"/>
        <v>0.17598135636705736</v>
      </c>
      <c r="L293" s="29">
        <f t="shared" si="232"/>
        <v>2.8816610003090659E-2</v>
      </c>
      <c r="M293" s="29">
        <f t="shared" si="232"/>
        <v>2.9935675408213624E-2</v>
      </c>
      <c r="N293" s="29">
        <f t="shared" si="232"/>
        <v>6.669297553275455E-2</v>
      </c>
      <c r="O293" s="29">
        <f t="shared" si="232"/>
        <v>4.8593350383631773E-2</v>
      </c>
      <c r="P293" s="29">
        <f t="shared" si="232"/>
        <v>4.5098941555453242E-2</v>
      </c>
      <c r="Q293" s="29">
        <f>Q292/P292-1</f>
        <v>4.2800528401585325E-2</v>
      </c>
      <c r="T293" s="6"/>
      <c r="U293" s="6"/>
      <c r="V293" s="6"/>
      <c r="W293" s="1"/>
      <c r="X293"/>
      <c r="Y293"/>
      <c r="Z293"/>
    </row>
    <row r="294" spans="1:26" s="278" customFormat="1" ht="23.25" customHeight="1">
      <c r="A294" s="6"/>
      <c r="B294" s="6"/>
      <c r="C294" s="6"/>
      <c r="D294" s="6"/>
      <c r="E294" s="25" t="s">
        <v>797</v>
      </c>
      <c r="F294" s="15" t="s">
        <v>434</v>
      </c>
      <c r="G294" s="15">
        <v>2.5579999999999998</v>
      </c>
      <c r="H294" s="269">
        <v>2.9830000000000001</v>
      </c>
      <c r="I294" s="269">
        <v>2.0310000000000001</v>
      </c>
      <c r="J294" s="269">
        <v>2.5499999999999998</v>
      </c>
      <c r="K294" s="269">
        <v>2.7930000000000001</v>
      </c>
      <c r="L294" s="269">
        <v>2.9889999999999999</v>
      </c>
      <c r="M294" s="269">
        <v>2.9590000000000001</v>
      </c>
      <c r="N294" s="269">
        <v>3.165</v>
      </c>
      <c r="O294" s="269">
        <v>3.32</v>
      </c>
      <c r="P294" s="269">
        <v>3.5129999999999999</v>
      </c>
      <c r="Q294" s="269">
        <v>3.6440000000000001</v>
      </c>
      <c r="T294" s="6"/>
      <c r="U294" s="6"/>
      <c r="V294" s="6"/>
      <c r="W294" s="1"/>
      <c r="X294"/>
      <c r="Y294"/>
      <c r="Z294"/>
    </row>
    <row r="295" spans="1:26" s="278" customFormat="1" ht="23.25" customHeight="1">
      <c r="A295" s="6"/>
      <c r="B295" s="6"/>
      <c r="C295" s="25"/>
      <c r="D295" s="6"/>
      <c r="E295" s="28" t="s">
        <v>184</v>
      </c>
      <c r="F295" s="28"/>
      <c r="G295" s="28"/>
      <c r="H295" s="29"/>
      <c r="I295" s="29">
        <f t="shared" ref="I295:P295" si="233">I294/H294-1</f>
        <v>-0.31914180355346966</v>
      </c>
      <c r="J295" s="29">
        <f t="shared" si="233"/>
        <v>0.25553914327917271</v>
      </c>
      <c r="K295" s="29">
        <f t="shared" si="233"/>
        <v>9.5294117647058973E-2</v>
      </c>
      <c r="L295" s="29">
        <f t="shared" si="233"/>
        <v>7.0175438596491224E-2</v>
      </c>
      <c r="M295" s="29">
        <f t="shared" si="233"/>
        <v>-1.0036801605888157E-2</v>
      </c>
      <c r="N295" s="29">
        <f t="shared" si="233"/>
        <v>6.9618114227779637E-2</v>
      </c>
      <c r="O295" s="29">
        <f t="shared" si="233"/>
        <v>4.8973143759873494E-2</v>
      </c>
      <c r="P295" s="29">
        <f t="shared" si="233"/>
        <v>5.8132530120482029E-2</v>
      </c>
      <c r="Q295" s="29">
        <f>Q294/P294-1</f>
        <v>3.729006547110747E-2</v>
      </c>
      <c r="T295" s="6"/>
      <c r="U295" s="6"/>
      <c r="V295" s="6"/>
      <c r="W295" s="1"/>
      <c r="X295"/>
      <c r="Y295"/>
      <c r="Z295"/>
    </row>
    <row r="296" spans="1:26" s="278" customFormat="1" ht="23.25" customHeight="1">
      <c r="A296" s="6"/>
      <c r="B296" s="6"/>
      <c r="C296" s="6"/>
      <c r="D296" s="6"/>
      <c r="E296" s="25" t="s">
        <v>380</v>
      </c>
      <c r="F296" s="15" t="s">
        <v>435</v>
      </c>
      <c r="G296" s="15"/>
      <c r="H296" s="269">
        <v>2.2749999999999999</v>
      </c>
      <c r="I296" s="269">
        <v>2.2789999999999999</v>
      </c>
      <c r="J296" s="317">
        <f>FORECAST(J288,H296:I296,H288:I288)</f>
        <v>2.2765994215599035</v>
      </c>
      <c r="K296" s="317">
        <f t="shared" ref="K296:Q296" si="234">FORECAST(K288,H296:J296,H288:J288)</f>
        <v>2.2721375476736672</v>
      </c>
      <c r="L296" s="317">
        <f t="shared" si="234"/>
        <v>2.2722980182311483</v>
      </c>
      <c r="M296" s="317">
        <f t="shared" si="234"/>
        <v>2.2715645101411561</v>
      </c>
      <c r="N296" s="317">
        <f t="shared" si="234"/>
        <v>2.271167948449917</v>
      </c>
      <c r="O296" s="317">
        <f t="shared" si="234"/>
        <v>2.2707262593515471</v>
      </c>
      <c r="P296" s="317">
        <f t="shared" si="234"/>
        <v>2.2702714516496694</v>
      </c>
      <c r="Q296" s="317">
        <f t="shared" si="234"/>
        <v>2.2697911576372718</v>
      </c>
      <c r="T296" s="6"/>
      <c r="U296" s="6"/>
      <c r="V296" s="6"/>
      <c r="W296" s="1"/>
      <c r="X296"/>
      <c r="Y296"/>
      <c r="Z296"/>
    </row>
    <row r="297" spans="1:26" s="278" customFormat="1" ht="23.25" customHeight="1">
      <c r="A297" s="6"/>
      <c r="B297" s="6"/>
      <c r="C297" s="6"/>
      <c r="D297" s="6"/>
      <c r="E297" s="28" t="s">
        <v>184</v>
      </c>
      <c r="F297" s="28"/>
      <c r="G297" s="28"/>
      <c r="H297" s="29"/>
      <c r="I297" s="29">
        <f t="shared" ref="I297:P297" si="235">I296/H296-1</f>
        <v>1.7582417582417964E-3</v>
      </c>
      <c r="J297" s="29">
        <f t="shared" si="235"/>
        <v>-1.0533472751630413E-3</v>
      </c>
      <c r="K297" s="29">
        <f t="shared" si="235"/>
        <v>-1.9598853641010772E-3</v>
      </c>
      <c r="L297" s="29">
        <f t="shared" si="235"/>
        <v>7.0625371094035216E-5</v>
      </c>
      <c r="M297" s="29">
        <f t="shared" si="235"/>
        <v>-3.2280452832644801E-4</v>
      </c>
      <c r="N297" s="29">
        <f t="shared" si="235"/>
        <v>-1.7457646017482453E-4</v>
      </c>
      <c r="O297" s="29">
        <f t="shared" si="235"/>
        <v>-1.9447663422300643E-4</v>
      </c>
      <c r="P297" s="29">
        <f t="shared" si="235"/>
        <v>-2.0029173486002527E-4</v>
      </c>
      <c r="Q297" s="29">
        <f>Q296/P296-1</f>
        <v>-2.1155796680105698E-4</v>
      </c>
      <c r="T297" s="6"/>
      <c r="U297" s="6"/>
      <c r="V297" s="6"/>
      <c r="W297" s="1"/>
      <c r="X297"/>
      <c r="Y297"/>
      <c r="Z297"/>
    </row>
    <row r="298" spans="1:26" s="278" customFormat="1" ht="23.25" customHeight="1">
      <c r="A298" s="6"/>
      <c r="B298" s="6"/>
      <c r="C298" s="6"/>
      <c r="D298" s="6"/>
      <c r="E298" s="318" t="s">
        <v>436</v>
      </c>
      <c r="F298" s="15" t="s">
        <v>434</v>
      </c>
      <c r="G298" s="15"/>
      <c r="H298" s="269">
        <v>0.70399999999999996</v>
      </c>
      <c r="I298" s="269">
        <v>0.73100000000000009</v>
      </c>
      <c r="J298" s="269">
        <v>0.80200000000000005</v>
      </c>
      <c r="K298" s="269">
        <v>0.86499999999999999</v>
      </c>
      <c r="L298" s="269">
        <v>0.91600000000000004</v>
      </c>
      <c r="M298" s="269">
        <v>1.01</v>
      </c>
      <c r="N298" s="269">
        <v>1.0870000000000002</v>
      </c>
      <c r="O298" s="269">
        <v>1.1749999999999998</v>
      </c>
      <c r="P298" s="269">
        <v>1.27</v>
      </c>
      <c r="Q298" s="278">
        <v>1.373</v>
      </c>
      <c r="T298" s="6"/>
      <c r="U298" s="6"/>
      <c r="V298" s="6"/>
      <c r="W298" s="1"/>
      <c r="X298"/>
      <c r="Y298"/>
      <c r="Z298"/>
    </row>
    <row r="299" spans="1:26" s="278" customFormat="1" ht="23.25" customHeight="1">
      <c r="A299" s="6"/>
      <c r="B299" s="6"/>
      <c r="C299" s="6"/>
      <c r="D299" s="6"/>
      <c r="E299" s="28" t="s">
        <v>184</v>
      </c>
      <c r="F299" s="28"/>
      <c r="G299" s="28"/>
      <c r="H299" s="29"/>
      <c r="I299" s="29">
        <f t="shared" ref="I299:Q299" si="236">I298/H298-1</f>
        <v>3.8352272727272929E-2</v>
      </c>
      <c r="J299" s="29">
        <f t="shared" si="236"/>
        <v>9.7127222982215988E-2</v>
      </c>
      <c r="K299" s="29">
        <f t="shared" si="236"/>
        <v>7.8553615960099687E-2</v>
      </c>
      <c r="L299" s="29">
        <f t="shared" si="236"/>
        <v>5.8959537572254472E-2</v>
      </c>
      <c r="M299" s="29">
        <f t="shared" si="236"/>
        <v>0.10262008733624461</v>
      </c>
      <c r="N299" s="29">
        <f t="shared" si="236"/>
        <v>7.6237623762376305E-2</v>
      </c>
      <c r="O299" s="29">
        <f t="shared" si="236"/>
        <v>8.0956761729530369E-2</v>
      </c>
      <c r="P299" s="29">
        <f t="shared" si="236"/>
        <v>8.0851063829787462E-2</v>
      </c>
      <c r="Q299" s="29">
        <f t="shared" si="236"/>
        <v>8.1102362204724443E-2</v>
      </c>
      <c r="T299" s="6"/>
      <c r="U299" s="6"/>
      <c r="V299" s="6"/>
      <c r="W299" s="1"/>
      <c r="X299"/>
      <c r="Y299"/>
      <c r="Z299"/>
    </row>
    <row r="300" spans="1:26" s="278" customFormat="1" ht="23.25" customHeight="1">
      <c r="A300" s="6"/>
      <c r="B300" s="6"/>
      <c r="C300" s="6"/>
      <c r="D300" s="6"/>
      <c r="E300" s="318" t="s">
        <v>417</v>
      </c>
      <c r="F300" s="15" t="s">
        <v>434</v>
      </c>
      <c r="G300" s="15"/>
      <c r="H300" s="269">
        <v>25.683</v>
      </c>
      <c r="I300" s="269">
        <v>23.072000000000003</v>
      </c>
      <c r="J300" s="269">
        <v>23.113999999999997</v>
      </c>
      <c r="K300" s="269">
        <v>24.317999999999998</v>
      </c>
      <c r="L300" s="269">
        <v>24.58</v>
      </c>
      <c r="M300" s="269">
        <v>26.677999999999997</v>
      </c>
      <c r="N300" s="269">
        <v>28.938000000000002</v>
      </c>
      <c r="O300" s="269">
        <v>31.326000000000001</v>
      </c>
      <c r="P300" s="269">
        <v>33.799999999999997</v>
      </c>
      <c r="Q300" s="278">
        <v>36.474000000000004</v>
      </c>
      <c r="T300" s="6"/>
      <c r="U300" s="6"/>
      <c r="V300" s="6"/>
      <c r="W300" s="1"/>
      <c r="X300"/>
      <c r="Y300"/>
      <c r="Z300"/>
    </row>
    <row r="301" spans="1:26" s="278" customFormat="1" ht="23.25" customHeight="1">
      <c r="A301" s="6"/>
      <c r="B301" s="6"/>
      <c r="C301" s="6"/>
      <c r="D301" s="6"/>
      <c r="E301" s="28" t="s">
        <v>184</v>
      </c>
      <c r="F301" s="28"/>
      <c r="G301" s="28"/>
      <c r="H301" s="29"/>
      <c r="I301" s="29">
        <f t="shared" ref="I301:Q301" si="237">I300/H300-1</f>
        <v>-0.10166257835922587</v>
      </c>
      <c r="J301" s="29">
        <f t="shared" si="237"/>
        <v>1.820388349514257E-3</v>
      </c>
      <c r="K301" s="29">
        <f t="shared" si="237"/>
        <v>5.2089642640823719E-2</v>
      </c>
      <c r="L301" s="29">
        <f t="shared" si="237"/>
        <v>1.0773912328316593E-2</v>
      </c>
      <c r="M301" s="29">
        <f t="shared" si="237"/>
        <v>8.5353946297803018E-2</v>
      </c>
      <c r="N301" s="29">
        <f t="shared" si="237"/>
        <v>8.4713996551465831E-2</v>
      </c>
      <c r="O301" s="29">
        <f t="shared" si="237"/>
        <v>8.2521252332573125E-2</v>
      </c>
      <c r="P301" s="29">
        <f t="shared" si="237"/>
        <v>7.8975930536933969E-2</v>
      </c>
      <c r="Q301" s="29">
        <f t="shared" si="237"/>
        <v>7.9112426035503169E-2</v>
      </c>
      <c r="T301" s="6"/>
      <c r="U301" s="6"/>
      <c r="V301" s="6"/>
      <c r="W301" s="1"/>
      <c r="X301"/>
      <c r="Y301"/>
      <c r="Z301"/>
    </row>
    <row r="302" spans="1:26" s="278" customFormat="1" ht="23.25" customHeight="1">
      <c r="A302" s="6"/>
      <c r="B302" s="6"/>
      <c r="C302" s="6"/>
      <c r="D302" s="6"/>
      <c r="E302" s="318" t="s">
        <v>437</v>
      </c>
      <c r="F302" s="15" t="s">
        <v>434</v>
      </c>
      <c r="G302" s="15"/>
      <c r="H302" s="269">
        <v>152.797</v>
      </c>
      <c r="I302" s="269">
        <v>148.35000000000002</v>
      </c>
      <c r="J302" s="269">
        <v>159.75799999999998</v>
      </c>
      <c r="K302" s="269">
        <v>163.87299999999999</v>
      </c>
      <c r="L302" s="269">
        <v>168.92599999999999</v>
      </c>
      <c r="M302" s="269">
        <v>183.405</v>
      </c>
      <c r="N302" s="269">
        <v>198.173</v>
      </c>
      <c r="O302" s="269">
        <v>213.91200000000001</v>
      </c>
      <c r="P302" s="269">
        <v>231.333</v>
      </c>
      <c r="Q302" s="269">
        <v>249.52199999999999</v>
      </c>
      <c r="T302" s="6"/>
      <c r="U302" s="6"/>
      <c r="V302" s="6"/>
      <c r="W302" s="1"/>
      <c r="X302"/>
      <c r="Y302"/>
      <c r="Z302"/>
    </row>
    <row r="303" spans="1:26" s="278" customFormat="1" ht="23.25" customHeight="1">
      <c r="A303" s="6"/>
      <c r="B303" s="6"/>
      <c r="C303" s="6"/>
      <c r="D303" s="6"/>
      <c r="E303" s="28" t="s">
        <v>184</v>
      </c>
      <c r="F303" s="28"/>
      <c r="G303" s="28"/>
      <c r="H303" s="29"/>
      <c r="I303" s="29">
        <f t="shared" ref="I303:Q303" si="238">I302/H302-1</f>
        <v>-2.910397455447411E-2</v>
      </c>
      <c r="J303" s="29">
        <f t="shared" si="238"/>
        <v>7.6899224806201261E-2</v>
      </c>
      <c r="K303" s="29">
        <f t="shared" si="238"/>
        <v>2.5757708534158041E-2</v>
      </c>
      <c r="L303" s="29">
        <f t="shared" si="238"/>
        <v>3.0834853819726282E-2</v>
      </c>
      <c r="M303" s="29">
        <f t="shared" si="238"/>
        <v>8.5712086949315092E-2</v>
      </c>
      <c r="N303" s="29">
        <f t="shared" si="238"/>
        <v>8.052125078378447E-2</v>
      </c>
      <c r="O303" s="29">
        <f t="shared" si="238"/>
        <v>7.9420506325281526E-2</v>
      </c>
      <c r="P303" s="29">
        <f t="shared" si="238"/>
        <v>8.1440031414787395E-2</v>
      </c>
      <c r="Q303" s="29">
        <f t="shared" si="238"/>
        <v>7.8626914448003404E-2</v>
      </c>
      <c r="T303" s="6"/>
      <c r="U303" s="6"/>
      <c r="V303" s="6"/>
      <c r="W303" s="1"/>
      <c r="X303"/>
      <c r="Y303"/>
      <c r="Z303"/>
    </row>
    <row r="304" spans="1:26" s="278" customFormat="1" ht="23.25" customHeight="1">
      <c r="A304" s="6"/>
      <c r="B304" s="6"/>
      <c r="C304" s="6"/>
      <c r="D304" s="6"/>
      <c r="E304" s="319" t="s">
        <v>438</v>
      </c>
      <c r="F304" s="15" t="s">
        <v>434</v>
      </c>
      <c r="G304" s="15"/>
      <c r="H304" s="269">
        <v>11.117999999999999</v>
      </c>
      <c r="I304" s="269">
        <v>12.135999999999999</v>
      </c>
      <c r="J304" s="269">
        <v>13.936999999999999</v>
      </c>
      <c r="K304" s="269">
        <v>16.180999999999997</v>
      </c>
      <c r="L304" s="269">
        <v>17.241</v>
      </c>
      <c r="M304" s="269">
        <v>17.585000000000001</v>
      </c>
      <c r="N304" s="269">
        <v>18.826000000000001</v>
      </c>
      <c r="O304" s="269">
        <v>20.422000000000001</v>
      </c>
      <c r="P304" s="269">
        <v>22.306000000000001</v>
      </c>
      <c r="Q304" s="269">
        <v>24.429000000000002</v>
      </c>
      <c r="T304" s="6"/>
      <c r="U304" s="6"/>
      <c r="V304" s="6"/>
      <c r="W304" s="1"/>
      <c r="X304"/>
      <c r="Y304"/>
      <c r="Z304"/>
    </row>
    <row r="305" spans="1:26" s="278" customFormat="1" ht="23.25" customHeight="1">
      <c r="A305" s="6"/>
      <c r="B305" s="6"/>
      <c r="C305" s="6"/>
      <c r="D305" s="6"/>
      <c r="E305" s="28" t="s">
        <v>184</v>
      </c>
      <c r="F305" s="28"/>
      <c r="G305" s="28"/>
      <c r="H305" s="29"/>
      <c r="I305" s="29">
        <f t="shared" ref="I305:Q305" si="239">I304/H304-1</f>
        <v>9.1563230796906092E-2</v>
      </c>
      <c r="J305" s="29">
        <f t="shared" si="239"/>
        <v>0.14840145023071849</v>
      </c>
      <c r="K305" s="29">
        <f t="shared" si="239"/>
        <v>0.16101026045777411</v>
      </c>
      <c r="L305" s="29">
        <f t="shared" si="239"/>
        <v>6.5508930226809481E-2</v>
      </c>
      <c r="M305" s="29">
        <f t="shared" si="239"/>
        <v>1.9952438953656948E-2</v>
      </c>
      <c r="N305" s="29">
        <f t="shared" si="239"/>
        <v>7.057150980949678E-2</v>
      </c>
      <c r="O305" s="29">
        <f t="shared" si="239"/>
        <v>8.4776373101030478E-2</v>
      </c>
      <c r="P305" s="29">
        <f t="shared" si="239"/>
        <v>9.2253452159435811E-2</v>
      </c>
      <c r="Q305" s="29">
        <f t="shared" si="239"/>
        <v>9.5176185779610956E-2</v>
      </c>
      <c r="T305" s="6"/>
      <c r="U305" s="6"/>
      <c r="V305" s="6"/>
      <c r="W305" s="1"/>
      <c r="X305"/>
      <c r="Y305"/>
      <c r="Z305"/>
    </row>
    <row r="306" spans="1:26" s="278" customFormat="1" ht="23.25" customHeight="1">
      <c r="A306" s="6"/>
      <c r="B306" s="6"/>
      <c r="C306" s="6"/>
      <c r="D306" s="6"/>
      <c r="E306" s="319" t="s">
        <v>420</v>
      </c>
      <c r="F306" s="15" t="s">
        <v>434</v>
      </c>
      <c r="G306" s="15"/>
      <c r="H306" s="269">
        <v>197.709</v>
      </c>
      <c r="I306" s="269">
        <v>192.95999999999998</v>
      </c>
      <c r="J306" s="269">
        <v>195.06300000000002</v>
      </c>
      <c r="K306" s="269">
        <v>223.23400000000001</v>
      </c>
      <c r="L306" s="269">
        <v>243.66800000000001</v>
      </c>
      <c r="M306" s="269">
        <v>266.69600000000003</v>
      </c>
      <c r="N306" s="269">
        <v>296.78199999999998</v>
      </c>
      <c r="O306" s="269">
        <v>328.32</v>
      </c>
      <c r="P306" s="269">
        <v>365.58799999999997</v>
      </c>
      <c r="Q306" s="269">
        <v>407.94900000000001</v>
      </c>
      <c r="T306" s="6"/>
      <c r="U306" s="6"/>
      <c r="V306" s="6"/>
      <c r="W306" s="1"/>
      <c r="X306"/>
      <c r="Y306"/>
      <c r="Z306"/>
    </row>
    <row r="307" spans="1:26" s="278" customFormat="1" ht="23.25" customHeight="1">
      <c r="A307" s="6"/>
      <c r="B307" s="6"/>
      <c r="C307" s="6"/>
      <c r="D307" s="6"/>
      <c r="E307" s="28" t="s">
        <v>184</v>
      </c>
      <c r="F307" s="28"/>
      <c r="G307" s="28"/>
      <c r="H307" s="29"/>
      <c r="I307" s="29">
        <f t="shared" ref="I307:Q307" si="240">I306/H306-1</f>
        <v>-2.402015082773179E-2</v>
      </c>
      <c r="J307" s="29">
        <f t="shared" si="240"/>
        <v>1.0898631840796202E-2</v>
      </c>
      <c r="K307" s="29">
        <f t="shared" si="240"/>
        <v>0.14442000789488518</v>
      </c>
      <c r="L307" s="29">
        <f t="shared" si="240"/>
        <v>9.1536235519678932E-2</v>
      </c>
      <c r="M307" s="29">
        <f t="shared" si="240"/>
        <v>9.4505638820033822E-2</v>
      </c>
      <c r="N307" s="29">
        <f t="shared" si="240"/>
        <v>0.11281009089000182</v>
      </c>
      <c r="O307" s="29">
        <f t="shared" si="240"/>
        <v>0.1062665525537263</v>
      </c>
      <c r="P307" s="29">
        <f t="shared" si="240"/>
        <v>0.11351120857699804</v>
      </c>
      <c r="Q307" s="29">
        <f t="shared" si="240"/>
        <v>0.11587087103515437</v>
      </c>
      <c r="T307" s="6"/>
      <c r="U307" s="6"/>
      <c r="V307" s="6"/>
      <c r="W307" s="1"/>
      <c r="X307"/>
      <c r="Y307"/>
      <c r="Z307"/>
    </row>
    <row r="308" spans="1:26" s="278" customFormat="1" ht="23.25" customHeight="1">
      <c r="A308" s="6"/>
      <c r="B308" s="6"/>
      <c r="C308" s="6"/>
      <c r="D308" s="6"/>
      <c r="E308" s="319" t="s">
        <v>439</v>
      </c>
      <c r="F308" s="15" t="s">
        <v>434</v>
      </c>
      <c r="G308" s="15"/>
      <c r="H308" s="357">
        <v>1251.884</v>
      </c>
      <c r="I308" s="357">
        <v>1287.944</v>
      </c>
      <c r="J308" s="357">
        <v>1419.5309999999999</v>
      </c>
      <c r="K308" s="357">
        <v>1599.1679999999999</v>
      </c>
      <c r="L308" s="357">
        <v>1739.731</v>
      </c>
      <c r="M308" s="357">
        <v>1863.857</v>
      </c>
      <c r="N308" s="357">
        <v>2056.2370000000001</v>
      </c>
      <c r="O308" s="357">
        <v>2274.0330000000004</v>
      </c>
      <c r="P308" s="357">
        <v>2519.828</v>
      </c>
      <c r="Q308" s="357">
        <v>2799.3510000000001</v>
      </c>
      <c r="T308" s="6"/>
      <c r="U308" s="6"/>
      <c r="V308" s="6"/>
      <c r="W308" s="1"/>
      <c r="X308"/>
      <c r="Y308"/>
      <c r="Z308"/>
    </row>
    <row r="309" spans="1:26" s="278" customFormat="1" ht="23.25" customHeight="1">
      <c r="A309" s="6"/>
      <c r="B309" s="6"/>
      <c r="C309" s="6"/>
      <c r="D309" s="6"/>
      <c r="E309" s="28" t="s">
        <v>184</v>
      </c>
      <c r="F309" s="28"/>
      <c r="G309" s="28"/>
      <c r="H309" s="29"/>
      <c r="I309" s="29">
        <f t="shared" ref="I309:Q309" si="241">I308/H308-1</f>
        <v>2.8804585728390064E-2</v>
      </c>
      <c r="J309" s="29">
        <f t="shared" si="241"/>
        <v>0.1021682619741231</v>
      </c>
      <c r="K309" s="29">
        <f t="shared" si="241"/>
        <v>0.12654672564389213</v>
      </c>
      <c r="L309" s="29">
        <f t="shared" si="241"/>
        <v>8.7897581742506281E-2</v>
      </c>
      <c r="M309" s="29">
        <f t="shared" si="241"/>
        <v>7.134781181688421E-2</v>
      </c>
      <c r="N309" s="29">
        <f t="shared" si="241"/>
        <v>0.10321607290688073</v>
      </c>
      <c r="O309" s="29">
        <f t="shared" si="241"/>
        <v>0.10591969699990811</v>
      </c>
      <c r="P309" s="29">
        <f t="shared" si="241"/>
        <v>0.10808770145376068</v>
      </c>
      <c r="Q309" s="29">
        <f t="shared" si="241"/>
        <v>0.1109293967683509</v>
      </c>
      <c r="T309" s="6"/>
      <c r="U309" s="6"/>
      <c r="V309" s="6"/>
      <c r="W309" s="1"/>
      <c r="X309"/>
      <c r="Y309"/>
      <c r="Z309"/>
    </row>
    <row r="310" spans="1:26" s="278" customFormat="1" ht="23.25" customHeight="1">
      <c r="A310" s="6"/>
      <c r="B310" s="6"/>
      <c r="C310" s="6"/>
      <c r="D310" s="6"/>
      <c r="E310" s="320" t="s">
        <v>440</v>
      </c>
      <c r="F310" s="15" t="s">
        <v>434</v>
      </c>
      <c r="G310" s="15"/>
      <c r="H310" s="269">
        <v>33.253999999999998</v>
      </c>
      <c r="I310" s="269">
        <v>32.131</v>
      </c>
      <c r="J310" s="269">
        <v>31.669</v>
      </c>
      <c r="K310" s="269">
        <v>33.886000000000003</v>
      </c>
      <c r="L310" s="269">
        <v>31.597999999999999</v>
      </c>
      <c r="M310" s="269">
        <v>33.417999999999999</v>
      </c>
      <c r="N310" s="269">
        <v>33.224000000000004</v>
      </c>
      <c r="O310" s="269">
        <v>33.701000000000001</v>
      </c>
      <c r="P310" s="269">
        <v>34.899000000000001</v>
      </c>
      <c r="Q310" s="269">
        <v>36.314999999999998</v>
      </c>
      <c r="T310" s="6"/>
      <c r="U310" s="6"/>
      <c r="V310" s="6"/>
      <c r="W310" s="1"/>
      <c r="X310"/>
      <c r="Y310"/>
      <c r="Z310"/>
    </row>
    <row r="311" spans="1:26" s="278" customFormat="1" ht="23.25" customHeight="1">
      <c r="A311" s="6"/>
      <c r="B311" s="6"/>
      <c r="C311" s="6"/>
      <c r="D311" s="6"/>
      <c r="E311" s="28" t="s">
        <v>184</v>
      </c>
      <c r="F311" s="28"/>
      <c r="G311" s="28"/>
      <c r="H311" s="29"/>
      <c r="I311" s="29">
        <f t="shared" ref="I311:Q311" si="242">I310/H310-1</f>
        <v>-3.3770373488903549E-2</v>
      </c>
      <c r="J311" s="29">
        <f t="shared" si="242"/>
        <v>-1.4378637452927112E-2</v>
      </c>
      <c r="K311" s="29">
        <f t="shared" si="242"/>
        <v>7.0005368025513937E-2</v>
      </c>
      <c r="L311" s="29">
        <f t="shared" si="242"/>
        <v>-6.7520509945110163E-2</v>
      </c>
      <c r="M311" s="29">
        <f t="shared" si="242"/>
        <v>5.7598582188746139E-2</v>
      </c>
      <c r="N311" s="29">
        <f t="shared" si="242"/>
        <v>-5.8052546531808247E-3</v>
      </c>
      <c r="O311" s="29">
        <f t="shared" si="242"/>
        <v>1.435709125933049E-2</v>
      </c>
      <c r="P311" s="29">
        <f t="shared" si="242"/>
        <v>3.554790659030882E-2</v>
      </c>
      <c r="Q311" s="29">
        <f t="shared" si="242"/>
        <v>4.0574228487922248E-2</v>
      </c>
      <c r="T311" s="6"/>
      <c r="U311" s="6"/>
      <c r="V311" s="6"/>
      <c r="W311" s="1"/>
      <c r="X311"/>
      <c r="Y311"/>
      <c r="Z311"/>
    </row>
    <row r="312" spans="1:26" s="278" customFormat="1" ht="23.25" customHeight="1">
      <c r="A312" s="6"/>
      <c r="B312" s="6"/>
      <c r="C312" s="6"/>
      <c r="D312" s="6"/>
      <c r="E312" s="320" t="s">
        <v>423</v>
      </c>
      <c r="F312" s="15" t="s">
        <v>434</v>
      </c>
      <c r="G312" s="15"/>
      <c r="H312" s="269">
        <v>371.84</v>
      </c>
      <c r="I312" s="269">
        <v>316.68100000000004</v>
      </c>
      <c r="J312" s="269">
        <v>316.58100000000002</v>
      </c>
      <c r="K312" s="269">
        <v>336.61599999999999</v>
      </c>
      <c r="L312" s="269">
        <v>314.31700000000001</v>
      </c>
      <c r="M312" s="269">
        <v>345.62299999999999</v>
      </c>
      <c r="N312" s="269">
        <v>358.13</v>
      </c>
      <c r="O312" s="269">
        <v>374.274</v>
      </c>
      <c r="P312" s="269">
        <v>397.93899999999996</v>
      </c>
      <c r="Q312" s="269">
        <v>423.065</v>
      </c>
      <c r="T312" s="6"/>
      <c r="U312" s="6"/>
      <c r="V312" s="6"/>
      <c r="W312" s="1"/>
      <c r="X312"/>
      <c r="Y312"/>
      <c r="Z312"/>
    </row>
    <row r="313" spans="1:26" s="278" customFormat="1" ht="23.25" customHeight="1">
      <c r="A313" s="6"/>
      <c r="B313" s="6"/>
      <c r="C313" s="6"/>
      <c r="D313" s="6"/>
      <c r="E313" s="28" t="s">
        <v>184</v>
      </c>
      <c r="F313" s="28"/>
      <c r="G313" s="28"/>
      <c r="H313" s="29"/>
      <c r="I313" s="29">
        <f t="shared" ref="I313:Q313" si="243">I312/H312-1</f>
        <v>-0.14834068416523216</v>
      </c>
      <c r="J313" s="29">
        <f t="shared" si="243"/>
        <v>-3.1577518070247113E-4</v>
      </c>
      <c r="K313" s="29">
        <f t="shared" si="243"/>
        <v>6.3285541457004602E-2</v>
      </c>
      <c r="L313" s="29">
        <f t="shared" si="243"/>
        <v>-6.6244622953157251E-2</v>
      </c>
      <c r="M313" s="29">
        <f t="shared" si="243"/>
        <v>9.960008526423958E-2</v>
      </c>
      <c r="N313" s="29">
        <f t="shared" si="243"/>
        <v>3.6186827844211678E-2</v>
      </c>
      <c r="O313" s="29">
        <f t="shared" si="243"/>
        <v>4.5078602742021134E-2</v>
      </c>
      <c r="P313" s="29">
        <f t="shared" si="243"/>
        <v>6.3229078161988195E-2</v>
      </c>
      <c r="Q313" s="29">
        <f t="shared" si="243"/>
        <v>6.314033055317525E-2</v>
      </c>
      <c r="T313" s="6"/>
      <c r="U313" s="6"/>
      <c r="V313" s="6"/>
      <c r="W313" s="1"/>
      <c r="X313"/>
      <c r="Y313"/>
      <c r="Z313"/>
    </row>
    <row r="314" spans="1:26" s="278" customFormat="1" ht="23.25" customHeight="1">
      <c r="A314" s="6"/>
      <c r="B314" s="6"/>
      <c r="C314" s="6"/>
      <c r="D314" s="6"/>
      <c r="E314" s="320" t="s">
        <v>441</v>
      </c>
      <c r="F314" s="15" t="s">
        <v>434</v>
      </c>
      <c r="G314" s="15"/>
      <c r="H314" s="357">
        <v>3311.5299999999997</v>
      </c>
      <c r="I314" s="357">
        <v>2939.2799999999997</v>
      </c>
      <c r="J314" s="357">
        <v>2881.29</v>
      </c>
      <c r="K314" s="357">
        <v>3113.2</v>
      </c>
      <c r="L314" s="357">
        <v>2900.53</v>
      </c>
      <c r="M314" s="357">
        <v>3096.13</v>
      </c>
      <c r="N314" s="357">
        <v>3132.42</v>
      </c>
      <c r="O314" s="357">
        <v>3231.65</v>
      </c>
      <c r="P314" s="357">
        <v>3386.5</v>
      </c>
      <c r="Q314" s="357">
        <v>3551.4700000000003</v>
      </c>
      <c r="T314" s="6"/>
      <c r="U314" s="6"/>
      <c r="V314" s="6"/>
      <c r="W314" s="1"/>
      <c r="X314"/>
      <c r="Y314"/>
      <c r="Z314"/>
    </row>
    <row r="315" spans="1:26" s="278" customFormat="1" ht="23.25" customHeight="1">
      <c r="A315" s="6"/>
      <c r="B315" s="6"/>
      <c r="C315" s="6"/>
      <c r="D315" s="6"/>
      <c r="E315" s="28" t="s">
        <v>184</v>
      </c>
      <c r="F315" s="28"/>
      <c r="G315" s="28"/>
      <c r="H315" s="29"/>
      <c r="I315" s="29">
        <f t="shared" ref="I315:Q315" si="244">I314/H314-1</f>
        <v>-0.11241027561278327</v>
      </c>
      <c r="J315" s="29">
        <f t="shared" si="244"/>
        <v>-1.9729321466481542E-2</v>
      </c>
      <c r="K315" s="29">
        <f t="shared" si="244"/>
        <v>8.0488253525330622E-2</v>
      </c>
      <c r="L315" s="29">
        <f t="shared" si="244"/>
        <v>-6.8312347423872377E-2</v>
      </c>
      <c r="M315" s="29">
        <f t="shared" si="244"/>
        <v>6.7435951360613311E-2</v>
      </c>
      <c r="N315" s="29">
        <f t="shared" si="244"/>
        <v>1.1721084063007758E-2</v>
      </c>
      <c r="O315" s="29">
        <f t="shared" si="244"/>
        <v>3.1678382847766251E-2</v>
      </c>
      <c r="P315" s="29">
        <f t="shared" si="244"/>
        <v>4.7916698899942656E-2</v>
      </c>
      <c r="Q315" s="29">
        <f t="shared" si="244"/>
        <v>4.8714011516314937E-2</v>
      </c>
      <c r="T315" s="6"/>
      <c r="U315" s="6"/>
      <c r="V315" s="6"/>
      <c r="W315" s="1"/>
      <c r="X315"/>
      <c r="Y315"/>
      <c r="Z315"/>
    </row>
    <row r="316" spans="1:26" s="278" customFormat="1" ht="23.25" customHeight="1">
      <c r="A316" s="6"/>
      <c r="B316" s="6"/>
      <c r="C316" s="6"/>
      <c r="D316" s="6"/>
      <c r="E316" s="321" t="s">
        <v>442</v>
      </c>
      <c r="F316" s="15" t="s">
        <v>434</v>
      </c>
      <c r="G316" s="15"/>
      <c r="H316" s="269">
        <v>1.002</v>
      </c>
      <c r="I316" s="269">
        <v>1.167</v>
      </c>
      <c r="J316" s="269">
        <v>1.244</v>
      </c>
      <c r="K316" s="269">
        <v>1.3680000000000001</v>
      </c>
      <c r="L316" s="269">
        <v>1.4690000000000001</v>
      </c>
      <c r="M316" s="269">
        <v>1.589</v>
      </c>
      <c r="N316" s="269">
        <v>1.7110000000000001</v>
      </c>
      <c r="O316" s="269">
        <v>1.8420000000000001</v>
      </c>
      <c r="P316" s="269">
        <v>1.9870000000000001</v>
      </c>
      <c r="Q316" s="269">
        <v>2.1339999999999999</v>
      </c>
      <c r="T316" s="6"/>
      <c r="U316" s="6"/>
      <c r="V316" s="6"/>
      <c r="W316" s="1"/>
      <c r="X316"/>
      <c r="Y316"/>
      <c r="Z316"/>
    </row>
    <row r="317" spans="1:26" s="278" customFormat="1" ht="23.25" customHeight="1">
      <c r="A317" s="6"/>
      <c r="B317" s="6"/>
      <c r="C317" s="6"/>
      <c r="D317" s="6"/>
      <c r="E317" s="28" t="s">
        <v>184</v>
      </c>
      <c r="F317" s="28"/>
      <c r="G317" s="28"/>
      <c r="H317" s="29"/>
      <c r="I317" s="29">
        <f t="shared" ref="I317:Q317" si="245">I316/H316-1</f>
        <v>0.16467065868263475</v>
      </c>
      <c r="J317" s="29">
        <f t="shared" si="245"/>
        <v>6.5981148243358989E-2</v>
      </c>
      <c r="K317" s="29">
        <f t="shared" si="245"/>
        <v>9.9678456591639986E-2</v>
      </c>
      <c r="L317" s="29">
        <f t="shared" si="245"/>
        <v>7.3830409356725024E-2</v>
      </c>
      <c r="M317" s="29">
        <f t="shared" si="245"/>
        <v>8.1688223281143557E-2</v>
      </c>
      <c r="N317" s="29">
        <f t="shared" si="245"/>
        <v>7.6777847702957924E-2</v>
      </c>
      <c r="O317" s="29">
        <f t="shared" si="245"/>
        <v>7.65634132086499E-2</v>
      </c>
      <c r="P317" s="29">
        <f t="shared" si="245"/>
        <v>7.871878393051035E-2</v>
      </c>
      <c r="Q317" s="29">
        <f t="shared" si="245"/>
        <v>7.398087569199796E-2</v>
      </c>
      <c r="T317" s="6"/>
      <c r="U317" s="6"/>
      <c r="V317" s="6"/>
      <c r="W317" s="1"/>
      <c r="X317"/>
      <c r="Y317"/>
      <c r="Z317"/>
    </row>
    <row r="318" spans="1:26" s="278" customFormat="1" ht="23.25" customHeight="1">
      <c r="A318" s="6"/>
      <c r="B318" s="6"/>
      <c r="C318" s="6"/>
      <c r="D318" s="6"/>
      <c r="E318" s="321" t="s">
        <v>443</v>
      </c>
      <c r="F318" s="15" t="s">
        <v>434</v>
      </c>
      <c r="G318" s="15"/>
      <c r="H318" s="269">
        <v>32.143000000000001</v>
      </c>
      <c r="I318" s="269">
        <v>28.364999999999998</v>
      </c>
      <c r="J318" s="269">
        <v>33.354999999999997</v>
      </c>
      <c r="K318" s="269">
        <v>37.902999999999999</v>
      </c>
      <c r="L318" s="269">
        <v>40.643999999999998</v>
      </c>
      <c r="M318" s="269">
        <v>44.134999999999998</v>
      </c>
      <c r="N318" s="269">
        <v>47.624000000000002</v>
      </c>
      <c r="O318" s="269">
        <v>51.506999999999998</v>
      </c>
      <c r="P318" s="269">
        <v>55.661000000000001</v>
      </c>
      <c r="Q318" s="269">
        <v>59.902000000000001</v>
      </c>
      <c r="T318" s="6"/>
      <c r="U318" s="6"/>
      <c r="V318" s="6"/>
      <c r="W318" s="1"/>
      <c r="X318"/>
      <c r="Y318"/>
      <c r="Z318"/>
    </row>
    <row r="319" spans="1:26" s="278" customFormat="1" ht="23.25" customHeight="1">
      <c r="A319" s="6"/>
      <c r="B319" s="6"/>
      <c r="C319" s="6"/>
      <c r="D319" s="6"/>
      <c r="E319" s="28" t="s">
        <v>184</v>
      </c>
      <c r="F319" s="28"/>
      <c r="G319" s="28"/>
      <c r="H319" s="29"/>
      <c r="I319" s="29">
        <f t="shared" ref="I319:Q319" si="246">I318/H318-1</f>
        <v>-0.11753725538997606</v>
      </c>
      <c r="J319" s="29">
        <f t="shared" si="246"/>
        <v>0.17592102943768717</v>
      </c>
      <c r="K319" s="29">
        <f t="shared" si="246"/>
        <v>0.13635137160845456</v>
      </c>
      <c r="L319" s="29">
        <f t="shared" si="246"/>
        <v>7.2316175500620083E-2</v>
      </c>
      <c r="M319" s="29">
        <f t="shared" si="246"/>
        <v>8.5892136600728364E-2</v>
      </c>
      <c r="N319" s="29">
        <f t="shared" si="246"/>
        <v>7.9052905857029732E-2</v>
      </c>
      <c r="O319" s="29">
        <f t="shared" si="246"/>
        <v>8.1534520409877187E-2</v>
      </c>
      <c r="P319" s="29">
        <f t="shared" si="246"/>
        <v>8.0649232143203964E-2</v>
      </c>
      <c r="Q319" s="29">
        <f t="shared" si="246"/>
        <v>7.6193384955354659E-2</v>
      </c>
      <c r="T319" s="6"/>
      <c r="U319" s="6"/>
      <c r="V319" s="6"/>
      <c r="W319" s="1"/>
      <c r="X319"/>
      <c r="Y319"/>
      <c r="Z319"/>
    </row>
    <row r="320" spans="1:26" s="278" customFormat="1" ht="23.25" customHeight="1">
      <c r="A320" s="6"/>
      <c r="B320" s="6"/>
      <c r="C320" s="6"/>
      <c r="D320" s="6"/>
      <c r="E320" s="321" t="s">
        <v>444</v>
      </c>
      <c r="F320" s="15" t="s">
        <v>434</v>
      </c>
      <c r="G320" s="15"/>
      <c r="H320" s="269">
        <v>151.27500000000001</v>
      </c>
      <c r="I320" s="269">
        <v>142.58699999999999</v>
      </c>
      <c r="J320" s="269">
        <v>160.874</v>
      </c>
      <c r="K320" s="269">
        <v>180.75899999999999</v>
      </c>
      <c r="L320" s="269">
        <v>185.22300000000001</v>
      </c>
      <c r="M320" s="269">
        <v>195.07599999999999</v>
      </c>
      <c r="N320" s="269">
        <v>209.78100000000001</v>
      </c>
      <c r="O320" s="269">
        <v>225.33600000000001</v>
      </c>
      <c r="P320" s="269">
        <v>242.06100000000001</v>
      </c>
      <c r="Q320" s="269">
        <v>259.83600000000001</v>
      </c>
      <c r="T320" s="6"/>
      <c r="U320" s="6"/>
      <c r="V320" s="6"/>
      <c r="W320" s="1"/>
      <c r="X320"/>
      <c r="Y320"/>
      <c r="Z320"/>
    </row>
    <row r="321" spans="1:26" s="278" customFormat="1" ht="23.25" customHeight="1">
      <c r="A321" s="6"/>
      <c r="B321" s="6"/>
      <c r="C321" s="6"/>
      <c r="D321" s="6"/>
      <c r="E321" s="28" t="s">
        <v>184</v>
      </c>
      <c r="F321" s="28"/>
      <c r="G321" s="28"/>
      <c r="H321" s="29"/>
      <c r="I321" s="29">
        <f t="shared" ref="I321:Q321" si="247">I320/H320-1</f>
        <v>-5.743182944967784E-2</v>
      </c>
      <c r="J321" s="29">
        <f t="shared" si="247"/>
        <v>0.12825152363118653</v>
      </c>
      <c r="K321" s="29">
        <f t="shared" si="247"/>
        <v>0.12360605194127072</v>
      </c>
      <c r="L321" s="29">
        <f t="shared" si="247"/>
        <v>2.469586576602012E-2</v>
      </c>
      <c r="M321" s="29">
        <f t="shared" si="247"/>
        <v>5.3195337512079943E-2</v>
      </c>
      <c r="N321" s="29">
        <f t="shared" si="247"/>
        <v>7.5380877196579821E-2</v>
      </c>
      <c r="O321" s="29">
        <f t="shared" si="247"/>
        <v>7.4148755130350352E-2</v>
      </c>
      <c r="P321" s="29">
        <f t="shared" si="247"/>
        <v>7.422249440835027E-2</v>
      </c>
      <c r="Q321" s="29">
        <f t="shared" si="247"/>
        <v>7.3431903528449416E-2</v>
      </c>
      <c r="T321" s="6"/>
      <c r="U321" s="6"/>
      <c r="V321" s="6"/>
      <c r="W321" s="1"/>
      <c r="X321"/>
      <c r="Y321"/>
      <c r="Z321"/>
    </row>
    <row r="322" spans="1:26" s="278" customFormat="1" ht="23.25" customHeight="1">
      <c r="A322" s="6"/>
      <c r="B322" s="6"/>
      <c r="C322" s="6"/>
      <c r="D322" s="6"/>
      <c r="E322" s="322" t="s">
        <v>445</v>
      </c>
      <c r="F322" s="15" t="s">
        <v>434</v>
      </c>
      <c r="G322" s="15"/>
      <c r="H322" s="269">
        <v>17.641999999999999</v>
      </c>
      <c r="I322" s="269">
        <v>17.861999999999998</v>
      </c>
      <c r="J322" s="269">
        <v>18.846</v>
      </c>
      <c r="K322" s="269">
        <v>19.533999999999999</v>
      </c>
      <c r="L322" s="269">
        <v>19.986000000000001</v>
      </c>
      <c r="M322" s="269">
        <v>20.718</v>
      </c>
      <c r="N322" s="269">
        <v>21.690999999999999</v>
      </c>
      <c r="O322" s="269">
        <v>22.751999999999999</v>
      </c>
      <c r="P322" s="269">
        <v>23.893000000000001</v>
      </c>
      <c r="Q322" s="269">
        <v>25.126000000000001</v>
      </c>
      <c r="T322" s="6"/>
      <c r="U322" s="6"/>
      <c r="V322" s="6"/>
      <c r="W322" s="1"/>
      <c r="X322"/>
      <c r="Y322"/>
      <c r="Z322"/>
    </row>
    <row r="323" spans="1:26" s="278" customFormat="1" ht="23.25" customHeight="1">
      <c r="A323" s="6"/>
      <c r="B323" s="6"/>
      <c r="C323" s="6"/>
      <c r="D323" s="6"/>
      <c r="E323" s="28" t="s">
        <v>184</v>
      </c>
      <c r="F323" s="28"/>
      <c r="G323" s="28"/>
      <c r="H323" s="29"/>
      <c r="I323" s="29">
        <f t="shared" ref="I323:Q323" si="248">I322/H322-1</f>
        <v>1.2470241469221044E-2</v>
      </c>
      <c r="J323" s="29">
        <f t="shared" si="248"/>
        <v>5.5089015787705753E-2</v>
      </c>
      <c r="K323" s="29">
        <f t="shared" si="248"/>
        <v>3.6506420460575173E-2</v>
      </c>
      <c r="L323" s="29">
        <f t="shared" si="248"/>
        <v>2.313914200880518E-2</v>
      </c>
      <c r="M323" s="29">
        <f t="shared" si="248"/>
        <v>3.6625637946562595E-2</v>
      </c>
      <c r="N323" s="29">
        <f t="shared" si="248"/>
        <v>4.6963992663384468E-2</v>
      </c>
      <c r="O323" s="29">
        <f t="shared" si="248"/>
        <v>4.8914296251901801E-2</v>
      </c>
      <c r="P323" s="29">
        <f t="shared" si="248"/>
        <v>5.0149437412095654E-2</v>
      </c>
      <c r="Q323" s="29">
        <f t="shared" si="248"/>
        <v>5.1605072615410474E-2</v>
      </c>
      <c r="T323" s="6"/>
      <c r="U323" s="6"/>
      <c r="V323" s="6"/>
      <c r="W323" s="1"/>
      <c r="X323"/>
      <c r="Y323"/>
      <c r="Z323"/>
    </row>
    <row r="324" spans="1:26" s="278" customFormat="1" ht="23.25" customHeight="1">
      <c r="A324" s="6"/>
      <c r="B324" s="6"/>
      <c r="C324" s="6"/>
      <c r="D324" s="6"/>
      <c r="E324" s="322" t="s">
        <v>429</v>
      </c>
      <c r="F324" s="15" t="s">
        <v>434</v>
      </c>
      <c r="G324" s="15"/>
      <c r="H324" s="269">
        <v>193.614</v>
      </c>
      <c r="I324" s="269">
        <v>165.93799999999999</v>
      </c>
      <c r="J324" s="269">
        <v>175.41</v>
      </c>
      <c r="K324" s="269">
        <v>185.74199999999999</v>
      </c>
      <c r="L324" s="269">
        <v>191.255</v>
      </c>
      <c r="M324" s="269">
        <v>206.822</v>
      </c>
      <c r="N324" s="269">
        <v>221.07900000000001</v>
      </c>
      <c r="O324" s="269">
        <v>237.67</v>
      </c>
      <c r="P324" s="269">
        <v>255.97900000000001</v>
      </c>
      <c r="Q324" s="269">
        <v>274.16399999999999</v>
      </c>
      <c r="T324" s="6"/>
      <c r="U324" s="6"/>
      <c r="V324" s="6"/>
      <c r="W324" s="1"/>
      <c r="X324"/>
      <c r="Y324"/>
      <c r="Z324"/>
    </row>
    <row r="325" spans="1:26" s="278" customFormat="1" ht="23.25" customHeight="1">
      <c r="A325" s="6"/>
      <c r="B325" s="6"/>
      <c r="C325" s="6"/>
      <c r="D325" s="6"/>
      <c r="E325" s="28" t="s">
        <v>184</v>
      </c>
      <c r="F325" s="28"/>
      <c r="G325" s="28"/>
      <c r="H325" s="29"/>
      <c r="I325" s="29">
        <f t="shared" ref="I325:Q325" si="249">I324/H324-1</f>
        <v>-0.14294420857995815</v>
      </c>
      <c r="J325" s="29">
        <f t="shared" si="249"/>
        <v>5.7081560582868285E-2</v>
      </c>
      <c r="K325" s="29">
        <f t="shared" si="249"/>
        <v>5.8902001026167161E-2</v>
      </c>
      <c r="L325" s="29">
        <f t="shared" si="249"/>
        <v>2.9680955303593271E-2</v>
      </c>
      <c r="M325" s="29">
        <f t="shared" si="249"/>
        <v>8.1393950484954791E-2</v>
      </c>
      <c r="N325" s="29">
        <f t="shared" si="249"/>
        <v>6.8933672433300064E-2</v>
      </c>
      <c r="O325" s="29">
        <f t="shared" si="249"/>
        <v>7.5045571944870382E-2</v>
      </c>
      <c r="P325" s="29">
        <f t="shared" si="249"/>
        <v>7.7035385197963713E-2</v>
      </c>
      <c r="Q325" s="29">
        <f t="shared" si="249"/>
        <v>7.1040983830704674E-2</v>
      </c>
      <c r="T325" s="6"/>
      <c r="U325" s="6"/>
      <c r="V325" s="6"/>
      <c r="W325" s="1"/>
      <c r="X325"/>
      <c r="Y325"/>
      <c r="Z325"/>
    </row>
    <row r="326" spans="1:26" s="278" customFormat="1" ht="23.25" customHeight="1">
      <c r="A326" s="6"/>
      <c r="B326" s="6"/>
      <c r="C326" s="6"/>
      <c r="D326" s="6"/>
      <c r="E326" s="322" t="s">
        <v>446</v>
      </c>
      <c r="F326" s="15" t="s">
        <v>434</v>
      </c>
      <c r="G326" s="15"/>
      <c r="H326" s="357">
        <v>1507.87</v>
      </c>
      <c r="I326" s="357">
        <v>1346.41</v>
      </c>
      <c r="J326" s="357">
        <v>1449.69</v>
      </c>
      <c r="K326" s="357">
        <v>1534.1</v>
      </c>
      <c r="L326" s="357">
        <v>1571.7</v>
      </c>
      <c r="M326" s="357">
        <v>1644.68</v>
      </c>
      <c r="N326" s="357">
        <v>1738.55</v>
      </c>
      <c r="O326" s="357">
        <v>1837.26</v>
      </c>
      <c r="P326" s="357">
        <v>1939.97</v>
      </c>
      <c r="Q326" s="357">
        <v>2045.05</v>
      </c>
      <c r="T326" s="6"/>
      <c r="U326" s="6"/>
      <c r="V326" s="6"/>
      <c r="W326" s="1"/>
      <c r="X326"/>
      <c r="Y326"/>
      <c r="Z326"/>
    </row>
    <row r="327" spans="1:26" s="278" customFormat="1" ht="23.25" customHeight="1">
      <c r="A327" s="6"/>
      <c r="B327" s="6"/>
      <c r="C327" s="6"/>
      <c r="D327" s="6"/>
      <c r="E327" s="28" t="s">
        <v>184</v>
      </c>
      <c r="F327" s="28"/>
      <c r="G327" s="28"/>
      <c r="H327" s="29"/>
      <c r="I327" s="29">
        <f t="shared" ref="I327:Q327" si="250">I326/H326-1</f>
        <v>-0.10707819639624094</v>
      </c>
      <c r="J327" s="29">
        <f t="shared" si="250"/>
        <v>7.6707689336829032E-2</v>
      </c>
      <c r="K327" s="29">
        <f t="shared" si="250"/>
        <v>5.8226241472314699E-2</v>
      </c>
      <c r="L327" s="29">
        <f t="shared" si="250"/>
        <v>2.4509484388240743E-2</v>
      </c>
      <c r="M327" s="29">
        <f t="shared" si="250"/>
        <v>4.6433797798562049E-2</v>
      </c>
      <c r="N327" s="29">
        <f t="shared" si="250"/>
        <v>5.7074932509667553E-2</v>
      </c>
      <c r="O327" s="29">
        <f t="shared" si="250"/>
        <v>5.6777199390296573E-2</v>
      </c>
      <c r="P327" s="29">
        <f t="shared" si="250"/>
        <v>5.5903900373382109E-2</v>
      </c>
      <c r="Q327" s="29">
        <f t="shared" si="250"/>
        <v>5.4165786068856692E-2</v>
      </c>
      <c r="T327" s="6"/>
      <c r="U327" s="6"/>
      <c r="V327" s="6"/>
      <c r="W327" s="1"/>
      <c r="X327"/>
      <c r="Y327"/>
      <c r="Z327"/>
    </row>
    <row r="328" spans="1:26" s="278" customFormat="1" ht="23.25" customHeight="1">
      <c r="A328" s="6"/>
      <c r="B328" s="6"/>
      <c r="C328" s="6"/>
      <c r="D328" s="6"/>
      <c r="E328" s="321" t="s">
        <v>447</v>
      </c>
      <c r="F328" s="15" t="s">
        <v>434</v>
      </c>
      <c r="G328" s="15"/>
      <c r="H328" s="269">
        <v>2.5880000000000001</v>
      </c>
      <c r="I328" s="269">
        <v>2.718</v>
      </c>
      <c r="J328" s="269">
        <v>3.1419999999999999</v>
      </c>
      <c r="K328" s="269">
        <v>3.528</v>
      </c>
      <c r="L328" s="269">
        <v>3.5430000000000001</v>
      </c>
      <c r="M328" s="269">
        <v>3.7119999999999997</v>
      </c>
      <c r="N328" s="269">
        <v>3.8109999999999999</v>
      </c>
      <c r="O328" s="269">
        <v>3.9770000000000003</v>
      </c>
      <c r="P328" s="269">
        <v>4.1589999999999998</v>
      </c>
      <c r="Q328" s="269">
        <v>4.3540000000000001</v>
      </c>
      <c r="T328" s="6"/>
      <c r="U328" s="6"/>
      <c r="V328" s="6"/>
      <c r="W328" s="1"/>
      <c r="X328"/>
      <c r="Y328"/>
      <c r="Z328"/>
    </row>
    <row r="329" spans="1:26" s="278" customFormat="1" ht="23.25" customHeight="1">
      <c r="A329" s="6"/>
      <c r="B329" s="6"/>
      <c r="C329" s="6"/>
      <c r="D329" s="6"/>
      <c r="E329" s="28" t="s">
        <v>184</v>
      </c>
      <c r="F329" s="28"/>
      <c r="G329" s="28"/>
      <c r="H329" s="29"/>
      <c r="I329" s="29">
        <f t="shared" ref="I329:Q329" si="251">I328/H328-1</f>
        <v>5.0231839258114253E-2</v>
      </c>
      <c r="J329" s="29">
        <f t="shared" si="251"/>
        <v>0.1559970566593083</v>
      </c>
      <c r="K329" s="29">
        <f t="shared" si="251"/>
        <v>0.12285168682367931</v>
      </c>
      <c r="L329" s="29">
        <f t="shared" si="251"/>
        <v>4.2517006802722523E-3</v>
      </c>
      <c r="M329" s="29">
        <f t="shared" si="251"/>
        <v>4.7699689528647893E-2</v>
      </c>
      <c r="N329" s="29">
        <f t="shared" si="251"/>
        <v>2.6670258620689724E-2</v>
      </c>
      <c r="O329" s="29">
        <f t="shared" si="251"/>
        <v>4.3558121228024271E-2</v>
      </c>
      <c r="P329" s="29">
        <f t="shared" si="251"/>
        <v>4.5763138043751539E-2</v>
      </c>
      <c r="Q329" s="29">
        <f t="shared" si="251"/>
        <v>4.688627073815832E-2</v>
      </c>
      <c r="T329" s="6"/>
      <c r="U329" s="6"/>
      <c r="V329" s="6"/>
      <c r="W329" s="1"/>
      <c r="X329"/>
      <c r="Y329"/>
      <c r="Z329"/>
    </row>
    <row r="330" spans="1:26" s="278" customFormat="1" ht="23.25" customHeight="1">
      <c r="A330" s="6"/>
      <c r="B330" s="6"/>
      <c r="C330" s="6"/>
      <c r="D330" s="6"/>
      <c r="E330" s="321" t="s">
        <v>448</v>
      </c>
      <c r="F330" s="15" t="s">
        <v>434</v>
      </c>
      <c r="G330" s="15"/>
      <c r="H330" s="269">
        <v>47.543999999999997</v>
      </c>
      <c r="I330" s="269">
        <v>41.568000000000005</v>
      </c>
      <c r="J330" s="269">
        <v>46.677999999999997</v>
      </c>
      <c r="K330" s="269">
        <v>54.086000000000006</v>
      </c>
      <c r="L330" s="269">
        <v>54.870999999999995</v>
      </c>
      <c r="M330" s="269">
        <v>61.925000000000004</v>
      </c>
      <c r="N330" s="269">
        <v>67.899000000000001</v>
      </c>
      <c r="O330" s="269">
        <v>72.887</v>
      </c>
      <c r="P330" s="269">
        <v>77.91</v>
      </c>
      <c r="Q330" s="269">
        <v>83.474999999999994</v>
      </c>
      <c r="T330" s="6"/>
      <c r="U330" s="6"/>
      <c r="V330" s="6"/>
      <c r="W330" s="1"/>
      <c r="X330"/>
      <c r="Y330"/>
      <c r="Z330"/>
    </row>
    <row r="331" spans="1:26" s="278" customFormat="1" ht="23.25" customHeight="1">
      <c r="A331" s="6"/>
      <c r="B331" s="6"/>
      <c r="C331" s="6"/>
      <c r="D331" s="6"/>
      <c r="E331" s="28" t="s">
        <v>184</v>
      </c>
      <c r="F331" s="28"/>
      <c r="G331" s="28"/>
      <c r="H331" s="29"/>
      <c r="I331" s="29">
        <f t="shared" ref="I331:Q331" si="252">I330/H330-1</f>
        <v>-0.12569409389197361</v>
      </c>
      <c r="J331" s="29">
        <f t="shared" si="252"/>
        <v>0.12293110084680503</v>
      </c>
      <c r="K331" s="29">
        <f t="shared" si="252"/>
        <v>0.15870431466643842</v>
      </c>
      <c r="L331" s="29">
        <f t="shared" si="252"/>
        <v>1.4513922271937041E-2</v>
      </c>
      <c r="M331" s="29">
        <f t="shared" si="252"/>
        <v>0.12855606786827312</v>
      </c>
      <c r="N331" s="29">
        <f t="shared" si="252"/>
        <v>9.6471538150989078E-2</v>
      </c>
      <c r="O331" s="29">
        <f t="shared" si="252"/>
        <v>7.34620539330475E-2</v>
      </c>
      <c r="P331" s="29">
        <f t="shared" si="252"/>
        <v>6.8914895660405762E-2</v>
      </c>
      <c r="Q331" s="29">
        <f t="shared" si="252"/>
        <v>7.1428571428571397E-2</v>
      </c>
      <c r="T331" s="6"/>
      <c r="U331" s="6"/>
      <c r="V331" s="6"/>
      <c r="W331" s="1"/>
      <c r="X331"/>
      <c r="Y331"/>
      <c r="Z331"/>
    </row>
    <row r="332" spans="1:26" s="278" customFormat="1" ht="23.25" customHeight="1">
      <c r="A332" s="6"/>
      <c r="B332" s="6"/>
      <c r="C332" s="6"/>
      <c r="D332" s="6"/>
      <c r="E332" s="321" t="s">
        <v>449</v>
      </c>
      <c r="F332" s="15" t="s">
        <v>434</v>
      </c>
      <c r="G332" s="15"/>
      <c r="H332" s="269">
        <v>317.387</v>
      </c>
      <c r="I332" s="269">
        <v>317.83300000000003</v>
      </c>
      <c r="J332" s="269">
        <v>358.67099999999999</v>
      </c>
      <c r="K332" s="269">
        <v>411.45400000000001</v>
      </c>
      <c r="L332" s="269">
        <v>419.21300000000002</v>
      </c>
      <c r="M332" s="269">
        <v>447.06799999999998</v>
      </c>
      <c r="N332" s="269">
        <v>471.85199999999998</v>
      </c>
      <c r="O332" s="269">
        <v>497.709</v>
      </c>
      <c r="P332" s="269">
        <v>526.66000000000008</v>
      </c>
      <c r="Q332" s="269">
        <v>553.63700000000006</v>
      </c>
      <c r="T332" s="6"/>
      <c r="U332" s="6"/>
      <c r="V332" s="6"/>
      <c r="W332" s="1"/>
      <c r="X332"/>
      <c r="Y332"/>
      <c r="Z332"/>
    </row>
    <row r="333" spans="1:26" s="278" customFormat="1">
      <c r="A333" s="6"/>
      <c r="B333" s="6"/>
      <c r="C333" s="6"/>
      <c r="D333" s="6"/>
      <c r="E333" s="28" t="s">
        <v>184</v>
      </c>
      <c r="F333" s="28"/>
      <c r="G333" s="28"/>
      <c r="H333" s="29"/>
      <c r="I333" s="29">
        <f t="shared" ref="I333:Q333" si="253">I332/H332-1</f>
        <v>1.4052245366067417E-3</v>
      </c>
      <c r="J333" s="29">
        <f t="shared" si="253"/>
        <v>0.1284888605022132</v>
      </c>
      <c r="K333" s="29">
        <f t="shared" si="253"/>
        <v>0.14716272015300924</v>
      </c>
      <c r="L333" s="29">
        <f t="shared" si="253"/>
        <v>1.885751505636124E-2</v>
      </c>
      <c r="M333" s="29">
        <f t="shared" si="253"/>
        <v>6.6445935598371086E-2</v>
      </c>
      <c r="N333" s="29">
        <f t="shared" si="253"/>
        <v>5.5436756824465139E-2</v>
      </c>
      <c r="O333" s="29">
        <f t="shared" si="253"/>
        <v>5.4798962386511052E-2</v>
      </c>
      <c r="P333" s="29">
        <f t="shared" si="253"/>
        <v>5.8168528196195224E-2</v>
      </c>
      <c r="Q333" s="29">
        <f t="shared" si="253"/>
        <v>5.1222800288611259E-2</v>
      </c>
      <c r="T333" s="6"/>
      <c r="U333" s="6"/>
      <c r="V333" s="6"/>
      <c r="W333" s="1"/>
      <c r="X333"/>
      <c r="Y333"/>
      <c r="Z333"/>
    </row>
    <row r="334" spans="1:26">
      <c r="E334" s="6" t="s">
        <v>452</v>
      </c>
      <c r="F334" s="6" t="s">
        <v>434</v>
      </c>
      <c r="H334" s="269">
        <v>1.86</v>
      </c>
      <c r="I334" s="269">
        <v>1.8420000000000001</v>
      </c>
      <c r="J334" s="269">
        <v>1.8759999999999999</v>
      </c>
      <c r="K334" s="269">
        <v>1.984</v>
      </c>
      <c r="L334" s="269">
        <v>1.9850000000000001</v>
      </c>
      <c r="M334" s="269">
        <v>2.093</v>
      </c>
      <c r="N334" s="269">
        <v>2.153</v>
      </c>
      <c r="O334" s="269">
        <v>2.2410000000000001</v>
      </c>
      <c r="P334" s="269">
        <v>2.4209999999999998</v>
      </c>
      <c r="Q334" s="269">
        <v>2.6320000000000001</v>
      </c>
    </row>
    <row r="335" spans="1:26">
      <c r="E335" s="363" t="s">
        <v>184</v>
      </c>
      <c r="F335" s="363"/>
      <c r="G335" s="363"/>
      <c r="H335" s="364"/>
      <c r="I335" s="364">
        <f t="shared" ref="I335:Q335" si="254">I334/H334-1</f>
        <v>-9.6774193548386789E-3</v>
      </c>
      <c r="J335" s="364">
        <f t="shared" si="254"/>
        <v>1.845819761129186E-2</v>
      </c>
      <c r="K335" s="364">
        <f t="shared" si="254"/>
        <v>5.7569296375266532E-2</v>
      </c>
      <c r="L335" s="364">
        <f t="shared" si="254"/>
        <v>5.040322580645018E-4</v>
      </c>
      <c r="M335" s="364">
        <f t="shared" si="254"/>
        <v>5.440806045340052E-2</v>
      </c>
      <c r="N335" s="364">
        <f t="shared" si="254"/>
        <v>2.8666985188724237E-2</v>
      </c>
      <c r="O335" s="364">
        <f t="shared" si="254"/>
        <v>4.0873200185787217E-2</v>
      </c>
      <c r="P335" s="364">
        <f t="shared" si="254"/>
        <v>8.0321285140562138E-2</v>
      </c>
      <c r="Q335" s="364">
        <f t="shared" si="254"/>
        <v>8.7154068566708043E-2</v>
      </c>
    </row>
    <row r="336" spans="1:26">
      <c r="E336" s="6" t="s">
        <v>451</v>
      </c>
      <c r="H336" s="269">
        <v>10.315835999999997</v>
      </c>
      <c r="I336" s="269">
        <v>10.420551</v>
      </c>
      <c r="J336" s="269">
        <v>10.525041</v>
      </c>
      <c r="K336" s="269">
        <v>10.629186000000001</v>
      </c>
      <c r="L336" s="269">
        <v>10.732899999999999</v>
      </c>
      <c r="M336" s="269">
        <v>10.835872999999998</v>
      </c>
      <c r="N336" s="269">
        <v>10.937521</v>
      </c>
      <c r="O336" s="269">
        <v>11.037224999999999</v>
      </c>
      <c r="P336" s="269">
        <v>11.134588000000001</v>
      </c>
      <c r="Q336" s="269">
        <f>P336*(1+0.9%)</f>
        <v>11.234799292</v>
      </c>
    </row>
    <row r="337" spans="5:17">
      <c r="E337" s="363" t="s">
        <v>184</v>
      </c>
      <c r="F337" s="363"/>
      <c r="G337" s="363"/>
      <c r="H337" s="364"/>
      <c r="I337" s="364">
        <f t="shared" ref="I337:Q337" si="255">I336/H336-1</f>
        <v>1.0150898094929195E-2</v>
      </c>
      <c r="J337" s="364">
        <f t="shared" si="255"/>
        <v>1.002730085961856E-2</v>
      </c>
      <c r="K337" s="364">
        <f t="shared" si="255"/>
        <v>9.8949733307454046E-3</v>
      </c>
      <c r="L337" s="364">
        <f t="shared" si="255"/>
        <v>9.7574734321139722E-3</v>
      </c>
      <c r="M337" s="364">
        <f t="shared" si="255"/>
        <v>9.5941451052370397E-3</v>
      </c>
      <c r="N337" s="364">
        <f t="shared" si="255"/>
        <v>9.3806931845734631E-3</v>
      </c>
      <c r="O337" s="364">
        <f t="shared" si="255"/>
        <v>9.1157767834226799E-3</v>
      </c>
      <c r="P337" s="364">
        <f t="shared" si="255"/>
        <v>8.8213296367520844E-3</v>
      </c>
      <c r="Q337" s="364">
        <f t="shared" si="255"/>
        <v>8.999999999999897E-3</v>
      </c>
    </row>
    <row r="338" spans="5:17">
      <c r="H338" s="362"/>
    </row>
    <row r="339" spans="5:17">
      <c r="H339" s="362"/>
    </row>
    <row r="340" spans="5:17">
      <c r="H340" s="362"/>
    </row>
    <row r="341" spans="5:17">
      <c r="H341" s="362"/>
    </row>
    <row r="342" spans="5:17">
      <c r="H342" s="362"/>
    </row>
    <row r="343" spans="5:17">
      <c r="H343" s="362"/>
    </row>
    <row r="344" spans="5:17">
      <c r="H344" s="362"/>
    </row>
    <row r="345" spans="5:17">
      <c r="H345" s="362"/>
    </row>
    <row r="346" spans="5:17">
      <c r="H346" s="362"/>
    </row>
  </sheetData>
  <customSheetViews>
    <customSheetView guid="{BD5E9955-DC4B-4EA0-9160-9EF1C693DE04}" showGridLines="0" hiddenRows="1" topLeftCell="G1">
      <pane ySplit="1" topLeftCell="A88" activePane="bottomLeft" state="frozen"/>
      <selection pane="bottomLeft" activeCell="Q140" sqref="Q140"/>
      <pageMargins left="0.7" right="0.7" top="0.75" bottom="0.75" header="0.3" footer="0.3"/>
    </customSheetView>
    <customSheetView guid="{1ACDCC85-59E3-4410-927D-E7E5C71B61F5}" showGridLines="0" hiddenRows="1" state="hidden" topLeftCell="E1">
      <pane ySplit="1" topLeftCell="A18" activePane="bottomLeft" state="frozen"/>
      <selection pane="bottomLeft" activeCell="A42" sqref="A42:XFD42"/>
      <pageMargins left="0.7" right="0.7" top="0.75" bottom="0.75" header="0.3" footer="0.3"/>
    </customSheetView>
    <customSheetView guid="{28AA611C-F120-4D09-9666-0AAAA1997A5D}" showGridLines="0" hiddenRows="1" topLeftCell="E1">
      <pane ySplit="1" topLeftCell="A2" activePane="bottomLeft" state="frozen"/>
      <selection pane="bottomLeft" activeCell="M218" sqref="M218"/>
      <pageMargins left="0.7" right="0.7" top="0.75" bottom="0.75" header="0.3" footer="0.3"/>
    </customSheetView>
    <customSheetView guid="{63078F6D-D19C-47E9-B618-80B24EAAED3A}" showGridLines="0" hiddenRows="1" topLeftCell="E1">
      <pane ySplit="1" topLeftCell="A18" activePane="bottomLeft" state="frozen"/>
      <selection pane="bottomLeft" activeCell="A42" sqref="A42:XFD42"/>
      <pageMargins left="0.7" right="0.7" top="0.75" bottom="0.75" header="0.3" footer="0.3"/>
    </customSheetView>
    <customSheetView guid="{92F60ACF-D6F3-4086-9F2B-BC0D304DAC43}" showGridLines="0" hiddenRows="1" topLeftCell="E1">
      <pane ySplit="1" topLeftCell="A18" activePane="bottomLeft" state="frozen"/>
      <selection pane="bottomLeft" activeCell="A42" sqref="A42:XFD42"/>
      <pageMargins left="0.7" right="0.7" top="0.75" bottom="0.75" header="0.3" footer="0.3"/>
    </customSheetView>
    <customSheetView guid="{9144D9B3-2327-4B3A-89B1-6A595780C3C5}" showGridLines="0" hiddenRows="1" topLeftCell="G1">
      <pane ySplit="1" topLeftCell="A199" activePane="bottomLeft" state="frozen"/>
      <selection pane="bottomLeft" activeCell="R205" sqref="R205"/>
      <pageMargins left="0.7" right="0.7" top="0.75" bottom="0.75" header="0.3" footer="0.3"/>
    </customSheetView>
    <customSheetView guid="{513032B5-C585-49C2-98E7-9FDE6F7A4BA7}" showGridLines="0" hiddenRows="1" topLeftCell="E1">
      <pane ySplit="1" topLeftCell="A18" activePane="bottomLeft" state="frozen"/>
      <selection pane="bottomLeft"/>
      <pageMargins left="0.7" right="0.7" top="0.75" bottom="0.75" header="0.3" footer="0.3"/>
    </customSheetView>
    <customSheetView guid="{AF983ECA-536A-40E6-8A04-FF0A375E9ACC}" showGridLines="0" hiddenRows="1" topLeftCell="E1">
      <pane ySplit="1" topLeftCell="A322" activePane="bottomLeft" state="frozen"/>
      <selection pane="bottomLeft" activeCell="A42" sqref="A42:XFD42"/>
      <pageMargins left="0.7" right="0.7" top="0.75" bottom="0.75" header="0.3" footer="0.3"/>
    </customSheetView>
  </customSheetViews>
  <hyperlinks>
    <hyperlink ref="R288" r:id="rId1" display="http://www.comercio.mityc.es/tmpDocsCanalPais/D0B05DED62AA496BBB0B552726B661AE.pdf"/>
    <hyperlink ref="T78" r:id="rId2" display="http://www.wttc.org/site_media/uploads/downloads/tunisia2012.pdf"/>
  </hyperlinks>
  <pageMargins left="0.7" right="0.7" top="0.75" bottom="0.75" header="0.3" footer="0.3"/>
  <legacyDrawing r:id="rId3"/>
</worksheet>
</file>

<file path=xl/worksheets/sheet12.xml><?xml version="1.0" encoding="utf-8"?>
<worksheet xmlns="http://schemas.openxmlformats.org/spreadsheetml/2006/main" xmlns:r="http://schemas.openxmlformats.org/officeDocument/2006/relationships">
  <dimension ref="A1:M27"/>
  <sheetViews>
    <sheetView topLeftCell="A10" workbookViewId="0">
      <selection activeCell="A24" sqref="A24"/>
    </sheetView>
  </sheetViews>
  <sheetFormatPr defaultRowHeight="15"/>
  <cols>
    <col min="1" max="1" width="27.140625" bestFit="1" customWidth="1"/>
    <col min="2" max="2" width="9.28515625" customWidth="1"/>
    <col min="7" max="7" width="9.5703125" bestFit="1" customWidth="1"/>
  </cols>
  <sheetData>
    <row r="1" spans="1:13">
      <c r="A1" s="466" t="str">
        <f>'Tourism Medium DB-LCU'!B148</f>
        <v>Hotels</v>
      </c>
      <c r="B1" s="466">
        <f>'Tourism Medium DB-LCU'!H1</f>
        <v>2008</v>
      </c>
      <c r="C1" s="466">
        <f>'Tourism Medium DB-LCU'!I1</f>
        <v>2009</v>
      </c>
      <c r="D1" s="466">
        <f>'Tourism Medium DB-LCU'!J1</f>
        <v>2010</v>
      </c>
      <c r="E1" s="466">
        <f>'Tourism Medium DB-LCU'!K1</f>
        <v>2011</v>
      </c>
      <c r="F1" s="466">
        <f>'Tourism Medium DB-LCU'!L1</f>
        <v>2012</v>
      </c>
      <c r="G1" s="466">
        <f>'Tourism Medium DB-LCU'!M1</f>
        <v>2013</v>
      </c>
      <c r="H1" s="466">
        <f>'Tourism Medium DB-LCU'!N1</f>
        <v>2014</v>
      </c>
      <c r="I1" s="466">
        <f>'Tourism Medium DB-LCU'!O1</f>
        <v>2015</v>
      </c>
      <c r="J1" s="466">
        <f>'Tourism Medium DB-LCU'!P1</f>
        <v>2016</v>
      </c>
      <c r="K1" s="466">
        <f>'Tourism Medium DB-LCU'!Q1</f>
        <v>2017</v>
      </c>
    </row>
    <row r="2" spans="1:13">
      <c r="A2" t="str">
        <f>'Tourism Medium DB-LCU'!C151</f>
        <v>Room Occupancy Rate</v>
      </c>
      <c r="B2" t="b">
        <f>'Tourism Medium DB-LCU'!H151='Tourism Medium DB-LCU'!H153/'Tourism Medium DB-LCU'!H152</f>
        <v>1</v>
      </c>
      <c r="C2" t="b">
        <f>'Tourism Medium DB-LCU'!I151='Tourism Medium DB-LCU'!I153/'Tourism Medium DB-LCU'!I152</f>
        <v>1</v>
      </c>
      <c r="D2" t="b">
        <f>'Tourism Medium DB-LCU'!J151='Tourism Medium DB-LCU'!J153/'Tourism Medium DB-LCU'!J152</f>
        <v>1</v>
      </c>
      <c r="E2" t="b">
        <f>'Tourism Medium DB-LCU'!K151='Tourism Medium DB-LCU'!K153/'Tourism Medium DB-LCU'!K152</f>
        <v>1</v>
      </c>
      <c r="F2" t="b">
        <f>'Tourism Medium DB-LCU'!L151='Tourism Medium DB-LCU'!L153/'Tourism Medium DB-LCU'!L152</f>
        <v>1</v>
      </c>
      <c r="G2" t="b">
        <f>'Tourism Medium DB-LCU'!M151='Tourism Medium DB-LCU'!M153/'Tourism Medium DB-LCU'!M152</f>
        <v>1</v>
      </c>
      <c r="H2" t="b">
        <f>'Tourism Medium DB-LCU'!N151='Tourism Medium DB-LCU'!N153/'Tourism Medium DB-LCU'!N152</f>
        <v>1</v>
      </c>
      <c r="I2" t="b">
        <f>'Tourism Medium DB-LCU'!O151='Tourism Medium DB-LCU'!O153/'Tourism Medium DB-LCU'!O152</f>
        <v>1</v>
      </c>
      <c r="J2" t="b">
        <f>'Tourism Medium DB-LCU'!P151='Tourism Medium DB-LCU'!P153/'Tourism Medium DB-LCU'!P152</f>
        <v>1</v>
      </c>
      <c r="K2" t="b">
        <f>'Tourism Medium DB-LCU'!Q151='Tourism Medium DB-LCU'!Q153/'Tourism Medium DB-LCU'!Q152</f>
        <v>1</v>
      </c>
    </row>
    <row r="3" spans="1:13">
      <c r="A3" t="str">
        <f>'Tourism Medium DB-LCU'!C154</f>
        <v>Revenue per Available Room</v>
      </c>
      <c r="B3" t="b">
        <f>'Tourism Medium DB-LCU'!H154='Tourism Medium DB-LCU'!H151*'Tourism Medium DB-LCU'!H155</f>
        <v>1</v>
      </c>
      <c r="C3" t="b">
        <f>'Tourism Medium DB-LCU'!I154='Tourism Medium DB-LCU'!I151*'Tourism Medium DB-LCU'!I155</f>
        <v>1</v>
      </c>
      <c r="D3" t="b">
        <f>'Tourism Medium DB-LCU'!J154='Tourism Medium DB-LCU'!J151*'Tourism Medium DB-LCU'!J155</f>
        <v>1</v>
      </c>
      <c r="E3" t="b">
        <f>'Tourism Medium DB-LCU'!K154='Tourism Medium DB-LCU'!K151*'Tourism Medium DB-LCU'!K155</f>
        <v>1</v>
      </c>
      <c r="F3" t="b">
        <f>'Tourism Medium DB-LCU'!L154='Tourism Medium DB-LCU'!L151*'Tourism Medium DB-LCU'!L155</f>
        <v>1</v>
      </c>
      <c r="G3" t="b">
        <f>'Tourism Medium DB-LCU'!M154='Tourism Medium DB-LCU'!M151*'Tourism Medium DB-LCU'!M155</f>
        <v>1</v>
      </c>
      <c r="H3" t="b">
        <f>'Tourism Medium DB-LCU'!N154='Tourism Medium DB-LCU'!N151*'Tourism Medium DB-LCU'!N155</f>
        <v>1</v>
      </c>
      <c r="I3" t="b">
        <f>'Tourism Medium DB-LCU'!O154='Tourism Medium DB-LCU'!O151*'Tourism Medium DB-LCU'!O155</f>
        <v>1</v>
      </c>
      <c r="J3" t="b">
        <f>'Tourism Medium DB-LCU'!P154='Tourism Medium DB-LCU'!P151*'Tourism Medium DB-LCU'!P155</f>
        <v>1</v>
      </c>
      <c r="K3" t="b">
        <f>'Tourism Medium DB-LCU'!Q154='Tourism Medium DB-LCU'!Q151*'Tourism Medium DB-LCU'!Q155</f>
        <v>1</v>
      </c>
    </row>
    <row r="4" spans="1:13">
      <c r="A4" t="str">
        <f>A3</f>
        <v>Revenue per Available Room</v>
      </c>
      <c r="B4" t="b">
        <f>'Tourism Medium DB-LCU'!H154=(('Tourism Medium DB-LCU'!H157*1000000)/('Tourism Medium DB-LCU'!H150*365))</f>
        <v>0</v>
      </c>
      <c r="C4" t="b">
        <f>'Tourism Medium DB-LCU'!I154=(('Tourism Medium DB-LCU'!I157*1000000)/('Tourism Medium DB-LCU'!I150*365))</f>
        <v>0</v>
      </c>
      <c r="D4" t="b">
        <f>'Tourism Medium DB-LCU'!J154=(('Tourism Medium DB-LCU'!J157*1000000)/('Tourism Medium DB-LCU'!J150*365))</f>
        <v>0</v>
      </c>
      <c r="E4" t="b">
        <f>'Tourism Medium DB-LCU'!K154=(('Tourism Medium DB-LCU'!K157*1000000)/('Tourism Medium DB-LCU'!K150*365))</f>
        <v>0</v>
      </c>
      <c r="F4" t="b">
        <f>'Tourism Medium DB-LCU'!L154=(('Tourism Medium DB-LCU'!L157*1000000)/('Tourism Medium DB-LCU'!L150*365))</f>
        <v>0</v>
      </c>
      <c r="G4" t="b">
        <f>'Tourism Medium DB-LCU'!M154=(('Tourism Medium DB-LCU'!M157*1000000)/('Tourism Medium DB-LCU'!M150*365))</f>
        <v>1</v>
      </c>
      <c r="H4" t="b">
        <f>'Tourism Medium DB-LCU'!N154=(('Tourism Medium DB-LCU'!N157*1000000)/('Tourism Medium DB-LCU'!N150*365))</f>
        <v>1</v>
      </c>
      <c r="I4" t="b">
        <f>'Tourism Medium DB-LCU'!O154=(('Tourism Medium DB-LCU'!O157*1000000)/('Tourism Medium DB-LCU'!O150*365))</f>
        <v>1</v>
      </c>
      <c r="J4" t="b">
        <f>'Tourism Medium DB-LCU'!P154=(('Tourism Medium DB-LCU'!P157*1000000)/('Tourism Medium DB-LCU'!P150*365))</f>
        <v>1</v>
      </c>
      <c r="K4" t="b">
        <f>'Tourism Medium DB-LCU'!Q154=(('Tourism Medium DB-LCU'!Q157*1000000)/('Tourism Medium DB-LCU'!Q150*365))</f>
        <v>1</v>
      </c>
    </row>
    <row r="5" spans="1:13">
      <c r="A5" t="str">
        <f>'Tourism Medium DB-LCU'!C156</f>
        <v>Total Revenue Per Available Room</v>
      </c>
      <c r="B5" t="b">
        <f>'Tourism Medium DB-LCU'!H156=(('Tourism Medium DB-LCU'!H159*1000000)/('Tourism Medium DB-LCU'!H150*365))</f>
        <v>1</v>
      </c>
      <c r="C5" t="b">
        <f>'Tourism Medium DB-LCU'!I156=(('Tourism Medium DB-LCU'!I159*1000000)/('Tourism Medium DB-LCU'!I150*365))</f>
        <v>1</v>
      </c>
      <c r="D5" t="b">
        <f>'Tourism Medium DB-LCU'!J156=(('Tourism Medium DB-LCU'!J159*1000000)/('Tourism Medium DB-LCU'!J150*365))</f>
        <v>1</v>
      </c>
      <c r="E5" t="b">
        <f>'Tourism Medium DB-LCU'!K156=(('Tourism Medium DB-LCU'!K159*1000000)/('Tourism Medium DB-LCU'!K150*365))</f>
        <v>1</v>
      </c>
      <c r="F5" t="b">
        <f>'Tourism Medium DB-LCU'!L156=(('Tourism Medium DB-LCU'!L159*1000000)/('Tourism Medium DB-LCU'!L150*365))</f>
        <v>1</v>
      </c>
      <c r="G5" t="b">
        <f>'Tourism Medium DB-LCU'!M156=(('Tourism Medium DB-LCU'!M159*1000000)/('Tourism Medium DB-LCU'!M150*365))</f>
        <v>1</v>
      </c>
      <c r="H5" t="b">
        <f>'Tourism Medium DB-LCU'!N156=(('Tourism Medium DB-LCU'!N159*1000000)/('Tourism Medium DB-LCU'!N150*365))</f>
        <v>1</v>
      </c>
      <c r="I5" t="b">
        <f>'Tourism Medium DB-LCU'!O156=(('Tourism Medium DB-LCU'!O159*1000000)/('Tourism Medium DB-LCU'!O150*365))</f>
        <v>1</v>
      </c>
      <c r="J5" t="b">
        <f>'Tourism Medium DB-LCU'!P156=(('Tourism Medium DB-LCU'!P159*1000000)/('Tourism Medium DB-LCU'!P150*365))</f>
        <v>1</v>
      </c>
      <c r="K5" t="b">
        <f>'Tourism Medium DB-LCU'!Q156=(('Tourism Medium DB-LCU'!Q159*1000000)/('Tourism Medium DB-LCU'!Q150*365))</f>
        <v>1</v>
      </c>
    </row>
    <row r="6" spans="1:13">
      <c r="A6" t="str">
        <f>'Tourism Medium DB-LCU'!C157</f>
        <v>Total Room Revenue</v>
      </c>
      <c r="B6" t="b">
        <f>'Tourism Medium DB-LCU'!H157=('Tourism Medium DB-LCU'!H154*'Tourism Medium DB-LCU'!H150*365/1000000)</f>
        <v>0</v>
      </c>
      <c r="C6" t="b">
        <f>'Tourism Medium DB-LCU'!I157=('Tourism Medium DB-LCU'!I154*'Tourism Medium DB-LCU'!I150*365/1000000)</f>
        <v>0</v>
      </c>
      <c r="D6" t="b">
        <f>'Tourism Medium DB-LCU'!J157=('Tourism Medium DB-LCU'!J154*'Tourism Medium DB-LCU'!J150*365/1000000)</f>
        <v>0</v>
      </c>
      <c r="E6" t="b">
        <f>'Tourism Medium DB-LCU'!K157=('Tourism Medium DB-LCU'!K154*'Tourism Medium DB-LCU'!K150*365/1000000)</f>
        <v>0</v>
      </c>
      <c r="F6" t="b">
        <f>'Tourism Medium DB-LCU'!L157=('Tourism Medium DB-LCU'!L154*'Tourism Medium DB-LCU'!L150*365/1000000)</f>
        <v>0</v>
      </c>
      <c r="G6" t="b">
        <f>'Tourism Medium DB-LCU'!M157=('Tourism Medium DB-LCU'!M154*'Tourism Medium DB-LCU'!M150*365/1000000)</f>
        <v>1</v>
      </c>
      <c r="H6" t="b">
        <f>'Tourism Medium DB-LCU'!N157=('Tourism Medium DB-LCU'!N154*'Tourism Medium DB-LCU'!N150*365/1000000)</f>
        <v>1</v>
      </c>
      <c r="I6" t="b">
        <f>'Tourism Medium DB-LCU'!O157=('Tourism Medium DB-LCU'!O154*'Tourism Medium DB-LCU'!O150*365/1000000)</f>
        <v>1</v>
      </c>
      <c r="J6" t="b">
        <f>'Tourism Medium DB-LCU'!P157=('Tourism Medium DB-LCU'!P154*'Tourism Medium DB-LCU'!P150*365/1000000)</f>
        <v>1</v>
      </c>
      <c r="K6" t="b">
        <f>'Tourism Medium DB-LCU'!Q157=('Tourism Medium DB-LCU'!Q154*'Tourism Medium DB-LCU'!Q150*365/1000000)</f>
        <v>1</v>
      </c>
    </row>
    <row r="7" spans="1:13">
      <c r="A7" t="str">
        <f>'Tourism Medium DB-LCU'!C159</f>
        <v>Total  Revenue</v>
      </c>
      <c r="B7" t="b">
        <f>'Tourism Medium DB-LCU'!H159=SUM('Tourism Medium DB-LCU'!H157:H158)</f>
        <v>1</v>
      </c>
      <c r="C7" t="b">
        <f>'Tourism Medium DB-LCU'!I159=SUM('Tourism Medium DB-LCU'!I157:I158)</f>
        <v>1</v>
      </c>
      <c r="D7" t="b">
        <f>'Tourism Medium DB-LCU'!J159=SUM('Tourism Medium DB-LCU'!J157:J158)</f>
        <v>1</v>
      </c>
      <c r="E7" t="b">
        <f>'Tourism Medium DB-LCU'!K159=SUM('Tourism Medium DB-LCU'!K157:K158)</f>
        <v>1</v>
      </c>
      <c r="F7" t="b">
        <f>'Tourism Medium DB-LCU'!L159=SUM('Tourism Medium DB-LCU'!L157:L158)</f>
        <v>1</v>
      </c>
      <c r="G7" t="b">
        <f>'Tourism Medium DB-LCU'!M159=SUM('Tourism Medium DB-LCU'!M157:M158)</f>
        <v>1</v>
      </c>
      <c r="H7" t="b">
        <f>'Tourism Medium DB-LCU'!N159=SUM('Tourism Medium DB-LCU'!N157:N158)</f>
        <v>1</v>
      </c>
      <c r="I7" t="b">
        <f>'Tourism Medium DB-LCU'!O159=SUM('Tourism Medium DB-LCU'!O157:O158)</f>
        <v>1</v>
      </c>
      <c r="J7" t="b">
        <f>'Tourism Medium DB-LCU'!P159=SUM('Tourism Medium DB-LCU'!P157:P158)</f>
        <v>1</v>
      </c>
      <c r="K7" t="b">
        <f>'Tourism Medium DB-LCU'!Q159=SUM('Tourism Medium DB-LCU'!Q157:Q158)</f>
        <v>1</v>
      </c>
      <c r="L7" s="244"/>
    </row>
    <row r="8" spans="1:13">
      <c r="A8" t="str">
        <f>'Tourism Medium DB-LCU'!C160</f>
        <v>Number of Guests by Customer Type</v>
      </c>
      <c r="B8" t="b">
        <f>'Tourism Medium DB-LCU'!H160=SUM('Tourism Medium DB-LCU'!H161:H162)</f>
        <v>0</v>
      </c>
      <c r="C8" t="b">
        <f>'Tourism Medium DB-LCU'!I160=SUM('Tourism Medium DB-LCU'!I161:I162)</f>
        <v>0</v>
      </c>
      <c r="D8" t="b">
        <f>'Tourism Medium DB-LCU'!J160=SUM('Tourism Medium DB-LCU'!J161:J162)</f>
        <v>0</v>
      </c>
      <c r="E8" t="b">
        <f>'Tourism Medium DB-LCU'!K160=SUM('Tourism Medium DB-LCU'!K161:K162)</f>
        <v>0</v>
      </c>
      <c r="F8" t="b">
        <f>'Tourism Medium DB-LCU'!L160=SUM('Tourism Medium DB-LCU'!L161:L162)</f>
        <v>0</v>
      </c>
      <c r="G8" t="b">
        <f>'Tourism Medium DB-LCU'!M160=SUM('Tourism Medium DB-LCU'!M161:M162)</f>
        <v>1</v>
      </c>
      <c r="H8" t="b">
        <f>'Tourism Medium DB-LCU'!N160=SUM('Tourism Medium DB-LCU'!N161:N162)</f>
        <v>1</v>
      </c>
      <c r="I8" t="b">
        <f>'Tourism Medium DB-LCU'!O160=SUM('Tourism Medium DB-LCU'!O161:O162)</f>
        <v>1</v>
      </c>
      <c r="J8" t="b">
        <f>'Tourism Medium DB-LCU'!P160=SUM('Tourism Medium DB-LCU'!P161:P162)</f>
        <v>1</v>
      </c>
      <c r="K8" t="b">
        <f>'Tourism Medium DB-LCU'!Q160=SUM('Tourism Medium DB-LCU'!Q161:Q162)</f>
        <v>1</v>
      </c>
      <c r="L8" s="244"/>
    </row>
    <row r="9" spans="1:13">
      <c r="A9" s="466" t="str">
        <f>'Tourism Medium DB-LCU'!B134</f>
        <v>Car Rental</v>
      </c>
      <c r="B9" s="466"/>
      <c r="C9" s="466"/>
      <c r="D9" s="466"/>
      <c r="E9" s="466"/>
      <c r="F9" s="466"/>
      <c r="G9" s="466"/>
      <c r="H9" s="466"/>
      <c r="I9" s="466"/>
      <c r="J9" s="466"/>
      <c r="K9" s="466"/>
    </row>
    <row r="10" spans="1:13">
      <c r="A10" t="str">
        <f>'Tourism Medium DB-LCU'!C135</f>
        <v>Market Value by Customer Type</v>
      </c>
      <c r="B10" t="b">
        <f>'Tourism Medium DB-LCU'!H135=SUM('Tourism Medium DB-LCU'!H136:H138)</f>
        <v>1</v>
      </c>
      <c r="C10" t="b">
        <f>'Tourism Medium DB-LCU'!I135=SUM('Tourism Medium DB-LCU'!I136:I138)</f>
        <v>1</v>
      </c>
      <c r="D10" t="b">
        <f>'Tourism Medium DB-LCU'!J135=SUM('Tourism Medium DB-LCU'!J136:J138)</f>
        <v>1</v>
      </c>
      <c r="E10" t="b">
        <f>'Tourism Medium DB-LCU'!K135=SUM('Tourism Medium DB-LCU'!K136:K138)</f>
        <v>1</v>
      </c>
      <c r="F10" t="b">
        <f>'Tourism Medium DB-LCU'!L135=SUM('Tourism Medium DB-LCU'!L136:L138)</f>
        <v>1</v>
      </c>
      <c r="G10" t="b">
        <f>'Tourism Medium DB-LCU'!M135=SUM('Tourism Medium DB-LCU'!M136:M138)</f>
        <v>1</v>
      </c>
      <c r="H10" t="b">
        <f>'Tourism Medium DB-LCU'!N135=SUM('Tourism Medium DB-LCU'!N136:N138)</f>
        <v>1</v>
      </c>
      <c r="I10" t="b">
        <f>'Tourism Medium DB-LCU'!O135=SUM('Tourism Medium DB-LCU'!O136:O138)</f>
        <v>1</v>
      </c>
      <c r="J10" t="b">
        <f>'Tourism Medium DB-LCU'!P135=SUM('Tourism Medium DB-LCU'!P136:P138)</f>
        <v>1</v>
      </c>
      <c r="K10" t="b">
        <f>'Tourism Medium DB-LCU'!Q135=SUM('Tourism Medium DB-LCU'!Q136:Q138)</f>
        <v>1</v>
      </c>
      <c r="M10" s="244"/>
    </row>
    <row r="11" spans="1:13">
      <c r="A11" t="str">
        <f>'Tourism Medium DB-LCU'!C139</f>
        <v>Market Value by Rental Location</v>
      </c>
      <c r="B11" t="b">
        <f>'Tourism Medium DB-LCU'!H139=SUM('Tourism Medium DB-LCU'!H140:H141)</f>
        <v>1</v>
      </c>
      <c r="C11" t="b">
        <f>'Tourism Medium DB-LCU'!I139=SUM('Tourism Medium DB-LCU'!I140:I141)</f>
        <v>1</v>
      </c>
      <c r="D11" t="b">
        <f>'Tourism Medium DB-LCU'!J139=SUM('Tourism Medium DB-LCU'!J140:J141)</f>
        <v>1</v>
      </c>
      <c r="E11" t="b">
        <f>'Tourism Medium DB-LCU'!K139=SUM('Tourism Medium DB-LCU'!K140:K141)</f>
        <v>1</v>
      </c>
      <c r="F11" t="b">
        <f>'Tourism Medium DB-LCU'!L139=SUM('Tourism Medium DB-LCU'!L140:L141)</f>
        <v>1</v>
      </c>
      <c r="G11" t="b">
        <f>'Tourism Medium DB-LCU'!M139=SUM('Tourism Medium DB-LCU'!M140:M141)</f>
        <v>1</v>
      </c>
      <c r="H11" t="b">
        <f>'Tourism Medium DB-LCU'!N139=SUM('Tourism Medium DB-LCU'!N140:N141)</f>
        <v>1</v>
      </c>
      <c r="I11" t="b">
        <f>'Tourism Medium DB-LCU'!O139=SUM('Tourism Medium DB-LCU'!O140:O141)</f>
        <v>1</v>
      </c>
      <c r="J11" t="b">
        <f>'Tourism Medium DB-LCU'!P139=SUM('Tourism Medium DB-LCU'!P140:P141)</f>
        <v>1</v>
      </c>
      <c r="K11" t="b">
        <f>'Tourism Medium DB-LCU'!Q139=SUM('Tourism Medium DB-LCU'!Q140:Q141)</f>
        <v>1</v>
      </c>
      <c r="M11" s="244"/>
    </row>
    <row r="12" spans="1:13">
      <c r="A12" t="str">
        <f>'Tourism Medium DB-LCU'!C135</f>
        <v>Market Value by Customer Type</v>
      </c>
      <c r="B12" t="b">
        <f>'Tourism Medium DB-LCU'!H135='Tourism Medium DB-LCU'!H139</f>
        <v>1</v>
      </c>
      <c r="C12" t="b">
        <f>'Tourism Medium DB-LCU'!I135='Tourism Medium DB-LCU'!I139</f>
        <v>1</v>
      </c>
      <c r="D12" t="b">
        <f>'Tourism Medium DB-LCU'!J135='Tourism Medium DB-LCU'!J139</f>
        <v>1</v>
      </c>
      <c r="E12" t="b">
        <f>'Tourism Medium DB-LCU'!K135='Tourism Medium DB-LCU'!K139</f>
        <v>1</v>
      </c>
      <c r="F12" t="b">
        <f>'Tourism Medium DB-LCU'!L135='Tourism Medium DB-LCU'!L139</f>
        <v>1</v>
      </c>
      <c r="G12" t="b">
        <f>'Tourism Medium DB-LCU'!M135='Tourism Medium DB-LCU'!M139</f>
        <v>1</v>
      </c>
      <c r="H12" t="b">
        <f>'Tourism Medium DB-LCU'!N135='Tourism Medium DB-LCU'!N139</f>
        <v>1</v>
      </c>
      <c r="I12" t="b">
        <f>'Tourism Medium DB-LCU'!O135='Tourism Medium DB-LCU'!O139</f>
        <v>1</v>
      </c>
      <c r="J12" t="b">
        <f>'Tourism Medium DB-LCU'!P135='Tourism Medium DB-LCU'!P139</f>
        <v>1</v>
      </c>
      <c r="K12" t="b">
        <f>'Tourism Medium DB-LCU'!Q135='Tourism Medium DB-LCU'!Q139</f>
        <v>1</v>
      </c>
    </row>
    <row r="13" spans="1:13">
      <c r="A13" t="str">
        <f>'Tourism Medium DB-LCU'!C145</f>
        <v>Average Rental Length</v>
      </c>
      <c r="B13" t="b">
        <f>'Tourism Medium DB-LCU'!H145='Tourism Medium DB-LCU'!H144/'Tourism Medium DB-LCU'!H143</f>
        <v>1</v>
      </c>
      <c r="C13" t="b">
        <f>'Tourism Medium DB-LCU'!I145='Tourism Medium DB-LCU'!I144/'Tourism Medium DB-LCU'!I143</f>
        <v>1</v>
      </c>
      <c r="D13" t="b">
        <f>'Tourism Medium DB-LCU'!J145='Tourism Medium DB-LCU'!J144/'Tourism Medium DB-LCU'!J143</f>
        <v>1</v>
      </c>
      <c r="E13" t="b">
        <f>'Tourism Medium DB-LCU'!K145='Tourism Medium DB-LCU'!K144/'Tourism Medium DB-LCU'!K143</f>
        <v>1</v>
      </c>
      <c r="F13" t="b">
        <f>'Tourism Medium DB-LCU'!L145='Tourism Medium DB-LCU'!L144/'Tourism Medium DB-LCU'!L143</f>
        <v>1</v>
      </c>
      <c r="G13" t="b">
        <f>'Tourism Medium DB-LCU'!M145='Tourism Medium DB-LCU'!M144/'Tourism Medium DB-LCU'!M143</f>
        <v>1</v>
      </c>
      <c r="H13" t="b">
        <f>'Tourism Medium DB-LCU'!N145='Tourism Medium DB-LCU'!N144/'Tourism Medium DB-LCU'!N143</f>
        <v>1</v>
      </c>
      <c r="I13" t="b">
        <f>'Tourism Medium DB-LCU'!O145='Tourism Medium DB-LCU'!O144/'Tourism Medium DB-LCU'!O143</f>
        <v>1</v>
      </c>
      <c r="J13" t="b">
        <f>'Tourism Medium DB-LCU'!P145='Tourism Medium DB-LCU'!P144/'Tourism Medium DB-LCU'!P143</f>
        <v>1</v>
      </c>
      <c r="K13" t="b">
        <f>'Tourism Medium DB-LCU'!Q145='Tourism Medium DB-LCU'!Q144/'Tourism Medium DB-LCU'!Q143</f>
        <v>1</v>
      </c>
    </row>
    <row r="14" spans="1:13">
      <c r="A14" t="str">
        <f>'Tourism Medium DB-LCU'!C146</f>
        <v>Utilization Rate</v>
      </c>
      <c r="B14" t="b">
        <f>'Tourism Medium DB-LCU'!H146=(('Tourism Medium DB-LCU'!H144*1000000)/('Tourism Medium DB-LCU'!H142*365))</f>
        <v>1</v>
      </c>
      <c r="C14" t="b">
        <f>'Tourism Medium DB-LCU'!I146=(('Tourism Medium DB-LCU'!I144*1000000)/('Tourism Medium DB-LCU'!I142*365))</f>
        <v>1</v>
      </c>
      <c r="D14" t="b">
        <f>'Tourism Medium DB-LCU'!J146=(('Tourism Medium DB-LCU'!J144*1000000)/('Tourism Medium DB-LCU'!J142*365))</f>
        <v>1</v>
      </c>
      <c r="E14" t="b">
        <f>'Tourism Medium DB-LCU'!K146=(('Tourism Medium DB-LCU'!K144*1000000)/('Tourism Medium DB-LCU'!K142*365))</f>
        <v>1</v>
      </c>
      <c r="F14" t="b">
        <f>'Tourism Medium DB-LCU'!L146=(('Tourism Medium DB-LCU'!L144*1000000)/('Tourism Medium DB-LCU'!L142*365))</f>
        <v>1</v>
      </c>
      <c r="G14" t="b">
        <f>'Tourism Medium DB-LCU'!M146=(('Tourism Medium DB-LCU'!M144*1000000)/('Tourism Medium DB-LCU'!M142*365))</f>
        <v>1</v>
      </c>
      <c r="H14" t="b">
        <f>'Tourism Medium DB-LCU'!N146=(('Tourism Medium DB-LCU'!N144*1000000)/('Tourism Medium DB-LCU'!N142*365))</f>
        <v>1</v>
      </c>
      <c r="I14" t="b">
        <f>'Tourism Medium DB-LCU'!O146=(('Tourism Medium DB-LCU'!O144*1000000)/('Tourism Medium DB-LCU'!O142*365))</f>
        <v>1</v>
      </c>
      <c r="J14" t="b">
        <f>'Tourism Medium DB-LCU'!P146=(('Tourism Medium DB-LCU'!P144*1000000)/('Tourism Medium DB-LCU'!P142*365))</f>
        <v>1</v>
      </c>
      <c r="K14" t="b">
        <f>'Tourism Medium DB-LCU'!Q146=(('Tourism Medium DB-LCU'!Q144*1000000)/('Tourism Medium DB-LCU'!Q142*365))</f>
        <v>1</v>
      </c>
    </row>
    <row r="15" spans="1:13">
      <c r="A15" t="str">
        <f>'Tourism Medium DB-LCU'!C147</f>
        <v>Average Revenue per Day</v>
      </c>
      <c r="B15" t="b">
        <f>'Tourism Medium DB-LCU'!H147='Tourism Medium DB-LCU'!H135/'Tourism Medium DB-LCU'!H144</f>
        <v>1</v>
      </c>
      <c r="C15" t="b">
        <f>'Tourism Medium DB-LCU'!I147='Tourism Medium DB-LCU'!I135/'Tourism Medium DB-LCU'!I144</f>
        <v>1</v>
      </c>
      <c r="D15" t="b">
        <f>'Tourism Medium DB-LCU'!J147='Tourism Medium DB-LCU'!J135/'Tourism Medium DB-LCU'!J144</f>
        <v>1</v>
      </c>
      <c r="E15" t="b">
        <f>'Tourism Medium DB-LCU'!K147='Tourism Medium DB-LCU'!K135/'Tourism Medium DB-LCU'!K144</f>
        <v>1</v>
      </c>
      <c r="F15" t="b">
        <f>'Tourism Medium DB-LCU'!L147='Tourism Medium DB-LCU'!L135/'Tourism Medium DB-LCU'!L144</f>
        <v>1</v>
      </c>
      <c r="G15" t="b">
        <f>'Tourism Medium DB-LCU'!M147='Tourism Medium DB-LCU'!M135/'Tourism Medium DB-LCU'!M144</f>
        <v>1</v>
      </c>
      <c r="H15" t="b">
        <f>'Tourism Medium DB-LCU'!N147='Tourism Medium DB-LCU'!N135/'Tourism Medium DB-LCU'!N144</f>
        <v>1</v>
      </c>
      <c r="I15" t="b">
        <f>'Tourism Medium DB-LCU'!O147='Tourism Medium DB-LCU'!O135/'Tourism Medium DB-LCU'!O144</f>
        <v>1</v>
      </c>
      <c r="J15" t="b">
        <f>'Tourism Medium DB-LCU'!P147='Tourism Medium DB-LCU'!P135/'Tourism Medium DB-LCU'!P144</f>
        <v>1</v>
      </c>
      <c r="K15" t="b">
        <f>'Tourism Medium DB-LCU'!Q147='Tourism Medium DB-LCU'!Q135/'Tourism Medium DB-LCU'!Q144</f>
        <v>1</v>
      </c>
    </row>
    <row r="16" spans="1:13">
      <c r="A16" s="466" t="str">
        <f>'Tourism Medium DB-LCU'!B124</f>
        <v>Passenger Airlines</v>
      </c>
      <c r="B16" s="466"/>
      <c r="C16" s="466"/>
      <c r="D16" s="466"/>
      <c r="E16" s="466"/>
      <c r="F16" s="466"/>
      <c r="G16" s="466"/>
      <c r="H16" s="466"/>
      <c r="I16" s="466"/>
      <c r="J16" s="466"/>
      <c r="K16" s="466"/>
    </row>
    <row r="17" spans="1:11">
      <c r="A17" t="s">
        <v>557</v>
      </c>
      <c r="B17" t="b">
        <f>'Tourism Medium DB-LCU'!H129='Tourism Medium DB-LCU'!H131/'Tourism Medium DB-LCU'!H130</f>
        <v>1</v>
      </c>
      <c r="C17" t="b">
        <f>'Tourism Medium DB-LCU'!I129='Tourism Medium DB-LCU'!I131/'Tourism Medium DB-LCU'!I130</f>
        <v>1</v>
      </c>
      <c r="D17" t="b">
        <f>'Tourism Medium DB-LCU'!J129='Tourism Medium DB-LCU'!J131/'Tourism Medium DB-LCU'!J130</f>
        <v>1</v>
      </c>
      <c r="E17" t="b">
        <f>'Tourism Medium DB-LCU'!K129='Tourism Medium DB-LCU'!K131/'Tourism Medium DB-LCU'!K130</f>
        <v>1</v>
      </c>
      <c r="F17" t="b">
        <f>'Tourism Medium DB-LCU'!L129='Tourism Medium DB-LCU'!L131/'Tourism Medium DB-LCU'!L130</f>
        <v>1</v>
      </c>
      <c r="G17" t="b">
        <f>'Tourism Medium DB-LCU'!M129='Tourism Medium DB-LCU'!M131/'Tourism Medium DB-LCU'!M130</f>
        <v>1</v>
      </c>
      <c r="H17" t="b">
        <f>'Tourism Medium DB-LCU'!N129='Tourism Medium DB-LCU'!N131/'Tourism Medium DB-LCU'!N130</f>
        <v>1</v>
      </c>
      <c r="I17" t="b">
        <f>'Tourism Medium DB-LCU'!O129='Tourism Medium DB-LCU'!O131/'Tourism Medium DB-LCU'!O130</f>
        <v>1</v>
      </c>
      <c r="J17" t="b">
        <f>'Tourism Medium DB-LCU'!P129='Tourism Medium DB-LCU'!P131/'Tourism Medium DB-LCU'!P130</f>
        <v>1</v>
      </c>
      <c r="K17" t="b">
        <f>'Tourism Medium DB-LCU'!Q129='Tourism Medium DB-LCU'!Q131/'Tourism Medium DB-LCU'!Q130</f>
        <v>1</v>
      </c>
    </row>
    <row r="18" spans="1:11">
      <c r="A18" t="s">
        <v>558</v>
      </c>
      <c r="B18" t="b">
        <f>'Tourism Medium DB-LCU'!H130='Tourism Medium DB-LCU'!H131/'Tourism Medium DB-LCU'!H129</f>
        <v>1</v>
      </c>
      <c r="C18" t="b">
        <f>'Tourism Medium DB-LCU'!I130='Tourism Medium DB-LCU'!I131/'Tourism Medium DB-LCU'!I129</f>
        <v>1</v>
      </c>
      <c r="D18" t="b">
        <f>'Tourism Medium DB-LCU'!J130='Tourism Medium DB-LCU'!J131/'Tourism Medium DB-LCU'!J129</f>
        <v>1</v>
      </c>
      <c r="E18" t="b">
        <f>'Tourism Medium DB-LCU'!K130='Tourism Medium DB-LCU'!K131/'Tourism Medium DB-LCU'!K129</f>
        <v>1</v>
      </c>
      <c r="F18" t="b">
        <f>'Tourism Medium DB-LCU'!L130='Tourism Medium DB-LCU'!L131/'Tourism Medium DB-LCU'!L129</f>
        <v>1</v>
      </c>
      <c r="G18" t="b">
        <f>'Tourism Medium DB-LCU'!M130='Tourism Medium DB-LCU'!M131/'Tourism Medium DB-LCU'!M129</f>
        <v>1</v>
      </c>
      <c r="H18" t="b">
        <f>'Tourism Medium DB-LCU'!N130='Tourism Medium DB-LCU'!N131/'Tourism Medium DB-LCU'!N129</f>
        <v>1</v>
      </c>
      <c r="I18" t="b">
        <f>'Tourism Medium DB-LCU'!O130='Tourism Medium DB-LCU'!O131/'Tourism Medium DB-LCU'!O129</f>
        <v>1</v>
      </c>
      <c r="J18" t="b">
        <f>'Tourism Medium DB-LCU'!P130='Tourism Medium DB-LCU'!P131/'Tourism Medium DB-LCU'!P129</f>
        <v>1</v>
      </c>
      <c r="K18" t="b">
        <f>'Tourism Medium DB-LCU'!Q130='Tourism Medium DB-LCU'!Q131/'Tourism Medium DB-LCU'!Q129</f>
        <v>1</v>
      </c>
    </row>
    <row r="19" spans="1:11">
      <c r="A19" t="s">
        <v>544</v>
      </c>
      <c r="B19" t="b">
        <f>'Tourism Medium DB-LCU'!H132='Tourism Medium DB-LCU'!H133*1000/'Tourism Medium DB-LCU'!H126</f>
        <v>1</v>
      </c>
      <c r="C19" t="b">
        <f>'Tourism Medium DB-LCU'!I132='Tourism Medium DB-LCU'!I133*1000/'Tourism Medium DB-LCU'!I126</f>
        <v>1</v>
      </c>
      <c r="D19" t="b">
        <f>'Tourism Medium DB-LCU'!J132='Tourism Medium DB-LCU'!J133*1000/'Tourism Medium DB-LCU'!J126</f>
        <v>1</v>
      </c>
      <c r="E19" t="b">
        <f>'Tourism Medium DB-LCU'!K132='Tourism Medium DB-LCU'!K133*1000/'Tourism Medium DB-LCU'!K126</f>
        <v>1</v>
      </c>
      <c r="F19" t="b">
        <f>'Tourism Medium DB-LCU'!L132='Tourism Medium DB-LCU'!L133*1000/'Tourism Medium DB-LCU'!L126</f>
        <v>1</v>
      </c>
      <c r="G19" t="b">
        <f>'Tourism Medium DB-LCU'!M132='Tourism Medium DB-LCU'!M133*1000/'Tourism Medium DB-LCU'!M126</f>
        <v>1</v>
      </c>
      <c r="H19" t="b">
        <f>'Tourism Medium DB-LCU'!N132='Tourism Medium DB-LCU'!N133*1000/'Tourism Medium DB-LCU'!N126</f>
        <v>1</v>
      </c>
      <c r="I19" t="b">
        <f>'Tourism Medium DB-LCU'!O132='Tourism Medium DB-LCU'!O133*1000/'Tourism Medium DB-LCU'!O126</f>
        <v>1</v>
      </c>
      <c r="J19" t="b">
        <f>'Tourism Medium DB-LCU'!P132='Tourism Medium DB-LCU'!P133*1000/'Tourism Medium DB-LCU'!P126</f>
        <v>1</v>
      </c>
      <c r="K19" t="b">
        <f>'Tourism Medium DB-LCU'!Q132='Tourism Medium DB-LCU'!Q133*1000/'Tourism Medium DB-LCU'!Q126</f>
        <v>1</v>
      </c>
    </row>
    <row r="20" spans="1:11">
      <c r="A20" s="466" t="s">
        <v>585</v>
      </c>
      <c r="B20" s="466"/>
      <c r="C20" s="466"/>
      <c r="D20" s="466"/>
      <c r="E20" s="466"/>
      <c r="F20" s="466"/>
      <c r="G20" s="466"/>
      <c r="H20" s="466"/>
      <c r="I20" s="466"/>
      <c r="J20" s="466"/>
      <c r="K20" s="466"/>
    </row>
    <row r="21" spans="1:11">
      <c r="A21" t="s">
        <v>469</v>
      </c>
      <c r="B21" t="b">
        <f>'Tourism Medium DB-LCU'!H164='Tourism Medium DB-LCU'!H174='Tourism Medium DB-LCU'!H177='Tourism Medium DB-LCU'!H180</f>
        <v>0</v>
      </c>
      <c r="C21" t="b">
        <f>'Tourism Medium DB-LCU'!I164='Tourism Medium DB-LCU'!I174='Tourism Medium DB-LCU'!I177='Tourism Medium DB-LCU'!I180</f>
        <v>0</v>
      </c>
      <c r="D21" t="b">
        <f>'Tourism Medium DB-LCU'!J164='Tourism Medium DB-LCU'!J174='Tourism Medium DB-LCU'!J177='Tourism Medium DB-LCU'!J180</f>
        <v>0</v>
      </c>
      <c r="E21" t="b">
        <f>'Tourism Medium DB-LCU'!K164='Tourism Medium DB-LCU'!K174='Tourism Medium DB-LCU'!K177='Tourism Medium DB-LCU'!K180</f>
        <v>0</v>
      </c>
      <c r="F21" t="b">
        <f>'Tourism Medium DB-LCU'!L164='Tourism Medium DB-LCU'!L174='Tourism Medium DB-LCU'!L177='Tourism Medium DB-LCU'!L180</f>
        <v>0</v>
      </c>
      <c r="G21" t="b">
        <f>'Tourism Medium DB-LCU'!M164='Tourism Medium DB-LCU'!M174='Tourism Medium DB-LCU'!M177='Tourism Medium DB-LCU'!M180</f>
        <v>0</v>
      </c>
      <c r="H21" t="b">
        <f>'Tourism Medium DB-LCU'!N164='Tourism Medium DB-LCU'!N174='Tourism Medium DB-LCU'!N177='Tourism Medium DB-LCU'!N180</f>
        <v>0</v>
      </c>
      <c r="I21" t="b">
        <f>'Tourism Medium DB-LCU'!O164='Tourism Medium DB-LCU'!O174='Tourism Medium DB-LCU'!O177='Tourism Medium DB-LCU'!O180</f>
        <v>0</v>
      </c>
      <c r="J21" t="b">
        <f>'Tourism Medium DB-LCU'!P164='Tourism Medium DB-LCU'!P174='Tourism Medium DB-LCU'!P177='Tourism Medium DB-LCU'!P180</f>
        <v>0</v>
      </c>
      <c r="K21" t="b">
        <f>'Tourism Medium DB-LCU'!Q164='Tourism Medium DB-LCU'!Q174='Tourism Medium DB-LCU'!Q177='Tourism Medium DB-LCU'!Q180</f>
        <v>0</v>
      </c>
    </row>
    <row r="22" spans="1:11">
      <c r="A22" t="s">
        <v>80</v>
      </c>
      <c r="B22" t="b">
        <f>'Tourism Medium DB-LCU'!H164=SUM('Tourism Medium DB-LCU'!H165,'Tourism Medium DB-LCU'!H166,'Tourism Medium DB-LCU'!H169,'Tourism Medium DB-LCU'!H170,'Tourism Medium DB-LCU'!H173)</f>
        <v>1</v>
      </c>
      <c r="C22" t="b">
        <f>'Tourism Medium DB-LCU'!I164=SUM('Tourism Medium DB-LCU'!I165,'Tourism Medium DB-LCU'!I166,'Tourism Medium DB-LCU'!I169,'Tourism Medium DB-LCU'!I170,'Tourism Medium DB-LCU'!I173)</f>
        <v>1</v>
      </c>
      <c r="D22" t="b">
        <f>'Tourism Medium DB-LCU'!J164=SUM('Tourism Medium DB-LCU'!J165,'Tourism Medium DB-LCU'!J166,'Tourism Medium DB-LCU'!J169,'Tourism Medium DB-LCU'!J170,'Tourism Medium DB-LCU'!J173)</f>
        <v>1</v>
      </c>
      <c r="E22" t="b">
        <f>'Tourism Medium DB-LCU'!K164=SUM('Tourism Medium DB-LCU'!K165,'Tourism Medium DB-LCU'!K166,'Tourism Medium DB-LCU'!K169,'Tourism Medium DB-LCU'!K170,'Tourism Medium DB-LCU'!K173)</f>
        <v>1</v>
      </c>
      <c r="F22" t="b">
        <f>'Tourism Medium DB-LCU'!L164=SUM('Tourism Medium DB-LCU'!L165,'Tourism Medium DB-LCU'!L166,'Tourism Medium DB-LCU'!L169,'Tourism Medium DB-LCU'!L170,'Tourism Medium DB-LCU'!L173)</f>
        <v>1</v>
      </c>
      <c r="G22" t="b">
        <f>'Tourism Medium DB-LCU'!M164=SUM('Tourism Medium DB-LCU'!M165,'Tourism Medium DB-LCU'!M166,'Tourism Medium DB-LCU'!M169,'Tourism Medium DB-LCU'!M170,'Tourism Medium DB-LCU'!M173)</f>
        <v>1</v>
      </c>
      <c r="H22" t="b">
        <f>'Tourism Medium DB-LCU'!N164=SUM('Tourism Medium DB-LCU'!N165,'Tourism Medium DB-LCU'!N166,'Tourism Medium DB-LCU'!N169,'Tourism Medium DB-LCU'!N170,'Tourism Medium DB-LCU'!N173)</f>
        <v>1</v>
      </c>
      <c r="I22" t="b">
        <f>'Tourism Medium DB-LCU'!O164=SUM('Tourism Medium DB-LCU'!O165,'Tourism Medium DB-LCU'!O166,'Tourism Medium DB-LCU'!O169,'Tourism Medium DB-LCU'!O170,'Tourism Medium DB-LCU'!O173)</f>
        <v>1</v>
      </c>
      <c r="J22" t="b">
        <f>'Tourism Medium DB-LCU'!P164=SUM('Tourism Medium DB-LCU'!P165,'Tourism Medium DB-LCU'!P166,'Tourism Medium DB-LCU'!P169,'Tourism Medium DB-LCU'!P170,'Tourism Medium DB-LCU'!P173)</f>
        <v>1</v>
      </c>
      <c r="K22" t="b">
        <f>'Tourism Medium DB-LCU'!Q164=SUM('Tourism Medium DB-LCU'!Q165,'Tourism Medium DB-LCU'!Q166,'Tourism Medium DB-LCU'!Q169,'Tourism Medium DB-LCU'!Q170,'Tourism Medium DB-LCU'!Q173)</f>
        <v>1</v>
      </c>
    </row>
    <row r="23" spans="1:11">
      <c r="A23" t="s">
        <v>82</v>
      </c>
      <c r="B23" t="b">
        <f>'Tourism Medium DB-LCU'!H166=SUM('Tourism Medium DB-LCU'!H167,'Tourism Medium DB-LCU'!H168)</f>
        <v>1</v>
      </c>
      <c r="C23" t="b">
        <f>'Tourism Medium DB-LCU'!I166=SUM('Tourism Medium DB-LCU'!I167,'Tourism Medium DB-LCU'!I168)</f>
        <v>1</v>
      </c>
      <c r="D23" t="b">
        <f>'Tourism Medium DB-LCU'!J166=SUM('Tourism Medium DB-LCU'!J167,'Tourism Medium DB-LCU'!J168)</f>
        <v>1</v>
      </c>
      <c r="E23" t="b">
        <f>'Tourism Medium DB-LCU'!K166=SUM('Tourism Medium DB-LCU'!K167,'Tourism Medium DB-LCU'!K168)</f>
        <v>1</v>
      </c>
      <c r="F23" t="b">
        <f>'Tourism Medium DB-LCU'!L166=SUM('Tourism Medium DB-LCU'!L167,'Tourism Medium DB-LCU'!L168)</f>
        <v>1</v>
      </c>
      <c r="G23" t="b">
        <f>'Tourism Medium DB-LCU'!M166=SUM('Tourism Medium DB-LCU'!M167,'Tourism Medium DB-LCU'!M168)</f>
        <v>1</v>
      </c>
      <c r="H23" t="b">
        <f>'Tourism Medium DB-LCU'!N166=SUM('Tourism Medium DB-LCU'!N167,'Tourism Medium DB-LCU'!N168)</f>
        <v>1</v>
      </c>
      <c r="I23" t="b">
        <f>'Tourism Medium DB-LCU'!O166=SUM('Tourism Medium DB-LCU'!O167,'Tourism Medium DB-LCU'!O168)</f>
        <v>1</v>
      </c>
      <c r="J23" t="b">
        <f>'Tourism Medium DB-LCU'!P166=SUM('Tourism Medium DB-LCU'!P167,'Tourism Medium DB-LCU'!P168)</f>
        <v>1</v>
      </c>
      <c r="K23" t="b">
        <f>'Tourism Medium DB-LCU'!Q166=SUM('Tourism Medium DB-LCU'!Q167,'Tourism Medium DB-LCU'!Q168)</f>
        <v>1</v>
      </c>
    </row>
    <row r="24" spans="1:11">
      <c r="A24" t="s">
        <v>86</v>
      </c>
      <c r="B24" t="b">
        <f>'Tourism Medium DB-LCU'!H170=SUM('Tourism Medium DB-LCU'!H171,'Tourism Medium DB-LCU'!H172)</f>
        <v>1</v>
      </c>
      <c r="C24" t="b">
        <f>'Tourism Medium DB-LCU'!I170=SUM('Tourism Medium DB-LCU'!I171,'Tourism Medium DB-LCU'!I172)</f>
        <v>1</v>
      </c>
      <c r="D24" t="b">
        <f>'Tourism Medium DB-LCU'!J170=SUM('Tourism Medium DB-LCU'!J171,'Tourism Medium DB-LCU'!J172)</f>
        <v>1</v>
      </c>
      <c r="E24" t="b">
        <f>'Tourism Medium DB-LCU'!K170=SUM('Tourism Medium DB-LCU'!K171,'Tourism Medium DB-LCU'!K172)</f>
        <v>1</v>
      </c>
      <c r="F24" t="b">
        <f>'Tourism Medium DB-LCU'!L170=SUM('Tourism Medium DB-LCU'!L171,'Tourism Medium DB-LCU'!L172)</f>
        <v>1</v>
      </c>
      <c r="G24" t="b">
        <f>'Tourism Medium DB-LCU'!M170=SUM('Tourism Medium DB-LCU'!M171,'Tourism Medium DB-LCU'!M172)</f>
        <v>1</v>
      </c>
      <c r="H24" t="b">
        <f>'Tourism Medium DB-LCU'!N170=SUM('Tourism Medium DB-LCU'!N171,'Tourism Medium DB-LCU'!N172)</f>
        <v>1</v>
      </c>
      <c r="I24" t="b">
        <f>'Tourism Medium DB-LCU'!O170=SUM('Tourism Medium DB-LCU'!O171,'Tourism Medium DB-LCU'!O172)</f>
        <v>1</v>
      </c>
      <c r="J24" t="b">
        <f>'Tourism Medium DB-LCU'!P170=SUM('Tourism Medium DB-LCU'!P171,'Tourism Medium DB-LCU'!P172)</f>
        <v>1</v>
      </c>
      <c r="K24" t="b">
        <f>'Tourism Medium DB-LCU'!Q170=SUM('Tourism Medium DB-LCU'!Q171,'Tourism Medium DB-LCU'!Q172)</f>
        <v>1</v>
      </c>
    </row>
    <row r="25" spans="1:11">
      <c r="A25" t="s">
        <v>104</v>
      </c>
      <c r="B25" t="b">
        <f>'Tourism Medium DB-LCU'!H174=SUM('Tourism Medium DB-LCU'!H175,'Tourism Medium DB-LCU'!H176)</f>
        <v>1</v>
      </c>
      <c r="C25" t="b">
        <f>'Tourism Medium DB-LCU'!I174=SUM('Tourism Medium DB-LCU'!I175,'Tourism Medium DB-LCU'!I176)</f>
        <v>1</v>
      </c>
      <c r="D25" t="b">
        <f>'Tourism Medium DB-LCU'!J174=SUM('Tourism Medium DB-LCU'!J175,'Tourism Medium DB-LCU'!J176)</f>
        <v>1</v>
      </c>
      <c r="E25" t="b">
        <f>'Tourism Medium DB-LCU'!K174=SUM('Tourism Medium DB-LCU'!K175,'Tourism Medium DB-LCU'!K176)</f>
        <v>1</v>
      </c>
      <c r="F25" t="b">
        <f>'Tourism Medium DB-LCU'!L174=SUM('Tourism Medium DB-LCU'!L175,'Tourism Medium DB-LCU'!L176)</f>
        <v>1</v>
      </c>
      <c r="G25" t="b">
        <f>'Tourism Medium DB-LCU'!M174=SUM('Tourism Medium DB-LCU'!M175,'Tourism Medium DB-LCU'!M176)</f>
        <v>1</v>
      </c>
      <c r="H25" t="b">
        <f>'Tourism Medium DB-LCU'!N174=SUM('Tourism Medium DB-LCU'!N175,'Tourism Medium DB-LCU'!N176)</f>
        <v>1</v>
      </c>
      <c r="I25" t="b">
        <f>'Tourism Medium DB-LCU'!O174=SUM('Tourism Medium DB-LCU'!O175,'Tourism Medium DB-LCU'!O176)</f>
        <v>1</v>
      </c>
      <c r="J25" t="b">
        <f>'Tourism Medium DB-LCU'!P174=SUM('Tourism Medium DB-LCU'!P175,'Tourism Medium DB-LCU'!P176)</f>
        <v>1</v>
      </c>
      <c r="K25" t="b">
        <f>'Tourism Medium DB-LCU'!Q174=SUM('Tourism Medium DB-LCU'!Q175,'Tourism Medium DB-LCU'!Q176)</f>
        <v>1</v>
      </c>
    </row>
    <row r="26" spans="1:11">
      <c r="A26" t="s">
        <v>105</v>
      </c>
      <c r="B26" t="b">
        <f>'Tourism Medium DB-LCU'!H177=SUM('Tourism Medium DB-LCU'!H178,'Tourism Medium DB-LCU'!H179)</f>
        <v>1</v>
      </c>
      <c r="C26" t="b">
        <f>'Tourism Medium DB-LCU'!I177=SUM('Tourism Medium DB-LCU'!I178,'Tourism Medium DB-LCU'!I179)</f>
        <v>1</v>
      </c>
      <c r="D26" t="b">
        <f>'Tourism Medium DB-LCU'!J177=SUM('Tourism Medium DB-LCU'!J178,'Tourism Medium DB-LCU'!J179)</f>
        <v>1</v>
      </c>
      <c r="E26" t="b">
        <f>'Tourism Medium DB-LCU'!K177=SUM('Tourism Medium DB-LCU'!K178,'Tourism Medium DB-LCU'!K179)</f>
        <v>1</v>
      </c>
      <c r="F26" t="b">
        <f>'Tourism Medium DB-LCU'!L177=SUM('Tourism Medium DB-LCU'!L178,'Tourism Medium DB-LCU'!L179)</f>
        <v>1</v>
      </c>
      <c r="G26" t="b">
        <f>'Tourism Medium DB-LCU'!M177=SUM('Tourism Medium DB-LCU'!M178,'Tourism Medium DB-LCU'!M179)</f>
        <v>1</v>
      </c>
      <c r="H26" t="b">
        <f>'Tourism Medium DB-LCU'!N177=SUM('Tourism Medium DB-LCU'!N178,'Tourism Medium DB-LCU'!N179)</f>
        <v>1</v>
      </c>
      <c r="I26" t="b">
        <f>'Tourism Medium DB-LCU'!O177=SUM('Tourism Medium DB-LCU'!O178,'Tourism Medium DB-LCU'!O179)</f>
        <v>1</v>
      </c>
      <c r="J26" t="b">
        <f>'Tourism Medium DB-LCU'!P177=SUM('Tourism Medium DB-LCU'!P178,'Tourism Medium DB-LCU'!P179)</f>
        <v>1</v>
      </c>
      <c r="K26" t="b">
        <f>'Tourism Medium DB-LCU'!Q177=SUM('Tourism Medium DB-LCU'!Q178,'Tourism Medium DB-LCU'!Q179)</f>
        <v>1</v>
      </c>
    </row>
    <row r="27" spans="1:11">
      <c r="A27" t="s">
        <v>75</v>
      </c>
      <c r="B27" t="e">
        <f>'Tourism Medium DB-LCU'!H180=SUM('Tourism Medium DB-LCU'!H181,'Tourism Medium DB-LCU'!H182)</f>
        <v>#VALUE!</v>
      </c>
      <c r="C27" t="e">
        <f>'Tourism Medium DB-LCU'!I180=SUM('Tourism Medium DB-LCU'!I181,'Tourism Medium DB-LCU'!I182)</f>
        <v>#VALUE!</v>
      </c>
      <c r="D27" t="e">
        <f>'Tourism Medium DB-LCU'!J180=SUM('Tourism Medium DB-LCU'!J181,'Tourism Medium DB-LCU'!J182)</f>
        <v>#VALUE!</v>
      </c>
      <c r="E27" t="e">
        <f>'Tourism Medium DB-LCU'!K180=SUM('Tourism Medium DB-LCU'!K181,'Tourism Medium DB-LCU'!K182)</f>
        <v>#VALUE!</v>
      </c>
      <c r="F27" t="b">
        <f>'Tourism Medium DB-LCU'!L180=SUM('Tourism Medium DB-LCU'!L181,'Tourism Medium DB-LCU'!L182)</f>
        <v>1</v>
      </c>
      <c r="G27" t="e">
        <f>'Tourism Medium DB-LCU'!M180=SUM('Tourism Medium DB-LCU'!M181,'Tourism Medium DB-LCU'!M182)</f>
        <v>#VALUE!</v>
      </c>
      <c r="H27" t="e">
        <f>'Tourism Medium DB-LCU'!N180=SUM('Tourism Medium DB-LCU'!N181,'Tourism Medium DB-LCU'!N182)</f>
        <v>#VALUE!</v>
      </c>
      <c r="I27" t="e">
        <f>'Tourism Medium DB-LCU'!O180=SUM('Tourism Medium DB-LCU'!O181,'Tourism Medium DB-LCU'!O182)</f>
        <v>#VALUE!</v>
      </c>
      <c r="J27" t="e">
        <f>'Tourism Medium DB-LCU'!P180=SUM('Tourism Medium DB-LCU'!P181,'Tourism Medium DB-LCU'!P182)</f>
        <v>#VALUE!</v>
      </c>
      <c r="K27" t="e">
        <f>'Tourism Medium DB-LCU'!Q180=SUM('Tourism Medium DB-LCU'!Q181,'Tourism Medium DB-LCU'!Q182)</f>
        <v>#VALUE!</v>
      </c>
    </row>
  </sheetData>
  <customSheetViews>
    <customSheetView guid="{BD5E9955-DC4B-4EA0-9160-9EF1C693DE04}" topLeftCell="A10">
      <selection activeCell="A24" sqref="A24"/>
      <pageMargins left="0.7" right="0.7" top="0.75" bottom="0.75" header="0.3" footer="0.3"/>
      <pageSetup orientation="portrait" horizontalDpi="300" verticalDpi="0" copies="0" r:id="rId1"/>
    </customSheetView>
    <customSheetView guid="{1ACDCC85-59E3-4410-927D-E7E5C71B61F5}">
      <selection activeCell="I19" sqref="I19"/>
      <pageMargins left="0.7" right="0.7" top="0.75" bottom="0.75" header="0.3" footer="0.3"/>
      <pageSetup orientation="portrait" horizontalDpi="300" verticalDpi="0" copies="0" r:id="rId2"/>
    </customSheetView>
    <customSheetView guid="{9144D9B3-2327-4B3A-89B1-6A595780C3C5}" state="hidden">
      <selection activeCell="B17" sqref="B17:K19"/>
      <pageMargins left="0.7" right="0.7" top="0.75" bottom="0.75" header="0.3" footer="0.3"/>
      <pageSetup orientation="portrait" horizontalDpi="300" verticalDpi="0" copies="0" r:id="rId3"/>
    </customSheetView>
    <customSheetView guid="{513032B5-C585-49C2-98E7-9FDE6F7A4BA7}" topLeftCell="A13">
      <pageMargins left="0.7" right="0.7" top="0.75" bottom="0.75" header="0.3" footer="0.3"/>
      <pageSetup orientation="portrait" horizontalDpi="300" verticalDpi="0" copies="0" r:id="rId4"/>
    </customSheetView>
    <customSheetView guid="{AF983ECA-536A-40E6-8A04-FF0A375E9ACC}">
      <selection activeCell="A21" sqref="A21"/>
      <pageMargins left="0.7" right="0.7" top="0.75" bottom="0.75" header="0.3" footer="0.3"/>
      <pageSetup orientation="portrait" horizontalDpi="300" verticalDpi="0" copies="0" r:id="rId5"/>
    </customSheetView>
  </customSheetViews>
  <conditionalFormatting sqref="B10:K15 B2:K8">
    <cfRule type="cellIs" dxfId="17" priority="12" operator="equal">
      <formula>FALSE</formula>
    </cfRule>
  </conditionalFormatting>
  <conditionalFormatting sqref="B17:K19">
    <cfRule type="cellIs" dxfId="16" priority="8" operator="equal">
      <formula>FALSE</formula>
    </cfRule>
    <cfRule type="cellIs" dxfId="15" priority="9" operator="equal">
      <formula>FALSE</formula>
    </cfRule>
    <cfRule type="cellIs" dxfId="14" priority="10" operator="equal">
      <formula>FALSE</formula>
    </cfRule>
  </conditionalFormatting>
  <conditionalFormatting sqref="B2:K8">
    <cfRule type="cellIs" dxfId="13" priority="7" operator="equal">
      <formula>FALSE</formula>
    </cfRule>
  </conditionalFormatting>
  <conditionalFormatting sqref="B21:K27">
    <cfRule type="cellIs" dxfId="12" priority="6" operator="equal">
      <formula>FALSE</formula>
    </cfRule>
  </conditionalFormatting>
  <conditionalFormatting sqref="B21:K27">
    <cfRule type="cellIs" dxfId="11" priority="5" operator="equal">
      <formula>FALSE</formula>
    </cfRule>
  </conditionalFormatting>
  <conditionalFormatting sqref="B10:K15">
    <cfRule type="cellIs" dxfId="10" priority="4" operator="equal">
      <formula>FALSE</formula>
    </cfRule>
  </conditionalFormatting>
  <conditionalFormatting sqref="B10:K15">
    <cfRule type="cellIs" dxfId="9" priority="3" operator="equal">
      <formula>FALSE</formula>
    </cfRule>
  </conditionalFormatting>
  <conditionalFormatting sqref="B2:K7">
    <cfRule type="cellIs" dxfId="8" priority="2" operator="equal">
      <formula>FALSE</formula>
    </cfRule>
  </conditionalFormatting>
  <conditionalFormatting sqref="B2:K7">
    <cfRule type="cellIs" dxfId="7" priority="1" operator="equal">
      <formula>FALSE</formula>
    </cfRule>
  </conditionalFormatting>
  <pageMargins left="0.7" right="0.7" top="0.75" bottom="0.75" header="0.3" footer="0.3"/>
  <pageSetup orientation="portrait" horizontalDpi="300" verticalDpi="0" copies="0" r:id="rId6"/>
  <legacyDrawing r:id="rId7"/>
</worksheet>
</file>

<file path=xl/worksheets/sheet13.xml><?xml version="1.0" encoding="utf-8"?>
<worksheet xmlns="http://schemas.openxmlformats.org/spreadsheetml/2006/main" xmlns:r="http://schemas.openxmlformats.org/officeDocument/2006/relationships">
  <dimension ref="A1:N47"/>
  <sheetViews>
    <sheetView topLeftCell="A41" workbookViewId="0"/>
  </sheetViews>
  <sheetFormatPr defaultRowHeight="15"/>
  <cols>
    <col min="1" max="1" width="23.28515625" customWidth="1"/>
    <col min="2" max="2" width="20.7109375" bestFit="1" customWidth="1"/>
    <col min="3" max="6" width="15.28515625" bestFit="1" customWidth="1"/>
  </cols>
  <sheetData>
    <row r="1" spans="1:14">
      <c r="B1" s="443">
        <v>2008</v>
      </c>
      <c r="C1" s="443">
        <v>2009</v>
      </c>
      <c r="D1" s="443">
        <v>2010</v>
      </c>
      <c r="E1" s="443">
        <v>2011</v>
      </c>
      <c r="F1" s="443">
        <v>2012</v>
      </c>
    </row>
    <row r="2" spans="1:14">
      <c r="A2" t="s">
        <v>956</v>
      </c>
      <c r="B2" s="273">
        <v>28075972</v>
      </c>
      <c r="C2" s="273">
        <v>25455255</v>
      </c>
      <c r="D2" s="273">
        <v>26927027</v>
      </c>
      <c r="E2" s="273">
        <v>30058675</v>
      </c>
      <c r="F2" s="273">
        <v>30706269</v>
      </c>
      <c r="H2" s="83"/>
      <c r="I2" s="83"/>
      <c r="J2" s="83"/>
      <c r="K2" s="83"/>
      <c r="L2" s="83"/>
    </row>
    <row r="3" spans="1:14">
      <c r="C3" s="446">
        <f>C2/B2-1</f>
        <v>-9.3343767403671674E-2</v>
      </c>
      <c r="D3" s="446">
        <f t="shared" ref="D3" si="0">D2/C2-1</f>
        <v>5.7818002608891472E-2</v>
      </c>
      <c r="E3" s="446">
        <f t="shared" ref="E3" si="1">E2/D2-1</f>
        <v>0.11630129089260399</v>
      </c>
      <c r="F3" s="446">
        <f t="shared" ref="F3" si="2">F2/E2-1</f>
        <v>2.154432954879093E-2</v>
      </c>
    </row>
    <row r="4" spans="1:14">
      <c r="C4" s="446"/>
      <c r="D4" s="446"/>
      <c r="E4" s="446"/>
      <c r="F4" s="446"/>
    </row>
    <row r="5" spans="1:14">
      <c r="A5" t="s">
        <v>949</v>
      </c>
      <c r="B5" s="273">
        <f>B9/B8*B2</f>
        <v>43642272.628716663</v>
      </c>
      <c r="C5" s="709">
        <f>C9/C8*C2</f>
        <v>38330218.883188017</v>
      </c>
      <c r="D5" s="709">
        <f>D9/D8*D2</f>
        <v>39717749.755377077</v>
      </c>
      <c r="E5" s="709">
        <f>E9/E8*E2</f>
        <v>44089619.556337863</v>
      </c>
      <c r="F5" s="709">
        <f>F9/F8*F2</f>
        <v>44178597.702287242</v>
      </c>
    </row>
    <row r="6" spans="1:14">
      <c r="C6" s="446">
        <f>C5/B5-1</f>
        <v>-0.12171808261958628</v>
      </c>
      <c r="D6" s="446">
        <f>D5/C5-1</f>
        <v>3.6199398610730071E-2</v>
      </c>
      <c r="E6" s="446">
        <f>E5/D5-1</f>
        <v>0.11007345148925296</v>
      </c>
      <c r="F6" s="446">
        <f>F5/E5-1</f>
        <v>2.0181200664632915E-3</v>
      </c>
    </row>
    <row r="7" spans="1:14">
      <c r="A7" t="s">
        <v>809</v>
      </c>
      <c r="B7" s="253"/>
      <c r="C7" s="253"/>
      <c r="D7" s="253"/>
      <c r="E7" s="253"/>
      <c r="G7" s="83"/>
    </row>
    <row r="8" spans="1:14">
      <c r="A8" t="s">
        <v>948</v>
      </c>
      <c r="B8" s="253">
        <v>28063643</v>
      </c>
      <c r="C8" s="253">
        <v>25443786</v>
      </c>
      <c r="D8" s="253">
        <v>26865442</v>
      </c>
      <c r="E8" s="253">
        <v>29949930</v>
      </c>
      <c r="F8" s="273">
        <v>30554472</v>
      </c>
    </row>
    <row r="9" spans="1:14">
      <c r="A9" t="s">
        <v>949</v>
      </c>
      <c r="B9" s="273">
        <v>43623108</v>
      </c>
      <c r="C9" s="273">
        <v>38312949</v>
      </c>
      <c r="D9" s="273">
        <v>39626911</v>
      </c>
      <c r="E9" s="273">
        <v>43930114</v>
      </c>
      <c r="F9" s="273">
        <v>43960200</v>
      </c>
    </row>
    <row r="11" spans="1:14">
      <c r="D11" s="154"/>
      <c r="E11" s="154"/>
      <c r="F11" s="154"/>
    </row>
    <row r="12" spans="1:14">
      <c r="A12" t="s">
        <v>19</v>
      </c>
      <c r="B12" s="273">
        <f>FORECAST(B2,C12:D12,C2:D2)</f>
        <v>11718739.480682489</v>
      </c>
      <c r="C12" s="273">
        <f>FORECAST(C2,D12:E12,D2:E2)</f>
        <v>11157024.703091428</v>
      </c>
      <c r="D12" s="273">
        <f>FORECAST(D2,E12:F12,E2:F2)</f>
        <v>11472478.863782853</v>
      </c>
      <c r="E12" s="273">
        <f>F15*E2*1.01</f>
        <v>12143704.699999999</v>
      </c>
      <c r="F12" s="273">
        <f>F15*F2</f>
        <v>12282507.600000001</v>
      </c>
      <c r="H12" s="83">
        <f>C12/B12-1</f>
        <v>-4.7933037381452825E-2</v>
      </c>
      <c r="I12" s="83">
        <f>D12/C12-1</f>
        <v>2.8274039816728047E-2</v>
      </c>
      <c r="J12" s="83">
        <f>E12/D12-1</f>
        <v>5.850748074473433E-2</v>
      </c>
      <c r="K12" s="83">
        <f>F12/E12-1</f>
        <v>1.1430029256228824E-2</v>
      </c>
      <c r="L12" s="83"/>
      <c r="M12" s="83"/>
      <c r="N12" s="83"/>
    </row>
    <row r="13" spans="1:14">
      <c r="A13" t="s">
        <v>20</v>
      </c>
      <c r="B13" s="273">
        <f>B2-B12</f>
        <v>16357232.519317511</v>
      </c>
      <c r="C13" s="273">
        <f t="shared" ref="C13:F13" si="3">C2-C12</f>
        <v>14298230.296908572</v>
      </c>
      <c r="D13" s="273">
        <f t="shared" si="3"/>
        <v>15454548.136217147</v>
      </c>
      <c r="E13" s="273">
        <f t="shared" si="3"/>
        <v>17914970.300000001</v>
      </c>
      <c r="F13" s="273">
        <f t="shared" si="3"/>
        <v>18423761.399999999</v>
      </c>
      <c r="H13" s="83">
        <f t="shared" ref="H13" si="4">C13/B13-1</f>
        <v>-0.12587717512588426</v>
      </c>
      <c r="I13" s="83">
        <f t="shared" ref="I13" si="5">D13/C13-1</f>
        <v>8.0871395641080257E-2</v>
      </c>
      <c r="J13" s="83">
        <f t="shared" ref="J13" si="6">E13/D13-1</f>
        <v>0.15920375944327669</v>
      </c>
      <c r="K13" s="83">
        <f t="shared" ref="K13" si="7">F13/E13-1</f>
        <v>2.8400331760527475E-2</v>
      </c>
      <c r="L13" s="83"/>
    </row>
    <row r="14" spans="1:14">
      <c r="M14" s="101"/>
    </row>
    <row r="15" spans="1:14">
      <c r="C15" s="444"/>
      <c r="F15" s="444">
        <v>0.4</v>
      </c>
      <c r="I15" t="s">
        <v>969</v>
      </c>
    </row>
    <row r="16" spans="1:14">
      <c r="C16" s="444"/>
    </row>
    <row r="17" spans="1:10">
      <c r="C17" s="444"/>
    </row>
    <row r="18" spans="1:10">
      <c r="D18" s="722"/>
    </row>
    <row r="19" spans="1:10">
      <c r="A19" t="s">
        <v>60</v>
      </c>
      <c r="B19" s="83">
        <v>0.68</v>
      </c>
      <c r="C19" s="83">
        <v>0.69899999999999995</v>
      </c>
      <c r="D19" s="101">
        <f>C19*(1+D22)</f>
        <v>0.72688308115543321</v>
      </c>
      <c r="E19" s="101">
        <f t="shared" ref="E19:F19" si="8">D19*(1+E22)</f>
        <v>0.72015268225584583</v>
      </c>
      <c r="F19" s="101">
        <f t="shared" si="8"/>
        <v>0.73745942228335615</v>
      </c>
      <c r="I19" t="s">
        <v>952</v>
      </c>
    </row>
    <row r="20" spans="1:10">
      <c r="C20" s="446">
        <f>C19/B19-1</f>
        <v>2.7941176470588136E-2</v>
      </c>
      <c r="D20" s="446">
        <f t="shared" ref="D20:F20" si="9">D19/C19-1</f>
        <v>3.9889958734525388E-2</v>
      </c>
      <c r="E20" s="446">
        <f t="shared" si="9"/>
        <v>-9.2592592592593004E-3</v>
      </c>
      <c r="F20" s="446">
        <f t="shared" si="9"/>
        <v>2.4032042723631575E-2</v>
      </c>
      <c r="G20" s="446"/>
      <c r="I20" t="s">
        <v>953</v>
      </c>
    </row>
    <row r="21" spans="1:10">
      <c r="B21" s="721">
        <v>0.72299999999999998</v>
      </c>
      <c r="C21" s="721">
        <v>0.72699999999999998</v>
      </c>
      <c r="D21" s="721">
        <v>0.75600000000000001</v>
      </c>
      <c r="E21" s="721">
        <v>0.749</v>
      </c>
      <c r="F21" s="721">
        <v>0.76700000000000002</v>
      </c>
    </row>
    <row r="22" spans="1:10">
      <c r="B22" s="157"/>
      <c r="C22" s="446">
        <f>C21/B21-1</f>
        <v>5.5325034578146415E-3</v>
      </c>
      <c r="D22" s="446">
        <f>D21/C21-1</f>
        <v>3.9889958734525388E-2</v>
      </c>
      <c r="E22" s="446">
        <f>E21/D21-1</f>
        <v>-9.2592592592593004E-3</v>
      </c>
      <c r="F22" s="446">
        <f>F21/E21-1</f>
        <v>2.4032042723631575E-2</v>
      </c>
    </row>
    <row r="23" spans="1:10">
      <c r="J23" s="83"/>
    </row>
    <row r="24" spans="1:10">
      <c r="E24" s="444"/>
      <c r="F24" s="83"/>
      <c r="J24" s="83"/>
    </row>
    <row r="25" spans="1:10">
      <c r="B25" s="157"/>
      <c r="C25" s="157"/>
      <c r="D25" s="157"/>
      <c r="E25" s="157"/>
      <c r="F25" s="157"/>
      <c r="J25" s="83"/>
    </row>
    <row r="26" spans="1:10">
      <c r="B26" s="157"/>
      <c r="C26" s="157"/>
      <c r="D26" s="157"/>
      <c r="E26" s="157"/>
      <c r="F26" s="157"/>
      <c r="J26" s="83"/>
    </row>
    <row r="27" spans="1:10">
      <c r="A27" t="s">
        <v>526</v>
      </c>
      <c r="I27" s="83"/>
      <c r="J27" s="83"/>
    </row>
    <row r="28" spans="1:10">
      <c r="A28" t="s">
        <v>529</v>
      </c>
      <c r="B28" s="273">
        <v>6763626</v>
      </c>
      <c r="C28" s="273">
        <v>5993085</v>
      </c>
      <c r="D28" s="273">
        <v>6146819</v>
      </c>
      <c r="E28" s="273">
        <v>6974472</v>
      </c>
      <c r="F28" s="273">
        <v>7057135</v>
      </c>
    </row>
    <row r="29" spans="1:10">
      <c r="A29" t="s">
        <v>955</v>
      </c>
      <c r="B29" s="273">
        <v>3233405</v>
      </c>
      <c r="C29" s="273">
        <v>2885628</v>
      </c>
      <c r="D29" s="273">
        <v>2979230</v>
      </c>
      <c r="E29" s="273">
        <v>3353628</v>
      </c>
      <c r="F29" s="273">
        <v>3395870</v>
      </c>
    </row>
    <row r="31" spans="1:10">
      <c r="A31" t="s">
        <v>528</v>
      </c>
      <c r="B31" s="273">
        <f>(((B29*1000)/B28)*B2)/1000000</f>
        <v>13421.940870867194</v>
      </c>
      <c r="C31" s="273">
        <f>(((C29*1000)/C28)*C2)/1000000</f>
        <v>12256.525074338175</v>
      </c>
      <c r="D31" s="273">
        <f>(((D29*1000)/D28)*D2)/1000000</f>
        <v>13050.946619578353</v>
      </c>
      <c r="E31" s="273">
        <f>(((E29*1000)/E28)*E2)/1000000*1.01</f>
        <v>14598.047029815159</v>
      </c>
      <c r="F31" s="273">
        <f>(((F29*1000)/F28)*F2)/1000000*1.017</f>
        <v>15026.942827377328</v>
      </c>
    </row>
    <row r="32" spans="1:10">
      <c r="C32" s="446">
        <f>C31/B31-1</f>
        <v>-8.6829155912808154E-2</v>
      </c>
      <c r="D32" s="446">
        <f t="shared" ref="D32" si="10">D31/C31-1</f>
        <v>6.4816213439115922E-2</v>
      </c>
      <c r="E32" s="446">
        <f>E31/D31-1</f>
        <v>0.11854315670220639</v>
      </c>
      <c r="F32" s="446">
        <f>F31/E31-1</f>
        <v>2.9380354556070909E-2</v>
      </c>
      <c r="G32" s="446"/>
    </row>
    <row r="34" spans="1:11">
      <c r="K34" t="s">
        <v>530</v>
      </c>
    </row>
    <row r="35" spans="1:11">
      <c r="C35" s="157"/>
    </row>
    <row r="36" spans="1:11">
      <c r="A36" t="s">
        <v>544</v>
      </c>
    </row>
    <row r="37" spans="1:11">
      <c r="B37" s="266">
        <f>B46/B47*B43</f>
        <v>1087.6339838796573</v>
      </c>
      <c r="C37" s="266">
        <f>C46/C47*C43</f>
        <v>1018.6929610097217</v>
      </c>
      <c r="D37" s="266">
        <f>D46/D47*D43</f>
        <v>903.96279454953958</v>
      </c>
      <c r="E37" s="266">
        <f>E46/E47*E43</f>
        <v>844.08076454890204</v>
      </c>
      <c r="F37" s="266">
        <f>FORECAST(F43,B37:E37,B43:E43)</f>
        <v>854.36528548579372</v>
      </c>
    </row>
    <row r="38" spans="1:11">
      <c r="C38" s="446">
        <f>C37/B37-1</f>
        <v>-6.3386234608097447E-2</v>
      </c>
      <c r="D38" s="446">
        <f>D37/C37-1</f>
        <v>-0.11262487408027466</v>
      </c>
      <c r="E38" s="446">
        <f>E37/D37-1</f>
        <v>-6.6243909994634032E-2</v>
      </c>
      <c r="F38" s="446">
        <f>F37/E37-1</f>
        <v>1.2184285401158235E-2</v>
      </c>
    </row>
    <row r="41" spans="1:11">
      <c r="A41" t="s">
        <v>964</v>
      </c>
      <c r="B41" s="253">
        <v>29000</v>
      </c>
      <c r="C41" s="253">
        <v>24898</v>
      </c>
      <c r="D41" s="253">
        <v>25228</v>
      </c>
      <c r="E41" s="253">
        <v>27206</v>
      </c>
      <c r="F41">
        <f>E41*(1+4.3%)</f>
        <v>28375.857999999997</v>
      </c>
      <c r="J41">
        <v>2012</v>
      </c>
      <c r="K41" t="s">
        <v>965</v>
      </c>
    </row>
    <row r="42" spans="1:11">
      <c r="A42" t="s">
        <v>962</v>
      </c>
      <c r="B42" s="253">
        <v>38053</v>
      </c>
      <c r="C42" s="253">
        <v>32674</v>
      </c>
      <c r="D42" s="253">
        <v>29939</v>
      </c>
      <c r="E42">
        <v>30497</v>
      </c>
      <c r="F42">
        <f>E42*(1+5.6%)</f>
        <v>32204.832000000002</v>
      </c>
      <c r="J42" t="s">
        <v>967</v>
      </c>
      <c r="K42" t="s">
        <v>963</v>
      </c>
    </row>
    <row r="43" spans="1:11">
      <c r="B43" s="273">
        <f>B42*1000/B41</f>
        <v>1312.1724137931035</v>
      </c>
      <c r="C43" s="273">
        <f>C42*1000/C41</f>
        <v>1312.3142421077998</v>
      </c>
      <c r="D43" s="273">
        <f>D42*1000/D41</f>
        <v>1186.7369589345171</v>
      </c>
      <c r="E43" s="273">
        <f>E42*1000/E41</f>
        <v>1120.9659633904287</v>
      </c>
      <c r="F43" s="273">
        <f>F42*1000/F41</f>
        <v>1134.9377347462059</v>
      </c>
      <c r="J43">
        <v>2011</v>
      </c>
      <c r="K43" t="s">
        <v>966</v>
      </c>
    </row>
    <row r="45" spans="1:11">
      <c r="A45" t="s">
        <v>139</v>
      </c>
      <c r="B45" s="273"/>
      <c r="C45" s="273"/>
      <c r="D45" s="273"/>
      <c r="E45" s="273"/>
      <c r="F45" s="273"/>
    </row>
    <row r="46" spans="1:11">
      <c r="A46" t="s">
        <v>63</v>
      </c>
      <c r="B46">
        <v>751.84361739398594</v>
      </c>
      <c r="C46">
        <v>824.41655719119319</v>
      </c>
      <c r="D46">
        <v>778.49410595425059</v>
      </c>
      <c r="E46">
        <v>818.2598454805152</v>
      </c>
    </row>
    <row r="47" spans="1:11">
      <c r="A47" t="s">
        <v>968</v>
      </c>
      <c r="B47">
        <v>907.05923946190615</v>
      </c>
      <c r="C47">
        <v>1062.0409002916017</v>
      </c>
      <c r="D47">
        <v>1022.0196377761017</v>
      </c>
      <c r="E47">
        <v>1086.674965852309</v>
      </c>
    </row>
  </sheetData>
  <customSheetViews>
    <customSheetView guid="{BD5E9955-DC4B-4EA0-9160-9EF1C693DE04}" topLeftCell="A41">
      <pageMargins left="0.7" right="0.7" top="0.75" bottom="0.75" header="0.3" footer="0.3"/>
      <pageSetup orientation="portrait" r:id="rId1"/>
    </customSheetView>
    <customSheetView guid="{1ACDCC85-59E3-4410-927D-E7E5C71B61F5}">
      <selection activeCell="I15" sqref="I15"/>
      <pageMargins left="0.7" right="0.7" top="0.75" bottom="0.75" header="0.3" footer="0.3"/>
      <pageSetup orientation="portrait" r:id="rId2"/>
    </customSheetView>
    <customSheetView guid="{63078F6D-D19C-47E9-B618-80B24EAAED3A}" topLeftCell="A23">
      <selection activeCell="B30" sqref="B30"/>
      <pageMargins left="0.7" right="0.7" top="0.75" bottom="0.75" header="0.3" footer="0.3"/>
      <pageSetup orientation="portrait" r:id="rId3"/>
    </customSheetView>
    <customSheetView guid="{92F60ACF-D6F3-4086-9F2B-BC0D304DAC43}" topLeftCell="A23">
      <selection activeCell="B30" sqref="B30"/>
      <pageMargins left="0.7" right="0.7" top="0.75" bottom="0.75" header="0.3" footer="0.3"/>
      <pageSetup orientation="portrait" r:id="rId4"/>
    </customSheetView>
    <customSheetView guid="{9144D9B3-2327-4B3A-89B1-6A595780C3C5}" state="hidden" topLeftCell="A147">
      <selection activeCell="A4" sqref="A4:XFD4"/>
      <pageMargins left="0.7" right="0.7" top="0.75" bottom="0.75" header="0.3" footer="0.3"/>
      <pageSetup orientation="portrait" r:id="rId5"/>
    </customSheetView>
    <customSheetView guid="{513032B5-C585-49C2-98E7-9FDE6F7A4BA7}" topLeftCell="A41">
      <pageMargins left="0.7" right="0.7" top="0.75" bottom="0.75" header="0.3" footer="0.3"/>
      <pageSetup orientation="portrait" r:id="rId6"/>
    </customSheetView>
    <customSheetView guid="{AF983ECA-536A-40E6-8A04-FF0A375E9ACC}" topLeftCell="A147">
      <selection activeCell="A15" sqref="A15:XFD15"/>
      <pageMargins left="0.7" right="0.7" top="0.75" bottom="0.75" header="0.3" footer="0.3"/>
      <pageSetup orientation="portrait" r:id="rId7"/>
    </customSheetView>
  </customSheetViews>
  <pageMargins left="0.7" right="0.7" top="0.75" bottom="0.75" header="0.3" footer="0.3"/>
  <pageSetup orientation="portrait" r:id="rId8"/>
</worksheet>
</file>

<file path=xl/worksheets/sheet14.xml><?xml version="1.0" encoding="utf-8"?>
<worksheet xmlns="http://schemas.openxmlformats.org/spreadsheetml/2006/main" xmlns:r="http://schemas.openxmlformats.org/officeDocument/2006/relationships">
  <dimension ref="A1:U181"/>
  <sheetViews>
    <sheetView showGridLines="0" zoomScale="85" zoomScaleNormal="85" workbookViewId="0">
      <pane ySplit="1" topLeftCell="A5" activePane="bottomLeft" state="frozen"/>
      <selection pane="bottomLeft"/>
    </sheetView>
  </sheetViews>
  <sheetFormatPr defaultRowHeight="15" customHeight="1" outlineLevelRow="1"/>
  <cols>
    <col min="1" max="2" width="9" style="1" customWidth="1"/>
    <col min="3" max="3" width="24.7109375" style="1" customWidth="1"/>
    <col min="4" max="4" width="14.28515625" style="1" customWidth="1"/>
    <col min="5" max="5" width="20.7109375" style="1" customWidth="1"/>
    <col min="6" max="6" width="8.7109375" style="1" customWidth="1"/>
    <col min="7" max="10" width="11.140625" style="1" bestFit="1" customWidth="1"/>
    <col min="11" max="11" width="12.42578125" style="1" customWidth="1"/>
    <col min="12" max="15" width="11.140625" style="1" bestFit="1" customWidth="1"/>
    <col min="16" max="16" width="11.140625" style="1" customWidth="1"/>
    <col min="17" max="17" width="21.28515625" style="1" customWidth="1"/>
    <col min="18" max="19" width="9.140625" style="1"/>
    <col min="20" max="20" width="40" style="1" bestFit="1" customWidth="1"/>
    <col min="21" max="16384" width="9.140625" style="1"/>
  </cols>
  <sheetData>
    <row r="1" spans="1:18" ht="15" customHeight="1">
      <c r="A1" s="3" t="str">
        <f>'Tourism Medium DB-LCU'!A1</f>
        <v>Country</v>
      </c>
      <c r="B1" s="3" t="str">
        <f>'Tourism Medium DB-LCU'!B1</f>
        <v>Subject</v>
      </c>
      <c r="C1" s="3" t="str">
        <f>'Tourism Medium DB-LCU'!C1</f>
        <v>Metric</v>
      </c>
      <c r="D1" s="3" t="str">
        <f>'Tourism Medium DB-LCU'!D1</f>
        <v>Metric-1</v>
      </c>
      <c r="E1" s="3" t="str">
        <f>'Tourism Medium DB-LCU'!E1</f>
        <v>Metric-2</v>
      </c>
      <c r="F1" s="3" t="str">
        <f>'Tourism Medium DB-LCU'!F1</f>
        <v>Units</v>
      </c>
      <c r="G1" s="3">
        <f>'Tourism Medium DB-LCU'!H1</f>
        <v>2008</v>
      </c>
      <c r="H1" s="3">
        <f>'Tourism Medium DB-LCU'!I1</f>
        <v>2009</v>
      </c>
      <c r="I1" s="3">
        <f>'Tourism Medium DB-LCU'!J1</f>
        <v>2010</v>
      </c>
      <c r="J1" s="3">
        <f>'Tourism Medium DB-LCU'!K1</f>
        <v>2011</v>
      </c>
      <c r="K1" s="3">
        <f>'Tourism Medium DB-LCU'!L1</f>
        <v>2012</v>
      </c>
      <c r="L1" s="3">
        <f>'Tourism Medium DB-LCU'!M1</f>
        <v>2013</v>
      </c>
      <c r="M1" s="3">
        <f>'Tourism Medium DB-LCU'!N1</f>
        <v>2014</v>
      </c>
      <c r="N1" s="3">
        <f>'Tourism Medium DB-LCU'!O1</f>
        <v>2015</v>
      </c>
      <c r="O1" s="3">
        <f>'Tourism Medium DB-LCU'!P1</f>
        <v>2016</v>
      </c>
      <c r="P1" s="3">
        <f>'Tourism Medium DB-LCU'!Q1</f>
        <v>2017</v>
      </c>
      <c r="Q1" s="447" t="str">
        <f>'Tourism Medium DB-LCU'!R1</f>
        <v>CAGR 2008-2012</v>
      </c>
      <c r="R1" s="447" t="str">
        <f>'Tourism Medium DB-LCU'!S1</f>
        <v>CAGR 2013-2017</v>
      </c>
    </row>
    <row r="2" spans="1:18" ht="15" customHeight="1">
      <c r="A2" s="2" t="str">
        <f>'Tourism Medium DB-LCU'!A147</f>
        <v>Hungary</v>
      </c>
      <c r="B2" s="2"/>
      <c r="C2" s="2"/>
      <c r="D2" s="2"/>
      <c r="E2" s="2"/>
      <c r="F2" s="2"/>
      <c r="K2" s="2"/>
      <c r="L2" s="2"/>
      <c r="M2" s="2"/>
      <c r="N2" s="2"/>
      <c r="O2" s="2"/>
      <c r="P2" s="2"/>
    </row>
    <row r="3" spans="1:18" ht="15" customHeight="1">
      <c r="B3" s="4"/>
      <c r="C3" s="2"/>
      <c r="G3" s="18"/>
      <c r="H3" s="18"/>
      <c r="I3" s="18"/>
      <c r="J3" s="18"/>
      <c r="K3" s="17"/>
      <c r="L3" s="17"/>
      <c r="M3" s="17"/>
      <c r="N3" s="17"/>
      <c r="O3" s="17"/>
      <c r="P3" s="17"/>
    </row>
    <row r="4" spans="1:18" ht="15" customHeight="1">
      <c r="A4" s="2" t="str">
        <f>'Tourism Medium DB-LCU'!A148</f>
        <v>Hungary</v>
      </c>
      <c r="B4" s="2" t="str">
        <f>'Tourism Medium DB-LCU'!B148</f>
        <v>Hotels</v>
      </c>
      <c r="C4" s="2"/>
      <c r="D4" s="2"/>
      <c r="E4" s="2"/>
      <c r="F4" s="2"/>
      <c r="K4" s="2"/>
      <c r="L4" s="2"/>
      <c r="M4" s="2"/>
      <c r="N4" s="2"/>
      <c r="O4" s="2"/>
      <c r="P4" s="2"/>
      <c r="Q4" s="19"/>
      <c r="R4" s="19"/>
    </row>
    <row r="5" spans="1:18" ht="15" customHeight="1">
      <c r="G5" s="18"/>
      <c r="H5" s="18"/>
      <c r="I5" s="18"/>
      <c r="J5" s="18"/>
    </row>
    <row r="6" spans="1:18" ht="15" customHeight="1">
      <c r="A6" s="2" t="str">
        <f>'Tourism Medium DB-LCU'!A149</f>
        <v>Hungary</v>
      </c>
      <c r="B6" s="2" t="str">
        <f>'Tourism Medium DB-LCU'!B149</f>
        <v>Hotels</v>
      </c>
      <c r="C6" s="2" t="str">
        <f>'Tourism Medium DB-LCU'!C149</f>
        <v>Number of Establishments</v>
      </c>
      <c r="D6" s="2"/>
      <c r="E6" s="2"/>
      <c r="F6" s="2"/>
      <c r="G6" s="20">
        <f>'Tourism Medium DB-LCU'!H149</f>
        <v>5599</v>
      </c>
      <c r="H6" s="20">
        <f>'Tourism Medium DB-LCU'!I149</f>
        <v>5737</v>
      </c>
      <c r="I6" s="20">
        <f>'Tourism Medium DB-LCU'!J149</f>
        <v>5670</v>
      </c>
      <c r="J6" s="20">
        <f>'Tourism Medium DB-LCU'!K149</f>
        <v>5540</v>
      </c>
      <c r="K6" s="20">
        <f>'Tourism Medium DB-LCU'!L149</f>
        <v>7864</v>
      </c>
      <c r="L6" s="20">
        <f>K6*(1+L7)</f>
        <v>8134.918784071453</v>
      </c>
      <c r="M6" s="20">
        <f>L6*(1+M7)</f>
        <v>8842.1065292181411</v>
      </c>
      <c r="N6" s="20">
        <f>M6*(1+N7)</f>
        <v>9659.4926429886145</v>
      </c>
      <c r="O6" s="20">
        <f>N6*(1+O7)</f>
        <v>10641.108581559691</v>
      </c>
      <c r="P6" s="20">
        <f>O6*(1+P7)</f>
        <v>11149.385420981365</v>
      </c>
      <c r="Q6" s="19">
        <f>(K6/G6)^(1/4)-1</f>
        <v>8.8637422467378935E-2</v>
      </c>
      <c r="R6" s="19">
        <f>(P6/K6)^(1/5)-1</f>
        <v>7.2312786852233968E-2</v>
      </c>
    </row>
    <row r="7" spans="1:18" ht="15" customHeight="1">
      <c r="B7" s="4"/>
      <c r="C7" s="2"/>
      <c r="G7" s="18"/>
      <c r="H7" s="18">
        <f>H6/G6-1</f>
        <v>2.4647258439006947E-2</v>
      </c>
      <c r="I7" s="18">
        <f>I6/H6-1</f>
        <v>-1.1678577653826072E-2</v>
      </c>
      <c r="J7" s="18">
        <f>J6/I6-1</f>
        <v>-2.2927689594356315E-2</v>
      </c>
      <c r="K7" s="18">
        <f>K6/J6-1</f>
        <v>0.41949458483754509</v>
      </c>
      <c r="L7" s="21">
        <f>((K6/G6)^(1/4)-1)*0.7+0.3*($D$8*L9+$D$10*L11+$D$12*L13+$D$14*L15)</f>
        <v>3.4450506621496978E-2</v>
      </c>
      <c r="M7" s="21">
        <f>((L6/H6)^(1/4)-1)*0.9+0.1*($D$8*M9+$D$10*M11+$D$12*M13+$D$14*M15)</f>
        <v>8.6932366987042833E-2</v>
      </c>
      <c r="N7" s="21">
        <f>((M6/I6)^(1/4)-1)*0.7+0.3*($D$8*N9+$D$10*N11+$D$12*N13+$D$14*N15)</f>
        <v>9.2442463916203296E-2</v>
      </c>
      <c r="O7" s="21">
        <f>((N6/J6)^(1/4)-1)*0.65+0.35*($D$8*O9+$D$10*O11+$D$12*O13+$D$14*O15)</f>
        <v>0.10162189411506881</v>
      </c>
      <c r="P7" s="21">
        <f>((O6/K6)^(1/4)-1)*0.65+0.35*($D$8*P9+$D$10*P11+$D$12*P13+$D$14*P15)</f>
        <v>4.7765402967739817E-2</v>
      </c>
      <c r="Q7" s="22" t="s">
        <v>182</v>
      </c>
    </row>
    <row r="8" spans="1:18" ht="15" customHeight="1">
      <c r="A8" s="23"/>
      <c r="B8" s="23"/>
      <c r="C8" s="23" t="s">
        <v>183</v>
      </c>
      <c r="D8" s="24">
        <f>Q8/Q$16</f>
        <v>0.24514784445979174</v>
      </c>
      <c r="E8" s="25"/>
      <c r="F8" s="25"/>
      <c r="G8" s="26">
        <f t="shared" ref="G8:P8" si="0">G75</f>
        <v>9563.3520853287846</v>
      </c>
      <c r="H8" s="26">
        <f t="shared" si="0"/>
        <v>7818.8736627080043</v>
      </c>
      <c r="I8" s="26">
        <f t="shared" si="0"/>
        <v>9085.7140880995448</v>
      </c>
      <c r="J8" s="26">
        <f t="shared" si="0"/>
        <v>11355.09378450137</v>
      </c>
      <c r="K8" s="26">
        <f t="shared" si="0"/>
        <v>11586.168422768456</v>
      </c>
      <c r="L8" s="26">
        <f t="shared" si="0"/>
        <v>11908.533813754872</v>
      </c>
      <c r="M8" s="26">
        <f t="shared" si="0"/>
        <v>12221.97686482837</v>
      </c>
      <c r="N8" s="26">
        <f t="shared" si="0"/>
        <v>12614.03339787559</v>
      </c>
      <c r="O8" s="26">
        <f t="shared" si="0"/>
        <v>13133.151000725975</v>
      </c>
      <c r="P8" s="26">
        <f t="shared" si="0"/>
        <v>13576.785308235001</v>
      </c>
      <c r="Q8" s="27">
        <f>CORREL(H9:K9,$H$6:$K$6)</f>
        <v>-0.21179164684583388</v>
      </c>
      <c r="R8" s="19"/>
    </row>
    <row r="9" spans="1:18" ht="15" customHeight="1">
      <c r="A9" s="28"/>
      <c r="B9" s="28"/>
      <c r="C9" s="28" t="s">
        <v>184</v>
      </c>
      <c r="D9" s="29"/>
      <c r="E9" s="28"/>
      <c r="F9" s="28"/>
      <c r="G9" s="30"/>
      <c r="H9" s="30">
        <f t="shared" ref="H9:P9" si="1">H8/G8-1</f>
        <v>-0.18241286183502525</v>
      </c>
      <c r="I9" s="30">
        <f t="shared" si="1"/>
        <v>0.16202339109707276</v>
      </c>
      <c r="J9" s="30">
        <f t="shared" si="1"/>
        <v>0.24977450031960124</v>
      </c>
      <c r="K9" s="30">
        <f t="shared" si="1"/>
        <v>2.0349866117572724E-2</v>
      </c>
      <c r="L9" s="30">
        <f t="shared" si="1"/>
        <v>2.782329578024445E-2</v>
      </c>
      <c r="M9" s="30">
        <f t="shared" si="1"/>
        <v>2.6320876774222013E-2</v>
      </c>
      <c r="N9" s="30">
        <f t="shared" si="1"/>
        <v>3.2077996659890307E-2</v>
      </c>
      <c r="O9" s="30">
        <f t="shared" si="1"/>
        <v>4.1153974028466767E-2</v>
      </c>
      <c r="P9" s="30">
        <f t="shared" si="1"/>
        <v>3.3779730963612753E-2</v>
      </c>
      <c r="Q9" s="27"/>
    </row>
    <row r="10" spans="1:18" ht="15" customHeight="1">
      <c r="A10" s="25"/>
      <c r="B10" s="25"/>
      <c r="C10" s="25" t="s">
        <v>185</v>
      </c>
      <c r="D10" s="24">
        <f>Q10/Q$16</f>
        <v>0.75535371066484447</v>
      </c>
      <c r="E10" s="25"/>
      <c r="F10" s="25"/>
      <c r="G10" s="26">
        <f t="shared" ref="G10:P10" si="2">G77</f>
        <v>3.0409999999999999</v>
      </c>
      <c r="H10" s="26">
        <f t="shared" si="2"/>
        <v>2.359</v>
      </c>
      <c r="I10" s="26">
        <f t="shared" si="2"/>
        <v>2.7549999999999999</v>
      </c>
      <c r="J10" s="26">
        <f t="shared" si="2"/>
        <v>2.69</v>
      </c>
      <c r="K10" s="26">
        <f t="shared" si="2"/>
        <v>2.9889999999999999</v>
      </c>
      <c r="L10" s="26">
        <f t="shared" si="2"/>
        <v>2.919</v>
      </c>
      <c r="M10" s="26">
        <f t="shared" si="2"/>
        <v>3.0640000000000001</v>
      </c>
      <c r="N10" s="26">
        <f t="shared" si="2"/>
        <v>3.1640000000000001</v>
      </c>
      <c r="O10" s="26">
        <f t="shared" si="2"/>
        <v>3.2959999999999998</v>
      </c>
      <c r="P10" s="26">
        <f t="shared" si="2"/>
        <v>3.375</v>
      </c>
      <c r="Q10" s="27">
        <f>CORREL(H10:J10,$H$6:$J$6)</f>
        <v>-0.65257602686797378</v>
      </c>
    </row>
    <row r="11" spans="1:18" ht="15" customHeight="1">
      <c r="A11" s="28"/>
      <c r="B11" s="28"/>
      <c r="C11" s="28" t="s">
        <v>184</v>
      </c>
      <c r="D11" s="29"/>
      <c r="E11" s="28"/>
      <c r="F11" s="28"/>
      <c r="G11" s="29"/>
      <c r="H11" s="29">
        <f t="shared" ref="H11:P11" si="3">H10/G10-1</f>
        <v>-0.22426833278526803</v>
      </c>
      <c r="I11" s="29">
        <f t="shared" si="3"/>
        <v>0.16786774056803733</v>
      </c>
      <c r="J11" s="29">
        <f t="shared" si="3"/>
        <v>-2.3593466424682408E-2</v>
      </c>
      <c r="K11" s="29">
        <f t="shared" si="3"/>
        <v>0.11115241635687734</v>
      </c>
      <c r="L11" s="29">
        <f t="shared" si="3"/>
        <v>-2.3419203747072515E-2</v>
      </c>
      <c r="M11" s="29">
        <f t="shared" si="3"/>
        <v>4.967454607742372E-2</v>
      </c>
      <c r="N11" s="29">
        <f t="shared" si="3"/>
        <v>3.2637075718015662E-2</v>
      </c>
      <c r="O11" s="29">
        <f t="shared" si="3"/>
        <v>4.1719342604298326E-2</v>
      </c>
      <c r="P11" s="29">
        <f t="shared" si="3"/>
        <v>2.3968446601941862E-2</v>
      </c>
      <c r="Q11" s="25"/>
    </row>
    <row r="12" spans="1:18" ht="15" customHeight="1">
      <c r="A12" s="25"/>
      <c r="B12" s="25"/>
      <c r="C12" s="25" t="s">
        <v>186</v>
      </c>
      <c r="D12" s="24">
        <f>Q12/Q$16</f>
        <v>-1.154133118643154</v>
      </c>
      <c r="E12" s="25"/>
      <c r="F12" s="25"/>
      <c r="G12" s="26">
        <f t="shared" ref="G12:P12" si="4">G79</f>
        <v>35970.36145962555</v>
      </c>
      <c r="H12" s="26">
        <f t="shared" si="4"/>
        <v>36801.654835319467</v>
      </c>
      <c r="I12" s="26">
        <f t="shared" si="4"/>
        <v>41933.009618988493</v>
      </c>
      <c r="J12" s="26">
        <f t="shared" si="4"/>
        <v>41699.819165847337</v>
      </c>
      <c r="K12" s="26">
        <f t="shared" si="4"/>
        <v>43410.246461085975</v>
      </c>
      <c r="L12" s="26">
        <f t="shared" si="4"/>
        <v>45389.860196484115</v>
      </c>
      <c r="M12" s="26">
        <f t="shared" si="4"/>
        <v>47867.172336190648</v>
      </c>
      <c r="N12" s="26">
        <f t="shared" si="4"/>
        <v>49476.914183626279</v>
      </c>
      <c r="O12" s="26">
        <f t="shared" si="4"/>
        <v>51534.99175131318</v>
      </c>
      <c r="P12" s="26">
        <f t="shared" si="4"/>
        <v>53980.685656633541</v>
      </c>
      <c r="Q12" s="27">
        <f>CORREL(I12:K12,$I$6:$K$6)</f>
        <v>0.99709526067990062</v>
      </c>
    </row>
    <row r="13" spans="1:18" ht="15" customHeight="1">
      <c r="A13" s="28"/>
      <c r="B13" s="28"/>
      <c r="C13" s="28" t="s">
        <v>184</v>
      </c>
      <c r="D13" s="29"/>
      <c r="E13" s="28"/>
      <c r="F13" s="28"/>
      <c r="G13" s="29"/>
      <c r="H13" s="29">
        <f t="shared" ref="H13:P13" si="5">H12/G12-1</f>
        <v>2.3110509373863053E-2</v>
      </c>
      <c r="I13" s="29">
        <f t="shared" si="5"/>
        <v>0.13943271862721618</v>
      </c>
      <c r="J13" s="29">
        <f t="shared" si="5"/>
        <v>-5.5610235291950749E-3</v>
      </c>
      <c r="K13" s="29">
        <f t="shared" si="5"/>
        <v>4.1017619007794215E-2</v>
      </c>
      <c r="L13" s="29">
        <f t="shared" si="5"/>
        <v>4.560245326348733E-2</v>
      </c>
      <c r="M13" s="29">
        <f t="shared" si="5"/>
        <v>5.4578536461287186E-2</v>
      </c>
      <c r="N13" s="29">
        <f t="shared" si="5"/>
        <v>3.3629349068914349E-2</v>
      </c>
      <c r="O13" s="29">
        <f t="shared" si="5"/>
        <v>4.1596724485456926E-2</v>
      </c>
      <c r="P13" s="29">
        <f t="shared" si="5"/>
        <v>4.7456957345065387E-2</v>
      </c>
      <c r="Q13" s="27"/>
    </row>
    <row r="14" spans="1:18" ht="15" customHeight="1">
      <c r="A14" s="25"/>
      <c r="B14" s="25"/>
      <c r="C14" s="25" t="s">
        <v>187</v>
      </c>
      <c r="D14" s="24">
        <f>Q14/Q$16</f>
        <v>1.1536315635185179</v>
      </c>
      <c r="E14" s="25"/>
      <c r="F14" s="25"/>
      <c r="G14" s="26">
        <f t="shared" ref="G14:P14" si="6">G81</f>
        <v>4.0355622789875358</v>
      </c>
      <c r="H14" s="26">
        <f t="shared" si="6"/>
        <v>4.096341241261082</v>
      </c>
      <c r="I14" s="26">
        <f t="shared" si="6"/>
        <v>4.1891088399611718</v>
      </c>
      <c r="J14" s="26">
        <f t="shared" si="6"/>
        <v>4.4455927184051589</v>
      </c>
      <c r="K14" s="26">
        <f t="shared" si="6"/>
        <v>4.7494208084605978</v>
      </c>
      <c r="L14" s="26">
        <f t="shared" si="6"/>
        <v>4.6321485350621163</v>
      </c>
      <c r="M14" s="26">
        <f t="shared" si="6"/>
        <v>4.9021846875448967</v>
      </c>
      <c r="N14" s="26">
        <f t="shared" si="6"/>
        <v>5.0734225401263355</v>
      </c>
      <c r="O14" s="26">
        <f t="shared" si="6"/>
        <v>5.160667881205387</v>
      </c>
      <c r="P14" s="26">
        <f t="shared" si="6"/>
        <v>5.2456647092143118</v>
      </c>
      <c r="Q14" s="27">
        <f>CORREL(H14:J14,$H$6:$J$6)</f>
        <v>-0.99666194997278534</v>
      </c>
    </row>
    <row r="15" spans="1:18" ht="15" customHeight="1">
      <c r="A15" s="28"/>
      <c r="B15" s="28"/>
      <c r="C15" s="28" t="s">
        <v>184</v>
      </c>
      <c r="D15" s="28"/>
      <c r="E15" s="28"/>
      <c r="F15" s="28"/>
      <c r="G15" s="29"/>
      <c r="H15" s="29">
        <f t="shared" ref="H15:P15" si="7">H14/G14-1</f>
        <v>1.5060841110050793E-2</v>
      </c>
      <c r="I15" s="29">
        <f t="shared" si="7"/>
        <v>2.2646452831046604E-2</v>
      </c>
      <c r="J15" s="29">
        <f t="shared" si="7"/>
        <v>6.1226358216647458E-2</v>
      </c>
      <c r="K15" s="29">
        <f t="shared" si="7"/>
        <v>6.834366288156879E-2</v>
      </c>
      <c r="L15" s="29">
        <f t="shared" si="7"/>
        <v>-2.469191047244601E-2</v>
      </c>
      <c r="M15" s="29">
        <f t="shared" si="7"/>
        <v>5.8296090990778149E-2</v>
      </c>
      <c r="N15" s="29">
        <f t="shared" si="7"/>
        <v>3.4930926412566121E-2</v>
      </c>
      <c r="O15" s="29">
        <f t="shared" si="7"/>
        <v>1.7196545406777508E-2</v>
      </c>
      <c r="P15" s="29">
        <f t="shared" si="7"/>
        <v>1.6470121690735917E-2</v>
      </c>
      <c r="Q15" s="27"/>
    </row>
    <row r="16" spans="1:18" ht="15" customHeight="1">
      <c r="B16" s="4"/>
      <c r="C16" s="31" t="s">
        <v>188</v>
      </c>
      <c r="D16" s="32">
        <f>D14+D12+D10+D8</f>
        <v>1</v>
      </c>
      <c r="G16" s="18"/>
      <c r="H16" s="18"/>
      <c r="I16" s="18"/>
      <c r="J16" s="18"/>
      <c r="K16" s="17"/>
      <c r="L16" s="17"/>
      <c r="M16" s="17"/>
      <c r="N16" s="17"/>
      <c r="O16" s="17"/>
      <c r="P16" s="17"/>
      <c r="Q16" s="27">
        <f>SUM(Q8:Q14)</f>
        <v>-0.86393436300669235</v>
      </c>
    </row>
    <row r="17" spans="1:18" ht="15" customHeight="1">
      <c r="G17" s="37"/>
      <c r="H17" s="37">
        <f t="shared" ref="H17:I17" si="8">H18/G18-1</f>
        <v>2.2715186507634932E-2</v>
      </c>
      <c r="I17" s="37">
        <f t="shared" si="8"/>
        <v>2.702421631258356E-2</v>
      </c>
      <c r="J17" s="37">
        <f>J18/I18-1</f>
        <v>-4.4843698013858124E-2</v>
      </c>
      <c r="K17" s="37">
        <f>K18/J18-1</f>
        <v>6.3956746278150511E-2</v>
      </c>
      <c r="L17" s="37">
        <f>L18/K18-1</f>
        <v>-2.0429498513931832E-2</v>
      </c>
      <c r="M17" s="37">
        <f t="shared" ref="M17:P17" si="9">M18/L18-1</f>
        <v>4.4260202062656129E-2</v>
      </c>
      <c r="N17" s="37">
        <f t="shared" si="9"/>
        <v>3.9776869892872213E-2</v>
      </c>
      <c r="O17" s="37">
        <f t="shared" si="9"/>
        <v>6.1904740714657791E-5</v>
      </c>
      <c r="P17" s="37">
        <f t="shared" si="9"/>
        <v>-7.3039749562350265E-3</v>
      </c>
    </row>
    <row r="18" spans="1:18" ht="15" customHeight="1">
      <c r="A18" s="2" t="str">
        <f>'Tourism Medium DB-LCU'!A150</f>
        <v>Hungary</v>
      </c>
      <c r="B18" s="2" t="str">
        <f>'Tourism Medium DB-LCU'!B150</f>
        <v>Hotels</v>
      </c>
      <c r="C18" s="2" t="str">
        <f>'Tourism Medium DB-LCU'!C150</f>
        <v>Number of Rooms</v>
      </c>
      <c r="D18" s="2"/>
      <c r="E18" s="2"/>
      <c r="F18" s="2"/>
      <c r="G18" s="20">
        <f>'Tourism Medium DB-LCU'!H150</f>
        <v>65815</v>
      </c>
      <c r="H18" s="20">
        <f>'Tourism Medium DB-LCU'!I150</f>
        <v>67310</v>
      </c>
      <c r="I18" s="20">
        <f>'Tourism Medium DB-LCU'!J150</f>
        <v>69129</v>
      </c>
      <c r="J18" s="20">
        <f>'Tourism Medium DB-LCU'!K150</f>
        <v>66029</v>
      </c>
      <c r="K18" s="20">
        <f>'Tourism Medium DB-LCU'!L150</f>
        <v>70252</v>
      </c>
      <c r="L18" s="35">
        <f>L6*L19</f>
        <v>68816.786870399257</v>
      </c>
      <c r="M18" s="35">
        <f>M6*M19</f>
        <v>71862.631762585865</v>
      </c>
      <c r="N18" s="35">
        <f t="shared" ref="N18:P18" si="10">N6*N19</f>
        <v>74721.102316365635</v>
      </c>
      <c r="O18" s="35">
        <f t="shared" si="10"/>
        <v>74725.727906830449</v>
      </c>
      <c r="P18" s="35">
        <f t="shared" si="10"/>
        <v>74179.933061612523</v>
      </c>
      <c r="Q18" s="19">
        <f>(K18/G18)^(1/4)-1</f>
        <v>1.6443988667009579E-2</v>
      </c>
      <c r="R18" s="19">
        <f>(P18/K18)^(1/5)-1</f>
        <v>1.0940391565981811E-2</v>
      </c>
    </row>
    <row r="19" spans="1:18" ht="15" customHeight="1" outlineLevel="1">
      <c r="A19" s="34"/>
      <c r="B19" s="34"/>
      <c r="C19" s="34" t="s">
        <v>189</v>
      </c>
      <c r="D19" s="34"/>
      <c r="E19" s="34"/>
      <c r="F19" s="34"/>
      <c r="G19" s="35">
        <f>G18/G6</f>
        <v>11.754777638864082</v>
      </c>
      <c r="H19" s="35">
        <f>H18/H6</f>
        <v>11.732612863866132</v>
      </c>
      <c r="I19" s="35">
        <f>I18/I6</f>
        <v>12.192063492063491</v>
      </c>
      <c r="J19" s="35">
        <f>J18/J6</f>
        <v>11.918592057761733</v>
      </c>
      <c r="K19" s="35">
        <f>K18/K6</f>
        <v>8.9333672431332651</v>
      </c>
      <c r="L19" s="35">
        <f>K19*(1+(((K19/G19)^(1/4))-1)*0.8)</f>
        <v>8.459431335091594</v>
      </c>
      <c r="M19" s="35">
        <f>L19*(1+(((L19/H19)^(1/4))-1)*0.5)</f>
        <v>8.1273202856265847</v>
      </c>
      <c r="N19" s="35">
        <f>M19*(1+(((M19/I19)^(1/4))-1)*0.5)</f>
        <v>7.7355100395052609</v>
      </c>
      <c r="O19" s="35">
        <f>N19*(1+(((N19/J19)^(1/4))-1)*0.9)</f>
        <v>7.0223630681041067</v>
      </c>
      <c r="P19" s="35">
        <f>O19*(1+(((O19/K19)^(1/4))-1)*0.9)</f>
        <v>6.6532755179507665</v>
      </c>
      <c r="Q19" s="32"/>
      <c r="R19" s="32"/>
    </row>
    <row r="20" spans="1:18" ht="15" customHeight="1" outlineLevel="1">
      <c r="A20" s="6"/>
      <c r="B20" s="6"/>
      <c r="C20" s="6"/>
      <c r="D20" s="6"/>
      <c r="E20" s="6"/>
      <c r="F20" s="6"/>
      <c r="G20" s="6"/>
      <c r="H20" s="6"/>
      <c r="I20" s="6"/>
      <c r="J20" s="6"/>
      <c r="K20" s="36"/>
      <c r="L20" s="36"/>
      <c r="M20" s="36"/>
      <c r="N20" s="36"/>
      <c r="O20" s="36"/>
      <c r="P20" s="36"/>
    </row>
    <row r="21" spans="1:18" ht="15" customHeight="1" outlineLevel="1">
      <c r="A21" s="34"/>
      <c r="B21" s="34"/>
      <c r="C21" s="34"/>
      <c r="D21" s="34"/>
      <c r="E21" s="34"/>
      <c r="F21" s="34"/>
      <c r="G21" s="35"/>
      <c r="H21" s="35"/>
      <c r="I21" s="35"/>
      <c r="J21" s="35"/>
      <c r="K21" s="35"/>
      <c r="L21" s="35"/>
      <c r="M21" s="35"/>
      <c r="N21" s="35"/>
      <c r="O21" s="35"/>
      <c r="P21" s="35"/>
    </row>
    <row r="22" spans="1:18" ht="15" customHeight="1" outlineLevel="1">
      <c r="E22" s="1" t="s">
        <v>175</v>
      </c>
      <c r="G22" s="37">
        <f>'Tourism Medium DB-LCU'!H151</f>
        <v>0.48499999999999999</v>
      </c>
      <c r="H22" s="37">
        <f>'Tourism Medium DB-LCU'!I151</f>
        <v>0.43099999999999999</v>
      </c>
      <c r="I22" s="37">
        <f>'Tourism Medium DB-LCU'!J151</f>
        <v>0.44299999999999995</v>
      </c>
      <c r="J22" s="37">
        <f>'Tourism Medium DB-LCU'!K151</f>
        <v>0.45899999999999996</v>
      </c>
      <c r="K22" s="37">
        <f>'Tourism Medium DB-LCU'!L151</f>
        <v>0.47700000000000004</v>
      </c>
      <c r="L22" s="37">
        <f>'Tourism Medium DB-LCU'!M151</f>
        <v>0.49148620151387556</v>
      </c>
      <c r="M22" s="37">
        <f>'Tourism Medium DB-LCU'!N151</f>
        <v>0.48395902595397294</v>
      </c>
      <c r="N22" s="37">
        <f>'Tourism Medium DB-LCU'!O151</f>
        <v>0.44068718587636735</v>
      </c>
      <c r="O22" s="37">
        <f>'Tourism Medium DB-LCU'!P151</f>
        <v>0.44292727355082173</v>
      </c>
      <c r="P22" s="37">
        <f>'Tourism Medium DB-LCU'!Q151</f>
        <v>0.44750265910872766</v>
      </c>
    </row>
    <row r="23" spans="1:18" ht="15" customHeight="1">
      <c r="A23" s="2" t="str">
        <f>'Tourism Medium DB-LCU'!A151</f>
        <v>Hungary</v>
      </c>
      <c r="B23" s="2" t="str">
        <f>'Tourism Medium DB-LCU'!B151</f>
        <v>Hotels</v>
      </c>
      <c r="C23" s="2" t="str">
        <f>'Tourism Medium DB-LCU'!C151</f>
        <v>Room Occupancy Rate</v>
      </c>
      <c r="D23" s="2"/>
      <c r="E23" s="2" t="s">
        <v>190</v>
      </c>
      <c r="F23" s="38"/>
      <c r="G23" s="37">
        <f t="shared" ref="G23:P23" si="11">G25/(G18*365)</f>
        <v>4.8499999999999991E-7</v>
      </c>
      <c r="H23" s="37">
        <f t="shared" si="11"/>
        <v>4.3099999999999998E-7</v>
      </c>
      <c r="I23" s="37">
        <f t="shared" si="11"/>
        <v>4.4299999999999998E-7</v>
      </c>
      <c r="J23" s="37">
        <f t="shared" si="11"/>
        <v>4.5899999999999991E-7</v>
      </c>
      <c r="K23" s="37">
        <f t="shared" si="11"/>
        <v>4.7700000000000005E-7</v>
      </c>
      <c r="L23" s="37">
        <f t="shared" si="11"/>
        <v>4.9148620151387551E-7</v>
      </c>
      <c r="M23" s="37">
        <f t="shared" si="11"/>
        <v>4.8395902595397293E-7</v>
      </c>
      <c r="N23" s="37">
        <f t="shared" si="11"/>
        <v>4.4068718587636736E-7</v>
      </c>
      <c r="O23" s="37">
        <f t="shared" si="11"/>
        <v>4.4292727355082173E-7</v>
      </c>
      <c r="P23" s="37">
        <f t="shared" si="11"/>
        <v>4.475026591087277E-7</v>
      </c>
      <c r="Q23" s="19">
        <f>(K23/G23)^(1/4)-1</f>
        <v>-4.1494670841005776E-3</v>
      </c>
      <c r="R23" s="19">
        <f>(P23/K23)^(1/5)-1</f>
        <v>-1.2685652299119554E-2</v>
      </c>
    </row>
    <row r="24" spans="1:18" ht="15" customHeight="1">
      <c r="A24" s="2"/>
      <c r="B24" s="2"/>
      <c r="C24" s="2"/>
      <c r="D24" s="2"/>
      <c r="E24" s="2"/>
      <c r="F24" s="38"/>
      <c r="G24" s="37"/>
      <c r="H24" s="37"/>
      <c r="I24" s="37"/>
      <c r="J24" s="37"/>
      <c r="K24" s="37"/>
      <c r="L24" s="37"/>
      <c r="M24" s="37"/>
      <c r="N24" s="37"/>
      <c r="O24" s="37"/>
      <c r="P24" s="37"/>
      <c r="Q24" s="19"/>
      <c r="R24" s="19"/>
    </row>
    <row r="25" spans="1:18" ht="15" customHeight="1">
      <c r="A25" s="2" t="str">
        <f>'Tourism Medium DB-LCU'!A153</f>
        <v>Hungary</v>
      </c>
      <c r="B25" s="2" t="str">
        <f>'Tourism Medium DB-LCU'!B153</f>
        <v>Hotels</v>
      </c>
      <c r="C25" s="2" t="str">
        <f>'Tourism Medium DB-LCU'!C153</f>
        <v>Number of Rooms Nights Occupied</v>
      </c>
      <c r="D25" s="2"/>
      <c r="E25" s="2"/>
      <c r="F25" s="2"/>
      <c r="G25" s="39">
        <f>'Tourism Medium DB-LCU'!H153</f>
        <v>11.650900374999999</v>
      </c>
      <c r="H25" s="39">
        <f>'Tourism Medium DB-LCU'!I153</f>
        <v>10.588872649999999</v>
      </c>
      <c r="I25" s="39">
        <f>'Tourism Medium DB-LCU'!J153</f>
        <v>11.177813655</v>
      </c>
      <c r="J25" s="39">
        <f>'Tourism Medium DB-LCU'!K153</f>
        <v>11.062168514999998</v>
      </c>
      <c r="K25" s="39">
        <f>'Tourism Medium DB-LCU'!L153</f>
        <v>12.231224460000002</v>
      </c>
      <c r="L25" s="40">
        <f>K25*(1+L26)</f>
        <v>12.345212930452703</v>
      </c>
      <c r="M25" s="40">
        <f>L25*(1+M26)</f>
        <v>12.694177783663184</v>
      </c>
      <c r="N25" s="40">
        <f>M25*(1+N26)</f>
        <v>12.018950791463439</v>
      </c>
      <c r="O25" s="40">
        <f>N25*(1+O26)</f>
        <v>12.080792967943632</v>
      </c>
      <c r="P25" s="40">
        <f>O25*(1+P26)</f>
        <v>12.116436813616344</v>
      </c>
      <c r="Q25" s="19">
        <f>(K25/G25)^(1/4)-1</f>
        <v>1.2226287793204005E-2</v>
      </c>
      <c r="R25" s="19">
        <f>(P25/K25)^(1/5)-1</f>
        <v>-1.8840467365601743E-3</v>
      </c>
    </row>
    <row r="26" spans="1:18" ht="15" customHeight="1">
      <c r="G26" s="18"/>
      <c r="H26" s="18">
        <f>H25/G25-1</f>
        <v>-9.1154133227235645E-2</v>
      </c>
      <c r="I26" s="18">
        <f>I25/H25-1</f>
        <v>5.5618858066066146E-2</v>
      </c>
      <c r="J26" s="18">
        <f>J25/I25-1</f>
        <v>-1.0345953472598035E-2</v>
      </c>
      <c r="K26" s="18">
        <f>K25/J25-1</f>
        <v>0.10568054024984308</v>
      </c>
      <c r="L26" s="21">
        <f>(((K25/G25)^(1/4)-1)*0.9+0.1*($D$27*L28+$D$29*L30+$D$31*L32))</f>
        <v>9.3194651790980635E-3</v>
      </c>
      <c r="M26" s="21">
        <f>(((L25/I25)^(1/3)-1)*0.9+0.1*($D$27*M28+$D$29*M30+$D$31*M32))</f>
        <v>2.8267220272051155E-2</v>
      </c>
      <c r="N26" s="21">
        <f>(((M25/I25)^(1/4)-1)*0.1+0.9*($D$27*N28+$D$29*N30+$D$31*N32))</f>
        <v>-5.3191865098086884E-2</v>
      </c>
      <c r="O26" s="21">
        <f>(((N25/K25)^(1/3)-1)*0.001+0.999*($D$27*O28+$D$29*O30+$D$31*O32))</f>
        <v>5.1453889406149539E-3</v>
      </c>
      <c r="P26" s="21">
        <f>(((O25/M25)^(1/2)-1)*0.001+0.999*($D$27*P28+$D$29*P30+$D$31*P32))*1.1</f>
        <v>2.9504557993249416E-3</v>
      </c>
      <c r="Q26" s="22" t="s">
        <v>182</v>
      </c>
    </row>
    <row r="27" spans="1:18" ht="15" customHeight="1">
      <c r="A27" s="23"/>
      <c r="B27" s="23"/>
      <c r="C27" s="23" t="s">
        <v>224</v>
      </c>
      <c r="D27" s="41">
        <f>Q27/$Q$32</f>
        <v>0.40372149878532093</v>
      </c>
      <c r="E27" s="25"/>
      <c r="F27" s="25"/>
      <c r="G27" s="26">
        <f>'Tourism Medium DB-LCU'!H160</f>
        <v>6509.4049999999997</v>
      </c>
      <c r="H27" s="26">
        <f>'Tourism Medium DB-LCU'!I160</f>
        <v>5980.174</v>
      </c>
      <c r="I27" s="26">
        <f>'Tourism Medium DB-LCU'!J160</f>
        <v>6261.4260000000004</v>
      </c>
      <c r="J27" s="26">
        <f>'Tourism Medium DB-LCU'!K160</f>
        <v>6558.6930000000002</v>
      </c>
      <c r="K27" s="26">
        <f>'Tourism Medium DB-LCU'!L160</f>
        <v>4194.8334999999997</v>
      </c>
      <c r="L27" s="26">
        <f>'Tourism Medium DB-LCU'!M160</f>
        <v>3839.790943285544</v>
      </c>
      <c r="M27" s="26">
        <f>'Tourism Medium DB-LCU'!N160</f>
        <v>3344.7803213098164</v>
      </c>
      <c r="N27" s="26">
        <f>'Tourism Medium DB-LCU'!O160</f>
        <v>2673.077548555998</v>
      </c>
      <c r="O27" s="26">
        <f>'Tourism Medium DB-LCU'!P160</f>
        <v>2590.3045696189674</v>
      </c>
      <c r="P27" s="26">
        <f>'Tourism Medium DB-LCU'!Q160</f>
        <v>2495.4502104150811</v>
      </c>
      <c r="Q27" s="27">
        <f>CORREL(G27:J27,$G$25:$J$25)</f>
        <v>0.75943747553276242</v>
      </c>
    </row>
    <row r="28" spans="1:18" ht="15" customHeight="1">
      <c r="A28" s="28"/>
      <c r="B28" s="28"/>
      <c r="C28" s="28" t="s">
        <v>184</v>
      </c>
      <c r="D28" s="42"/>
      <c r="E28" s="28"/>
      <c r="F28" s="28"/>
      <c r="G28" s="30"/>
      <c r="H28" s="30">
        <f t="shared" ref="H28:P28" si="12">H27/G27-1</f>
        <v>-8.1302515360466843E-2</v>
      </c>
      <c r="I28" s="30">
        <f t="shared" si="12"/>
        <v>4.7030738570483122E-2</v>
      </c>
      <c r="J28" s="30">
        <f t="shared" si="12"/>
        <v>4.7475926410373681E-2</v>
      </c>
      <c r="K28" s="30">
        <f t="shared" si="12"/>
        <v>-0.36041624451700982</v>
      </c>
      <c r="L28" s="30">
        <f t="shared" si="12"/>
        <v>-8.4638056960891439E-2</v>
      </c>
      <c r="M28" s="30">
        <f t="shared" si="12"/>
        <v>-0.12891603456727996</v>
      </c>
      <c r="N28" s="30">
        <f t="shared" si="12"/>
        <v>-0.20082119249337715</v>
      </c>
      <c r="O28" s="30">
        <f t="shared" si="12"/>
        <v>-3.0965423723582131E-2</v>
      </c>
      <c r="P28" s="30">
        <f t="shared" si="12"/>
        <v>-3.6618998521027013E-2</v>
      </c>
      <c r="Q28" s="27"/>
    </row>
    <row r="29" spans="1:18" ht="15" customHeight="1">
      <c r="A29" s="25"/>
      <c r="B29" s="25"/>
      <c r="C29" s="25" t="s">
        <v>222</v>
      </c>
      <c r="D29" s="41">
        <f>Q29/$Q$32</f>
        <v>0.20653696238989863</v>
      </c>
      <c r="E29" s="25"/>
      <c r="F29" s="25"/>
      <c r="G29" s="26">
        <f>G83+G87</f>
        <v>35970.36145962555</v>
      </c>
      <c r="H29" s="26">
        <f t="shared" ref="H29:P29" si="13">H83+H87</f>
        <v>36801.654835319467</v>
      </c>
      <c r="I29" s="26">
        <f t="shared" si="13"/>
        <v>41933.009618988493</v>
      </c>
      <c r="J29" s="26">
        <f t="shared" si="13"/>
        <v>41699.819165847337</v>
      </c>
      <c r="K29" s="26">
        <f t="shared" si="13"/>
        <v>43410.246461085975</v>
      </c>
      <c r="L29" s="26">
        <f t="shared" si="13"/>
        <v>45389.860196484115</v>
      </c>
      <c r="M29" s="26">
        <f t="shared" si="13"/>
        <v>47867.172336190648</v>
      </c>
      <c r="N29" s="26">
        <f t="shared" si="13"/>
        <v>49476.914183626279</v>
      </c>
      <c r="O29" s="26">
        <f t="shared" si="13"/>
        <v>51534.99175131318</v>
      </c>
      <c r="P29" s="26">
        <f t="shared" si="13"/>
        <v>53980.685656633541</v>
      </c>
      <c r="Q29" s="27">
        <f>CORREL(I30:K30,$I$26:$K$26)</f>
        <v>0.38851512687214063</v>
      </c>
    </row>
    <row r="30" spans="1:18" ht="15" customHeight="1">
      <c r="A30" s="28"/>
      <c r="B30" s="28"/>
      <c r="C30" s="28" t="s">
        <v>184</v>
      </c>
      <c r="D30" s="42"/>
      <c r="E30" s="28"/>
      <c r="F30" s="28"/>
      <c r="G30" s="29"/>
      <c r="H30" s="29">
        <f t="shared" ref="H30:P30" si="14">H29/G29-1</f>
        <v>2.3110509373863053E-2</v>
      </c>
      <c r="I30" s="29">
        <f t="shared" si="14"/>
        <v>0.13943271862721618</v>
      </c>
      <c r="J30" s="29">
        <f t="shared" si="14"/>
        <v>-5.5610235291950749E-3</v>
      </c>
      <c r="K30" s="29">
        <f t="shared" si="14"/>
        <v>4.1017619007794215E-2</v>
      </c>
      <c r="L30" s="29">
        <f t="shared" si="14"/>
        <v>4.560245326348733E-2</v>
      </c>
      <c r="M30" s="29">
        <f t="shared" si="14"/>
        <v>5.4578536461287186E-2</v>
      </c>
      <c r="N30" s="29">
        <f t="shared" si="14"/>
        <v>3.3629349068914349E-2</v>
      </c>
      <c r="O30" s="29">
        <f t="shared" si="14"/>
        <v>4.1596724485456926E-2</v>
      </c>
      <c r="P30" s="29">
        <f t="shared" si="14"/>
        <v>4.7456957345065387E-2</v>
      </c>
      <c r="Q30" s="25"/>
    </row>
    <row r="31" spans="1:18" ht="15" customHeight="1">
      <c r="A31" s="25"/>
      <c r="B31" s="25"/>
      <c r="C31" s="25" t="s">
        <v>223</v>
      </c>
      <c r="D31" s="41">
        <f>Q31/$Q$32</f>
        <v>0.38974153882478046</v>
      </c>
      <c r="E31" s="25"/>
      <c r="F31" s="25"/>
      <c r="G31" s="26">
        <f t="shared" ref="G31:P31" si="15">G93</f>
        <v>2.3475244349150897</v>
      </c>
      <c r="H31" s="26">
        <f t="shared" si="15"/>
        <v>2.263721021696933</v>
      </c>
      <c r="I31" s="26">
        <f t="shared" si="15"/>
        <v>2.3374954815079518</v>
      </c>
      <c r="J31" s="26">
        <f t="shared" si="15"/>
        <v>2.4167758903691365</v>
      </c>
      <c r="K31" s="26">
        <f t="shared" si="15"/>
        <v>2.4659705853360512</v>
      </c>
      <c r="L31" s="26">
        <f t="shared" si="15"/>
        <v>2.5160166241732718</v>
      </c>
      <c r="M31" s="26">
        <f t="shared" si="15"/>
        <v>2.6479986465383485</v>
      </c>
      <c r="N31" s="26">
        <f t="shared" si="15"/>
        <v>2.7257083641203459</v>
      </c>
      <c r="O31" s="26">
        <f t="shared" si="15"/>
        <v>2.7891161880907731</v>
      </c>
      <c r="P31" s="26">
        <f t="shared" si="15"/>
        <v>2.8441602050198771</v>
      </c>
      <c r="Q31" s="27">
        <f>CORREL(I31:K31,$I$25:$K$25)</f>
        <v>0.73313987797497793</v>
      </c>
    </row>
    <row r="32" spans="1:18" ht="15" customHeight="1">
      <c r="A32" s="28"/>
      <c r="B32" s="28"/>
      <c r="C32" s="28" t="s">
        <v>184</v>
      </c>
      <c r="D32" s="28"/>
      <c r="E32" s="28"/>
      <c r="F32" s="28"/>
      <c r="G32" s="29"/>
      <c r="H32" s="29">
        <f t="shared" ref="H32:P32" si="16">H31/G31-1</f>
        <v>-3.569863298193432E-2</v>
      </c>
      <c r="I32" s="29">
        <f t="shared" si="16"/>
        <v>3.2589907989508227E-2</v>
      </c>
      <c r="J32" s="29">
        <f t="shared" si="16"/>
        <v>3.3916818016708872E-2</v>
      </c>
      <c r="K32" s="29">
        <f t="shared" si="16"/>
        <v>2.0355505515821992E-2</v>
      </c>
      <c r="L32" s="29">
        <f t="shared" si="16"/>
        <v>2.0294661718521789E-2</v>
      </c>
      <c r="M32" s="29">
        <f t="shared" si="16"/>
        <v>5.2456737009217491E-2</v>
      </c>
      <c r="N32" s="29">
        <f t="shared" si="16"/>
        <v>2.9346585083638521E-2</v>
      </c>
      <c r="O32" s="29">
        <f t="shared" si="16"/>
        <v>2.3262879039111839E-2</v>
      </c>
      <c r="P32" s="29">
        <f t="shared" si="16"/>
        <v>1.973529004067176E-2</v>
      </c>
      <c r="Q32" s="27">
        <f>SUM(Q27:Q31)</f>
        <v>1.881092480379881</v>
      </c>
    </row>
    <row r="33" spans="1:18" ht="15" customHeight="1">
      <c r="D33" s="43">
        <f>SUM(D27:D32)</f>
        <v>1</v>
      </c>
      <c r="G33" s="18"/>
      <c r="H33" s="18"/>
      <c r="I33" s="18"/>
      <c r="J33" s="18"/>
      <c r="Q33" s="27"/>
    </row>
    <row r="34" spans="1:18" ht="15" customHeight="1">
      <c r="A34" s="2" t="str">
        <f>'Tourism Medium DB-LCU'!A152</f>
        <v>Hungary</v>
      </c>
      <c r="B34" s="2" t="str">
        <f>'Tourism Medium DB-LCU'!B152</f>
        <v>Hotels</v>
      </c>
      <c r="C34" s="2" t="str">
        <f>'Tourism Medium DB-LCU'!C152</f>
        <v>Number of Rooms Nights Available</v>
      </c>
      <c r="G34" s="98">
        <f>'Tourism Medium DB-LCU'!H152</f>
        <v>24.022475</v>
      </c>
      <c r="H34" s="98">
        <f>'Tourism Medium DB-LCU'!I152</f>
        <v>24.568149999999999</v>
      </c>
      <c r="I34" s="98">
        <f>'Tourism Medium DB-LCU'!J152</f>
        <v>25.232085000000001</v>
      </c>
      <c r="J34" s="98">
        <f>'Tourism Medium DB-LCU'!K152</f>
        <v>24.100584999999999</v>
      </c>
      <c r="K34" s="98">
        <f>'Tourism Medium DB-LCU'!L152</f>
        <v>25.64198</v>
      </c>
      <c r="L34" s="98">
        <f>'Tourism Medium DB-LCU'!M152</f>
        <v>25.118127207695728</v>
      </c>
      <c r="M34" s="98">
        <f>'Tourism Medium DB-LCU'!N152</f>
        <v>26.22986059334384</v>
      </c>
      <c r="N34" s="98">
        <f>'Tourism Medium DB-LCU'!O152</f>
        <v>27.273202345473457</v>
      </c>
      <c r="O34" s="98">
        <f>'Tourism Medium DB-LCU'!P152</f>
        <v>27.274890685993114</v>
      </c>
      <c r="P34" s="98">
        <f>'Tourism Medium DB-LCU'!Q152</f>
        <v>27.07567556748857</v>
      </c>
    </row>
    <row r="35" spans="1:18" ht="15" customHeight="1">
      <c r="G35" s="18"/>
      <c r="H35" s="18"/>
      <c r="I35" s="18"/>
      <c r="J35" s="18"/>
      <c r="K35" s="18"/>
      <c r="L35" s="18"/>
      <c r="M35" s="18"/>
      <c r="N35" s="18"/>
      <c r="O35" s="18"/>
      <c r="P35" s="18"/>
    </row>
    <row r="36" spans="1:18" ht="15" customHeight="1">
      <c r="A36" s="2" t="str">
        <f>'Tourism Medium DB-LCU'!A154</f>
        <v>Hungary</v>
      </c>
      <c r="B36" s="2" t="str">
        <f>'Tourism Medium DB-LCU'!B154</f>
        <v>Hotels</v>
      </c>
      <c r="C36" s="2" t="str">
        <f>'Tourism Medium DB-LCU'!C154</f>
        <v>Revenue per Available Room</v>
      </c>
      <c r="D36" s="2"/>
      <c r="E36" s="2"/>
      <c r="F36" s="2"/>
      <c r="G36" s="39">
        <f>'Tourism Medium DB-LCU'!H154</f>
        <v>6447.7088935667107</v>
      </c>
      <c r="H36" s="39">
        <f>'Tourism Medium DB-LCU'!I154</f>
        <v>6416.1892500000004</v>
      </c>
      <c r="I36" s="39">
        <f>'Tourism Medium DB-LCU'!J154</f>
        <v>6286.5022499999995</v>
      </c>
      <c r="J36" s="39">
        <f>'Tourism Medium DB-LCU'!K154</f>
        <v>6628.8779999999997</v>
      </c>
      <c r="K36" s="39">
        <f>'Tourism Medium DB-LCU'!L154</f>
        <v>6974.3362500000003</v>
      </c>
      <c r="L36" s="40">
        <f>K36*(1+L37)</f>
        <v>7080.7832531473396</v>
      </c>
      <c r="M36" s="40">
        <f>L36*(1+M37)</f>
        <v>7073.5764284010529</v>
      </c>
      <c r="N36" s="40">
        <f>M36*(1+N37)</f>
        <v>6927.0082209974289</v>
      </c>
      <c r="O36" s="40">
        <f>N36*(1+O37)</f>
        <v>7060.2320052708792</v>
      </c>
      <c r="P36" s="40">
        <f>O36*(1+P37)</f>
        <v>7081.7422861306886</v>
      </c>
      <c r="Q36" s="19">
        <f>(K36/G36)^(1/4)-1</f>
        <v>1.9821973338935761E-2</v>
      </c>
      <c r="R36" s="19">
        <f>(P36/K36)^(1/5)-1</f>
        <v>3.0612362740565224E-3</v>
      </c>
    </row>
    <row r="37" spans="1:18" ht="15" customHeight="1">
      <c r="G37" s="18"/>
      <c r="H37" s="18">
        <f>H36/G36-1</f>
        <v>-4.888502891028379E-3</v>
      </c>
      <c r="I37" s="18">
        <f>I36/H36-1</f>
        <v>-2.0212464898849536E-2</v>
      </c>
      <c r="J37" s="18">
        <f>J36/I36-1</f>
        <v>5.446204206798777E-2</v>
      </c>
      <c r="K37" s="18">
        <f>K36/J36-1</f>
        <v>5.211413605741444E-2</v>
      </c>
      <c r="L37" s="21">
        <f>((K36/G36)^(1/4)-1)*0.95+0.05*($D$38*L39+$D$40*L41+$D$42*L43)</f>
        <v>1.5262671504738286E-2</v>
      </c>
      <c r="M37" s="21">
        <f>((L36/H36)^(1/4)-1)*0.01+0.99*($D$38*M39+$D$40*M41+$D$42*M43)</f>
        <v>-1.0178005015310881E-3</v>
      </c>
      <c r="N37" s="21">
        <f>((M36/I36)^(1/4)-1)*0.1+0.9*($D$38*N39+$D$40*N41+$D$42*N43)</f>
        <v>-2.0720523611668255E-2</v>
      </c>
      <c r="O37" s="21">
        <f>((N36/I36)^(1/5)-1)*0.99+0.01*($D$38*O39+$D$40*O41+$D$42*O43)</f>
        <v>1.9232514243251012E-2</v>
      </c>
      <c r="P37" s="21">
        <f>((O36/K36)^(1/4)-1)*0.999+0.001*($D$38*P39+$D$40*P41+$D$42*P43)</f>
        <v>3.0466818716087091E-3</v>
      </c>
      <c r="Q37" s="22" t="s">
        <v>182</v>
      </c>
    </row>
    <row r="38" spans="1:18" ht="15" customHeight="1">
      <c r="A38" s="23"/>
      <c r="B38" s="23"/>
      <c r="C38" s="23" t="s">
        <v>224</v>
      </c>
      <c r="D38" s="41">
        <f>Q38/Q$43</f>
        <v>0.1066312965694077</v>
      </c>
      <c r="E38" s="25"/>
      <c r="F38" s="25"/>
      <c r="G38" s="26">
        <f t="shared" ref="G38:P38" si="17">G27</f>
        <v>6509.4049999999997</v>
      </c>
      <c r="H38" s="26">
        <f t="shared" si="17"/>
        <v>5980.174</v>
      </c>
      <c r="I38" s="26">
        <f t="shared" si="17"/>
        <v>6261.4260000000004</v>
      </c>
      <c r="J38" s="26">
        <f t="shared" si="17"/>
        <v>6558.6930000000002</v>
      </c>
      <c r="K38" s="26">
        <f t="shared" si="17"/>
        <v>4194.8334999999997</v>
      </c>
      <c r="L38" s="26">
        <f t="shared" si="17"/>
        <v>3839.790943285544</v>
      </c>
      <c r="M38" s="26">
        <f t="shared" si="17"/>
        <v>3344.7803213098164</v>
      </c>
      <c r="N38" s="26">
        <f t="shared" si="17"/>
        <v>2673.077548555998</v>
      </c>
      <c r="O38" s="26">
        <f t="shared" si="17"/>
        <v>2590.3045696189674</v>
      </c>
      <c r="P38" s="26">
        <f t="shared" si="17"/>
        <v>2495.4502104150811</v>
      </c>
      <c r="Q38" s="27">
        <f>CORREL(G39:J39,$G$36:$J$36)</f>
        <v>0.14158460644092527</v>
      </c>
    </row>
    <row r="39" spans="1:18" ht="15" customHeight="1">
      <c r="A39" s="28"/>
      <c r="B39" s="28"/>
      <c r="C39" s="28" t="s">
        <v>184</v>
      </c>
      <c r="D39" s="42"/>
      <c r="E39" s="28"/>
      <c r="F39" s="28"/>
      <c r="G39" s="30"/>
      <c r="H39" s="30">
        <f t="shared" ref="H39:P39" si="18">H38/G38-1</f>
        <v>-8.1302515360466843E-2</v>
      </c>
      <c r="I39" s="30">
        <f t="shared" si="18"/>
        <v>4.7030738570483122E-2</v>
      </c>
      <c r="J39" s="30">
        <f t="shared" si="18"/>
        <v>4.7475926410373681E-2</v>
      </c>
      <c r="K39" s="30">
        <f t="shared" si="18"/>
        <v>-0.36041624451700982</v>
      </c>
      <c r="L39" s="30">
        <f t="shared" si="18"/>
        <v>-8.4638056960891439E-2</v>
      </c>
      <c r="M39" s="30">
        <f t="shared" si="18"/>
        <v>-0.12891603456727996</v>
      </c>
      <c r="N39" s="30">
        <f t="shared" si="18"/>
        <v>-0.20082119249337715</v>
      </c>
      <c r="O39" s="30">
        <f t="shared" si="18"/>
        <v>-3.0965423723582131E-2</v>
      </c>
      <c r="P39" s="30">
        <f t="shared" si="18"/>
        <v>-3.6618998521027013E-2</v>
      </c>
      <c r="Q39" s="27"/>
    </row>
    <row r="40" spans="1:18" ht="15" customHeight="1">
      <c r="A40" s="25"/>
      <c r="B40" s="25"/>
      <c r="C40" s="25" t="s">
        <v>225</v>
      </c>
      <c r="D40" s="41">
        <f>Q40/Q$43</f>
        <v>0.14151354673798941</v>
      </c>
      <c r="E40" s="25"/>
      <c r="F40" s="25"/>
      <c r="G40" s="26">
        <f t="shared" ref="G40:P40" si="19">G22</f>
        <v>0.48499999999999999</v>
      </c>
      <c r="H40" s="26">
        <f t="shared" si="19"/>
        <v>0.43099999999999999</v>
      </c>
      <c r="I40" s="26">
        <f t="shared" si="19"/>
        <v>0.44299999999999995</v>
      </c>
      <c r="J40" s="26">
        <f t="shared" si="19"/>
        <v>0.45899999999999996</v>
      </c>
      <c r="K40" s="26">
        <f t="shared" si="19"/>
        <v>0.47700000000000004</v>
      </c>
      <c r="L40" s="26">
        <f t="shared" si="19"/>
        <v>0.49148620151387556</v>
      </c>
      <c r="M40" s="26">
        <f t="shared" si="19"/>
        <v>0.48395902595397294</v>
      </c>
      <c r="N40" s="26">
        <f t="shared" si="19"/>
        <v>0.44068718587636735</v>
      </c>
      <c r="O40" s="26">
        <f t="shared" si="19"/>
        <v>0.44292727355082173</v>
      </c>
      <c r="P40" s="26">
        <f t="shared" si="19"/>
        <v>0.44750265910872766</v>
      </c>
      <c r="Q40" s="27">
        <f>CORREL(G41:J41,$G$36:$J$36)</f>
        <v>0.18790111782909749</v>
      </c>
    </row>
    <row r="41" spans="1:18" ht="15" customHeight="1">
      <c r="A41" s="28"/>
      <c r="B41" s="28"/>
      <c r="C41" s="28" t="s">
        <v>184</v>
      </c>
      <c r="D41" s="42"/>
      <c r="E41" s="28"/>
      <c r="F41" s="28"/>
      <c r="G41" s="29"/>
      <c r="H41" s="29">
        <f t="shared" ref="H41:P41" si="20">H40/G40-1</f>
        <v>-0.11134020618556695</v>
      </c>
      <c r="I41" s="29">
        <f t="shared" si="20"/>
        <v>2.7842227378190199E-2</v>
      </c>
      <c r="J41" s="29">
        <f t="shared" si="20"/>
        <v>3.6117381489842115E-2</v>
      </c>
      <c r="K41" s="29">
        <f t="shared" si="20"/>
        <v>3.9215686274509887E-2</v>
      </c>
      <c r="L41" s="29">
        <f t="shared" si="20"/>
        <v>3.036939520728632E-2</v>
      </c>
      <c r="M41" s="29">
        <f t="shared" si="20"/>
        <v>-1.5315130998016624E-2</v>
      </c>
      <c r="N41" s="29">
        <f t="shared" si="20"/>
        <v>-8.9412197638650825E-2</v>
      </c>
      <c r="O41" s="29">
        <f t="shared" si="20"/>
        <v>5.0831695276087885E-3</v>
      </c>
      <c r="P41" s="29">
        <f t="shared" si="20"/>
        <v>1.0329879939942277E-2</v>
      </c>
      <c r="Q41" s="25"/>
    </row>
    <row r="42" spans="1:18" ht="15" customHeight="1">
      <c r="A42" s="25"/>
      <c r="B42" s="25"/>
      <c r="C42" s="25" t="s">
        <v>223</v>
      </c>
      <c r="D42" s="41">
        <f>Q42/Q$43</f>
        <v>0.75185515669260294</v>
      </c>
      <c r="E42" s="25"/>
      <c r="F42" s="25"/>
      <c r="G42" s="26">
        <f>G89+G91</f>
        <v>0.43134059191988294</v>
      </c>
      <c r="H42" s="26">
        <f t="shared" ref="H42:P42" si="21">H89+H91</f>
        <v>0.44888575639709666</v>
      </c>
      <c r="I42" s="26">
        <f t="shared" si="21"/>
        <v>0.4380814776357746</v>
      </c>
      <c r="J42" s="26">
        <f t="shared" si="21"/>
        <v>0.4711254271997633</v>
      </c>
      <c r="K42" s="26">
        <f t="shared" si="21"/>
        <v>0.50789056040358405</v>
      </c>
      <c r="L42" s="26">
        <f t="shared" si="21"/>
        <v>0.46287638494036931</v>
      </c>
      <c r="M42" s="26">
        <f t="shared" si="21"/>
        <v>0.47188557163943989</v>
      </c>
      <c r="N42" s="26">
        <f t="shared" si="21"/>
        <v>0.47672995728633183</v>
      </c>
      <c r="O42" s="26">
        <f t="shared" si="21"/>
        <v>0.46786266904845158</v>
      </c>
      <c r="P42" s="26">
        <f t="shared" si="21"/>
        <v>0.45996892270206857</v>
      </c>
      <c r="Q42" s="27">
        <f>CORREL(H42:J42,$H$36:$J$36)</f>
        <v>0.99831025117107119</v>
      </c>
    </row>
    <row r="43" spans="1:18" ht="15" customHeight="1">
      <c r="A43" s="28"/>
      <c r="B43" s="28"/>
      <c r="C43" s="28" t="s">
        <v>184</v>
      </c>
      <c r="D43" s="28"/>
      <c r="E43" s="28"/>
      <c r="F43" s="28"/>
      <c r="G43" s="29"/>
      <c r="H43" s="29">
        <f t="shared" ref="H43:P43" si="22">H42/G42-1</f>
        <v>4.0675894654664368E-2</v>
      </c>
      <c r="I43" s="29">
        <f t="shared" si="22"/>
        <v>-2.406910579663013E-2</v>
      </c>
      <c r="J43" s="29">
        <f t="shared" si="22"/>
        <v>7.5428775812023119E-2</v>
      </c>
      <c r="K43" s="29">
        <f t="shared" si="22"/>
        <v>7.803682646114507E-2</v>
      </c>
      <c r="L43" s="29">
        <f t="shared" si="22"/>
        <v>-8.8629675313211642E-2</v>
      </c>
      <c r="M43" s="29">
        <f t="shared" si="22"/>
        <v>1.9463483107333701E-2</v>
      </c>
      <c r="N43" s="29">
        <f t="shared" si="22"/>
        <v>1.0266017734048116E-2</v>
      </c>
      <c r="O43" s="29">
        <f t="shared" si="22"/>
        <v>-1.8600232904084968E-2</v>
      </c>
      <c r="P43" s="29">
        <f t="shared" si="22"/>
        <v>-1.6871930309031669E-2</v>
      </c>
      <c r="Q43" s="27">
        <f>SUM(Q38:Q42)</f>
        <v>1.327795975441094</v>
      </c>
    </row>
    <row r="44" spans="1:18" ht="15" customHeight="1">
      <c r="D44" s="43">
        <f>SUM(D38:D43)</f>
        <v>1</v>
      </c>
      <c r="G44" s="18"/>
      <c r="H44" s="18"/>
      <c r="I44" s="18"/>
      <c r="J44" s="18"/>
      <c r="Q44" s="27"/>
    </row>
    <row r="45" spans="1:18" ht="15" customHeight="1">
      <c r="A45" s="2" t="str">
        <f>'Tourism Medium DB-LCU'!A157</f>
        <v>Hungary</v>
      </c>
      <c r="B45" s="2" t="str">
        <f>'Tourism Medium DB-LCU'!B157</f>
        <v>Hotels</v>
      </c>
      <c r="C45" s="2" t="str">
        <f>'Tourism Medium DB-LCU'!C157</f>
        <v>Total Room Revenue</v>
      </c>
      <c r="D45" s="2"/>
      <c r="E45" s="2"/>
      <c r="F45" s="2"/>
      <c r="G45" s="47">
        <f>'Tourism Medium DB-LCU'!H157</f>
        <v>424.35596083009307</v>
      </c>
      <c r="H45" s="47">
        <f>'Tourism Medium DB-LCU'!I157</f>
        <v>431.87369841750001</v>
      </c>
      <c r="I45" s="47">
        <f>'Tourism Medium DB-LCU'!J157</f>
        <v>434.57961404024996</v>
      </c>
      <c r="J45" s="47">
        <f>'Tourism Medium DB-LCU'!K157</f>
        <v>437.69818546199997</v>
      </c>
      <c r="K45" s="47">
        <f>'Tourism Medium DB-LCU'!L157</f>
        <v>489.96107023500002</v>
      </c>
      <c r="L45" s="45">
        <f>L18*L36*365/1000000</f>
        <v>177856.01448267649</v>
      </c>
      <c r="M45" s="45">
        <f>M18*M36*365/1000000</f>
        <v>185538.92361332264</v>
      </c>
      <c r="N45" s="45">
        <f>N18*N36*365/1000000</f>
        <v>188921.69686002101</v>
      </c>
      <c r="O45" s="45">
        <f>O18*O36*365/1000000</f>
        <v>192567.05616151317</v>
      </c>
      <c r="P45" s="45">
        <f>P18*P36*365/1000000</f>
        <v>191742.95659183935</v>
      </c>
      <c r="Q45" s="19">
        <f>(K45/G45)^(1/4)-1</f>
        <v>3.6591914310888818E-2</v>
      </c>
      <c r="R45" s="19">
        <f>(P45/K45)^(1/5)-1</f>
        <v>2.2999819850180261</v>
      </c>
    </row>
    <row r="46" spans="1:18" ht="15" customHeight="1">
      <c r="G46" s="46"/>
      <c r="H46" s="46">
        <f t="shared" ref="H46:P46" si="23">H45/G45-1</f>
        <v>1.7715640361693819E-2</v>
      </c>
      <c r="I46" s="46">
        <f t="shared" si="23"/>
        <v>6.2655253900969488E-3</v>
      </c>
      <c r="J46" s="46">
        <f t="shared" si="23"/>
        <v>7.1760646864147404E-3</v>
      </c>
      <c r="K46" s="46">
        <f t="shared" si="23"/>
        <v>0.11940393291289397</v>
      </c>
      <c r="L46" s="46">
        <f t="shared" si="23"/>
        <v>362.00029795708343</v>
      </c>
      <c r="M46" s="46">
        <f t="shared" si="23"/>
        <v>4.3197353505267433E-2</v>
      </c>
      <c r="N46" s="46">
        <f t="shared" si="23"/>
        <v>1.8232148709390605E-2</v>
      </c>
      <c r="O46" s="46">
        <f t="shared" si="23"/>
        <v>1.9295609567773209E-2</v>
      </c>
      <c r="P46" s="46">
        <f t="shared" si="23"/>
        <v>-4.2795459727161811E-3</v>
      </c>
    </row>
    <row r="47" spans="1:18" ht="15" customHeight="1">
      <c r="A47" s="15" t="str">
        <f>'Tourism Medium DB-LCU'!A158</f>
        <v>Hungary</v>
      </c>
      <c r="B47" s="15" t="str">
        <f>'Tourism Medium DB-LCU'!B158</f>
        <v>Hotels</v>
      </c>
      <c r="C47" s="15" t="str">
        <f>'Tourism Medium DB-LCU'!C158</f>
        <v>Total Non Room Revenue</v>
      </c>
      <c r="D47" s="6"/>
      <c r="E47" s="6"/>
      <c r="F47" s="15"/>
      <c r="G47" s="50">
        <f>'Tourism Medium DB-LCU'!H158</f>
        <v>216.48991601413323</v>
      </c>
      <c r="H47" s="50">
        <f>'Tourism Medium DB-LCU'!I158</f>
        <v>220.70092978607499</v>
      </c>
      <c r="I47" s="50">
        <f>'Tourism Medium DB-LCU'!J158</f>
        <v>222.02799999999996</v>
      </c>
      <c r="J47" s="50">
        <f>'Tourism Medium DB-LCU'!K158</f>
        <v>223.70453197906704</v>
      </c>
      <c r="K47" s="50">
        <f>'Tourism Medium DB-LCU'!L158</f>
        <v>249.69711750010021</v>
      </c>
      <c r="L47" s="44">
        <f>K47*(1+L48)</f>
        <v>254.85214690479074</v>
      </c>
      <c r="M47" s="44">
        <f>L47*(1+M48)</f>
        <v>265.47417531169913</v>
      </c>
      <c r="N47" s="44">
        <f>M47*(1+N48)</f>
        <v>277.69574423953094</v>
      </c>
      <c r="O47" s="44">
        <f>N47*(1+O48)</f>
        <v>292.72447606871907</v>
      </c>
      <c r="P47" s="44">
        <f>O47*(1+P48)</f>
        <v>306.02081698255034</v>
      </c>
      <c r="Q47" s="19">
        <f>(K47/G47)^(1/4)-1</f>
        <v>3.6320201694092891E-2</v>
      </c>
      <c r="R47" s="19">
        <f>(P47/K47)^(1/5)-1</f>
        <v>4.1519698499028257E-2</v>
      </c>
    </row>
    <row r="48" spans="1:18" ht="15" customHeight="1">
      <c r="A48" s="6"/>
      <c r="B48" s="6"/>
      <c r="C48" s="6"/>
      <c r="D48" s="6"/>
      <c r="E48" s="6"/>
      <c r="F48" s="6"/>
      <c r="G48" s="18"/>
      <c r="H48" s="18">
        <f>H47/G47-1</f>
        <v>1.945131602188277E-2</v>
      </c>
      <c r="I48" s="18">
        <f>I47/H47-1</f>
        <v>6.0129797151797781E-3</v>
      </c>
      <c r="J48" s="18">
        <f>J47/I47-1</f>
        <v>7.5509934740982665E-3</v>
      </c>
      <c r="K48" s="18">
        <f>K47/J47-1</f>
        <v>0.11619159116304978</v>
      </c>
      <c r="L48" s="21">
        <f>((K47/G47)^(1/4)-1)*0.4+0.6*($D$49*L50+$D$51*L52+$D$53*L54+$D$55*L56)</f>
        <v>2.0645129812875921E-2</v>
      </c>
      <c r="M48" s="21">
        <f>((L47/H47)^(1/4)-1)*0.6+0.4*($D$49*M50+$D$51*M52+$D$53*M54+$D$55*M56)</f>
        <v>4.167917961812042E-2</v>
      </c>
      <c r="N48" s="21">
        <f>((M47/I47)^(1/4)-1)*0.4+0.6*($D$49*N50+$D$51*N52+$D$53*N54+$D$55*N56)</f>
        <v>4.6036752589897659E-2</v>
      </c>
      <c r="O48" s="21">
        <f>0.9*((N47/J47)^(1/4)-1)+0.1*($D$49*O50+$D$51*O52+$D$53*O54+$D$55*O56)</f>
        <v>5.4119417171279452E-2</v>
      </c>
      <c r="P48" s="21">
        <f>((O47/K47)^(1/4)-1)*0.4+0.6*($D$49*P50+$D$51*P52+$D$53*P54+$D$55*P56)</f>
        <v>4.5422716584553435E-2</v>
      </c>
    </row>
    <row r="49" spans="1:18" ht="15" customHeight="1">
      <c r="A49" s="23"/>
      <c r="B49" s="23"/>
      <c r="C49" s="23" t="s">
        <v>191</v>
      </c>
      <c r="D49" s="24">
        <f>Q49/$Q$56</f>
        <v>-4.4652188211112144E-2</v>
      </c>
      <c r="E49" s="25"/>
      <c r="F49" s="25"/>
      <c r="G49" s="26">
        <f>'Tourism Medium DB-LCU'!H160</f>
        <v>6509.4049999999997</v>
      </c>
      <c r="H49" s="26">
        <f>'Tourism Medium DB-LCU'!I160</f>
        <v>5980.174</v>
      </c>
      <c r="I49" s="26">
        <f>'Tourism Medium DB-LCU'!J160</f>
        <v>6261.4260000000004</v>
      </c>
      <c r="J49" s="26">
        <f>'Tourism Medium DB-LCU'!K160</f>
        <v>6558.6930000000002</v>
      </c>
      <c r="K49" s="26">
        <f>'Tourism Medium DB-LCU'!L160</f>
        <v>4194.8334999999997</v>
      </c>
      <c r="L49" s="26">
        <f>'Tourism Medium DB-LCU'!M160</f>
        <v>3839.790943285544</v>
      </c>
      <c r="M49" s="26">
        <f>'Tourism Medium DB-LCU'!N160</f>
        <v>3344.7803213098164</v>
      </c>
      <c r="N49" s="26">
        <f>'Tourism Medium DB-LCU'!O160</f>
        <v>2673.077548555998</v>
      </c>
      <c r="O49" s="26">
        <f>'Tourism Medium DB-LCU'!P160</f>
        <v>2590.3045696189674</v>
      </c>
      <c r="P49" s="26">
        <f>'Tourism Medium DB-LCU'!Q160</f>
        <v>2495.4502104150811</v>
      </c>
      <c r="Q49" s="27">
        <f>CORREL(G49:J49,$G$47:$J$47)</f>
        <v>-6.4851566699271945E-2</v>
      </c>
    </row>
    <row r="50" spans="1:18" ht="15" customHeight="1">
      <c r="A50" s="28"/>
      <c r="B50" s="28"/>
      <c r="C50" s="28" t="s">
        <v>184</v>
      </c>
      <c r="D50" s="29"/>
      <c r="E50" s="28"/>
      <c r="F50" s="28"/>
      <c r="G50" s="30"/>
      <c r="H50" s="30">
        <f t="shared" ref="H50:P50" si="24">H49/G49-1</f>
        <v>-8.1302515360466843E-2</v>
      </c>
      <c r="I50" s="30">
        <f t="shared" si="24"/>
        <v>4.7030738570483122E-2</v>
      </c>
      <c r="J50" s="30">
        <f t="shared" si="24"/>
        <v>4.7475926410373681E-2</v>
      </c>
      <c r="K50" s="30">
        <f t="shared" si="24"/>
        <v>-0.36041624451700982</v>
      </c>
      <c r="L50" s="30">
        <f t="shared" si="24"/>
        <v>-8.4638056960891439E-2</v>
      </c>
      <c r="M50" s="30">
        <f t="shared" si="24"/>
        <v>-0.12891603456727996</v>
      </c>
      <c r="N50" s="30">
        <f t="shared" si="24"/>
        <v>-0.20082119249337715</v>
      </c>
      <c r="O50" s="30">
        <f t="shared" si="24"/>
        <v>-3.0965423723582131E-2</v>
      </c>
      <c r="P50" s="30">
        <f t="shared" si="24"/>
        <v>-3.6618998521027013E-2</v>
      </c>
      <c r="Q50" s="27"/>
    </row>
    <row r="51" spans="1:18" ht="15" customHeight="1">
      <c r="A51" s="25"/>
      <c r="B51" s="25"/>
      <c r="C51" s="25" t="s">
        <v>192</v>
      </c>
      <c r="D51" s="24">
        <f>Q51/$Q$56</f>
        <v>-0.26678578285371224</v>
      </c>
      <c r="E51" s="25"/>
      <c r="F51" s="25"/>
      <c r="G51" s="26">
        <f t="shared" ref="G51:P51" si="25">G113</f>
        <v>3.9258294210843392</v>
      </c>
      <c r="H51" s="26">
        <f t="shared" si="25"/>
        <v>3.9490719850385263</v>
      </c>
      <c r="I51" s="26">
        <f t="shared" si="25"/>
        <v>4.0940666703928583</v>
      </c>
      <c r="J51" s="26">
        <f t="shared" si="25"/>
        <v>4.2541101923315816</v>
      </c>
      <c r="K51" s="26">
        <f t="shared" si="25"/>
        <v>4.3322205566063818</v>
      </c>
      <c r="L51" s="26">
        <f t="shared" si="25"/>
        <v>4.4885472140833702</v>
      </c>
      <c r="M51" s="26">
        <f t="shared" si="25"/>
        <v>4.7397150589033616</v>
      </c>
      <c r="N51" s="26">
        <f t="shared" si="25"/>
        <v>4.9080139157741307</v>
      </c>
      <c r="O51" s="26">
        <f t="shared" si="25"/>
        <v>5.04599721053268</v>
      </c>
      <c r="P51" s="26">
        <f t="shared" si="25"/>
        <v>5.1653282471301711</v>
      </c>
      <c r="Q51" s="27">
        <f>CORREL(H52:K52,$H$48:$K$48)</f>
        <v>-0.38747207436632092</v>
      </c>
    </row>
    <row r="52" spans="1:18" ht="15" customHeight="1">
      <c r="A52" s="28"/>
      <c r="B52" s="28"/>
      <c r="C52" s="28" t="s">
        <v>184</v>
      </c>
      <c r="D52" s="29"/>
      <c r="E52" s="28"/>
      <c r="F52" s="28"/>
      <c r="G52" s="29"/>
      <c r="H52" s="29">
        <f t="shared" ref="H52:P52" si="26">H51/G51-1</f>
        <v>5.920421256552455E-3</v>
      </c>
      <c r="I52" s="29">
        <f t="shared" si="26"/>
        <v>3.6716141388067669E-2</v>
      </c>
      <c r="J52" s="29">
        <f t="shared" si="26"/>
        <v>3.9091576865641464E-2</v>
      </c>
      <c r="K52" s="29">
        <f t="shared" si="26"/>
        <v>1.8361152096060263E-2</v>
      </c>
      <c r="L52" s="29">
        <f t="shared" si="26"/>
        <v>3.6084648838711431E-2</v>
      </c>
      <c r="M52" s="29">
        <f t="shared" si="26"/>
        <v>5.5957491999175435E-2</v>
      </c>
      <c r="N52" s="29">
        <f t="shared" si="26"/>
        <v>3.5508222494224917E-2</v>
      </c>
      <c r="O52" s="29">
        <f t="shared" si="26"/>
        <v>2.8113876025305684E-2</v>
      </c>
      <c r="P52" s="29">
        <f t="shared" si="26"/>
        <v>2.3648652906190115E-2</v>
      </c>
      <c r="Q52" s="25"/>
    </row>
    <row r="53" spans="1:18" ht="15" customHeight="1">
      <c r="A53" s="25"/>
      <c r="B53" s="25"/>
      <c r="C53" s="25" t="s">
        <v>193</v>
      </c>
      <c r="D53" s="24">
        <f>Q53/$Q$56</f>
        <v>0.64673126443683771</v>
      </c>
      <c r="E53" s="25"/>
      <c r="F53" s="25"/>
      <c r="G53" s="26">
        <f t="shared" ref="G53:P53" si="27">G115</f>
        <v>2.2663735777299792</v>
      </c>
      <c r="H53" s="26">
        <f t="shared" si="27"/>
        <v>2.4498649844338849</v>
      </c>
      <c r="I53" s="26">
        <f t="shared" si="27"/>
        <v>2.4799577165328524</v>
      </c>
      <c r="J53" s="26">
        <f t="shared" si="27"/>
        <v>2.7091595085970832</v>
      </c>
      <c r="K53" s="26">
        <f t="shared" si="27"/>
        <v>3.0423184796452833</v>
      </c>
      <c r="L53" s="26">
        <f t="shared" si="27"/>
        <v>3.0332991689924436</v>
      </c>
      <c r="M53" s="26">
        <f t="shared" si="27"/>
        <v>3.1789404441890659</v>
      </c>
      <c r="N53" s="26">
        <f t="shared" si="27"/>
        <v>3.3155041684647877</v>
      </c>
      <c r="O53" s="26">
        <f t="shared" si="27"/>
        <v>3.4593233350845964</v>
      </c>
      <c r="P53" s="26">
        <f t="shared" si="27"/>
        <v>3.6446075062485899</v>
      </c>
      <c r="Q53" s="27">
        <f>CORREL(H53:J53,$H$47:$J$47)</f>
        <v>0.93929407297652878</v>
      </c>
    </row>
    <row r="54" spans="1:18" ht="15" customHeight="1">
      <c r="A54" s="28"/>
      <c r="B54" s="28"/>
      <c r="C54" s="28" t="s">
        <v>184</v>
      </c>
      <c r="D54" s="28"/>
      <c r="E54" s="28"/>
      <c r="F54" s="28"/>
      <c r="G54" s="29"/>
      <c r="H54" s="29">
        <f t="shared" ref="H54:P54" si="28">H53/G53-1</f>
        <v>8.0962559971111459E-2</v>
      </c>
      <c r="I54" s="29">
        <f t="shared" si="28"/>
        <v>1.2283424715309854E-2</v>
      </c>
      <c r="J54" s="29">
        <f t="shared" si="28"/>
        <v>9.2421653214584065E-2</v>
      </c>
      <c r="K54" s="29">
        <f t="shared" si="28"/>
        <v>0.122975029706067</v>
      </c>
      <c r="L54" s="29">
        <f t="shared" si="28"/>
        <v>-2.9646175156163856E-3</v>
      </c>
      <c r="M54" s="29">
        <f t="shared" si="28"/>
        <v>4.8014147989563272E-2</v>
      </c>
      <c r="N54" s="29">
        <f t="shared" si="28"/>
        <v>4.2958881008718919E-2</v>
      </c>
      <c r="O54" s="29">
        <f t="shared" si="28"/>
        <v>4.3377766792675354E-2</v>
      </c>
      <c r="P54" s="29">
        <f t="shared" si="28"/>
        <v>5.3560813262187423E-2</v>
      </c>
      <c r="Q54" s="27"/>
    </row>
    <row r="55" spans="1:18" ht="15" customHeight="1">
      <c r="A55" s="51"/>
      <c r="B55" s="51"/>
      <c r="C55" s="25" t="s">
        <v>194</v>
      </c>
      <c r="D55" s="24">
        <f>Q55/$Q$56</f>
        <v>0.6647067066279867</v>
      </c>
      <c r="E55" s="51"/>
      <c r="F55" s="51"/>
      <c r="G55" s="52">
        <f t="shared" ref="G55:P55" si="29">G87</f>
        <v>4739.3614596255511</v>
      </c>
      <c r="H55" s="52">
        <f t="shared" si="29"/>
        <v>4847.6548353194648</v>
      </c>
      <c r="I55" s="52">
        <f t="shared" si="29"/>
        <v>4939.0096189884944</v>
      </c>
      <c r="J55" s="52">
        <f t="shared" si="29"/>
        <v>5006.1882565622482</v>
      </c>
      <c r="K55" s="52">
        <f t="shared" si="29"/>
        <v>5149.4122966689465</v>
      </c>
      <c r="L55" s="52">
        <f t="shared" si="29"/>
        <v>5288.546429363364</v>
      </c>
      <c r="M55" s="52">
        <f t="shared" si="29"/>
        <v>5506.4096519284249</v>
      </c>
      <c r="N55" s="52">
        <f t="shared" si="29"/>
        <v>5663.7219192792618</v>
      </c>
      <c r="O55" s="52">
        <f t="shared" si="29"/>
        <v>5829.2084728204791</v>
      </c>
      <c r="P55" s="52">
        <f t="shared" si="29"/>
        <v>5993.2723834555009</v>
      </c>
      <c r="Q55" s="27">
        <f>CORREL(I55:K55,$I$47:$K$47)</f>
        <v>0.96540109336927404</v>
      </c>
    </row>
    <row r="56" spans="1:18" ht="15" customHeight="1">
      <c r="A56" s="28"/>
      <c r="B56" s="28"/>
      <c r="C56" s="28" t="s">
        <v>184</v>
      </c>
      <c r="D56" s="28"/>
      <c r="E56" s="28"/>
      <c r="F56" s="28"/>
      <c r="G56" s="29"/>
      <c r="H56" s="29">
        <f t="shared" ref="H56:P56" si="30">H55/G55-1</f>
        <v>2.2849781899199062E-2</v>
      </c>
      <c r="I56" s="29">
        <f t="shared" si="30"/>
        <v>1.8845150237065011E-2</v>
      </c>
      <c r="J56" s="29">
        <f t="shared" si="30"/>
        <v>1.3601641372691153E-2</v>
      </c>
      <c r="K56" s="29">
        <f t="shared" si="30"/>
        <v>2.8609399560425297E-2</v>
      </c>
      <c r="L56" s="29">
        <f t="shared" si="30"/>
        <v>2.7019419824747981E-2</v>
      </c>
      <c r="M56" s="29">
        <f t="shared" si="30"/>
        <v>4.1195293541421485E-2</v>
      </c>
      <c r="N56" s="29">
        <f t="shared" si="30"/>
        <v>2.8568936438600145E-2</v>
      </c>
      <c r="O56" s="29">
        <f t="shared" si="30"/>
        <v>2.9218693272687446E-2</v>
      </c>
      <c r="P56" s="29">
        <f t="shared" si="30"/>
        <v>2.8145143787530191E-2</v>
      </c>
      <c r="Q56" s="1">
        <f>SUM(Q49:Q55)</f>
        <v>1.4523715252802099</v>
      </c>
    </row>
    <row r="57" spans="1:18" ht="15" customHeight="1">
      <c r="A57" s="6"/>
      <c r="B57" s="6"/>
      <c r="C57" s="6"/>
      <c r="D57" s="53">
        <f>SUM(D49:D55)</f>
        <v>1</v>
      </c>
      <c r="E57" s="6"/>
      <c r="F57" s="6"/>
      <c r="G57" s="18"/>
      <c r="H57" s="18"/>
      <c r="I57" s="18"/>
      <c r="J57" s="18"/>
      <c r="K57" s="54"/>
      <c r="L57" s="54"/>
      <c r="M57" s="54"/>
      <c r="N57" s="54"/>
      <c r="O57" s="54"/>
      <c r="P57" s="54"/>
    </row>
    <row r="58" spans="1:18" ht="15" customHeight="1">
      <c r="A58" s="15" t="str">
        <f>'Tourism Medium DB-LCU'!A160</f>
        <v>Hungary</v>
      </c>
      <c r="B58" s="15" t="str">
        <f>'Tourism Medium DB-LCU'!B160</f>
        <v>Hotels</v>
      </c>
      <c r="C58" s="15" t="str">
        <f>'Tourism Medium DB-LCU'!C160</f>
        <v>Number of Guests by Customer Type</v>
      </c>
      <c r="D58" s="2"/>
      <c r="E58" s="2"/>
      <c r="F58" s="2"/>
      <c r="G58" s="33">
        <f>'Tourism Medium DB-LCU'!H160</f>
        <v>6509.4049999999997</v>
      </c>
      <c r="H58" s="33">
        <f>'Tourism Medium DB-LCU'!I160</f>
        <v>5980.174</v>
      </c>
      <c r="I58" s="33">
        <f>'Tourism Medium DB-LCU'!J160</f>
        <v>6261.4260000000004</v>
      </c>
      <c r="J58" s="33">
        <f>'Tourism Medium DB-LCU'!K160</f>
        <v>6558.6930000000002</v>
      </c>
      <c r="K58" s="33">
        <f>'Tourism Medium DB-LCU'!L160</f>
        <v>4194.8334999999997</v>
      </c>
      <c r="L58" s="39">
        <f>K58*(1+L59)</f>
        <v>3839.790943285544</v>
      </c>
      <c r="M58" s="39">
        <f t="shared" ref="M58:P58" si="31">L58*(1+M59)</f>
        <v>3344.7803213098164</v>
      </c>
      <c r="N58" s="39">
        <f t="shared" si="31"/>
        <v>2673.077548555998</v>
      </c>
      <c r="O58" s="39">
        <f t="shared" si="31"/>
        <v>2590.3045696189674</v>
      </c>
      <c r="P58" s="39">
        <f t="shared" si="31"/>
        <v>2495.4502104150811</v>
      </c>
      <c r="Q58" s="19">
        <f>(K58/G58)^(1/4)-1</f>
        <v>-0.1040302263057179</v>
      </c>
      <c r="R58" s="19">
        <f>(P58/K58)^(1/5)-1</f>
        <v>-9.8663753301313384E-2</v>
      </c>
    </row>
    <row r="59" spans="1:18" ht="15" customHeight="1">
      <c r="G59" s="18"/>
      <c r="H59" s="18">
        <f>H58/G58-1</f>
        <v>-8.1302515360466843E-2</v>
      </c>
      <c r="I59" s="18">
        <f>I58/H58-1</f>
        <v>4.7030738570483122E-2</v>
      </c>
      <c r="J59" s="18">
        <f>J58/I58-1</f>
        <v>4.7475926410373681E-2</v>
      </c>
      <c r="K59" s="18">
        <f>K58/J58-1</f>
        <v>-0.36041624451700982</v>
      </c>
      <c r="L59" s="21">
        <f>((K58/G58)^(1/4)-1)*0.7+0.3*($D$60*L61+$D$62*L63+$D$64*L65)</f>
        <v>-8.4638056960891397E-2</v>
      </c>
      <c r="M59" s="21">
        <f>((L58/I58)^(1/3)-1)*0.9+0.1*($D$60*M61+$D$62*M63+$D$64*M65)</f>
        <v>-0.12891603456727993</v>
      </c>
      <c r="N59" s="21">
        <f>((M58/J58)^(1/3)-1)*0.999+0.001*($D$60*N61+$D$62*N63+$D$64*N65)</f>
        <v>-0.20082119249337713</v>
      </c>
      <c r="O59" s="21">
        <f>((N58/K58)^(1/3)-1)*0.1+0.9*($D$60*O61+$D$62*O63+$D$64*O65)</f>
        <v>-3.0965423723582085E-2</v>
      </c>
      <c r="P59" s="21">
        <f>((O58/L58)^(1/3)-1)*0.1+0.9*($D$60*P61+$D$62*P63+$D$64*P65)</f>
        <v>-3.6618998521027013E-2</v>
      </c>
      <c r="Q59" s="22" t="s">
        <v>182</v>
      </c>
    </row>
    <row r="60" spans="1:18" ht="15" customHeight="1">
      <c r="A60" s="23"/>
      <c r="B60" s="23"/>
      <c r="C60" s="23" t="s">
        <v>227</v>
      </c>
      <c r="D60" s="24">
        <f>Q60/$Q$66</f>
        <v>-2.5168427455919042</v>
      </c>
      <c r="E60" s="25"/>
      <c r="F60" s="25"/>
      <c r="G60" s="26">
        <f>G79</f>
        <v>35970.36145962555</v>
      </c>
      <c r="H60" s="26">
        <f t="shared" ref="H60:P60" si="32">H79</f>
        <v>36801.654835319467</v>
      </c>
      <c r="I60" s="26">
        <f t="shared" si="32"/>
        <v>41933.009618988493</v>
      </c>
      <c r="J60" s="26">
        <f t="shared" si="32"/>
        <v>41699.819165847337</v>
      </c>
      <c r="K60" s="26">
        <f t="shared" si="32"/>
        <v>43410.246461085975</v>
      </c>
      <c r="L60" s="26">
        <f t="shared" si="32"/>
        <v>45389.860196484115</v>
      </c>
      <c r="M60" s="26">
        <f t="shared" si="32"/>
        <v>47867.172336190648</v>
      </c>
      <c r="N60" s="26">
        <f t="shared" si="32"/>
        <v>49476.914183626279</v>
      </c>
      <c r="O60" s="26">
        <f t="shared" si="32"/>
        <v>51534.99175131318</v>
      </c>
      <c r="P60" s="26">
        <f t="shared" si="32"/>
        <v>53980.685656633541</v>
      </c>
      <c r="Q60" s="27">
        <f>CORREL(G59:J59,$G$58:$J$58)</f>
        <v>0.85946147973441878</v>
      </c>
    </row>
    <row r="61" spans="1:18" ht="15" customHeight="1">
      <c r="A61" s="28"/>
      <c r="B61" s="28"/>
      <c r="C61" s="28" t="s">
        <v>184</v>
      </c>
      <c r="D61" s="29"/>
      <c r="E61" s="28"/>
      <c r="F61" s="28"/>
      <c r="G61" s="30"/>
      <c r="H61" s="30">
        <f t="shared" ref="H61:P61" si="33">H60/G60-1</f>
        <v>2.3110509373863053E-2</v>
      </c>
      <c r="I61" s="30">
        <f t="shared" si="33"/>
        <v>0.13943271862721618</v>
      </c>
      <c r="J61" s="30">
        <f t="shared" si="33"/>
        <v>-5.5610235291950749E-3</v>
      </c>
      <c r="K61" s="30">
        <f t="shared" si="33"/>
        <v>4.1017619007794215E-2</v>
      </c>
      <c r="L61" s="30">
        <f t="shared" si="33"/>
        <v>4.560245326348733E-2</v>
      </c>
      <c r="M61" s="30">
        <f t="shared" si="33"/>
        <v>5.4578536461287186E-2</v>
      </c>
      <c r="N61" s="30">
        <f t="shared" si="33"/>
        <v>3.3629349068914349E-2</v>
      </c>
      <c r="O61" s="30">
        <f t="shared" si="33"/>
        <v>4.1596724485456926E-2</v>
      </c>
      <c r="P61" s="30">
        <f t="shared" si="33"/>
        <v>4.7456957345065387E-2</v>
      </c>
      <c r="Q61" s="27"/>
    </row>
    <row r="62" spans="1:18" ht="15" customHeight="1">
      <c r="A62" s="25"/>
      <c r="B62" s="25"/>
      <c r="C62" s="25" t="s">
        <v>226</v>
      </c>
      <c r="D62" s="24">
        <f>Q62/$Q$66</f>
        <v>2.0948091461029361</v>
      </c>
      <c r="E62" s="25"/>
      <c r="F62" s="25"/>
      <c r="G62" s="26">
        <f t="shared" ref="G62:P62" si="34">G93</f>
        <v>2.3475244349150897</v>
      </c>
      <c r="H62" s="26">
        <f t="shared" si="34"/>
        <v>2.263721021696933</v>
      </c>
      <c r="I62" s="26">
        <f t="shared" si="34"/>
        <v>2.3374954815079518</v>
      </c>
      <c r="J62" s="26">
        <f t="shared" si="34"/>
        <v>2.4167758903691365</v>
      </c>
      <c r="K62" s="26">
        <f t="shared" si="34"/>
        <v>2.4659705853360512</v>
      </c>
      <c r="L62" s="26">
        <f t="shared" si="34"/>
        <v>2.5160166241732718</v>
      </c>
      <c r="M62" s="26">
        <f t="shared" si="34"/>
        <v>2.6479986465383485</v>
      </c>
      <c r="N62" s="26">
        <f t="shared" si="34"/>
        <v>2.7257083641203459</v>
      </c>
      <c r="O62" s="26">
        <f t="shared" si="34"/>
        <v>2.7891161880907731</v>
      </c>
      <c r="P62" s="26">
        <f t="shared" si="34"/>
        <v>2.8441602050198771</v>
      </c>
      <c r="Q62" s="27">
        <f>CORREL(I62:K62,$I$58:$K$58)</f>
        <v>-0.71534376616263673</v>
      </c>
    </row>
    <row r="63" spans="1:18" ht="15" customHeight="1">
      <c r="A63" s="28"/>
      <c r="B63" s="28"/>
      <c r="C63" s="28" t="s">
        <v>184</v>
      </c>
      <c r="D63" s="29"/>
      <c r="E63" s="28"/>
      <c r="F63" s="28"/>
      <c r="G63" s="29"/>
      <c r="H63" s="29">
        <f t="shared" ref="H63:P63" si="35">H62/G62-1</f>
        <v>-3.569863298193432E-2</v>
      </c>
      <c r="I63" s="29">
        <f t="shared" si="35"/>
        <v>3.2589907989508227E-2</v>
      </c>
      <c r="J63" s="29">
        <f t="shared" si="35"/>
        <v>3.3916818016708872E-2</v>
      </c>
      <c r="K63" s="29">
        <f t="shared" si="35"/>
        <v>2.0355505515821992E-2</v>
      </c>
      <c r="L63" s="29">
        <f t="shared" si="35"/>
        <v>2.0294661718521789E-2</v>
      </c>
      <c r="M63" s="29">
        <f t="shared" si="35"/>
        <v>5.2456737009217491E-2</v>
      </c>
      <c r="N63" s="29">
        <f t="shared" si="35"/>
        <v>2.9346585083638521E-2</v>
      </c>
      <c r="O63" s="29">
        <f t="shared" si="35"/>
        <v>2.3262879039111839E-2</v>
      </c>
      <c r="P63" s="29">
        <f t="shared" si="35"/>
        <v>1.973529004067176E-2</v>
      </c>
      <c r="Q63" s="25"/>
    </row>
    <row r="64" spans="1:18" ht="15" customHeight="1">
      <c r="A64" s="25"/>
      <c r="B64" s="25"/>
      <c r="C64" s="66" t="s">
        <v>195</v>
      </c>
      <c r="D64" s="24">
        <f>Q64/$Q$66</f>
        <v>1.4220335994889681</v>
      </c>
      <c r="E64" s="25"/>
      <c r="F64" s="25"/>
      <c r="G64" s="26">
        <f t="shared" ref="G64:P64" si="36">G95</f>
        <v>242790.63329093897</v>
      </c>
      <c r="H64" s="26">
        <f t="shared" si="36"/>
        <v>209746.7</v>
      </c>
      <c r="I64" s="26">
        <f t="shared" si="36"/>
        <v>229862.9</v>
      </c>
      <c r="J64" s="26">
        <f t="shared" si="36"/>
        <v>267252.2</v>
      </c>
      <c r="K64" s="26">
        <f t="shared" si="36"/>
        <v>265907.5</v>
      </c>
      <c r="L64" s="26">
        <f t="shared" si="36"/>
        <v>272054.09999999998</v>
      </c>
      <c r="M64" s="26">
        <f t="shared" si="36"/>
        <v>289649.63300421787</v>
      </c>
      <c r="N64" s="26">
        <f t="shared" si="36"/>
        <v>301083.19496268278</v>
      </c>
      <c r="O64" s="26">
        <f t="shared" si="36"/>
        <v>308928.07991056109</v>
      </c>
      <c r="P64" s="26">
        <f t="shared" si="36"/>
        <v>320023.94020155317</v>
      </c>
      <c r="Q64" s="27">
        <f>CORREL(H62:K62,$H$59:$K$59)</f>
        <v>-0.48560169434082806</v>
      </c>
    </row>
    <row r="65" spans="1:18" ht="15" customHeight="1">
      <c r="A65" s="28"/>
      <c r="B65" s="28"/>
      <c r="C65" s="28" t="s">
        <v>184</v>
      </c>
      <c r="D65" s="28"/>
      <c r="E65" s="28"/>
      <c r="F65" s="28"/>
      <c r="G65" s="29"/>
      <c r="H65" s="29">
        <f t="shared" ref="H65:P65" si="37">H64/G64-1</f>
        <v>-0.13610052761525615</v>
      </c>
      <c r="I65" s="29">
        <f t="shared" si="37"/>
        <v>9.5907110815092622E-2</v>
      </c>
      <c r="J65" s="29">
        <f t="shared" si="37"/>
        <v>0.16265913290052469</v>
      </c>
      <c r="K65" s="29">
        <f t="shared" si="37"/>
        <v>-5.0315769149890111E-3</v>
      </c>
      <c r="L65" s="29">
        <f t="shared" si="37"/>
        <v>2.3115557101623496E-2</v>
      </c>
      <c r="M65" s="29">
        <f t="shared" si="37"/>
        <v>6.4676595589693076E-2</v>
      </c>
      <c r="N65" s="29">
        <f t="shared" si="37"/>
        <v>3.9473766425585088E-2</v>
      </c>
      <c r="O65" s="29">
        <f t="shared" si="37"/>
        <v>2.6055539064047117E-2</v>
      </c>
      <c r="P65" s="29">
        <f t="shared" si="37"/>
        <v>3.5917292769904519E-2</v>
      </c>
      <c r="Q65" s="27"/>
    </row>
    <row r="66" spans="1:18" ht="15" customHeight="1">
      <c r="A66" s="51"/>
      <c r="B66" s="51"/>
      <c r="C66" s="51"/>
      <c r="D66" s="55">
        <f>SUM(D60:D65)</f>
        <v>1</v>
      </c>
      <c r="E66" s="51"/>
      <c r="F66" s="51"/>
      <c r="G66" s="55"/>
      <c r="H66" s="55"/>
      <c r="I66" s="55"/>
      <c r="J66" s="55"/>
      <c r="K66" s="55"/>
      <c r="L66" s="55"/>
      <c r="M66" s="55"/>
      <c r="N66" s="55"/>
      <c r="O66" s="55"/>
      <c r="P66" s="55"/>
      <c r="Q66" s="27">
        <f>SUM(Q60:Q64)</f>
        <v>-0.34148398076904601</v>
      </c>
    </row>
    <row r="67" spans="1:18" ht="15" customHeight="1">
      <c r="A67" s="51"/>
      <c r="B67" s="51"/>
      <c r="C67" s="51"/>
      <c r="D67" s="51"/>
      <c r="E67" s="51"/>
      <c r="F67" s="51"/>
      <c r="G67" s="55"/>
      <c r="H67" s="55"/>
      <c r="I67" s="55"/>
      <c r="J67" s="55"/>
      <c r="K67" s="55"/>
      <c r="L67" s="55"/>
      <c r="M67" s="55"/>
      <c r="N67" s="55"/>
      <c r="O67" s="55"/>
      <c r="P67" s="55"/>
    </row>
    <row r="68" spans="1:18" ht="15" customHeight="1">
      <c r="A68" s="15" t="str">
        <f>'Tourism Medium DB-LCU'!A161</f>
        <v>Hungary</v>
      </c>
      <c r="B68" s="15" t="str">
        <f>'Tourism Medium DB-LCU'!B161</f>
        <v>Hotels</v>
      </c>
      <c r="C68" s="15" t="str">
        <f>'Tourism Medium DB-LCU'!C161</f>
        <v>Number of Guests by Customer Type</v>
      </c>
      <c r="D68" s="15" t="str">
        <f>'Tourism Medium DB-LCU'!D161</f>
        <v>Business</v>
      </c>
      <c r="F68" s="2"/>
      <c r="G68" s="33">
        <f>'Tourism Medium DB-LCU'!H161</f>
        <v>185.18210349405379</v>
      </c>
      <c r="H68" s="33">
        <f>'Tourism Medium DB-LCU'!I161</f>
        <v>144.13822927401068</v>
      </c>
      <c r="I68" s="33">
        <f>'Tourism Medium DB-LCU'!J161</f>
        <v>95.457305914693251</v>
      </c>
      <c r="J68" s="33">
        <f>'Tourism Medium DB-LCU'!K161</f>
        <v>72.396573421508023</v>
      </c>
      <c r="K68" s="33">
        <f>'Tourism Medium DB-LCU'!L161</f>
        <v>93.678110400162595</v>
      </c>
      <c r="L68" s="20">
        <f>L58*L72</f>
        <v>83.231551267755918</v>
      </c>
      <c r="M68" s="20">
        <f>M58*M72</f>
        <v>72.311861527933942</v>
      </c>
      <c r="N68" s="20">
        <f>N58*N72</f>
        <v>58.317474645817178</v>
      </c>
      <c r="O68" s="20">
        <f>O58*O72</f>
        <v>57.561021147353181</v>
      </c>
      <c r="P68" s="20">
        <f>P58*P72</f>
        <v>55.446348932066435</v>
      </c>
      <c r="Q68" s="19">
        <f>(K68/G68)^(1/4)-1</f>
        <v>-0.15664625609439542</v>
      </c>
      <c r="R68" s="19">
        <f>(P68/K68)^(1/5)-1</f>
        <v>-9.957619873588841E-2</v>
      </c>
    </row>
    <row r="69" spans="1:18" ht="15" customHeight="1">
      <c r="G69" s="18"/>
      <c r="H69" s="18">
        <f t="shared" ref="H69:P69" si="38">H68/G68-1</f>
        <v>-0.22164060913889028</v>
      </c>
      <c r="I69" s="18">
        <f t="shared" si="38"/>
        <v>-0.33773776467569672</v>
      </c>
      <c r="J69" s="18">
        <f t="shared" si="38"/>
        <v>-0.24158163979395952</v>
      </c>
      <c r="K69" s="18">
        <f t="shared" si="38"/>
        <v>0.29395779348214446</v>
      </c>
      <c r="L69" s="18">
        <f t="shared" si="38"/>
        <v>-0.11151547664424866</v>
      </c>
      <c r="M69" s="18">
        <f t="shared" si="38"/>
        <v>-0.13119651830942491</v>
      </c>
      <c r="N69" s="18">
        <f t="shared" si="38"/>
        <v>-0.19352823432308897</v>
      </c>
      <c r="O69" s="18">
        <f t="shared" si="38"/>
        <v>-1.2971300678882414E-2</v>
      </c>
      <c r="P69" s="18">
        <f t="shared" si="38"/>
        <v>-3.6737920438786098E-2</v>
      </c>
    </row>
    <row r="70" spans="1:18" ht="15" customHeight="1">
      <c r="A70" s="15" t="str">
        <f>'Tourism Medium DB-LCU'!A162</f>
        <v>Hungary</v>
      </c>
      <c r="B70" s="15" t="str">
        <f>'Tourism Medium DB-LCU'!B162</f>
        <v>Hotels</v>
      </c>
      <c r="C70" s="15" t="str">
        <f>'Tourism Medium DB-LCU'!C162</f>
        <v>Number of Guests by Customer Type</v>
      </c>
      <c r="D70" s="15" t="str">
        <f>'Tourism Medium DB-LCU'!D162</f>
        <v>Leisure</v>
      </c>
      <c r="F70" s="2"/>
      <c r="G70" s="33">
        <f>'Tourism Medium DB-LCU'!H162</f>
        <v>15331.931896505946</v>
      </c>
      <c r="H70" s="33">
        <f>'Tourism Medium DB-LCU'!I162</f>
        <v>15266.71377072599</v>
      </c>
      <c r="I70" s="33">
        <f>'Tourism Medium DB-LCU'!J162</f>
        <v>16245.897694085308</v>
      </c>
      <c r="J70" s="33">
        <f>'Tourism Medium DB-LCU'!K162</f>
        <v>16712.15342657849</v>
      </c>
      <c r="K70" s="33">
        <f>'Tourism Medium DB-LCU'!L162</f>
        <v>17036.295269222814</v>
      </c>
      <c r="L70" s="20">
        <f>L58*L73</f>
        <v>3756.559392017788</v>
      </c>
      <c r="M70" s="20">
        <f>M58*M73</f>
        <v>3272.4684597818823</v>
      </c>
      <c r="N70" s="20">
        <f>N58*N73</f>
        <v>2614.7600739101808</v>
      </c>
      <c r="O70" s="20">
        <f>O58*O73</f>
        <v>2532.7435484716143</v>
      </c>
      <c r="P70" s="20">
        <f>P58*P73</f>
        <v>2440.0038614830146</v>
      </c>
      <c r="Q70" s="19">
        <f>(K70/G70)^(1/4)-1</f>
        <v>2.6702381203499215E-2</v>
      </c>
      <c r="R70" s="19">
        <f>(P70/K70)^(1/5)-1</f>
        <v>-0.32204156106145243</v>
      </c>
    </row>
    <row r="71" spans="1:18" ht="15" customHeight="1">
      <c r="G71" s="18"/>
      <c r="H71" s="18">
        <f t="shared" ref="H71:P71" si="39">H70/G70-1</f>
        <v>-4.2537448131255706E-3</v>
      </c>
      <c r="I71" s="18">
        <f t="shared" si="39"/>
        <v>6.4138487042110448E-2</v>
      </c>
      <c r="J71" s="18">
        <f t="shared" si="39"/>
        <v>2.8699905740692477E-2</v>
      </c>
      <c r="K71" s="18">
        <f t="shared" si="39"/>
        <v>1.9395576044007434E-2</v>
      </c>
      <c r="L71" s="18">
        <f t="shared" si="39"/>
        <v>-0.77949669616232475</v>
      </c>
      <c r="M71" s="18">
        <f t="shared" si="39"/>
        <v>-0.12886550742803038</v>
      </c>
      <c r="N71" s="18">
        <f t="shared" si="39"/>
        <v>-0.20098234527080494</v>
      </c>
      <c r="O71" s="18">
        <f t="shared" si="39"/>
        <v>-3.1366749958024576E-2</v>
      </c>
      <c r="P71" s="18">
        <f t="shared" si="39"/>
        <v>-3.6616295812721966E-2</v>
      </c>
    </row>
    <row r="72" spans="1:18" ht="15" customHeight="1" outlineLevel="1">
      <c r="A72" s="34"/>
      <c r="B72" s="34"/>
      <c r="C72" s="34"/>
      <c r="D72" s="34" t="s">
        <v>19</v>
      </c>
      <c r="E72" s="34"/>
      <c r="F72" s="34"/>
      <c r="G72" s="48">
        <f>G68/G58</f>
        <v>2.8448391749177352E-2</v>
      </c>
      <c r="H72" s="48">
        <f>H68/H58</f>
        <v>2.4102681506258963E-2</v>
      </c>
      <c r="I72" s="48">
        <f>I68/I58</f>
        <v>1.5245298102172452E-2</v>
      </c>
      <c r="J72" s="48">
        <f>J68/J58</f>
        <v>1.1038262260713838E-2</v>
      </c>
      <c r="K72" s="48">
        <f>K68/K58</f>
        <v>2.2331782751368462E-2</v>
      </c>
      <c r="L72" s="56">
        <f>K72*(1+(((K72/G72)^(1/4))-1)*0.5)</f>
        <v>2.1676063227686625E-2</v>
      </c>
      <c r="M72" s="56">
        <f>L72*(1+(((L72/H72)^(1/4))-1)*0.1)</f>
        <v>2.1619315644507441E-2</v>
      </c>
      <c r="N72" s="56">
        <f>M72*(1+(((M72/I72)^(1/4))-1)*0.1)</f>
        <v>2.1816604115103357E-2</v>
      </c>
      <c r="O72" s="56">
        <f>N72*(1+(((N72/J72)^(1/4))-1)*0.1)</f>
        <v>2.2221719338517933E-2</v>
      </c>
      <c r="P72" s="56">
        <f>O72*(1+(((O72/K72)^(1/4))-1)*0.1)</f>
        <v>2.2218976239499387E-2</v>
      </c>
    </row>
    <row r="73" spans="1:18" ht="15" customHeight="1" outlineLevel="1">
      <c r="A73" s="34"/>
      <c r="B73" s="34"/>
      <c r="C73" s="34"/>
      <c r="D73" s="34" t="s">
        <v>20</v>
      </c>
      <c r="E73" s="34"/>
      <c r="F73" s="34"/>
      <c r="G73" s="48">
        <f>G70/G58</f>
        <v>2.3553507419658088</v>
      </c>
      <c r="H73" s="48">
        <f>H70/H58</f>
        <v>2.5528878876644709</v>
      </c>
      <c r="I73" s="48">
        <f>I70/I58</f>
        <v>2.5946002865937099</v>
      </c>
      <c r="J73" s="48">
        <f>J70/J58</f>
        <v>2.5480920400723877</v>
      </c>
      <c r="K73" s="48">
        <f>K70/K58</f>
        <v>4.0612566074965351</v>
      </c>
      <c r="L73" s="49">
        <f>1-L72</f>
        <v>0.97832393677231333</v>
      </c>
      <c r="M73" s="49">
        <f>1-M72</f>
        <v>0.97838068435549252</v>
      </c>
      <c r="N73" s="49">
        <f>1-N72</f>
        <v>0.97818339588489667</v>
      </c>
      <c r="O73" s="49">
        <f>1-O72</f>
        <v>0.97777828066148209</v>
      </c>
      <c r="P73" s="49">
        <f>1-P72</f>
        <v>0.97778102376050058</v>
      </c>
    </row>
    <row r="75" spans="1:18" ht="15" customHeight="1">
      <c r="D75" s="6"/>
      <c r="E75" s="23" t="s">
        <v>183</v>
      </c>
      <c r="F75" s="1" t="str">
        <f>F81</f>
        <v>US$Million</v>
      </c>
      <c r="G75" s="57">
        <f t="shared" ref="G75:P75" si="40">SUM(G126:G130)</f>
        <v>9563.3520853287846</v>
      </c>
      <c r="H75" s="57">
        <f t="shared" si="40"/>
        <v>7818.8736627080043</v>
      </c>
      <c r="I75" s="57">
        <f t="shared" si="40"/>
        <v>9085.7140880995448</v>
      </c>
      <c r="J75" s="57">
        <f t="shared" si="40"/>
        <v>11355.09378450137</v>
      </c>
      <c r="K75" s="57">
        <f t="shared" si="40"/>
        <v>11586.168422768456</v>
      </c>
      <c r="L75" s="57">
        <f t="shared" si="40"/>
        <v>11908.533813754872</v>
      </c>
      <c r="M75" s="57">
        <f t="shared" si="40"/>
        <v>12221.97686482837</v>
      </c>
      <c r="N75" s="57">
        <f t="shared" si="40"/>
        <v>12614.03339787559</v>
      </c>
      <c r="O75" s="57">
        <f t="shared" si="40"/>
        <v>13133.151000725975</v>
      </c>
      <c r="P75" s="57">
        <f t="shared" si="40"/>
        <v>13576.785308235001</v>
      </c>
    </row>
    <row r="76" spans="1:18" ht="15" customHeight="1">
      <c r="D76" s="6"/>
      <c r="E76" s="28" t="s">
        <v>184</v>
      </c>
      <c r="F76" s="58"/>
      <c r="G76" s="59"/>
      <c r="H76" s="59">
        <f t="shared" ref="H76:P76" si="41">H75/G75-1</f>
        <v>-0.18241286183502525</v>
      </c>
      <c r="I76" s="59">
        <f t="shared" si="41"/>
        <v>0.16202339109707276</v>
      </c>
      <c r="J76" s="59">
        <f t="shared" si="41"/>
        <v>0.24977450031960124</v>
      </c>
      <c r="K76" s="59">
        <f t="shared" si="41"/>
        <v>2.0349866117572724E-2</v>
      </c>
      <c r="L76" s="59">
        <f t="shared" si="41"/>
        <v>2.782329578024445E-2</v>
      </c>
      <c r="M76" s="59">
        <f t="shared" si="41"/>
        <v>2.6320876774222013E-2</v>
      </c>
      <c r="N76" s="59">
        <f t="shared" si="41"/>
        <v>3.2077996659890307E-2</v>
      </c>
      <c r="O76" s="59">
        <f t="shared" si="41"/>
        <v>4.1153974028466767E-2</v>
      </c>
      <c r="P76" s="59">
        <f t="shared" si="41"/>
        <v>3.3779730963612753E-2</v>
      </c>
    </row>
    <row r="77" spans="1:18" ht="15" customHeight="1">
      <c r="D77" s="104" t="s">
        <v>196</v>
      </c>
      <c r="E77" s="25" t="s">
        <v>185</v>
      </c>
      <c r="F77" s="1" t="s">
        <v>197</v>
      </c>
      <c r="G77" s="60">
        <f>G143</f>
        <v>3.0409999999999999</v>
      </c>
      <c r="H77" s="60">
        <f t="shared" ref="H77:P77" si="42">H143</f>
        <v>2.359</v>
      </c>
      <c r="I77" s="60">
        <f t="shared" si="42"/>
        <v>2.7549999999999999</v>
      </c>
      <c r="J77" s="60">
        <f t="shared" si="42"/>
        <v>2.69</v>
      </c>
      <c r="K77" s="60">
        <f t="shared" si="42"/>
        <v>2.9889999999999999</v>
      </c>
      <c r="L77" s="60">
        <f t="shared" si="42"/>
        <v>2.919</v>
      </c>
      <c r="M77" s="60">
        <f t="shared" si="42"/>
        <v>3.0640000000000001</v>
      </c>
      <c r="N77" s="60">
        <f t="shared" si="42"/>
        <v>3.1640000000000001</v>
      </c>
      <c r="O77" s="60">
        <f t="shared" si="42"/>
        <v>3.2959999999999998</v>
      </c>
      <c r="P77" s="60">
        <f t="shared" si="42"/>
        <v>3.375</v>
      </c>
    </row>
    <row r="78" spans="1:18" ht="15" customHeight="1">
      <c r="D78" s="6"/>
      <c r="E78" s="28" t="s">
        <v>184</v>
      </c>
      <c r="F78" s="58"/>
      <c r="G78" s="59"/>
      <c r="H78" s="59">
        <f t="shared" ref="H78:P78" si="43">H77/G77-1</f>
        <v>-0.22426833278526803</v>
      </c>
      <c r="I78" s="59">
        <f t="shared" si="43"/>
        <v>0.16786774056803733</v>
      </c>
      <c r="J78" s="59">
        <f t="shared" si="43"/>
        <v>-2.3593466424682408E-2</v>
      </c>
      <c r="K78" s="59">
        <f t="shared" si="43"/>
        <v>0.11115241635687734</v>
      </c>
      <c r="L78" s="59">
        <f t="shared" si="43"/>
        <v>-2.3419203747072515E-2</v>
      </c>
      <c r="M78" s="59">
        <f t="shared" si="43"/>
        <v>4.967454607742372E-2</v>
      </c>
      <c r="N78" s="59">
        <f t="shared" si="43"/>
        <v>3.2637075718015662E-2</v>
      </c>
      <c r="O78" s="59">
        <f t="shared" si="43"/>
        <v>4.1719342604298326E-2</v>
      </c>
      <c r="P78" s="59">
        <f t="shared" si="43"/>
        <v>2.3968446601941862E-2</v>
      </c>
    </row>
    <row r="79" spans="1:18" ht="15" customHeight="1">
      <c r="D79" s="6"/>
      <c r="E79" s="25" t="s">
        <v>186</v>
      </c>
      <c r="F79" s="1" t="s">
        <v>178</v>
      </c>
      <c r="G79" s="60">
        <f t="shared" ref="G79:P79" si="44">G83+G87</f>
        <v>35970.36145962555</v>
      </c>
      <c r="H79" s="60">
        <f t="shared" si="44"/>
        <v>36801.654835319467</v>
      </c>
      <c r="I79" s="60">
        <f t="shared" si="44"/>
        <v>41933.009618988493</v>
      </c>
      <c r="J79" s="60">
        <f t="shared" si="44"/>
        <v>41699.819165847337</v>
      </c>
      <c r="K79" s="60">
        <f t="shared" si="44"/>
        <v>43410.246461085975</v>
      </c>
      <c r="L79" s="60">
        <f t="shared" si="44"/>
        <v>45389.860196484115</v>
      </c>
      <c r="M79" s="60">
        <f t="shared" si="44"/>
        <v>47867.172336190648</v>
      </c>
      <c r="N79" s="60">
        <f t="shared" si="44"/>
        <v>49476.914183626279</v>
      </c>
      <c r="O79" s="60">
        <f t="shared" si="44"/>
        <v>51534.99175131318</v>
      </c>
      <c r="P79" s="60">
        <f t="shared" si="44"/>
        <v>53980.685656633541</v>
      </c>
    </row>
    <row r="80" spans="1:18" ht="15" customHeight="1">
      <c r="D80" s="6"/>
      <c r="E80" s="28" t="s">
        <v>184</v>
      </c>
      <c r="F80" s="58"/>
      <c r="G80" s="59"/>
      <c r="H80" s="59">
        <f t="shared" ref="H80:P80" si="45">H79/G79-1</f>
        <v>2.3110509373863053E-2</v>
      </c>
      <c r="I80" s="59">
        <f t="shared" si="45"/>
        <v>0.13943271862721618</v>
      </c>
      <c r="J80" s="59">
        <f t="shared" si="45"/>
        <v>-5.5610235291950749E-3</v>
      </c>
      <c r="K80" s="59">
        <f t="shared" si="45"/>
        <v>4.1017619007794215E-2</v>
      </c>
      <c r="L80" s="59">
        <f t="shared" si="45"/>
        <v>4.560245326348733E-2</v>
      </c>
      <c r="M80" s="59">
        <f t="shared" si="45"/>
        <v>5.4578536461287186E-2</v>
      </c>
      <c r="N80" s="59">
        <f t="shared" si="45"/>
        <v>3.3629349068914349E-2</v>
      </c>
      <c r="O80" s="59">
        <f t="shared" si="45"/>
        <v>4.1596724485456926E-2</v>
      </c>
      <c r="P80" s="59">
        <f t="shared" si="45"/>
        <v>4.7456957345065387E-2</v>
      </c>
    </row>
    <row r="81" spans="3:19" ht="15" customHeight="1">
      <c r="D81" s="6"/>
      <c r="E81" s="61" t="s">
        <v>278</v>
      </c>
      <c r="F81" s="1" t="s">
        <v>198</v>
      </c>
      <c r="G81" s="62">
        <f t="shared" ref="G81:P81" si="46">G93+G97</f>
        <v>4.0355622789875358</v>
      </c>
      <c r="H81" s="62">
        <f t="shared" si="46"/>
        <v>4.096341241261082</v>
      </c>
      <c r="I81" s="62">
        <f t="shared" si="46"/>
        <v>4.1891088399611718</v>
      </c>
      <c r="J81" s="62">
        <f t="shared" si="46"/>
        <v>4.4455927184051589</v>
      </c>
      <c r="K81" s="62">
        <f t="shared" si="46"/>
        <v>4.7494208084605978</v>
      </c>
      <c r="L81" s="62">
        <f t="shared" si="46"/>
        <v>4.6321485350621163</v>
      </c>
      <c r="M81" s="62">
        <f t="shared" si="46"/>
        <v>4.9021846875448967</v>
      </c>
      <c r="N81" s="62">
        <f t="shared" si="46"/>
        <v>5.0734225401263355</v>
      </c>
      <c r="O81" s="62">
        <f t="shared" si="46"/>
        <v>5.160667881205387</v>
      </c>
      <c r="P81" s="62">
        <f t="shared" si="46"/>
        <v>5.2456647092143118</v>
      </c>
    </row>
    <row r="82" spans="3:19" ht="15" customHeight="1">
      <c r="D82" s="6"/>
      <c r="E82" s="28" t="s">
        <v>184</v>
      </c>
      <c r="F82" s="58"/>
      <c r="G82" s="59"/>
      <c r="H82" s="59">
        <f t="shared" ref="H82:P82" si="47">H81/G81-1</f>
        <v>1.5060841110050793E-2</v>
      </c>
      <c r="I82" s="59">
        <f t="shared" si="47"/>
        <v>2.2646452831046604E-2</v>
      </c>
      <c r="J82" s="59">
        <f t="shared" si="47"/>
        <v>6.1226358216647458E-2</v>
      </c>
      <c r="K82" s="59">
        <f t="shared" si="47"/>
        <v>6.834366288156879E-2</v>
      </c>
      <c r="L82" s="59">
        <f t="shared" si="47"/>
        <v>-2.469191047244601E-2</v>
      </c>
      <c r="M82" s="59">
        <f t="shared" si="47"/>
        <v>5.8296090990778149E-2</v>
      </c>
      <c r="N82" s="59">
        <f t="shared" si="47"/>
        <v>3.4930926412566121E-2</v>
      </c>
      <c r="O82" s="59">
        <f t="shared" si="47"/>
        <v>1.7196545406777508E-2</v>
      </c>
      <c r="P82" s="59">
        <f t="shared" si="47"/>
        <v>1.6470121690735917E-2</v>
      </c>
    </row>
    <row r="83" spans="3:19" ht="15" customHeight="1">
      <c r="D83" s="104" t="s">
        <v>268</v>
      </c>
      <c r="E83" s="63" t="s">
        <v>199</v>
      </c>
      <c r="F83" s="1" t="s">
        <v>200</v>
      </c>
      <c r="G83" s="57">
        <v>31231</v>
      </c>
      <c r="H83" s="57">
        <v>31954</v>
      </c>
      <c r="I83" s="57">
        <v>36994</v>
      </c>
      <c r="J83" s="57">
        <v>36693.630909285086</v>
      </c>
      <c r="K83" s="57">
        <v>38260.834164417029</v>
      </c>
      <c r="L83" s="57">
        <v>40101.313767120751</v>
      </c>
      <c r="M83" s="57">
        <v>42360.762684262219</v>
      </c>
      <c r="N83" s="57">
        <v>43813.192264347017</v>
      </c>
      <c r="O83" s="57">
        <v>45705.783278492701</v>
      </c>
      <c r="P83" s="64">
        <v>47987.413273178041</v>
      </c>
    </row>
    <row r="84" spans="3:19" ht="15" customHeight="1">
      <c r="D84" s="6"/>
      <c r="E84" s="58" t="s">
        <v>184</v>
      </c>
      <c r="F84" s="58"/>
      <c r="G84" s="59"/>
      <c r="H84" s="59">
        <f t="shared" ref="H84:P84" si="48">H83/G83-1</f>
        <v>2.3150075245749413E-2</v>
      </c>
      <c r="I84" s="59">
        <f t="shared" si="48"/>
        <v>0.1577267321775051</v>
      </c>
      <c r="J84" s="59">
        <f t="shared" si="48"/>
        <v>-8.1194001923261538E-3</v>
      </c>
      <c r="K84" s="59">
        <f t="shared" si="48"/>
        <v>4.2710498151747878E-2</v>
      </c>
      <c r="L84" s="59">
        <f t="shared" si="48"/>
        <v>4.8103488669240413E-2</v>
      </c>
      <c r="M84" s="59">
        <f t="shared" si="48"/>
        <v>5.6343513588175798E-2</v>
      </c>
      <c r="N84" s="59">
        <f t="shared" si="48"/>
        <v>3.4287144235587652E-2</v>
      </c>
      <c r="O84" s="59">
        <f t="shared" si="48"/>
        <v>4.3196829912021339E-2</v>
      </c>
      <c r="P84" s="59">
        <f t="shared" si="48"/>
        <v>4.9919940782613859E-2</v>
      </c>
    </row>
    <row r="85" spans="3:19" ht="15" customHeight="1">
      <c r="D85" s="104" t="s">
        <v>268</v>
      </c>
      <c r="E85" s="65" t="s">
        <v>201</v>
      </c>
      <c r="F85" s="1" t="s">
        <v>200</v>
      </c>
      <c r="G85" s="57">
        <v>11858.787324223757</v>
      </c>
      <c r="H85" s="57">
        <v>10578.786240876727</v>
      </c>
      <c r="I85" s="57">
        <v>11793.165751641624</v>
      </c>
      <c r="J85" s="57">
        <v>13086.635551015852</v>
      </c>
      <c r="K85" s="57">
        <v>13581.695476562405</v>
      </c>
      <c r="L85" s="57">
        <v>14457.343708574523</v>
      </c>
      <c r="M85" s="57">
        <v>15076.036514885322</v>
      </c>
      <c r="N85" s="57">
        <v>16021.214795955377</v>
      </c>
      <c r="O85" s="57">
        <v>16999.955266998961</v>
      </c>
      <c r="P85" s="64">
        <v>18114.589557237927</v>
      </c>
    </row>
    <row r="86" spans="3:19" ht="15" customHeight="1">
      <c r="D86" s="6"/>
      <c r="E86" s="58" t="s">
        <v>184</v>
      </c>
      <c r="F86" s="58"/>
      <c r="G86" s="59"/>
      <c r="H86" s="59">
        <f t="shared" ref="H86:P86" si="49">H85/G85-1</f>
        <v>-0.10793692882343808</v>
      </c>
      <c r="I86" s="59">
        <f t="shared" si="49"/>
        <v>0.11479384147800431</v>
      </c>
      <c r="J86" s="59">
        <f t="shared" si="49"/>
        <v>0.109679608225143</v>
      </c>
      <c r="K86" s="59">
        <f t="shared" si="49"/>
        <v>3.7829427098863722E-2</v>
      </c>
      <c r="L86" s="59">
        <f t="shared" si="49"/>
        <v>6.4472674528979201E-2</v>
      </c>
      <c r="M86" s="59">
        <f t="shared" si="49"/>
        <v>4.2794362421075816E-2</v>
      </c>
      <c r="N86" s="59">
        <f t="shared" si="49"/>
        <v>6.2694082767498882E-2</v>
      </c>
      <c r="O86" s="59">
        <f t="shared" si="49"/>
        <v>6.1090278328374437E-2</v>
      </c>
      <c r="P86" s="59">
        <f t="shared" si="49"/>
        <v>6.5566895484880483E-2</v>
      </c>
    </row>
    <row r="87" spans="3:19" ht="15" customHeight="1">
      <c r="D87" s="104" t="s">
        <v>268</v>
      </c>
      <c r="E87" s="66" t="s">
        <v>202</v>
      </c>
      <c r="F87" s="1" t="s">
        <v>200</v>
      </c>
      <c r="G87" s="67">
        <v>4739.3614596255511</v>
      </c>
      <c r="H87" s="67">
        <v>4847.6548353194648</v>
      </c>
      <c r="I87" s="67">
        <v>4939.0096189884944</v>
      </c>
      <c r="J87" s="67">
        <v>5006.1882565622482</v>
      </c>
      <c r="K87" s="67">
        <v>5149.4122966689465</v>
      </c>
      <c r="L87" s="67">
        <v>5288.546429363364</v>
      </c>
      <c r="M87" s="67">
        <v>5506.4096519284249</v>
      </c>
      <c r="N87" s="67">
        <v>5663.7219192792618</v>
      </c>
      <c r="O87" s="67">
        <v>5829.2084728204791</v>
      </c>
      <c r="P87" s="64">
        <v>5993.2723834555009</v>
      </c>
    </row>
    <row r="88" spans="3:19" ht="15" customHeight="1">
      <c r="D88" s="6"/>
      <c r="E88" s="58" t="s">
        <v>184</v>
      </c>
      <c r="F88" s="58"/>
      <c r="G88" s="59"/>
      <c r="H88" s="59">
        <f t="shared" ref="H88:P88" si="50">H87/G87-1</f>
        <v>2.2849781899199062E-2</v>
      </c>
      <c r="I88" s="59">
        <f t="shared" si="50"/>
        <v>1.8845150237065011E-2</v>
      </c>
      <c r="J88" s="59">
        <f t="shared" si="50"/>
        <v>1.3601641372691153E-2</v>
      </c>
      <c r="K88" s="59">
        <f t="shared" si="50"/>
        <v>2.8609399560425297E-2</v>
      </c>
      <c r="L88" s="59">
        <f t="shared" si="50"/>
        <v>2.7019419824747981E-2</v>
      </c>
      <c r="M88" s="59">
        <f t="shared" si="50"/>
        <v>4.1195293541421485E-2</v>
      </c>
      <c r="N88" s="59">
        <f t="shared" si="50"/>
        <v>2.8568936438600145E-2</v>
      </c>
      <c r="O88" s="59">
        <f t="shared" si="50"/>
        <v>2.9218693272687446E-2</v>
      </c>
      <c r="P88" s="59">
        <f t="shared" si="50"/>
        <v>2.8145143787530191E-2</v>
      </c>
    </row>
    <row r="89" spans="3:19" ht="15" customHeight="1">
      <c r="D89" s="6"/>
      <c r="E89" s="61" t="s">
        <v>203</v>
      </c>
      <c r="F89" s="1" t="s">
        <v>179</v>
      </c>
      <c r="G89" s="62">
        <f t="shared" ref="G89:P89" si="51">(G97*1000)/G87</f>
        <v>0.35617410878085154</v>
      </c>
      <c r="H89" s="62">
        <f t="shared" si="51"/>
        <v>0.37804263748563227</v>
      </c>
      <c r="I89" s="62">
        <f t="shared" si="51"/>
        <v>0.37489567773557586</v>
      </c>
      <c r="J89" s="62">
        <f t="shared" si="51"/>
        <v>0.40526179281743818</v>
      </c>
      <c r="K89" s="62">
        <f t="shared" si="51"/>
        <v>0.4434389968349719</v>
      </c>
      <c r="L89" s="62">
        <f t="shared" si="51"/>
        <v>0.40013488378196671</v>
      </c>
      <c r="M89" s="62">
        <f t="shared" si="51"/>
        <v>0.40937492549561755</v>
      </c>
      <c r="N89" s="62">
        <f t="shared" si="51"/>
        <v>0.41451791056591081</v>
      </c>
      <c r="O89" s="62">
        <f t="shared" si="51"/>
        <v>0.40683940266887247</v>
      </c>
      <c r="P89" s="62">
        <f t="shared" si="51"/>
        <v>0.40070004340597232</v>
      </c>
    </row>
    <row r="90" spans="3:19" ht="15" customHeight="1">
      <c r="D90" s="6"/>
      <c r="E90" s="58" t="s">
        <v>184</v>
      </c>
      <c r="F90" s="58"/>
      <c r="G90" s="59"/>
      <c r="H90" s="59">
        <f t="shared" ref="H90:P90" si="52">H89/G89-1</f>
        <v>6.1398423315031314E-2</v>
      </c>
      <c r="I90" s="59">
        <f t="shared" si="52"/>
        <v>-8.3243513773655353E-3</v>
      </c>
      <c r="J90" s="59">
        <f t="shared" si="52"/>
        <v>8.099884017142589E-2</v>
      </c>
      <c r="K90" s="59">
        <f t="shared" si="52"/>
        <v>9.4203807746396029E-2</v>
      </c>
      <c r="L90" s="59">
        <f t="shared" si="52"/>
        <v>-9.7655175485436674E-2</v>
      </c>
      <c r="M90" s="59">
        <f t="shared" si="52"/>
        <v>2.3092317336385282E-2</v>
      </c>
      <c r="N90" s="59">
        <f t="shared" si="52"/>
        <v>1.2563019252014085E-2</v>
      </c>
      <c r="O90" s="59">
        <f t="shared" si="52"/>
        <v>-1.8523947219929338E-2</v>
      </c>
      <c r="P90" s="59">
        <f t="shared" si="52"/>
        <v>-1.5090375274926293E-2</v>
      </c>
    </row>
    <row r="91" spans="3:19" ht="15" customHeight="1">
      <c r="D91" s="6"/>
      <c r="E91" s="61" t="s">
        <v>204</v>
      </c>
      <c r="F91" s="1" t="s">
        <v>179</v>
      </c>
      <c r="G91" s="62">
        <f t="shared" ref="G91:P91" si="53">(G93*1000)/G83</f>
        <v>7.5166483139031404E-2</v>
      </c>
      <c r="H91" s="62">
        <f t="shared" si="53"/>
        <v>7.0843118911464387E-2</v>
      </c>
      <c r="I91" s="62">
        <f t="shared" si="53"/>
        <v>6.3185799900198736E-2</v>
      </c>
      <c r="J91" s="62">
        <f t="shared" si="53"/>
        <v>6.5863634382325106E-2</v>
      </c>
      <c r="K91" s="62">
        <f t="shared" si="53"/>
        <v>6.4451563568612133E-2</v>
      </c>
      <c r="L91" s="62">
        <f t="shared" si="53"/>
        <v>6.2741501158402574E-2</v>
      </c>
      <c r="M91" s="62">
        <f t="shared" si="53"/>
        <v>6.2510646143822318E-2</v>
      </c>
      <c r="N91" s="62">
        <f t="shared" si="53"/>
        <v>6.2212046720421028E-2</v>
      </c>
      <c r="O91" s="62">
        <f t="shared" si="53"/>
        <v>6.1023266379579118E-2</v>
      </c>
      <c r="P91" s="62">
        <f t="shared" si="53"/>
        <v>5.9268879296096269E-2</v>
      </c>
    </row>
    <row r="92" spans="3:19" ht="15" customHeight="1">
      <c r="D92" s="6"/>
      <c r="E92" s="58" t="s">
        <v>184</v>
      </c>
      <c r="F92" s="58"/>
      <c r="G92" s="59"/>
      <c r="H92" s="59">
        <f t="shared" ref="H92:P92" si="54">H91/G91-1</f>
        <v>-5.751718115599902E-2</v>
      </c>
      <c r="I92" s="59">
        <f t="shared" si="54"/>
        <v>-0.10808839487763555</v>
      </c>
      <c r="J92" s="59">
        <f t="shared" si="54"/>
        <v>4.2380320995476506E-2</v>
      </c>
      <c r="K92" s="59">
        <f t="shared" si="54"/>
        <v>-2.1439309065700574E-2</v>
      </c>
      <c r="L92" s="59">
        <f t="shared" si="54"/>
        <v>-2.6532520167475981E-2</v>
      </c>
      <c r="M92" s="59">
        <f t="shared" si="54"/>
        <v>-3.6794627211328423E-3</v>
      </c>
      <c r="N92" s="59">
        <f t="shared" si="54"/>
        <v>-4.7767771063232933E-3</v>
      </c>
      <c r="O92" s="59">
        <f t="shared" si="54"/>
        <v>-1.9108523244449005E-2</v>
      </c>
      <c r="P92" s="59">
        <f t="shared" si="54"/>
        <v>-2.8749478478751755E-2</v>
      </c>
    </row>
    <row r="93" spans="3:19" ht="15" customHeight="1">
      <c r="C93" s="6" t="s">
        <v>808</v>
      </c>
      <c r="D93" s="104"/>
      <c r="E93" s="25" t="s">
        <v>288</v>
      </c>
      <c r="F93" s="1" t="s">
        <v>205</v>
      </c>
      <c r="G93" s="406">
        <f>G147/G146*G103</f>
        <v>2.3475244349150897</v>
      </c>
      <c r="H93" s="406">
        <f t="shared" ref="H93:K93" si="55">H147/H146*H103</f>
        <v>2.263721021696933</v>
      </c>
      <c r="I93" s="406">
        <f t="shared" si="55"/>
        <v>2.3374954815079518</v>
      </c>
      <c r="J93" s="406">
        <f t="shared" si="55"/>
        <v>2.4167758903691365</v>
      </c>
      <c r="K93" s="406">
        <f t="shared" si="55"/>
        <v>2.4659705853360512</v>
      </c>
      <c r="L93" s="406">
        <f>FORECAST(L103,G93:K93,G103:K103)</f>
        <v>2.5160166241732718</v>
      </c>
      <c r="M93" s="406">
        <f t="shared" ref="M93:P93" si="56">FORECAST(M103,H93:L93,H103:L103)</f>
        <v>2.6479986465383485</v>
      </c>
      <c r="N93" s="406">
        <f t="shared" si="56"/>
        <v>2.7257083641203459</v>
      </c>
      <c r="O93" s="406">
        <f t="shared" si="56"/>
        <v>2.7891161880907731</v>
      </c>
      <c r="P93" s="406">
        <f t="shared" si="56"/>
        <v>2.8441602050198771</v>
      </c>
    </row>
    <row r="94" spans="3:19" ht="15" customHeight="1">
      <c r="D94" s="6"/>
      <c r="E94" s="58" t="s">
        <v>184</v>
      </c>
      <c r="F94" s="58"/>
      <c r="G94" s="59"/>
      <c r="H94" s="59">
        <f t="shared" ref="H94:P94" si="57">H93/G93-1</f>
        <v>-3.569863298193432E-2</v>
      </c>
      <c r="I94" s="59">
        <f t="shared" si="57"/>
        <v>3.2589907989508227E-2</v>
      </c>
      <c r="J94" s="59">
        <f t="shared" si="57"/>
        <v>3.3916818016708872E-2</v>
      </c>
      <c r="K94" s="59">
        <f t="shared" si="57"/>
        <v>2.0355505515821992E-2</v>
      </c>
      <c r="L94" s="59">
        <f t="shared" si="57"/>
        <v>2.0294661718521789E-2</v>
      </c>
      <c r="M94" s="59">
        <f t="shared" si="57"/>
        <v>5.2456737009217491E-2</v>
      </c>
      <c r="N94" s="59">
        <f t="shared" si="57"/>
        <v>2.9346585083638521E-2</v>
      </c>
      <c r="O94" s="59">
        <f t="shared" si="57"/>
        <v>2.3262879039111839E-2</v>
      </c>
      <c r="P94" s="59">
        <f t="shared" si="57"/>
        <v>1.973529004067176E-2</v>
      </c>
    </row>
    <row r="95" spans="3:19" ht="15" customHeight="1">
      <c r="D95" s="104" t="s">
        <v>395</v>
      </c>
      <c r="E95" s="66" t="s">
        <v>195</v>
      </c>
      <c r="F95" s="1" t="s">
        <v>277</v>
      </c>
      <c r="G95" s="68">
        <f>FORECAST(G105,H95:L95,H105:L105)</f>
        <v>242790.63329093897</v>
      </c>
      <c r="H95" s="105">
        <v>209746.7</v>
      </c>
      <c r="I95" s="105">
        <v>229862.9</v>
      </c>
      <c r="J95" s="105">
        <v>267252.2</v>
      </c>
      <c r="K95" s="105">
        <v>265907.5</v>
      </c>
      <c r="L95" s="105">
        <v>272054.09999999998</v>
      </c>
      <c r="M95" s="68">
        <f>FORECAST(M105,H95:L95,H105:L105)</f>
        <v>289649.63300421787</v>
      </c>
      <c r="N95" s="68">
        <f t="shared" ref="N95:P95" si="58">FORECAST(N105,I95:M95,I105:M105)</f>
        <v>301083.19496268278</v>
      </c>
      <c r="O95" s="68">
        <f t="shared" si="58"/>
        <v>308928.07991056109</v>
      </c>
      <c r="P95" s="68">
        <f t="shared" si="58"/>
        <v>320023.94020155317</v>
      </c>
      <c r="Q95" s="82" t="s">
        <v>792</v>
      </c>
      <c r="R95" s="19"/>
      <c r="S95" s="19"/>
    </row>
    <row r="96" spans="3:19" ht="15" customHeight="1">
      <c r="D96" s="6"/>
      <c r="E96" s="58" t="s">
        <v>184</v>
      </c>
      <c r="F96" s="58"/>
      <c r="G96" s="59"/>
      <c r="H96" s="59">
        <f t="shared" ref="H96:P96" si="59">H95/G95-1</f>
        <v>-0.13610052761525615</v>
      </c>
      <c r="I96" s="59">
        <f t="shared" si="59"/>
        <v>9.5907110815092622E-2</v>
      </c>
      <c r="J96" s="59">
        <f t="shared" si="59"/>
        <v>0.16265913290052469</v>
      </c>
      <c r="K96" s="59">
        <f t="shared" si="59"/>
        <v>-5.0315769149890111E-3</v>
      </c>
      <c r="L96" s="59">
        <f t="shared" si="59"/>
        <v>2.3115557101623496E-2</v>
      </c>
      <c r="M96" s="59">
        <f t="shared" si="59"/>
        <v>6.4676595589693076E-2</v>
      </c>
      <c r="N96" s="59">
        <f t="shared" si="59"/>
        <v>3.9473766425585088E-2</v>
      </c>
      <c r="O96" s="59">
        <f t="shared" si="59"/>
        <v>2.6055539064047117E-2</v>
      </c>
      <c r="P96" s="59">
        <f t="shared" si="59"/>
        <v>3.5917292769904519E-2</v>
      </c>
    </row>
    <row r="97" spans="1:19" ht="15" customHeight="1">
      <c r="C97" s="6" t="s">
        <v>808</v>
      </c>
      <c r="D97" s="104"/>
      <c r="E97" s="25" t="s">
        <v>206</v>
      </c>
      <c r="F97" s="1" t="s">
        <v>205</v>
      </c>
      <c r="G97" s="62">
        <f>G152/G151*G99</f>
        <v>1.6880378440724464</v>
      </c>
      <c r="H97" s="62">
        <f t="shared" ref="H97:K97" si="60">H152/H151*H99</f>
        <v>1.8326202195641488</v>
      </c>
      <c r="I97" s="62">
        <f t="shared" si="60"/>
        <v>1.8516133584532199</v>
      </c>
      <c r="J97" s="62">
        <f t="shared" si="60"/>
        <v>2.0288168280360219</v>
      </c>
      <c r="K97" s="62">
        <f t="shared" si="60"/>
        <v>2.2834502231245466</v>
      </c>
      <c r="L97" s="406">
        <f>FORECAST(L107,G97:K97,G107:K107)</f>
        <v>2.1161319108888446</v>
      </c>
      <c r="M97" s="406">
        <f t="shared" ref="M97:P97" si="61">FORECAST(M107,H97:L97,H107:L107)</f>
        <v>2.2541860410065482</v>
      </c>
      <c r="N97" s="406">
        <f t="shared" si="61"/>
        <v>2.3477141760059901</v>
      </c>
      <c r="O97" s="406">
        <f t="shared" si="61"/>
        <v>2.3715516931146139</v>
      </c>
      <c r="P97" s="406">
        <f t="shared" si="61"/>
        <v>2.4015045041944343</v>
      </c>
    </row>
    <row r="98" spans="1:19" ht="15" customHeight="1">
      <c r="D98" s="6"/>
      <c r="E98" s="58" t="s">
        <v>184</v>
      </c>
      <c r="F98" s="58"/>
      <c r="G98" s="59"/>
      <c r="H98" s="59">
        <f t="shared" ref="H98:P98" si="62">H97/G97-1</f>
        <v>8.565114579593347E-2</v>
      </c>
      <c r="I98" s="59">
        <f t="shared" si="62"/>
        <v>1.0363925207366842E-2</v>
      </c>
      <c r="J98" s="59">
        <f t="shared" si="62"/>
        <v>9.5702198719732845E-2</v>
      </c>
      <c r="K98" s="59">
        <f t="shared" si="62"/>
        <v>0.1255083216827515</v>
      </c>
      <c r="L98" s="59">
        <f t="shared" si="62"/>
        <v>-7.3274341845189439E-2</v>
      </c>
      <c r="M98" s="59">
        <f t="shared" si="62"/>
        <v>6.5238905669031011E-2</v>
      </c>
      <c r="N98" s="59">
        <f t="shared" si="62"/>
        <v>4.1490867789101937E-2</v>
      </c>
      <c r="O98" s="59">
        <f t="shared" si="62"/>
        <v>1.0153500520739378E-2</v>
      </c>
      <c r="P98" s="59">
        <f t="shared" si="62"/>
        <v>1.2630047730683325E-2</v>
      </c>
    </row>
    <row r="99" spans="1:19" ht="15" customHeight="1">
      <c r="D99" s="104" t="s">
        <v>196</v>
      </c>
      <c r="E99" s="6" t="s">
        <v>207</v>
      </c>
      <c r="F99" s="1" t="s">
        <v>205</v>
      </c>
      <c r="G99" s="62">
        <f>G137</f>
        <v>13.102</v>
      </c>
      <c r="H99" s="62">
        <f t="shared" ref="H99:P99" si="63">H137</f>
        <v>14.226000000000001</v>
      </c>
      <c r="I99" s="62">
        <f t="shared" si="63"/>
        <v>14.372</v>
      </c>
      <c r="J99" s="62">
        <f t="shared" si="63"/>
        <v>15.715999999999999</v>
      </c>
      <c r="K99" s="62">
        <f t="shared" si="63"/>
        <v>17.638999999999999</v>
      </c>
      <c r="L99" s="62">
        <f t="shared" si="63"/>
        <v>17.597999999999999</v>
      </c>
      <c r="M99" s="62">
        <f t="shared" si="63"/>
        <v>18.436</v>
      </c>
      <c r="N99" s="62">
        <f t="shared" si="63"/>
        <v>19.231999999999999</v>
      </c>
      <c r="O99" s="62">
        <f t="shared" si="63"/>
        <v>20.062999999999999</v>
      </c>
      <c r="P99" s="62">
        <f t="shared" si="63"/>
        <v>21.138999999999999</v>
      </c>
    </row>
    <row r="100" spans="1:19" s="58" customFormat="1" ht="15" customHeight="1">
      <c r="A100" s="1"/>
      <c r="B100" s="1"/>
      <c r="C100" s="1"/>
      <c r="D100" s="6"/>
      <c r="E100" s="58" t="s">
        <v>184</v>
      </c>
      <c r="G100" s="59"/>
      <c r="H100" s="59">
        <f t="shared" ref="H100:P100" si="64">H99/G99-1</f>
        <v>8.5788429247443121E-2</v>
      </c>
      <c r="I100" s="59">
        <f t="shared" si="64"/>
        <v>1.0262898917474894E-2</v>
      </c>
      <c r="J100" s="59">
        <f t="shared" si="64"/>
        <v>9.3515168382966918E-2</v>
      </c>
      <c r="K100" s="59">
        <f t="shared" si="64"/>
        <v>0.12235937897683891</v>
      </c>
      <c r="L100" s="59">
        <f t="shared" si="64"/>
        <v>-2.3243948069618936E-3</v>
      </c>
      <c r="M100" s="59">
        <f t="shared" si="64"/>
        <v>4.7619047619047672E-2</v>
      </c>
      <c r="N100" s="59">
        <f t="shared" si="64"/>
        <v>4.3176394011716246E-2</v>
      </c>
      <c r="O100" s="59">
        <f t="shared" si="64"/>
        <v>4.3209234608984959E-2</v>
      </c>
      <c r="P100" s="59">
        <f t="shared" si="64"/>
        <v>5.3631062154214204E-2</v>
      </c>
    </row>
    <row r="101" spans="1:19" ht="15" customHeight="1">
      <c r="D101" s="104" t="s">
        <v>196</v>
      </c>
      <c r="E101" s="6" t="s">
        <v>208</v>
      </c>
      <c r="F101" s="1" t="s">
        <v>205</v>
      </c>
      <c r="G101" s="1">
        <v>109</v>
      </c>
      <c r="H101" s="1">
        <v>113.9</v>
      </c>
      <c r="I101" s="1">
        <v>117.3</v>
      </c>
      <c r="J101" s="1">
        <v>117.1</v>
      </c>
      <c r="K101" s="1">
        <v>108.3</v>
      </c>
      <c r="L101" s="1">
        <v>102.6</v>
      </c>
      <c r="M101" s="62">
        <f>FORECAST(M85,I101:L101,I85:L85)</f>
        <v>100.79629204634375</v>
      </c>
      <c r="N101" s="62">
        <f>FORECAST(N85,J101:M101,J85:M85)</f>
        <v>91.792452233562827</v>
      </c>
      <c r="O101" s="62">
        <f>FORECAST(O85,K101:N101,K85:N85)</f>
        <v>86.359023092401486</v>
      </c>
      <c r="P101" s="62">
        <f>FORECAST(P85,L101:O101,L85:O85)</f>
        <v>78.556669839683124</v>
      </c>
    </row>
    <row r="102" spans="1:19" s="58" customFormat="1" ht="15" customHeight="1">
      <c r="A102" s="1"/>
      <c r="B102" s="1"/>
      <c r="C102" s="1"/>
      <c r="D102" s="6"/>
      <c r="E102" s="58" t="s">
        <v>184</v>
      </c>
      <c r="G102" s="59"/>
      <c r="H102" s="59">
        <f t="shared" ref="H102:P102" si="65">H101/G101-1</f>
        <v>4.4954128440366947E-2</v>
      </c>
      <c r="I102" s="59">
        <f t="shared" si="65"/>
        <v>2.9850746268656581E-2</v>
      </c>
      <c r="J102" s="59">
        <f t="shared" si="65"/>
        <v>-1.7050298380222317E-3</v>
      </c>
      <c r="K102" s="59">
        <f t="shared" si="65"/>
        <v>-7.5149444918872765E-2</v>
      </c>
      <c r="L102" s="59">
        <f t="shared" si="65"/>
        <v>-5.2631578947368474E-2</v>
      </c>
      <c r="M102" s="59">
        <f t="shared" si="65"/>
        <v>-1.7579999548306469E-2</v>
      </c>
      <c r="N102" s="59">
        <f t="shared" si="65"/>
        <v>-8.9327093586351047E-2</v>
      </c>
      <c r="O102" s="59">
        <f t="shared" si="65"/>
        <v>-5.9192548068507489E-2</v>
      </c>
      <c r="P102" s="59">
        <f t="shared" si="65"/>
        <v>-9.0347863759066449E-2</v>
      </c>
    </row>
    <row r="103" spans="1:19" ht="15" customHeight="1">
      <c r="D103" s="104" t="s">
        <v>196</v>
      </c>
      <c r="E103" s="6" t="s">
        <v>209</v>
      </c>
      <c r="F103" s="1" t="s">
        <v>205</v>
      </c>
      <c r="G103" s="62">
        <f>G139</f>
        <v>24.029</v>
      </c>
      <c r="H103" s="62">
        <f t="shared" ref="H103:P103" si="66">H139</f>
        <v>24.018999999999998</v>
      </c>
      <c r="I103" s="62">
        <f t="shared" si="66"/>
        <v>24.777000000000001</v>
      </c>
      <c r="J103" s="62">
        <f t="shared" si="66"/>
        <v>25.643000000000001</v>
      </c>
      <c r="K103" s="62">
        <f t="shared" si="66"/>
        <v>26.222000000000001</v>
      </c>
      <c r="L103" s="62">
        <f t="shared" si="66"/>
        <v>26.995999999999999</v>
      </c>
      <c r="M103" s="62">
        <f t="shared" si="66"/>
        <v>28.425000000000001</v>
      </c>
      <c r="N103" s="62">
        <f t="shared" si="66"/>
        <v>29.388000000000002</v>
      </c>
      <c r="O103" s="62">
        <f t="shared" si="66"/>
        <v>30.163</v>
      </c>
      <c r="P103" s="62">
        <f t="shared" si="66"/>
        <v>30.812999999999999</v>
      </c>
    </row>
    <row r="104" spans="1:19" s="58" customFormat="1" ht="15" customHeight="1">
      <c r="A104" s="1"/>
      <c r="B104" s="1"/>
      <c r="C104" s="1"/>
      <c r="D104" s="6"/>
      <c r="E104" s="58" t="s">
        <v>184</v>
      </c>
      <c r="G104" s="59"/>
      <c r="H104" s="59">
        <f t="shared" ref="H104:P104" si="67">H103/G103-1</f>
        <v>-4.1616380207254444E-4</v>
      </c>
      <c r="I104" s="59">
        <f t="shared" si="67"/>
        <v>3.1558349639868588E-2</v>
      </c>
      <c r="J104" s="59">
        <f t="shared" si="67"/>
        <v>3.4951769786495612E-2</v>
      </c>
      <c r="K104" s="59">
        <f t="shared" si="67"/>
        <v>2.2579261396872496E-2</v>
      </c>
      <c r="L104" s="59">
        <f t="shared" si="67"/>
        <v>2.9517199298298991E-2</v>
      </c>
      <c r="M104" s="59">
        <f t="shared" si="67"/>
        <v>5.2933767965624545E-2</v>
      </c>
      <c r="N104" s="59">
        <f t="shared" si="67"/>
        <v>3.3878627968337849E-2</v>
      </c>
      <c r="O104" s="59">
        <f t="shared" si="67"/>
        <v>2.6371308016877482E-2</v>
      </c>
      <c r="P104" s="59">
        <f t="shared" si="67"/>
        <v>2.1549580612008068E-2</v>
      </c>
    </row>
    <row r="105" spans="1:19" ht="15" customHeight="1">
      <c r="D105" s="104" t="s">
        <v>210</v>
      </c>
      <c r="E105" s="69" t="str">
        <f>"GDP at current prices "&amp;[4]Home!B1</f>
        <v>GDP at current prices France</v>
      </c>
      <c r="F105" s="1" t="s">
        <v>205</v>
      </c>
      <c r="G105" s="1">
        <v>486.61200000000002</v>
      </c>
      <c r="H105" s="1">
        <v>406.41199999999998</v>
      </c>
      <c r="I105" s="1">
        <v>462.46</v>
      </c>
      <c r="J105" s="1">
        <v>538.62400000000002</v>
      </c>
      <c r="K105" s="1">
        <v>526.19200000000001</v>
      </c>
      <c r="L105" s="1">
        <v>576.01099999999997</v>
      </c>
      <c r="M105" s="1">
        <v>602.94500000000005</v>
      </c>
      <c r="N105" s="1">
        <v>632.94399999999996</v>
      </c>
      <c r="O105" s="1">
        <v>663.83399999999995</v>
      </c>
      <c r="P105" s="1">
        <v>696.45500000000004</v>
      </c>
      <c r="Q105" s="70" t="s">
        <v>269</v>
      </c>
      <c r="R105" s="19"/>
      <c r="S105" s="19"/>
    </row>
    <row r="106" spans="1:19" ht="15" customHeight="1">
      <c r="D106" s="6"/>
      <c r="E106" s="58" t="s">
        <v>184</v>
      </c>
      <c r="F106" s="58"/>
      <c r="G106" s="59"/>
      <c r="H106" s="59">
        <f t="shared" ref="H106:P106" si="68">H105/G105-1</f>
        <v>-0.16481303379283707</v>
      </c>
      <c r="I106" s="59">
        <f t="shared" si="68"/>
        <v>0.13790931370136716</v>
      </c>
      <c r="J106" s="59">
        <f t="shared" si="68"/>
        <v>0.16469316265190503</v>
      </c>
      <c r="K106" s="59">
        <f t="shared" si="68"/>
        <v>-2.3081036121673004E-2</v>
      </c>
      <c r="L106" s="59">
        <f t="shared" si="68"/>
        <v>9.4678368352236308E-2</v>
      </c>
      <c r="M106" s="59">
        <f t="shared" si="68"/>
        <v>4.6759523689651861E-2</v>
      </c>
      <c r="N106" s="59">
        <f t="shared" si="68"/>
        <v>4.9754123510436177E-2</v>
      </c>
      <c r="O106" s="59">
        <f t="shared" si="68"/>
        <v>4.8803685634116079E-2</v>
      </c>
      <c r="P106" s="59">
        <f t="shared" si="68"/>
        <v>4.9140297122473475E-2</v>
      </c>
    </row>
    <row r="107" spans="1:19" ht="15" customHeight="1">
      <c r="D107" s="104" t="s">
        <v>395</v>
      </c>
      <c r="E107" s="66" t="s">
        <v>195</v>
      </c>
      <c r="F107" s="1" t="s">
        <v>277</v>
      </c>
      <c r="G107" s="71">
        <f>G95</f>
        <v>242790.63329093897</v>
      </c>
      <c r="H107" s="71">
        <f t="shared" ref="H107:P107" si="69">H95</f>
        <v>209746.7</v>
      </c>
      <c r="I107" s="71">
        <f t="shared" si="69"/>
        <v>229862.9</v>
      </c>
      <c r="J107" s="71">
        <f t="shared" si="69"/>
        <v>267252.2</v>
      </c>
      <c r="K107" s="71">
        <f t="shared" si="69"/>
        <v>265907.5</v>
      </c>
      <c r="L107" s="71">
        <f t="shared" si="69"/>
        <v>272054.09999999998</v>
      </c>
      <c r="M107" s="71">
        <f t="shared" si="69"/>
        <v>289649.63300421787</v>
      </c>
      <c r="N107" s="71">
        <f t="shared" si="69"/>
        <v>301083.19496268278</v>
      </c>
      <c r="O107" s="71">
        <f t="shared" si="69"/>
        <v>308928.07991056109</v>
      </c>
      <c r="P107" s="71">
        <f t="shared" si="69"/>
        <v>320023.94020155317</v>
      </c>
      <c r="Q107" s="70"/>
    </row>
    <row r="108" spans="1:19" ht="15" customHeight="1">
      <c r="D108" s="6"/>
      <c r="E108" s="58" t="s">
        <v>184</v>
      </c>
      <c r="F108" s="58"/>
      <c r="G108" s="59"/>
      <c r="H108" s="59">
        <f t="shared" ref="H108:P108" si="70">H107/G107-1</f>
        <v>-0.13610052761525615</v>
      </c>
      <c r="I108" s="59">
        <f t="shared" si="70"/>
        <v>9.5907110815092622E-2</v>
      </c>
      <c r="J108" s="59">
        <f t="shared" si="70"/>
        <v>0.16265913290052469</v>
      </c>
      <c r="K108" s="59">
        <f t="shared" si="70"/>
        <v>-5.0315769149890111E-3</v>
      </c>
      <c r="L108" s="59">
        <f t="shared" si="70"/>
        <v>2.3115557101623496E-2</v>
      </c>
      <c r="M108" s="59">
        <f t="shared" si="70"/>
        <v>6.4676595589693076E-2</v>
      </c>
      <c r="N108" s="59">
        <f t="shared" si="70"/>
        <v>3.9473766425585088E-2</v>
      </c>
      <c r="O108" s="59">
        <f t="shared" si="70"/>
        <v>2.6055539064047117E-2</v>
      </c>
      <c r="P108" s="59">
        <f t="shared" si="70"/>
        <v>3.5917292769904519E-2</v>
      </c>
    </row>
    <row r="109" spans="1:19" ht="15" customHeight="1">
      <c r="D109" s="6"/>
      <c r="E109" s="61" t="s">
        <v>211</v>
      </c>
      <c r="F109" s="1" t="s">
        <v>200</v>
      </c>
      <c r="G109" s="62">
        <f t="shared" ref="G109:P109" si="71">G87+G85</f>
        <v>16598.148783849309</v>
      </c>
      <c r="H109" s="62">
        <f t="shared" si="71"/>
        <v>15426.441076196192</v>
      </c>
      <c r="I109" s="62">
        <f t="shared" si="71"/>
        <v>16732.175370630117</v>
      </c>
      <c r="J109" s="62">
        <f t="shared" si="71"/>
        <v>18092.823807578101</v>
      </c>
      <c r="K109" s="62">
        <f t="shared" si="71"/>
        <v>18731.10777323135</v>
      </c>
      <c r="L109" s="62">
        <f t="shared" si="71"/>
        <v>19745.890137937888</v>
      </c>
      <c r="M109" s="62">
        <f t="shared" si="71"/>
        <v>20582.446166813745</v>
      </c>
      <c r="N109" s="62">
        <f t="shared" si="71"/>
        <v>21684.936715234639</v>
      </c>
      <c r="O109" s="62">
        <f t="shared" si="71"/>
        <v>22829.16373981944</v>
      </c>
      <c r="P109" s="62">
        <f t="shared" si="71"/>
        <v>24107.861940693427</v>
      </c>
    </row>
    <row r="110" spans="1:19" ht="15" customHeight="1">
      <c r="D110" s="6"/>
      <c r="E110" s="28" t="s">
        <v>184</v>
      </c>
      <c r="F110" s="58"/>
      <c r="G110" s="59"/>
      <c r="H110" s="59">
        <f t="shared" ref="H110:P110" si="72">H109/G109-1</f>
        <v>-7.0592674093465035E-2</v>
      </c>
      <c r="I110" s="59">
        <f t="shared" si="72"/>
        <v>8.4642613807324629E-2</v>
      </c>
      <c r="J110" s="59">
        <f t="shared" si="72"/>
        <v>8.1319278982475929E-2</v>
      </c>
      <c r="K110" s="59">
        <f t="shared" si="72"/>
        <v>3.5278294446547731E-2</v>
      </c>
      <c r="L110" s="59">
        <f t="shared" si="72"/>
        <v>5.4176313381569807E-2</v>
      </c>
      <c r="M110" s="59">
        <f t="shared" si="72"/>
        <v>4.236608342454895E-2</v>
      </c>
      <c r="N110" s="59">
        <f t="shared" si="72"/>
        <v>5.3564602549453166E-2</v>
      </c>
      <c r="O110" s="59">
        <f t="shared" si="72"/>
        <v>5.2765984038170233E-2</v>
      </c>
      <c r="P110" s="59">
        <f t="shared" si="72"/>
        <v>5.6011609336509949E-2</v>
      </c>
    </row>
    <row r="111" spans="1:19" ht="15" customHeight="1">
      <c r="D111" s="6"/>
      <c r="E111" s="74" t="s">
        <v>212</v>
      </c>
    </row>
    <row r="112" spans="1:19" ht="15" customHeight="1">
      <c r="D112" s="6"/>
      <c r="E112" s="28" t="s">
        <v>184</v>
      </c>
      <c r="F112" s="58"/>
      <c r="G112" s="59"/>
      <c r="H112" s="59" t="e">
        <f t="shared" ref="H112:P112" si="73">H111/G111-1</f>
        <v>#DIV/0!</v>
      </c>
      <c r="I112" s="59" t="e">
        <f t="shared" si="73"/>
        <v>#DIV/0!</v>
      </c>
      <c r="J112" s="59" t="e">
        <f t="shared" si="73"/>
        <v>#DIV/0!</v>
      </c>
      <c r="K112" s="59" t="e">
        <f t="shared" si="73"/>
        <v>#DIV/0!</v>
      </c>
      <c r="L112" s="59" t="e">
        <f t="shared" si="73"/>
        <v>#DIV/0!</v>
      </c>
      <c r="M112" s="59" t="e">
        <f t="shared" si="73"/>
        <v>#DIV/0!</v>
      </c>
      <c r="N112" s="59" t="e">
        <f t="shared" si="73"/>
        <v>#DIV/0!</v>
      </c>
      <c r="O112" s="59" t="e">
        <f t="shared" si="73"/>
        <v>#DIV/0!</v>
      </c>
      <c r="P112" s="59" t="e">
        <f t="shared" si="73"/>
        <v>#DIV/0!</v>
      </c>
    </row>
    <row r="113" spans="3:21" ht="15" customHeight="1">
      <c r="C113" s="6" t="s">
        <v>808</v>
      </c>
      <c r="D113" s="104"/>
      <c r="E113" s="25" t="s">
        <v>192</v>
      </c>
      <c r="F113" s="1" t="s">
        <v>205</v>
      </c>
      <c r="G113" s="406">
        <f>G148/G146*G103</f>
        <v>3.9258294210843392</v>
      </c>
      <c r="H113" s="406">
        <f t="shared" ref="H113:K113" si="74">H148/H146*H103</f>
        <v>3.9490719850385263</v>
      </c>
      <c r="I113" s="406">
        <f t="shared" si="74"/>
        <v>4.0940666703928583</v>
      </c>
      <c r="J113" s="406">
        <f t="shared" si="74"/>
        <v>4.2541101923315816</v>
      </c>
      <c r="K113" s="406">
        <f t="shared" si="74"/>
        <v>4.3322205566063818</v>
      </c>
      <c r="L113" s="406">
        <f>FORECAST(L103,G113:K113,G103:K103)</f>
        <v>4.4885472140833702</v>
      </c>
      <c r="M113" s="406">
        <f t="shared" ref="M113:P113" si="75">FORECAST(M103,H113:L113,H103:L103)</f>
        <v>4.7397150589033616</v>
      </c>
      <c r="N113" s="406">
        <f t="shared" si="75"/>
        <v>4.9080139157741307</v>
      </c>
      <c r="O113" s="406">
        <f t="shared" si="75"/>
        <v>5.04599721053268</v>
      </c>
      <c r="P113" s="406">
        <f t="shared" si="75"/>
        <v>5.1653282471301711</v>
      </c>
    </row>
    <row r="114" spans="3:21" ht="15" customHeight="1">
      <c r="D114" s="6"/>
      <c r="E114" s="28" t="s">
        <v>184</v>
      </c>
      <c r="F114" s="58"/>
      <c r="G114" s="59"/>
      <c r="H114" s="59">
        <f t="shared" ref="H114:P114" si="76">H113/G113-1</f>
        <v>5.920421256552455E-3</v>
      </c>
      <c r="I114" s="59">
        <f t="shared" si="76"/>
        <v>3.6716141388067669E-2</v>
      </c>
      <c r="J114" s="59">
        <f t="shared" si="76"/>
        <v>3.9091576865641464E-2</v>
      </c>
      <c r="K114" s="59">
        <f t="shared" si="76"/>
        <v>1.8361152096060263E-2</v>
      </c>
      <c r="L114" s="59">
        <f t="shared" si="76"/>
        <v>3.6084648838711431E-2</v>
      </c>
      <c r="M114" s="59">
        <f t="shared" si="76"/>
        <v>5.5957491999175435E-2</v>
      </c>
      <c r="N114" s="59">
        <f t="shared" si="76"/>
        <v>3.5508222494224917E-2</v>
      </c>
      <c r="O114" s="59">
        <f t="shared" si="76"/>
        <v>2.8113876025305684E-2</v>
      </c>
      <c r="P114" s="59">
        <f t="shared" si="76"/>
        <v>2.3648652906190115E-2</v>
      </c>
    </row>
    <row r="115" spans="3:21" ht="15" customHeight="1">
      <c r="C115" s="6" t="s">
        <v>808</v>
      </c>
      <c r="D115" s="104"/>
      <c r="E115" s="25" t="s">
        <v>193</v>
      </c>
      <c r="F115" s="1" t="s">
        <v>205</v>
      </c>
      <c r="G115" s="406">
        <f>G153/G151*G99</f>
        <v>2.2663735777299792</v>
      </c>
      <c r="H115" s="406">
        <f t="shared" ref="H115:K115" si="77">H153/H151*H99</f>
        <v>2.4498649844338849</v>
      </c>
      <c r="I115" s="406">
        <f t="shared" si="77"/>
        <v>2.4799577165328524</v>
      </c>
      <c r="J115" s="406">
        <f t="shared" si="77"/>
        <v>2.7091595085970832</v>
      </c>
      <c r="K115" s="406">
        <f t="shared" si="77"/>
        <v>3.0423184796452833</v>
      </c>
      <c r="L115" s="406">
        <f>FORECAST(L99,G115:K115,G99:K99)</f>
        <v>3.0332991689924436</v>
      </c>
      <c r="M115" s="406">
        <f t="shared" ref="M115:P115" si="78">FORECAST(M99,H115:L115,H99:L99)</f>
        <v>3.1789404441890659</v>
      </c>
      <c r="N115" s="406">
        <f t="shared" si="78"/>
        <v>3.3155041684647877</v>
      </c>
      <c r="O115" s="406">
        <f t="shared" si="78"/>
        <v>3.4593233350845964</v>
      </c>
      <c r="P115" s="406">
        <f t="shared" si="78"/>
        <v>3.6446075062485899</v>
      </c>
    </row>
    <row r="116" spans="3:21" ht="15" customHeight="1">
      <c r="D116" s="6"/>
      <c r="E116" s="28" t="s">
        <v>184</v>
      </c>
      <c r="F116" s="58"/>
      <c r="G116" s="59"/>
      <c r="H116" s="59">
        <f t="shared" ref="H116:P116" si="79">H115/G115-1</f>
        <v>8.0962559971111459E-2</v>
      </c>
      <c r="I116" s="59">
        <f t="shared" si="79"/>
        <v>1.2283424715309854E-2</v>
      </c>
      <c r="J116" s="59">
        <f t="shared" si="79"/>
        <v>9.2421653214584065E-2</v>
      </c>
      <c r="K116" s="59">
        <f t="shared" si="79"/>
        <v>0.122975029706067</v>
      </c>
      <c r="L116" s="59">
        <f t="shared" si="79"/>
        <v>-2.9646175156163856E-3</v>
      </c>
      <c r="M116" s="59">
        <f t="shared" si="79"/>
        <v>4.8014147989563272E-2</v>
      </c>
      <c r="N116" s="59">
        <f t="shared" si="79"/>
        <v>4.2958881008718919E-2</v>
      </c>
      <c r="O116" s="59">
        <f t="shared" si="79"/>
        <v>4.3377766792675354E-2</v>
      </c>
      <c r="P116" s="59">
        <f t="shared" si="79"/>
        <v>5.3560813262187423E-2</v>
      </c>
    </row>
    <row r="117" spans="3:21" ht="15" customHeight="1">
      <c r="D117" s="6"/>
      <c r="E117" s="75"/>
      <c r="F117" s="76"/>
      <c r="G117" s="73"/>
      <c r="H117" s="73"/>
      <c r="I117" s="73"/>
      <c r="J117" s="73"/>
      <c r="K117" s="73"/>
      <c r="L117" s="73"/>
      <c r="M117" s="73"/>
      <c r="N117" s="73"/>
      <c r="O117" s="73"/>
      <c r="P117" s="73"/>
      <c r="Q117" s="70"/>
    </row>
    <row r="118" spans="3:21" ht="15" customHeight="1">
      <c r="D118" s="6"/>
      <c r="E118" s="28" t="s">
        <v>184</v>
      </c>
      <c r="F118" s="58"/>
      <c r="G118" s="59"/>
      <c r="H118" s="59" t="e">
        <f t="shared" ref="H118:P118" si="80">H117/G117-1</f>
        <v>#DIV/0!</v>
      </c>
      <c r="I118" s="59" t="e">
        <f t="shared" si="80"/>
        <v>#DIV/0!</v>
      </c>
      <c r="J118" s="59" t="e">
        <f t="shared" si="80"/>
        <v>#DIV/0!</v>
      </c>
      <c r="K118" s="59" t="e">
        <f t="shared" si="80"/>
        <v>#DIV/0!</v>
      </c>
      <c r="L118" s="59" t="e">
        <f t="shared" si="80"/>
        <v>#DIV/0!</v>
      </c>
      <c r="M118" s="59" t="e">
        <f t="shared" si="80"/>
        <v>#DIV/0!</v>
      </c>
      <c r="N118" s="59" t="e">
        <f t="shared" si="80"/>
        <v>#DIV/0!</v>
      </c>
      <c r="O118" s="59" t="e">
        <f t="shared" si="80"/>
        <v>#DIV/0!</v>
      </c>
      <c r="P118" s="59" t="e">
        <f t="shared" si="80"/>
        <v>#DIV/0!</v>
      </c>
      <c r="Q118" s="77"/>
    </row>
    <row r="119" spans="3:21" ht="15" customHeight="1">
      <c r="D119" s="104" t="s">
        <v>196</v>
      </c>
      <c r="E119" s="6" t="s">
        <v>213</v>
      </c>
      <c r="F119" s="1" t="s">
        <v>205</v>
      </c>
      <c r="G119" s="1">
        <f>G141</f>
        <v>19.309999999999999</v>
      </c>
      <c r="H119" s="1">
        <f t="shared" ref="H119:P119" si="81">H141</f>
        <v>21.678999999999998</v>
      </c>
      <c r="I119" s="1">
        <f t="shared" si="81"/>
        <v>20.675999999999998</v>
      </c>
      <c r="J119" s="1">
        <f t="shared" si="81"/>
        <v>22.318000000000001</v>
      </c>
      <c r="K119" s="1">
        <f t="shared" si="81"/>
        <v>23.925000000000001</v>
      </c>
      <c r="L119" s="1">
        <f t="shared" si="81"/>
        <v>24.111999999999998</v>
      </c>
      <c r="M119" s="1">
        <f t="shared" si="81"/>
        <v>25.152999999999999</v>
      </c>
      <c r="N119" s="1">
        <f t="shared" si="81"/>
        <v>25.814</v>
      </c>
      <c r="O119" s="1">
        <f t="shared" si="81"/>
        <v>26.58</v>
      </c>
      <c r="P119" s="1">
        <f t="shared" si="81"/>
        <v>27.606000000000002</v>
      </c>
      <c r="Q119" s="70"/>
    </row>
    <row r="120" spans="3:21" ht="15" customHeight="1">
      <c r="D120" s="6"/>
      <c r="E120" s="28" t="s">
        <v>184</v>
      </c>
      <c r="F120" s="28"/>
      <c r="G120" s="59"/>
      <c r="H120" s="59">
        <f t="shared" ref="H120:P120" si="82">H119/G119-1</f>
        <v>0.12268254790264121</v>
      </c>
      <c r="I120" s="59">
        <f t="shared" si="82"/>
        <v>-4.6265971677660445E-2</v>
      </c>
      <c r="J120" s="59">
        <f t="shared" si="82"/>
        <v>7.941574772683313E-2</v>
      </c>
      <c r="K120" s="59">
        <f t="shared" si="82"/>
        <v>7.2004659915763103E-2</v>
      </c>
      <c r="L120" s="59">
        <f t="shared" si="82"/>
        <v>7.8160919540228857E-3</v>
      </c>
      <c r="M120" s="59">
        <f t="shared" si="82"/>
        <v>4.3173523556735205E-2</v>
      </c>
      <c r="N120" s="59">
        <f t="shared" si="82"/>
        <v>2.6279171470599882E-2</v>
      </c>
      <c r="O120" s="59">
        <f t="shared" si="82"/>
        <v>2.9673820407530638E-2</v>
      </c>
      <c r="P120" s="59">
        <f t="shared" si="82"/>
        <v>3.8600451467268648E-2</v>
      </c>
    </row>
    <row r="121" spans="3:21" ht="15" customHeight="1">
      <c r="D121" s="6"/>
      <c r="E121" s="72" t="s">
        <v>214</v>
      </c>
      <c r="F121" s="76" t="s">
        <v>215</v>
      </c>
      <c r="G121" s="78"/>
      <c r="H121" s="78"/>
      <c r="I121" s="78"/>
      <c r="J121" s="78"/>
      <c r="K121" s="78"/>
      <c r="L121" s="78"/>
      <c r="M121" s="78"/>
      <c r="N121" s="78"/>
      <c r="O121" s="78"/>
      <c r="P121" s="78"/>
    </row>
    <row r="122" spans="3:21" ht="15" customHeight="1">
      <c r="D122" s="6"/>
      <c r="E122" s="28"/>
      <c r="F122" s="28"/>
      <c r="G122" s="59"/>
      <c r="H122" s="59" t="e">
        <f t="shared" ref="H122:P122" si="83">H121/G121-1</f>
        <v>#DIV/0!</v>
      </c>
      <c r="I122" s="59" t="e">
        <f t="shared" si="83"/>
        <v>#DIV/0!</v>
      </c>
      <c r="J122" s="59" t="e">
        <f t="shared" si="83"/>
        <v>#DIV/0!</v>
      </c>
      <c r="K122" s="59" t="e">
        <f t="shared" si="83"/>
        <v>#DIV/0!</v>
      </c>
      <c r="L122" s="59" t="e">
        <f t="shared" si="83"/>
        <v>#DIV/0!</v>
      </c>
      <c r="M122" s="59" t="e">
        <f t="shared" si="83"/>
        <v>#DIV/0!</v>
      </c>
      <c r="N122" s="59" t="e">
        <f t="shared" si="83"/>
        <v>#DIV/0!</v>
      </c>
      <c r="O122" s="59" t="e">
        <f t="shared" si="83"/>
        <v>#DIV/0!</v>
      </c>
      <c r="P122" s="59" t="e">
        <f t="shared" si="83"/>
        <v>#DIV/0!</v>
      </c>
      <c r="Q122" s="59"/>
    </row>
    <row r="123" spans="3:21" ht="15" customHeight="1">
      <c r="D123" s="104" t="s">
        <v>196</v>
      </c>
      <c r="E123" s="75" t="s">
        <v>216</v>
      </c>
      <c r="F123" s="1" t="s">
        <v>205</v>
      </c>
      <c r="G123" s="78">
        <f>G135</f>
        <v>47.271000000000001</v>
      </c>
      <c r="H123" s="78">
        <f t="shared" ref="H123:P123" si="84">H135</f>
        <v>49.268000000000001</v>
      </c>
      <c r="I123" s="78">
        <f t="shared" si="84"/>
        <v>50.526000000000003</v>
      </c>
      <c r="J123" s="78">
        <f t="shared" si="84"/>
        <v>52.972000000000001</v>
      </c>
      <c r="K123" s="78">
        <f t="shared" si="84"/>
        <v>56.588000000000001</v>
      </c>
      <c r="L123" s="78">
        <f t="shared" si="84"/>
        <v>57.491999999999997</v>
      </c>
      <c r="M123" s="78">
        <f t="shared" si="84"/>
        <v>60.186</v>
      </c>
      <c r="N123" s="78">
        <f t="shared" si="84"/>
        <v>62.136000000000003</v>
      </c>
      <c r="O123" s="78">
        <f t="shared" si="84"/>
        <v>63.91</v>
      </c>
      <c r="P123" s="78">
        <f t="shared" si="84"/>
        <v>65.795000000000002</v>
      </c>
    </row>
    <row r="124" spans="3:21" ht="15" customHeight="1">
      <c r="D124" s="6"/>
      <c r="G124" s="59"/>
      <c r="H124" s="59">
        <f t="shared" ref="H124:P124" si="85">H123/G123-1</f>
        <v>4.2245774364832567E-2</v>
      </c>
      <c r="I124" s="59">
        <f t="shared" si="85"/>
        <v>2.5533815052366737E-2</v>
      </c>
      <c r="J124" s="59">
        <f t="shared" si="85"/>
        <v>4.8410719233661803E-2</v>
      </c>
      <c r="K124" s="59">
        <f t="shared" si="85"/>
        <v>6.8262478290417539E-2</v>
      </c>
      <c r="L124" s="59">
        <f t="shared" si="85"/>
        <v>1.5975118399660593E-2</v>
      </c>
      <c r="M124" s="59">
        <f t="shared" si="85"/>
        <v>4.6858693383427408E-2</v>
      </c>
      <c r="N124" s="59">
        <f t="shared" si="85"/>
        <v>3.2399561359784723E-2</v>
      </c>
      <c r="O124" s="59">
        <f t="shared" si="85"/>
        <v>2.8550276812153941E-2</v>
      </c>
      <c r="P124" s="59">
        <f t="shared" si="85"/>
        <v>2.9494601783758512E-2</v>
      </c>
    </row>
    <row r="125" spans="3:21" ht="15" customHeight="1">
      <c r="D125" s="79"/>
      <c r="G125" s="2">
        <v>2008</v>
      </c>
      <c r="H125" s="2">
        <v>2009</v>
      </c>
      <c r="I125" s="2">
        <v>2010</v>
      </c>
      <c r="J125" s="2">
        <v>2011</v>
      </c>
      <c r="K125" s="2">
        <v>2012</v>
      </c>
      <c r="L125" s="2">
        <v>2013</v>
      </c>
      <c r="M125" s="2">
        <v>2014</v>
      </c>
      <c r="N125" s="2">
        <v>2015</v>
      </c>
      <c r="O125" s="2">
        <v>2016</v>
      </c>
      <c r="P125" s="2">
        <v>2017</v>
      </c>
    </row>
    <row r="126" spans="3:21" ht="15" customHeight="1">
      <c r="D126" s="104" t="s">
        <v>273</v>
      </c>
      <c r="E126" s="1" t="s">
        <v>217</v>
      </c>
      <c r="F126" s="1" t="s">
        <v>180</v>
      </c>
      <c r="G126" s="60">
        <v>360.08189207253025</v>
      </c>
      <c r="H126" s="60">
        <v>281.4316027726091</v>
      </c>
      <c r="I126" s="60">
        <v>313.32534455805239</v>
      </c>
      <c r="J126" s="60">
        <v>408.9058802880275</v>
      </c>
      <c r="K126" s="60">
        <v>406.47762654034238</v>
      </c>
      <c r="L126" s="60">
        <v>411.93480693288217</v>
      </c>
      <c r="M126" s="60">
        <v>420.65235068101447</v>
      </c>
      <c r="N126" s="60">
        <v>429.33555436367953</v>
      </c>
      <c r="O126" s="80">
        <v>445.33672774642224</v>
      </c>
      <c r="P126" s="80">
        <v>458.78081379948765</v>
      </c>
      <c r="Q126" s="81"/>
      <c r="R126" s="81"/>
      <c r="S126" s="81"/>
      <c r="T126" s="81"/>
      <c r="U126" s="81"/>
    </row>
    <row r="127" spans="3:21" ht="15" customHeight="1">
      <c r="D127" s="104" t="s">
        <v>273</v>
      </c>
      <c r="E127" s="1" t="s">
        <v>218</v>
      </c>
      <c r="F127" s="1" t="s">
        <v>180</v>
      </c>
      <c r="G127" s="60">
        <v>213.71507931510544</v>
      </c>
      <c r="H127" s="60">
        <v>169.01388732266719</v>
      </c>
      <c r="I127" s="60">
        <v>190.38542466593597</v>
      </c>
      <c r="J127" s="60">
        <v>245.53208242413876</v>
      </c>
      <c r="K127" s="60">
        <v>247.05368774447624</v>
      </c>
      <c r="L127" s="60">
        <v>250.80291004591783</v>
      </c>
      <c r="M127" s="60">
        <v>255.30309451905131</v>
      </c>
      <c r="N127" s="60">
        <v>261.83431501975082</v>
      </c>
      <c r="O127" s="80">
        <v>271.30394116226717</v>
      </c>
      <c r="P127" s="80">
        <v>281.12798945728139</v>
      </c>
      <c r="Q127" s="81"/>
      <c r="R127" s="81"/>
      <c r="S127" s="81"/>
      <c r="T127" s="81"/>
      <c r="U127" s="81"/>
    </row>
    <row r="128" spans="3:21" ht="15" customHeight="1">
      <c r="D128" s="104" t="s">
        <v>273</v>
      </c>
      <c r="E128" s="1" t="s">
        <v>219</v>
      </c>
      <c r="F128" s="1" t="s">
        <v>180</v>
      </c>
      <c r="G128" s="60">
        <v>3575.774466344797</v>
      </c>
      <c r="H128" s="60">
        <v>2970.1520929340522</v>
      </c>
      <c r="I128" s="60">
        <v>3481.1879607048431</v>
      </c>
      <c r="J128" s="60">
        <v>4315.7678001812028</v>
      </c>
      <c r="K128" s="60">
        <v>4430.9904103577646</v>
      </c>
      <c r="L128" s="60">
        <v>4578.7175386170757</v>
      </c>
      <c r="M128" s="60">
        <v>4725.6793470402554</v>
      </c>
      <c r="N128" s="60">
        <v>4903.0097163102864</v>
      </c>
      <c r="O128" s="80">
        <v>5139.5326319941996</v>
      </c>
      <c r="P128" s="80">
        <v>5346.2817357991134</v>
      </c>
      <c r="Q128" s="81"/>
      <c r="R128" s="81"/>
      <c r="S128" s="81"/>
      <c r="T128" s="81"/>
      <c r="U128" s="81"/>
    </row>
    <row r="129" spans="4:21" ht="15" customHeight="1">
      <c r="D129" s="104" t="s">
        <v>273</v>
      </c>
      <c r="E129" s="1" t="s">
        <v>220</v>
      </c>
      <c r="F129" s="1" t="s">
        <v>180</v>
      </c>
      <c r="G129" s="60">
        <v>3630.1628239966008</v>
      </c>
      <c r="H129" s="60">
        <v>2979.6196879489958</v>
      </c>
      <c r="I129" s="60">
        <v>3476.1003642862051</v>
      </c>
      <c r="J129" s="60">
        <v>4333.7345721572046</v>
      </c>
      <c r="K129" s="60">
        <v>4425.3219673013164</v>
      </c>
      <c r="L129" s="60">
        <v>4563.7242437981949</v>
      </c>
      <c r="M129" s="60">
        <v>4699.8027577369858</v>
      </c>
      <c r="N129" s="60">
        <v>4865.3922308339079</v>
      </c>
      <c r="O129" s="80">
        <v>5068.9760861760033</v>
      </c>
      <c r="P129" s="80">
        <v>5228.6392354668305</v>
      </c>
      <c r="Q129" s="81"/>
      <c r="R129" s="81"/>
      <c r="S129" s="81"/>
      <c r="T129" s="81"/>
      <c r="U129" s="81"/>
    </row>
    <row r="130" spans="4:21" ht="15" customHeight="1">
      <c r="D130" s="104" t="s">
        <v>273</v>
      </c>
      <c r="E130" s="1" t="s">
        <v>221</v>
      </c>
      <c r="F130" s="1" t="s">
        <v>180</v>
      </c>
      <c r="G130" s="60">
        <v>1783.6178235997511</v>
      </c>
      <c r="H130" s="60">
        <v>1418.6563917296801</v>
      </c>
      <c r="I130" s="60">
        <v>1624.7149938845087</v>
      </c>
      <c r="J130" s="60">
        <v>2051.1534494507955</v>
      </c>
      <c r="K130" s="60">
        <v>2076.3247308245554</v>
      </c>
      <c r="L130" s="60">
        <v>2103.3543143608013</v>
      </c>
      <c r="M130" s="60">
        <v>2120.5393148510625</v>
      </c>
      <c r="N130" s="60">
        <v>2154.4615813479645</v>
      </c>
      <c r="O130" s="80">
        <v>2208.001613647084</v>
      </c>
      <c r="P130" s="80">
        <v>2261.9555337122865</v>
      </c>
      <c r="Q130" s="81"/>
      <c r="R130" s="81"/>
      <c r="S130" s="81"/>
      <c r="T130" s="81"/>
      <c r="U130" s="81"/>
    </row>
    <row r="133" spans="4:21" ht="15" customHeight="1">
      <c r="F133" s="645" t="s">
        <v>150</v>
      </c>
      <c r="G133" s="646">
        <v>2008</v>
      </c>
      <c r="H133" s="646">
        <v>2009</v>
      </c>
      <c r="I133" s="646">
        <v>2010</v>
      </c>
      <c r="J133" s="646">
        <v>2011</v>
      </c>
      <c r="K133" s="646">
        <v>2012</v>
      </c>
      <c r="L133" s="646">
        <v>2013</v>
      </c>
      <c r="M133" s="646">
        <v>2014</v>
      </c>
      <c r="N133" s="646">
        <v>2015</v>
      </c>
      <c r="O133" s="646">
        <v>2016</v>
      </c>
      <c r="P133" s="646">
        <v>2017</v>
      </c>
    </row>
    <row r="134" spans="4:21" ht="15" customHeight="1">
      <c r="F134" s="647" t="s">
        <v>254</v>
      </c>
      <c r="G134" s="647"/>
      <c r="H134" s="647"/>
      <c r="I134" s="647"/>
      <c r="J134" s="647"/>
      <c r="K134" s="647"/>
      <c r="L134" s="647"/>
      <c r="M134" s="647"/>
      <c r="N134" s="647"/>
      <c r="O134" s="647"/>
      <c r="P134" s="647"/>
    </row>
    <row r="135" spans="4:21" ht="15" customHeight="1">
      <c r="F135" s="648" t="s">
        <v>253</v>
      </c>
      <c r="G135" s="648">
        <v>47.271000000000001</v>
      </c>
      <c r="H135" s="648">
        <v>49.268000000000001</v>
      </c>
      <c r="I135" s="648">
        <v>50.526000000000003</v>
      </c>
      <c r="J135" s="648">
        <v>52.972000000000001</v>
      </c>
      <c r="K135" s="648">
        <v>56.588000000000001</v>
      </c>
      <c r="L135" s="648">
        <v>57.491999999999997</v>
      </c>
      <c r="M135" s="648">
        <v>60.186</v>
      </c>
      <c r="N135" s="648">
        <v>62.136000000000003</v>
      </c>
      <c r="O135" s="648">
        <v>63.91</v>
      </c>
      <c r="P135" s="648">
        <v>65.795000000000002</v>
      </c>
    </row>
    <row r="136" spans="4:21" ht="15" customHeight="1">
      <c r="F136" s="647" t="s">
        <v>258</v>
      </c>
      <c r="G136" s="647"/>
      <c r="H136" s="647"/>
      <c r="I136" s="647"/>
      <c r="J136" s="647"/>
      <c r="K136" s="647"/>
      <c r="L136" s="647"/>
      <c r="M136" s="647"/>
      <c r="N136" s="647"/>
      <c r="O136" s="647"/>
      <c r="P136" s="647"/>
    </row>
    <row r="137" spans="4:21" ht="15" customHeight="1">
      <c r="F137" s="648" t="s">
        <v>253</v>
      </c>
      <c r="G137" s="648">
        <v>13.102</v>
      </c>
      <c r="H137" s="648">
        <v>14.226000000000001</v>
      </c>
      <c r="I137" s="648">
        <v>14.372</v>
      </c>
      <c r="J137" s="648">
        <v>15.715999999999999</v>
      </c>
      <c r="K137" s="648">
        <v>17.638999999999999</v>
      </c>
      <c r="L137" s="648">
        <v>17.597999999999999</v>
      </c>
      <c r="M137" s="648">
        <v>18.436</v>
      </c>
      <c r="N137" s="648">
        <v>19.231999999999999</v>
      </c>
      <c r="O137" s="648">
        <v>20.062999999999999</v>
      </c>
      <c r="P137" s="648">
        <v>21.138999999999999</v>
      </c>
    </row>
    <row r="138" spans="4:21" ht="15" customHeight="1">
      <c r="F138" s="647" t="s">
        <v>259</v>
      </c>
      <c r="G138" s="647"/>
      <c r="H138" s="647"/>
      <c r="I138" s="647"/>
      <c r="J138" s="647"/>
      <c r="K138" s="647"/>
      <c r="L138" s="647"/>
      <c r="M138" s="647"/>
      <c r="N138" s="647"/>
      <c r="O138" s="647"/>
      <c r="P138" s="647"/>
    </row>
    <row r="139" spans="4:21" ht="15" customHeight="1">
      <c r="F139" s="648" t="s">
        <v>253</v>
      </c>
      <c r="G139" s="648">
        <v>24.029</v>
      </c>
      <c r="H139" s="648">
        <v>24.018999999999998</v>
      </c>
      <c r="I139" s="648">
        <v>24.777000000000001</v>
      </c>
      <c r="J139" s="648">
        <v>25.643000000000001</v>
      </c>
      <c r="K139" s="648">
        <v>26.222000000000001</v>
      </c>
      <c r="L139" s="648">
        <v>26.995999999999999</v>
      </c>
      <c r="M139" s="648">
        <v>28.425000000000001</v>
      </c>
      <c r="N139" s="648">
        <v>29.388000000000002</v>
      </c>
      <c r="O139" s="648">
        <v>30.163</v>
      </c>
      <c r="P139" s="648">
        <v>30.812999999999999</v>
      </c>
    </row>
    <row r="140" spans="4:21" ht="15" customHeight="1">
      <c r="F140" s="647" t="s">
        <v>262</v>
      </c>
      <c r="G140" s="647"/>
      <c r="H140" s="647"/>
      <c r="I140" s="647"/>
      <c r="J140" s="647"/>
      <c r="K140" s="647"/>
      <c r="L140" s="647"/>
      <c r="M140" s="647"/>
      <c r="N140" s="647"/>
      <c r="O140" s="647"/>
      <c r="P140" s="647"/>
    </row>
    <row r="141" spans="4:21" ht="15" customHeight="1">
      <c r="F141" s="648" t="s">
        <v>253</v>
      </c>
      <c r="G141" s="648">
        <v>19.309999999999999</v>
      </c>
      <c r="H141" s="648">
        <v>21.678999999999998</v>
      </c>
      <c r="I141" s="648">
        <v>20.675999999999998</v>
      </c>
      <c r="J141" s="648">
        <v>22.318000000000001</v>
      </c>
      <c r="K141" s="648">
        <v>23.925000000000001</v>
      </c>
      <c r="L141" s="648">
        <v>24.111999999999998</v>
      </c>
      <c r="M141" s="648">
        <v>25.152999999999999</v>
      </c>
      <c r="N141" s="648">
        <v>25.814</v>
      </c>
      <c r="O141" s="648">
        <v>26.58</v>
      </c>
      <c r="P141" s="648">
        <v>27.606000000000002</v>
      </c>
      <c r="Q141" s="19"/>
      <c r="R141" s="19"/>
    </row>
    <row r="142" spans="4:21" ht="15" customHeight="1">
      <c r="F142" s="647" t="s">
        <v>264</v>
      </c>
      <c r="G142" s="647"/>
      <c r="H142" s="647"/>
      <c r="I142" s="647"/>
      <c r="J142" s="647"/>
      <c r="K142" s="647"/>
      <c r="L142" s="647"/>
      <c r="M142" s="647"/>
      <c r="N142" s="647"/>
      <c r="O142" s="647"/>
      <c r="P142" s="647"/>
      <c r="Q142" s="19"/>
      <c r="R142" s="19"/>
    </row>
    <row r="143" spans="4:21" ht="15" customHeight="1">
      <c r="F143" s="648" t="s">
        <v>253</v>
      </c>
      <c r="G143" s="648">
        <v>3.0409999999999999</v>
      </c>
      <c r="H143" s="648">
        <v>2.359</v>
      </c>
      <c r="I143" s="648">
        <v>2.7549999999999999</v>
      </c>
      <c r="J143" s="648">
        <v>2.69</v>
      </c>
      <c r="K143" s="648">
        <v>2.9889999999999999</v>
      </c>
      <c r="L143" s="648">
        <v>2.919</v>
      </c>
      <c r="M143" s="648">
        <v>3.0640000000000001</v>
      </c>
      <c r="N143" s="648">
        <v>3.1640000000000001</v>
      </c>
      <c r="O143" s="648">
        <v>3.2959999999999998</v>
      </c>
      <c r="P143" s="648">
        <v>3.375</v>
      </c>
      <c r="Q143" s="19"/>
      <c r="R143" s="19"/>
    </row>
    <row r="144" spans="4:21" ht="15" customHeight="1">
      <c r="Q144" s="19"/>
      <c r="R144" s="19"/>
    </row>
    <row r="145" spans="5:18" ht="15" customHeight="1">
      <c r="E145" s="1" t="s">
        <v>139</v>
      </c>
      <c r="Q145" s="19"/>
      <c r="R145" s="19"/>
    </row>
    <row r="146" spans="5:18" ht="15" customHeight="1">
      <c r="E146" s="1" t="s">
        <v>35</v>
      </c>
      <c r="F146" s="1" t="s">
        <v>807</v>
      </c>
      <c r="G146" s="1">
        <v>36767.313990971052</v>
      </c>
      <c r="H146" s="1">
        <v>37168.253593778951</v>
      </c>
      <c r="I146" s="1">
        <v>38221.878155948689</v>
      </c>
      <c r="J146" s="1">
        <v>39144.591682312799</v>
      </c>
      <c r="K146" s="1">
        <v>40638.852523077985</v>
      </c>
      <c r="Q146" s="19"/>
      <c r="R146" s="19"/>
    </row>
    <row r="147" spans="5:18" ht="15" customHeight="1">
      <c r="E147" s="1" t="s">
        <v>36</v>
      </c>
      <c r="F147" s="1" t="s">
        <v>807</v>
      </c>
      <c r="G147" s="1">
        <v>3592</v>
      </c>
      <c r="H147" s="1">
        <v>3503</v>
      </c>
      <c r="I147" s="1">
        <v>3605.9033573183815</v>
      </c>
      <c r="J147" s="1">
        <v>3689.2604381764149</v>
      </c>
      <c r="K147" s="1">
        <v>3821.7609237937641</v>
      </c>
      <c r="Q147" s="19"/>
      <c r="R147" s="19"/>
    </row>
    <row r="148" spans="5:18" ht="15" customHeight="1">
      <c r="E148" s="1" t="s">
        <v>38</v>
      </c>
      <c r="F148" s="1" t="s">
        <v>807</v>
      </c>
      <c r="G148" s="1">
        <v>6007</v>
      </c>
      <c r="H148" s="1">
        <v>6111</v>
      </c>
      <c r="I148" s="1">
        <v>6315.652316183814</v>
      </c>
      <c r="J148" s="1">
        <v>6493.9908142723134</v>
      </c>
      <c r="K148" s="1">
        <v>6714.0749102804348</v>
      </c>
      <c r="Q148" s="19"/>
      <c r="R148" s="19"/>
    </row>
    <row r="149" spans="5:18" ht="15" customHeight="1">
      <c r="Q149" s="19"/>
      <c r="R149" s="19"/>
    </row>
    <row r="150" spans="5:18" ht="15" customHeight="1">
      <c r="Q150" s="19"/>
      <c r="R150" s="19"/>
    </row>
    <row r="151" spans="5:18" ht="15" customHeight="1">
      <c r="E151" s="1" t="s">
        <v>43</v>
      </c>
      <c r="F151" s="1" t="s">
        <v>807</v>
      </c>
      <c r="G151" s="1">
        <v>32079</v>
      </c>
      <c r="H151" s="1">
        <v>30515</v>
      </c>
      <c r="I151" s="1">
        <v>31387.509964355235</v>
      </c>
      <c r="J151" s="1">
        <v>32227.735402751186</v>
      </c>
      <c r="K151" s="1">
        <v>33185.697691943911</v>
      </c>
      <c r="Q151" s="19"/>
      <c r="R151" s="19"/>
    </row>
    <row r="152" spans="5:18" ht="15" customHeight="1">
      <c r="E152" s="1" t="s">
        <v>36</v>
      </c>
      <c r="F152" s="1" t="s">
        <v>807</v>
      </c>
      <c r="G152" s="1">
        <v>4133</v>
      </c>
      <c r="H152" s="1">
        <v>3931</v>
      </c>
      <c r="I152" s="1">
        <v>4043.8027232524141</v>
      </c>
      <c r="J152" s="1">
        <v>4160.3570828832953</v>
      </c>
      <c r="K152" s="1">
        <v>4296.0422245712953</v>
      </c>
      <c r="Q152" s="19"/>
      <c r="R152" s="19"/>
    </row>
    <row r="153" spans="5:18" ht="15" customHeight="1">
      <c r="E153" s="1" t="s">
        <v>38</v>
      </c>
      <c r="F153" s="1" t="s">
        <v>807</v>
      </c>
      <c r="G153" s="1">
        <v>5549</v>
      </c>
      <c r="H153" s="1">
        <v>5255</v>
      </c>
      <c r="I153" s="1">
        <v>5416.0657903461288</v>
      </c>
      <c r="J153" s="1">
        <v>5555.4896797476604</v>
      </c>
      <c r="K153" s="1">
        <v>5723.7633283135547</v>
      </c>
      <c r="Q153" s="19"/>
      <c r="R153" s="19"/>
    </row>
    <row r="154" spans="5:18" ht="15" customHeight="1">
      <c r="Q154" s="19"/>
      <c r="R154" s="19"/>
    </row>
    <row r="155" spans="5:18" ht="15" customHeight="1">
      <c r="G155" s="1">
        <v>109</v>
      </c>
      <c r="H155" s="1">
        <v>113.9</v>
      </c>
      <c r="I155" s="1">
        <v>117.3</v>
      </c>
      <c r="J155" s="1">
        <v>117.1</v>
      </c>
      <c r="K155" s="1">
        <v>108.3</v>
      </c>
      <c r="L155" s="1">
        <v>102.6</v>
      </c>
      <c r="Q155" s="19"/>
      <c r="R155" s="19"/>
    </row>
    <row r="156" spans="5:18" ht="15" customHeight="1">
      <c r="Q156" s="19"/>
      <c r="R156" s="19"/>
    </row>
    <row r="157" spans="5:18" ht="15" customHeight="1">
      <c r="Q157" s="19"/>
      <c r="R157" s="19"/>
    </row>
    <row r="158" spans="5:18" ht="15" customHeight="1">
      <c r="Q158" s="19"/>
      <c r="R158" s="19"/>
    </row>
    <row r="159" spans="5:18" ht="15" customHeight="1">
      <c r="Q159" s="19"/>
      <c r="R159" s="19"/>
    </row>
    <row r="160" spans="5:18" ht="15" customHeight="1">
      <c r="Q160" s="19"/>
      <c r="R160" s="19"/>
    </row>
    <row r="161" spans="17:18" ht="15" customHeight="1">
      <c r="Q161" s="19"/>
      <c r="R161" s="19"/>
    </row>
    <row r="162" spans="17:18" ht="15" customHeight="1">
      <c r="Q162" s="19"/>
      <c r="R162" s="19"/>
    </row>
    <row r="163" spans="17:18" ht="15" customHeight="1">
      <c r="Q163" s="19"/>
      <c r="R163" s="19"/>
    </row>
    <row r="164" spans="17:18" ht="15" customHeight="1">
      <c r="Q164" s="19"/>
      <c r="R164" s="19"/>
    </row>
    <row r="165" spans="17:18" ht="15" customHeight="1">
      <c r="Q165" s="19"/>
      <c r="R165" s="19"/>
    </row>
    <row r="166" spans="17:18" ht="15" customHeight="1">
      <c r="Q166" s="19"/>
      <c r="R166" s="19"/>
    </row>
    <row r="167" spans="17:18" ht="15" customHeight="1">
      <c r="Q167" s="19"/>
      <c r="R167" s="19"/>
    </row>
    <row r="168" spans="17:18" ht="15" customHeight="1">
      <c r="Q168" s="19"/>
      <c r="R168" s="19"/>
    </row>
    <row r="169" spans="17:18" ht="15" customHeight="1">
      <c r="Q169" s="19"/>
      <c r="R169" s="19"/>
    </row>
    <row r="170" spans="17:18" ht="15" customHeight="1">
      <c r="Q170" s="19"/>
      <c r="R170" s="19"/>
    </row>
    <row r="171" spans="17:18" ht="15" customHeight="1">
      <c r="Q171" s="19"/>
      <c r="R171" s="19"/>
    </row>
    <row r="172" spans="17:18" ht="15" customHeight="1">
      <c r="Q172" s="19"/>
      <c r="R172" s="19"/>
    </row>
    <row r="173" spans="17:18" ht="15" customHeight="1">
      <c r="Q173" s="19"/>
      <c r="R173" s="19"/>
    </row>
    <row r="174" spans="17:18" ht="15" customHeight="1">
      <c r="Q174" s="19"/>
      <c r="R174" s="19"/>
    </row>
    <row r="175" spans="17:18" ht="15" customHeight="1">
      <c r="Q175" s="19"/>
      <c r="R175" s="19"/>
    </row>
    <row r="176" spans="17:18" ht="15" customHeight="1">
      <c r="Q176" s="19"/>
      <c r="R176" s="19"/>
    </row>
    <row r="177" spans="17:18" ht="15" customHeight="1">
      <c r="Q177" s="19"/>
      <c r="R177" s="19"/>
    </row>
    <row r="178" spans="17:18" ht="15" customHeight="1">
      <c r="Q178" s="19"/>
      <c r="R178" s="19"/>
    </row>
    <row r="179" spans="17:18" ht="15" customHeight="1">
      <c r="Q179" s="19"/>
      <c r="R179" s="19"/>
    </row>
    <row r="180" spans="17:18" ht="15" customHeight="1">
      <c r="Q180" s="19"/>
      <c r="R180" s="19"/>
    </row>
    <row r="181" spans="17:18" ht="15" customHeight="1">
      <c r="Q181" s="19"/>
      <c r="R181" s="19"/>
    </row>
  </sheetData>
  <customSheetViews>
    <customSheetView guid="{BD5E9955-DC4B-4EA0-9160-9EF1C693DE04}" showGridLines="0">
      <pane ySplit="1" topLeftCell="A2" activePane="bottomLeft" state="frozen"/>
      <selection pane="bottomLeft" activeCell="L6" sqref="L6"/>
      <pageMargins left="0.7" right="0.7" top="0.75" bottom="0.75" header="0.3" footer="0.3"/>
      <pageSetup orientation="portrait" r:id="rId1"/>
    </customSheetView>
    <customSheetView guid="{1ACDCC85-59E3-4410-927D-E7E5C71B61F5}" showGridLines="0" state="hidden" topLeftCell="E1">
      <pane ySplit="1" topLeftCell="A22" activePane="bottomLeft" state="frozen"/>
      <selection pane="bottomLeft" activeCell="P26" sqref="P26"/>
      <pageMargins left="0.7" right="0.7" top="0.75" bottom="0.75" header="0.3" footer="0.3"/>
      <pageSetup orientation="portrait" r:id="rId2"/>
    </customSheetView>
    <customSheetView guid="{9144D9B3-2327-4B3A-89B1-6A595780C3C5}" showGridLines="0" state="hidden" topLeftCell="E1">
      <pane ySplit="1" topLeftCell="A38" activePane="bottomLeft" state="frozen"/>
      <selection pane="bottomLeft" activeCell="L72" sqref="L72"/>
      <pageMargins left="0.7" right="0.7" top="0.75" bottom="0.75" header="0.3" footer="0.3"/>
      <pageSetup orientation="portrait" r:id="rId3"/>
    </customSheetView>
    <customSheetView guid="{513032B5-C585-49C2-98E7-9FDE6F7A4BA7}" showGridLines="0" topLeftCell="E1">
      <pane ySplit="1" topLeftCell="A22" activePane="bottomLeft" state="frozen"/>
      <selection pane="bottomLeft"/>
      <pageMargins left="0.7" right="0.7" top="0.75" bottom="0.75" header="0.3" footer="0.3"/>
      <pageSetup orientation="portrait" r:id="rId4"/>
    </customSheetView>
    <customSheetView guid="{AF983ECA-536A-40E6-8A04-FF0A375E9ACC}" showGridLines="0" topLeftCell="E1">
      <pane ySplit="1" topLeftCell="A22" activePane="bottomLeft" state="frozen"/>
      <selection pane="bottomLeft" activeCell="P26" sqref="P26"/>
      <pageMargins left="0.7" right="0.7" top="0.75" bottom="0.75" header="0.3" footer="0.3"/>
      <pageSetup orientation="portrait" r:id="rId5"/>
    </customSheetView>
  </customSheetViews>
  <hyperlinks>
    <hyperlink ref="D83" r:id="rId6"/>
    <hyperlink ref="D123" r:id="rId7"/>
    <hyperlink ref="D119" r:id="rId8"/>
    <hyperlink ref="D77" r:id="rId9"/>
    <hyperlink ref="D105" r:id="rId10"/>
    <hyperlink ref="D126" r:id="rId11"/>
    <hyperlink ref="D99" r:id="rId12"/>
    <hyperlink ref="D101" r:id="rId13"/>
    <hyperlink ref="D103" r:id="rId14"/>
    <hyperlink ref="D85" r:id="rId15"/>
    <hyperlink ref="D87" r:id="rId16"/>
    <hyperlink ref="D127:D130" r:id="rId17" display="The Future of Construction in Tunisia to 2017"/>
    <hyperlink ref="Q95" r:id="rId18"/>
  </hyperlinks>
  <pageMargins left="0.7" right="0.7" top="0.75" bottom="0.75" header="0.3" footer="0.3"/>
  <pageSetup orientation="portrait" r:id="rId19"/>
</worksheet>
</file>

<file path=xl/worksheets/sheet15.xml><?xml version="1.0" encoding="utf-8"?>
<worksheet xmlns="http://schemas.openxmlformats.org/spreadsheetml/2006/main" xmlns:r="http://schemas.openxmlformats.org/officeDocument/2006/relationships">
  <dimension ref="A1:W111"/>
  <sheetViews>
    <sheetView showGridLines="0" workbookViewId="0">
      <pane ySplit="1" topLeftCell="A2" activePane="bottomLeft" state="frozen"/>
      <selection pane="bottomLeft"/>
    </sheetView>
  </sheetViews>
  <sheetFormatPr defaultRowHeight="15" customHeight="1"/>
  <cols>
    <col min="1" max="1" width="11.5703125" style="1" customWidth="1"/>
    <col min="2" max="2" width="34.140625" style="1" bestFit="1" customWidth="1"/>
    <col min="3" max="3" width="41.42578125" style="1" bestFit="1" customWidth="1"/>
    <col min="4" max="4" width="45.140625" style="1" bestFit="1" customWidth="1"/>
    <col min="5" max="5" width="28.85546875" style="1" customWidth="1"/>
    <col min="6" max="6" width="24.28515625" style="1" customWidth="1"/>
    <col min="7" max="7" width="9.85546875" style="1" customWidth="1"/>
    <col min="8" max="8" width="11.7109375" style="1" bestFit="1" customWidth="1"/>
    <col min="9" max="12" width="11.140625" style="1" bestFit="1" customWidth="1"/>
    <col min="13" max="13" width="12.42578125" style="1" customWidth="1"/>
    <col min="14" max="17" width="11.140625" style="1" bestFit="1" customWidth="1"/>
    <col min="18" max="18" width="21.28515625" style="1" customWidth="1"/>
    <col min="19" max="20" width="9.140625" style="1"/>
    <col min="21" max="21" width="20.85546875" style="1" customWidth="1"/>
    <col min="22" max="16384" width="9.140625" style="1"/>
  </cols>
  <sheetData>
    <row r="1" spans="1:23" ht="15" customHeight="1">
      <c r="A1" s="3" t="s">
        <v>106</v>
      </c>
      <c r="B1" s="3" t="s">
        <v>0</v>
      </c>
      <c r="C1" s="3" t="s">
        <v>1</v>
      </c>
      <c r="D1" s="3"/>
      <c r="E1" s="3" t="s">
        <v>3</v>
      </c>
      <c r="F1" s="3" t="s">
        <v>329</v>
      </c>
      <c r="G1" s="3" t="s">
        <v>163</v>
      </c>
      <c r="H1" s="2">
        <f>'Tourism Medium DB-LCU'!H1</f>
        <v>2008</v>
      </c>
      <c r="I1" s="2">
        <f>'Tourism Medium DB-LCU'!I1</f>
        <v>2009</v>
      </c>
      <c r="J1" s="2">
        <f>'Tourism Medium DB-LCU'!J1</f>
        <v>2010</v>
      </c>
      <c r="K1" s="2">
        <f>'Tourism Medium DB-LCU'!K1</f>
        <v>2011</v>
      </c>
      <c r="L1" s="2">
        <f>'Tourism Medium DB-LCU'!L1</f>
        <v>2012</v>
      </c>
      <c r="M1" s="2">
        <f>'Tourism Medium DB-LCU'!M1</f>
        <v>2013</v>
      </c>
      <c r="N1" s="2">
        <f>'Tourism Medium DB-LCU'!N1</f>
        <v>2014</v>
      </c>
      <c r="O1" s="2">
        <f>'Tourism Medium DB-LCU'!O1</f>
        <v>2015</v>
      </c>
      <c r="P1" s="2">
        <f>'Tourism Medium DB-LCU'!P1</f>
        <v>2016</v>
      </c>
      <c r="Q1" s="2">
        <f>'Tourism Medium DB-LCU'!Q1</f>
        <v>2017</v>
      </c>
    </row>
    <row r="2" spans="1:23" ht="15" customHeight="1">
      <c r="A2" s="2" t="str">
        <f>Home!$B$1</f>
        <v>Hungary</v>
      </c>
      <c r="B2" s="2" t="s">
        <v>74</v>
      </c>
      <c r="C2" s="2"/>
      <c r="D2" s="2"/>
      <c r="E2" s="2"/>
      <c r="F2" s="2"/>
      <c r="G2" s="2"/>
      <c r="M2" s="2"/>
      <c r="N2" s="2"/>
      <c r="O2" s="2"/>
      <c r="P2" s="2"/>
      <c r="Q2" s="2"/>
    </row>
    <row r="3" spans="1:23" ht="15" customHeight="1">
      <c r="B3" s="4"/>
      <c r="C3" s="4"/>
      <c r="D3" s="4"/>
      <c r="E3" s="4"/>
      <c r="F3" s="2"/>
      <c r="G3" s="2"/>
      <c r="H3" s="17"/>
      <c r="I3" s="18"/>
      <c r="J3" s="18"/>
      <c r="K3" s="18"/>
      <c r="L3" s="18"/>
      <c r="M3" s="17"/>
      <c r="N3" s="17"/>
      <c r="O3" s="17"/>
      <c r="P3" s="17"/>
      <c r="Q3" s="17"/>
    </row>
    <row r="4" spans="1:23" ht="15" customHeight="1">
      <c r="A4" s="2" t="str">
        <f>Home!$B$1</f>
        <v>Hungary</v>
      </c>
      <c r="B4" s="2" t="s">
        <v>74</v>
      </c>
      <c r="C4" s="2" t="s">
        <v>75</v>
      </c>
      <c r="D4" s="2"/>
      <c r="E4" s="2"/>
      <c r="F4" s="2"/>
      <c r="G4" s="2"/>
      <c r="H4" s="103">
        <f>'Tourism Medium DB-LCU'!H135</f>
        <v>2019.8551586425158</v>
      </c>
      <c r="I4" s="103">
        <f>'Tourism Medium DB-LCU'!I135</f>
        <v>1872.2784268589198</v>
      </c>
      <c r="J4" s="103">
        <f>'Tourism Medium DB-LCU'!J135</f>
        <v>2102.934326278521</v>
      </c>
      <c r="K4" s="103">
        <f>'Tourism Medium DB-LCU'!K135</f>
        <v>2206.7548677920909</v>
      </c>
      <c r="L4" s="103">
        <f>'Tourism Medium DB-LCU'!L135</f>
        <v>2131.7312648005327</v>
      </c>
      <c r="M4" s="103">
        <f>M60*M35</f>
        <v>2197.6678027174025</v>
      </c>
      <c r="N4" s="103">
        <f t="shared" ref="N4:P4" si="0">N60*N35</f>
        <v>2272.8949782030604</v>
      </c>
      <c r="O4" s="103">
        <f t="shared" si="0"/>
        <v>2343.3244007059684</v>
      </c>
      <c r="P4" s="103">
        <f t="shared" si="0"/>
        <v>2434.4282489378866</v>
      </c>
      <c r="Q4" s="103">
        <f>Q60*Q35</f>
        <v>2518.5039541777005</v>
      </c>
    </row>
    <row r="5" spans="1:23" ht="15" customHeight="1">
      <c r="I5" s="18">
        <f>I4/H4-1</f>
        <v>-7.3063026896828531E-2</v>
      </c>
      <c r="J5" s="18">
        <f>I4/H4-1</f>
        <v>-7.3063026896828531E-2</v>
      </c>
      <c r="K5" s="18">
        <f>J4/I4-1</f>
        <v>0.12319529836519427</v>
      </c>
      <c r="L5" s="18">
        <f>K4/J4-1</f>
        <v>4.9369369369369309E-2</v>
      </c>
      <c r="M5" s="18">
        <f t="shared" ref="M5:Q5" si="1">M4/L4-1</f>
        <v>3.093098037525821E-2</v>
      </c>
      <c r="N5" s="18">
        <f t="shared" si="1"/>
        <v>3.4230458030390265E-2</v>
      </c>
      <c r="O5" s="18">
        <f t="shared" si="1"/>
        <v>3.0986659382999271E-2</v>
      </c>
      <c r="P5" s="18">
        <f t="shared" si="1"/>
        <v>3.8878035070377681E-2</v>
      </c>
      <c r="Q5" s="18">
        <f t="shared" si="1"/>
        <v>3.4536119631578988E-2</v>
      </c>
    </row>
    <row r="6" spans="1:23" ht="15" customHeight="1">
      <c r="A6" s="2" t="str">
        <f>Home!$B$1</f>
        <v>Hungary</v>
      </c>
      <c r="B6" s="2" t="s">
        <v>74</v>
      </c>
      <c r="C6" s="2" t="s">
        <v>495</v>
      </c>
      <c r="D6" s="2" t="s">
        <v>19</v>
      </c>
      <c r="E6" s="2"/>
      <c r="F6" s="2"/>
      <c r="G6" s="2"/>
      <c r="H6" s="60">
        <f>'Tourism Medium DB-LCU'!H136</f>
        <v>-3029.8111700109721</v>
      </c>
      <c r="I6" s="60">
        <f>'Tourism Medium DB-LCU'!I136</f>
        <v>-1789.500471367704</v>
      </c>
      <c r="J6" s="60">
        <f>'Tourism Medium DB-LCU'!J136</f>
        <v>-2077.7306787646471</v>
      </c>
      <c r="K6" s="60">
        <f>'Tourism Medium DB-LCU'!K136</f>
        <v>-3600.3337045582816</v>
      </c>
      <c r="L6" s="60">
        <f>'Tourism Medium DB-LCU'!L136</f>
        <v>-3771.4958295038114</v>
      </c>
      <c r="M6" s="103">
        <f>M4*M8</f>
        <v>-4028.4543069346632</v>
      </c>
      <c r="N6" s="103">
        <f>N4*N8</f>
        <v>-4902.4828951349937</v>
      </c>
      <c r="O6" s="103">
        <f>O4*O8</f>
        <v>-6196.0273944758355</v>
      </c>
      <c r="P6" s="103">
        <f>P4*P8</f>
        <v>-7324.4810340155909</v>
      </c>
      <c r="Q6" s="103">
        <f>Q4*Q8</f>
        <v>-8652.2440527174676</v>
      </c>
    </row>
    <row r="7" spans="1:23" ht="15" customHeight="1">
      <c r="B7" s="4"/>
      <c r="C7" s="4"/>
      <c r="D7" s="4"/>
      <c r="E7" s="4"/>
      <c r="F7" s="2"/>
      <c r="G7" s="2"/>
      <c r="H7" s="17"/>
      <c r="I7" s="18">
        <f t="shared" ref="I7:Q7" si="2">I6/H6-1</f>
        <v>-0.40936897682596385</v>
      </c>
      <c r="J7" s="18">
        <f t="shared" si="2"/>
        <v>0.16106741071526542</v>
      </c>
      <c r="K7" s="18">
        <f t="shared" si="2"/>
        <v>0.73282020685131632</v>
      </c>
      <c r="L7" s="18">
        <f t="shared" si="2"/>
        <v>4.7540627894804954E-2</v>
      </c>
      <c r="M7" s="18">
        <f t="shared" si="2"/>
        <v>6.8131714589396264E-2</v>
      </c>
      <c r="N7" s="18">
        <f t="shared" si="2"/>
        <v>0.21696375870411622</v>
      </c>
      <c r="O7" s="18">
        <f t="shared" si="2"/>
        <v>0.26385497451189432</v>
      </c>
      <c r="P7" s="18">
        <f t="shared" si="2"/>
        <v>0.18212534704831129</v>
      </c>
      <c r="Q7" s="18">
        <f t="shared" si="2"/>
        <v>0.18127741918309548</v>
      </c>
    </row>
    <row r="8" spans="1:23" s="6" customFormat="1" ht="15" customHeight="1">
      <c r="A8" s="207"/>
      <c r="B8" s="280"/>
      <c r="C8" s="280"/>
      <c r="D8" s="280"/>
      <c r="E8" s="280"/>
      <c r="F8" s="279"/>
      <c r="G8" s="279"/>
      <c r="H8" s="390">
        <f>H6/H4</f>
        <v>-1.5000140762802108</v>
      </c>
      <c r="I8" s="390">
        <f>I6/I4</f>
        <v>-0.95578758249642892</v>
      </c>
      <c r="J8" s="390">
        <f>J6/J4</f>
        <v>-0.98801500969434664</v>
      </c>
      <c r="K8" s="390">
        <f>K6/K4</f>
        <v>-1.6315059534276675</v>
      </c>
      <c r="L8" s="390">
        <f>L6/L4</f>
        <v>-1.7692172985306909</v>
      </c>
      <c r="M8" s="390">
        <f>L8*(1+(((L8/H8)^(1/4))-1))*0.9942</f>
        <v>-1.8330588007675703</v>
      </c>
      <c r="N8" s="390">
        <f>M8*(1+(((M8/I8)^(1/4))-1))*0.9999</f>
        <v>-2.1569333128673076</v>
      </c>
      <c r="O8" s="390">
        <f>N8*(1+(((N8/J8)^(1/4))-1))*1.0085</f>
        <v>-2.6441184978952004</v>
      </c>
      <c r="P8" s="390">
        <f>O8*(1+(((O8/K8)^(1/4))-1))*1.0085</f>
        <v>-3.0087068851633556</v>
      </c>
      <c r="Q8" s="390">
        <f>P8*(1+(((P8/L8)^(1/4))-1))*0.9999</f>
        <v>-3.435469711439247</v>
      </c>
    </row>
    <row r="9" spans="1:23" s="6" customFormat="1" ht="15" customHeight="1">
      <c r="A9" s="2" t="str">
        <f>Home!$B$1</f>
        <v>Hungary</v>
      </c>
      <c r="B9" s="2" t="s">
        <v>74</v>
      </c>
      <c r="C9" s="2" t="s">
        <v>495</v>
      </c>
      <c r="D9" s="2" t="s">
        <v>20</v>
      </c>
      <c r="E9" s="2"/>
      <c r="F9" s="2"/>
      <c r="G9" s="2"/>
      <c r="H9" s="60">
        <f>'Tourism Medium DB-LCU'!H137</f>
        <v>-3231.350736038512</v>
      </c>
      <c r="I9" s="60">
        <f>'Tourism Medium DB-LCU'!I137</f>
        <v>-3603.9410550855137</v>
      </c>
      <c r="J9" s="60">
        <f>'Tourism Medium DB-LCU'!J137</f>
        <v>-3021.5988788077275</v>
      </c>
      <c r="K9" s="60">
        <f>'Tourism Medium DB-LCU'!K137</f>
        <v>-2759.4808049172111</v>
      </c>
      <c r="L9" s="60">
        <f>'Tourism Medium DB-LCU'!L137</f>
        <v>-2948.8945955388263</v>
      </c>
      <c r="M9" s="103">
        <f>M4*M11</f>
        <v>-2940.393838604698</v>
      </c>
      <c r="N9" s="103">
        <f>N4*N11</f>
        <v>-2789.2139064314829</v>
      </c>
      <c r="O9" s="103">
        <f>O4*O11</f>
        <v>-2773.0131941655677</v>
      </c>
      <c r="P9" s="103">
        <f>P4*P11</f>
        <v>-2839.6669342334985</v>
      </c>
      <c r="Q9" s="103">
        <f>Q4*Q11</f>
        <v>-2817.3854471934269</v>
      </c>
    </row>
    <row r="10" spans="1:23" s="6" customFormat="1" ht="15" customHeight="1">
      <c r="A10" s="1"/>
      <c r="B10" s="1"/>
      <c r="C10" s="1"/>
      <c r="D10" s="1"/>
      <c r="E10" s="1"/>
      <c r="F10" s="1"/>
      <c r="G10" s="1"/>
      <c r="H10" s="1"/>
      <c r="I10" s="18">
        <f t="shared" ref="I10:Q10" si="3">I9/H9-1</f>
        <v>0.11530482125991082</v>
      </c>
      <c r="J10" s="18">
        <f t="shared" si="3"/>
        <v>-0.16158482266407892</v>
      </c>
      <c r="K10" s="18">
        <f t="shared" si="3"/>
        <v>-8.6748137129950109E-2</v>
      </c>
      <c r="L10" s="18">
        <f t="shared" si="3"/>
        <v>6.8641097370234494E-2</v>
      </c>
      <c r="M10" s="18">
        <f t="shared" si="3"/>
        <v>-2.8826927035603411E-3</v>
      </c>
      <c r="N10" s="18">
        <f t="shared" si="3"/>
        <v>-5.1414858169120059E-2</v>
      </c>
      <c r="O10" s="18">
        <f t="shared" si="3"/>
        <v>-5.8083434291500424E-3</v>
      </c>
      <c r="P10" s="18">
        <f t="shared" si="3"/>
        <v>2.4036575162415641E-2</v>
      </c>
      <c r="Q10" s="18">
        <f t="shared" si="3"/>
        <v>-7.8465142413211009E-3</v>
      </c>
    </row>
    <row r="11" spans="1:23" s="6" customFormat="1" ht="15" customHeight="1">
      <c r="A11" s="207"/>
      <c r="B11" s="280"/>
      <c r="C11" s="280"/>
      <c r="D11" s="280"/>
      <c r="E11" s="280"/>
      <c r="F11" s="279"/>
      <c r="G11" s="279"/>
      <c r="H11" s="390">
        <f>H9/H4</f>
        <v>-1.5997932932033632</v>
      </c>
      <c r="I11" s="390">
        <f>I9/I4</f>
        <v>-1.9248958933590694</v>
      </c>
      <c r="J11" s="390">
        <f>J9/J4</f>
        <v>-1.4368489025308415</v>
      </c>
      <c r="K11" s="390">
        <f>K9/K4</f>
        <v>-1.2504700205683177</v>
      </c>
      <c r="L11" s="390">
        <f>L9/L4</f>
        <v>-1.3833331828600619</v>
      </c>
      <c r="M11" s="390">
        <f>L11*(1+(((L11/H11)^(1/4))-1))*1.003</f>
        <v>-1.3379610125647377</v>
      </c>
      <c r="N11" s="390">
        <f>M11*(1+(((M11/I11)^(1/4))-1))*1.0045</f>
        <v>-1.2271635659279874</v>
      </c>
      <c r="O11" s="390">
        <f>N11*(1+(((N11/J11)^(1/4))-1))*1.0031</f>
        <v>-1.1833671826786543</v>
      </c>
      <c r="P11" s="390">
        <f>O11*(1+(((O11/K11)^(1/4))-1))*0.9994</f>
        <v>-1.1664615440904504</v>
      </c>
      <c r="Q11" s="390">
        <f>P11*(1+(((P11/L11)^(1/4))-1))*1.0008</f>
        <v>-1.1186742202726905</v>
      </c>
    </row>
    <row r="12" spans="1:23" ht="15" customHeight="1">
      <c r="A12" s="2" t="str">
        <f>Home!$B$1</f>
        <v>Hungary</v>
      </c>
      <c r="B12" s="2" t="s">
        <v>74</v>
      </c>
      <c r="C12" s="2" t="s">
        <v>495</v>
      </c>
      <c r="D12" s="2" t="s">
        <v>67</v>
      </c>
      <c r="E12" s="2"/>
      <c r="F12" s="2"/>
      <c r="G12" s="2"/>
      <c r="H12" s="60">
        <f>'Tourism Medium DB-LCU'!H138</f>
        <v>8281.0170646919996</v>
      </c>
      <c r="I12" s="60">
        <f>'Tourism Medium DB-LCU'!I138</f>
        <v>7265.7199533121375</v>
      </c>
      <c r="J12" s="60">
        <f>'Tourism Medium DB-LCU'!J138</f>
        <v>7202.2638838508956</v>
      </c>
      <c r="K12" s="60">
        <f>'Tourism Medium DB-LCU'!K138</f>
        <v>8566.5693772675841</v>
      </c>
      <c r="L12" s="60">
        <f>'Tourism Medium DB-LCU'!L138</f>
        <v>8852.1216898431703</v>
      </c>
      <c r="M12" s="103">
        <f>M4*M14</f>
        <v>9166.5159482567633</v>
      </c>
      <c r="N12" s="103">
        <f>N4*N14</f>
        <v>9964.5917797695365</v>
      </c>
      <c r="O12" s="103">
        <f>O4*O14</f>
        <v>11312.364989347372</v>
      </c>
      <c r="P12" s="103">
        <f>P4*P14</f>
        <v>12598.576217186976</v>
      </c>
      <c r="Q12" s="103">
        <f>Q4*Q14</f>
        <v>13988.133454088595</v>
      </c>
    </row>
    <row r="13" spans="1:23" ht="15" customHeight="1">
      <c r="B13" s="4"/>
      <c r="C13" s="4"/>
      <c r="D13" s="4"/>
      <c r="E13" s="4"/>
      <c r="F13" s="2"/>
      <c r="G13" s="2"/>
      <c r="H13" s="17"/>
      <c r="I13" s="18">
        <f t="shared" ref="I13:Q13" si="4">I12/H12-1</f>
        <v>-0.12260536398467436</v>
      </c>
      <c r="J13" s="18">
        <f t="shared" si="4"/>
        <v>-8.733624454148492E-3</v>
      </c>
      <c r="K13" s="18">
        <f t="shared" si="4"/>
        <v>0.18942731277533031</v>
      </c>
      <c r="L13" s="18">
        <f t="shared" si="4"/>
        <v>3.3333333333333437E-2</v>
      </c>
      <c r="M13" s="18">
        <f t="shared" si="4"/>
        <v>3.551626033048394E-2</v>
      </c>
      <c r="N13" s="18">
        <f t="shared" si="4"/>
        <v>8.7064249494329005E-2</v>
      </c>
      <c r="O13" s="18">
        <f t="shared" si="4"/>
        <v>0.1352562392283978</v>
      </c>
      <c r="P13" s="18">
        <f t="shared" si="4"/>
        <v>0.11369958704928651</v>
      </c>
      <c r="Q13" s="18">
        <f t="shared" si="4"/>
        <v>0.11029478354911126</v>
      </c>
      <c r="R13" s="32">
        <v>4.5454545454545414E-2</v>
      </c>
      <c r="S13" s="37">
        <v>4.3478260869565188E-2</v>
      </c>
      <c r="T13" s="37">
        <v>4.5833333333333393E-2</v>
      </c>
      <c r="U13" s="37">
        <v>3.9840637450199168E-2</v>
      </c>
      <c r="V13" s="37"/>
      <c r="W13" s="37"/>
    </row>
    <row r="14" spans="1:23" ht="15" customHeight="1">
      <c r="A14" s="207"/>
      <c r="B14" s="280"/>
      <c r="C14" s="280"/>
      <c r="D14" s="280"/>
      <c r="E14" s="280"/>
      <c r="F14" s="279"/>
      <c r="G14" s="279"/>
      <c r="H14" s="390">
        <f t="shared" ref="H14:Q14" si="5">1-(H11+H8)</f>
        <v>4.0998073694835737</v>
      </c>
      <c r="I14" s="390">
        <f t="shared" si="5"/>
        <v>3.8806834758554984</v>
      </c>
      <c r="J14" s="390">
        <f t="shared" si="5"/>
        <v>3.424863912225188</v>
      </c>
      <c r="K14" s="390">
        <f t="shared" si="5"/>
        <v>3.8819759739959849</v>
      </c>
      <c r="L14" s="390">
        <f t="shared" si="5"/>
        <v>4.1525504813907528</v>
      </c>
      <c r="M14" s="390">
        <f t="shared" si="5"/>
        <v>4.1710198133323075</v>
      </c>
      <c r="N14" s="390">
        <f t="shared" si="5"/>
        <v>4.3840968787952947</v>
      </c>
      <c r="O14" s="390">
        <f>1-SUM(O11,O8)</f>
        <v>4.8274856805738544</v>
      </c>
      <c r="P14" s="390">
        <f t="shared" si="5"/>
        <v>5.175168429253806</v>
      </c>
      <c r="Q14" s="390">
        <f t="shared" si="5"/>
        <v>5.5541439317119377</v>
      </c>
    </row>
    <row r="15" spans="1:23" s="6" customFormat="1" ht="15" customHeight="1">
      <c r="B15" s="129"/>
      <c r="C15" s="129"/>
      <c r="D15" s="129"/>
      <c r="E15" s="129"/>
      <c r="F15" s="15"/>
      <c r="G15" s="15"/>
      <c r="H15" s="53"/>
      <c r="I15" s="53"/>
      <c r="J15" s="53"/>
      <c r="K15" s="53"/>
      <c r="L15" s="53"/>
      <c r="M15" s="53"/>
      <c r="N15" s="53"/>
      <c r="O15" s="53"/>
      <c r="P15" s="53"/>
      <c r="Q15" s="53"/>
    </row>
    <row r="16" spans="1:23" ht="15" customHeight="1">
      <c r="A16" s="2" t="str">
        <f>Home!$B$1</f>
        <v>Hungary</v>
      </c>
      <c r="B16" s="2" t="s">
        <v>74</v>
      </c>
      <c r="C16" s="2" t="s">
        <v>494</v>
      </c>
      <c r="D16" s="2" t="s">
        <v>65</v>
      </c>
      <c r="E16" s="2"/>
      <c r="F16" s="2"/>
      <c r="G16" s="2"/>
      <c r="H16" s="391">
        <f>'Tourism Medium DB-LCU'!H140</f>
        <v>367.46359809689318</v>
      </c>
      <c r="I16" s="391">
        <f>'Tourism Medium DB-LCU'!I140</f>
        <v>346.37056017024804</v>
      </c>
      <c r="J16" s="391">
        <f>'Tourism Medium DB-LCU'!J140</f>
        <v>379.33804478426163</v>
      </c>
      <c r="K16" s="391">
        <f>'Tourism Medium DB-LCU'!K140</f>
        <v>394.17704137433242</v>
      </c>
      <c r="L16" s="391">
        <f>'Tourism Medium DB-LCU'!L140</f>
        <v>383.45397084574103</v>
      </c>
      <c r="M16" s="401">
        <f>M18*M4</f>
        <v>394.19807806942612</v>
      </c>
      <c r="N16" s="401">
        <f t="shared" ref="N16:Q16" si="6">N18*N4</f>
        <v>404.55475087350766</v>
      </c>
      <c r="O16" s="401">
        <f t="shared" si="6"/>
        <v>416.11535330572542</v>
      </c>
      <c r="P16" s="401">
        <f t="shared" si="6"/>
        <v>432.08919372848527</v>
      </c>
      <c r="Q16" s="401">
        <f t="shared" si="6"/>
        <v>445.966309315422</v>
      </c>
    </row>
    <row r="17" spans="1:18" ht="15" customHeight="1">
      <c r="I17" s="18">
        <f>I16/H16-1</f>
        <v>-5.7401707368802568E-2</v>
      </c>
      <c r="J17" s="18">
        <f>J16/I16-1</f>
        <v>9.5179811464950692E-2</v>
      </c>
      <c r="K17" s="18">
        <f>K16/J16-1</f>
        <v>3.9118134323990805E-2</v>
      </c>
      <c r="L17" s="18">
        <f>L16/K16-1</f>
        <v>-2.7203691242910777E-2</v>
      </c>
      <c r="M17" s="18">
        <f t="shared" ref="M17:Q17" si="7">M16/L16-1</f>
        <v>2.8019287947359084E-2</v>
      </c>
      <c r="N17" s="18">
        <f t="shared" si="7"/>
        <v>2.6272763314329373E-2</v>
      </c>
      <c r="O17" s="18">
        <f t="shared" si="7"/>
        <v>2.8576113387017044E-2</v>
      </c>
      <c r="P17" s="18">
        <f t="shared" si="7"/>
        <v>3.8388010189625676E-2</v>
      </c>
      <c r="Q17" s="18">
        <f t="shared" si="7"/>
        <v>3.2116321788081548E-2</v>
      </c>
    </row>
    <row r="18" spans="1:18" ht="15" customHeight="1">
      <c r="A18" s="207"/>
      <c r="B18" s="280"/>
      <c r="C18" s="280"/>
      <c r="D18" s="280"/>
      <c r="E18" s="280"/>
      <c r="F18" s="279"/>
      <c r="G18" s="279"/>
      <c r="H18" s="390">
        <f>H16/H4</f>
        <v>0.18192571706173946</v>
      </c>
      <c r="I18" s="390">
        <f t="shared" ref="I18:L18" si="8">I16/I4</f>
        <v>0.184999493238485</v>
      </c>
      <c r="J18" s="390">
        <f t="shared" si="8"/>
        <v>0.1803851123851124</v>
      </c>
      <c r="K18" s="390">
        <f t="shared" si="8"/>
        <v>0.17862293956043956</v>
      </c>
      <c r="L18" s="390">
        <f t="shared" si="8"/>
        <v>0.17987913259864913</v>
      </c>
      <c r="M18" s="390">
        <f>L18*(1+(((L18/H18)^(1/4))-1))</f>
        <v>0.17937109402158172</v>
      </c>
      <c r="N18" s="390">
        <f t="shared" ref="N18" si="9">M18*(1+(((M18/I18)^(1/4))-1))</f>
        <v>0.17799095635881365</v>
      </c>
      <c r="O18" s="390">
        <f>N18*(1+(((N18/J18)^(1/4))-1))*1.001</f>
        <v>0.17757479637917961</v>
      </c>
      <c r="P18" s="390">
        <f>O18*(1+(((O18/K18)^(1/4))-1))*1.001</f>
        <v>0.1774910367216618</v>
      </c>
      <c r="Q18" s="390">
        <f>P18*(1+(((P18/L18)^(1/4))-1))*1.001</f>
        <v>0.17707588212265937</v>
      </c>
    </row>
    <row r="19" spans="1:18" ht="15" customHeight="1">
      <c r="A19" s="2" t="str">
        <f>Home!$B$1</f>
        <v>Hungary</v>
      </c>
      <c r="B19" s="2" t="s">
        <v>74</v>
      </c>
      <c r="C19" s="2" t="s">
        <v>494</v>
      </c>
      <c r="D19" s="2" t="s">
        <v>66</v>
      </c>
      <c r="E19" s="51"/>
      <c r="F19" s="51"/>
      <c r="G19" s="51"/>
      <c r="H19" s="400">
        <f>'Tourism Medium DB-LCU'!H141</f>
        <v>1652.3915605456227</v>
      </c>
      <c r="I19" s="400">
        <f>'Tourism Medium DB-LCU'!I141</f>
        <v>1525.9078666886717</v>
      </c>
      <c r="J19" s="400">
        <f>'Tourism Medium DB-LCU'!J141</f>
        <v>1723.5962814942593</v>
      </c>
      <c r="K19" s="400">
        <f>'Tourism Medium DB-LCU'!K141</f>
        <v>1812.5778264177584</v>
      </c>
      <c r="L19" s="400">
        <f>'Tourism Medium DB-LCU'!L141</f>
        <v>1748.2772939547917</v>
      </c>
      <c r="M19" s="400">
        <f>M21*M4</f>
        <v>1803.4697246479766</v>
      </c>
      <c r="N19" s="400">
        <f t="shared" ref="N19:Q19" si="10">N21*N4</f>
        <v>1868.3402273295528</v>
      </c>
      <c r="O19" s="400">
        <f t="shared" si="10"/>
        <v>1927.209047400243</v>
      </c>
      <c r="P19" s="400">
        <f t="shared" si="10"/>
        <v>2002.3390552094013</v>
      </c>
      <c r="Q19" s="400">
        <f t="shared" si="10"/>
        <v>2072.5376448622787</v>
      </c>
      <c r="R19" s="6"/>
    </row>
    <row r="20" spans="1:18" ht="15" customHeight="1">
      <c r="A20" s="51"/>
      <c r="B20" s="51"/>
      <c r="C20" s="51"/>
      <c r="D20" s="51"/>
      <c r="E20" s="51"/>
      <c r="F20" s="51"/>
      <c r="G20" s="51"/>
      <c r="H20" s="55"/>
      <c r="I20" s="18">
        <f>I19/H19-1</f>
        <v>-7.6545836275746848E-2</v>
      </c>
      <c r="J20" s="18">
        <f>J19/I19-1</f>
        <v>0.12955462064337175</v>
      </c>
      <c r="K20" s="18">
        <f>K19/J19-1</f>
        <v>5.1625514558639729E-2</v>
      </c>
      <c r="L20" s="18">
        <f>L19/K19-1</f>
        <v>-3.5474632606559808E-2</v>
      </c>
      <c r="M20" s="18">
        <f t="shared" ref="M20:Q20" si="11">M19/L19-1</f>
        <v>3.1569609056886883E-2</v>
      </c>
      <c r="N20" s="18">
        <f t="shared" si="11"/>
        <v>3.596983181641078E-2</v>
      </c>
      <c r="O20" s="18">
        <f t="shared" si="11"/>
        <v>3.1508618831609825E-2</v>
      </c>
      <c r="P20" s="18">
        <f t="shared" si="11"/>
        <v>3.8983839304047807E-2</v>
      </c>
      <c r="Q20" s="18">
        <f t="shared" si="11"/>
        <v>3.5058293184785372E-2</v>
      </c>
      <c r="R20" s="6"/>
    </row>
    <row r="21" spans="1:18" ht="15" customHeight="1">
      <c r="A21" s="207"/>
      <c r="B21" s="280"/>
      <c r="C21" s="280"/>
      <c r="D21" s="280"/>
      <c r="E21" s="280"/>
      <c r="F21" s="279"/>
      <c r="G21" s="279"/>
      <c r="H21" s="390">
        <f>1-H18</f>
        <v>0.81807428293826057</v>
      </c>
      <c r="I21" s="390">
        <f t="shared" ref="I21:Q21" si="12">1-I18</f>
        <v>0.81500050676151503</v>
      </c>
      <c r="J21" s="390">
        <f t="shared" si="12"/>
        <v>0.81961488761488765</v>
      </c>
      <c r="K21" s="390">
        <f t="shared" si="12"/>
        <v>0.82137706043956049</v>
      </c>
      <c r="L21" s="390">
        <f t="shared" si="12"/>
        <v>0.82012086740135093</v>
      </c>
      <c r="M21" s="390">
        <f t="shared" si="12"/>
        <v>0.82062890597841831</v>
      </c>
      <c r="N21" s="390">
        <f t="shared" si="12"/>
        <v>0.82200904364118632</v>
      </c>
      <c r="O21" s="390">
        <f t="shared" si="12"/>
        <v>0.82242520362082039</v>
      </c>
      <c r="P21" s="390">
        <f t="shared" si="12"/>
        <v>0.82250896327833822</v>
      </c>
      <c r="Q21" s="390">
        <f t="shared" si="12"/>
        <v>0.82292411787734066</v>
      </c>
    </row>
    <row r="22" spans="1:18" ht="15" customHeight="1">
      <c r="A22" s="51"/>
      <c r="B22" s="51"/>
      <c r="C22" s="51"/>
      <c r="D22" s="51"/>
      <c r="E22" s="51"/>
      <c r="F22" s="51"/>
      <c r="G22" s="51"/>
      <c r="H22" s="55"/>
      <c r="I22" s="55"/>
      <c r="J22" s="55"/>
      <c r="K22" s="55"/>
      <c r="L22" s="55"/>
      <c r="M22" s="55"/>
      <c r="N22" s="55"/>
      <c r="O22" s="55"/>
      <c r="P22" s="55"/>
      <c r="Q22" s="55"/>
      <c r="R22" s="6"/>
    </row>
    <row r="23" spans="1:18" ht="15" customHeight="1">
      <c r="A23" s="2" t="str">
        <f>Home!$B$1</f>
        <v>Hungary</v>
      </c>
      <c r="B23" s="2" t="s">
        <v>74</v>
      </c>
      <c r="C23" s="2" t="s">
        <v>68</v>
      </c>
      <c r="D23" s="2"/>
      <c r="E23" s="2"/>
      <c r="F23" s="2"/>
      <c r="G23" s="2"/>
      <c r="H23" s="391">
        <f>'Tourism Medium DB-LCU'!H142</f>
        <v>22751</v>
      </c>
      <c r="I23" s="391">
        <f>'Tourism Medium DB-LCU'!I142</f>
        <v>25913</v>
      </c>
      <c r="J23" s="391">
        <f>'Tourism Medium DB-LCU'!J142</f>
        <v>26361</v>
      </c>
      <c r="K23" s="391">
        <f>'Tourism Medium DB-LCU'!K142</f>
        <v>28640</v>
      </c>
      <c r="L23" s="391">
        <f>'Tourism Medium DB-LCU'!L142</f>
        <v>28051</v>
      </c>
      <c r="M23" s="391">
        <f t="shared" ref="M23:Q23" si="13">L23*((1+M24))</f>
        <v>28487.254433838923</v>
      </c>
      <c r="N23" s="391">
        <f t="shared" si="13"/>
        <v>28775.07568982428</v>
      </c>
      <c r="O23" s="391">
        <f t="shared" si="13"/>
        <v>29108.880889999713</v>
      </c>
      <c r="P23" s="391">
        <f t="shared" si="13"/>
        <v>29644.724427262969</v>
      </c>
      <c r="Q23" s="391">
        <f t="shared" si="13"/>
        <v>30057.585643225801</v>
      </c>
    </row>
    <row r="24" spans="1:18" ht="15" customHeight="1">
      <c r="I24" s="18">
        <f>I23/H23-1</f>
        <v>0.13898290185046802</v>
      </c>
      <c r="J24" s="18">
        <f>J23/I23-1</f>
        <v>1.7288619611777856E-2</v>
      </c>
      <c r="K24" s="18">
        <f>K23/J23-1</f>
        <v>8.6453472933500253E-2</v>
      </c>
      <c r="L24" s="18">
        <f>L23/K23-1</f>
        <v>-2.0565642458100553E-2</v>
      </c>
      <c r="M24" s="21">
        <f>((L23/H23)^(1/4)-1)*0.1+0.9*($E$28*M29+$E$30*M31)</f>
        <v>1.5552188294140139E-2</v>
      </c>
      <c r="N24" s="21">
        <f>((M23/K23)^(1/2)-1)*0.8+0.2*($E$28*N29+$E$30*N31)</f>
        <v>1.0103509857498465E-2</v>
      </c>
      <c r="O24" s="21">
        <f>((N23/K23)^(1/3)-1)*0.7+0.3*($E$28*O29+$E$30*O31)</f>
        <v>1.160049772843786E-2</v>
      </c>
      <c r="P24" s="21">
        <f>((O23/M23)^(1/2)-1)*0.7+0.3*($E$28*P29+$E$30*P31)</f>
        <v>1.8408249334220948E-2</v>
      </c>
      <c r="Q24" s="21">
        <f t="shared" ref="Q24" si="14">((P23/L23)^(1/4)-1)*0.999+0.001*($E$28*Q29+$E$30*Q31)</f>
        <v>1.3926970951470122E-2</v>
      </c>
    </row>
    <row r="25" spans="1:18" ht="15" customHeight="1">
      <c r="A25" s="23"/>
      <c r="B25" s="23"/>
      <c r="C25" s="23"/>
      <c r="D25" s="23"/>
      <c r="E25" s="25"/>
      <c r="F25" s="25"/>
      <c r="G25" s="25"/>
      <c r="H25" s="26"/>
      <c r="I25" s="26"/>
      <c r="J25" s="26"/>
      <c r="K25" s="26"/>
      <c r="L25" s="26"/>
      <c r="M25" s="26"/>
      <c r="N25" s="26"/>
      <c r="O25" s="26"/>
      <c r="P25" s="26"/>
      <c r="Q25" s="26"/>
    </row>
    <row r="26" spans="1:18" ht="15" customHeight="1">
      <c r="A26" s="25"/>
      <c r="B26" s="25"/>
      <c r="C26" s="25"/>
      <c r="D26" s="392" t="s">
        <v>476</v>
      </c>
      <c r="E26" s="25"/>
      <c r="F26" s="25"/>
      <c r="G26" s="25"/>
      <c r="H26" s="393">
        <f>H98</f>
        <v>0</v>
      </c>
      <c r="I26" s="393">
        <f t="shared" ref="I26:Q26" si="15">I98</f>
        <v>0</v>
      </c>
      <c r="J26" s="393">
        <f t="shared" si="15"/>
        <v>0</v>
      </c>
      <c r="K26" s="393">
        <f t="shared" si="15"/>
        <v>0</v>
      </c>
      <c r="L26" s="393">
        <f t="shared" si="15"/>
        <v>0</v>
      </c>
      <c r="M26" s="393">
        <f t="shared" si="15"/>
        <v>0</v>
      </c>
      <c r="N26" s="393">
        <f t="shared" si="15"/>
        <v>0</v>
      </c>
      <c r="O26" s="393">
        <f t="shared" si="15"/>
        <v>0</v>
      </c>
      <c r="P26" s="393">
        <f t="shared" si="15"/>
        <v>0</v>
      </c>
      <c r="Q26" s="393">
        <f t="shared" si="15"/>
        <v>0</v>
      </c>
    </row>
    <row r="27" spans="1:18" ht="15" customHeight="1">
      <c r="A27" s="28"/>
      <c r="B27" s="28"/>
      <c r="C27" s="28"/>
      <c r="D27" s="28" t="s">
        <v>184</v>
      </c>
      <c r="E27" s="28"/>
      <c r="F27" s="28"/>
      <c r="G27" s="28"/>
      <c r="H27" s="28"/>
      <c r="I27" s="29" t="e">
        <f t="shared" ref="I27:Q27" si="16">I26/H26-1</f>
        <v>#DIV/0!</v>
      </c>
      <c r="J27" s="29" t="e">
        <f t="shared" si="16"/>
        <v>#DIV/0!</v>
      </c>
      <c r="K27" s="29" t="e">
        <f t="shared" si="16"/>
        <v>#DIV/0!</v>
      </c>
      <c r="L27" s="29" t="e">
        <f t="shared" si="16"/>
        <v>#DIV/0!</v>
      </c>
      <c r="M27" s="29" t="e">
        <f t="shared" si="16"/>
        <v>#DIV/0!</v>
      </c>
      <c r="N27" s="29" t="e">
        <f t="shared" si="16"/>
        <v>#DIV/0!</v>
      </c>
      <c r="O27" s="29" t="e">
        <f t="shared" si="16"/>
        <v>#DIV/0!</v>
      </c>
      <c r="P27" s="29" t="e">
        <f t="shared" si="16"/>
        <v>#DIV/0!</v>
      </c>
      <c r="Q27" s="29" t="e">
        <f t="shared" si="16"/>
        <v>#DIV/0!</v>
      </c>
    </row>
    <row r="28" spans="1:18" ht="15" customHeight="1">
      <c r="A28" s="25"/>
      <c r="B28" s="25"/>
      <c r="C28" s="25"/>
      <c r="D28" s="25" t="s">
        <v>477</v>
      </c>
      <c r="E28" s="25">
        <f>R29/$R$32</f>
        <v>0.23775577526764274</v>
      </c>
      <c r="F28" s="25"/>
      <c r="G28" s="25"/>
      <c r="H28" s="26">
        <f>H74</f>
        <v>44703.387204510167</v>
      </c>
      <c r="I28" s="26">
        <f t="shared" ref="I28:Q28" si="17">I74</f>
        <v>43746</v>
      </c>
      <c r="J28" s="26">
        <f t="shared" si="17"/>
        <v>49621</v>
      </c>
      <c r="K28" s="26">
        <f t="shared" si="17"/>
        <v>49762</v>
      </c>
      <c r="L28" s="26">
        <f t="shared" si="17"/>
        <v>53029.089521389207</v>
      </c>
      <c r="M28" s="26">
        <f t="shared" si="17"/>
        <v>53820.253800939783</v>
      </c>
      <c r="N28" s="26">
        <f t="shared" si="17"/>
        <v>58076.60372716315</v>
      </c>
      <c r="O28" s="26">
        <f t="shared" si="17"/>
        <v>60276.225970644089</v>
      </c>
      <c r="P28" s="26">
        <f t="shared" si="17"/>
        <v>62596.910837933516</v>
      </c>
      <c r="Q28" s="26">
        <f t="shared" si="17"/>
        <v>64234.150773087502</v>
      </c>
    </row>
    <row r="29" spans="1:18" ht="15" customHeight="1">
      <c r="A29" s="28"/>
      <c r="B29" s="28"/>
      <c r="C29" s="28"/>
      <c r="D29" s="28" t="s">
        <v>184</v>
      </c>
      <c r="E29" s="28"/>
      <c r="F29" s="28"/>
      <c r="G29" s="28"/>
      <c r="H29" s="29"/>
      <c r="I29" s="29">
        <f t="shared" ref="I29:Q29" si="18">I28/H28-1</f>
        <v>-2.1416435406343748E-2</v>
      </c>
      <c r="J29" s="29">
        <f t="shared" si="18"/>
        <v>0.13429799295935618</v>
      </c>
      <c r="K29" s="29">
        <f t="shared" si="18"/>
        <v>2.8415388645937067E-3</v>
      </c>
      <c r="L29" s="29">
        <f t="shared" si="18"/>
        <v>6.5654304919199546E-2</v>
      </c>
      <c r="M29" s="29">
        <f t="shared" si="18"/>
        <v>1.4919439249121202E-2</v>
      </c>
      <c r="N29" s="29">
        <f t="shared" si="18"/>
        <v>7.9084538359219803E-2</v>
      </c>
      <c r="O29" s="29">
        <f t="shared" si="18"/>
        <v>3.7874498547030955E-2</v>
      </c>
      <c r="P29" s="29">
        <f t="shared" si="18"/>
        <v>3.8500832291982867E-2</v>
      </c>
      <c r="Q29" s="29">
        <f t="shared" si="18"/>
        <v>2.615528327576544E-2</v>
      </c>
      <c r="R29" s="1">
        <f>CORREL(J28:L28,$J$23:$L$23)</f>
        <v>0.30370449306954977</v>
      </c>
    </row>
    <row r="30" spans="1:18" ht="15" customHeight="1">
      <c r="A30" s="25"/>
      <c r="B30" s="25"/>
      <c r="C30" s="25"/>
      <c r="D30" s="25" t="s">
        <v>478</v>
      </c>
      <c r="E30" s="25">
        <f>R31/$R$32</f>
        <v>0.7622442247323572</v>
      </c>
      <c r="F30" s="25"/>
      <c r="G30" s="25"/>
      <c r="H30" s="26">
        <f>H76</f>
        <v>11898.616828673697</v>
      </c>
      <c r="I30" s="26">
        <f t="shared" ref="I30:Q30" si="19">I76</f>
        <v>11934.567320795655</v>
      </c>
      <c r="J30" s="26">
        <f t="shared" si="19"/>
        <v>12188.582446974848</v>
      </c>
      <c r="K30" s="26">
        <f t="shared" si="19"/>
        <v>12913.717532142466</v>
      </c>
      <c r="L30" s="26">
        <f t="shared" si="19"/>
        <v>13691.84462910271</v>
      </c>
      <c r="M30" s="26">
        <f t="shared" si="19"/>
        <v>13831.251424872553</v>
      </c>
      <c r="N30" s="26">
        <f t="shared" si="19"/>
        <v>14600.537820483689</v>
      </c>
      <c r="O30" s="26">
        <f t="shared" si="19"/>
        <v>15098.577292013004</v>
      </c>
      <c r="P30" s="26">
        <f t="shared" si="19"/>
        <v>15631.143461696287</v>
      </c>
      <c r="Q30" s="26">
        <f t="shared" si="19"/>
        <v>16119.627268578632</v>
      </c>
    </row>
    <row r="31" spans="1:18" ht="15" customHeight="1">
      <c r="A31" s="28"/>
      <c r="B31" s="28"/>
      <c r="C31" s="28"/>
      <c r="D31" s="28" t="s">
        <v>184</v>
      </c>
      <c r="E31" s="28"/>
      <c r="F31" s="28"/>
      <c r="G31" s="28"/>
      <c r="H31" s="29"/>
      <c r="I31" s="29">
        <f t="shared" ref="I31:Q31" si="20">I30/H30-1</f>
        <v>3.0214009442948164E-3</v>
      </c>
      <c r="J31" s="29">
        <f t="shared" si="20"/>
        <v>2.1283982850101246E-2</v>
      </c>
      <c r="K31" s="29">
        <f t="shared" si="20"/>
        <v>5.9492979460264772E-2</v>
      </c>
      <c r="L31" s="29">
        <f t="shared" si="20"/>
        <v>6.0255855451652351E-2</v>
      </c>
      <c r="M31" s="29">
        <f t="shared" si="20"/>
        <v>1.0181739535192191E-2</v>
      </c>
      <c r="N31" s="29">
        <f t="shared" si="20"/>
        <v>5.5619435435013465E-2</v>
      </c>
      <c r="O31" s="29">
        <f t="shared" si="20"/>
        <v>3.4111036021604368E-2</v>
      </c>
      <c r="P31" s="29">
        <f t="shared" si="20"/>
        <v>3.5272606112696892E-2</v>
      </c>
      <c r="Q31" s="29">
        <f t="shared" si="20"/>
        <v>3.1250676451109349E-2</v>
      </c>
      <c r="R31" s="1">
        <f>CORREL(I31:L31,$I$23:$L$23)</f>
        <v>0.97367559465983655</v>
      </c>
    </row>
    <row r="32" spans="1:18" s="6" customFormat="1" ht="15" customHeight="1">
      <c r="A32" s="51"/>
      <c r="B32" s="51"/>
      <c r="C32" s="51"/>
      <c r="D32" s="51"/>
      <c r="E32" s="51">
        <f>SUM(E30,E28,E26)</f>
        <v>1</v>
      </c>
      <c r="F32" s="51"/>
      <c r="G32" s="51"/>
      <c r="H32" s="55"/>
      <c r="I32" s="55"/>
      <c r="J32" s="55"/>
      <c r="K32" s="55"/>
      <c r="L32" s="55"/>
      <c r="M32" s="55"/>
      <c r="N32" s="55"/>
      <c r="O32" s="55"/>
      <c r="P32" s="55"/>
      <c r="Q32" s="55"/>
      <c r="R32" s="6">
        <f>SUM(R27:R31)</f>
        <v>1.2773800877293864</v>
      </c>
    </row>
    <row r="33" spans="1:22" ht="15" customHeight="1">
      <c r="A33" s="2" t="str">
        <f>Home!$B$1</f>
        <v>Hungary</v>
      </c>
      <c r="B33" s="2" t="s">
        <v>74</v>
      </c>
      <c r="C33" s="2" t="s">
        <v>69</v>
      </c>
      <c r="D33" s="2"/>
      <c r="E33" s="2"/>
      <c r="F33" s="2"/>
      <c r="G33" s="2"/>
      <c r="H33" s="60">
        <f>'Tourism Medium DB-LCU'!H143</f>
        <v>1.0780523637058455</v>
      </c>
      <c r="I33" s="60">
        <f>'Tourism Medium DB-LCU'!I143</f>
        <v>1.2030183883320529</v>
      </c>
      <c r="J33" s="60">
        <f>'Tourism Medium DB-LCU'!J143</f>
        <v>1.2142702810193595</v>
      </c>
      <c r="K33" s="60">
        <f>'Tourism Medium DB-LCU'!K143</f>
        <v>1.3349704659661277</v>
      </c>
      <c r="L33" s="60">
        <f>'Tourism Medium DB-LCU'!L143</f>
        <v>1.3100132790610755</v>
      </c>
      <c r="M33" s="103">
        <f t="shared" ref="M33:Q33" si="21">M35/M47</f>
        <v>1.3311325785864183</v>
      </c>
      <c r="N33" s="103">
        <f t="shared" si="21"/>
        <v>1.3515449778513566</v>
      </c>
      <c r="O33" s="103">
        <f>O35/O47</f>
        <v>1.3701134383510227</v>
      </c>
      <c r="P33" s="103">
        <f t="shared" si="21"/>
        <v>1.3912787911202142</v>
      </c>
      <c r="Q33" s="103">
        <f t="shared" si="21"/>
        <v>1.4051925126816738</v>
      </c>
    </row>
    <row r="34" spans="1:22" ht="15" customHeight="1">
      <c r="I34" s="18">
        <f t="shared" ref="I34:Q34" si="22">I33/H33-1</f>
        <v>0.11591832533684365</v>
      </c>
      <c r="J34" s="18">
        <f t="shared" si="22"/>
        <v>9.3530512886899064E-3</v>
      </c>
      <c r="K34" s="18">
        <f t="shared" si="22"/>
        <v>9.940141567612315E-2</v>
      </c>
      <c r="L34" s="18">
        <f t="shared" si="22"/>
        <v>-1.8694935611920482E-2</v>
      </c>
      <c r="M34" s="18">
        <f t="shared" si="22"/>
        <v>1.6121439273103944E-2</v>
      </c>
      <c r="N34" s="18">
        <f t="shared" si="22"/>
        <v>1.5334610235905322E-2</v>
      </c>
      <c r="O34" s="18">
        <f t="shared" si="22"/>
        <v>1.3738692240331973E-2</v>
      </c>
      <c r="P34" s="18">
        <f t="shared" si="22"/>
        <v>1.5447883493986181E-2</v>
      </c>
      <c r="Q34" s="18">
        <f t="shared" si="22"/>
        <v>1.0000671073449263E-2</v>
      </c>
    </row>
    <row r="35" spans="1:22" ht="15" customHeight="1">
      <c r="A35" s="2" t="str">
        <f>Home!$B$1</f>
        <v>Hungary</v>
      </c>
      <c r="B35" s="2" t="s">
        <v>74</v>
      </c>
      <c r="C35" s="2" t="s">
        <v>70</v>
      </c>
      <c r="D35" s="2"/>
      <c r="E35" s="2"/>
      <c r="F35" s="2"/>
      <c r="G35" s="2"/>
      <c r="H35" s="60">
        <f>'Tourism Medium DB-LCU'!H144</f>
        <v>5.9041598974397891</v>
      </c>
      <c r="I35" s="60">
        <f>'Tourism Medium DB-LCU'!I144</f>
        <v>6.8686189956796344</v>
      </c>
      <c r="J35" s="60">
        <f>'Tourism Medium DB-LCU'!J144</f>
        <v>7.0020660734926974</v>
      </c>
      <c r="K35" s="60">
        <f>'Tourism Medium DB-LCU'!K144</f>
        <v>7.5225647729096545</v>
      </c>
      <c r="L35" s="60">
        <f>'Tourism Medium DB-LCU'!L144</f>
        <v>7.5081894803578306</v>
      </c>
      <c r="M35" s="103">
        <f t="shared" ref="M35:Q35" si="23">L35*(1+M36)</f>
        <v>7.7140248844381256</v>
      </c>
      <c r="N35" s="103">
        <f t="shared" si="23"/>
        <v>7.9412147767709254</v>
      </c>
      <c r="O35" s="103">
        <f t="shared" si="23"/>
        <v>8.1340882368926462</v>
      </c>
      <c r="P35" s="103">
        <f t="shared" si="23"/>
        <v>8.3591442604072448</v>
      </c>
      <c r="Q35" s="103">
        <f t="shared" si="23"/>
        <v>8.5360850110249462</v>
      </c>
    </row>
    <row r="36" spans="1:22" ht="15" customHeight="1">
      <c r="B36" s="4"/>
      <c r="C36" s="4"/>
      <c r="D36" s="2"/>
      <c r="H36" s="17"/>
      <c r="I36" s="18">
        <f>I35/H35-1</f>
        <v>0.16335246927476721</v>
      </c>
      <c r="J36" s="18">
        <f>J35/I35-1</f>
        <v>1.9428516547067343E-2</v>
      </c>
      <c r="K36" s="18">
        <f>K35/J35-1</f>
        <v>7.4335016829872202E-2</v>
      </c>
      <c r="L36" s="18">
        <f>L35/K35-1</f>
        <v>-1.9109563009137576E-3</v>
      </c>
      <c r="M36" s="21">
        <f>((L35/H35)^(1/4)-1)*0.27+0.73*($E$37*M38+$E$41*M42+$E$43*M44)</f>
        <v>2.7414785497726274E-2</v>
      </c>
      <c r="N36" s="21">
        <f>((M35/I35)^(1/4)-1)*0.999+0.001*($E$37*N38+$E$41*N42+$E$43*N44)</f>
        <v>2.9451537392771482E-2</v>
      </c>
      <c r="O36" s="21">
        <f>((N35/J35)^(1/4)-1)*0.2+0.8*($E$37*O38+$E$41*O42+$E$43*O44)</f>
        <v>2.4287651895009831E-2</v>
      </c>
      <c r="P36" s="21">
        <f>((O35/J35)^(1/5)-1)*0.28+0.72*($E$37*P38+$E$41*P42+$E$43*P44)</f>
        <v>2.7668254506245049E-2</v>
      </c>
      <c r="Q36" s="21">
        <f>((P35/K35)^(1/5)-1)*0.9+0.1*($E$37*Q38+$E$41*Q42+$E$43*Q44)</f>
        <v>2.1167328270164449E-2</v>
      </c>
      <c r="R36" s="32"/>
      <c r="S36" s="32"/>
      <c r="T36" s="32"/>
      <c r="U36" s="32"/>
      <c r="V36" s="32"/>
    </row>
    <row r="37" spans="1:22" ht="15" customHeight="1">
      <c r="A37" s="23"/>
      <c r="B37" s="23"/>
      <c r="C37" s="23"/>
      <c r="D37" s="23" t="s">
        <v>479</v>
      </c>
      <c r="E37" s="220">
        <f>R38/$R$45</f>
        <v>0.57111548383955502</v>
      </c>
      <c r="F37" s="25"/>
      <c r="G37" s="25"/>
      <c r="H37" s="26">
        <f>H23</f>
        <v>22751</v>
      </c>
      <c r="I37" s="26">
        <f t="shared" ref="I37:Q37" si="24">I23</f>
        <v>25913</v>
      </c>
      <c r="J37" s="26">
        <f t="shared" si="24"/>
        <v>26361</v>
      </c>
      <c r="K37" s="26">
        <f t="shared" si="24"/>
        <v>28640</v>
      </c>
      <c r="L37" s="26">
        <f t="shared" si="24"/>
        <v>28051</v>
      </c>
      <c r="M37" s="26">
        <f t="shared" si="24"/>
        <v>28487.254433838923</v>
      </c>
      <c r="N37" s="26">
        <f t="shared" si="24"/>
        <v>28775.07568982428</v>
      </c>
      <c r="O37" s="26">
        <f t="shared" si="24"/>
        <v>29108.880889999713</v>
      </c>
      <c r="P37" s="26">
        <f t="shared" si="24"/>
        <v>29644.724427262969</v>
      </c>
      <c r="Q37" s="26">
        <f t="shared" si="24"/>
        <v>30057.585643225801</v>
      </c>
    </row>
    <row r="38" spans="1:22" ht="15" customHeight="1">
      <c r="A38" s="28"/>
      <c r="B38" s="28"/>
      <c r="C38" s="28"/>
      <c r="D38" s="28" t="s">
        <v>184</v>
      </c>
      <c r="E38" s="30"/>
      <c r="F38" s="28"/>
      <c r="G38" s="28"/>
      <c r="H38" s="28"/>
      <c r="I38" s="30">
        <f t="shared" ref="I38:Q38" si="25">I37/H37-1</f>
        <v>0.13898290185046802</v>
      </c>
      <c r="J38" s="30">
        <f t="shared" si="25"/>
        <v>1.7288619611777856E-2</v>
      </c>
      <c r="K38" s="30">
        <f t="shared" si="25"/>
        <v>8.6453472933500253E-2</v>
      </c>
      <c r="L38" s="30">
        <f t="shared" si="25"/>
        <v>-2.0565642458100553E-2</v>
      </c>
      <c r="M38" s="30">
        <f t="shared" si="25"/>
        <v>1.5552188294140068E-2</v>
      </c>
      <c r="N38" s="30">
        <f t="shared" si="25"/>
        <v>1.0103509857498416E-2</v>
      </c>
      <c r="O38" s="30">
        <f t="shared" si="25"/>
        <v>1.1600497728437853E-2</v>
      </c>
      <c r="P38" s="30">
        <f t="shared" si="25"/>
        <v>1.8408249334221027E-2</v>
      </c>
      <c r="Q38" s="30">
        <f t="shared" si="25"/>
        <v>1.3926970951470219E-2</v>
      </c>
      <c r="R38" s="1">
        <f>CORREL(I37:L37,$I$35:$L$35)</f>
        <v>0.98587204608053602</v>
      </c>
    </row>
    <row r="39" spans="1:22" ht="15" customHeight="1">
      <c r="A39" s="25"/>
      <c r="B39" s="25"/>
      <c r="C39" s="25"/>
      <c r="D39" s="392" t="s">
        <v>476</v>
      </c>
      <c r="E39" s="220"/>
      <c r="F39" s="25"/>
      <c r="G39" s="25"/>
      <c r="H39" s="26">
        <f>H98</f>
        <v>0</v>
      </c>
      <c r="I39" s="26">
        <f t="shared" ref="I39:Q39" si="26">I98</f>
        <v>0</v>
      </c>
      <c r="J39" s="26">
        <f t="shared" si="26"/>
        <v>0</v>
      </c>
      <c r="K39" s="26">
        <f t="shared" si="26"/>
        <v>0</v>
      </c>
      <c r="L39" s="26">
        <f t="shared" si="26"/>
        <v>0</v>
      </c>
      <c r="M39" s="26">
        <f t="shared" si="26"/>
        <v>0</v>
      </c>
      <c r="N39" s="26">
        <f t="shared" si="26"/>
        <v>0</v>
      </c>
      <c r="O39" s="26">
        <f t="shared" si="26"/>
        <v>0</v>
      </c>
      <c r="P39" s="26">
        <f t="shared" si="26"/>
        <v>0</v>
      </c>
      <c r="Q39" s="26">
        <f t="shared" si="26"/>
        <v>0</v>
      </c>
    </row>
    <row r="40" spans="1:22" ht="15" customHeight="1">
      <c r="A40" s="28"/>
      <c r="B40" s="28"/>
      <c r="C40" s="28"/>
      <c r="D40" s="28" t="s">
        <v>184</v>
      </c>
      <c r="E40" s="30"/>
      <c r="F40" s="28"/>
      <c r="G40" s="28"/>
      <c r="H40" s="28"/>
      <c r="I40" s="29" t="e">
        <f t="shared" ref="I40:Q40" si="27">I39/H39-1</f>
        <v>#DIV/0!</v>
      </c>
      <c r="J40" s="29" t="e">
        <f t="shared" si="27"/>
        <v>#DIV/0!</v>
      </c>
      <c r="K40" s="29" t="e">
        <f t="shared" si="27"/>
        <v>#DIV/0!</v>
      </c>
      <c r="L40" s="29" t="e">
        <f t="shared" si="27"/>
        <v>#DIV/0!</v>
      </c>
      <c r="M40" s="29" t="e">
        <f t="shared" si="27"/>
        <v>#DIV/0!</v>
      </c>
      <c r="N40" s="29" t="e">
        <f t="shared" si="27"/>
        <v>#DIV/0!</v>
      </c>
      <c r="O40" s="29" t="e">
        <f t="shared" si="27"/>
        <v>#DIV/0!</v>
      </c>
      <c r="P40" s="29" t="e">
        <f t="shared" si="27"/>
        <v>#DIV/0!</v>
      </c>
      <c r="Q40" s="29" t="e">
        <f t="shared" si="27"/>
        <v>#DIV/0!</v>
      </c>
    </row>
    <row r="41" spans="1:22" ht="15" customHeight="1">
      <c r="A41" s="25"/>
      <c r="B41" s="25"/>
      <c r="C41" s="25"/>
      <c r="D41" s="25" t="s">
        <v>477</v>
      </c>
      <c r="E41" s="220">
        <f>R42/$R$45</f>
        <v>0.29580932826452655</v>
      </c>
      <c r="F41" s="25"/>
      <c r="G41" s="25"/>
      <c r="H41" s="26">
        <f>H74</f>
        <v>44703.387204510167</v>
      </c>
      <c r="I41" s="26">
        <f t="shared" ref="I41:Q41" si="28">I74</f>
        <v>43746</v>
      </c>
      <c r="J41" s="26">
        <f t="shared" si="28"/>
        <v>49621</v>
      </c>
      <c r="K41" s="26">
        <f t="shared" si="28"/>
        <v>49762</v>
      </c>
      <c r="L41" s="26">
        <f t="shared" si="28"/>
        <v>53029.089521389207</v>
      </c>
      <c r="M41" s="26">
        <f t="shared" si="28"/>
        <v>53820.253800939783</v>
      </c>
      <c r="N41" s="26">
        <f t="shared" si="28"/>
        <v>58076.60372716315</v>
      </c>
      <c r="O41" s="26">
        <f t="shared" si="28"/>
        <v>60276.225970644089</v>
      </c>
      <c r="P41" s="26">
        <f t="shared" si="28"/>
        <v>62596.910837933516</v>
      </c>
      <c r="Q41" s="26">
        <f t="shared" si="28"/>
        <v>64234.150773087502</v>
      </c>
    </row>
    <row r="42" spans="1:22" ht="15" customHeight="1">
      <c r="A42" s="28"/>
      <c r="B42" s="28"/>
      <c r="C42" s="28"/>
      <c r="D42" s="28" t="s">
        <v>184</v>
      </c>
      <c r="E42" s="30"/>
      <c r="F42" s="28"/>
      <c r="G42" s="28"/>
      <c r="H42" s="29"/>
      <c r="I42" s="29">
        <f t="shared" ref="I42:Q42" si="29">I41/H41-1</f>
        <v>-2.1416435406343748E-2</v>
      </c>
      <c r="J42" s="29">
        <f t="shared" si="29"/>
        <v>0.13429799295935618</v>
      </c>
      <c r="K42" s="29">
        <f t="shared" si="29"/>
        <v>2.8415388645937067E-3</v>
      </c>
      <c r="L42" s="29">
        <f t="shared" si="29"/>
        <v>6.5654304919199546E-2</v>
      </c>
      <c r="M42" s="29">
        <f t="shared" si="29"/>
        <v>1.4919439249121202E-2</v>
      </c>
      <c r="N42" s="29">
        <f t="shared" si="29"/>
        <v>7.9084538359219803E-2</v>
      </c>
      <c r="O42" s="29">
        <f t="shared" si="29"/>
        <v>3.7874498547030955E-2</v>
      </c>
      <c r="P42" s="29">
        <f t="shared" si="29"/>
        <v>3.8500832291982867E-2</v>
      </c>
      <c r="Q42" s="29">
        <f t="shared" si="29"/>
        <v>2.615528327576544E-2</v>
      </c>
      <c r="R42" s="1">
        <f>CORREL(J41:L41,$J$35:$L$35)</f>
        <v>0.51063253572684819</v>
      </c>
    </row>
    <row r="43" spans="1:22" ht="15" customHeight="1">
      <c r="A43" s="25"/>
      <c r="B43" s="25"/>
      <c r="C43" s="25"/>
      <c r="D43" s="25" t="s">
        <v>478</v>
      </c>
      <c r="E43" s="220">
        <f>1-SUM(E37:E41)</f>
        <v>0.13307518789591843</v>
      </c>
      <c r="F43" s="25"/>
      <c r="G43" s="25"/>
      <c r="H43" s="26">
        <f>H76</f>
        <v>11898.616828673697</v>
      </c>
      <c r="I43" s="26">
        <f t="shared" ref="I43:Q43" si="30">I76</f>
        <v>11934.567320795655</v>
      </c>
      <c r="J43" s="26">
        <f t="shared" si="30"/>
        <v>12188.582446974848</v>
      </c>
      <c r="K43" s="26">
        <f t="shared" si="30"/>
        <v>12913.717532142466</v>
      </c>
      <c r="L43" s="26">
        <f t="shared" si="30"/>
        <v>13691.84462910271</v>
      </c>
      <c r="M43" s="26">
        <f t="shared" si="30"/>
        <v>13831.251424872553</v>
      </c>
      <c r="N43" s="26">
        <f t="shared" si="30"/>
        <v>14600.537820483689</v>
      </c>
      <c r="O43" s="26">
        <f t="shared" si="30"/>
        <v>15098.577292013004</v>
      </c>
      <c r="P43" s="26">
        <f t="shared" si="30"/>
        <v>15631.143461696287</v>
      </c>
      <c r="Q43" s="26">
        <f t="shared" si="30"/>
        <v>16119.627268578632</v>
      </c>
    </row>
    <row r="44" spans="1:22" ht="15" customHeight="1">
      <c r="A44" s="28"/>
      <c r="B44" s="28"/>
      <c r="C44" s="28"/>
      <c r="D44" s="28" t="s">
        <v>184</v>
      </c>
      <c r="E44" s="28"/>
      <c r="F44" s="28"/>
      <c r="G44" s="28"/>
      <c r="H44" s="29"/>
      <c r="I44" s="29">
        <f t="shared" ref="I44:Q44" si="31">I43/H43-1</f>
        <v>3.0214009442948164E-3</v>
      </c>
      <c r="J44" s="29">
        <f t="shared" si="31"/>
        <v>2.1283982850101246E-2</v>
      </c>
      <c r="K44" s="29">
        <f t="shared" si="31"/>
        <v>5.9492979460264772E-2</v>
      </c>
      <c r="L44" s="29">
        <f t="shared" si="31"/>
        <v>6.0255855451652351E-2</v>
      </c>
      <c r="M44" s="29">
        <f t="shared" si="31"/>
        <v>1.0181739535192191E-2</v>
      </c>
      <c r="N44" s="29">
        <f t="shared" si="31"/>
        <v>5.5619435435013465E-2</v>
      </c>
      <c r="O44" s="29">
        <f t="shared" si="31"/>
        <v>3.4111036021604368E-2</v>
      </c>
      <c r="P44" s="29">
        <f t="shared" si="31"/>
        <v>3.5272606112696892E-2</v>
      </c>
      <c r="Q44" s="29">
        <f t="shared" si="31"/>
        <v>3.1250676451109349E-2</v>
      </c>
      <c r="R44" s="1">
        <f>CORREL(J44:L44,$J$36:$L$36)</f>
        <v>0.22971730146675171</v>
      </c>
    </row>
    <row r="45" spans="1:22" ht="15" customHeight="1">
      <c r="B45" s="4"/>
      <c r="C45" s="4"/>
      <c r="D45" s="2"/>
      <c r="E45" s="32">
        <f>SUM(E37:E43)</f>
        <v>1</v>
      </c>
      <c r="H45" s="17"/>
      <c r="I45" s="18"/>
      <c r="J45" s="18"/>
      <c r="K45" s="18"/>
      <c r="L45" s="18"/>
      <c r="M45" s="17"/>
      <c r="N45" s="17"/>
      <c r="O45" s="17"/>
      <c r="P45" s="17"/>
      <c r="Q45" s="17"/>
      <c r="R45" s="1">
        <f>SUM(R38:R44)</f>
        <v>1.7262218832741361</v>
      </c>
    </row>
    <row r="46" spans="1:22" ht="15" customHeight="1">
      <c r="B46" s="4"/>
      <c r="C46" s="4"/>
      <c r="D46" s="2"/>
      <c r="H46" s="17"/>
      <c r="I46" s="18"/>
      <c r="J46" s="18"/>
      <c r="K46" s="18"/>
      <c r="L46" s="18"/>
      <c r="M46" s="17"/>
      <c r="N46" s="17"/>
      <c r="O46" s="17"/>
      <c r="P46" s="17"/>
      <c r="Q46" s="17"/>
    </row>
    <row r="47" spans="1:22" ht="15" customHeight="1">
      <c r="A47" s="2" t="str">
        <f>Home!$B$1</f>
        <v>Hungary</v>
      </c>
      <c r="B47" s="2" t="s">
        <v>74</v>
      </c>
      <c r="C47" s="2" t="s">
        <v>71</v>
      </c>
      <c r="D47" s="2"/>
      <c r="E47" s="2"/>
      <c r="F47" s="2"/>
      <c r="G47" s="2"/>
      <c r="H47" s="39">
        <f>'Tourism Medium DB-LCU'!H145</f>
        <v>5.4766912037037034</v>
      </c>
      <c r="I47" s="39">
        <f>'Tourism Medium DB-LCU'!I145</f>
        <v>5.7094879532163745</v>
      </c>
      <c r="J47" s="39">
        <f>'Tourism Medium DB-LCU'!J145</f>
        <v>5.7664806451612902</v>
      </c>
      <c r="K47" s="39">
        <f>'Tourism Medium DB-LCU'!K145</f>
        <v>5.63500464219298</v>
      </c>
      <c r="L47" s="39">
        <f>'Tourism Medium DB-LCU'!L145</f>
        <v>5.7313842541650937</v>
      </c>
      <c r="M47" s="40">
        <f t="shared" ref="M47:Q47" si="32">L47*(1+M48)</f>
        <v>5.7950838320176565</v>
      </c>
      <c r="N47" s="40">
        <f t="shared" si="32"/>
        <v>5.8756570494572937</v>
      </c>
      <c r="O47" s="40">
        <f t="shared" si="32"/>
        <v>5.9367991067092172</v>
      </c>
      <c r="P47" s="40">
        <f t="shared" si="32"/>
        <v>6.0082453019187643</v>
      </c>
      <c r="Q47" s="40">
        <f t="shared" si="32"/>
        <v>6.0746729960399906</v>
      </c>
    </row>
    <row r="48" spans="1:22" ht="15" customHeight="1">
      <c r="I48" s="18">
        <f>I47/H47-1</f>
        <v>4.2506824075682514E-2</v>
      </c>
      <c r="J48" s="18">
        <f>J47/I47-1</f>
        <v>9.9821021450461345E-3</v>
      </c>
      <c r="K48" s="18">
        <f>K47/J47-1</f>
        <v>-2.2800042358354755E-2</v>
      </c>
      <c r="L48" s="18">
        <f>L47/K47-1</f>
        <v>1.7103732488604528E-2</v>
      </c>
      <c r="M48" s="21">
        <f>((L47/K47)^(1/1)-1)*0.9+0.1*($E$49*M50+$E$53*M54+$E$51*M52+$E$55*M56)</f>
        <v>1.1114169810944308E-2</v>
      </c>
      <c r="N48" s="21">
        <f>((M47/K47)^(1/2)-1)*0.999+0.001*($E$49*N50+$E$53*N54+$E$51*N52+$E$55*N56)</f>
        <v>1.3903719044489509E-2</v>
      </c>
      <c r="O48" s="21">
        <f>(((N47/H47)^(1/6)-1)*0.999+0.001*($E$49*O50+$E$53*O54+$E$51*O52+$E$55*O56))*0.9</f>
        <v>1.0405994893383182E-2</v>
      </c>
      <c r="P48" s="21">
        <f>(((O47/M47)^(1/2)-1)*0.999+0.001*($E$49*P50+$E$53*P54+$E$51*P52+$E$55*P56))</f>
        <v>1.2034464014254075E-2</v>
      </c>
      <c r="Q48" s="21">
        <f>(((P47/N47)^(1/2)-1)*0.999+0.001*($E$49*Q50+$E$53*Q54+$E$51*Q52+$E$55*Q56))</f>
        <v>1.1056088888383506E-2</v>
      </c>
    </row>
    <row r="49" spans="1:18" ht="15" customHeight="1">
      <c r="A49" s="23"/>
      <c r="B49" s="23"/>
      <c r="C49" s="23"/>
      <c r="D49" s="23" t="s">
        <v>480</v>
      </c>
      <c r="E49" s="41">
        <f>R50/$R$57</f>
        <v>1.1790999909446938</v>
      </c>
      <c r="F49" s="25"/>
      <c r="G49" s="25"/>
      <c r="H49" s="394">
        <f>(H35*1000000)/H37</f>
        <v>259.51210484988741</v>
      </c>
      <c r="I49" s="394">
        <f t="shared" ref="I49:Q49" si="33">(I35*1000000)/I37</f>
        <v>265.06460061280575</v>
      </c>
      <c r="J49" s="394">
        <f t="shared" si="33"/>
        <v>265.62217190139592</v>
      </c>
      <c r="K49" s="394">
        <f t="shared" si="33"/>
        <v>262.65938452896836</v>
      </c>
      <c r="L49" s="394">
        <f t="shared" si="33"/>
        <v>267.66209690769779</v>
      </c>
      <c r="M49" s="394">
        <f t="shared" si="33"/>
        <v>270.78863996366493</v>
      </c>
      <c r="N49" s="394">
        <f t="shared" si="33"/>
        <v>275.97546092916707</v>
      </c>
      <c r="O49" s="394">
        <f t="shared" si="33"/>
        <v>279.43665260202749</v>
      </c>
      <c r="P49" s="394">
        <f t="shared" si="33"/>
        <v>281.97746553244065</v>
      </c>
      <c r="Q49" s="394">
        <f t="shared" si="33"/>
        <v>283.9910401435971</v>
      </c>
    </row>
    <row r="50" spans="1:18" ht="15" customHeight="1">
      <c r="A50" s="28"/>
      <c r="B50" s="28"/>
      <c r="C50" s="28"/>
      <c r="D50" s="28" t="s">
        <v>184</v>
      </c>
      <c r="E50" s="28"/>
      <c r="F50" s="28"/>
      <c r="G50" s="28"/>
      <c r="H50" s="28"/>
      <c r="I50" s="30">
        <f t="shared" ref="I50:Q50" si="34">I49/H49-1</f>
        <v>2.1395902769661301E-2</v>
      </c>
      <c r="J50" s="30">
        <f t="shared" si="34"/>
        <v>2.103529808586746E-3</v>
      </c>
      <c r="K50" s="30">
        <f t="shared" si="34"/>
        <v>-1.1154141806834605E-2</v>
      </c>
      <c r="L50" s="30">
        <f t="shared" si="34"/>
        <v>1.9046387349535898E-2</v>
      </c>
      <c r="M50" s="30">
        <f t="shared" si="34"/>
        <v>1.1680933132065086E-2</v>
      </c>
      <c r="N50" s="30">
        <f t="shared" si="34"/>
        <v>1.9154499857151119E-2</v>
      </c>
      <c r="O50" s="30">
        <f t="shared" si="34"/>
        <v>1.2541664614698522E-2</v>
      </c>
      <c r="P50" s="30">
        <f t="shared" si="34"/>
        <v>9.0926258483055022E-3</v>
      </c>
      <c r="Q50" s="30">
        <f t="shared" si="34"/>
        <v>7.1409061265033102E-3</v>
      </c>
      <c r="R50" s="1">
        <f>CORREL(J49:L49,$J$48:$L$48)</f>
        <v>0.96906266524033036</v>
      </c>
    </row>
    <row r="51" spans="1:18" ht="15" customHeight="1">
      <c r="A51" s="25"/>
      <c r="B51" s="25"/>
      <c r="C51" s="25"/>
      <c r="D51" s="25" t="s">
        <v>481</v>
      </c>
      <c r="E51" s="41">
        <f>R52/$R$57</f>
        <v>-0.94983094011189073</v>
      </c>
      <c r="F51" s="25"/>
      <c r="G51" s="25"/>
      <c r="H51" s="26">
        <f t="shared" ref="H51:Q51" si="35">H6/H9</f>
        <v>0.93762993172489284</v>
      </c>
      <c r="I51" s="26">
        <f t="shared" si="35"/>
        <v>0.49653988342637945</v>
      </c>
      <c r="J51" s="26">
        <f t="shared" si="35"/>
        <v>0.68762624097361491</v>
      </c>
      <c r="K51" s="26">
        <f t="shared" si="35"/>
        <v>1.3047141687460651</v>
      </c>
      <c r="L51" s="26">
        <f t="shared" si="35"/>
        <v>1.2789524031172359</v>
      </c>
      <c r="M51" s="26">
        <f t="shared" si="35"/>
        <v>1.3700390247199952</v>
      </c>
      <c r="N51" s="26">
        <f t="shared" si="35"/>
        <v>1.7576575549944913</v>
      </c>
      <c r="O51" s="26">
        <f t="shared" si="35"/>
        <v>2.2344024209882249</v>
      </c>
      <c r="P51" s="26">
        <f t="shared" si="35"/>
        <v>2.5793451146384752</v>
      </c>
      <c r="Q51" s="26">
        <f t="shared" si="35"/>
        <v>3.07101893400369</v>
      </c>
    </row>
    <row r="52" spans="1:18" ht="15" customHeight="1">
      <c r="A52" s="28"/>
      <c r="B52" s="28"/>
      <c r="C52" s="28"/>
      <c r="D52" s="28" t="s">
        <v>184</v>
      </c>
      <c r="E52" s="28"/>
      <c r="F52" s="28"/>
      <c r="G52" s="28"/>
      <c r="H52" s="28"/>
      <c r="I52" s="29">
        <f t="shared" ref="I52:Q52" si="36">I51/H51-1</f>
        <v>-0.47043085270013785</v>
      </c>
      <c r="J52" s="29">
        <f t="shared" si="36"/>
        <v>0.38483586903159073</v>
      </c>
      <c r="K52" s="29">
        <f t="shared" si="36"/>
        <v>0.89741765366416337</v>
      </c>
      <c r="L52" s="29">
        <f t="shared" si="36"/>
        <v>-1.9745141308297631E-2</v>
      </c>
      <c r="M52" s="29">
        <f t="shared" si="36"/>
        <v>7.1219711836617794E-2</v>
      </c>
      <c r="N52" s="29">
        <f t="shared" si="36"/>
        <v>0.28292517459764799</v>
      </c>
      <c r="O52" s="29">
        <f t="shared" si="36"/>
        <v>0.27123876584436712</v>
      </c>
      <c r="P52" s="29">
        <f t="shared" si="36"/>
        <v>0.15437805223004109</v>
      </c>
      <c r="Q52" s="29">
        <f t="shared" si="36"/>
        <v>0.19061963309013374</v>
      </c>
      <c r="R52" s="1">
        <f>CORREL(I51:K51,$I$47:$K$47)</f>
        <v>-0.78063413571490003</v>
      </c>
    </row>
    <row r="53" spans="1:18" ht="15" customHeight="1">
      <c r="A53" s="25"/>
      <c r="B53" s="25"/>
      <c r="C53" s="25"/>
      <c r="D53" s="25" t="s">
        <v>477</v>
      </c>
      <c r="E53" s="41">
        <f>R54/$R$57</f>
        <v>0.74131602852726808</v>
      </c>
      <c r="F53" s="25"/>
      <c r="G53" s="25"/>
      <c r="H53" s="26">
        <f>H41</f>
        <v>44703.387204510167</v>
      </c>
      <c r="I53" s="26">
        <f t="shared" ref="I53:Q53" si="37">I41</f>
        <v>43746</v>
      </c>
      <c r="J53" s="26">
        <f t="shared" si="37"/>
        <v>49621</v>
      </c>
      <c r="K53" s="26">
        <f t="shared" si="37"/>
        <v>49762</v>
      </c>
      <c r="L53" s="26">
        <f t="shared" si="37"/>
        <v>53029.089521389207</v>
      </c>
      <c r="M53" s="26">
        <f t="shared" si="37"/>
        <v>53820.253800939783</v>
      </c>
      <c r="N53" s="26">
        <f t="shared" si="37"/>
        <v>58076.60372716315</v>
      </c>
      <c r="O53" s="26">
        <f t="shared" si="37"/>
        <v>60276.225970644089</v>
      </c>
      <c r="P53" s="26">
        <f t="shared" si="37"/>
        <v>62596.910837933516</v>
      </c>
      <c r="Q53" s="26">
        <f t="shared" si="37"/>
        <v>64234.150773087502</v>
      </c>
    </row>
    <row r="54" spans="1:18" ht="15" customHeight="1">
      <c r="A54" s="28"/>
      <c r="B54" s="28"/>
      <c r="C54" s="28"/>
      <c r="D54" s="28" t="s">
        <v>184</v>
      </c>
      <c r="E54" s="28"/>
      <c r="F54" s="28"/>
      <c r="G54" s="28"/>
      <c r="H54" s="29"/>
      <c r="I54" s="29">
        <f t="shared" ref="I54:Q54" si="38">I53/H53-1</f>
        <v>-2.1416435406343748E-2</v>
      </c>
      <c r="J54" s="29">
        <f t="shared" si="38"/>
        <v>0.13429799295935618</v>
      </c>
      <c r="K54" s="29">
        <f t="shared" si="38"/>
        <v>2.8415388645937067E-3</v>
      </c>
      <c r="L54" s="29">
        <f t="shared" si="38"/>
        <v>6.5654304919199546E-2</v>
      </c>
      <c r="M54" s="29">
        <f t="shared" si="38"/>
        <v>1.4919439249121202E-2</v>
      </c>
      <c r="N54" s="29">
        <f t="shared" si="38"/>
        <v>7.9084538359219803E-2</v>
      </c>
      <c r="O54" s="29">
        <f t="shared" si="38"/>
        <v>3.7874498547030955E-2</v>
      </c>
      <c r="P54" s="29">
        <f t="shared" si="38"/>
        <v>3.8500832291982867E-2</v>
      </c>
      <c r="Q54" s="29">
        <f t="shared" si="38"/>
        <v>2.615528327576544E-2</v>
      </c>
      <c r="R54" s="395">
        <f>CORREL(J53:L53,$J$48:$L$48)</f>
        <v>0.60926273590626057</v>
      </c>
    </row>
    <row r="55" spans="1:18" ht="15" customHeight="1">
      <c r="A55" s="25"/>
      <c r="B55" s="25"/>
      <c r="C55" s="25"/>
      <c r="D55" s="25" t="s">
        <v>482</v>
      </c>
      <c r="E55" s="41">
        <f>R56/$R$57</f>
        <v>2.9414920639928982E-2</v>
      </c>
      <c r="F55" s="25"/>
      <c r="G55" s="25" t="s">
        <v>179</v>
      </c>
      <c r="H55" s="26">
        <f>H96</f>
        <v>2876.3995609220638</v>
      </c>
      <c r="I55" s="26">
        <f t="shared" ref="I55:Q55" si="39">I96</f>
        <v>3041.0431808465155</v>
      </c>
      <c r="J55" s="26">
        <f t="shared" si="39"/>
        <v>2902.8479095132298</v>
      </c>
      <c r="K55" s="26">
        <f t="shared" si="39"/>
        <v>3139.4326807830603</v>
      </c>
      <c r="L55" s="26">
        <f t="shared" si="39"/>
        <v>3281.0750766546753</v>
      </c>
      <c r="M55" s="26">
        <f t="shared" si="39"/>
        <v>3283.5049591827351</v>
      </c>
      <c r="N55" s="26">
        <f t="shared" si="39"/>
        <v>3374.3449226715047</v>
      </c>
      <c r="O55" s="26">
        <f t="shared" si="39"/>
        <v>3416.5305306847436</v>
      </c>
      <c r="P55" s="26">
        <f t="shared" si="39"/>
        <v>3491.0914062847037</v>
      </c>
      <c r="Q55" s="26">
        <f t="shared" si="39"/>
        <v>3568.7583811955787</v>
      </c>
    </row>
    <row r="56" spans="1:18" ht="15" customHeight="1">
      <c r="A56" s="28"/>
      <c r="B56" s="28"/>
      <c r="C56" s="28"/>
      <c r="D56" s="28" t="s">
        <v>184</v>
      </c>
      <c r="E56" s="28"/>
      <c r="F56" s="28"/>
      <c r="G56" s="28"/>
      <c r="H56" s="29"/>
      <c r="I56" s="29">
        <f t="shared" ref="I56:Q56" si="40">I55/H55-1</f>
        <v>5.7239481663553526E-2</v>
      </c>
      <c r="J56" s="29">
        <f t="shared" si="40"/>
        <v>-4.5443376866098006E-2</v>
      </c>
      <c r="K56" s="29">
        <f t="shared" si="40"/>
        <v>8.1500918630457164E-2</v>
      </c>
      <c r="L56" s="29">
        <f t="shared" si="40"/>
        <v>4.5117194816321149E-2</v>
      </c>
      <c r="M56" s="29">
        <f t="shared" si="40"/>
        <v>7.4057510763725354E-4</v>
      </c>
      <c r="N56" s="29">
        <f t="shared" si="40"/>
        <v>2.7665547827093739E-2</v>
      </c>
      <c r="O56" s="29">
        <f t="shared" si="40"/>
        <v>1.2501865985840022E-2</v>
      </c>
      <c r="P56" s="29">
        <f t="shared" si="40"/>
        <v>2.1823564850455668E-2</v>
      </c>
      <c r="Q56" s="29">
        <f t="shared" si="40"/>
        <v>2.224719031161948E-2</v>
      </c>
      <c r="R56" s="395">
        <f>CORREL(J55:L55,$J$48:$L$48)</f>
        <v>2.4175134943665199E-2</v>
      </c>
    </row>
    <row r="57" spans="1:18" ht="15" customHeight="1">
      <c r="E57" s="43">
        <f>SUM(E49:E55)</f>
        <v>1</v>
      </c>
      <c r="I57" s="18"/>
      <c r="J57" s="18"/>
      <c r="K57" s="18"/>
      <c r="L57" s="18"/>
      <c r="R57" s="1">
        <f>SUM(R50:R56)</f>
        <v>0.82186640037535608</v>
      </c>
    </row>
    <row r="58" spans="1:18" ht="15" customHeight="1">
      <c r="A58" s="2" t="str">
        <f>Home!$B$1</f>
        <v>Hungary</v>
      </c>
      <c r="B58" s="2" t="s">
        <v>74</v>
      </c>
      <c r="C58" s="2" t="s">
        <v>72</v>
      </c>
      <c r="D58" s="2"/>
      <c r="E58" s="2"/>
      <c r="F58" s="2"/>
      <c r="G58" s="2"/>
      <c r="H58" s="37">
        <f>'Tourism Medium DB-LCU'!H146</f>
        <v>0.71099206808188342</v>
      </c>
      <c r="I58" s="37">
        <f>'Tourism Medium DB-LCU'!I146</f>
        <v>0.72620438524056363</v>
      </c>
      <c r="J58" s="37">
        <f>'Tourism Medium DB-LCU'!J146</f>
        <v>0.72773197781204357</v>
      </c>
      <c r="K58" s="37">
        <f>'Tourism Medium DB-LCU'!K146</f>
        <v>0.71961475213415993</v>
      </c>
      <c r="L58" s="37">
        <f>'Tourism Medium DB-LCU'!L146</f>
        <v>0.73332081344574729</v>
      </c>
      <c r="M58" s="37">
        <f>M35*1000000/(M23*365)</f>
        <v>0.74188668483195874</v>
      </c>
      <c r="N58" s="37">
        <f>N35*1000000/(N23*365)</f>
        <v>0.75609715323059468</v>
      </c>
      <c r="O58" s="37">
        <f t="shared" ref="O58:Q58" si="41">O35*1000000/(O23*365)</f>
        <v>0.76557987014254103</v>
      </c>
      <c r="P58" s="37">
        <f t="shared" si="41"/>
        <v>0.77254100145874149</v>
      </c>
      <c r="Q58" s="37">
        <f t="shared" si="41"/>
        <v>0.77805764422903312</v>
      </c>
    </row>
    <row r="59" spans="1:18" ht="15" customHeight="1">
      <c r="B59" s="4"/>
      <c r="C59" s="4"/>
      <c r="D59" s="2"/>
      <c r="H59" s="17"/>
      <c r="I59" s="18">
        <f t="shared" ref="I59:Q59" si="42">I58/H58-1</f>
        <v>2.1395902769661079E-2</v>
      </c>
      <c r="J59" s="18">
        <f t="shared" si="42"/>
        <v>2.103529808586746E-3</v>
      </c>
      <c r="K59" s="18">
        <f t="shared" si="42"/>
        <v>-1.1154141806834494E-2</v>
      </c>
      <c r="L59" s="18">
        <f t="shared" si="42"/>
        <v>1.9046387349535676E-2</v>
      </c>
      <c r="M59" s="18">
        <f t="shared" si="42"/>
        <v>1.1680933132065308E-2</v>
      </c>
      <c r="N59" s="18">
        <f t="shared" si="42"/>
        <v>1.9154499857150897E-2</v>
      </c>
      <c r="O59" s="18">
        <f t="shared" si="42"/>
        <v>1.2541664614698522E-2</v>
      </c>
      <c r="P59" s="18">
        <f t="shared" si="42"/>
        <v>9.0926258483055022E-3</v>
      </c>
      <c r="Q59" s="18">
        <f t="shared" si="42"/>
        <v>7.1409061265030882E-3</v>
      </c>
    </row>
    <row r="60" spans="1:18" ht="15" customHeight="1">
      <c r="A60" s="2" t="str">
        <f>Home!$B$1</f>
        <v>Hungary</v>
      </c>
      <c r="B60" s="2" t="s">
        <v>74</v>
      </c>
      <c r="C60" s="2" t="s">
        <v>73</v>
      </c>
      <c r="D60" s="2"/>
      <c r="E60" s="2"/>
      <c r="F60" s="2"/>
      <c r="G60" s="2"/>
      <c r="H60" s="60">
        <f>'Tourism Medium DB-LCU'!H147</f>
        <v>342.10712340605517</v>
      </c>
      <c r="I60" s="60">
        <f>'Tourism Medium DB-LCU'!I147</f>
        <v>272.58440569153481</v>
      </c>
      <c r="J60" s="60">
        <f>'Tourism Medium DB-LCU'!J147</f>
        <v>300.33054589979861</v>
      </c>
      <c r="K60" s="60">
        <f>'Tourism Medium DB-LCU'!K147</f>
        <v>293.35139469175215</v>
      </c>
      <c r="L60" s="60">
        <f>'Tourism Medium DB-LCU'!L147</f>
        <v>283.92081345008052</v>
      </c>
      <c r="M60" s="103">
        <f t="shared" ref="M60:Q60" si="43">L60*(1+M61)</f>
        <v>284.89249589418148</v>
      </c>
      <c r="N60" s="103">
        <f t="shared" si="43"/>
        <v>286.21502403531139</v>
      </c>
      <c r="O60" s="103">
        <f t="shared" si="43"/>
        <v>288.08691674595804</v>
      </c>
      <c r="P60" s="103">
        <f t="shared" si="43"/>
        <v>291.22936189395119</v>
      </c>
      <c r="Q60" s="103">
        <f t="shared" si="43"/>
        <v>295.0420422154744</v>
      </c>
    </row>
    <row r="61" spans="1:18" ht="15" customHeight="1">
      <c r="I61" s="396">
        <f>I60/H60-1</f>
        <v>-0.20321914674662345</v>
      </c>
      <c r="J61" s="396">
        <f>J60/I60-1</f>
        <v>0.10178916925886883</v>
      </c>
      <c r="K61" s="396">
        <f>K60/J60-1</f>
        <v>-2.3238233018012644E-2</v>
      </c>
      <c r="L61" s="396">
        <f>L60/K60-1</f>
        <v>-3.2147729352304921E-2</v>
      </c>
      <c r="M61" s="21">
        <f>(((L60/I60)^(1/3)-1)*0.1+0.9*($E$62*M63+$E$64*M65+$E$66*M67+$E$68*M69))</f>
        <v>3.4223713023836186E-3</v>
      </c>
      <c r="N61" s="21">
        <f>(((M60/J60)^(1/3)-1)*0.3+0.7*($E$62*N63+$E$64*N65+$E$66*N67+$E$68*N69))</f>
        <v>4.6422006904006594E-3</v>
      </c>
      <c r="O61" s="21">
        <f>(((N60/K60)^(1/3)-1)*0.001+0.999*($E$62*O63+$E$64*O65+$E$66*O67+$E$68*O69))</f>
        <v>6.5401623026459634E-3</v>
      </c>
      <c r="P61" s="21">
        <f>(((O60/L60)^(1/3)-1)*0.3+0.7*($E$62*P63+$E$64*P65+$E$66*P67+$E$68*P69))</f>
        <v>1.0907975910493169E-2</v>
      </c>
      <c r="Q61" s="21">
        <f>(((P60/M60)^(1/3)-1)*0.3+0.7*($E$62*Q63+$E$64*Q65+$E$66*Q67+$E$68*Q69))</f>
        <v>1.3091675567079596E-2</v>
      </c>
    </row>
    <row r="62" spans="1:18" ht="15" customHeight="1">
      <c r="A62" s="23"/>
      <c r="B62" s="23"/>
      <c r="C62" s="23"/>
      <c r="D62" s="23" t="s">
        <v>482</v>
      </c>
      <c r="E62" s="41">
        <v>0.4</v>
      </c>
      <c r="F62" s="25"/>
      <c r="G62" s="25"/>
      <c r="H62" s="394">
        <f>H96</f>
        <v>2876.3995609220638</v>
      </c>
      <c r="I62" s="394">
        <f t="shared" ref="I62:Q62" si="44">I96</f>
        <v>3041.0431808465155</v>
      </c>
      <c r="J62" s="394">
        <f t="shared" si="44"/>
        <v>2902.8479095132298</v>
      </c>
      <c r="K62" s="394">
        <f t="shared" si="44"/>
        <v>3139.4326807830603</v>
      </c>
      <c r="L62" s="394">
        <f t="shared" si="44"/>
        <v>3281.0750766546753</v>
      </c>
      <c r="M62" s="394">
        <f t="shared" si="44"/>
        <v>3283.5049591827351</v>
      </c>
      <c r="N62" s="394">
        <f t="shared" si="44"/>
        <v>3374.3449226715047</v>
      </c>
      <c r="O62" s="394">
        <f t="shared" si="44"/>
        <v>3416.5305306847436</v>
      </c>
      <c r="P62" s="394">
        <f t="shared" si="44"/>
        <v>3491.0914062847037</v>
      </c>
      <c r="Q62" s="394">
        <f t="shared" si="44"/>
        <v>3568.7583811955787</v>
      </c>
    </row>
    <row r="63" spans="1:18" ht="15" customHeight="1">
      <c r="A63" s="28"/>
      <c r="B63" s="28"/>
      <c r="C63" s="28"/>
      <c r="D63" s="28" t="s">
        <v>184</v>
      </c>
      <c r="E63" s="28"/>
      <c r="F63" s="28"/>
      <c r="G63" s="28"/>
      <c r="H63" s="28"/>
      <c r="I63" s="30">
        <f t="shared" ref="I63:Q63" si="45">I62/H62-1</f>
        <v>5.7239481663553526E-2</v>
      </c>
      <c r="J63" s="30">
        <f t="shared" si="45"/>
        <v>-4.5443376866098006E-2</v>
      </c>
      <c r="K63" s="30">
        <f t="shared" si="45"/>
        <v>8.1500918630457164E-2</v>
      </c>
      <c r="L63" s="30">
        <f t="shared" si="45"/>
        <v>4.5117194816321149E-2</v>
      </c>
      <c r="M63" s="30">
        <f t="shared" si="45"/>
        <v>7.4057510763725354E-4</v>
      </c>
      <c r="N63" s="30">
        <f t="shared" si="45"/>
        <v>2.7665547827093739E-2</v>
      </c>
      <c r="O63" s="30">
        <f t="shared" si="45"/>
        <v>1.2501865985840022E-2</v>
      </c>
      <c r="P63" s="30">
        <f t="shared" si="45"/>
        <v>2.1823564850455668E-2</v>
      </c>
      <c r="Q63" s="30">
        <f t="shared" si="45"/>
        <v>2.224719031161948E-2</v>
      </c>
      <c r="R63" s="1">
        <f>CORREL(H63:L63,$H$61:$L$61)</f>
        <v>-0.6800023373115337</v>
      </c>
    </row>
    <row r="64" spans="1:18" ht="15" customHeight="1">
      <c r="A64" s="25"/>
      <c r="B64" s="25"/>
      <c r="C64" s="25"/>
      <c r="D64" s="25" t="s">
        <v>483</v>
      </c>
      <c r="E64" s="41">
        <v>0.2</v>
      </c>
      <c r="F64" s="25"/>
      <c r="G64" s="25"/>
      <c r="H64" s="26">
        <f>H94</f>
        <v>598.50473887281441</v>
      </c>
      <c r="I64" s="26">
        <f t="shared" ref="I64:Q64" si="46">I94</f>
        <v>614.79983618306539</v>
      </c>
      <c r="J64" s="26">
        <f t="shared" si="46"/>
        <v>554.6675621222297</v>
      </c>
      <c r="K64" s="26">
        <f t="shared" si="46"/>
        <v>572.95111269997324</v>
      </c>
      <c r="L64" s="26">
        <f t="shared" si="46"/>
        <v>550.26841419585469</v>
      </c>
      <c r="M64" s="26">
        <f t="shared" si="46"/>
        <v>557.0695303477878</v>
      </c>
      <c r="N64" s="26">
        <f t="shared" si="46"/>
        <v>540.26545970461848</v>
      </c>
      <c r="O64" s="26">
        <f t="shared" si="46"/>
        <v>537.77761841319921</v>
      </c>
      <c r="P64" s="26">
        <f t="shared" si="46"/>
        <v>530.57170381499486</v>
      </c>
      <c r="Q64" s="26">
        <f t="shared" si="46"/>
        <v>528.42696134262837</v>
      </c>
    </row>
    <row r="65" spans="1:18" ht="15" customHeight="1">
      <c r="A65" s="28"/>
      <c r="B65" s="28"/>
      <c r="C65" s="28"/>
      <c r="D65" s="28" t="s">
        <v>184</v>
      </c>
      <c r="E65" s="28"/>
      <c r="F65" s="28"/>
      <c r="G65" s="28"/>
      <c r="H65" s="28"/>
      <c r="I65" s="29">
        <f t="shared" ref="I65:Q65" si="47">I64/H64-1</f>
        <v>2.7226346345962327E-2</v>
      </c>
      <c r="J65" s="29">
        <f t="shared" si="47"/>
        <v>-9.780788888000036E-2</v>
      </c>
      <c r="K65" s="29">
        <f t="shared" si="47"/>
        <v>3.2963078835525073E-2</v>
      </c>
      <c r="L65" s="29">
        <f t="shared" si="47"/>
        <v>-3.9589238944364169E-2</v>
      </c>
      <c r="M65" s="29">
        <f t="shared" si="47"/>
        <v>1.2359633910429046E-2</v>
      </c>
      <c r="N65" s="29">
        <f t="shared" si="47"/>
        <v>-3.0165122534485556E-2</v>
      </c>
      <c r="O65" s="29">
        <f t="shared" si="47"/>
        <v>-4.6048497950978984E-3</v>
      </c>
      <c r="P65" s="29">
        <f t="shared" si="47"/>
        <v>-1.3399431942643036E-2</v>
      </c>
      <c r="Q65" s="29">
        <f t="shared" si="47"/>
        <v>-4.0423235105547795E-3</v>
      </c>
      <c r="R65" s="6">
        <f>CORREL(J64:L64,$J$60:$L$60)</f>
        <v>0.26666504817667774</v>
      </c>
    </row>
    <row r="66" spans="1:18" ht="15" customHeight="1">
      <c r="A66" s="25"/>
      <c r="B66" s="25"/>
      <c r="C66" s="25"/>
      <c r="D66" s="25" t="s">
        <v>484</v>
      </c>
      <c r="E66" s="41">
        <v>0.35</v>
      </c>
      <c r="F66" s="25"/>
      <c r="G66" s="25"/>
      <c r="H66" s="26">
        <f>H82</f>
        <v>942.55619876643891</v>
      </c>
      <c r="I66" s="26">
        <f t="shared" ref="I66:Q66" si="48">I82</f>
        <v>1006.3808459243066</v>
      </c>
      <c r="J66" s="26">
        <f t="shared" si="48"/>
        <v>960.64750187214588</v>
      </c>
      <c r="K66" s="26">
        <f t="shared" si="48"/>
        <v>1039.9800969105343</v>
      </c>
      <c r="L66" s="26">
        <f t="shared" si="48"/>
        <v>1085.4048795486819</v>
      </c>
      <c r="M66" s="26">
        <f t="shared" si="48"/>
        <v>1083.2038691227249</v>
      </c>
      <c r="N66" s="26">
        <f t="shared" si="48"/>
        <v>1114.9074245076267</v>
      </c>
      <c r="O66" s="26">
        <f t="shared" si="48"/>
        <v>1123.9923547154262</v>
      </c>
      <c r="P66" s="26">
        <f t="shared" si="48"/>
        <v>1149.6876435742804</v>
      </c>
      <c r="Q66" s="26">
        <f t="shared" si="48"/>
        <v>1175.9960547148714</v>
      </c>
    </row>
    <row r="67" spans="1:18" ht="15" customHeight="1">
      <c r="A67" s="28"/>
      <c r="B67" s="28"/>
      <c r="C67" s="28"/>
      <c r="D67" s="28" t="s">
        <v>184</v>
      </c>
      <c r="E67" s="28"/>
      <c r="F67" s="28"/>
      <c r="G67" s="28"/>
      <c r="H67" s="29"/>
      <c r="I67" s="29">
        <f t="shared" ref="I67:Q67" si="49">I66/H66-1</f>
        <v>6.7714420892247773E-2</v>
      </c>
      <c r="J67" s="29">
        <f t="shared" si="49"/>
        <v>-4.5443376866098006E-2</v>
      </c>
      <c r="K67" s="29">
        <f t="shared" si="49"/>
        <v>8.2582419549087405E-2</v>
      </c>
      <c r="L67" s="29">
        <f t="shared" si="49"/>
        <v>4.3678511514875007E-2</v>
      </c>
      <c r="M67" s="29">
        <f t="shared" si="49"/>
        <v>-2.0278243330472678E-3</v>
      </c>
      <c r="N67" s="29">
        <f t="shared" si="49"/>
        <v>2.9268318078090161E-2</v>
      </c>
      <c r="O67" s="29">
        <f t="shared" si="49"/>
        <v>8.14859602519169E-3</v>
      </c>
      <c r="P67" s="29">
        <f t="shared" si="49"/>
        <v>2.2860732771941006E-2</v>
      </c>
      <c r="Q67" s="29">
        <f t="shared" si="49"/>
        <v>2.2883094628033396E-2</v>
      </c>
      <c r="R67" s="1">
        <f>CORREL(H66:J66,$H$60:$J$60)</f>
        <v>-0.93553874781045609</v>
      </c>
    </row>
    <row r="68" spans="1:18" ht="15" customHeight="1">
      <c r="A68" s="25"/>
      <c r="B68" s="25"/>
      <c r="C68" s="25"/>
      <c r="D68" s="25" t="s">
        <v>485</v>
      </c>
      <c r="E68" s="41">
        <f>1-SUM(E62:E66)</f>
        <v>4.9999999999999933E-2</v>
      </c>
      <c r="F68" s="25"/>
      <c r="G68" s="25" t="s">
        <v>179</v>
      </c>
      <c r="H68" s="26">
        <f>H84</f>
        <v>189.42911217211264</v>
      </c>
      <c r="I68" s="26">
        <f t="shared" ref="I68:Q68" si="50">I84</f>
        <v>184.9779288308014</v>
      </c>
      <c r="J68" s="26">
        <f t="shared" si="50"/>
        <v>166.38497123809833</v>
      </c>
      <c r="K68" s="26">
        <f t="shared" si="50"/>
        <v>172.21327122639042</v>
      </c>
      <c r="L68" s="26">
        <f t="shared" si="50"/>
        <v>164.87335449187768</v>
      </c>
      <c r="M68" s="26">
        <f t="shared" si="50"/>
        <v>165.61452806604507</v>
      </c>
      <c r="N68" s="26">
        <f t="shared" si="50"/>
        <v>161.73092289569632</v>
      </c>
      <c r="O68" s="26">
        <f t="shared" si="50"/>
        <v>160.51182050544367</v>
      </c>
      <c r="P68" s="26">
        <f t="shared" si="50"/>
        <v>158.73330763410473</v>
      </c>
      <c r="Q68" s="26">
        <f t="shared" si="50"/>
        <v>156.98279447379392</v>
      </c>
    </row>
    <row r="69" spans="1:18" ht="15" customHeight="1">
      <c r="A69" s="28"/>
      <c r="B69" s="28"/>
      <c r="C69" s="28"/>
      <c r="D69" s="28" t="s">
        <v>184</v>
      </c>
      <c r="E69" s="28"/>
      <c r="F69" s="28"/>
      <c r="G69" s="28"/>
      <c r="H69" s="29"/>
      <c r="I69" s="29">
        <f t="shared" ref="I69:Q69" si="51">I68/H68-1</f>
        <v>-2.3497884196738261E-2</v>
      </c>
      <c r="J69" s="29">
        <f t="shared" si="51"/>
        <v>-0.1005144652133606</v>
      </c>
      <c r="K69" s="29">
        <f t="shared" si="51"/>
        <v>3.5029004993195834E-2</v>
      </c>
      <c r="L69" s="29">
        <f t="shared" si="51"/>
        <v>-4.2621086529758379E-2</v>
      </c>
      <c r="M69" s="29">
        <f t="shared" si="51"/>
        <v>4.4954115020683361E-3</v>
      </c>
      <c r="N69" s="29">
        <f t="shared" si="51"/>
        <v>-2.3449664807184134E-2</v>
      </c>
      <c r="O69" s="29">
        <f t="shared" si="51"/>
        <v>-7.5378435269233268E-3</v>
      </c>
      <c r="P69" s="29">
        <f t="shared" si="51"/>
        <v>-1.1080261040828598E-2</v>
      </c>
      <c r="Q69" s="29">
        <f t="shared" si="51"/>
        <v>-1.102801413516763E-2</v>
      </c>
      <c r="R69" s="1">
        <f>CORREL(I69:L69,$I$60:$L$60)</f>
        <v>-0.28535266042546631</v>
      </c>
    </row>
    <row r="70" spans="1:18" ht="15" customHeight="1">
      <c r="E70" s="43">
        <f>SUM(E68,E66,E64,E62)</f>
        <v>0.99999999999999989</v>
      </c>
      <c r="I70" s="18"/>
      <c r="J70" s="18"/>
      <c r="K70" s="18"/>
      <c r="L70" s="18"/>
      <c r="M70" s="18"/>
      <c r="N70" s="18"/>
      <c r="O70" s="18"/>
      <c r="P70" s="18"/>
      <c r="Q70" s="18"/>
      <c r="R70" s="1">
        <f>SUM(R63:R69)</f>
        <v>-1.6342286973707785</v>
      </c>
    </row>
    <row r="74" spans="1:18" ht="15" customHeight="1">
      <c r="F74" s="25" t="s">
        <v>186</v>
      </c>
      <c r="G74" s="1" t="s">
        <v>178</v>
      </c>
      <c r="H74" s="60">
        <f t="shared" ref="H74:P74" si="52">H78+H80</f>
        <v>44703.387204510167</v>
      </c>
      <c r="I74" s="60">
        <f t="shared" si="52"/>
        <v>43746</v>
      </c>
      <c r="J74" s="60">
        <f t="shared" si="52"/>
        <v>49621</v>
      </c>
      <c r="K74" s="60">
        <f t="shared" si="52"/>
        <v>49762</v>
      </c>
      <c r="L74" s="60">
        <f t="shared" si="52"/>
        <v>53029.089521389207</v>
      </c>
      <c r="M74" s="60">
        <f t="shared" si="52"/>
        <v>53820.253800939783</v>
      </c>
      <c r="N74" s="60">
        <f t="shared" si="52"/>
        <v>58076.60372716315</v>
      </c>
      <c r="O74" s="60">
        <f t="shared" si="52"/>
        <v>60276.225970644089</v>
      </c>
      <c r="P74" s="60">
        <f t="shared" si="52"/>
        <v>62596.910837933516</v>
      </c>
      <c r="Q74" s="60">
        <f>Q78+Q80</f>
        <v>64234.150773087502</v>
      </c>
    </row>
    <row r="75" spans="1:18" ht="15" customHeight="1">
      <c r="F75" s="28" t="s">
        <v>184</v>
      </c>
      <c r="G75" s="58"/>
      <c r="H75" s="58"/>
      <c r="I75" s="59">
        <f t="shared" ref="I75:Q75" si="53">I74/H74-1</f>
        <v>-2.1416435406343748E-2</v>
      </c>
      <c r="J75" s="59">
        <f t="shared" si="53"/>
        <v>0.13429799295935618</v>
      </c>
      <c r="K75" s="59">
        <f t="shared" si="53"/>
        <v>2.8415388645937067E-3</v>
      </c>
      <c r="L75" s="59">
        <f t="shared" si="53"/>
        <v>6.5654304919199546E-2</v>
      </c>
      <c r="M75" s="59">
        <f t="shared" si="53"/>
        <v>1.4919439249121202E-2</v>
      </c>
      <c r="N75" s="59">
        <f t="shared" si="53"/>
        <v>7.9084538359219803E-2</v>
      </c>
      <c r="O75" s="59">
        <f t="shared" si="53"/>
        <v>3.7874498547030955E-2</v>
      </c>
      <c r="P75" s="59">
        <f t="shared" si="53"/>
        <v>3.8500832291982867E-2</v>
      </c>
      <c r="Q75" s="59">
        <f t="shared" si="53"/>
        <v>2.615528327576544E-2</v>
      </c>
    </row>
    <row r="76" spans="1:18" ht="15" customHeight="1">
      <c r="F76" s="61" t="s">
        <v>486</v>
      </c>
      <c r="G76" s="1" t="s">
        <v>198</v>
      </c>
      <c r="H76" s="62">
        <f>H86+H88</f>
        <v>11898.616828673697</v>
      </c>
      <c r="I76" s="62">
        <f t="shared" ref="I76:P76" si="54">I86+I88</f>
        <v>11934.567320795655</v>
      </c>
      <c r="J76" s="62">
        <f t="shared" si="54"/>
        <v>12188.582446974848</v>
      </c>
      <c r="K76" s="62">
        <f t="shared" si="54"/>
        <v>12913.717532142466</v>
      </c>
      <c r="L76" s="62">
        <f t="shared" si="54"/>
        <v>13691.84462910271</v>
      </c>
      <c r="M76" s="62">
        <f t="shared" si="54"/>
        <v>13831.251424872553</v>
      </c>
      <c r="N76" s="62">
        <f t="shared" si="54"/>
        <v>14600.537820483689</v>
      </c>
      <c r="O76" s="62">
        <f t="shared" si="54"/>
        <v>15098.577292013004</v>
      </c>
      <c r="P76" s="62">
        <f t="shared" si="54"/>
        <v>15631.143461696287</v>
      </c>
      <c r="Q76" s="62">
        <f>Q86+Q88</f>
        <v>16119.627268578632</v>
      </c>
    </row>
    <row r="77" spans="1:18" ht="15" customHeight="1">
      <c r="F77" s="28" t="s">
        <v>184</v>
      </c>
      <c r="G77" s="58"/>
      <c r="H77" s="58"/>
      <c r="I77" s="59">
        <f t="shared" ref="I77:Q77" si="55">I76/H76-1</f>
        <v>3.0214009442948164E-3</v>
      </c>
      <c r="J77" s="59">
        <f t="shared" si="55"/>
        <v>2.1283982850101246E-2</v>
      </c>
      <c r="K77" s="59">
        <f t="shared" si="55"/>
        <v>5.9492979460264772E-2</v>
      </c>
      <c r="L77" s="59">
        <f t="shared" si="55"/>
        <v>6.0255855451652351E-2</v>
      </c>
      <c r="M77" s="59">
        <f t="shared" si="55"/>
        <v>1.0181739535192191E-2</v>
      </c>
      <c r="N77" s="59">
        <f t="shared" si="55"/>
        <v>5.5619435435013465E-2</v>
      </c>
      <c r="O77" s="59">
        <f t="shared" si="55"/>
        <v>3.4111036021604368E-2</v>
      </c>
      <c r="P77" s="59">
        <f t="shared" si="55"/>
        <v>3.5272606112696892E-2</v>
      </c>
      <c r="Q77" s="59">
        <f t="shared" si="55"/>
        <v>3.1250676451109349E-2</v>
      </c>
    </row>
    <row r="78" spans="1:18" ht="15" customHeight="1">
      <c r="F78" s="63" t="s">
        <v>199</v>
      </c>
      <c r="G78" s="1" t="s">
        <v>200</v>
      </c>
      <c r="H78" s="626">
        <f>FORECAST(H90,I78:K78,I90:K90)</f>
        <v>40148.387204510167</v>
      </c>
      <c r="I78" s="57">
        <v>39068</v>
      </c>
      <c r="J78" s="57">
        <v>44670</v>
      </c>
      <c r="K78" s="57">
        <v>44756</v>
      </c>
      <c r="L78" s="626">
        <f>FORECAST(L90,I78:K78,I90:K90)</f>
        <v>47653.107689853547</v>
      </c>
      <c r="M78" s="626">
        <f t="shared" ref="M78:Q78" si="56">FORECAST(M90,J78:L78,J90:L90)</f>
        <v>48460.736998388602</v>
      </c>
      <c r="N78" s="626">
        <f t="shared" si="56"/>
        <v>52613.024744430106</v>
      </c>
      <c r="O78" s="626">
        <f t="shared" si="56"/>
        <v>54647.123632095543</v>
      </c>
      <c r="P78" s="626">
        <f t="shared" si="56"/>
        <v>56849.997433179247</v>
      </c>
      <c r="Q78" s="626">
        <f t="shared" si="56"/>
        <v>58310.802162157401</v>
      </c>
      <c r="R78" s="82" t="s">
        <v>774</v>
      </c>
    </row>
    <row r="79" spans="1:18" ht="15" customHeight="1">
      <c r="F79" s="58" t="s">
        <v>184</v>
      </c>
      <c r="G79" s="58"/>
      <c r="H79" s="58"/>
      <c r="I79" s="59">
        <f>I78/H78-1</f>
        <v>-2.690985316562855E-2</v>
      </c>
      <c r="J79" s="59">
        <f t="shared" ref="J79:Q79" si="57">J78/I78-1</f>
        <v>0.14339101054571524</v>
      </c>
      <c r="K79" s="59">
        <f t="shared" si="57"/>
        <v>1.9252294604881204E-3</v>
      </c>
      <c r="L79" s="59">
        <f t="shared" si="57"/>
        <v>6.4731157606880529E-2</v>
      </c>
      <c r="M79" s="59">
        <f t="shared" si="57"/>
        <v>1.6948093160921385E-2</v>
      </c>
      <c r="N79" s="59">
        <f t="shared" si="57"/>
        <v>8.568354513839882E-2</v>
      </c>
      <c r="O79" s="59">
        <f t="shared" si="57"/>
        <v>3.8661508201555783E-2</v>
      </c>
      <c r="P79" s="59">
        <f t="shared" si="57"/>
        <v>4.0310882891371413E-2</v>
      </c>
      <c r="Q79" s="59">
        <f t="shared" si="57"/>
        <v>2.5695774756985035E-2</v>
      </c>
    </row>
    <row r="80" spans="1:18" ht="15" customHeight="1">
      <c r="F80" s="66" t="s">
        <v>202</v>
      </c>
      <c r="G80" s="1" t="s">
        <v>200</v>
      </c>
      <c r="H80" s="626">
        <v>4555</v>
      </c>
      <c r="I80" s="57">
        <v>4678</v>
      </c>
      <c r="J80" s="57">
        <v>4951</v>
      </c>
      <c r="K80" s="57">
        <v>5006</v>
      </c>
      <c r="L80" s="626">
        <f>FORECAST(L92,H80:K80,H92:K92)</f>
        <v>5375.9818315356579</v>
      </c>
      <c r="M80" s="626">
        <f t="shared" ref="M80:Q80" si="58">FORECAST(M92,I80:L80,I92:L92)</f>
        <v>5359.5168025511812</v>
      </c>
      <c r="N80" s="626">
        <f t="shared" si="58"/>
        <v>5463.5789827330464</v>
      </c>
      <c r="O80" s="626">
        <f t="shared" si="58"/>
        <v>5629.1023385485478</v>
      </c>
      <c r="P80" s="626">
        <f t="shared" si="58"/>
        <v>5746.9134047542702</v>
      </c>
      <c r="Q80" s="626">
        <f t="shared" si="58"/>
        <v>5923.3486109301048</v>
      </c>
      <c r="R80" s="82" t="s">
        <v>773</v>
      </c>
    </row>
    <row r="81" spans="5:18" ht="15" customHeight="1">
      <c r="F81" s="58" t="s">
        <v>184</v>
      </c>
      <c r="G81" s="58"/>
      <c r="H81" s="58"/>
      <c r="I81" s="59">
        <f>I80/H80-1</f>
        <v>2.7003293084522539E-2</v>
      </c>
      <c r="J81" s="59">
        <f t="shared" ref="J81:Q81" si="59">J80/I80-1</f>
        <v>5.8358272766139363E-2</v>
      </c>
      <c r="K81" s="59">
        <f t="shared" si="59"/>
        <v>1.1108866895576552E-2</v>
      </c>
      <c r="L81" s="59">
        <f t="shared" si="59"/>
        <v>7.3907677094618096E-2</v>
      </c>
      <c r="M81" s="59">
        <f t="shared" si="59"/>
        <v>-3.0627017539182066E-3</v>
      </c>
      <c r="N81" s="59">
        <f t="shared" si="59"/>
        <v>1.9416336213804009E-2</v>
      </c>
      <c r="O81" s="59">
        <f t="shared" si="59"/>
        <v>3.0295774315447277E-2</v>
      </c>
      <c r="P81" s="59">
        <f t="shared" si="59"/>
        <v>2.0928925985044255E-2</v>
      </c>
      <c r="Q81" s="59">
        <f t="shared" si="59"/>
        <v>3.0700863881100826E-2</v>
      </c>
      <c r="R81" s="82" t="s">
        <v>774</v>
      </c>
    </row>
    <row r="82" spans="5:18" ht="15" customHeight="1">
      <c r="F82" s="25" t="s">
        <v>487</v>
      </c>
      <c r="G82" s="1" t="s">
        <v>179</v>
      </c>
      <c r="H82" s="62">
        <f t="shared" ref="H82:Q82" si="60">(H88*1000)/H80</f>
        <v>942.55619876643891</v>
      </c>
      <c r="I82" s="62">
        <f t="shared" si="60"/>
        <v>1006.3808459243066</v>
      </c>
      <c r="J82" s="62">
        <f t="shared" si="60"/>
        <v>960.64750187214588</v>
      </c>
      <c r="K82" s="62">
        <f t="shared" si="60"/>
        <v>1039.9800969105343</v>
      </c>
      <c r="L82" s="62">
        <f t="shared" si="60"/>
        <v>1085.4048795486819</v>
      </c>
      <c r="M82" s="62">
        <f t="shared" si="60"/>
        <v>1083.2038691227249</v>
      </c>
      <c r="N82" s="62">
        <f t="shared" si="60"/>
        <v>1114.9074245076267</v>
      </c>
      <c r="O82" s="62">
        <f t="shared" si="60"/>
        <v>1123.9923547154262</v>
      </c>
      <c r="P82" s="62">
        <f t="shared" si="60"/>
        <v>1149.6876435742804</v>
      </c>
      <c r="Q82" s="62">
        <f t="shared" si="60"/>
        <v>1175.9960547148714</v>
      </c>
    </row>
    <row r="83" spans="5:18" ht="15" customHeight="1">
      <c r="F83" s="58" t="s">
        <v>184</v>
      </c>
      <c r="G83" s="58"/>
      <c r="H83" s="397"/>
      <c r="I83" s="59">
        <f t="shared" ref="I83:Q83" si="61">I82/H82-1</f>
        <v>6.7714420892247773E-2</v>
      </c>
      <c r="J83" s="59">
        <f t="shared" si="61"/>
        <v>-4.5443376866098006E-2</v>
      </c>
      <c r="K83" s="59">
        <f t="shared" si="61"/>
        <v>8.2582419549087405E-2</v>
      </c>
      <c r="L83" s="59">
        <f t="shared" si="61"/>
        <v>4.3678511514875007E-2</v>
      </c>
      <c r="M83" s="59">
        <f t="shared" si="61"/>
        <v>-2.0278243330472678E-3</v>
      </c>
      <c r="N83" s="59">
        <f t="shared" si="61"/>
        <v>2.9268318078090161E-2</v>
      </c>
      <c r="O83" s="59">
        <f t="shared" si="61"/>
        <v>8.14859602519169E-3</v>
      </c>
      <c r="P83" s="59">
        <f t="shared" si="61"/>
        <v>2.2860732771941006E-2</v>
      </c>
      <c r="Q83" s="59">
        <f t="shared" si="61"/>
        <v>2.2883094628033396E-2</v>
      </c>
    </row>
    <row r="84" spans="5:18" ht="15" customHeight="1">
      <c r="F84" s="61" t="s">
        <v>488</v>
      </c>
      <c r="G84" s="1" t="s">
        <v>179</v>
      </c>
      <c r="H84" s="62">
        <f t="shared" ref="H84:Q84" si="62">(H86*1000)/H78</f>
        <v>189.42911217211264</v>
      </c>
      <c r="I84" s="62">
        <f t="shared" si="62"/>
        <v>184.9779288308014</v>
      </c>
      <c r="J84" s="62">
        <f t="shared" si="62"/>
        <v>166.38497123809833</v>
      </c>
      <c r="K84" s="62">
        <f t="shared" si="62"/>
        <v>172.21327122639042</v>
      </c>
      <c r="L84" s="62">
        <f t="shared" si="62"/>
        <v>164.87335449187768</v>
      </c>
      <c r="M84" s="62">
        <f t="shared" si="62"/>
        <v>165.61452806604507</v>
      </c>
      <c r="N84" s="62">
        <f t="shared" si="62"/>
        <v>161.73092289569632</v>
      </c>
      <c r="O84" s="62">
        <f t="shared" si="62"/>
        <v>160.51182050544367</v>
      </c>
      <c r="P84" s="62">
        <f t="shared" si="62"/>
        <v>158.73330763410473</v>
      </c>
      <c r="Q84" s="62">
        <f t="shared" si="62"/>
        <v>156.98279447379392</v>
      </c>
    </row>
    <row r="85" spans="5:18" ht="15" customHeight="1">
      <c r="F85" s="58" t="s">
        <v>184</v>
      </c>
      <c r="G85" s="58"/>
      <c r="H85" s="397"/>
      <c r="I85" s="59">
        <f t="shared" ref="I85:Q85" si="63">I84/H84-1</f>
        <v>-2.3497884196738261E-2</v>
      </c>
      <c r="J85" s="59">
        <f t="shared" si="63"/>
        <v>-0.1005144652133606</v>
      </c>
      <c r="K85" s="59">
        <f t="shared" si="63"/>
        <v>3.5029004993195834E-2</v>
      </c>
      <c r="L85" s="59">
        <f t="shared" si="63"/>
        <v>-4.2621086529758379E-2</v>
      </c>
      <c r="M85" s="59">
        <f t="shared" si="63"/>
        <v>4.4954115020683361E-3</v>
      </c>
      <c r="N85" s="59">
        <f t="shared" si="63"/>
        <v>-2.3449664807184134E-2</v>
      </c>
      <c r="O85" s="59">
        <f t="shared" si="63"/>
        <v>-7.5378435269233268E-3</v>
      </c>
      <c r="P85" s="59">
        <f t="shared" si="63"/>
        <v>-1.1080261040828598E-2</v>
      </c>
      <c r="Q85" s="59">
        <f t="shared" si="63"/>
        <v>-1.102801413516763E-2</v>
      </c>
    </row>
    <row r="86" spans="5:18" ht="15" customHeight="1">
      <c r="F86" s="25" t="s">
        <v>769</v>
      </c>
      <c r="G86" s="1" t="s">
        <v>180</v>
      </c>
      <c r="H86" s="62">
        <f>H107/H110*H90</f>
        <v>7605.2733432925679</v>
      </c>
      <c r="I86" s="62">
        <f t="shared" ref="I86:Q86" si="64">I107/I110*I90</f>
        <v>7226.7177235617492</v>
      </c>
      <c r="J86" s="62">
        <f t="shared" si="64"/>
        <v>7432.416665205852</v>
      </c>
      <c r="K86" s="62">
        <f t="shared" si="64"/>
        <v>7707.5771670083304</v>
      </c>
      <c r="L86" s="62">
        <f t="shared" si="64"/>
        <v>7856.727716788846</v>
      </c>
      <c r="M86" s="62">
        <f t="shared" si="64"/>
        <v>8025.8020877208583</v>
      </c>
      <c r="N86" s="62">
        <f t="shared" si="64"/>
        <v>8509.1530482507897</v>
      </c>
      <c r="O86" s="62">
        <f t="shared" si="64"/>
        <v>8771.5092995737086</v>
      </c>
      <c r="P86" s="62">
        <f t="shared" si="64"/>
        <v>9023.9881315589064</v>
      </c>
      <c r="Q86" s="62">
        <f t="shared" si="64"/>
        <v>9153.792671424013</v>
      </c>
    </row>
    <row r="87" spans="5:18" ht="15" customHeight="1">
      <c r="F87" s="58" t="s">
        <v>184</v>
      </c>
      <c r="G87" s="58"/>
      <c r="H87" s="397"/>
      <c r="I87" s="59">
        <f t="shared" ref="I87:Q87" si="65">I86/H86-1</f>
        <v>-4.9775412748929493E-2</v>
      </c>
      <c r="J87" s="59">
        <f t="shared" si="65"/>
        <v>2.8463674590948562E-2</v>
      </c>
      <c r="K87" s="59">
        <f t="shared" si="65"/>
        <v>3.7021673326068427E-2</v>
      </c>
      <c r="L87" s="59">
        <f t="shared" si="65"/>
        <v>1.9351158807587865E-2</v>
      </c>
      <c r="M87" s="59">
        <f t="shared" si="65"/>
        <v>2.1519693315923627E-2</v>
      </c>
      <c r="N87" s="59">
        <f t="shared" si="65"/>
        <v>6.0224629918228079E-2</v>
      </c>
      <c r="O87" s="59">
        <f t="shared" si="65"/>
        <v>3.0832240275294076E-2</v>
      </c>
      <c r="P87" s="59">
        <f t="shared" si="65"/>
        <v>2.8783966745320244E-2</v>
      </c>
      <c r="Q87" s="59">
        <f t="shared" si="65"/>
        <v>1.4384387254583242E-2</v>
      </c>
    </row>
    <row r="88" spans="5:18" ht="15" customHeight="1">
      <c r="F88" s="25" t="s">
        <v>770</v>
      </c>
      <c r="G88" s="1" t="s">
        <v>180</v>
      </c>
      <c r="H88" s="62">
        <f>H108/H111*H92</f>
        <v>4293.3434853811295</v>
      </c>
      <c r="I88" s="62">
        <f t="shared" ref="I88:Q88" si="66">I108/I111*I92</f>
        <v>4707.849597233906</v>
      </c>
      <c r="J88" s="62">
        <f t="shared" si="66"/>
        <v>4756.1657817689947</v>
      </c>
      <c r="K88" s="62">
        <f t="shared" si="66"/>
        <v>5206.1403651341343</v>
      </c>
      <c r="L88" s="62">
        <f t="shared" si="66"/>
        <v>5835.1169123138634</v>
      </c>
      <c r="M88" s="62">
        <f t="shared" si="66"/>
        <v>5805.4493371516946</v>
      </c>
      <c r="N88" s="62">
        <f t="shared" si="66"/>
        <v>6091.3847722328992</v>
      </c>
      <c r="O88" s="62">
        <f t="shared" si="66"/>
        <v>6327.0679924392944</v>
      </c>
      <c r="P88" s="62">
        <f t="shared" si="66"/>
        <v>6607.1553301373815</v>
      </c>
      <c r="Q88" s="62">
        <f t="shared" si="66"/>
        <v>6965.8345971546178</v>
      </c>
    </row>
    <row r="89" spans="5:18" ht="15" customHeight="1">
      <c r="F89" s="58" t="s">
        <v>184</v>
      </c>
      <c r="G89" s="58"/>
      <c r="H89" s="397"/>
      <c r="I89" s="59">
        <f t="shared" ref="I89:Q89" si="67">I88/H88-1</f>
        <v>9.654622633017218E-2</v>
      </c>
      <c r="J89" s="59">
        <f t="shared" si="67"/>
        <v>1.0262898917475338E-2</v>
      </c>
      <c r="K89" s="59">
        <f t="shared" si="67"/>
        <v>9.4608683551349548E-2</v>
      </c>
      <c r="L89" s="59">
        <f t="shared" si="67"/>
        <v>0.12081436593450823</v>
      </c>
      <c r="M89" s="59">
        <f t="shared" si="67"/>
        <v>-5.0843154658239964E-3</v>
      </c>
      <c r="N89" s="59">
        <f t="shared" si="67"/>
        <v>4.9252937796110619E-2</v>
      </c>
      <c r="O89" s="59">
        <f t="shared" si="67"/>
        <v>3.869123836680588E-2</v>
      </c>
      <c r="P89" s="59">
        <f t="shared" si="67"/>
        <v>4.4268109341133233E-2</v>
      </c>
      <c r="Q89" s="59">
        <f t="shared" si="67"/>
        <v>5.4286489282487915E-2</v>
      </c>
    </row>
    <row r="90" spans="5:18" s="6" customFormat="1" ht="15" customHeight="1">
      <c r="F90" s="25" t="s">
        <v>767</v>
      </c>
      <c r="G90" s="1" t="s">
        <v>180</v>
      </c>
      <c r="H90" s="398">
        <v>24029</v>
      </c>
      <c r="I90" s="399">
        <v>24019</v>
      </c>
      <c r="J90" s="399">
        <v>24777</v>
      </c>
      <c r="K90" s="399">
        <v>25643</v>
      </c>
      <c r="L90" s="399">
        <v>26222</v>
      </c>
      <c r="M90" s="399">
        <v>26996</v>
      </c>
      <c r="N90" s="399">
        <v>28425</v>
      </c>
      <c r="O90" s="399">
        <v>29388</v>
      </c>
      <c r="P90" s="399">
        <v>30163</v>
      </c>
      <c r="Q90" s="399">
        <v>30813</v>
      </c>
    </row>
    <row r="91" spans="5:18" ht="15" customHeight="1">
      <c r="F91" s="58" t="s">
        <v>184</v>
      </c>
      <c r="G91" s="58"/>
      <c r="H91" s="397"/>
      <c r="I91" s="59">
        <f t="shared" ref="I91:Q91" si="68">I90/H90-1</f>
        <v>-4.1616380207254444E-4</v>
      </c>
      <c r="J91" s="59">
        <f t="shared" si="68"/>
        <v>3.1558349639868366E-2</v>
      </c>
      <c r="K91" s="59">
        <f t="shared" si="68"/>
        <v>3.4951769786495612E-2</v>
      </c>
      <c r="L91" s="59">
        <f t="shared" si="68"/>
        <v>2.2579261396872496E-2</v>
      </c>
      <c r="M91" s="59">
        <f t="shared" si="68"/>
        <v>2.9517199298299213E-2</v>
      </c>
      <c r="N91" s="59">
        <f t="shared" si="68"/>
        <v>5.2933767965624545E-2</v>
      </c>
      <c r="O91" s="59">
        <f t="shared" si="68"/>
        <v>3.3878627968337627E-2</v>
      </c>
      <c r="P91" s="59">
        <f t="shared" si="68"/>
        <v>2.6371308016877704E-2</v>
      </c>
      <c r="Q91" s="59">
        <f t="shared" si="68"/>
        <v>2.1549580612008068E-2</v>
      </c>
    </row>
    <row r="92" spans="5:18" s="6" customFormat="1" ht="15" customHeight="1">
      <c r="F92" s="25" t="s">
        <v>768</v>
      </c>
      <c r="G92" s="1" t="s">
        <v>180</v>
      </c>
      <c r="H92" s="398">
        <v>13102</v>
      </c>
      <c r="I92" s="399">
        <v>14226</v>
      </c>
      <c r="J92" s="399">
        <v>14372</v>
      </c>
      <c r="K92" s="399">
        <v>15716</v>
      </c>
      <c r="L92" s="399">
        <v>17639</v>
      </c>
      <c r="M92" s="399">
        <v>17598</v>
      </c>
      <c r="N92" s="399">
        <v>18436</v>
      </c>
      <c r="O92" s="399">
        <v>19232</v>
      </c>
      <c r="P92" s="399">
        <v>20063</v>
      </c>
      <c r="Q92" s="399">
        <v>21139</v>
      </c>
    </row>
    <row r="93" spans="5:18" ht="15" customHeight="1">
      <c r="F93" s="58" t="s">
        <v>184</v>
      </c>
      <c r="G93" s="58"/>
      <c r="H93" s="397"/>
      <c r="I93" s="59">
        <f t="shared" ref="I93:Q93" si="69">I92/H92-1</f>
        <v>8.5788429247443121E-2</v>
      </c>
      <c r="J93" s="59">
        <f t="shared" si="69"/>
        <v>1.0262898917475116E-2</v>
      </c>
      <c r="K93" s="59">
        <f t="shared" si="69"/>
        <v>9.3515168382966918E-2</v>
      </c>
      <c r="L93" s="59">
        <f t="shared" si="69"/>
        <v>0.12235937897683891</v>
      </c>
      <c r="M93" s="59">
        <f t="shared" si="69"/>
        <v>-2.3243948069618936E-3</v>
      </c>
      <c r="N93" s="59">
        <f t="shared" si="69"/>
        <v>4.7619047619047672E-2</v>
      </c>
      <c r="O93" s="59">
        <f t="shared" si="69"/>
        <v>4.3176394011716246E-2</v>
      </c>
      <c r="P93" s="59">
        <f t="shared" si="69"/>
        <v>4.3209234608984959E-2</v>
      </c>
      <c r="Q93" s="59">
        <f t="shared" si="69"/>
        <v>5.3631062154214204E-2</v>
      </c>
    </row>
    <row r="94" spans="5:18" s="6" customFormat="1" ht="15" customHeight="1">
      <c r="F94" s="25" t="s">
        <v>490</v>
      </c>
      <c r="G94" s="1" t="s">
        <v>179</v>
      </c>
      <c r="H94" s="71">
        <f>H90*1000/H78</f>
        <v>598.50473887281441</v>
      </c>
      <c r="I94" s="71">
        <f t="shared" ref="I94:Q94" si="70">I90*1000/I78</f>
        <v>614.79983618306539</v>
      </c>
      <c r="J94" s="71">
        <f t="shared" si="70"/>
        <v>554.6675621222297</v>
      </c>
      <c r="K94" s="71">
        <f t="shared" si="70"/>
        <v>572.95111269997324</v>
      </c>
      <c r="L94" s="71">
        <f t="shared" si="70"/>
        <v>550.26841419585469</v>
      </c>
      <c r="M94" s="71">
        <f t="shared" si="70"/>
        <v>557.0695303477878</v>
      </c>
      <c r="N94" s="71">
        <f t="shared" si="70"/>
        <v>540.26545970461848</v>
      </c>
      <c r="O94" s="71">
        <f t="shared" si="70"/>
        <v>537.77761841319921</v>
      </c>
      <c r="P94" s="71">
        <f t="shared" si="70"/>
        <v>530.57170381499486</v>
      </c>
      <c r="Q94" s="71">
        <f t="shared" si="70"/>
        <v>528.42696134262837</v>
      </c>
    </row>
    <row r="95" spans="5:18" ht="15" customHeight="1">
      <c r="F95" s="58"/>
      <c r="G95" s="58"/>
      <c r="H95" s="397"/>
      <c r="I95" s="59">
        <f t="shared" ref="I95:Q95" si="71">I94/H94-1</f>
        <v>2.7226346345962327E-2</v>
      </c>
      <c r="J95" s="59">
        <f t="shared" si="71"/>
        <v>-9.780788888000036E-2</v>
      </c>
      <c r="K95" s="59">
        <f t="shared" si="71"/>
        <v>3.2963078835525073E-2</v>
      </c>
      <c r="L95" s="59">
        <f t="shared" si="71"/>
        <v>-3.9589238944364169E-2</v>
      </c>
      <c r="M95" s="59">
        <f t="shared" si="71"/>
        <v>1.2359633910429046E-2</v>
      </c>
      <c r="N95" s="59">
        <f t="shared" si="71"/>
        <v>-3.0165122534485556E-2</v>
      </c>
      <c r="O95" s="59">
        <f t="shared" si="71"/>
        <v>-4.6048497950978984E-3</v>
      </c>
      <c r="P95" s="59">
        <f t="shared" si="71"/>
        <v>-1.3399431942643036E-2</v>
      </c>
      <c r="Q95" s="59">
        <f t="shared" si="71"/>
        <v>-4.0423235105547795E-3</v>
      </c>
    </row>
    <row r="96" spans="5:18" s="6" customFormat="1" ht="15" customHeight="1">
      <c r="E96" s="6">
        <v>1000</v>
      </c>
      <c r="F96" s="25" t="s">
        <v>491</v>
      </c>
      <c r="G96" s="1" t="s">
        <v>179</v>
      </c>
      <c r="H96" s="71">
        <f>H92*1000/H80</f>
        <v>2876.3995609220638</v>
      </c>
      <c r="I96" s="71">
        <f t="shared" ref="I96:Q96" si="72">I92*1000/I80</f>
        <v>3041.0431808465155</v>
      </c>
      <c r="J96" s="71">
        <f t="shared" si="72"/>
        <v>2902.8479095132298</v>
      </c>
      <c r="K96" s="71">
        <f t="shared" si="72"/>
        <v>3139.4326807830603</v>
      </c>
      <c r="L96" s="71">
        <f t="shared" si="72"/>
        <v>3281.0750766546753</v>
      </c>
      <c r="M96" s="71">
        <f t="shared" si="72"/>
        <v>3283.5049591827351</v>
      </c>
      <c r="N96" s="71">
        <f t="shared" si="72"/>
        <v>3374.3449226715047</v>
      </c>
      <c r="O96" s="71">
        <f t="shared" si="72"/>
        <v>3416.5305306847436</v>
      </c>
      <c r="P96" s="71">
        <f t="shared" si="72"/>
        <v>3491.0914062847037</v>
      </c>
      <c r="Q96" s="71">
        <f t="shared" si="72"/>
        <v>3568.7583811955787</v>
      </c>
    </row>
    <row r="97" spans="6:18" ht="15" customHeight="1">
      <c r="F97" s="58"/>
      <c r="G97" s="58"/>
      <c r="H97" s="397"/>
      <c r="I97" s="59">
        <f t="shared" ref="I97:Q97" si="73">I96/H96-1</f>
        <v>5.7239481663553526E-2</v>
      </c>
      <c r="J97" s="59">
        <f t="shared" si="73"/>
        <v>-4.5443376866098006E-2</v>
      </c>
      <c r="K97" s="59">
        <f t="shared" si="73"/>
        <v>8.1500918630457164E-2</v>
      </c>
      <c r="L97" s="59">
        <f t="shared" si="73"/>
        <v>4.5117194816321149E-2</v>
      </c>
      <c r="M97" s="59">
        <f t="shared" si="73"/>
        <v>7.4057510763725354E-4</v>
      </c>
      <c r="N97" s="59">
        <f t="shared" si="73"/>
        <v>2.7665547827093739E-2</v>
      </c>
      <c r="O97" s="59">
        <f t="shared" si="73"/>
        <v>1.2501865985840022E-2</v>
      </c>
      <c r="P97" s="59">
        <f t="shared" si="73"/>
        <v>2.1823564850455668E-2</v>
      </c>
      <c r="Q97" s="59">
        <f t="shared" si="73"/>
        <v>2.224719031161948E-2</v>
      </c>
    </row>
    <row r="98" spans="6:18" ht="15" customHeight="1">
      <c r="F98" s="75" t="s">
        <v>492</v>
      </c>
      <c r="G98" s="1" t="s">
        <v>175</v>
      </c>
      <c r="H98" s="62"/>
      <c r="I98" s="73"/>
      <c r="J98" s="73"/>
      <c r="K98" s="73"/>
      <c r="L98" s="73"/>
      <c r="M98" s="102"/>
      <c r="N98" s="102"/>
      <c r="O98" s="102"/>
      <c r="P98" s="102"/>
      <c r="Q98" s="102"/>
      <c r="R98" s="70"/>
    </row>
    <row r="99" spans="6:18" ht="15" customHeight="1">
      <c r="F99" s="28" t="s">
        <v>184</v>
      </c>
      <c r="G99" s="58"/>
      <c r="H99" s="231"/>
      <c r="I99" s="59" t="e">
        <f t="shared" ref="I99:Q99" si="74">I98/H98-1</f>
        <v>#DIV/0!</v>
      </c>
      <c r="J99" s="59" t="e">
        <f t="shared" si="74"/>
        <v>#DIV/0!</v>
      </c>
      <c r="K99" s="59" t="e">
        <f t="shared" si="74"/>
        <v>#DIV/0!</v>
      </c>
      <c r="L99" s="59" t="e">
        <f t="shared" si="74"/>
        <v>#DIV/0!</v>
      </c>
      <c r="M99" s="59" t="e">
        <f t="shared" si="74"/>
        <v>#DIV/0!</v>
      </c>
      <c r="N99" s="59" t="e">
        <f t="shared" si="74"/>
        <v>#DIV/0!</v>
      </c>
      <c r="O99" s="59" t="e">
        <f t="shared" si="74"/>
        <v>#DIV/0!</v>
      </c>
      <c r="P99" s="59" t="e">
        <f t="shared" si="74"/>
        <v>#DIV/0!</v>
      </c>
      <c r="Q99" s="59" t="e">
        <f t="shared" si="74"/>
        <v>#DIV/0!</v>
      </c>
      <c r="R99" s="77"/>
    </row>
    <row r="100" spans="6:18" ht="15" customHeight="1">
      <c r="F100" s="75" t="s">
        <v>493</v>
      </c>
      <c r="G100" s="1" t="s">
        <v>175</v>
      </c>
      <c r="H100" s="62"/>
      <c r="I100" s="73"/>
      <c r="J100" s="73"/>
      <c r="K100" s="73"/>
      <c r="L100" s="73"/>
      <c r="M100" s="102"/>
      <c r="N100" s="102"/>
      <c r="O100" s="102"/>
      <c r="P100" s="102"/>
      <c r="Q100" s="102"/>
    </row>
    <row r="101" spans="6:18" ht="15" customHeight="1">
      <c r="F101" s="28" t="s">
        <v>184</v>
      </c>
      <c r="G101" s="58"/>
      <c r="H101" s="231"/>
      <c r="I101" s="59" t="e">
        <f t="shared" ref="I101" si="75">I100/H100-1</f>
        <v>#DIV/0!</v>
      </c>
      <c r="J101" s="59" t="e">
        <f t="shared" ref="J101" si="76">J100/I100-1</f>
        <v>#DIV/0!</v>
      </c>
      <c r="K101" s="59" t="e">
        <f t="shared" ref="K101" si="77">K100/J100-1</f>
        <v>#DIV/0!</v>
      </c>
      <c r="L101" s="59" t="e">
        <f t="shared" ref="L101" si="78">L100/K100-1</f>
        <v>#DIV/0!</v>
      </c>
      <c r="M101" s="59" t="e">
        <f t="shared" ref="M101" si="79">M100/L100-1</f>
        <v>#DIV/0!</v>
      </c>
      <c r="N101" s="59" t="e">
        <f t="shared" ref="N101" si="80">N100/M100-1</f>
        <v>#DIV/0!</v>
      </c>
      <c r="O101" s="59" t="e">
        <f t="shared" ref="O101" si="81">O100/N100-1</f>
        <v>#DIV/0!</v>
      </c>
      <c r="P101" s="59" t="e">
        <f t="shared" ref="P101" si="82">P100/O100-1</f>
        <v>#DIV/0!</v>
      </c>
      <c r="Q101" s="59" t="e">
        <f t="shared" ref="Q101" si="83">Q100/P100-1</f>
        <v>#DIV/0!</v>
      </c>
    </row>
    <row r="102" spans="6:18" ht="15" customHeight="1">
      <c r="F102" s="119"/>
      <c r="G102" s="119"/>
      <c r="H102" s="59"/>
      <c r="I102" s="59"/>
      <c r="J102" s="59"/>
      <c r="K102" s="59"/>
      <c r="L102" s="59"/>
      <c r="M102" s="59"/>
      <c r="N102" s="59"/>
      <c r="O102" s="59"/>
      <c r="P102" s="59"/>
      <c r="Q102" s="59"/>
    </row>
    <row r="103" spans="6:18" ht="15" customHeight="1">
      <c r="F103" s="119"/>
      <c r="G103" s="119"/>
    </row>
    <row r="107" spans="6:18" ht="15" customHeight="1">
      <c r="F107" s="1" t="s">
        <v>771</v>
      </c>
      <c r="G107" s="1" t="s">
        <v>180</v>
      </c>
      <c r="H107" s="1">
        <v>2093.4963000000002</v>
      </c>
      <c r="I107" s="1">
        <v>1789.28</v>
      </c>
      <c r="J107" s="1">
        <v>1900.9814436506676</v>
      </c>
      <c r="K107" s="1">
        <v>2102.5453356417465</v>
      </c>
      <c r="L107" s="1">
        <v>2175.9147624393822</v>
      </c>
      <c r="M107" s="1">
        <v>2252.7499590448474</v>
      </c>
      <c r="N107" s="1">
        <v>2379.3334325276101</v>
      </c>
      <c r="O107" s="1">
        <v>2497.1039384055734</v>
      </c>
      <c r="P107" s="1">
        <v>2655.5266508833829</v>
      </c>
      <c r="Q107" s="1">
        <v>2735.6496212939833</v>
      </c>
    </row>
    <row r="108" spans="6:18" ht="15" customHeight="1">
      <c r="F108" s="1" t="s">
        <v>772</v>
      </c>
      <c r="G108" s="1" t="s">
        <v>180</v>
      </c>
      <c r="H108" s="1">
        <v>1891.0805375966015</v>
      </c>
      <c r="I108" s="1">
        <v>1615.7461600966417</v>
      </c>
      <c r="J108" s="1">
        <v>1722.1904052195152</v>
      </c>
      <c r="K108" s="1">
        <v>1907.7795749477154</v>
      </c>
      <c r="L108" s="1">
        <v>1961.783632816572</v>
      </c>
      <c r="M108" s="1">
        <v>2042.8946368801601</v>
      </c>
      <c r="N108" s="1">
        <v>2138.5309453904074</v>
      </c>
      <c r="O108" s="1">
        <v>2245.3291782208607</v>
      </c>
      <c r="P108" s="1">
        <v>2379.637300811627</v>
      </c>
      <c r="Q108" s="1">
        <v>2448.9835092849489</v>
      </c>
    </row>
    <row r="109" spans="6:18" ht="15" customHeight="1">
      <c r="F109" s="60"/>
      <c r="G109" s="60"/>
      <c r="H109" s="60"/>
      <c r="I109" s="60"/>
      <c r="J109" s="60"/>
      <c r="K109" s="60"/>
      <c r="L109" s="60"/>
      <c r="M109" s="60"/>
      <c r="N109" s="60"/>
    </row>
    <row r="110" spans="6:18" ht="15" customHeight="1">
      <c r="F110" s="1" t="s">
        <v>489</v>
      </c>
      <c r="G110" s="1" t="s">
        <v>180</v>
      </c>
      <c r="H110" s="1">
        <v>6614.4397869756922</v>
      </c>
      <c r="I110" s="1">
        <v>5946.9205750046322</v>
      </c>
      <c r="J110" s="1">
        <v>6337.1873982562929</v>
      </c>
      <c r="K110" s="1">
        <v>6995.1385336292969</v>
      </c>
      <c r="L110" s="1">
        <v>7262.1629458740363</v>
      </c>
      <c r="M110" s="1">
        <v>7577.4654333202998</v>
      </c>
      <c r="N110" s="1">
        <v>7948.212053078586</v>
      </c>
      <c r="O110" s="1">
        <v>8366.2785999017833</v>
      </c>
      <c r="P110" s="1">
        <v>8876.1919012806065</v>
      </c>
      <c r="Q110" s="1">
        <v>9208.5952573599589</v>
      </c>
    </row>
    <row r="111" spans="6:18" ht="15" customHeight="1">
      <c r="F111" s="1" t="s">
        <v>194</v>
      </c>
      <c r="G111" s="1" t="s">
        <v>180</v>
      </c>
      <c r="H111" s="1">
        <v>5771.0120999999999</v>
      </c>
      <c r="I111" s="1">
        <v>4882.4000000000005</v>
      </c>
      <c r="J111" s="1">
        <v>5204.0491520900978</v>
      </c>
      <c r="K111" s="1">
        <v>5759.0963164716368</v>
      </c>
      <c r="L111" s="1">
        <v>5930.2841775503766</v>
      </c>
      <c r="M111" s="1">
        <v>6192.6059004169156</v>
      </c>
      <c r="N111" s="1">
        <v>6472.4127572662437</v>
      </c>
      <c r="O111" s="1">
        <v>6824.9892062398139</v>
      </c>
      <c r="P111" s="1">
        <v>7225.902946221634</v>
      </c>
      <c r="Q111" s="1">
        <v>7431.8535246187148</v>
      </c>
    </row>
  </sheetData>
  <customSheetViews>
    <customSheetView guid="{BD5E9955-DC4B-4EA0-9160-9EF1C693DE04}" showGridLines="0">
      <pane ySplit="1" topLeftCell="A2" activePane="bottomLeft" state="frozen"/>
      <selection pane="bottomLeft"/>
      <pageMargins left="0.7" right="0.7" top="0.75" bottom="0.75" header="0.3" footer="0.3"/>
      <pageSetup orientation="portrait" r:id="rId1"/>
    </customSheetView>
    <customSheetView guid="{1ACDCC85-59E3-4410-927D-E7E5C71B61F5}" showGridLines="0" state="hidden">
      <pane ySplit="1" topLeftCell="A2" activePane="bottomLeft" state="frozen"/>
      <selection pane="bottomLeft" activeCell="A26" sqref="A26:XFD26"/>
      <pageMargins left="0.7" right="0.7" top="0.75" bottom="0.75" header="0.3" footer="0.3"/>
      <pageSetup orientation="portrait" r:id="rId2"/>
    </customSheetView>
    <customSheetView guid="{63078F6D-D19C-47E9-B618-80B24EAAED3A}" showGridLines="0" topLeftCell="I1">
      <pane ySplit="1" topLeftCell="A11" activePane="bottomLeft" state="frozen"/>
      <selection pane="bottomLeft" activeCell="P18" sqref="P18"/>
      <pageMargins left="0.7" right="0.7" top="0.75" bottom="0.75" header="0.3" footer="0.3"/>
      <pageSetup orientation="portrait" r:id="rId3"/>
    </customSheetView>
    <customSheetView guid="{92F60ACF-D6F3-4086-9F2B-BC0D304DAC43}" showGridLines="0" topLeftCell="I1">
      <pane ySplit="1" topLeftCell="A11" activePane="bottomLeft" state="frozen"/>
      <selection pane="bottomLeft" activeCell="P18" sqref="P18"/>
      <pageMargins left="0.7" right="0.7" top="0.75" bottom="0.75" header="0.3" footer="0.3"/>
      <pageSetup orientation="portrait" r:id="rId4"/>
    </customSheetView>
    <customSheetView guid="{9144D9B3-2327-4B3A-89B1-6A595780C3C5}" showGridLines="0" state="hidden" topLeftCell="K1">
      <pane ySplit="1" topLeftCell="A2" activePane="bottomLeft" state="frozen"/>
      <selection pane="bottomLeft" activeCell="P9" sqref="P9"/>
      <pageMargins left="0.7" right="0.7" top="0.75" bottom="0.75" header="0.3" footer="0.3"/>
      <pageSetup orientation="portrait" r:id="rId5"/>
    </customSheetView>
    <customSheetView guid="{513032B5-C585-49C2-98E7-9FDE6F7A4BA7}" showGridLines="0">
      <pane ySplit="1" topLeftCell="A2" activePane="bottomLeft" state="frozen"/>
      <selection pane="bottomLeft"/>
      <pageMargins left="0.7" right="0.7" top="0.75" bottom="0.75" header="0.3" footer="0.3"/>
      <pageSetup orientation="portrait" r:id="rId6"/>
    </customSheetView>
    <customSheetView guid="{AF983ECA-536A-40E6-8A04-FF0A375E9ACC}" showGridLines="0">
      <pane ySplit="1" topLeftCell="A2" activePane="bottomLeft" state="frozen"/>
      <selection pane="bottomLeft" activeCell="A26" sqref="A26:XFD26"/>
      <pageMargins left="0.7" right="0.7" top="0.75" bottom="0.75" header="0.3" footer="0.3"/>
      <pageSetup orientation="portrait" r:id="rId7"/>
    </customSheetView>
  </customSheetViews>
  <hyperlinks>
    <hyperlink ref="R80" r:id="rId8"/>
    <hyperlink ref="R78" r:id="rId9"/>
    <hyperlink ref="R81" r:id="rId10"/>
  </hyperlinks>
  <pageMargins left="0.7" right="0.7" top="0.75" bottom="0.75" header="0.3" footer="0.3"/>
  <pageSetup orientation="portrait" r:id="rId11"/>
  <legacyDrawing r:id="rId12"/>
</worksheet>
</file>

<file path=xl/worksheets/sheet16.xml><?xml version="1.0" encoding="utf-8"?>
<worksheet xmlns="http://schemas.openxmlformats.org/spreadsheetml/2006/main" xmlns:r="http://schemas.openxmlformats.org/officeDocument/2006/relationships">
  <dimension ref="A1:M43"/>
  <sheetViews>
    <sheetView workbookViewId="0">
      <selection activeCell="C37" sqref="C37:L37"/>
    </sheetView>
  </sheetViews>
  <sheetFormatPr defaultRowHeight="15"/>
  <cols>
    <col min="1" max="1" width="20.5703125" customWidth="1"/>
    <col min="3" max="12" width="10.5703125" bestFit="1" customWidth="1"/>
  </cols>
  <sheetData>
    <row r="1" spans="1:13">
      <c r="B1" s="3" t="s">
        <v>163</v>
      </c>
      <c r="C1" s="3">
        <v>2008</v>
      </c>
      <c r="D1" s="3">
        <v>2009</v>
      </c>
      <c r="E1" s="3">
        <v>2010</v>
      </c>
      <c r="F1" s="3">
        <v>2011</v>
      </c>
      <c r="G1" s="3">
        <v>2012</v>
      </c>
      <c r="H1" s="3">
        <v>2013</v>
      </c>
      <c r="I1" s="3">
        <v>2014</v>
      </c>
      <c r="J1" s="3">
        <v>2015</v>
      </c>
      <c r="K1" s="3">
        <v>2016</v>
      </c>
      <c r="L1" s="3">
        <v>2017</v>
      </c>
      <c r="M1" s="163" t="s">
        <v>139</v>
      </c>
    </row>
    <row r="2" spans="1:13">
      <c r="A2" t="str">
        <f>Home!$B$1</f>
        <v>Hungary</v>
      </c>
    </row>
    <row r="3" spans="1:13">
      <c r="A3" t="s">
        <v>735</v>
      </c>
    </row>
    <row r="4" spans="1:13">
      <c r="A4" t="s">
        <v>19</v>
      </c>
      <c r="C4" s="157">
        <f>'Tourism Medium DB-LCU'!H136/'Tourism Medium DB-LCU'!H$135</f>
        <v>-1.5000140762802108</v>
      </c>
      <c r="D4" s="157">
        <f>'Tourism Medium DB-LCU'!I136/'Tourism Medium DB-LCU'!I$135</f>
        <v>-0.95578758249642892</v>
      </c>
      <c r="E4" s="157">
        <f>'Tourism Medium DB-LCU'!J136/'Tourism Medium DB-LCU'!J$135</f>
        <v>-0.98801500969434664</v>
      </c>
      <c r="F4" s="157">
        <f>'Tourism Medium DB-LCU'!K136/'Tourism Medium DB-LCU'!K$135</f>
        <v>-1.6315059534276675</v>
      </c>
      <c r="G4" s="157">
        <f>'Tourism Medium DB-LCU'!L136/'Tourism Medium DB-LCU'!L$135</f>
        <v>-1.7692172985306909</v>
      </c>
      <c r="H4" s="157">
        <f>'Tourism Medium DB-LCU'!M136/'Tourism Medium DB-LCU'!M$135</f>
        <v>-1.8330588007675703</v>
      </c>
      <c r="I4" s="157">
        <f>'Tourism Medium DB-LCU'!N136/'Tourism Medium DB-LCU'!N$135</f>
        <v>-2.1569333128673076</v>
      </c>
      <c r="J4" s="157">
        <f>'Tourism Medium DB-LCU'!O136/'Tourism Medium DB-LCU'!O$135</f>
        <v>-2.6441184978952004</v>
      </c>
      <c r="K4" s="157">
        <f>'Tourism Medium DB-LCU'!P136/'Tourism Medium DB-LCU'!P$135</f>
        <v>-3.0087068851633556</v>
      </c>
      <c r="L4" s="157">
        <f>'Tourism Medium DB-LCU'!Q136/'Tourism Medium DB-LCU'!Q$135</f>
        <v>-3.435469711439247</v>
      </c>
    </row>
    <row r="5" spans="1:13">
      <c r="A5" t="s">
        <v>20</v>
      </c>
      <c r="C5" s="157">
        <f>'Tourism Medium DB-LCU'!H137/'Tourism Medium DB-LCU'!H$135</f>
        <v>-1.5997932932033632</v>
      </c>
      <c r="D5" s="157">
        <f>'Tourism Medium DB-LCU'!I137/'Tourism Medium DB-LCU'!I$135</f>
        <v>-1.9248958933590694</v>
      </c>
      <c r="E5" s="157">
        <f>'Tourism Medium DB-LCU'!J137/'Tourism Medium DB-LCU'!J$135</f>
        <v>-1.4368489025308415</v>
      </c>
      <c r="F5" s="157">
        <f>'Tourism Medium DB-LCU'!K137/'Tourism Medium DB-LCU'!K$135</f>
        <v>-1.2504700205683177</v>
      </c>
      <c r="G5" s="157">
        <f>'Tourism Medium DB-LCU'!L137/'Tourism Medium DB-LCU'!L$135</f>
        <v>-1.3833331828600619</v>
      </c>
      <c r="H5" s="157">
        <f>'Tourism Medium DB-LCU'!M137/'Tourism Medium DB-LCU'!M$135</f>
        <v>-1.3379610125647377</v>
      </c>
      <c r="I5" s="157">
        <f>'Tourism Medium DB-LCU'!N137/'Tourism Medium DB-LCU'!N$135</f>
        <v>-1.2271635659279874</v>
      </c>
      <c r="J5" s="157">
        <f>'Tourism Medium DB-LCU'!O137/'Tourism Medium DB-LCU'!O$135</f>
        <v>-1.1833671826786543</v>
      </c>
      <c r="K5" s="157">
        <f>'Tourism Medium DB-LCU'!P137/'Tourism Medium DB-LCU'!P$135</f>
        <v>-1.1664615440904504</v>
      </c>
      <c r="L5" s="157">
        <f>'Tourism Medium DB-LCU'!Q137/'Tourism Medium DB-LCU'!Q$135</f>
        <v>-1.1186742202726905</v>
      </c>
    </row>
    <row r="6" spans="1:13">
      <c r="A6" t="s">
        <v>459</v>
      </c>
      <c r="C6" s="157">
        <f>'Tourism Medium DB-LCU'!H138/'Tourism Medium DB-LCU'!H$135</f>
        <v>4.0998073694835737</v>
      </c>
      <c r="D6" s="157">
        <f>'Tourism Medium DB-LCU'!I138/'Tourism Medium DB-LCU'!I$135</f>
        <v>3.8806834758554984</v>
      </c>
      <c r="E6" s="157">
        <f>'Tourism Medium DB-LCU'!J138/'Tourism Medium DB-LCU'!J$135</f>
        <v>3.424863912225188</v>
      </c>
      <c r="F6" s="157">
        <f>'Tourism Medium DB-LCU'!K138/'Tourism Medium DB-LCU'!K$135</f>
        <v>3.8819759739959854</v>
      </c>
      <c r="G6" s="157">
        <f>'Tourism Medium DB-LCU'!L138/'Tourism Medium DB-LCU'!L$135</f>
        <v>4.1525504813907528</v>
      </c>
      <c r="H6" s="157">
        <f>'Tourism Medium DB-LCU'!M138/'Tourism Medium DB-LCU'!M$135</f>
        <v>4.1710198133323075</v>
      </c>
      <c r="I6" s="157">
        <f>'Tourism Medium DB-LCU'!N138/'Tourism Medium DB-LCU'!N$135</f>
        <v>4.3840968787952947</v>
      </c>
      <c r="J6" s="157">
        <f>'Tourism Medium DB-LCU'!O138/'Tourism Medium DB-LCU'!O$135</f>
        <v>4.8274856805738544</v>
      </c>
      <c r="K6" s="157">
        <f>'Tourism Medium DB-LCU'!P138/'Tourism Medium DB-LCU'!P$135</f>
        <v>5.175168429253806</v>
      </c>
      <c r="L6" s="157">
        <f>'Tourism Medium DB-LCU'!Q138/'Tourism Medium DB-LCU'!Q$135</f>
        <v>5.5541439317119377</v>
      </c>
    </row>
    <row r="8" spans="1:13">
      <c r="A8" t="str">
        <f>$M$1</f>
        <v>Norway</v>
      </c>
    </row>
    <row r="9" spans="1:13">
      <c r="A9" t="s">
        <v>735</v>
      </c>
    </row>
    <row r="10" spans="1:13">
      <c r="A10" t="s">
        <v>19</v>
      </c>
      <c r="C10" s="157">
        <v>0.60649127229553768</v>
      </c>
      <c r="D10" s="157">
        <v>0.60203226811985056</v>
      </c>
      <c r="E10" s="157">
        <v>0.60526830220270755</v>
      </c>
      <c r="F10" s="157">
        <v>0.60877999999999999</v>
      </c>
      <c r="G10" s="157">
        <v>0.61</v>
      </c>
      <c r="H10" s="157">
        <v>0.60752050715019557</v>
      </c>
      <c r="I10" s="157">
        <v>0.60646476516681558</v>
      </c>
      <c r="J10" s="157">
        <v>0.60615748602289632</v>
      </c>
      <c r="K10" s="157">
        <v>0.60489812101412266</v>
      </c>
      <c r="L10" s="157">
        <v>0.60604384989775217</v>
      </c>
    </row>
    <row r="11" spans="1:13">
      <c r="A11" t="s">
        <v>20</v>
      </c>
      <c r="C11" s="157">
        <v>0.22451160785347013</v>
      </c>
      <c r="D11" s="157">
        <v>0.20625766996609593</v>
      </c>
      <c r="E11" s="157">
        <v>0.20371878547487626</v>
      </c>
      <c r="F11" s="157">
        <v>0.21954918347735511</v>
      </c>
      <c r="G11" s="157">
        <v>0.21543589249191925</v>
      </c>
      <c r="H11" s="157">
        <v>0.21344597973180049</v>
      </c>
      <c r="I11" s="157">
        <v>0.2109762277680626</v>
      </c>
      <c r="J11" s="157">
        <v>0.20921251096549359</v>
      </c>
      <c r="K11" s="157">
        <v>0.20856564581243417</v>
      </c>
      <c r="L11" s="157">
        <v>0.2073033570081784</v>
      </c>
    </row>
    <row r="12" spans="1:13">
      <c r="A12" t="s">
        <v>459</v>
      </c>
      <c r="C12" s="157">
        <v>0.16899711985099228</v>
      </c>
      <c r="D12" s="157">
        <v>0.19171006191405357</v>
      </c>
      <c r="E12" s="157">
        <v>0.1910129123224161</v>
      </c>
      <c r="F12" s="157">
        <v>0.17167081652264485</v>
      </c>
      <c r="G12" s="157">
        <v>0.17456410750808074</v>
      </c>
      <c r="H12" s="157">
        <v>0.17903351311800397</v>
      </c>
      <c r="I12" s="157">
        <v>0.18255900706512185</v>
      </c>
      <c r="J12" s="157">
        <v>0.18463000301161014</v>
      </c>
      <c r="K12" s="157">
        <v>0.18653623317344317</v>
      </c>
      <c r="L12" s="157">
        <v>0.18665279309406946</v>
      </c>
    </row>
    <row r="14" spans="1:13">
      <c r="A14" t="str">
        <f>Home!$B$1</f>
        <v>Hungary</v>
      </c>
    </row>
    <row r="15" spans="1:13">
      <c r="A15" t="s">
        <v>736</v>
      </c>
    </row>
    <row r="16" spans="1:13">
      <c r="A16" t="s">
        <v>65</v>
      </c>
      <c r="C16" s="157">
        <f>'Tourism Medium DB-LCU'!H140/'Tourism Medium DB-LCU'!H$139</f>
        <v>0.18192571706173946</v>
      </c>
      <c r="D16" s="157">
        <f>'Tourism Medium DB-LCU'!I140/'Tourism Medium DB-LCU'!I$139</f>
        <v>0.184999493238485</v>
      </c>
      <c r="E16" s="157">
        <f>'Tourism Medium DB-LCU'!J140/'Tourism Medium DB-LCU'!J$139</f>
        <v>0.1803851123851124</v>
      </c>
      <c r="F16" s="157">
        <f>'Tourism Medium DB-LCU'!K140/'Tourism Medium DB-LCU'!K$139</f>
        <v>0.17862293956043956</v>
      </c>
      <c r="G16" s="157">
        <f>'Tourism Medium DB-LCU'!L140/'Tourism Medium DB-LCU'!L$139</f>
        <v>0.17987913259864913</v>
      </c>
      <c r="H16" s="157">
        <f>'Tourism Medium DB-LCU'!M140/'Tourism Medium DB-LCU'!M$139</f>
        <v>0.17937109402158172</v>
      </c>
      <c r="I16" s="157">
        <f>'Tourism Medium DB-LCU'!N140/'Tourism Medium DB-LCU'!N$139</f>
        <v>0.17799095635881365</v>
      </c>
      <c r="J16" s="157">
        <f>'Tourism Medium DB-LCU'!O140/'Tourism Medium DB-LCU'!O$139</f>
        <v>0.17757479637917961</v>
      </c>
      <c r="K16" s="157">
        <f>'Tourism Medium DB-LCU'!P140/'Tourism Medium DB-LCU'!P$139</f>
        <v>0.1774910367216618</v>
      </c>
      <c r="L16" s="157">
        <f>'Tourism Medium DB-LCU'!Q140/'Tourism Medium DB-LCU'!Q$139</f>
        <v>0.17707588212265937</v>
      </c>
    </row>
    <row r="17" spans="1:12">
      <c r="A17" t="s">
        <v>66</v>
      </c>
      <c r="C17" s="157">
        <f>'Tourism Medium DB-LCU'!H141/'Tourism Medium DB-LCU'!H$139</f>
        <v>0.81807428293826057</v>
      </c>
      <c r="D17" s="157">
        <f>'Tourism Medium DB-LCU'!I141/'Tourism Medium DB-LCU'!I$139</f>
        <v>0.81500050676151492</v>
      </c>
      <c r="E17" s="157">
        <f>'Tourism Medium DB-LCU'!J141/'Tourism Medium DB-LCU'!J$139</f>
        <v>0.81961488761488754</v>
      </c>
      <c r="F17" s="157">
        <f>'Tourism Medium DB-LCU'!K141/'Tourism Medium DB-LCU'!K$139</f>
        <v>0.82137706043956038</v>
      </c>
      <c r="G17" s="157">
        <f>'Tourism Medium DB-LCU'!L141/'Tourism Medium DB-LCU'!L$139</f>
        <v>0.82012086740135093</v>
      </c>
      <c r="H17" s="157">
        <f>'Tourism Medium DB-LCU'!M141/'Tourism Medium DB-LCU'!M$139</f>
        <v>0.82062890597841831</v>
      </c>
      <c r="I17" s="157">
        <f>'Tourism Medium DB-LCU'!N141/'Tourism Medium DB-LCU'!N$139</f>
        <v>0.82200904364118632</v>
      </c>
      <c r="J17" s="157">
        <f>'Tourism Medium DB-LCU'!O141/'Tourism Medium DB-LCU'!O$139</f>
        <v>0.82242520362082039</v>
      </c>
      <c r="K17" s="157">
        <f>'Tourism Medium DB-LCU'!P141/'Tourism Medium DB-LCU'!P$139</f>
        <v>0.82250896327833822</v>
      </c>
      <c r="L17" s="157">
        <f>'Tourism Medium DB-LCU'!Q141/'Tourism Medium DB-LCU'!Q$139</f>
        <v>0.82292411787734077</v>
      </c>
    </row>
    <row r="19" spans="1:12">
      <c r="A19" t="str">
        <f>$M$1</f>
        <v>Norway</v>
      </c>
    </row>
    <row r="20" spans="1:12">
      <c r="A20" t="s">
        <v>736</v>
      </c>
    </row>
    <row r="21" spans="1:12">
      <c r="A21" t="s">
        <v>65</v>
      </c>
      <c r="C21" s="157">
        <v>0.32909914114752742</v>
      </c>
      <c r="D21" s="157">
        <v>0.32812030610936882</v>
      </c>
      <c r="E21" s="157">
        <v>0.32825348506062541</v>
      </c>
      <c r="F21" s="157">
        <v>0.33220339144354227</v>
      </c>
      <c r="G21" s="157">
        <v>0.33405576607145882</v>
      </c>
      <c r="H21" s="157">
        <v>0.33550997897284773</v>
      </c>
      <c r="I21" s="157">
        <v>0.33612761430587806</v>
      </c>
      <c r="J21" s="157">
        <v>0.33904461219197507</v>
      </c>
      <c r="K21" s="157">
        <v>0.33881289206436394</v>
      </c>
      <c r="L21" s="157">
        <v>0.33971684804976932</v>
      </c>
    </row>
    <row r="22" spans="1:12">
      <c r="A22" t="s">
        <v>66</v>
      </c>
      <c r="C22" s="157">
        <v>0.67090085885247253</v>
      </c>
      <c r="D22" s="157">
        <v>0.67187969389063118</v>
      </c>
      <c r="E22" s="157">
        <v>0.67174651493937465</v>
      </c>
      <c r="F22" s="157">
        <v>0.66779660855645773</v>
      </c>
      <c r="G22" s="157">
        <v>0.66594423392854118</v>
      </c>
      <c r="H22" s="157">
        <v>0.66449002102715227</v>
      </c>
      <c r="I22" s="157">
        <v>0.66387238569412199</v>
      </c>
      <c r="J22" s="157">
        <v>0.66095538780802499</v>
      </c>
      <c r="K22" s="157">
        <v>0.66118710793563606</v>
      </c>
      <c r="L22" s="157">
        <v>0.66028315195023068</v>
      </c>
    </row>
    <row r="25" spans="1:12">
      <c r="A25" t="str">
        <f>Home!$B$1</f>
        <v>Hungary</v>
      </c>
    </row>
    <row r="26" spans="1:12">
      <c r="A26" t="s">
        <v>738</v>
      </c>
      <c r="B26" t="str">
        <f>'Tourism Medium DB-US$'!F136</f>
        <v>USD Million</v>
      </c>
      <c r="C26" s="613">
        <f>'Tourism Medium DB-US$'!G136</f>
        <v>11.73561117876768</v>
      </c>
      <c r="D26" s="613">
        <f>'Tourism Medium DB-US$'!H136</f>
        <v>9.2530542901597617</v>
      </c>
      <c r="E26" s="613">
        <f>'Tourism Medium DB-US$'!I136</f>
        <v>10.11297580477842</v>
      </c>
      <c r="F26" s="613">
        <f>'Tourism Medium DB-US$'!J136</f>
        <v>10.975876589948475</v>
      </c>
      <c r="G26" s="613">
        <f>'Tourism Medium DB-US$'!K136</f>
        <v>9.4699769281731019</v>
      </c>
      <c r="H26" s="613">
        <f>'Tourism Medium DB-US$'!L136</f>
        <v>9.7394466756089688</v>
      </c>
      <c r="I26" s="613">
        <f>'Tourism Medium DB-US$'!M136</f>
        <v>10.100331881409037</v>
      </c>
      <c r="J26" s="613">
        <f>'Tourism Medium DB-US$'!N136</f>
        <v>10.680814887271701</v>
      </c>
      <c r="K26" s="613">
        <f>'Tourism Medium DB-US$'!O136</f>
        <v>11.28757056734845</v>
      </c>
      <c r="L26" s="613">
        <f>'Tourism Medium DB-US$'!P136</f>
        <v>11.694984052505314</v>
      </c>
    </row>
    <row r="27" spans="1:12">
      <c r="A27" t="s">
        <v>737</v>
      </c>
      <c r="B27" t="s">
        <v>270</v>
      </c>
      <c r="C27" s="266">
        <f>('Tourism Medium DB-US$'!G136*1000000)/'Tourism Medium DB-US$'!G143</f>
        <v>515.82836705057719</v>
      </c>
      <c r="D27" s="266">
        <f>('Tourism Medium DB-US$'!H136*1000000)/'Tourism Medium DB-US$'!H143</f>
        <v>357.08155328058359</v>
      </c>
      <c r="E27" s="266">
        <f>('Tourism Medium DB-US$'!I136*1000000)/'Tourism Medium DB-US$'!I143</f>
        <v>383.63399737409134</v>
      </c>
      <c r="F27" s="266">
        <f>('Tourism Medium DB-US$'!J136*1000000)/'Tourism Medium DB-US$'!J143</f>
        <v>383.2359144535082</v>
      </c>
      <c r="G27" s="266">
        <f>('Tourism Medium DB-US$'!K136*1000000)/'Tourism Medium DB-US$'!K143</f>
        <v>337.59855007568723</v>
      </c>
      <c r="H27" s="266">
        <f>('Tourism Medium DB-US$'!L136*1000000)/'Tourism Medium DB-US$'!L143</f>
        <v>341.88786772093596</v>
      </c>
      <c r="I27" s="266">
        <f>('Tourism Medium DB-US$'!M136*1000000)/'Tourism Medium DB-US$'!M143</f>
        <v>351.009741565365</v>
      </c>
      <c r="J27" s="266">
        <f>('Tourism Medium DB-US$'!N136*1000000)/'Tourism Medium DB-US$'!N143</f>
        <v>366.92633178285701</v>
      </c>
      <c r="K27" s="266">
        <f>('Tourism Medium DB-US$'!O136*1000000)/'Tourism Medium DB-US$'!O143</f>
        <v>380.76152790841127</v>
      </c>
      <c r="L27" s="266">
        <f>('Tourism Medium DB-US$'!P136*1000000)/'Tourism Medium DB-US$'!P143</f>
        <v>389.0859429403659</v>
      </c>
    </row>
    <row r="28" spans="1:12">
      <c r="A28" t="s">
        <v>739</v>
      </c>
      <c r="B28" t="str">
        <f>'Tourism Medium DB-US$'!F143</f>
        <v>Actual</v>
      </c>
      <c r="C28" s="252">
        <f>'Tourism Medium DB-US$'!G143</f>
        <v>22751</v>
      </c>
      <c r="D28" s="252">
        <f>'Tourism Medium DB-US$'!H143</f>
        <v>25913</v>
      </c>
      <c r="E28" s="252">
        <f>'Tourism Medium DB-US$'!I143</f>
        <v>26361</v>
      </c>
      <c r="F28" s="252">
        <f>'Tourism Medium DB-US$'!J143</f>
        <v>28640</v>
      </c>
      <c r="G28" s="252">
        <f>'Tourism Medium DB-US$'!K143</f>
        <v>28051</v>
      </c>
      <c r="H28" s="252">
        <f>'Tourism Medium DB-US$'!L143</f>
        <v>28487.254433838923</v>
      </c>
      <c r="I28" s="252">
        <f>'Tourism Medium DB-US$'!M143</f>
        <v>28775.07568982428</v>
      </c>
      <c r="J28" s="252">
        <f>'Tourism Medium DB-US$'!N143</f>
        <v>29108.880889999713</v>
      </c>
      <c r="K28" s="252">
        <f>'Tourism Medium DB-US$'!O143</f>
        <v>29644.724427262969</v>
      </c>
      <c r="L28" s="252">
        <f>'Tourism Medium DB-US$'!P143</f>
        <v>30057.585643225801</v>
      </c>
    </row>
    <row r="29" spans="1:12">
      <c r="A29" t="s">
        <v>69</v>
      </c>
      <c r="B29" t="str">
        <f>'Tourism Medium DB-US$'!F144</f>
        <v>Million</v>
      </c>
      <c r="C29" s="244">
        <f>'Tourism Medium DB-US$'!G144</f>
        <v>1.0780523637058455</v>
      </c>
      <c r="D29" s="244">
        <f>'Tourism Medium DB-US$'!H144</f>
        <v>1.2030183883320529</v>
      </c>
      <c r="E29" s="244">
        <f>'Tourism Medium DB-US$'!I144</f>
        <v>1.2142702810193595</v>
      </c>
      <c r="F29" s="244">
        <f>'Tourism Medium DB-US$'!J144</f>
        <v>1.3349704659661277</v>
      </c>
      <c r="G29" s="244">
        <f>'Tourism Medium DB-US$'!K144</f>
        <v>1.3100132790610755</v>
      </c>
      <c r="H29" s="244">
        <f>'Tourism Medium DB-US$'!L144</f>
        <v>1.3311325785864183</v>
      </c>
      <c r="I29" s="244">
        <f>'Tourism Medium DB-US$'!M144</f>
        <v>1.3515449778513566</v>
      </c>
      <c r="J29" s="244">
        <f>'Tourism Medium DB-US$'!N144</f>
        <v>1.3701134383510227</v>
      </c>
      <c r="K29" s="244">
        <f>'Tourism Medium DB-US$'!O144</f>
        <v>1.3912787911202142</v>
      </c>
      <c r="L29" s="244">
        <f>'Tourism Medium DB-US$'!P144</f>
        <v>1.4051925126816738</v>
      </c>
    </row>
    <row r="30" spans="1:12">
      <c r="A30" t="s">
        <v>70</v>
      </c>
      <c r="B30" t="str">
        <f>'Tourism Medium DB-US$'!F145</f>
        <v>Million</v>
      </c>
      <c r="C30" s="244">
        <f>'Tourism Medium DB-US$'!G145</f>
        <v>5.9041598974397891</v>
      </c>
      <c r="D30" s="244">
        <f>'Tourism Medium DB-US$'!H145</f>
        <v>6.8686189956796344</v>
      </c>
      <c r="E30" s="244">
        <f>'Tourism Medium DB-US$'!I145</f>
        <v>7.0020660734926974</v>
      </c>
      <c r="F30" s="244">
        <f>'Tourism Medium DB-US$'!J145</f>
        <v>7.5225647729096545</v>
      </c>
      <c r="G30" s="244">
        <f>'Tourism Medium DB-US$'!K145</f>
        <v>7.5081894803578306</v>
      </c>
      <c r="H30" s="244">
        <f>'Tourism Medium DB-US$'!L145</f>
        <v>7.7140248844381256</v>
      </c>
      <c r="I30" s="244">
        <f>'Tourism Medium DB-US$'!M145</f>
        <v>7.9412147767709254</v>
      </c>
      <c r="J30" s="244">
        <f>'Tourism Medium DB-US$'!N145</f>
        <v>8.1340882368926462</v>
      </c>
      <c r="K30" s="244">
        <f>'Tourism Medium DB-US$'!O145</f>
        <v>8.3591442604072448</v>
      </c>
      <c r="L30" s="244">
        <f>'Tourism Medium DB-US$'!P145</f>
        <v>8.5360850110249462</v>
      </c>
    </row>
    <row r="31" spans="1:12">
      <c r="A31" t="s">
        <v>71</v>
      </c>
      <c r="B31" t="str">
        <f>'Tourism Medium DB-US$'!F146</f>
        <v>Days</v>
      </c>
      <c r="C31" s="244">
        <f>'Tourism Medium DB-US$'!G146</f>
        <v>5.4766912037037034</v>
      </c>
      <c r="D31" s="244">
        <f>'Tourism Medium DB-US$'!H146</f>
        <v>5.7094879532163745</v>
      </c>
      <c r="E31" s="244">
        <f>'Tourism Medium DB-US$'!I146</f>
        <v>5.7664806451612902</v>
      </c>
      <c r="F31" s="244">
        <f>'Tourism Medium DB-US$'!J146</f>
        <v>5.63500464219298</v>
      </c>
      <c r="G31" s="244">
        <f>'Tourism Medium DB-US$'!K146</f>
        <v>5.7313842541650937</v>
      </c>
      <c r="H31" s="244">
        <f>'Tourism Medium DB-US$'!L146</f>
        <v>5.7950838320176565</v>
      </c>
      <c r="I31" s="244">
        <f>'Tourism Medium DB-US$'!M146</f>
        <v>5.8756570494572937</v>
      </c>
      <c r="J31" s="244">
        <f>'Tourism Medium DB-US$'!N146</f>
        <v>5.9367991067092172</v>
      </c>
      <c r="K31" s="244">
        <f>'Tourism Medium DB-US$'!O146</f>
        <v>6.0082453019187643</v>
      </c>
      <c r="L31" s="244">
        <f>'Tourism Medium DB-US$'!P146</f>
        <v>6.0746729960399906</v>
      </c>
    </row>
    <row r="32" spans="1:12">
      <c r="A32" t="s">
        <v>72</v>
      </c>
      <c r="B32" t="str">
        <f>'Tourism Medium DB-US$'!F147</f>
        <v>%</v>
      </c>
      <c r="C32" s="157">
        <f>'Tourism Medium DB-US$'!G147</f>
        <v>0.71099206808188342</v>
      </c>
      <c r="D32" s="157">
        <f>'Tourism Medium DB-US$'!H147</f>
        <v>0.72620438524056363</v>
      </c>
      <c r="E32" s="157">
        <f>'Tourism Medium DB-US$'!I147</f>
        <v>0.72773197781204357</v>
      </c>
      <c r="F32" s="157">
        <f>'Tourism Medium DB-US$'!J147</f>
        <v>0.71961475213415993</v>
      </c>
      <c r="G32" s="157">
        <f>'Tourism Medium DB-US$'!K147</f>
        <v>0.73332081344574729</v>
      </c>
      <c r="H32" s="157">
        <f>'Tourism Medium DB-US$'!L147</f>
        <v>0.74188668483195874</v>
      </c>
      <c r="I32" s="157">
        <f>'Tourism Medium DB-US$'!M147</f>
        <v>0.75609715323059468</v>
      </c>
      <c r="J32" s="157">
        <f>'Tourism Medium DB-US$'!N147</f>
        <v>0.76557987014254103</v>
      </c>
      <c r="K32" s="157">
        <f>'Tourism Medium DB-US$'!O147</f>
        <v>0.77254100145874149</v>
      </c>
      <c r="L32" s="157">
        <f>'Tourism Medium DB-US$'!P147</f>
        <v>0.77805764422903312</v>
      </c>
    </row>
    <row r="33" spans="1:12">
      <c r="A33" t="s">
        <v>73</v>
      </c>
      <c r="B33" t="str">
        <f>'Tourism Medium DB-US$'!F148</f>
        <v>USD</v>
      </c>
      <c r="C33" s="244">
        <f>'Tourism Medium DB-US$'!G148</f>
        <v>1.9876851885154017</v>
      </c>
      <c r="D33" s="244">
        <f>'Tourism Medium DB-US$'!H148</f>
        <v>1.3471491570547061</v>
      </c>
      <c r="E33" s="244">
        <f>'Tourism Medium DB-US$'!I148</f>
        <v>1.4442845438237877</v>
      </c>
      <c r="F33" s="244">
        <f>'Tourism Medium DB-US$'!J148</f>
        <v>1.4590604296921348</v>
      </c>
      <c r="G33" s="244">
        <f>'Tourism Medium DB-US$'!K148</f>
        <v>1.2612863531144893</v>
      </c>
      <c r="H33" s="244">
        <f>'Tourism Medium DB-US$'!L148</f>
        <v>1.2625635542421989</v>
      </c>
      <c r="I33" s="244">
        <f>'Tourism Medium DB-US$'!M148</f>
        <v>1.2718875090689912</v>
      </c>
      <c r="J33" s="244">
        <f>'Tourism Medium DB-US$'!N148</f>
        <v>1.3130930690950982</v>
      </c>
      <c r="K33" s="244">
        <f>'Tourism Medium DB-US$'!O148</f>
        <v>1.3503260879001191</v>
      </c>
      <c r="L33" s="244">
        <f>'Tourism Medium DB-US$'!P148</f>
        <v>1.3700641497127115</v>
      </c>
    </row>
    <row r="35" spans="1:12">
      <c r="A35" t="str">
        <f>$M$1</f>
        <v>Norway</v>
      </c>
    </row>
    <row r="36" spans="1:12">
      <c r="A36" t="s">
        <v>738</v>
      </c>
      <c r="B36" t="s">
        <v>277</v>
      </c>
      <c r="C36" s="85">
        <v>217.0713113113064</v>
      </c>
      <c r="D36" s="85">
        <v>176.95471645947987</v>
      </c>
      <c r="E36" s="85">
        <v>195.18579971957422</v>
      </c>
      <c r="F36" s="85">
        <v>226.1896566628491</v>
      </c>
      <c r="G36" s="85">
        <v>223.54847251352135</v>
      </c>
      <c r="H36" s="85">
        <v>227.83310366899713</v>
      </c>
      <c r="I36" s="85">
        <v>233.30313654191704</v>
      </c>
      <c r="J36" s="85">
        <v>240.28839114455852</v>
      </c>
      <c r="K36" s="85">
        <v>247.95397216873258</v>
      </c>
      <c r="L36" s="85">
        <v>255.51974326200991</v>
      </c>
    </row>
    <row r="37" spans="1:12">
      <c r="A37" t="s">
        <v>737</v>
      </c>
      <c r="B37" t="s">
        <v>270</v>
      </c>
      <c r="C37" s="252">
        <v>10204.165718922064</v>
      </c>
      <c r="D37" s="252">
        <v>8144.124801121111</v>
      </c>
      <c r="E37" s="252">
        <v>8734.0876138990716</v>
      </c>
      <c r="F37" s="252">
        <v>9821.9418313207025</v>
      </c>
      <c r="G37" s="252">
        <v>9453.939908708875</v>
      </c>
      <c r="H37" s="252">
        <v>9482.7729821442244</v>
      </c>
      <c r="I37" s="252">
        <v>9572.196140890208</v>
      </c>
      <c r="J37" s="252">
        <v>9710.5835984869063</v>
      </c>
      <c r="K37" s="252">
        <v>9837.4914568035147</v>
      </c>
      <c r="L37" s="252">
        <v>9983.1898129326</v>
      </c>
    </row>
    <row r="38" spans="1:12">
      <c r="A38" t="s">
        <v>739</v>
      </c>
      <c r="B38" t="s">
        <v>175</v>
      </c>
      <c r="C38" s="252">
        <v>21272.813210861608</v>
      </c>
      <c r="D38" s="252">
        <v>21727.898427479951</v>
      </c>
      <c r="E38" s="252">
        <v>22347.588935215565</v>
      </c>
      <c r="F38" s="252">
        <v>23029.016109784334</v>
      </c>
      <c r="G38" s="252">
        <v>23646.064463302831</v>
      </c>
      <c r="H38" s="252">
        <v>24026</v>
      </c>
      <c r="I38" s="252">
        <v>24373</v>
      </c>
      <c r="J38" s="252">
        <v>24745</v>
      </c>
      <c r="K38" s="252">
        <v>25205</v>
      </c>
      <c r="L38" s="252">
        <v>25595</v>
      </c>
    </row>
    <row r="39" spans="1:12">
      <c r="A39" t="s">
        <v>69</v>
      </c>
      <c r="B39" t="s">
        <v>177</v>
      </c>
      <c r="C39" s="85">
        <v>1.0257551260742352</v>
      </c>
      <c r="D39" s="85">
        <v>1.0277894720000993</v>
      </c>
      <c r="E39" s="85">
        <v>1.0554264843364582</v>
      </c>
      <c r="F39" s="85">
        <v>1.0759433436554793</v>
      </c>
      <c r="G39" s="85">
        <v>1.0954767143810349</v>
      </c>
      <c r="H39" s="85">
        <v>1.1014233483696967</v>
      </c>
      <c r="I39" s="85">
        <v>1.1072989305123639</v>
      </c>
      <c r="J39" s="85">
        <v>1.1257332618282219</v>
      </c>
      <c r="K39" s="85">
        <v>1.1366302640888906</v>
      </c>
      <c r="L39" s="85">
        <v>1.1489015155882809</v>
      </c>
    </row>
    <row r="40" spans="1:12">
      <c r="A40" t="s">
        <v>70</v>
      </c>
      <c r="B40" t="s">
        <v>177</v>
      </c>
      <c r="C40" s="85">
        <v>5.6223281567877077</v>
      </c>
      <c r="D40" s="85">
        <v>5.8973771330390692</v>
      </c>
      <c r="E40" s="85">
        <v>6.1055332646364144</v>
      </c>
      <c r="F40" s="85">
        <v>6.1263378279568208</v>
      </c>
      <c r="G40" s="85">
        <v>6.316435879427579</v>
      </c>
      <c r="H40" s="85">
        <v>6.4246189909873239</v>
      </c>
      <c r="I40" s="85">
        <v>6.5415899102758468</v>
      </c>
      <c r="J40" s="85">
        <v>6.6862491968001212</v>
      </c>
      <c r="K40" s="85">
        <v>6.8228746568960466</v>
      </c>
      <c r="L40" s="85">
        <v>6.9674014911371858</v>
      </c>
    </row>
    <row r="41" spans="1:12">
      <c r="A41" t="s">
        <v>71</v>
      </c>
      <c r="B41" t="s">
        <v>450</v>
      </c>
      <c r="C41" s="85">
        <v>5.4811601851851846</v>
      </c>
      <c r="D41" s="85">
        <v>5.7379232748538014</v>
      </c>
      <c r="E41" s="85">
        <v>5.7848967741935482</v>
      </c>
      <c r="F41" s="85">
        <v>5.6939223278642217</v>
      </c>
      <c r="G41" s="85">
        <v>5.7659243656278765</v>
      </c>
      <c r="H41" s="85">
        <v>5.8330150713591715</v>
      </c>
      <c r="I41" s="85">
        <v>5.9077000166964435</v>
      </c>
      <c r="J41" s="85">
        <v>5.9394613480119327</v>
      </c>
      <c r="K41" s="85">
        <v>6.0027212651822026</v>
      </c>
      <c r="L41" s="85">
        <v>6.0644027330485448</v>
      </c>
    </row>
    <row r="42" spans="1:12">
      <c r="A42" t="s">
        <v>72</v>
      </c>
      <c r="B42" t="s">
        <v>176</v>
      </c>
      <c r="C42" s="612">
        <v>0.72409975272357763</v>
      </c>
      <c r="D42" s="612">
        <v>0.74361529619128097</v>
      </c>
      <c r="E42" s="612">
        <v>0.74851423322472144</v>
      </c>
      <c r="F42" s="612">
        <v>0.72884082932012351</v>
      </c>
      <c r="G42" s="612">
        <v>0.73184710318752444</v>
      </c>
      <c r="H42" s="612">
        <v>0.73261033321063418</v>
      </c>
      <c r="I42" s="612">
        <v>0.73532860697255342</v>
      </c>
      <c r="J42" s="612">
        <v>0.74029060214739617</v>
      </c>
      <c r="K42" s="612">
        <v>0.74163091764202538</v>
      </c>
      <c r="L42" s="612">
        <v>0.74580078955245288</v>
      </c>
    </row>
    <row r="43" spans="1:12">
      <c r="A43" t="s">
        <v>73</v>
      </c>
      <c r="B43" t="s">
        <v>270</v>
      </c>
      <c r="C43" s="85">
        <v>38.608794303342322</v>
      </c>
      <c r="D43" s="85">
        <v>30.005663953237899</v>
      </c>
      <c r="E43" s="85">
        <v>31.968673539148678</v>
      </c>
      <c r="F43" s="85">
        <v>36.920859249821198</v>
      </c>
      <c r="G43" s="85">
        <v>35.391552575022764</v>
      </c>
      <c r="H43" s="85">
        <v>35.462508202993703</v>
      </c>
      <c r="I43" s="85">
        <v>35.664592207994133</v>
      </c>
      <c r="J43" s="85">
        <v>35.937696019399759</v>
      </c>
      <c r="K43" s="85">
        <v>36.341569299989914</v>
      </c>
      <c r="L43" s="85">
        <v>36.673606880131899</v>
      </c>
    </row>
  </sheetData>
  <customSheetViews>
    <customSheetView guid="{BD5E9955-DC4B-4EA0-9160-9EF1C693DE04}" state="hidden">
      <selection activeCell="C37" sqref="C37:L37"/>
      <pageMargins left="0.7" right="0.7" top="0.75" bottom="0.75" header="0.3" footer="0.3"/>
    </customSheetView>
    <customSheetView guid="{1ACDCC85-59E3-4410-927D-E7E5C71B61F5}" state="hidden">
      <selection activeCell="C37" sqref="C37:L37"/>
      <pageMargins left="0.7" right="0.7" top="0.75" bottom="0.75" header="0.3" footer="0.3"/>
    </customSheetView>
    <customSheetView guid="{9144D9B3-2327-4B3A-89B1-6A595780C3C5}" state="hidden">
      <selection activeCell="C37" sqref="C37:L37"/>
      <pageMargins left="0.7" right="0.7" top="0.75" bottom="0.75" header="0.3" footer="0.3"/>
    </customSheetView>
    <customSheetView guid="{513032B5-C585-49C2-98E7-9FDE6F7A4BA7}" state="hidden">
      <selection activeCell="C37" sqref="C37:L37"/>
      <pageMargins left="0.7" right="0.7" top="0.75" bottom="0.75" header="0.3" footer="0.3"/>
    </customSheetView>
    <customSheetView guid="{AF983ECA-536A-40E6-8A04-FF0A375E9ACC}" state="hidden">
      <selection activeCell="C37" sqref="C37:L37"/>
      <pageMargins left="0.7" right="0.7" top="0.75" bottom="0.75" header="0.3" footer="0.3"/>
    </customSheetView>
  </customSheetViews>
  <conditionalFormatting sqref="C1:M1">
    <cfRule type="containsText" dxfId="6" priority="3" operator="containsText" text="false">
      <formula>NOT(ISERROR(SEARCH("false",C1)))</formula>
    </cfRule>
  </conditionalFormatting>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AP140"/>
  <sheetViews>
    <sheetView workbookViewId="0"/>
  </sheetViews>
  <sheetFormatPr defaultRowHeight="15"/>
  <cols>
    <col min="1" max="1" width="23.42578125" customWidth="1"/>
    <col min="2" max="6" width="15.28515625" bestFit="1" customWidth="1"/>
    <col min="7" max="7" width="15.28515625" style="114" customWidth="1"/>
    <col min="9" max="9" width="11" bestFit="1" customWidth="1"/>
    <col min="10" max="10" width="11" customWidth="1"/>
    <col min="11" max="11" width="9.42578125" customWidth="1"/>
    <col min="13" max="13" width="7.28515625" customWidth="1"/>
    <col min="14" max="15" width="9.140625" customWidth="1"/>
    <col min="16" max="16" width="9.5703125" bestFit="1" customWidth="1"/>
    <col min="17" max="17" width="9.7109375" bestFit="1" customWidth="1"/>
    <col min="18" max="19" width="9.5703125" bestFit="1" customWidth="1"/>
    <col min="26" max="26" width="20.42578125" bestFit="1" customWidth="1"/>
  </cols>
  <sheetData>
    <row r="1" spans="1:17">
      <c r="B1" s="338">
        <v>2008</v>
      </c>
      <c r="C1" s="338">
        <v>2009</v>
      </c>
      <c r="D1" s="338">
        <v>2010</v>
      </c>
      <c r="E1" s="338">
        <v>2011</v>
      </c>
      <c r="F1" s="338">
        <v>2012</v>
      </c>
      <c r="G1" s="616"/>
    </row>
    <row r="2" spans="1:17">
      <c r="A2" t="s">
        <v>750</v>
      </c>
      <c r="B2" s="266">
        <f t="shared" ref="B2" si="0">C2/(1+C6)</f>
        <v>2019.8551586425158</v>
      </c>
      <c r="C2" s="266">
        <f>D2/(1+D6)*1.07</f>
        <v>1872.2784268589198</v>
      </c>
      <c r="D2" s="266">
        <f>E2/(1+E6)</f>
        <v>2102.934326278521</v>
      </c>
      <c r="E2" s="266">
        <f>F2/(1+F6)</f>
        <v>2206.7548677920909</v>
      </c>
      <c r="F2" s="266">
        <f>K10</f>
        <v>2131.7312648005327</v>
      </c>
      <c r="G2" s="373"/>
      <c r="M2" t="s">
        <v>775</v>
      </c>
    </row>
    <row r="3" spans="1:17">
      <c r="C3" s="620">
        <f>C2/B2-1</f>
        <v>-7.3063026896828531E-2</v>
      </c>
      <c r="D3" s="620">
        <f t="shared" ref="D3" si="1">D2/C2-1</f>
        <v>0.12319529836519427</v>
      </c>
      <c r="E3" s="620">
        <f t="shared" ref="E3" si="2">E2/D2-1</f>
        <v>4.9369369369369309E-2</v>
      </c>
      <c r="F3" s="620">
        <f t="shared" ref="F3" si="3">F2/E2-1</f>
        <v>-3.3997252747252849E-2</v>
      </c>
    </row>
    <row r="4" spans="1:17">
      <c r="B4" s="273"/>
      <c r="C4" s="273"/>
      <c r="D4" s="273"/>
      <c r="E4" s="273"/>
      <c r="F4" s="273"/>
      <c r="G4" s="617"/>
      <c r="M4" s="266"/>
    </row>
    <row r="5" spans="1:17">
      <c r="A5" t="s">
        <v>749</v>
      </c>
      <c r="B5">
        <v>2491</v>
      </c>
      <c r="C5">
        <v>2309</v>
      </c>
      <c r="D5">
        <v>2775</v>
      </c>
      <c r="E5">
        <v>2912</v>
      </c>
      <c r="F5">
        <v>2813</v>
      </c>
      <c r="H5" t="s">
        <v>743</v>
      </c>
      <c r="I5">
        <v>28051</v>
      </c>
      <c r="J5" t="s">
        <v>64</v>
      </c>
      <c r="K5">
        <v>2813</v>
      </c>
      <c r="M5" s="266"/>
      <c r="P5" t="s">
        <v>743</v>
      </c>
      <c r="Q5" t="s">
        <v>744</v>
      </c>
    </row>
    <row r="6" spans="1:17">
      <c r="C6" s="620">
        <f>C5/B5-1</f>
        <v>-7.3063026896828531E-2</v>
      </c>
      <c r="D6" s="620">
        <f t="shared" ref="D6:F6" si="4">D5/C5-1</f>
        <v>0.20181896925075793</v>
      </c>
      <c r="E6" s="620">
        <f t="shared" si="4"/>
        <v>4.9369369369369309E-2</v>
      </c>
      <c r="F6" s="620">
        <f t="shared" si="4"/>
        <v>-3.3997252747252737E-2</v>
      </c>
      <c r="H6" t="s">
        <v>745</v>
      </c>
      <c r="I6">
        <v>3667</v>
      </c>
      <c r="M6" s="157">
        <f>(I6/SUM(I5:I6))*Q15/P15</f>
        <v>0.22256336075837621</v>
      </c>
      <c r="P6">
        <v>691</v>
      </c>
      <c r="Q6">
        <v>705</v>
      </c>
    </row>
    <row r="7" spans="1:17">
      <c r="H7" t="s">
        <v>746</v>
      </c>
      <c r="I7">
        <v>247</v>
      </c>
      <c r="J7" t="s">
        <v>747</v>
      </c>
      <c r="K7">
        <v>71</v>
      </c>
      <c r="M7" s="266"/>
      <c r="P7">
        <v>259</v>
      </c>
      <c r="Q7">
        <v>705</v>
      </c>
    </row>
    <row r="8" spans="1:17">
      <c r="B8" s="266"/>
      <c r="C8" s="266"/>
      <c r="D8" s="266"/>
      <c r="I8">
        <f>SUM(I5:I7)</f>
        <v>31965</v>
      </c>
      <c r="K8">
        <f>K5-K7</f>
        <v>2742</v>
      </c>
      <c r="L8" t="s">
        <v>748</v>
      </c>
      <c r="M8" s="85">
        <f>M6*K8</f>
        <v>610.26873519946753</v>
      </c>
      <c r="P8">
        <v>376</v>
      </c>
      <c r="Q8">
        <v>896</v>
      </c>
    </row>
    <row r="9" spans="1:17">
      <c r="A9" t="s">
        <v>739</v>
      </c>
      <c r="B9" s="266">
        <v>22751</v>
      </c>
      <c r="C9" s="266">
        <v>25913</v>
      </c>
      <c r="D9" s="266">
        <v>26361</v>
      </c>
      <c r="E9" s="266">
        <v>28640</v>
      </c>
      <c r="F9" s="266">
        <v>28051</v>
      </c>
      <c r="P9">
        <v>456</v>
      </c>
      <c r="Q9">
        <v>999</v>
      </c>
    </row>
    <row r="10" spans="1:17">
      <c r="B10" s="266"/>
      <c r="C10" s="266"/>
      <c r="D10" s="266"/>
      <c r="E10" s="273"/>
      <c r="F10" s="273"/>
      <c r="G10" s="617"/>
      <c r="I10" s="85"/>
      <c r="J10" s="85"/>
      <c r="K10" s="85">
        <f>K8-M8</f>
        <v>2131.7312648005327</v>
      </c>
      <c r="P10">
        <v>629</v>
      </c>
      <c r="Q10">
        <v>1185</v>
      </c>
    </row>
    <row r="11" spans="1:17">
      <c r="B11" s="266"/>
      <c r="C11" s="266"/>
      <c r="D11" s="266"/>
      <c r="E11" s="266"/>
      <c r="F11" s="266"/>
      <c r="G11" s="115"/>
      <c r="I11" s="252"/>
      <c r="J11" s="252"/>
      <c r="P11">
        <v>519</v>
      </c>
      <c r="Q11">
        <v>1349</v>
      </c>
    </row>
    <row r="12" spans="1:17">
      <c r="B12" s="266"/>
      <c r="C12" s="266"/>
      <c r="D12" s="266"/>
      <c r="E12" s="266"/>
      <c r="F12" s="266"/>
      <c r="I12" s="266"/>
      <c r="J12" s="266"/>
      <c r="M12" s="252"/>
      <c r="P12">
        <v>595</v>
      </c>
      <c r="Q12">
        <v>1878</v>
      </c>
    </row>
    <row r="13" spans="1:17">
      <c r="B13" s="157"/>
      <c r="I13" s="266"/>
      <c r="J13" s="266"/>
      <c r="M13">
        <v>2011</v>
      </c>
      <c r="N13">
        <v>2012</v>
      </c>
      <c r="P13">
        <v>691</v>
      </c>
    </row>
    <row r="14" spans="1:17">
      <c r="A14" t="s">
        <v>65</v>
      </c>
      <c r="B14" s="615">
        <f>FORECAST(B2,C14:D14,C2:D2)</f>
        <v>367.46359809689318</v>
      </c>
      <c r="C14" s="615">
        <f>FORECAST(C2,D14:E14,D2:E2)</f>
        <v>346.37056017024804</v>
      </c>
      <c r="D14" s="615">
        <f>FORECAST(D2,E14:F14,E2:F2)</f>
        <v>379.33804478426163</v>
      </c>
      <c r="E14" s="615">
        <f>E18/E5*E2*1.03</f>
        <v>394.17704137433242</v>
      </c>
      <c r="F14" s="615">
        <f>F18/F5*F2</f>
        <v>383.45397084574103</v>
      </c>
      <c r="G14" s="469"/>
      <c r="J14" t="s">
        <v>752</v>
      </c>
      <c r="K14" s="266"/>
      <c r="M14">
        <v>191</v>
      </c>
      <c r="N14">
        <v>190</v>
      </c>
      <c r="P14">
        <v>938</v>
      </c>
    </row>
    <row r="15" spans="1:17">
      <c r="A15" t="s">
        <v>66</v>
      </c>
      <c r="B15" s="266">
        <f>B2-B14</f>
        <v>1652.3915605456227</v>
      </c>
      <c r="C15" s="266">
        <f t="shared" ref="C15:F15" si="5">C2-C14</f>
        <v>1525.9078666886717</v>
      </c>
      <c r="D15" s="266">
        <f t="shared" si="5"/>
        <v>1723.5962814942593</v>
      </c>
      <c r="E15" s="266">
        <f t="shared" si="5"/>
        <v>1812.5778264177584</v>
      </c>
      <c r="F15" s="266">
        <f t="shared" si="5"/>
        <v>1748.2772939547917</v>
      </c>
      <c r="G15" s="617"/>
      <c r="H15" s="273"/>
      <c r="I15" s="101"/>
      <c r="J15" s="101" t="s">
        <v>753</v>
      </c>
      <c r="K15" s="266"/>
      <c r="M15">
        <v>97</v>
      </c>
      <c r="N15">
        <v>89</v>
      </c>
      <c r="P15" s="266">
        <f>AVERAGE(P6:P14)</f>
        <v>572.66666666666663</v>
      </c>
      <c r="Q15" s="266">
        <f>AVERAGE(Q6:Q14)</f>
        <v>1102.4285714285713</v>
      </c>
    </row>
    <row r="16" spans="1:17">
      <c r="B16" s="273"/>
      <c r="C16" s="273"/>
      <c r="D16" s="273"/>
      <c r="E16" s="273"/>
      <c r="F16" s="273"/>
      <c r="G16" s="617"/>
      <c r="H16" s="273"/>
      <c r="J16" t="s">
        <v>754</v>
      </c>
      <c r="M16">
        <v>25</v>
      </c>
      <c r="N16">
        <v>26</v>
      </c>
    </row>
    <row r="17" spans="1:39">
      <c r="D17" s="273"/>
      <c r="J17" t="s">
        <v>755</v>
      </c>
      <c r="M17">
        <v>29</v>
      </c>
      <c r="N17">
        <v>26</v>
      </c>
    </row>
    <row r="18" spans="1:39">
      <c r="A18" t="s">
        <v>751</v>
      </c>
      <c r="B18" s="266"/>
      <c r="C18" s="266"/>
      <c r="D18" s="266"/>
      <c r="E18" s="273">
        <f>M20</f>
        <v>505</v>
      </c>
      <c r="F18" s="273">
        <f>N20</f>
        <v>506</v>
      </c>
      <c r="G18" s="617"/>
      <c r="J18" t="s">
        <v>756</v>
      </c>
      <c r="M18">
        <v>40</v>
      </c>
      <c r="N18">
        <v>42</v>
      </c>
    </row>
    <row r="19" spans="1:39">
      <c r="D19" s="273"/>
      <c r="J19" t="s">
        <v>757</v>
      </c>
      <c r="M19">
        <v>123</v>
      </c>
      <c r="N19">
        <v>133</v>
      </c>
    </row>
    <row r="20" spans="1:39">
      <c r="B20" s="273"/>
      <c r="C20" s="273"/>
      <c r="D20" s="121"/>
      <c r="E20" s="273"/>
      <c r="F20" s="273"/>
      <c r="G20" s="617"/>
      <c r="K20" s="253"/>
      <c r="M20">
        <f>SUM(M14:M19)</f>
        <v>505</v>
      </c>
      <c r="N20">
        <f>SUM(N14:N19)</f>
        <v>506</v>
      </c>
    </row>
    <row r="21" spans="1:39">
      <c r="B21" s="154"/>
      <c r="C21" s="101"/>
      <c r="D21" s="101"/>
      <c r="E21" s="248"/>
      <c r="F21" s="101"/>
      <c r="G21" s="115"/>
      <c r="K21" s="273"/>
    </row>
    <row r="22" spans="1:39">
      <c r="B22" s="154"/>
      <c r="C22" s="101"/>
      <c r="D22" s="101"/>
      <c r="E22" s="248"/>
      <c r="F22" s="101"/>
      <c r="G22" s="115"/>
      <c r="K22" s="273"/>
    </row>
    <row r="23" spans="1:39">
      <c r="A23" t="s">
        <v>150</v>
      </c>
      <c r="B23" s="154"/>
      <c r="C23" s="101"/>
      <c r="D23" s="101"/>
      <c r="E23" s="248"/>
      <c r="F23" s="101"/>
      <c r="G23" s="115"/>
      <c r="O23" t="s">
        <v>123</v>
      </c>
      <c r="R23" s="273"/>
      <c r="AB23" t="s">
        <v>776</v>
      </c>
    </row>
    <row r="24" spans="1:39">
      <c r="A24" t="s">
        <v>263</v>
      </c>
      <c r="B24" s="154">
        <v>18.184999999999999</v>
      </c>
      <c r="C24">
        <v>16.934000000000001</v>
      </c>
      <c r="D24">
        <v>18.850000000000001</v>
      </c>
      <c r="E24">
        <v>19.428999999999998</v>
      </c>
      <c r="F24">
        <v>20.331</v>
      </c>
      <c r="H24" s="612">
        <f>B24/SUM(B24:B25)</f>
        <v>0.48499799973329777</v>
      </c>
      <c r="I24" s="612">
        <f t="shared" ref="I24:L24" si="6">C24/SUM(C24:C25)</f>
        <v>0.43855696268096239</v>
      </c>
      <c r="J24" s="612">
        <f t="shared" si="6"/>
        <v>0.47690128017001476</v>
      </c>
      <c r="K24" s="612">
        <f t="shared" si="6"/>
        <v>0.46539871128464316</v>
      </c>
      <c r="L24" s="612">
        <f t="shared" si="6"/>
        <v>0.45939533622559653</v>
      </c>
      <c r="O24" t="s">
        <v>263</v>
      </c>
      <c r="P24">
        <v>3.7109999999999999</v>
      </c>
      <c r="Q24">
        <v>3.4039999999999999</v>
      </c>
      <c r="R24" s="273">
        <v>3.5710000000000002</v>
      </c>
      <c r="S24">
        <v>3.5790000000000002</v>
      </c>
      <c r="T24">
        <v>3.5019999999999998</v>
      </c>
      <c r="V24" s="157">
        <f>P24/SUM(P24:P25)</f>
        <v>0.2686794092093831</v>
      </c>
      <c r="W24" s="157">
        <f t="shared" ref="W24:Z24" si="7">Q24/SUM(Q24:Q25)</f>
        <v>0.28749999999999998</v>
      </c>
      <c r="X24" s="157">
        <f t="shared" si="7"/>
        <v>0.29822949724402875</v>
      </c>
      <c r="Y24" s="157">
        <f t="shared" si="7"/>
        <v>0.28270142180094787</v>
      </c>
      <c r="Z24" s="157">
        <f t="shared" si="7"/>
        <v>0.27995842993045006</v>
      </c>
      <c r="AB24" t="s">
        <v>19</v>
      </c>
      <c r="AC24">
        <v>28.504332283254939</v>
      </c>
      <c r="AD24">
        <v>25.05787176551798</v>
      </c>
      <c r="AE24">
        <v>26.321273246897775</v>
      </c>
      <c r="AF24">
        <v>26.660288187522596</v>
      </c>
      <c r="AG24">
        <v>28.621406126577568</v>
      </c>
      <c r="AI24" s="157">
        <f>AC24/SUM(AC24:AC25)</f>
        <v>0.44372719044532871</v>
      </c>
      <c r="AJ24" s="157">
        <f>AD24/SUM(AD24:AD25)</f>
        <v>0.42470298113118543</v>
      </c>
      <c r="AK24" s="157">
        <f>AE24/SUM(AE24:AE25)</f>
        <v>0.42267015916009032</v>
      </c>
      <c r="AL24" s="157">
        <f>AF24/SUM(AF24:AF25)</f>
        <v>0.40655033430498982</v>
      </c>
      <c r="AM24" s="157">
        <f>AG24/SUM(AG24:AG25)</f>
        <v>0.41555650747490275</v>
      </c>
    </row>
    <row r="25" spans="1:39">
      <c r="A25" t="s">
        <v>262</v>
      </c>
      <c r="B25" s="154">
        <v>19.309999999999999</v>
      </c>
      <c r="C25">
        <v>21.678999999999998</v>
      </c>
      <c r="D25">
        <v>20.675999999999998</v>
      </c>
      <c r="E25">
        <v>22.318000000000001</v>
      </c>
      <c r="F25">
        <v>23.925000000000001</v>
      </c>
      <c r="H25" s="612">
        <f>B25/SUM(B24:B25)</f>
        <v>0.51500200026670218</v>
      </c>
      <c r="I25" s="612">
        <f t="shared" ref="I25:L25" si="8">C25/SUM(C24:C25)</f>
        <v>0.56144303731903755</v>
      </c>
      <c r="J25" s="612">
        <f t="shared" si="8"/>
        <v>0.52309871982998535</v>
      </c>
      <c r="K25" s="612">
        <f t="shared" si="8"/>
        <v>0.53460128871535684</v>
      </c>
      <c r="L25" s="612">
        <f t="shared" si="8"/>
        <v>0.54060466377440353</v>
      </c>
      <c r="O25" t="s">
        <v>262</v>
      </c>
      <c r="P25">
        <v>10.101000000000001</v>
      </c>
      <c r="Q25">
        <v>8.4359999999999999</v>
      </c>
      <c r="R25" s="273">
        <v>8.4030000000000005</v>
      </c>
      <c r="S25">
        <v>9.0809999999999995</v>
      </c>
      <c r="T25">
        <v>9.0069999999999997</v>
      </c>
      <c r="V25" s="157">
        <f>P25/SUM(P24:P25)</f>
        <v>0.73132059079061684</v>
      </c>
      <c r="W25" s="157">
        <f t="shared" ref="W25:Z25" si="9">Q25/SUM(Q24:Q25)</f>
        <v>0.71250000000000002</v>
      </c>
      <c r="X25" s="157">
        <f t="shared" si="9"/>
        <v>0.7017705027559713</v>
      </c>
      <c r="Y25" s="157">
        <f t="shared" si="9"/>
        <v>0.71729857819905207</v>
      </c>
      <c r="Z25" s="157">
        <f t="shared" si="9"/>
        <v>0.72004157006954983</v>
      </c>
      <c r="AB25" t="s">
        <v>20</v>
      </c>
      <c r="AC25">
        <v>35.734084692382112</v>
      </c>
      <c r="AD25">
        <v>33.943060365396157</v>
      </c>
      <c r="AE25">
        <v>35.952517974138829</v>
      </c>
      <c r="AF25">
        <v>38.916556640557978</v>
      </c>
      <c r="AG25">
        <v>40.253477581761757</v>
      </c>
      <c r="AI25" s="157">
        <f>AC25/SUM(AC24:AC25)</f>
        <v>0.55627280955467129</v>
      </c>
      <c r="AJ25" s="157">
        <f>AD25/SUM(AD24:AD25)</f>
        <v>0.57529701886881457</v>
      </c>
      <c r="AK25" s="157">
        <f>AE25/SUM(AE24:AE25)</f>
        <v>0.57732984083990968</v>
      </c>
      <c r="AL25" s="157">
        <f>AF25/SUM(AF24:AF25)</f>
        <v>0.59344966569501034</v>
      </c>
      <c r="AM25" s="157">
        <f>AG25/SUM(AG24:AG25)</f>
        <v>0.58444349252509731</v>
      </c>
    </row>
    <row r="26" spans="1:39">
      <c r="B26" s="154"/>
      <c r="R26" s="273"/>
    </row>
    <row r="27" spans="1:39">
      <c r="B27" s="154"/>
      <c r="H27" s="157">
        <f>H25*V27</f>
        <v>0.39173190693964205</v>
      </c>
      <c r="I27" s="157">
        <f t="shared" ref="I27:K27" si="10">I25*W27</f>
        <v>0.45332842896041392</v>
      </c>
      <c r="J27" s="157">
        <f t="shared" si="10"/>
        <v>0.43034083005341339</v>
      </c>
      <c r="K27" s="157">
        <f t="shared" si="10"/>
        <v>0.44229692586984343</v>
      </c>
      <c r="L27" s="157">
        <f>L25*Z27</f>
        <v>0.43879810681090259</v>
      </c>
      <c r="R27" s="273"/>
      <c r="V27" s="412">
        <f t="shared" ref="V27:Y27" si="11">AI25/V25</f>
        <v>0.76064152515286798</v>
      </c>
      <c r="W27" s="412">
        <f t="shared" si="11"/>
        <v>0.80743441244745906</v>
      </c>
      <c r="X27" s="412">
        <f t="shared" si="11"/>
        <v>0.82267612926539069</v>
      </c>
      <c r="Y27" s="412">
        <f t="shared" si="11"/>
        <v>0.82733980483414071</v>
      </c>
      <c r="Z27" s="412">
        <f>AM25/Z25</f>
        <v>0.81168020961434917</v>
      </c>
    </row>
    <row r="28" spans="1:39">
      <c r="B28" s="154"/>
      <c r="K28" s="273"/>
    </row>
    <row r="29" spans="1:39">
      <c r="A29" t="s">
        <v>328</v>
      </c>
      <c r="B29" s="266">
        <f>'Tourism Medium DB-LCU'!H135</f>
        <v>2019.8551586425158</v>
      </c>
      <c r="C29" s="266">
        <f>'Tourism Medium DB-LCU'!I135</f>
        <v>1872.2784268589198</v>
      </c>
      <c r="D29" s="266">
        <f>'Tourism Medium DB-LCU'!J135</f>
        <v>2102.934326278521</v>
      </c>
      <c r="E29" s="266">
        <f>'Tourism Medium DB-LCU'!K135</f>
        <v>2206.7548677920909</v>
      </c>
      <c r="F29" s="266">
        <f>'Tourism Medium DB-LCU'!L135</f>
        <v>2131.7312648005327</v>
      </c>
      <c r="K29" s="273"/>
    </row>
    <row r="30" spans="1:39">
      <c r="A30" t="s">
        <v>19</v>
      </c>
      <c r="B30" s="266">
        <f t="shared" ref="B30:E30" si="12">B29-SUM(B31:B32)</f>
        <v>-3029.8111700109721</v>
      </c>
      <c r="C30" s="266">
        <f t="shared" si="12"/>
        <v>-1789.500471367704</v>
      </c>
      <c r="D30" s="266">
        <f t="shared" si="12"/>
        <v>-2077.7306787646471</v>
      </c>
      <c r="E30" s="266">
        <f t="shared" si="12"/>
        <v>-3600.3337045582816</v>
      </c>
      <c r="F30" s="266">
        <f>F29-SUM(F31:F32)</f>
        <v>-3771.4958295038114</v>
      </c>
      <c r="G30" s="625"/>
      <c r="K30" s="273"/>
    </row>
    <row r="31" spans="1:39">
      <c r="A31" t="s">
        <v>20</v>
      </c>
      <c r="B31" s="266">
        <f t="shared" ref="B31:C31" si="13">FORECAST(B29,C31:D31,C29:D29)</f>
        <v>-3231.350736038512</v>
      </c>
      <c r="C31" s="266">
        <f t="shared" si="13"/>
        <v>-3603.9410550855137</v>
      </c>
      <c r="D31" s="266">
        <f>FORECAST(D29,E31:F31,E29:F29)</f>
        <v>-3021.5988788077275</v>
      </c>
      <c r="E31" s="266">
        <f>(E29-E32)*K27*0.981</f>
        <v>-2759.4808049172111</v>
      </c>
      <c r="F31" s="266">
        <f>(F29-F32)*L27</f>
        <v>-2948.8945955388263</v>
      </c>
      <c r="G31" s="625"/>
      <c r="K31" s="273"/>
    </row>
    <row r="32" spans="1:39">
      <c r="A32" t="s">
        <v>67</v>
      </c>
      <c r="B32" s="266">
        <f>B33/Home!C5</f>
        <v>8281.0170646919996</v>
      </c>
      <c r="C32" s="266">
        <f>B32*(1+C35)</f>
        <v>7265.7199533121375</v>
      </c>
      <c r="D32" s="266">
        <f t="shared" ref="D32:F32" si="14">C32*(1+D35)</f>
        <v>7202.2638838508956</v>
      </c>
      <c r="E32" s="266">
        <f t="shared" si="14"/>
        <v>8566.5693772675841</v>
      </c>
      <c r="F32" s="266">
        <f t="shared" si="14"/>
        <v>8852.1216898431703</v>
      </c>
      <c r="H32" s="157"/>
      <c r="I32" s="157"/>
      <c r="J32" s="157"/>
      <c r="K32" s="157"/>
      <c r="L32" s="157"/>
    </row>
    <row r="33" spans="1:15">
      <c r="A33" t="s">
        <v>765</v>
      </c>
      <c r="B33" s="154">
        <f>(B40/B41*B34)</f>
        <v>48.113745196105548</v>
      </c>
      <c r="C33" s="154">
        <f t="shared" ref="C33:F33" si="15">C40/C41*C34</f>
        <v>42.220629997231661</v>
      </c>
      <c r="D33" s="154">
        <f t="shared" si="15"/>
        <v>41.690851364484558</v>
      </c>
      <c r="E33" s="154">
        <f t="shared" si="15"/>
        <v>49.687886365107865</v>
      </c>
      <c r="F33" s="154">
        <f t="shared" si="15"/>
        <v>49.48894338801729</v>
      </c>
      <c r="H33" s="157"/>
      <c r="K33" s="273"/>
    </row>
    <row r="34" spans="1:15">
      <c r="A34" t="s">
        <v>766</v>
      </c>
      <c r="B34" s="273">
        <v>2610</v>
      </c>
      <c r="C34" s="273">
        <v>2290</v>
      </c>
      <c r="D34" s="273">
        <v>2270</v>
      </c>
      <c r="E34" s="273">
        <v>2700</v>
      </c>
      <c r="F34" s="273">
        <v>2790</v>
      </c>
      <c r="G34" s="617">
        <v>2890</v>
      </c>
      <c r="H34" s="273">
        <v>3000</v>
      </c>
      <c r="I34" s="273">
        <v>3100</v>
      </c>
      <c r="J34" s="273">
        <v>3230</v>
      </c>
      <c r="K34" s="273"/>
    </row>
    <row r="35" spans="1:15">
      <c r="B35" s="154"/>
      <c r="C35" s="157">
        <f>C34/B34-1</f>
        <v>-0.12260536398467436</v>
      </c>
      <c r="D35" s="157">
        <f t="shared" ref="D35:J35" si="16">D34/C34-1</f>
        <v>-8.733624454148492E-3</v>
      </c>
      <c r="E35" s="157">
        <f t="shared" si="16"/>
        <v>0.18942731277533031</v>
      </c>
      <c r="F35" s="157">
        <f t="shared" si="16"/>
        <v>3.3333333333333437E-2</v>
      </c>
      <c r="G35" s="157">
        <f t="shared" si="16"/>
        <v>3.584229390680993E-2</v>
      </c>
      <c r="H35" s="157">
        <f t="shared" si="16"/>
        <v>3.8062283737024138E-2</v>
      </c>
      <c r="I35" s="157">
        <f t="shared" si="16"/>
        <v>3.3333333333333437E-2</v>
      </c>
      <c r="J35" s="157">
        <f t="shared" si="16"/>
        <v>4.1935483870967794E-2</v>
      </c>
      <c r="K35" s="273"/>
    </row>
    <row r="36" spans="1:15">
      <c r="B36" s="154"/>
      <c r="K36" s="273"/>
    </row>
    <row r="37" spans="1:15">
      <c r="A37" t="s">
        <v>139</v>
      </c>
      <c r="B37" s="154">
        <f>SUM(B38:B40)</f>
        <v>217.07131131130637</v>
      </c>
      <c r="C37" s="154">
        <f t="shared" ref="C37:F37" si="17">SUM(C38:C40)</f>
        <v>176.95471645947987</v>
      </c>
      <c r="D37" s="154">
        <f t="shared" si="17"/>
        <v>195.18579971957419</v>
      </c>
      <c r="E37" s="154">
        <f t="shared" si="17"/>
        <v>226.1896566628491</v>
      </c>
      <c r="F37" s="154">
        <f t="shared" si="17"/>
        <v>223.54847251352132</v>
      </c>
      <c r="K37" s="273"/>
    </row>
    <row r="38" spans="1:15">
      <c r="A38" t="s">
        <v>19</v>
      </c>
      <c r="B38" s="154">
        <v>131.65185577605493</v>
      </c>
      <c r="C38">
        <v>106.53244930460571</v>
      </c>
      <c r="D38">
        <v>118.1397776103444</v>
      </c>
      <c r="E38">
        <v>137.69973918320929</v>
      </c>
      <c r="F38">
        <v>136.36456823324801</v>
      </c>
      <c r="K38" s="273"/>
    </row>
    <row r="39" spans="1:15">
      <c r="A39" t="s">
        <v>20</v>
      </c>
      <c r="B39" s="154">
        <v>48.735029121362558</v>
      </c>
      <c r="C39">
        <v>36.498267506443483</v>
      </c>
      <c r="D39">
        <v>39.763014060814101</v>
      </c>
      <c r="E39">
        <v>49.659754431351821</v>
      </c>
      <c r="F39">
        <v>48.160364691155749</v>
      </c>
      <c r="K39" s="273"/>
    </row>
    <row r="40" spans="1:15">
      <c r="A40" t="s">
        <v>67</v>
      </c>
      <c r="B40" s="154">
        <v>36.6844264138889</v>
      </c>
      <c r="C40">
        <v>33.92399964843068</v>
      </c>
      <c r="D40">
        <v>37.283008048415702</v>
      </c>
      <c r="E40">
        <v>38.830163048288</v>
      </c>
      <c r="F40">
        <v>39.023539589117576</v>
      </c>
      <c r="K40" s="273"/>
    </row>
    <row r="41" spans="1:15">
      <c r="A41" t="s">
        <v>766</v>
      </c>
      <c r="B41" s="273">
        <v>1990</v>
      </c>
      <c r="C41" s="273">
        <v>1840</v>
      </c>
      <c r="D41" s="273">
        <v>2029.9999999999998</v>
      </c>
      <c r="E41" s="273">
        <v>2110</v>
      </c>
      <c r="F41" s="273">
        <v>2200</v>
      </c>
      <c r="G41" s="617">
        <v>2300</v>
      </c>
      <c r="H41" s="273">
        <v>2400</v>
      </c>
      <c r="I41" s="273">
        <v>2510</v>
      </c>
      <c r="J41" s="273">
        <v>2610</v>
      </c>
      <c r="K41" s="273"/>
    </row>
    <row r="42" spans="1:15">
      <c r="B42" s="154"/>
      <c r="G42" s="158">
        <f>G41/F41-1</f>
        <v>4.5454545454545414E-2</v>
      </c>
      <c r="H42" s="158">
        <f t="shared" ref="H42:J42" si="18">H41/G41-1</f>
        <v>4.3478260869565188E-2</v>
      </c>
      <c r="I42" s="158">
        <f t="shared" si="18"/>
        <v>4.5833333333333393E-2</v>
      </c>
      <c r="J42" s="158">
        <f t="shared" si="18"/>
        <v>3.9840637450199168E-2</v>
      </c>
      <c r="K42" s="273"/>
    </row>
    <row r="43" spans="1:15">
      <c r="B43" s="154"/>
      <c r="K43" s="273"/>
    </row>
    <row r="44" spans="1:15">
      <c r="B44" s="154"/>
      <c r="K44" s="273"/>
    </row>
    <row r="45" spans="1:15">
      <c r="B45" s="154"/>
      <c r="C45" s="252"/>
      <c r="K45" s="273"/>
    </row>
    <row r="46" spans="1:15">
      <c r="B46" s="154"/>
      <c r="K46" s="273"/>
    </row>
    <row r="47" spans="1:15">
      <c r="B47" s="101">
        <f>AVERAGE(B50:B52)</f>
        <v>0.71099206808188342</v>
      </c>
      <c r="C47" s="101">
        <f t="shared" ref="C47:E47" si="19">AVERAGE(C50:C52)</f>
        <v>0.72620438524056363</v>
      </c>
      <c r="D47" s="101">
        <f t="shared" si="19"/>
        <v>0.72773197781204357</v>
      </c>
      <c r="E47" s="101">
        <f t="shared" si="19"/>
        <v>0.71961475213415993</v>
      </c>
      <c r="F47" s="101">
        <f>AVERAGE(F50:F52)*1.01</f>
        <v>0.73332081344574729</v>
      </c>
      <c r="K47" s="273"/>
    </row>
    <row r="48" spans="1:15">
      <c r="B48" s="154"/>
      <c r="K48" s="273"/>
      <c r="L48" s="252"/>
      <c r="M48" s="252"/>
      <c r="N48" s="252"/>
      <c r="O48" s="252"/>
    </row>
    <row r="49" spans="1:19">
      <c r="A49" t="s">
        <v>72</v>
      </c>
      <c r="B49" s="252"/>
      <c r="L49" s="252"/>
      <c r="M49" s="252"/>
      <c r="N49" s="252"/>
      <c r="O49" s="252"/>
    </row>
    <row r="50" spans="1:19">
      <c r="A50" t="s">
        <v>139</v>
      </c>
      <c r="B50" s="157">
        <v>0.72409975272357763</v>
      </c>
      <c r="C50" s="157">
        <v>0.74361529619128097</v>
      </c>
      <c r="D50" s="157">
        <v>0.74851423322472144</v>
      </c>
      <c r="E50" s="157">
        <v>0.72884082932012351</v>
      </c>
      <c r="F50" s="157">
        <v>0.73184710318752444</v>
      </c>
      <c r="L50" s="252"/>
      <c r="M50" s="252"/>
      <c r="N50" s="252"/>
      <c r="O50" s="252"/>
    </row>
    <row r="51" spans="1:19">
      <c r="A51" t="s">
        <v>758</v>
      </c>
      <c r="B51" s="157">
        <v>0.71599999999999997</v>
      </c>
      <c r="C51" s="83">
        <v>0.73699999999999999</v>
      </c>
      <c r="D51" s="83">
        <v>0.73599999999999999</v>
      </c>
      <c r="E51" s="444">
        <v>0.74</v>
      </c>
      <c r="F51" s="157">
        <f>E51*(1+1.6%)</f>
        <v>0.75183999999999995</v>
      </c>
      <c r="H51" s="82" t="s">
        <v>759</v>
      </c>
      <c r="I51">
        <v>2011</v>
      </c>
      <c r="K51" s="101"/>
      <c r="L51" s="252"/>
      <c r="M51" s="252"/>
      <c r="N51" s="252"/>
      <c r="O51" s="252"/>
    </row>
    <row r="52" spans="1:19">
      <c r="A52" t="s">
        <v>761</v>
      </c>
      <c r="B52" s="157">
        <f t="shared" ref="B52:D52" si="20">(B53*1000)/(B54*365)</f>
        <v>0.69287645152207267</v>
      </c>
      <c r="C52" s="157">
        <f t="shared" si="20"/>
        <v>0.69799785953041005</v>
      </c>
      <c r="D52" s="157">
        <f t="shared" si="20"/>
        <v>0.69868170021140918</v>
      </c>
      <c r="E52" s="157">
        <f>(E53*1000)/(E54*365)</f>
        <v>0.69000342708235662</v>
      </c>
      <c r="F52" s="157">
        <f>(F53*1000)/(F54*365)</f>
        <v>0.69449353080974441</v>
      </c>
      <c r="H52" s="82" t="s">
        <v>760</v>
      </c>
      <c r="I52">
        <v>2012</v>
      </c>
      <c r="L52" s="252"/>
      <c r="M52" s="252"/>
      <c r="N52" s="252"/>
      <c r="O52" s="252"/>
    </row>
    <row r="53" spans="1:19">
      <c r="A53" t="s">
        <v>762</v>
      </c>
      <c r="B53" s="621">
        <v>14346</v>
      </c>
      <c r="C53" s="621">
        <v>13021</v>
      </c>
      <c r="D53" s="621">
        <v>13008</v>
      </c>
      <c r="E53" s="253">
        <v>34147</v>
      </c>
      <c r="F53" s="622">
        <v>35371</v>
      </c>
      <c r="Q53" s="83"/>
    </row>
    <row r="54" spans="1:19">
      <c r="A54" t="s">
        <v>763</v>
      </c>
      <c r="B54" s="621">
        <v>56726</v>
      </c>
      <c r="C54" s="621">
        <v>51109</v>
      </c>
      <c r="D54" s="621">
        <v>51008</v>
      </c>
      <c r="E54" s="85">
        <v>135584</v>
      </c>
      <c r="F54" s="622">
        <v>139536</v>
      </c>
      <c r="G54" s="373"/>
      <c r="Q54" s="83"/>
    </row>
    <row r="55" spans="1:19">
      <c r="B55" s="85"/>
      <c r="C55" s="85"/>
      <c r="D55" s="85"/>
      <c r="E55" s="85"/>
      <c r="F55" s="85"/>
      <c r="G55" s="373"/>
      <c r="H55" s="82" t="s">
        <v>764</v>
      </c>
      <c r="Q55" s="83"/>
    </row>
    <row r="56" spans="1:19">
      <c r="B56" s="85"/>
      <c r="C56" s="85"/>
      <c r="D56" s="85"/>
      <c r="E56" s="85"/>
      <c r="F56" s="85"/>
      <c r="G56" s="373"/>
      <c r="S56" t="s">
        <v>522</v>
      </c>
    </row>
    <row r="57" spans="1:19">
      <c r="B57" s="85"/>
      <c r="C57" s="85"/>
      <c r="D57" s="85"/>
      <c r="E57" s="85"/>
      <c r="F57" s="85"/>
      <c r="G57" s="373"/>
    </row>
    <row r="58" spans="1:19">
      <c r="C58" s="101"/>
      <c r="D58" s="101"/>
      <c r="E58" s="101"/>
      <c r="F58" s="101"/>
      <c r="G58" s="115"/>
    </row>
    <row r="60" spans="1:19">
      <c r="A60" t="s">
        <v>758</v>
      </c>
      <c r="B60" s="623">
        <v>5.4722222222222223</v>
      </c>
      <c r="C60" s="623">
        <v>5.6810526315789476</v>
      </c>
      <c r="D60" s="623">
        <v>5.7480645161290322</v>
      </c>
      <c r="E60" s="623">
        <v>5.5760869565217392</v>
      </c>
      <c r="F60" s="624">
        <f>FORECAST(F61,B60:E60,B61:E61)</f>
        <v>5.6968441427023109</v>
      </c>
    </row>
    <row r="61" spans="1:19">
      <c r="A61" t="s">
        <v>139</v>
      </c>
      <c r="B61" s="244">
        <v>5.4811601851851846</v>
      </c>
      <c r="C61" s="244">
        <v>5.7379232748538014</v>
      </c>
      <c r="D61" s="244">
        <v>5.7848967741935482</v>
      </c>
      <c r="E61" s="244">
        <v>5.6939223278642217</v>
      </c>
      <c r="F61" s="244">
        <v>5.7659243656278765</v>
      </c>
    </row>
    <row r="62" spans="1:19">
      <c r="B62" s="154">
        <f>AVERAGE(B60:B61)</f>
        <v>5.4766912037037034</v>
      </c>
      <c r="C62" s="154">
        <f t="shared" ref="C62:F62" si="21">AVERAGE(C60:C61)</f>
        <v>5.7094879532163745</v>
      </c>
      <c r="D62" s="154">
        <f t="shared" si="21"/>
        <v>5.7664806451612902</v>
      </c>
      <c r="E62" s="154">
        <f t="shared" si="21"/>
        <v>5.63500464219298</v>
      </c>
      <c r="F62" s="154">
        <f t="shared" si="21"/>
        <v>5.7313842541650937</v>
      </c>
    </row>
    <row r="66" spans="2:3">
      <c r="B66" s="370"/>
    </row>
    <row r="67" spans="2:3">
      <c r="B67" s="370"/>
    </row>
    <row r="68" spans="2:3">
      <c r="B68" s="370"/>
    </row>
    <row r="77" spans="2:3">
      <c r="B77" s="252"/>
      <c r="C77" s="253"/>
    </row>
    <row r="78" spans="2:3">
      <c r="B78" s="252"/>
      <c r="C78" s="253"/>
    </row>
    <row r="79" spans="2:3">
      <c r="B79" s="252"/>
      <c r="C79" s="253"/>
    </row>
    <row r="84" spans="2:7">
      <c r="B84" s="101"/>
      <c r="C84" s="101"/>
      <c r="D84" s="101"/>
      <c r="E84" s="101"/>
      <c r="F84" s="101"/>
      <c r="G84" s="115"/>
    </row>
    <row r="85" spans="2:7">
      <c r="B85" s="101"/>
      <c r="C85" s="101"/>
      <c r="D85" s="101"/>
      <c r="E85" s="101"/>
      <c r="F85" s="101"/>
      <c r="G85" s="115"/>
    </row>
    <row r="86" spans="2:7">
      <c r="B86" s="101"/>
      <c r="C86" s="101"/>
      <c r="D86" s="101"/>
      <c r="E86" s="101"/>
      <c r="F86" s="101"/>
      <c r="G86" s="115"/>
    </row>
    <row r="87" spans="2:7">
      <c r="B87" s="101"/>
      <c r="C87" s="101"/>
      <c r="D87" s="101"/>
      <c r="E87" s="101"/>
      <c r="F87" s="101"/>
      <c r="G87" s="115"/>
    </row>
    <row r="88" spans="2:7">
      <c r="C88" s="101"/>
      <c r="D88" s="101"/>
      <c r="E88" s="101"/>
      <c r="F88" s="101"/>
      <c r="G88" s="115"/>
    </row>
    <row r="94" spans="2:7">
      <c r="B94" s="154"/>
      <c r="C94" s="154"/>
      <c r="D94" s="154"/>
      <c r="E94" s="154"/>
      <c r="F94" s="154"/>
      <c r="G94" s="618"/>
    </row>
    <row r="95" spans="2:7">
      <c r="C95" s="101"/>
      <c r="D95" s="101"/>
      <c r="E95" s="101"/>
      <c r="F95" s="101"/>
      <c r="G95" s="115"/>
    </row>
    <row r="100" spans="2:42">
      <c r="R100" t="s">
        <v>457</v>
      </c>
      <c r="AD100" t="s">
        <v>458</v>
      </c>
    </row>
    <row r="101" spans="2:42">
      <c r="I101" s="101"/>
      <c r="J101" s="101"/>
      <c r="K101" s="101"/>
      <c r="L101" s="101"/>
      <c r="M101" s="101"/>
      <c r="N101" s="101"/>
      <c r="O101" s="101"/>
      <c r="P101" s="101"/>
      <c r="R101">
        <v>5.7619999999999996</v>
      </c>
      <c r="S101">
        <v>6.0659999999999998</v>
      </c>
      <c r="T101">
        <v>6.1449999999999996</v>
      </c>
      <c r="U101">
        <v>5.7270000000000003</v>
      </c>
      <c r="V101">
        <v>5.4669999999999996</v>
      </c>
      <c r="X101" s="101">
        <f t="shared" ref="X101:AB102" si="22">R101/SUM(R$101:R$102)</f>
        <v>0.22545682200571268</v>
      </c>
      <c r="Y101" s="101">
        <f t="shared" si="22"/>
        <v>0.24256238003838773</v>
      </c>
      <c r="Z101" s="101">
        <f t="shared" si="22"/>
        <v>0.23515230368896373</v>
      </c>
      <c r="AA101" s="101">
        <f t="shared" si="22"/>
        <v>0.2624415727247732</v>
      </c>
      <c r="AB101" s="101">
        <f t="shared" si="22"/>
        <v>0.25149507774404267</v>
      </c>
      <c r="AC101" s="101"/>
      <c r="AD101" s="101" t="s">
        <v>19</v>
      </c>
      <c r="AE101" s="371">
        <v>7.6680933799771447</v>
      </c>
      <c r="AF101" s="371">
        <v>7.2647371246499013</v>
      </c>
      <c r="AG101" s="371">
        <v>7.2454971548208675</v>
      </c>
      <c r="AH101" s="371">
        <v>6.5536266305953896</v>
      </c>
      <c r="AI101" s="371">
        <v>6.2555517318799403</v>
      </c>
      <c r="AK101" s="101">
        <f t="shared" ref="AK101:AO102" si="23">AE101/SUM(AE$101:AE$102)</f>
        <v>0.19534392023353953</v>
      </c>
      <c r="AL101" s="101">
        <f t="shared" si="23"/>
        <v>0.19331219548636386</v>
      </c>
      <c r="AM101" s="101">
        <f t="shared" si="23"/>
        <v>0.19215278548820264</v>
      </c>
      <c r="AN101" s="101">
        <f t="shared" si="23"/>
        <v>0.18948014255224094</v>
      </c>
      <c r="AO101" s="101">
        <f t="shared" si="23"/>
        <v>0.18070846204648441</v>
      </c>
      <c r="AP101" s="101"/>
    </row>
    <row r="102" spans="2:42">
      <c r="I102" s="101"/>
      <c r="J102" s="101"/>
      <c r="K102" s="101"/>
      <c r="L102" s="101"/>
      <c r="M102" s="101"/>
      <c r="N102" s="101"/>
      <c r="O102" s="101"/>
      <c r="P102" s="101"/>
      <c r="R102">
        <v>19.795000000000002</v>
      </c>
      <c r="S102">
        <v>18.942</v>
      </c>
      <c r="T102">
        <v>19.986999999999998</v>
      </c>
      <c r="U102">
        <v>16.094999999999999</v>
      </c>
      <c r="V102">
        <v>16.271000000000001</v>
      </c>
      <c r="X102" s="101">
        <f t="shared" si="22"/>
        <v>0.77454317799428729</v>
      </c>
      <c r="Y102" s="101">
        <f t="shared" si="22"/>
        <v>0.7574376199616123</v>
      </c>
      <c r="Z102" s="101">
        <f t="shared" si="22"/>
        <v>0.76484769631103633</v>
      </c>
      <c r="AA102" s="101">
        <f t="shared" si="22"/>
        <v>0.7375584272752268</v>
      </c>
      <c r="AB102" s="101">
        <f t="shared" si="22"/>
        <v>0.74850492225595733</v>
      </c>
      <c r="AC102" s="101"/>
      <c r="AD102" s="101" t="s">
        <v>20</v>
      </c>
      <c r="AE102" s="121">
        <v>31.586229819893674</v>
      </c>
      <c r="AF102" s="121">
        <v>30.315598178936014</v>
      </c>
      <c r="AG102" s="121">
        <v>30.461461588515743</v>
      </c>
      <c r="AH102" s="121">
        <v>28.033779428530366</v>
      </c>
      <c r="AI102" s="121">
        <v>28.361265106895427</v>
      </c>
      <c r="AK102" s="101">
        <f t="shared" si="23"/>
        <v>0.80465607976646047</v>
      </c>
      <c r="AL102" s="101">
        <f t="shared" si="23"/>
        <v>0.8066878045136362</v>
      </c>
      <c r="AM102" s="101">
        <f t="shared" si="23"/>
        <v>0.80784721451179731</v>
      </c>
      <c r="AN102" s="101">
        <f t="shared" si="23"/>
        <v>0.81051985744775912</v>
      </c>
      <c r="AO102" s="101">
        <f t="shared" si="23"/>
        <v>0.81929153795351572</v>
      </c>
      <c r="AP102" s="101"/>
    </row>
    <row r="104" spans="2:42">
      <c r="I104" s="101"/>
      <c r="J104" s="101"/>
      <c r="K104" s="101"/>
      <c r="L104" s="101"/>
      <c r="M104" s="101"/>
      <c r="N104" s="101"/>
      <c r="O104" s="101"/>
    </row>
    <row r="105" spans="2:42">
      <c r="I105" s="101"/>
      <c r="J105" s="101"/>
      <c r="K105" s="101"/>
      <c r="L105" s="101"/>
      <c r="M105" s="101"/>
      <c r="N105" s="101"/>
      <c r="O105" s="101"/>
      <c r="X105" s="101">
        <f>AK101/X101</f>
        <v>0.86643605855754435</v>
      </c>
      <c r="Y105" s="101">
        <f>AL101/Y101</f>
        <v>0.79695868524942093</v>
      </c>
      <c r="Z105" s="101">
        <f>AM101/Z101</f>
        <v>0.81714183732753642</v>
      </c>
      <c r="AA105" s="101">
        <f>AN101/AA101</f>
        <v>0.72198981504714532</v>
      </c>
      <c r="AB105" s="101">
        <f>AO101/AB101</f>
        <v>0.71853677482467138</v>
      </c>
    </row>
    <row r="106" spans="2:42">
      <c r="B106" s="85"/>
      <c r="C106" s="85"/>
      <c r="D106" s="85"/>
      <c r="E106" s="85"/>
      <c r="F106" s="85"/>
      <c r="G106" s="373"/>
      <c r="I106" s="101"/>
      <c r="J106" s="101"/>
      <c r="K106" s="101"/>
      <c r="L106" s="101"/>
      <c r="M106" s="101"/>
      <c r="N106" s="101"/>
      <c r="O106" s="101"/>
    </row>
    <row r="107" spans="2:42">
      <c r="B107" s="85"/>
      <c r="C107" s="85"/>
      <c r="D107" s="85"/>
      <c r="E107" s="85"/>
      <c r="F107" s="85"/>
      <c r="G107" s="373"/>
      <c r="I107" s="101"/>
      <c r="J107" s="101"/>
      <c r="K107" s="101"/>
      <c r="L107" s="101"/>
      <c r="M107" s="101"/>
      <c r="N107" s="101"/>
      <c r="O107" s="101"/>
    </row>
    <row r="108" spans="2:42">
      <c r="B108" s="85"/>
      <c r="C108" s="85"/>
      <c r="D108" s="85"/>
      <c r="E108" s="85"/>
      <c r="F108" s="85"/>
      <c r="G108" s="373"/>
      <c r="I108" s="101"/>
      <c r="J108" s="101"/>
      <c r="K108" s="101"/>
      <c r="L108" s="101"/>
      <c r="M108" s="101"/>
      <c r="N108" s="101"/>
      <c r="O108" s="101"/>
    </row>
    <row r="111" spans="2:42">
      <c r="C111" s="101"/>
      <c r="D111" s="101"/>
      <c r="E111" s="101"/>
      <c r="F111" s="101"/>
      <c r="G111" s="115"/>
      <c r="H111" s="101"/>
      <c r="I111" s="101"/>
      <c r="J111" s="101"/>
      <c r="K111" s="101"/>
      <c r="L111" s="101"/>
    </row>
    <row r="114" spans="2:18">
      <c r="R114" t="s">
        <v>460</v>
      </c>
    </row>
    <row r="115" spans="2:18">
      <c r="B115" s="268"/>
      <c r="C115" s="268"/>
      <c r="D115" s="268"/>
      <c r="E115" s="268"/>
      <c r="F115" s="268"/>
      <c r="G115" s="619"/>
    </row>
    <row r="121" spans="2:18">
      <c r="B121" s="244"/>
      <c r="C121" s="244"/>
    </row>
    <row r="128" spans="2:18">
      <c r="B128" s="85"/>
      <c r="C128" s="85"/>
    </row>
    <row r="129" spans="2:13">
      <c r="B129" s="244"/>
      <c r="C129" s="244"/>
    </row>
    <row r="130" spans="2:13">
      <c r="B130" s="85"/>
      <c r="C130" s="85"/>
    </row>
    <row r="131" spans="2:13">
      <c r="B131" s="85"/>
      <c r="C131" s="85"/>
    </row>
    <row r="135" spans="2:13">
      <c r="B135" s="85"/>
      <c r="C135" s="85"/>
      <c r="D135" s="85"/>
      <c r="E135" s="85"/>
      <c r="F135" s="85"/>
      <c r="G135" s="373"/>
      <c r="I135" s="101"/>
      <c r="J135" s="101"/>
      <c r="K135" s="101"/>
      <c r="L135" s="101"/>
      <c r="M135" s="101"/>
    </row>
    <row r="136" spans="2:13">
      <c r="B136" s="85"/>
      <c r="C136" s="85"/>
      <c r="D136" s="85"/>
      <c r="E136" s="85"/>
      <c r="F136" s="85"/>
      <c r="G136" s="373"/>
      <c r="I136" s="101"/>
      <c r="J136" s="101"/>
      <c r="K136" s="101"/>
      <c r="L136" s="101"/>
      <c r="M136" s="101"/>
    </row>
    <row r="137" spans="2:13">
      <c r="B137" s="85"/>
      <c r="C137" s="85"/>
      <c r="D137" s="85"/>
      <c r="E137" s="85"/>
      <c r="F137" s="85"/>
      <c r="G137" s="373"/>
      <c r="I137" s="101"/>
      <c r="J137" s="101"/>
      <c r="K137" s="101"/>
      <c r="L137" s="101"/>
      <c r="M137" s="101"/>
    </row>
    <row r="140" spans="2:13">
      <c r="B140" s="157"/>
    </row>
  </sheetData>
  <customSheetViews>
    <customSheetView guid="{BD5E9955-DC4B-4EA0-9160-9EF1C693DE04}">
      <pageMargins left="0.7" right="0.7" top="0.75" bottom="0.75" header="0.3" footer="0.3"/>
    </customSheetView>
    <customSheetView guid="{1ACDCC85-59E3-4410-927D-E7E5C71B61F5}" state="hidden">
      <selection activeCell="A96" sqref="A96:XFD96"/>
      <pageMargins left="0.7" right="0.7" top="0.75" bottom="0.75" header="0.3" footer="0.3"/>
    </customSheetView>
    <customSheetView guid="{28AA611C-F120-4D09-9666-0AAAA1997A5D}">
      <selection activeCell="A96" sqref="A96:XFD96"/>
      <pageMargins left="0.7" right="0.7" top="0.75" bottom="0.75" header="0.3" footer="0.3"/>
    </customSheetView>
    <customSheetView guid="{63078F6D-D19C-47E9-B618-80B24EAAED3A}" topLeftCell="D76">
      <selection activeCell="D84" sqref="D84"/>
      <pageMargins left="0.7" right="0.7" top="0.75" bottom="0.75" header="0.3" footer="0.3"/>
    </customSheetView>
    <customSheetView guid="{92F60ACF-D6F3-4086-9F2B-BC0D304DAC43}" topLeftCell="D76">
      <selection activeCell="D84" sqref="D84"/>
      <pageMargins left="0.7" right="0.7" top="0.75" bottom="0.75" header="0.3" footer="0.3"/>
    </customSheetView>
    <customSheetView guid="{9144D9B3-2327-4B3A-89B1-6A595780C3C5}" state="hidden">
      <selection activeCell="A85" sqref="A85"/>
      <pageMargins left="0.7" right="0.7" top="0.75" bottom="0.75" header="0.3" footer="0.3"/>
    </customSheetView>
    <customSheetView guid="{513032B5-C585-49C2-98E7-9FDE6F7A4BA7}">
      <pageMargins left="0.7" right="0.7" top="0.75" bottom="0.75" header="0.3" footer="0.3"/>
    </customSheetView>
    <customSheetView guid="{AF983ECA-536A-40E6-8A04-FF0A375E9ACC}">
      <selection activeCell="A96" sqref="A96:XFD96"/>
      <pageMargins left="0.7" right="0.7" top="0.75" bottom="0.75" header="0.3" footer="0.3"/>
    </customSheetView>
  </customSheetViews>
  <hyperlinks>
    <hyperlink ref="H51" r:id="rId1"/>
    <hyperlink ref="H52" r:id="rId2"/>
    <hyperlink ref="H55" r:id="rId3"/>
  </hyperlinks>
  <pageMargins left="0.7" right="0.7" top="0.75" bottom="0.75" header="0.3" footer="0.3"/>
  <legacyDrawing r:id="rId4"/>
</worksheet>
</file>

<file path=xl/worksheets/sheet18.xml><?xml version="1.0" encoding="utf-8"?>
<worksheet xmlns="http://schemas.openxmlformats.org/spreadsheetml/2006/main" xmlns:r="http://schemas.openxmlformats.org/officeDocument/2006/relationships">
  <dimension ref="A1:M15"/>
  <sheetViews>
    <sheetView workbookViewId="0">
      <selection activeCell="B1" sqref="B1"/>
    </sheetView>
  </sheetViews>
  <sheetFormatPr defaultRowHeight="15"/>
  <cols>
    <col min="1" max="1" width="39.85546875" bestFit="1" customWidth="1"/>
  </cols>
  <sheetData>
    <row r="1" spans="1:13">
      <c r="A1" s="614" t="s">
        <v>153</v>
      </c>
      <c r="C1" s="3">
        <v>2008</v>
      </c>
      <c r="D1" s="3">
        <v>2009</v>
      </c>
      <c r="E1" s="3">
        <v>2010</v>
      </c>
      <c r="F1" s="3">
        <v>2011</v>
      </c>
      <c r="G1" s="3">
        <v>2012</v>
      </c>
      <c r="H1" s="3">
        <v>2013</v>
      </c>
      <c r="I1" s="3">
        <v>2014</v>
      </c>
      <c r="J1" s="3">
        <v>2015</v>
      </c>
      <c r="K1" s="3">
        <v>2016</v>
      </c>
      <c r="L1" s="3">
        <v>2017</v>
      </c>
      <c r="M1" s="163" t="s">
        <v>122</v>
      </c>
    </row>
    <row r="2" spans="1:13">
      <c r="A2" t="s">
        <v>60</v>
      </c>
      <c r="B2" t="s">
        <v>176</v>
      </c>
      <c r="C2" s="157">
        <f>'Tourism Medium DB-US$'!G130</f>
        <v>0.68</v>
      </c>
      <c r="D2" s="157">
        <f>'Tourism Medium DB-US$'!H130</f>
        <v>0.69899999999999995</v>
      </c>
      <c r="E2" s="157">
        <f>'Tourism Medium DB-US$'!I130</f>
        <v>0.72688308115543321</v>
      </c>
      <c r="F2" s="157">
        <f>'Tourism Medium DB-US$'!J130</f>
        <v>0.72015268225584583</v>
      </c>
      <c r="G2" s="157">
        <f>'Tourism Medium DB-US$'!K130</f>
        <v>0.73745942228335615</v>
      </c>
      <c r="H2" s="157">
        <f>'Tourism Medium DB-US$'!L130</f>
        <v>0.74428069116924633</v>
      </c>
      <c r="I2" s="157">
        <f>'Tourism Medium DB-US$'!M130</f>
        <v>0.74671528215540672</v>
      </c>
      <c r="J2" s="157">
        <f>'Tourism Medium DB-US$'!N130</f>
        <v>0.75248968084224721</v>
      </c>
      <c r="K2" s="157">
        <f>'Tourism Medium DB-US$'!O130</f>
        <v>0.75393107654205971</v>
      </c>
      <c r="L2" s="157">
        <f>'Tourism Medium DB-US$'!P130</f>
        <v>0.75867066745643674</v>
      </c>
    </row>
    <row r="3" spans="1:13">
      <c r="A3" t="s">
        <v>63</v>
      </c>
      <c r="B3" t="s">
        <v>270</v>
      </c>
      <c r="C3" s="252">
        <f>'Tourism Medium DB-US$'!G133</f>
        <v>6.3192895218308962</v>
      </c>
      <c r="D3" s="252">
        <f>'Tourism Medium DB-US$'!H133</f>
        <v>5.0345189785903708</v>
      </c>
      <c r="E3" s="252">
        <f>'Tourism Medium DB-US$'!I133</f>
        <v>4.3471418747903448</v>
      </c>
      <c r="F3" s="252">
        <f>'Tourism Medium DB-US$'!J133</f>
        <v>4.1982580117326203</v>
      </c>
      <c r="G3" s="252">
        <f>'Tourism Medium DB-US$'!K133</f>
        <v>3.7954219067756432</v>
      </c>
      <c r="H3" s="252">
        <f>'Tourism Medium DB-US$'!L133</f>
        <v>3.8024974641857345</v>
      </c>
      <c r="I3" s="252">
        <f>'Tourism Medium DB-US$'!M133</f>
        <v>3.8213669228954421</v>
      </c>
      <c r="J3" s="252">
        <f>'Tourism Medium DB-US$'!N133</f>
        <v>3.9310194689216238</v>
      </c>
      <c r="K3" s="252">
        <f>'Tourism Medium DB-US$'!O133</f>
        <v>4.0203966982393373</v>
      </c>
      <c r="L3" s="252">
        <f>'Tourism Medium DB-US$'!P133</f>
        <v>4.0546309227578838</v>
      </c>
      <c r="M3" s="252"/>
    </row>
    <row r="4" spans="1:13">
      <c r="A4" t="s">
        <v>740</v>
      </c>
      <c r="B4" t="s">
        <v>313</v>
      </c>
      <c r="C4">
        <f>'Tourism Medium DB-US$'!G132*1000/'Tourism Medium DB-US$'!G127</f>
        <v>478.05792336832343</v>
      </c>
      <c r="D4">
        <f>'Tourism Medium DB-US$'!H132*1000/'Tourism Medium DB-US$'!H127</f>
        <v>481.4929205909811</v>
      </c>
      <c r="E4">
        <f>'Tourism Medium DB-US$'!I132*1000/'Tourism Medium DB-US$'!I127</f>
        <v>484.67833524950061</v>
      </c>
      <c r="F4">
        <f>'Tourism Medium DB-US$'!J132*1000/'Tourism Medium DB-US$'!J127</f>
        <v>485.65171385016674</v>
      </c>
      <c r="G4">
        <f>'Tourism Medium DB-US$'!K132*1000/'Tourism Medium DB-US$'!K127</f>
        <v>489.37703331451075</v>
      </c>
      <c r="H4">
        <f>'Tourism Medium DB-US$'!L132*1000/'Tourism Medium DB-US$'!L127</f>
        <v>492.71222289908013</v>
      </c>
      <c r="I4">
        <f>'Tourism Medium DB-US$'!M132*1000/'Tourism Medium DB-US$'!M127</f>
        <v>496.65654974260394</v>
      </c>
      <c r="J4">
        <f>'Tourism Medium DB-US$'!N132*1000/'Tourism Medium DB-US$'!N127</f>
        <v>499.56630746059699</v>
      </c>
      <c r="K4">
        <f>'Tourism Medium DB-US$'!O132*1000/'Tourism Medium DB-US$'!O127</f>
        <v>501.72690382099097</v>
      </c>
      <c r="L4">
        <f>'Tourism Medium DB-US$'!P132*1000/'Tourism Medium DB-US$'!P127</f>
        <v>507.08090613575797</v>
      </c>
    </row>
    <row r="5" spans="1:13">
      <c r="A5" t="s">
        <v>741</v>
      </c>
    </row>
    <row r="6" spans="1:13">
      <c r="A6" t="s">
        <v>19</v>
      </c>
      <c r="B6" t="s">
        <v>176</v>
      </c>
      <c r="C6">
        <f>'Tourism Medium DB-LCU'!H127/'Tourism Medium DB-LCU'!H$126</f>
        <v>0.4173939011152486</v>
      </c>
      <c r="D6">
        <f>'Tourism Medium DB-LCU'!I127/'Tourism Medium DB-LCU'!I$126</f>
        <v>0.4382994671666588</v>
      </c>
      <c r="E6">
        <f>'Tourism Medium DB-LCU'!J127/'Tourism Medium DB-LCU'!J$126</f>
        <v>0.42605813347989935</v>
      </c>
      <c r="F6">
        <f>'Tourism Medium DB-LCU'!K127/'Tourism Medium DB-LCU'!K$126</f>
        <v>0.40399999999999997</v>
      </c>
      <c r="G6">
        <f>'Tourism Medium DB-LCU'!L127/'Tourism Medium DB-LCU'!L$126</f>
        <v>0.4</v>
      </c>
      <c r="H6">
        <f>'Tourism Medium DB-LCU'!M127/'Tourism Medium DB-LCU'!M$126</f>
        <v>0.39618938598204045</v>
      </c>
      <c r="I6">
        <f>'Tourism Medium DB-LCU'!N127/'Tourism Medium DB-LCU'!N$126</f>
        <v>0.39322553270308064</v>
      </c>
      <c r="J6">
        <f>'Tourism Medium DB-LCU'!O127/'Tourism Medium DB-LCU'!O$126</f>
        <v>0.38776207890505787</v>
      </c>
      <c r="K6">
        <f>'Tourism Medium DB-LCU'!P127/'Tourism Medium DB-LCU'!P$126</f>
        <v>0.38420126418143358</v>
      </c>
      <c r="L6">
        <f>'Tourism Medium DB-LCU'!Q127/'Tourism Medium DB-LCU'!Q$126</f>
        <v>0.38073518040900439</v>
      </c>
    </row>
    <row r="7" spans="1:13">
      <c r="A7" t="s">
        <v>20</v>
      </c>
      <c r="B7" t="s">
        <v>176</v>
      </c>
      <c r="C7">
        <f>'Tourism Medium DB-LCU'!H128/'Tourism Medium DB-LCU'!H$126</f>
        <v>0.58260609888475134</v>
      </c>
      <c r="D7">
        <f>'Tourism Medium DB-LCU'!I128/'Tourism Medium DB-LCU'!I$126</f>
        <v>0.5617005328333412</v>
      </c>
      <c r="E7">
        <f>'Tourism Medium DB-LCU'!J128/'Tourism Medium DB-LCU'!J$126</f>
        <v>0.57394186652010071</v>
      </c>
      <c r="F7">
        <f>'Tourism Medium DB-LCU'!K128/'Tourism Medium DB-LCU'!K$126</f>
        <v>0.59600000000000009</v>
      </c>
      <c r="G7">
        <f>'Tourism Medium DB-LCU'!L128/'Tourism Medium DB-LCU'!L$126</f>
        <v>0.6</v>
      </c>
      <c r="H7">
        <f>'Tourism Medium DB-LCU'!M128/'Tourism Medium DB-LCU'!M$126</f>
        <v>0.60381061401795955</v>
      </c>
      <c r="I7">
        <f>'Tourism Medium DB-LCU'!N128/'Tourism Medium DB-LCU'!N$126</f>
        <v>0.60677446729691931</v>
      </c>
      <c r="J7">
        <f>'Tourism Medium DB-LCU'!O128/'Tourism Medium DB-LCU'!O$126</f>
        <v>0.61223792109494213</v>
      </c>
      <c r="K7">
        <f>'Tourism Medium DB-LCU'!P128/'Tourism Medium DB-LCU'!P$126</f>
        <v>0.61579873581856637</v>
      </c>
      <c r="L7">
        <f>'Tourism Medium DB-LCU'!Q128/'Tourism Medium DB-LCU'!Q$126</f>
        <v>0.61926481959099555</v>
      </c>
    </row>
    <row r="9" spans="1:13">
      <c r="A9" s="614" t="str">
        <f>M1</f>
        <v>Egypt</v>
      </c>
    </row>
    <row r="10" spans="1:13">
      <c r="A10" t="s">
        <v>60</v>
      </c>
      <c r="B10" t="s">
        <v>176</v>
      </c>
      <c r="C10" s="157">
        <v>0.7126187354114325</v>
      </c>
      <c r="D10" s="157">
        <v>0.72079803713368595</v>
      </c>
      <c r="E10" s="157">
        <v>0.74559331259937334</v>
      </c>
      <c r="F10" s="157">
        <v>0.75495026524261577</v>
      </c>
      <c r="G10" s="157">
        <v>0.75953321027285969</v>
      </c>
      <c r="H10" s="157">
        <v>0.76147067818104752</v>
      </c>
      <c r="I10" s="157">
        <v>0.76601950877815994</v>
      </c>
      <c r="J10" s="157">
        <v>0.76948242413893997</v>
      </c>
      <c r="K10" s="157">
        <v>0.77627448160097445</v>
      </c>
      <c r="L10" s="157">
        <v>0.78350371934101226</v>
      </c>
    </row>
    <row r="11" spans="1:13">
      <c r="A11" t="s">
        <v>63</v>
      </c>
      <c r="B11" t="s">
        <v>270</v>
      </c>
      <c r="C11">
        <v>194.12794597660138</v>
      </c>
      <c r="D11">
        <v>199.89102695822905</v>
      </c>
      <c r="E11">
        <v>182.6574171944566</v>
      </c>
      <c r="F11">
        <v>186.3115340724074</v>
      </c>
      <c r="G11">
        <v>190.1254511097309</v>
      </c>
      <c r="H11">
        <v>193.93877132940912</v>
      </c>
      <c r="I11">
        <v>197.47085179048511</v>
      </c>
      <c r="J11">
        <v>199.92908828060177</v>
      </c>
      <c r="K11">
        <v>203.19146937583497</v>
      </c>
      <c r="L11">
        <v>205.77073380327423</v>
      </c>
    </row>
    <row r="12" spans="1:13">
      <c r="A12" t="s">
        <v>740</v>
      </c>
      <c r="B12" t="s">
        <v>313</v>
      </c>
      <c r="C12">
        <v>1392.9479232264889</v>
      </c>
      <c r="D12">
        <v>1453.277573546382</v>
      </c>
      <c r="E12">
        <v>1339.8308070708576</v>
      </c>
      <c r="F12">
        <v>1250.2963091236368</v>
      </c>
      <c r="G12">
        <v>1215.2867354845766</v>
      </c>
      <c r="H12">
        <v>1177.8028644797637</v>
      </c>
      <c r="I12">
        <v>1164.7768369114785</v>
      </c>
      <c r="J12">
        <v>1141.6076386668976</v>
      </c>
      <c r="K12">
        <v>1122.2295193795578</v>
      </c>
      <c r="L12">
        <v>1105.475195223697</v>
      </c>
    </row>
    <row r="13" spans="1:13">
      <c r="A13" t="s">
        <v>741</v>
      </c>
    </row>
    <row r="14" spans="1:13">
      <c r="A14" t="s">
        <v>19</v>
      </c>
      <c r="B14" t="s">
        <v>176</v>
      </c>
      <c r="C14" s="157">
        <v>2.3815510943351062E-2</v>
      </c>
      <c r="D14" s="157">
        <v>2.4401667314096109E-2</v>
      </c>
      <c r="E14" s="157">
        <v>2.4968516725560205E-2</v>
      </c>
      <c r="F14" s="157">
        <v>2.4473330139519672E-2</v>
      </c>
      <c r="G14" s="157">
        <v>2.4472519705769837E-2</v>
      </c>
      <c r="H14" s="157">
        <v>2.4428611356278673E-2</v>
      </c>
      <c r="I14" s="157">
        <v>2.4468642385274922E-2</v>
      </c>
      <c r="J14" s="157">
        <v>2.4411373766199285E-2</v>
      </c>
      <c r="K14" s="157">
        <v>2.4343998256313001E-2</v>
      </c>
      <c r="L14" s="157">
        <v>2.4319780337249314E-2</v>
      </c>
    </row>
    <row r="15" spans="1:13">
      <c r="A15" t="s">
        <v>20</v>
      </c>
      <c r="B15" t="s">
        <v>176</v>
      </c>
      <c r="C15" s="157">
        <v>0.9761844890566489</v>
      </c>
      <c r="D15" s="157">
        <v>0.9755983326859039</v>
      </c>
      <c r="E15" s="157">
        <v>0.97503148327443978</v>
      </c>
      <c r="F15" s="157">
        <v>0.97552666986048031</v>
      </c>
      <c r="G15" s="157">
        <v>0.9755274802942302</v>
      </c>
      <c r="H15" s="157">
        <v>0.97557138864372128</v>
      </c>
      <c r="I15" s="157">
        <v>0.97553135761472509</v>
      </c>
      <c r="J15" s="157">
        <v>0.97558862623380072</v>
      </c>
      <c r="K15" s="157">
        <v>0.97565600174368705</v>
      </c>
      <c r="L15" s="157">
        <v>0.97568021966275065</v>
      </c>
    </row>
  </sheetData>
  <customSheetViews>
    <customSheetView guid="{BD5E9955-DC4B-4EA0-9160-9EF1C693DE04}" state="hidden">
      <selection activeCell="B1" sqref="B1"/>
      <pageMargins left="0.7" right="0.7" top="0.75" bottom="0.75" header="0.3" footer="0.3"/>
    </customSheetView>
    <customSheetView guid="{1ACDCC85-59E3-4410-927D-E7E5C71B61F5}" state="hidden">
      <selection activeCell="B1" sqref="B1"/>
      <pageMargins left="0.7" right="0.7" top="0.75" bottom="0.75" header="0.3" footer="0.3"/>
    </customSheetView>
    <customSheetView guid="{9144D9B3-2327-4B3A-89B1-6A595780C3C5}" state="hidden">
      <selection activeCell="B1" sqref="B1"/>
      <pageMargins left="0.7" right="0.7" top="0.75" bottom="0.75" header="0.3" footer="0.3"/>
    </customSheetView>
    <customSheetView guid="{513032B5-C585-49C2-98E7-9FDE6F7A4BA7}" state="hidden">
      <selection activeCell="B1" sqref="B1"/>
      <pageMargins left="0.7" right="0.7" top="0.75" bottom="0.75" header="0.3" footer="0.3"/>
    </customSheetView>
    <customSheetView guid="{AF983ECA-536A-40E6-8A04-FF0A375E9ACC}" state="hidden">
      <selection activeCell="B1" sqref="B1"/>
      <pageMargins left="0.7" right="0.7" top="0.75" bottom="0.75" header="0.3" footer="0.3"/>
    </customSheetView>
  </customSheetViews>
  <conditionalFormatting sqref="C1:M1">
    <cfRule type="containsText" dxfId="5" priority="1" operator="containsText" text="false">
      <formula>NOT(ISERROR(SEARCH("false",C1)))</formula>
    </cfRule>
  </conditionalFormatting>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N39"/>
  <sheetViews>
    <sheetView topLeftCell="A13" workbookViewId="0">
      <selection activeCell="C17" sqref="C17"/>
    </sheetView>
  </sheetViews>
  <sheetFormatPr defaultRowHeight="15"/>
  <cols>
    <col min="1" max="1" width="18.85546875" customWidth="1"/>
    <col min="2" max="2" width="17" customWidth="1"/>
    <col min="3" max="7" width="10" bestFit="1" customWidth="1"/>
    <col min="8" max="12" width="9.85546875" bestFit="1" customWidth="1"/>
    <col min="13" max="13" width="18" bestFit="1" customWidth="1"/>
  </cols>
  <sheetData>
    <row r="1" spans="1:14">
      <c r="A1" s="5" t="str">
        <f>Home!$B$1</f>
        <v>Hungary</v>
      </c>
      <c r="C1" s="5">
        <v>2008</v>
      </c>
      <c r="D1" s="5">
        <v>2009</v>
      </c>
      <c r="E1" s="5">
        <v>2010</v>
      </c>
      <c r="F1" s="5">
        <v>2011</v>
      </c>
      <c r="G1" s="5">
        <v>2012</v>
      </c>
      <c r="H1" s="5">
        <v>2013</v>
      </c>
      <c r="I1" s="5">
        <v>2014</v>
      </c>
      <c r="J1" s="5">
        <v>2015</v>
      </c>
      <c r="K1" s="5">
        <v>2016</v>
      </c>
      <c r="L1" s="5">
        <v>2017</v>
      </c>
      <c r="M1" t="s">
        <v>531</v>
      </c>
      <c r="N1" t="s">
        <v>122</v>
      </c>
    </row>
    <row r="2" spans="1:14">
      <c r="A2" t="s">
        <v>532</v>
      </c>
      <c r="C2" s="85">
        <f>'Tourism Medium DB-LCU'!H150/'Tourism Medium DB-LCU'!H149</f>
        <v>11.754777638864082</v>
      </c>
      <c r="D2" s="85">
        <f>'Tourism Medium DB-LCU'!I150/'Tourism Medium DB-LCU'!I149</f>
        <v>11.732612863866132</v>
      </c>
      <c r="E2" s="85">
        <f>'Tourism Medium DB-LCU'!J150/'Tourism Medium DB-LCU'!J149</f>
        <v>12.192063492063491</v>
      </c>
      <c r="F2" s="85">
        <f>'Tourism Medium DB-LCU'!K150/'Tourism Medium DB-LCU'!K149</f>
        <v>11.918592057761733</v>
      </c>
      <c r="G2" s="85">
        <f>'Tourism Medium DB-LCU'!L150/'Tourism Medium DB-LCU'!L149</f>
        <v>8.9333672431332651</v>
      </c>
      <c r="H2" s="85">
        <f>'Tourism Medium DB-LCU'!M150/'Tourism Medium DB-LCU'!M149</f>
        <v>8.459431335091594</v>
      </c>
      <c r="I2" s="85">
        <f>'Tourism Medium DB-LCU'!N150/'Tourism Medium DB-LCU'!N149</f>
        <v>8.1273202856265847</v>
      </c>
      <c r="J2" s="85">
        <f>'Tourism Medium DB-LCU'!O150/'Tourism Medium DB-LCU'!O149</f>
        <v>7.7355100395052609</v>
      </c>
      <c r="K2" s="85">
        <f>'Tourism Medium DB-LCU'!P150/'Tourism Medium DB-LCU'!P149</f>
        <v>7.0223630681041067</v>
      </c>
      <c r="L2" s="85">
        <f>'Tourism Medium DB-LCU'!Q150/'Tourism Medium DB-LCU'!Q149</f>
        <v>6.6532755179507665</v>
      </c>
    </row>
    <row r="4" spans="1:14">
      <c r="A4" s="113" t="str">
        <f>$N$1</f>
        <v>Egypt</v>
      </c>
    </row>
    <row r="5" spans="1:14">
      <c r="A5" t="s">
        <v>532</v>
      </c>
      <c r="C5" s="85">
        <v>99.53803596127247</v>
      </c>
      <c r="D5" s="85">
        <v>108.35612728503723</v>
      </c>
      <c r="E5" s="85">
        <v>106.82554082344731</v>
      </c>
      <c r="F5" s="85">
        <v>105.80317940953823</v>
      </c>
      <c r="G5" s="85">
        <v>106.77168263557562</v>
      </c>
      <c r="H5" s="85">
        <v>107.31865754923739</v>
      </c>
      <c r="I5" s="85">
        <v>107.88721911572699</v>
      </c>
      <c r="J5" s="85">
        <v>108.25842260524368</v>
      </c>
      <c r="K5" s="85">
        <v>108.34986299515222</v>
      </c>
      <c r="L5" s="85">
        <v>108.43099176275368</v>
      </c>
    </row>
    <row r="7" spans="1:14">
      <c r="A7" s="5" t="str">
        <f>Home!$B$1</f>
        <v>Hungary</v>
      </c>
    </row>
    <row r="8" spans="1:14">
      <c r="A8" s="2" t="s">
        <v>533</v>
      </c>
      <c r="B8" s="1"/>
      <c r="C8" s="81">
        <f>'Tourism Medium DB-LCU'!H151</f>
        <v>0.48499999999999999</v>
      </c>
      <c r="D8" s="81">
        <f>'Tourism Medium DB-LCU'!I151</f>
        <v>0.43099999999999999</v>
      </c>
      <c r="E8" s="81">
        <f>'Tourism Medium DB-LCU'!J151</f>
        <v>0.44299999999999995</v>
      </c>
      <c r="F8" s="81">
        <f>'Tourism Medium DB-LCU'!K151</f>
        <v>0.45899999999999996</v>
      </c>
      <c r="G8" s="81">
        <f>'Tourism Medium DB-LCU'!L151</f>
        <v>0.47700000000000004</v>
      </c>
      <c r="H8" s="81">
        <f>'Tourism Medium DB-LCU'!M151</f>
        <v>0.49148620151387556</v>
      </c>
      <c r="I8" s="81">
        <f>'Tourism Medium DB-LCU'!N151</f>
        <v>0.48395902595397294</v>
      </c>
      <c r="J8" s="81">
        <f>'Tourism Medium DB-LCU'!O151</f>
        <v>0.44068718587636735</v>
      </c>
      <c r="K8" s="81">
        <f>'Tourism Medium DB-LCU'!P151</f>
        <v>0.44292727355082173</v>
      </c>
      <c r="L8" s="81">
        <f>'Tourism Medium DB-LCU'!Q151</f>
        <v>0.44750265910872766</v>
      </c>
    </row>
    <row r="9" spans="1:14">
      <c r="A9" s="4"/>
      <c r="B9" s="2"/>
      <c r="C9" s="81"/>
      <c r="D9" s="81"/>
      <c r="E9" s="81"/>
      <c r="F9" s="81"/>
      <c r="G9" s="81"/>
      <c r="H9" s="81"/>
      <c r="I9" s="81"/>
      <c r="J9" s="81"/>
      <c r="K9" s="81"/>
      <c r="L9" s="81"/>
    </row>
    <row r="10" spans="1:14">
      <c r="A10" s="113" t="str">
        <f>$N$1</f>
        <v>Egypt</v>
      </c>
    </row>
    <row r="11" spans="1:14">
      <c r="A11" s="2" t="s">
        <v>533</v>
      </c>
      <c r="B11" s="1"/>
      <c r="C11" s="157">
        <v>0.56000000000000005</v>
      </c>
      <c r="D11" s="157">
        <v>0.52325757575757581</v>
      </c>
      <c r="E11" s="157">
        <v>0.54125000000000012</v>
      </c>
      <c r="F11" s="157">
        <v>0.44183673469387758</v>
      </c>
      <c r="G11" s="157">
        <v>0.44319454432729344</v>
      </c>
      <c r="H11" s="157">
        <v>0.44523567434141709</v>
      </c>
      <c r="I11" s="157">
        <v>0.44645022716645588</v>
      </c>
      <c r="J11" s="157">
        <v>0.4493572256306414</v>
      </c>
      <c r="K11" s="157">
        <v>0.45059750892529626</v>
      </c>
      <c r="L11" s="157">
        <v>0.45315923053209567</v>
      </c>
    </row>
    <row r="12" spans="1:14">
      <c r="A12" s="4"/>
      <c r="B12" s="2"/>
    </row>
    <row r="13" spans="1:14">
      <c r="A13" s="5" t="str">
        <f>Home!$B$1</f>
        <v>Hungary</v>
      </c>
    </row>
    <row r="14" spans="1:14">
      <c r="A14" s="2" t="s">
        <v>733</v>
      </c>
      <c r="B14" s="1"/>
      <c r="C14" s="449">
        <f>'Tourism Medium DB-US$'!G155</f>
        <v>37.461995353981393</v>
      </c>
      <c r="D14" s="449">
        <f>'Tourism Medium DB-US$'!H155</f>
        <v>31.709678760648913</v>
      </c>
      <c r="E14" s="449">
        <f>'Tourism Medium DB-US$'!I155</f>
        <v>30.23168358445205</v>
      </c>
      <c r="F14" s="449">
        <f>'Tourism Medium DB-US$'!J155</f>
        <v>32.970470766705624</v>
      </c>
      <c r="G14" s="449">
        <f>'Tourism Medium DB-US$'!K155</f>
        <v>30.982706154099283</v>
      </c>
      <c r="H14" s="449">
        <f>'Tourism Medium DB-US$'!L155</f>
        <v>31.380043348817917</v>
      </c>
      <c r="I14" s="449">
        <f>'Tourism Medium DB-US$'!M155</f>
        <v>31.433687082122489</v>
      </c>
      <c r="J14" s="449">
        <f>'Tourism Medium DB-US$'!N155</f>
        <v>31.573132814557457</v>
      </c>
      <c r="K14" s="449">
        <f>'Tourism Medium DB-US$'!O155</f>
        <v>32.735763321887262</v>
      </c>
      <c r="L14" s="449">
        <f>'Tourism Medium DB-US$'!P155</f>
        <v>32.884944636623452</v>
      </c>
    </row>
    <row r="15" spans="1:14">
      <c r="A15" s="4"/>
      <c r="B15" s="2"/>
      <c r="C15" s="449"/>
      <c r="D15" s="449"/>
      <c r="E15" s="449"/>
      <c r="F15" s="449"/>
      <c r="G15" s="449"/>
      <c r="H15" s="449"/>
      <c r="I15" s="449"/>
      <c r="J15" s="449"/>
      <c r="K15" s="449"/>
      <c r="L15" s="449"/>
    </row>
    <row r="16" spans="1:14">
      <c r="A16" s="113" t="str">
        <f>$N$1</f>
        <v>Egypt</v>
      </c>
    </row>
    <row r="17" spans="1:12">
      <c r="A17" s="2" t="s">
        <v>733</v>
      </c>
      <c r="B17" s="1"/>
      <c r="C17" s="448">
        <v>53.75</v>
      </c>
      <c r="D17" s="448">
        <v>51.181818181818187</v>
      </c>
      <c r="E17" s="448">
        <v>51.636363636363626</v>
      </c>
      <c r="F17" s="448">
        <v>30.18181818181818</v>
      </c>
      <c r="G17" s="448">
        <v>29.718420670647653</v>
      </c>
      <c r="H17" s="448">
        <v>30.22378476920527</v>
      </c>
      <c r="I17" s="448">
        <v>30.510794556108493</v>
      </c>
      <c r="J17" s="448">
        <v>30.981492251596364</v>
      </c>
      <c r="K17" s="448">
        <v>31.368045266641463</v>
      </c>
      <c r="L17" s="448">
        <v>31.795547003355765</v>
      </c>
    </row>
    <row r="18" spans="1:12">
      <c r="A18" s="4"/>
      <c r="B18" s="2"/>
    </row>
    <row r="20" spans="1:12">
      <c r="A20" s="5" t="str">
        <f>Home!$B$1</f>
        <v>Hungary</v>
      </c>
    </row>
    <row r="21" spans="1:12">
      <c r="A21" t="s">
        <v>534</v>
      </c>
      <c r="C21" s="608">
        <f>'Tourism Medium DB-US$'!G158/('Tourism Medium DB-US$'!G161/1000)</f>
        <v>0.37876906172258229</v>
      </c>
      <c r="D21" s="608">
        <f>'Tourism Medium DB-US$'!H158/('Tourism Medium DB-US$'!H161/1000)</f>
        <v>0.35690909284232836</v>
      </c>
      <c r="E21" s="608">
        <f>'Tourism Medium DB-US$'!I158/('Tourism Medium DB-US$'!I161/1000)</f>
        <v>0.33377158086825359</v>
      </c>
      <c r="F21" s="608">
        <f>'Tourism Medium DB-US$'!J158/('Tourism Medium DB-US$'!J161/1000)</f>
        <v>0.33192698823604116</v>
      </c>
      <c r="G21" s="608">
        <f>'Tourism Medium DB-US$'!K158/('Tourism Medium DB-US$'!K161/1000)</f>
        <v>0.51887567712467797</v>
      </c>
      <c r="H21" s="608">
        <f>'Tourism Medium DB-US$'!L158/('Tourism Medium DB-US$'!L161/1000)</f>
        <v>205.27365480584712</v>
      </c>
      <c r="I21" s="608">
        <f>'Tourism Medium DB-US$'!M158/('Tourism Medium DB-US$'!M161/1000)</f>
        <v>246.50385104394277</v>
      </c>
      <c r="J21" s="608">
        <f>'Tourism Medium DB-US$'!N158/('Tourism Medium DB-US$'!N161/1000)</f>
        <v>322.13821869743424</v>
      </c>
      <c r="K21" s="608">
        <f>'Tourism Medium DB-US$'!O158/('Tourism Medium DB-US$'!O161/1000)</f>
        <v>344.69474230914773</v>
      </c>
      <c r="L21" s="608">
        <f>'Tourism Medium DB-US$'!P158/('Tourism Medium DB-US$'!P161/1000)</f>
        <v>356.80218676370151</v>
      </c>
    </row>
    <row r="22" spans="1:12">
      <c r="A22" s="4"/>
      <c r="B22" s="1"/>
      <c r="C22" s="609"/>
      <c r="D22" s="609"/>
      <c r="E22" s="609"/>
      <c r="F22" s="609"/>
      <c r="G22" s="609"/>
      <c r="H22" s="609"/>
      <c r="I22" s="609"/>
      <c r="J22" s="609"/>
      <c r="K22" s="609"/>
      <c r="L22" s="609"/>
    </row>
    <row r="23" spans="1:12">
      <c r="A23" s="113" t="str">
        <f>$N$1</f>
        <v>Egypt</v>
      </c>
      <c r="C23" s="609"/>
      <c r="D23" s="609"/>
      <c r="E23" s="609"/>
      <c r="F23" s="609"/>
      <c r="G23" s="609"/>
      <c r="H23" s="609"/>
      <c r="I23" s="609"/>
      <c r="J23" s="609"/>
      <c r="K23" s="609"/>
      <c r="L23" s="609"/>
    </row>
    <row r="24" spans="1:12">
      <c r="A24" t="s">
        <v>534</v>
      </c>
      <c r="C24" s="608">
        <v>186.54185328178698</v>
      </c>
      <c r="D24" s="608">
        <v>191.88372023606394</v>
      </c>
      <c r="E24" s="608">
        <v>172.25755484464992</v>
      </c>
      <c r="F24" s="608">
        <v>128.63150590482687</v>
      </c>
      <c r="G24" s="608">
        <v>126.50293266458347</v>
      </c>
      <c r="H24" s="608">
        <v>128.52222636613578</v>
      </c>
      <c r="I24" s="608">
        <v>129.35025553518847</v>
      </c>
      <c r="J24" s="608">
        <v>131.27904492364485</v>
      </c>
      <c r="K24" s="608">
        <v>131.71740813490888</v>
      </c>
      <c r="L24" s="608">
        <v>131.88555316957579</v>
      </c>
    </row>
    <row r="25" spans="1:12">
      <c r="B25" s="2"/>
      <c r="C25" s="609"/>
      <c r="D25" s="609"/>
      <c r="E25" s="609"/>
      <c r="F25" s="609"/>
      <c r="G25" s="609"/>
      <c r="H25" s="609"/>
      <c r="I25" s="609"/>
      <c r="J25" s="609"/>
      <c r="K25" s="609"/>
      <c r="L25" s="609"/>
    </row>
    <row r="26" spans="1:12">
      <c r="A26" s="5" t="str">
        <f>Home!$B$1</f>
        <v>Hungary</v>
      </c>
      <c r="C26" s="609"/>
      <c r="D26" s="609"/>
      <c r="E26" s="609"/>
      <c r="F26" s="609"/>
      <c r="G26" s="609"/>
      <c r="H26" s="609"/>
      <c r="I26" s="609"/>
      <c r="J26" s="609"/>
      <c r="K26" s="609"/>
      <c r="L26" s="609"/>
    </row>
    <row r="27" spans="1:12">
      <c r="A27" t="s">
        <v>535</v>
      </c>
      <c r="C27" s="610">
        <f>'Tourism Medium DB-US$'!G159/('Tourism Medium DB-US$'!G161/1000)</f>
        <v>0.19323325210437081</v>
      </c>
      <c r="D27" s="610">
        <f>'Tourism Medium DB-US$'!H159/('Tourism Medium DB-US$'!H161/1000)</f>
        <v>0.18239167823380137</v>
      </c>
      <c r="E27" s="610">
        <f>'Tourism Medium DB-US$'!I159/('Tourism Medium DB-US$'!I161/1000)</f>
        <v>0.17052488005144434</v>
      </c>
      <c r="F27" s="610">
        <f>'Tourism Medium DB-US$'!J159/('Tourism Medium DB-US$'!J161/1000)</f>
        <v>0.16964560060076245</v>
      </c>
      <c r="G27" s="610">
        <f>'Tourism Medium DB-US$'!K159/('Tourism Medium DB-US$'!K161/1000)</f>
        <v>0.26443276576402913</v>
      </c>
      <c r="H27" s="610">
        <f>'Tourism Medium DB-US$'!L159/('Tourism Medium DB-US$'!L161/1000)</f>
        <v>0.29413923269577463</v>
      </c>
      <c r="I27" s="610">
        <f>'Tourism Medium DB-US$'!M159/('Tourism Medium DB-US$'!M161/1000)</f>
        <v>0.35270446379990578</v>
      </c>
      <c r="J27" s="610">
        <f>'Tourism Medium DB-US$'!N159/('Tourism Medium DB-US$'!N161/1000)</f>
        <v>0.47351052777946573</v>
      </c>
      <c r="K27" s="610">
        <f>'Tourism Medium DB-US$'!O159/('Tourism Medium DB-US$'!O161/1000)</f>
        <v>0.52397637403491448</v>
      </c>
      <c r="L27" s="610">
        <f>'Tourism Medium DB-US$'!P159/('Tourism Medium DB-US$'!P161/1000)</f>
        <v>0.56945453765489484</v>
      </c>
    </row>
    <row r="28" spans="1:12">
      <c r="C28" s="610"/>
      <c r="D28" s="610"/>
      <c r="E28" s="610"/>
      <c r="F28" s="610"/>
      <c r="G28" s="610"/>
      <c r="H28" s="611"/>
      <c r="I28" s="611"/>
      <c r="J28" s="611"/>
      <c r="K28" s="611"/>
      <c r="L28" s="611"/>
    </row>
    <row r="29" spans="1:12">
      <c r="A29" s="113" t="str">
        <f>$N$1</f>
        <v>Egypt</v>
      </c>
      <c r="C29" s="609"/>
      <c r="D29" s="609"/>
      <c r="E29" s="609"/>
      <c r="F29" s="609"/>
      <c r="G29" s="609"/>
      <c r="H29" s="609"/>
      <c r="I29" s="609"/>
      <c r="J29" s="609"/>
      <c r="K29" s="609"/>
      <c r="L29" s="609"/>
    </row>
    <row r="30" spans="1:12" s="5" customFormat="1">
      <c r="A30" s="238" t="s">
        <v>535</v>
      </c>
      <c r="C30" s="608">
        <v>52.444400179680969</v>
      </c>
      <c r="D30" s="608">
        <v>42.641723545386235</v>
      </c>
      <c r="E30" s="608">
        <v>44.849214763631494</v>
      </c>
      <c r="F30" s="608">
        <v>30.021600986574459</v>
      </c>
      <c r="G30" s="608">
        <v>29.148146267278655</v>
      </c>
      <c r="H30" s="608">
        <v>29.112971590542255</v>
      </c>
      <c r="I30" s="608">
        <v>29.079467117987512</v>
      </c>
      <c r="J30" s="608">
        <v>29.250933811906609</v>
      </c>
      <c r="K30" s="608">
        <v>29.357200365166516</v>
      </c>
      <c r="L30" s="608">
        <v>29.513470400003072</v>
      </c>
    </row>
    <row r="31" spans="1:12" s="5" customFormat="1">
      <c r="C31" s="608"/>
      <c r="D31" s="608"/>
      <c r="E31" s="608"/>
      <c r="F31" s="608"/>
      <c r="G31" s="608"/>
      <c r="H31" s="608"/>
      <c r="I31" s="608"/>
      <c r="J31" s="608"/>
      <c r="K31" s="608"/>
      <c r="L31" s="608"/>
    </row>
    <row r="32" spans="1:12" s="5" customFormat="1">
      <c r="A32" s="5" t="str">
        <f>Home!$B$1</f>
        <v>Hungary</v>
      </c>
      <c r="C32" s="608"/>
      <c r="D32" s="608"/>
      <c r="E32" s="608"/>
      <c r="F32" s="608"/>
      <c r="G32" s="608"/>
      <c r="H32" s="608"/>
      <c r="I32" s="608"/>
      <c r="J32" s="608"/>
      <c r="K32" s="608"/>
      <c r="L32" s="608"/>
    </row>
    <row r="33" spans="1:12">
      <c r="A33" t="s">
        <v>734</v>
      </c>
      <c r="B33" s="5"/>
    </row>
    <row r="34" spans="1:12">
      <c r="B34" s="375" t="s">
        <v>19</v>
      </c>
      <c r="C34" s="157">
        <f>'Tourism Medium DB-US$'!G162/'Tourism Medium DB-US$'!G$161</f>
        <v>2.8448391749177352E-2</v>
      </c>
      <c r="D34" s="157">
        <f>'Tourism Medium DB-US$'!H162/'Tourism Medium DB-US$'!H$161</f>
        <v>2.4102681506258963E-2</v>
      </c>
      <c r="E34" s="157">
        <f>'Tourism Medium DB-US$'!I162/'Tourism Medium DB-US$'!I$161</f>
        <v>1.5245298102172452E-2</v>
      </c>
      <c r="F34" s="157">
        <f>'Tourism Medium DB-US$'!J162/'Tourism Medium DB-US$'!J$161</f>
        <v>1.1038262260713838E-2</v>
      </c>
      <c r="G34" s="157">
        <f>'Tourism Medium DB-US$'!K162/'Tourism Medium DB-US$'!K$161</f>
        <v>2.2331782751368462E-2</v>
      </c>
      <c r="H34" s="157">
        <f>'Tourism Medium DB-US$'!L162/'Tourism Medium DB-US$'!L$161</f>
        <v>2.1676063227686625E-2</v>
      </c>
      <c r="I34" s="157">
        <f>'Tourism Medium DB-US$'!M162/'Tourism Medium DB-US$'!M$161</f>
        <v>2.1619315644507441E-2</v>
      </c>
      <c r="J34" s="157">
        <f>'Tourism Medium DB-US$'!N162/'Tourism Medium DB-US$'!N$161</f>
        <v>2.1816604115103357E-2</v>
      </c>
      <c r="K34" s="157">
        <f>'Tourism Medium DB-US$'!O162/'Tourism Medium DB-US$'!O$161</f>
        <v>2.2221719338517933E-2</v>
      </c>
      <c r="L34" s="157">
        <f>'Tourism Medium DB-US$'!P162/'Tourism Medium DB-US$'!P$161</f>
        <v>2.2218976239499387E-2</v>
      </c>
    </row>
    <row r="35" spans="1:12">
      <c r="B35" s="375" t="s">
        <v>20</v>
      </c>
      <c r="C35" s="157">
        <f>'Tourism Medium DB-US$'!G163/'Tourism Medium DB-US$'!G$161</f>
        <v>2.3553507419658088</v>
      </c>
      <c r="D35" s="157">
        <f>'Tourism Medium DB-US$'!H163/'Tourism Medium DB-US$'!H$161</f>
        <v>2.5528878876644709</v>
      </c>
      <c r="E35" s="157">
        <f>'Tourism Medium DB-US$'!I163/'Tourism Medium DB-US$'!I$161</f>
        <v>2.5946002865937099</v>
      </c>
      <c r="F35" s="157">
        <f>'Tourism Medium DB-US$'!J163/'Tourism Medium DB-US$'!J$161</f>
        <v>2.5480920400723877</v>
      </c>
      <c r="G35" s="157">
        <f>'Tourism Medium DB-US$'!K163/'Tourism Medium DB-US$'!K$161</f>
        <v>4.0612566074965351</v>
      </c>
      <c r="H35" s="157">
        <f>'Tourism Medium DB-US$'!L163/'Tourism Medium DB-US$'!L$161</f>
        <v>0.97832393677231333</v>
      </c>
      <c r="I35" s="157">
        <f>'Tourism Medium DB-US$'!M163/'Tourism Medium DB-US$'!M$161</f>
        <v>0.97838068435549252</v>
      </c>
      <c r="J35" s="157">
        <f>'Tourism Medium DB-US$'!N163/'Tourism Medium DB-US$'!N$161</f>
        <v>0.97818339588489667</v>
      </c>
      <c r="K35" s="157">
        <f>'Tourism Medium DB-US$'!O163/'Tourism Medium DB-US$'!O$161</f>
        <v>0.97777828066148209</v>
      </c>
      <c r="L35" s="157">
        <f>'Tourism Medium DB-US$'!P163/'Tourism Medium DB-US$'!P$161</f>
        <v>0.97778102376050058</v>
      </c>
    </row>
    <row r="36" spans="1:12">
      <c r="A36" s="113" t="str">
        <f>$N$1</f>
        <v>Egypt</v>
      </c>
    </row>
    <row r="37" spans="1:12">
      <c r="A37" t="s">
        <v>734</v>
      </c>
      <c r="B37" s="5"/>
    </row>
    <row r="38" spans="1:12">
      <c r="B38" s="375" t="s">
        <v>19</v>
      </c>
      <c r="C38" s="157">
        <v>1.5215674757791153E-2</v>
      </c>
      <c r="D38" s="157">
        <v>1.5674982295531607E-2</v>
      </c>
      <c r="E38" s="157">
        <v>1.5601980783678812E-2</v>
      </c>
      <c r="F38" s="157">
        <v>1.4314113467409769E-2</v>
      </c>
      <c r="G38" s="157">
        <v>1.4322993256512012E-2</v>
      </c>
      <c r="H38" s="157">
        <v>1.4313387638708612E-2</v>
      </c>
      <c r="I38" s="157">
        <v>1.4283152470980408E-2</v>
      </c>
      <c r="J38" s="157">
        <v>1.4246650335319236E-2</v>
      </c>
      <c r="K38" s="157">
        <v>1.4230810729324693E-2</v>
      </c>
      <c r="L38" s="157">
        <v>1.4198560098168689E-2</v>
      </c>
    </row>
    <row r="39" spans="1:12">
      <c r="B39" s="375" t="s">
        <v>20</v>
      </c>
      <c r="C39" s="157">
        <v>0.98478432524220882</v>
      </c>
      <c r="D39" s="157">
        <v>0.98432501770446834</v>
      </c>
      <c r="E39" s="157">
        <v>0.98439801921632131</v>
      </c>
      <c r="F39" s="157">
        <v>0.98568588653259026</v>
      </c>
      <c r="G39" s="157">
        <v>0.98567700674348802</v>
      </c>
      <c r="H39" s="157">
        <v>0.98568661236129129</v>
      </c>
      <c r="I39" s="157">
        <v>0.98571684752901967</v>
      </c>
      <c r="J39" s="157">
        <v>0.98575334966468064</v>
      </c>
      <c r="K39" s="157">
        <v>0.98576918927067536</v>
      </c>
      <c r="L39" s="157">
        <v>0.98580143990183133</v>
      </c>
    </row>
  </sheetData>
  <customSheetViews>
    <customSheetView guid="{BD5E9955-DC4B-4EA0-9160-9EF1C693DE04}" state="hidden" topLeftCell="A13">
      <selection activeCell="C17" sqref="C17"/>
      <pageMargins left="0.7" right="0.7" top="0.75" bottom="0.75" header="0.3" footer="0.3"/>
      <pageSetup orientation="portrait" horizontalDpi="300" verticalDpi="0" copies="0" r:id="rId1"/>
    </customSheetView>
    <customSheetView guid="{1ACDCC85-59E3-4410-927D-E7E5C71B61F5}" state="hidden" topLeftCell="A13">
      <selection activeCell="C17" sqref="C17"/>
      <pageMargins left="0.7" right="0.7" top="0.75" bottom="0.75" header="0.3" footer="0.3"/>
      <pageSetup orientation="portrait" horizontalDpi="300" verticalDpi="0" copies="0" r:id="rId2"/>
    </customSheetView>
    <customSheetView guid="{9144D9B3-2327-4B3A-89B1-6A595780C3C5}" state="hidden" topLeftCell="A13">
      <selection activeCell="C17" sqref="C17"/>
      <pageMargins left="0.7" right="0.7" top="0.75" bottom="0.75" header="0.3" footer="0.3"/>
      <pageSetup orientation="portrait" horizontalDpi="300" verticalDpi="0" copies="0" r:id="rId3"/>
    </customSheetView>
    <customSheetView guid="{513032B5-C585-49C2-98E7-9FDE6F7A4BA7}" state="hidden" topLeftCell="A13">
      <selection activeCell="C17" sqref="C17"/>
      <pageMargins left="0.7" right="0.7" top="0.75" bottom="0.75" header="0.3" footer="0.3"/>
      <pageSetup orientation="portrait" horizontalDpi="300" verticalDpi="0" copies="0" r:id="rId4"/>
    </customSheetView>
    <customSheetView guid="{AF983ECA-536A-40E6-8A04-FF0A375E9ACC}" state="hidden" topLeftCell="A13">
      <selection activeCell="C17" sqref="C17"/>
      <pageMargins left="0.7" right="0.7" top="0.75" bottom="0.75" header="0.3" footer="0.3"/>
      <pageSetup orientation="portrait" horizontalDpi="300" verticalDpi="0" copies="0" r:id="rId5"/>
    </customSheetView>
  </customSheetViews>
  <pageMargins left="0.7" right="0.7" top="0.75" bottom="0.75" header="0.3" footer="0.3"/>
  <pageSetup orientation="portrait" horizontalDpi="300" verticalDpi="0" copies="0" r:id="rId6"/>
</worksheet>
</file>

<file path=xl/worksheets/sheet20.xml><?xml version="1.0" encoding="utf-8"?>
<worksheet xmlns="http://schemas.openxmlformats.org/spreadsheetml/2006/main" xmlns:r="http://schemas.openxmlformats.org/officeDocument/2006/relationships">
  <dimension ref="A1:AI76"/>
  <sheetViews>
    <sheetView showGridLines="0" topLeftCell="G1" workbookViewId="0">
      <pane ySplit="1" topLeftCell="A55" activePane="bottomLeft" state="frozen"/>
      <selection pane="bottomLeft" activeCell="N76" sqref="N76"/>
    </sheetView>
  </sheetViews>
  <sheetFormatPr defaultRowHeight="15" customHeight="1" outlineLevelRow="1"/>
  <cols>
    <col min="1" max="1" width="11.5703125" customWidth="1"/>
    <col min="2" max="2" width="34.140625" style="5" bestFit="1" customWidth="1"/>
    <col min="3" max="3" width="41.42578125" bestFit="1" customWidth="1"/>
    <col min="4" max="4" width="45.140625" bestFit="1" customWidth="1"/>
    <col min="5" max="5" width="28.85546875" customWidth="1"/>
    <col min="6" max="6" width="24.28515625" customWidth="1"/>
    <col min="7" max="7" width="9.85546875" customWidth="1"/>
    <col min="8" max="8" width="11.7109375" bestFit="1" customWidth="1"/>
    <col min="9" max="18" width="11.140625" bestFit="1" customWidth="1"/>
    <col min="19" max="19" width="21.28515625" customWidth="1"/>
    <col min="22" max="22" width="40" bestFit="1" customWidth="1"/>
  </cols>
  <sheetData>
    <row r="1" spans="1:21" s="1" customFormat="1" ht="15" customHeight="1">
      <c r="A1" s="3" t="str">
        <f>'[5]Final Data'!A1</f>
        <v>Country</v>
      </c>
      <c r="B1" s="3" t="str">
        <f>'[5]Final Data'!B1</f>
        <v>Subject</v>
      </c>
      <c r="C1" s="3" t="s">
        <v>1</v>
      </c>
      <c r="D1" s="3"/>
      <c r="E1" s="3" t="str">
        <f>'[5]Final Data'!E1</f>
        <v>Metric-2</v>
      </c>
      <c r="F1" s="3" t="str">
        <f>'[5]Final Data'!F1</f>
        <v>Metric-3</v>
      </c>
      <c r="G1" s="3" t="s">
        <v>163</v>
      </c>
      <c r="H1" s="2">
        <v>2007</v>
      </c>
      <c r="I1" s="2">
        <f>'[5]Final Data'!I1</f>
        <v>2008</v>
      </c>
      <c r="J1" s="2">
        <f>'[5]Final Data'!J1</f>
        <v>2009</v>
      </c>
      <c r="K1" s="2">
        <f>'[5]Final Data'!K1</f>
        <v>2010</v>
      </c>
      <c r="L1" s="2">
        <f>'[5]Final Data'!L1</f>
        <v>2011</v>
      </c>
      <c r="M1" s="2">
        <f>'[5]Final Data'!M1</f>
        <v>2012</v>
      </c>
      <c r="N1" s="561">
        <f>'[5]Final Data'!N1</f>
        <v>2013</v>
      </c>
      <c r="O1" s="561">
        <f>'[5]Final Data'!O1</f>
        <v>2014</v>
      </c>
      <c r="P1" s="561">
        <f>'[5]Final Data'!P1</f>
        <v>2015</v>
      </c>
      <c r="Q1" s="561">
        <f>'[5]Final Data'!Q1</f>
        <v>2016</v>
      </c>
      <c r="R1" s="561">
        <f>'[5]Final Data'!R1</f>
        <v>2017</v>
      </c>
      <c r="T1" s="562" t="s">
        <v>164</v>
      </c>
      <c r="U1" s="562" t="s">
        <v>165</v>
      </c>
    </row>
    <row r="2" spans="1:21" s="1" customFormat="1" ht="15" customHeight="1">
      <c r="A2" s="2" t="str">
        <f>'Tourism Medium DB-LCU'!$A$163</f>
        <v>Hungary</v>
      </c>
      <c r="B2" s="2" t="s">
        <v>79</v>
      </c>
      <c r="C2" s="2"/>
      <c r="D2" s="2"/>
      <c r="E2" s="2"/>
      <c r="F2" s="2"/>
      <c r="G2" s="2"/>
      <c r="H2" s="2"/>
      <c r="I2" s="2"/>
      <c r="J2" s="2"/>
      <c r="K2" s="2"/>
      <c r="L2" s="2"/>
      <c r="M2" s="2"/>
      <c r="N2" s="561"/>
      <c r="O2" s="561"/>
      <c r="P2" s="561"/>
      <c r="Q2" s="561"/>
      <c r="R2" s="561"/>
    </row>
    <row r="3" spans="1:21" s="1" customFormat="1" ht="15" customHeight="1">
      <c r="B3" s="2"/>
      <c r="N3" s="563"/>
      <c r="O3" s="563"/>
      <c r="P3" s="563"/>
      <c r="Q3" s="563"/>
      <c r="R3" s="563"/>
    </row>
    <row r="4" spans="1:21" s="1" customFormat="1" ht="15" customHeight="1">
      <c r="A4" s="2" t="str">
        <f>'Tourism Medium DB-LCU'!$A$163</f>
        <v>Hungary</v>
      </c>
      <c r="B4" s="2" t="s">
        <v>79</v>
      </c>
      <c r="C4" s="2" t="s">
        <v>80</v>
      </c>
      <c r="D4" s="2"/>
      <c r="E4" s="2"/>
      <c r="F4" s="2"/>
      <c r="G4" s="2" t="s">
        <v>1012</v>
      </c>
      <c r="H4" s="391">
        <f>'Tourism Medium DB-LCU'!G164</f>
        <v>54475.363658565184</v>
      </c>
      <c r="I4" s="391">
        <f>'Tourism Medium DB-LCU'!H164</f>
        <v>56245.163249999998</v>
      </c>
      <c r="J4" s="391">
        <f>'Tourism Medium DB-LCU'!I164</f>
        <v>52886.647520000006</v>
      </c>
      <c r="K4" s="391">
        <f>'Tourism Medium DB-LCU'!J164</f>
        <v>55634.867340000004</v>
      </c>
      <c r="L4" s="391">
        <f>'Tourism Medium DB-LCU'!K164</f>
        <v>57802.691043436396</v>
      </c>
      <c r="M4" s="391">
        <f>'Tourism Medium DB-LCU'!L164</f>
        <v>59692.642640828475</v>
      </c>
      <c r="N4" s="772">
        <f>M4*(1+N5)</f>
        <v>61234.67283855877</v>
      </c>
      <c r="O4" s="772">
        <f>N4*(1+O5)</f>
        <v>60198.073290933797</v>
      </c>
      <c r="P4" s="772">
        <f>O4*(1+P5)</f>
        <v>58889.343116093223</v>
      </c>
      <c r="Q4" s="772">
        <f>P4*(1+Q5)</f>
        <v>61037.548154835313</v>
      </c>
      <c r="R4" s="772">
        <f>Q4*(1+R5)</f>
        <v>61711.182862643487</v>
      </c>
      <c r="S4" s="2"/>
      <c r="T4" s="480">
        <f>(M4/I4)^(1/4)-1</f>
        <v>1.4983321977036557E-2</v>
      </c>
      <c r="U4" s="480">
        <f>(R4/M4)^(1/5)-1</f>
        <v>6.6734461235915532E-3</v>
      </c>
    </row>
    <row r="5" spans="1:21" s="1" customFormat="1" ht="15" customHeight="1">
      <c r="B5" s="441"/>
      <c r="C5" s="4"/>
      <c r="D5" s="4"/>
      <c r="E5" s="2"/>
      <c r="H5" s="770"/>
      <c r="I5" s="396">
        <f>I4/H4-1</f>
        <v>3.2488073003557494E-2</v>
      </c>
      <c r="J5" s="396">
        <f>J4/I4-1</f>
        <v>-5.9712080753894781E-2</v>
      </c>
      <c r="K5" s="396">
        <f>K4/J4-1</f>
        <v>5.1964341641445699E-2</v>
      </c>
      <c r="L5" s="396">
        <f>L4/K4-1</f>
        <v>3.8965199470832212E-2</v>
      </c>
      <c r="M5" s="396">
        <f>M4/L4-1</f>
        <v>3.2696602239017825E-2</v>
      </c>
      <c r="N5" s="771">
        <f>(0.9*((M4/H4)^(1/5)-1)+0.1*($E$7*N8+$E$9*N10+$E$11*N12+$E$13*N14+$E$15*N16+$E$17*N18))*1.6</f>
        <v>2.5832835162093733E-2</v>
      </c>
      <c r="O5" s="771">
        <f>(0.05*((N4/H4)^(1/6)-1)+0.95*($E$7*O8+$E$9*O10+$E$11*O12+$E$13*O14+$E$15*O16+$E$17*O18))*1.5</f>
        <v>-1.6928310376670072E-2</v>
      </c>
      <c r="P5" s="771">
        <f>(0.05*((O4/I4)^(1/6)-1)+0.95*($E$7*P8+$E$9*P10+$E$11*P12+$E$13*P14+$E$15*P16+$E$17*P18))*1.5</f>
        <v>-2.1740399705411709E-2</v>
      </c>
      <c r="Q5" s="771">
        <f>(0.05*((P4/J4)^(1/6)-1)+0.95*($E$7*Q8+$E$9*Q10+$E$11*Q12+$E$13*Q14+$E$15*Q16+$E$17*Q18))*1.3</f>
        <v>3.6478672117417871E-2</v>
      </c>
      <c r="R5" s="771">
        <f>(0.05*((Q4/K4)^(1/6)-1)+0.95*($E$7*R8+$E$9*R10+$E$11*R12+$E$13*R14+$E$15*R16+$E$17*R18))*1.3</f>
        <v>1.1036398547650501E-2</v>
      </c>
      <c r="S5" s="2"/>
    </row>
    <row r="6" spans="1:21" s="1" customFormat="1" ht="15" customHeight="1">
      <c r="A6" s="195"/>
      <c r="B6" s="195"/>
      <c r="C6" s="195"/>
      <c r="D6" s="196" t="s">
        <v>351</v>
      </c>
      <c r="E6" s="197" t="s">
        <v>352</v>
      </c>
      <c r="F6" s="197"/>
      <c r="G6" s="197"/>
      <c r="H6" s="769"/>
      <c r="I6" s="769"/>
      <c r="J6" s="197"/>
      <c r="K6" s="198"/>
      <c r="L6" s="199"/>
      <c r="M6" s="199"/>
      <c r="N6" s="565"/>
      <c r="O6" s="565"/>
      <c r="P6" s="565"/>
      <c r="Q6" s="565"/>
      <c r="R6" s="565"/>
    </row>
    <row r="7" spans="1:21" s="1" customFormat="1" ht="15" customHeight="1">
      <c r="A7" s="23"/>
      <c r="B7" s="585"/>
      <c r="C7" s="23"/>
      <c r="D7" s="566" t="s">
        <v>580</v>
      </c>
      <c r="E7" s="220">
        <f>S8/S$19</f>
        <v>0.25197745721886428</v>
      </c>
      <c r="F7" s="25"/>
      <c r="G7" s="1" t="s">
        <v>1012</v>
      </c>
      <c r="H7" s="26">
        <f>'Tourism Medium DB-LCU'!G54+'Tourism Medium DB-LCU'!G62+('Tourism Medium DB-LCU'!G73*'Working Sheet_EI'!O71)</f>
        <v>7096.0189301157661</v>
      </c>
      <c r="I7" s="26">
        <f>'Tourism Medium DB-LCU'!H54+'Tourism Medium DB-LCU'!H62+('Tourism Medium DB-LCU'!H73*'Working Sheet_EI'!P71)</f>
        <v>7674.0334744460397</v>
      </c>
      <c r="J7" s="26">
        <f>'Tourism Medium DB-LCU'!I54+'Tourism Medium DB-LCU'!I62+('Tourism Medium DB-LCU'!I73*'Working Sheet_EI'!Q71)</f>
        <v>7529.2045113512086</v>
      </c>
      <c r="K7" s="26">
        <f>'Tourism Medium DB-LCU'!J54+'Tourism Medium DB-LCU'!J62+('Tourism Medium DB-LCU'!J73*'Working Sheet_EI'!R71)</f>
        <v>7400.0680684155886</v>
      </c>
      <c r="L7" s="26">
        <f>'Tourism Medium DB-LCU'!K54+'Tourism Medium DB-LCU'!K62+('Tourism Medium DB-LCU'!K73*'Working Sheet_EI'!S71)</f>
        <v>7829.2696861590293</v>
      </c>
      <c r="M7" s="26">
        <f>'Tourism Medium DB-LCU'!L54+'Tourism Medium DB-LCU'!L62+('Tourism Medium DB-LCU'!L73*'Working Sheet_EI'!T71)</f>
        <v>8029.4054554313298</v>
      </c>
      <c r="N7" s="26">
        <f>'Tourism Medium DB-LCU'!M54+'Tourism Medium DB-LCU'!M62+('Tourism Medium DB-LCU'!M73*'Working Sheet_EI'!U71)</f>
        <v>7910.4475357359224</v>
      </c>
      <c r="O7" s="26">
        <f>'Tourism Medium DB-LCU'!N54+'Tourism Medium DB-LCU'!N62+('Tourism Medium DB-LCU'!N73*'Working Sheet_EI'!V71)</f>
        <v>7755.8729661516691</v>
      </c>
      <c r="P7" s="26">
        <f>'Tourism Medium DB-LCU'!O54+'Tourism Medium DB-LCU'!O62+('Tourism Medium DB-LCU'!O73*'Working Sheet_EI'!W71)</f>
        <v>7656.1482773984208</v>
      </c>
      <c r="Q7" s="26">
        <f>'Tourism Medium DB-LCU'!P54+'Tourism Medium DB-LCU'!P62+('Tourism Medium DB-LCU'!P73*'Working Sheet_EI'!X71)</f>
        <v>7954.577932485613</v>
      </c>
      <c r="R7" s="26">
        <f>'Tourism Medium DB-LCU'!Q54+'Tourism Medium DB-LCU'!Q62+('Tourism Medium DB-LCU'!Q73*'Working Sheet_EI'!Y71)</f>
        <v>8147.8002746538659</v>
      </c>
      <c r="S7" s="27"/>
      <c r="T7" s="480">
        <f>(M7/H7)^(1/4)-1</f>
        <v>3.1376319724677026E-2</v>
      </c>
      <c r="U7" s="480">
        <f>(R7/M7)^(1/5)-1</f>
        <v>2.9317895280667194E-3</v>
      </c>
    </row>
    <row r="8" spans="1:21" s="1" customFormat="1" ht="15" customHeight="1">
      <c r="A8" s="28"/>
      <c r="B8" s="28"/>
      <c r="C8" s="28"/>
      <c r="D8" s="28" t="s">
        <v>184</v>
      </c>
      <c r="E8" s="30"/>
      <c r="F8" s="28"/>
      <c r="G8" s="28"/>
      <c r="H8" s="28"/>
      <c r="I8" s="30">
        <f t="shared" ref="I8" si="0">I7/H7-1</f>
        <v>8.1456172823491046E-2</v>
      </c>
      <c r="J8" s="30">
        <f t="shared" ref="J8" si="1">J7/I7-1</f>
        <v>-1.8872599862523542E-2</v>
      </c>
      <c r="K8" s="30">
        <f t="shared" ref="K8" si="2">K7/J7-1</f>
        <v>-1.7151405934176855E-2</v>
      </c>
      <c r="L8" s="30">
        <f t="shared" ref="L8" si="3">L7/K7-1</f>
        <v>5.7999685107671617E-2</v>
      </c>
      <c r="M8" s="30">
        <f t="shared" ref="M8" si="4">M7/L7-1</f>
        <v>2.5562508036491627E-2</v>
      </c>
      <c r="N8" s="567">
        <f t="shared" ref="N8" si="5">N7/M7-1</f>
        <v>-1.4815283691389736E-2</v>
      </c>
      <c r="O8" s="567">
        <f t="shared" ref="O8" si="6">O7/N7-1</f>
        <v>-1.9540559353431464E-2</v>
      </c>
      <c r="P8" s="567">
        <f t="shared" ref="P8" si="7">P7/O7-1</f>
        <v>-1.2857957987252866E-2</v>
      </c>
      <c r="Q8" s="567">
        <f t="shared" ref="Q8" si="8">Q7/P7-1</f>
        <v>3.8979085079658304E-2</v>
      </c>
      <c r="R8" s="567">
        <f t="shared" ref="R8" si="9">R7/Q7-1</f>
        <v>2.4290709552188039E-2</v>
      </c>
      <c r="S8" s="568">
        <f>CORREL(H7:M7,H$4:M$4)</f>
        <v>0.7784553237061691</v>
      </c>
      <c r="T8" s="480"/>
      <c r="U8" s="480"/>
    </row>
    <row r="9" spans="1:21" s="1" customFormat="1" ht="15" customHeight="1">
      <c r="A9" s="25"/>
      <c r="B9" s="458"/>
      <c r="C9" s="25"/>
      <c r="D9" s="569" t="s">
        <v>539</v>
      </c>
      <c r="E9" s="220">
        <f>S10/S$19</f>
        <v>0.30603808564668517</v>
      </c>
      <c r="F9" s="25"/>
      <c r="G9" s="1" t="s">
        <v>581</v>
      </c>
      <c r="H9" s="26">
        <f>Forecasting_EI!H474</f>
        <v>232432.95794830221</v>
      </c>
      <c r="I9" s="26">
        <f>Forecasting_EI!I474</f>
        <v>243265.6213799479</v>
      </c>
      <c r="J9" s="26">
        <f>Forecasting_EI!J474</f>
        <v>209746.7</v>
      </c>
      <c r="K9" s="26">
        <f>Forecasting_EI!K474</f>
        <v>229862.9</v>
      </c>
      <c r="L9" s="26">
        <f>Forecasting_EI!L474</f>
        <v>267252.2</v>
      </c>
      <c r="M9" s="26">
        <f>Forecasting_EI!M474</f>
        <v>265907.5</v>
      </c>
      <c r="N9" s="26">
        <f>Forecasting_EI!N474</f>
        <v>272054.09999999998</v>
      </c>
      <c r="O9" s="26">
        <f>Forecasting_EI!O474</f>
        <v>275379.65496027685</v>
      </c>
      <c r="P9" s="26">
        <f>Forecasting_EI!P474</f>
        <v>279081.0614839106</v>
      </c>
      <c r="Q9" s="26">
        <f>Forecasting_EI!Q474</f>
        <v>282894.02457884245</v>
      </c>
      <c r="R9" s="26">
        <f>Forecasting_EI!R474</f>
        <v>286919.55518451671</v>
      </c>
      <c r="S9" s="568"/>
      <c r="T9" s="480">
        <f>(M9/I9)^(1/4)-1</f>
        <v>2.2497988170726568E-2</v>
      </c>
      <c r="U9" s="480">
        <f>(R9/M9)^(1/5)-1</f>
        <v>1.5326946495980875E-2</v>
      </c>
    </row>
    <row r="10" spans="1:21" s="1" customFormat="1" ht="15" customHeight="1">
      <c r="A10" s="28"/>
      <c r="B10" s="28"/>
      <c r="C10" s="28"/>
      <c r="D10" s="28" t="s">
        <v>184</v>
      </c>
      <c r="E10" s="30"/>
      <c r="F10" s="28"/>
      <c r="G10" s="28"/>
      <c r="H10" s="28"/>
      <c r="I10" s="30">
        <f t="shared" ref="I10" si="10">I9/H9-1</f>
        <v>4.6605539624269277E-2</v>
      </c>
      <c r="J10" s="30">
        <f t="shared" ref="J10" si="11">J9/I9-1</f>
        <v>-0.13778733381975039</v>
      </c>
      <c r="K10" s="30">
        <f t="shared" ref="K10" si="12">K9/J9-1</f>
        <v>9.5907110815092622E-2</v>
      </c>
      <c r="L10" s="30">
        <f t="shared" ref="L10" si="13">L9/K9-1</f>
        <v>0.16265913290052469</v>
      </c>
      <c r="M10" s="30">
        <f t="shared" ref="M10" si="14">M9/L9-1</f>
        <v>-5.0315769149890111E-3</v>
      </c>
      <c r="N10" s="567">
        <f t="shared" ref="N10" si="15">N9/M9-1</f>
        <v>2.3115557101623496E-2</v>
      </c>
      <c r="O10" s="567">
        <f t="shared" ref="O10" si="16">O9/N9-1</f>
        <v>1.2223873708489874E-2</v>
      </c>
      <c r="P10" s="567">
        <f t="shared" ref="P10" si="17">P9/O9-1</f>
        <v>1.3441103788759179E-2</v>
      </c>
      <c r="Q10" s="567">
        <f t="shared" ref="Q10" si="18">Q9/P9-1</f>
        <v>1.3662564828504697E-2</v>
      </c>
      <c r="R10" s="567">
        <f t="shared" ref="R10" si="19">R9/Q9-1</f>
        <v>1.4229818433483254E-2</v>
      </c>
      <c r="S10" s="568">
        <f>CORREL(H9:M9,H$4:M$4)</f>
        <v>0.94546940689847958</v>
      </c>
      <c r="T10" s="480"/>
      <c r="U10" s="480"/>
    </row>
    <row r="11" spans="1:21" s="1" customFormat="1" ht="15" customHeight="1">
      <c r="A11" s="25"/>
      <c r="B11" s="458"/>
      <c r="C11" s="25"/>
      <c r="D11" s="569" t="s">
        <v>582</v>
      </c>
      <c r="E11" s="220">
        <f>S12/S$19</f>
        <v>-0.2958370439439682</v>
      </c>
      <c r="F11" s="25"/>
      <c r="G11" s="1" t="s">
        <v>742</v>
      </c>
      <c r="H11" s="26">
        <f>'Tourism Medium DB-LCU'!G122</f>
        <v>38601.088084160408</v>
      </c>
      <c r="I11" s="26">
        <f>'Tourism Medium DB-LCU'!H122</f>
        <v>84410.068914767209</v>
      </c>
      <c r="J11" s="26">
        <f>'Tourism Medium DB-LCU'!I122</f>
        <v>89113.006711388822</v>
      </c>
      <c r="K11" s="26">
        <f>'Tourism Medium DB-LCU'!J122</f>
        <v>107775.46361900425</v>
      </c>
      <c r="L11" s="26">
        <f>'Tourism Medium DB-LCU'!K122</f>
        <v>119260.12207281946</v>
      </c>
      <c r="M11" s="26">
        <f>'Tourism Medium DB-LCU'!L122</f>
        <v>145139.38475198566</v>
      </c>
      <c r="N11" s="26">
        <f>'Tourism Medium DB-LCU'!M122</f>
        <v>145139.38475198566</v>
      </c>
      <c r="O11" s="26">
        <f>'Tourism Medium DB-LCU'!N122</f>
        <v>156101.71270905304</v>
      </c>
      <c r="P11" s="26">
        <f>'Tourism Medium DB-LCU'!O122</f>
        <v>171535.30366023784</v>
      </c>
      <c r="Q11" s="26">
        <f>'Tourism Medium DB-LCU'!P122</f>
        <v>179512.10335546319</v>
      </c>
      <c r="R11" s="26">
        <f>'Tourism Medium DB-LCU'!Q122</f>
        <v>196268.76597568812</v>
      </c>
      <c r="S11" s="26"/>
      <c r="T11" s="480">
        <f>(M11/I11)^(1/4)-1</f>
        <v>0.14511144609640625</v>
      </c>
      <c r="U11" s="480">
        <f>(R11/M11)^(1/5)-1</f>
        <v>6.2216841319207905E-2</v>
      </c>
    </row>
    <row r="12" spans="1:21" s="1" customFormat="1" ht="15" customHeight="1">
      <c r="A12" s="28"/>
      <c r="B12" s="28"/>
      <c r="C12" s="28"/>
      <c r="D12" s="28" t="s">
        <v>184</v>
      </c>
      <c r="E12" s="30"/>
      <c r="F12" s="28"/>
      <c r="G12" s="28"/>
      <c r="H12" s="29"/>
      <c r="I12" s="30">
        <f t="shared" ref="I12" si="20">I11/H11-1</f>
        <v>1.1867277090928452</v>
      </c>
      <c r="J12" s="30">
        <f t="shared" ref="J12" si="21">J11/I11-1</f>
        <v>5.5715364968726533E-2</v>
      </c>
      <c r="K12" s="30">
        <f t="shared" ref="K12" si="22">K11/J11-1</f>
        <v>0.2094246125939585</v>
      </c>
      <c r="L12" s="30">
        <f t="shared" ref="L12" si="23">L11/K11-1</f>
        <v>0.10656097471697712</v>
      </c>
      <c r="M12" s="30">
        <f t="shared" ref="M12" si="24">M11/L11-1</f>
        <v>0.21699845874184587</v>
      </c>
      <c r="N12" s="567">
        <f t="shared" ref="N12" si="25">N11/M11-1</f>
        <v>0</v>
      </c>
      <c r="O12" s="567">
        <f t="shared" ref="O12" si="26">O11/N11-1</f>
        <v>7.5529657065859901E-2</v>
      </c>
      <c r="P12" s="567">
        <f t="shared" ref="P12" si="27">P11/O11-1</f>
        <v>9.8868812413034801E-2</v>
      </c>
      <c r="Q12" s="567">
        <f t="shared" ref="Q12" si="28">Q11/P11-1</f>
        <v>4.650237895649223E-2</v>
      </c>
      <c r="R12" s="567">
        <f t="shared" ref="R12" si="29">R11/Q11-1</f>
        <v>9.334558677107152E-2</v>
      </c>
      <c r="S12" s="568">
        <f>CORREL(K11:M11,K$5:M$5)</f>
        <v>-0.91395446382192025</v>
      </c>
      <c r="T12" s="480"/>
      <c r="U12" s="480"/>
    </row>
    <row r="13" spans="1:21" s="1" customFormat="1" ht="15" customHeight="1">
      <c r="A13" s="216"/>
      <c r="B13" s="216"/>
      <c r="C13" s="216"/>
      <c r="D13" s="569" t="s">
        <v>583</v>
      </c>
      <c r="E13" s="220">
        <f>S14/S$19</f>
        <v>0.21569885962251895</v>
      </c>
      <c r="F13" s="25"/>
      <c r="G13" s="25" t="s">
        <v>178</v>
      </c>
      <c r="H13" s="26">
        <f>'TI working sheet'!F48</f>
        <v>8156.2261775470743</v>
      </c>
      <c r="I13" s="26">
        <f>'TI working sheet'!G48</f>
        <v>8247.4340878421644</v>
      </c>
      <c r="J13" s="26">
        <f>'TI working sheet'!H48</f>
        <v>8423.2999999999993</v>
      </c>
      <c r="K13" s="26">
        <f>'TI working sheet'!I48</f>
        <v>8406.6</v>
      </c>
      <c r="L13" s="26">
        <f>'TI working sheet'!J48</f>
        <v>8568.2000000000007</v>
      </c>
      <c r="M13" s="26">
        <f>'TI working sheet'!K48</f>
        <v>8661</v>
      </c>
      <c r="N13" s="26">
        <f>'TI working sheet'!L48</f>
        <v>8762</v>
      </c>
      <c r="O13" s="26">
        <f>'TI working sheet'!M48</f>
        <v>8823.5397348384104</v>
      </c>
      <c r="P13" s="26">
        <f>'TI working sheet'!N48</f>
        <v>8948.8664238250421</v>
      </c>
      <c r="Q13" s="26">
        <f>'TI working sheet'!O48</f>
        <v>9031.3293190278091</v>
      </c>
      <c r="R13" s="26">
        <f>'TI working sheet'!P48</f>
        <v>9124.2491844662345</v>
      </c>
      <c r="S13" s="568"/>
      <c r="T13" s="480">
        <f>(M13/I13)^(1/4)-1</f>
        <v>1.2307131310187458E-2</v>
      </c>
      <c r="U13" s="480">
        <f>(R13/M13)^(1/5)-1</f>
        <v>1.0475573735855725E-2</v>
      </c>
    </row>
    <row r="14" spans="1:21" s="1" customFormat="1" ht="15" customHeight="1">
      <c r="A14" s="28"/>
      <c r="B14" s="28"/>
      <c r="C14" s="28"/>
      <c r="D14" s="28" t="s">
        <v>184</v>
      </c>
      <c r="E14" s="30"/>
      <c r="F14" s="28"/>
      <c r="G14" s="28"/>
      <c r="H14" s="29"/>
      <c r="I14" s="30">
        <f t="shared" ref="I14" si="30">I13/H13-1</f>
        <v>1.1182611701741729E-2</v>
      </c>
      <c r="J14" s="30">
        <f t="shared" ref="J14" si="31">J13/I13-1</f>
        <v>2.1323712355226343E-2</v>
      </c>
      <c r="K14" s="30">
        <f t="shared" ref="K14" si="32">K13/J13-1</f>
        <v>-1.9825958947204958E-3</v>
      </c>
      <c r="L14" s="30">
        <f t="shared" ref="L14" si="33">L13/K13-1</f>
        <v>1.9222991459091787E-2</v>
      </c>
      <c r="M14" s="30">
        <f t="shared" ref="M14" si="34">M13/L13-1</f>
        <v>1.0830746247753265E-2</v>
      </c>
      <c r="N14" s="567">
        <f t="shared" ref="N14" si="35">N13/M13-1</f>
        <v>1.1661470961782605E-2</v>
      </c>
      <c r="O14" s="567">
        <f t="shared" ref="O14" si="36">O13/N13-1</f>
        <v>7.0234803513364863E-3</v>
      </c>
      <c r="P14" s="567">
        <f t="shared" ref="P14" si="37">P13/O13-1</f>
        <v>1.4203674800918886E-2</v>
      </c>
      <c r="Q14" s="567">
        <f t="shared" ref="Q14" si="38">Q13/P13-1</f>
        <v>9.2148984348701113E-3</v>
      </c>
      <c r="R14" s="567">
        <f t="shared" ref="R14" si="39">R13/Q13-1</f>
        <v>1.0288614461511747E-2</v>
      </c>
      <c r="S14" s="568">
        <f>CORREL(H13:M13,H$4:M$4)</f>
        <v>0.66637677609649604</v>
      </c>
      <c r="T14" s="480"/>
      <c r="U14" s="480"/>
    </row>
    <row r="15" spans="1:21" s="1" customFormat="1" ht="15" customHeight="1">
      <c r="A15" s="216"/>
      <c r="B15" s="216"/>
      <c r="C15" s="216"/>
      <c r="D15" s="569" t="s">
        <v>216</v>
      </c>
      <c r="E15" s="220">
        <f>S16/S$19</f>
        <v>0.30823683022795528</v>
      </c>
      <c r="F15" s="25"/>
      <c r="G15" s="1" t="s">
        <v>393</v>
      </c>
      <c r="H15" s="26">
        <f>Forecasting_EI!H478</f>
        <v>43.343000000000004</v>
      </c>
      <c r="I15" s="26">
        <f>Forecasting_EI!I478</f>
        <v>46.375999999999998</v>
      </c>
      <c r="J15" s="26">
        <f>Forecasting_EI!J478</f>
        <v>42.408999999999999</v>
      </c>
      <c r="K15" s="26">
        <f>Forecasting_EI!K478</f>
        <v>46.771999999999998</v>
      </c>
      <c r="L15" s="26">
        <f>Forecasting_EI!L478</f>
        <v>55.003</v>
      </c>
      <c r="M15" s="26">
        <f>Forecasting_EI!M478</f>
        <v>56.588000000000001</v>
      </c>
      <c r="N15" s="26">
        <f>Forecasting_EI!N478</f>
        <v>58.281999999999996</v>
      </c>
      <c r="O15" s="26">
        <f>Forecasting_EI!O478</f>
        <v>62.168999999999997</v>
      </c>
      <c r="P15" s="26">
        <f>Forecasting_EI!P478</f>
        <v>65.19</v>
      </c>
      <c r="Q15" s="26">
        <f>Forecasting_EI!Q478</f>
        <v>68.13</v>
      </c>
      <c r="R15" s="26">
        <f>Forecasting_EI!R478</f>
        <v>71.046000000000006</v>
      </c>
      <c r="S15" s="568"/>
      <c r="T15" s="480">
        <f>(M15/I15)^(1/4)-1</f>
        <v>5.1012217152502481E-2</v>
      </c>
      <c r="U15" s="480">
        <f>(R15/M15)^(1/5)-1</f>
        <v>4.6557410777417818E-2</v>
      </c>
    </row>
    <row r="16" spans="1:21" s="1" customFormat="1" ht="15" customHeight="1">
      <c r="A16" s="28"/>
      <c r="B16" s="28"/>
      <c r="C16" s="28"/>
      <c r="D16" s="28" t="s">
        <v>184</v>
      </c>
      <c r="E16" s="30"/>
      <c r="F16" s="28"/>
      <c r="G16" s="28"/>
      <c r="H16" s="29"/>
      <c r="I16" s="30">
        <f t="shared" ref="I16" si="40">I15/H15-1</f>
        <v>6.9976697505940821E-2</v>
      </c>
      <c r="J16" s="30">
        <f t="shared" ref="J16" si="41">J15/I15-1</f>
        <v>-8.5539934448852883E-2</v>
      </c>
      <c r="K16" s="30">
        <f t="shared" ref="K16" si="42">K15/J15-1</f>
        <v>0.10287910585017324</v>
      </c>
      <c r="L16" s="30">
        <f t="shared" ref="L16" si="43">L15/K15-1</f>
        <v>0.17598135636705736</v>
      </c>
      <c r="M16" s="30">
        <f t="shared" ref="M16" si="44">M15/L15-1</f>
        <v>2.8816610003090659E-2</v>
      </c>
      <c r="N16" s="567">
        <f t="shared" ref="N16" si="45">N15/M15-1</f>
        <v>2.9935675408213624E-2</v>
      </c>
      <c r="O16" s="567">
        <f t="shared" ref="O16" si="46">O15/N15-1</f>
        <v>6.669297553275455E-2</v>
      </c>
      <c r="P16" s="567">
        <f t="shared" ref="P16" si="47">P15/O15-1</f>
        <v>4.8593350383631773E-2</v>
      </c>
      <c r="Q16" s="567">
        <f t="shared" ref="Q16" si="48">Q15/P15-1</f>
        <v>4.5098941555453242E-2</v>
      </c>
      <c r="R16" s="567">
        <f t="shared" ref="R16" si="49">R15/Q15-1</f>
        <v>4.2800528401585325E-2</v>
      </c>
      <c r="S16" s="568">
        <f>CORREL(H15:M15,H$4:M$4)</f>
        <v>0.9522621749645257</v>
      </c>
      <c r="T16" s="480"/>
      <c r="U16" s="480"/>
    </row>
    <row r="17" spans="1:29" s="1" customFormat="1" ht="15" customHeight="1">
      <c r="B17" s="441"/>
      <c r="C17" s="4"/>
      <c r="D17" s="569" t="s">
        <v>584</v>
      </c>
      <c r="E17" s="220">
        <f>S18/S$19</f>
        <v>0.21388581122794464</v>
      </c>
      <c r="G17" s="1" t="s">
        <v>1012</v>
      </c>
      <c r="H17" s="17">
        <f>'Tourism Medium DB-LCU'!G73</f>
        <v>21868.955215602644</v>
      </c>
      <c r="I17" s="17">
        <f>'Tourism Medium DB-LCU'!H73</f>
        <v>24307.553757521513</v>
      </c>
      <c r="J17" s="17">
        <f>'Tourism Medium DB-LCU'!I73</f>
        <v>21618.92003031756</v>
      </c>
      <c r="K17" s="17">
        <f>'Tourism Medium DB-LCU'!J73</f>
        <v>21871.915378831032</v>
      </c>
      <c r="L17" s="17">
        <f>'Tourism Medium DB-LCU'!K73</f>
        <v>23222.673009858874</v>
      </c>
      <c r="M17" s="17">
        <f>'Tourism Medium DB-LCU'!L73</f>
        <v>23320.429424450438</v>
      </c>
      <c r="N17" s="17">
        <f>'Tourism Medium DB-LCU'!M73</f>
        <v>21164.661451325195</v>
      </c>
      <c r="O17" s="17">
        <f>'Tourism Medium DB-LCU'!N73</f>
        <v>20030.609690557918</v>
      </c>
      <c r="P17" s="17">
        <f>'Tourism Medium DB-LCU'!O73</f>
        <v>19513.460565178022</v>
      </c>
      <c r="Q17" s="17">
        <f>'Tourism Medium DB-LCU'!P73</f>
        <v>20649.406848088332</v>
      </c>
      <c r="R17" s="17">
        <f>'Tourism Medium DB-LCU'!Q73</f>
        <v>21599.847739406858</v>
      </c>
      <c r="S17" s="568"/>
      <c r="T17" s="480">
        <f>(M17/I17)^(1/4)-1</f>
        <v>-1.0310820380946994E-2</v>
      </c>
      <c r="U17" s="480">
        <f>(R17/M17)^(1/5)-1</f>
        <v>-1.5211815484101332E-2</v>
      </c>
    </row>
    <row r="18" spans="1:29" s="1" customFormat="1" ht="15" customHeight="1">
      <c r="A18" s="28"/>
      <c r="B18" s="28"/>
      <c r="C18" s="28"/>
      <c r="D18" s="28" t="s">
        <v>184</v>
      </c>
      <c r="E18" s="28"/>
      <c r="F18" s="28"/>
      <c r="G18" s="28"/>
      <c r="H18" s="29"/>
      <c r="I18" s="30">
        <f t="shared" ref="I18" si="50">I17/H17-1</f>
        <v>0.11150960427131085</v>
      </c>
      <c r="J18" s="30">
        <f t="shared" ref="J18" si="51">J17/I17-1</f>
        <v>-0.11060897999133323</v>
      </c>
      <c r="K18" s="30">
        <f t="shared" ref="K18" si="52">K17/J17-1</f>
        <v>1.1702497079349117E-2</v>
      </c>
      <c r="L18" s="30">
        <f t="shared" ref="L18" si="53">L17/K17-1</f>
        <v>6.17576287962045E-2</v>
      </c>
      <c r="M18" s="30">
        <f t="shared" ref="M18" si="54">M17/L17-1</f>
        <v>4.2095246550670762E-3</v>
      </c>
      <c r="N18" s="567">
        <f t="shared" ref="N18" si="55">N17/M17-1</f>
        <v>-9.2441178242842148E-2</v>
      </c>
      <c r="O18" s="567">
        <f t="shared" ref="O18" si="56">O17/N17-1</f>
        <v>-5.3582324639370515E-2</v>
      </c>
      <c r="P18" s="567">
        <f t="shared" ref="P18" si="57">P17/O17-1</f>
        <v>-2.5817942307750696E-2</v>
      </c>
      <c r="Q18" s="567">
        <f t="shared" ref="Q18" si="58">Q17/P17-1</f>
        <v>5.8213471624680491E-2</v>
      </c>
      <c r="R18" s="567">
        <f t="shared" ref="R18" si="59">R17/Q17-1</f>
        <v>4.6027515381465545E-2</v>
      </c>
      <c r="S18" s="568">
        <f>CORREL(H17:M17,H$4:M$4)</f>
        <v>0.66077557196311443</v>
      </c>
      <c r="T18" s="480"/>
      <c r="U18" s="480"/>
    </row>
    <row r="19" spans="1:29" s="1" customFormat="1" ht="15" customHeight="1">
      <c r="B19" s="441"/>
      <c r="C19" s="4"/>
      <c r="D19" s="4"/>
      <c r="E19" s="161">
        <f>SUM(E17,E15,E13,E11,E9,E7)</f>
        <v>1</v>
      </c>
      <c r="H19" s="17"/>
      <c r="I19" s="18"/>
      <c r="J19" s="18"/>
      <c r="K19" s="18"/>
      <c r="L19" s="18"/>
      <c r="M19" s="18"/>
      <c r="N19" s="570"/>
      <c r="O19" s="570"/>
      <c r="P19" s="570"/>
      <c r="Q19" s="570"/>
      <c r="R19" s="570"/>
      <c r="S19" s="60">
        <f>SUM(S8:S18)</f>
        <v>3.0893847898068643</v>
      </c>
    </row>
    <row r="20" spans="1:29" s="1" customFormat="1" ht="15" customHeight="1">
      <c r="A20" s="2" t="str">
        <f>'Tourism Medium DB-LCU'!$A$163</f>
        <v>Hungary</v>
      </c>
      <c r="B20" s="2" t="s">
        <v>79</v>
      </c>
      <c r="C20" s="2" t="s">
        <v>80</v>
      </c>
      <c r="D20" s="2" t="s">
        <v>81</v>
      </c>
      <c r="E20" s="2"/>
      <c r="F20" s="2"/>
      <c r="G20" s="2"/>
      <c r="I20" s="1">
        <f>'Tourism Medium DB-LCU'!H165</f>
        <v>6710.5785967827578</v>
      </c>
      <c r="J20" s="1">
        <f>'Tourism Medium DB-LCU'!I165</f>
        <v>6348.3191182316514</v>
      </c>
      <c r="K20" s="1">
        <f>'Tourism Medium DB-LCU'!J165</f>
        <v>6611.5265165349865</v>
      </c>
      <c r="L20" s="1">
        <f>'Tourism Medium DB-LCU'!K165</f>
        <v>6819.1471853073244</v>
      </c>
      <c r="M20" s="1">
        <f>'Tourism Medium DB-LCU'!L165</f>
        <v>7000.1549923424991</v>
      </c>
      <c r="N20" s="561">
        <f>N$4*N38</f>
        <v>7128.652198551229</v>
      </c>
      <c r="O20" s="561">
        <f>O$4*O38</f>
        <v>6954.5165348620376</v>
      </c>
      <c r="P20" s="561">
        <f>P$4*P38</f>
        <v>6755.4374790392485</v>
      </c>
      <c r="Q20" s="561">
        <f>Q$4*Q38</f>
        <v>6953.0049649264056</v>
      </c>
      <c r="R20" s="561">
        <f>R$4*R38</f>
        <v>6978.8920854117596</v>
      </c>
      <c r="V20" s="2"/>
    </row>
    <row r="21" spans="1:29" s="1" customFormat="1" ht="15" customHeight="1">
      <c r="B21" s="2"/>
      <c r="I21" s="18"/>
      <c r="J21" s="18">
        <f t="shared" ref="J21:R21" si="60">J20/I20-1</f>
        <v>-5.3983344852675419E-2</v>
      </c>
      <c r="K21" s="18">
        <f t="shared" si="60"/>
        <v>4.1460958940679804E-2</v>
      </c>
      <c r="L21" s="18">
        <f t="shared" si="60"/>
        <v>3.1402833861906565E-2</v>
      </c>
      <c r="M21" s="18">
        <f t="shared" si="60"/>
        <v>2.6544053400867851E-2</v>
      </c>
      <c r="N21" s="571">
        <f t="shared" si="60"/>
        <v>1.8356337302430248E-2</v>
      </c>
      <c r="O21" s="571">
        <f t="shared" si="60"/>
        <v>-2.4427571838135376E-2</v>
      </c>
      <c r="P21" s="571">
        <f t="shared" si="60"/>
        <v>-2.8625865626292324E-2</v>
      </c>
      <c r="Q21" s="571">
        <f t="shared" si="60"/>
        <v>2.9245698224603434E-2</v>
      </c>
      <c r="R21" s="571">
        <f t="shared" si="60"/>
        <v>3.7231557601264953E-3</v>
      </c>
      <c r="V21" s="4"/>
      <c r="W21" s="2"/>
      <c r="Y21" s="81"/>
      <c r="Z21" s="81"/>
      <c r="AA21" s="81"/>
      <c r="AB21" s="81"/>
      <c r="AC21" s="81"/>
    </row>
    <row r="22" spans="1:29" s="1" customFormat="1" ht="15" customHeight="1">
      <c r="A22" s="2" t="str">
        <f>'Tourism Medium DB-LCU'!$A$163</f>
        <v>Hungary</v>
      </c>
      <c r="B22" s="2" t="s">
        <v>79</v>
      </c>
      <c r="C22" s="2" t="s">
        <v>80</v>
      </c>
      <c r="D22" s="2" t="s">
        <v>82</v>
      </c>
      <c r="E22" s="2"/>
      <c r="F22" s="2"/>
      <c r="G22" s="2"/>
      <c r="I22" s="1">
        <f>'Tourism Medium DB-LCU'!H166</f>
        <v>21207.54183554713</v>
      </c>
      <c r="J22" s="1">
        <f>'Tourism Medium DB-LCU'!I166</f>
        <v>19743.799826795559</v>
      </c>
      <c r="K22" s="1">
        <f>'Tourism Medium DB-LCU'!J166</f>
        <v>21109.089003667254</v>
      </c>
      <c r="L22" s="1">
        <f>'Tourism Medium DB-LCU'!K166</f>
        <v>22186.04297151529</v>
      </c>
      <c r="M22" s="1">
        <f>'Tourism Medium DB-LCU'!L166</f>
        <v>23124.952749384065</v>
      </c>
      <c r="N22" s="561">
        <f>N$4*N40</f>
        <v>23895.342914809637</v>
      </c>
      <c r="O22" s="561">
        <f>O$4*O40</f>
        <v>23754.231797721812</v>
      </c>
      <c r="P22" s="561">
        <f>P$4*P40</f>
        <v>23466.812309023117</v>
      </c>
      <c r="Q22" s="561">
        <f>Q$4*Q40</f>
        <v>24551.943113433557</v>
      </c>
      <c r="R22" s="561">
        <f>R$4*R40</f>
        <v>25057.333049552693</v>
      </c>
      <c r="V22" s="4"/>
      <c r="W22" s="2"/>
      <c r="Y22" s="81"/>
      <c r="Z22" s="81"/>
      <c r="AA22" s="81"/>
      <c r="AB22" s="81"/>
      <c r="AC22" s="81"/>
    </row>
    <row r="23" spans="1:29" s="1" customFormat="1" ht="15" customHeight="1">
      <c r="B23" s="441"/>
      <c r="C23" s="4"/>
      <c r="D23" s="4"/>
      <c r="E23" s="2"/>
      <c r="H23" s="17"/>
      <c r="I23" s="18"/>
      <c r="J23" s="18">
        <f t="shared" ref="J23:R23" si="61">J22/I22-1</f>
        <v>-6.9019880762329233E-2</v>
      </c>
      <c r="K23" s="18">
        <f t="shared" si="61"/>
        <v>6.9150274458251726E-2</v>
      </c>
      <c r="L23" s="18">
        <f t="shared" si="61"/>
        <v>5.1018495760804194E-2</v>
      </c>
      <c r="M23" s="18">
        <f t="shared" si="61"/>
        <v>4.2319839507849233E-2</v>
      </c>
      <c r="N23" s="571">
        <f t="shared" si="61"/>
        <v>3.3314237385678069E-2</v>
      </c>
      <c r="O23" s="571">
        <f t="shared" si="61"/>
        <v>-5.9053815461408421E-3</v>
      </c>
      <c r="P23" s="571">
        <f t="shared" si="61"/>
        <v>-1.2099717269167254E-2</v>
      </c>
      <c r="Q23" s="571">
        <f t="shared" si="61"/>
        <v>4.6241082517765042E-2</v>
      </c>
      <c r="R23" s="571">
        <f t="shared" si="61"/>
        <v>2.0584518862077905E-2</v>
      </c>
      <c r="V23" s="4"/>
      <c r="W23" s="4"/>
      <c r="X23" s="2"/>
      <c r="Y23" s="572"/>
      <c r="Z23" s="572"/>
      <c r="AA23" s="572"/>
      <c r="AB23" s="572"/>
      <c r="AC23" s="572"/>
    </row>
    <row r="24" spans="1:29" s="1" customFormat="1" ht="15" customHeight="1">
      <c r="A24" s="2" t="str">
        <f>'Tourism Medium DB-LCU'!$A$163</f>
        <v>Hungary</v>
      </c>
      <c r="B24" s="2" t="s">
        <v>79</v>
      </c>
      <c r="C24" s="2" t="s">
        <v>80</v>
      </c>
      <c r="D24" s="2" t="s">
        <v>82</v>
      </c>
      <c r="E24" s="2" t="s">
        <v>83</v>
      </c>
      <c r="F24" s="2"/>
      <c r="G24" s="2"/>
      <c r="I24" s="1">
        <f>'Tourism Medium DB-LCU'!H167</f>
        <v>19673.68385163122</v>
      </c>
      <c r="J24" s="1">
        <f>'Tourism Medium DB-LCU'!I167</f>
        <v>18349.797815628426</v>
      </c>
      <c r="K24" s="1">
        <f>'Tourism Medium DB-LCU'!J167</f>
        <v>19594.430198978291</v>
      </c>
      <c r="L24" s="1">
        <f>'Tourism Medium DB-LCU'!K167</f>
        <v>20576.208862771775</v>
      </c>
      <c r="M24" s="1">
        <f>'Tourism Medium DB-LCU'!L167</f>
        <v>21432.142927419482</v>
      </c>
      <c r="N24" s="561">
        <f>N$22*N42</f>
        <v>22142.011454030395</v>
      </c>
      <c r="O24" s="561">
        <f>O$22*O42</f>
        <v>21994.829955175992</v>
      </c>
      <c r="P24" s="561">
        <f>P$22*P42</f>
        <v>21715.150126756635</v>
      </c>
      <c r="Q24" s="561">
        <f>Q$22*Q42</f>
        <v>22706.511259452287</v>
      </c>
      <c r="R24" s="561">
        <f>R$22*R42</f>
        <v>23161.641675193154</v>
      </c>
      <c r="V24" s="4"/>
      <c r="W24" s="4"/>
      <c r="X24" s="2"/>
      <c r="Y24" s="572"/>
      <c r="Z24" s="572"/>
      <c r="AA24" s="572"/>
      <c r="AB24" s="572"/>
      <c r="AC24" s="572"/>
    </row>
    <row r="25" spans="1:29" s="1" customFormat="1" ht="15" customHeight="1">
      <c r="B25" s="2"/>
      <c r="I25" s="18"/>
      <c r="J25" s="18">
        <f t="shared" ref="J25:R25" si="62">J24/I24-1</f>
        <v>-6.7292228846761004E-2</v>
      </c>
      <c r="K25" s="18">
        <f t="shared" si="62"/>
        <v>6.7828125184562937E-2</v>
      </c>
      <c r="L25" s="18">
        <f t="shared" si="62"/>
        <v>5.0104986663234374E-2</v>
      </c>
      <c r="M25" s="18">
        <f t="shared" si="62"/>
        <v>4.1598239518084279E-2</v>
      </c>
      <c r="N25" s="571">
        <f t="shared" si="62"/>
        <v>3.3121677520297599E-2</v>
      </c>
      <c r="O25" s="571">
        <f t="shared" si="62"/>
        <v>-6.6471602708710886E-3</v>
      </c>
      <c r="P25" s="571">
        <f t="shared" si="62"/>
        <v>-1.2715707690822198E-2</v>
      </c>
      <c r="Q25" s="571">
        <f t="shared" si="62"/>
        <v>4.5652971630812278E-2</v>
      </c>
      <c r="R25" s="571">
        <f t="shared" si="62"/>
        <v>2.0044048622898991E-2</v>
      </c>
      <c r="V25" s="4"/>
      <c r="W25" s="2"/>
      <c r="Y25" s="81"/>
      <c r="Z25" s="81"/>
      <c r="AA25" s="81"/>
      <c r="AB25" s="81"/>
      <c r="AC25" s="81"/>
    </row>
    <row r="26" spans="1:29" s="1" customFormat="1" ht="15" customHeight="1">
      <c r="A26" s="2" t="str">
        <f>'Tourism Medium DB-LCU'!$A$163</f>
        <v>Hungary</v>
      </c>
      <c r="B26" s="2" t="s">
        <v>79</v>
      </c>
      <c r="C26" s="2" t="s">
        <v>80</v>
      </c>
      <c r="D26" s="2" t="s">
        <v>82</v>
      </c>
      <c r="E26" s="2" t="s">
        <v>84</v>
      </c>
      <c r="F26" s="2"/>
      <c r="G26" s="2"/>
      <c r="I26" s="1">
        <f>'Tourism Medium DB-LCU'!H168</f>
        <v>1533.8579839159102</v>
      </c>
      <c r="J26" s="1">
        <f>'Tourism Medium DB-LCU'!I168</f>
        <v>1394.0020111671329</v>
      </c>
      <c r="K26" s="1">
        <f>'Tourism Medium DB-LCU'!J168</f>
        <v>1514.6588046889628</v>
      </c>
      <c r="L26" s="1">
        <f>'Tourism Medium DB-LCU'!K168</f>
        <v>1609.8341087435147</v>
      </c>
      <c r="M26" s="1">
        <f>'Tourism Medium DB-LCU'!L168</f>
        <v>1692.8098219645835</v>
      </c>
      <c r="N26" s="561">
        <f>N$22*N44</f>
        <v>1753.331460779242</v>
      </c>
      <c r="O26" s="561">
        <f>O$22*O44</f>
        <v>1759.4018425458187</v>
      </c>
      <c r="P26" s="561">
        <f>P$22*P44</f>
        <v>1751.6621822664827</v>
      </c>
      <c r="Q26" s="561">
        <f>Q$22*Q44</f>
        <v>1845.4318539812684</v>
      </c>
      <c r="R26" s="561">
        <f>R$22*R44</f>
        <v>1895.6913743595399</v>
      </c>
      <c r="V26" s="4"/>
      <c r="W26" s="2"/>
      <c r="Y26" s="81"/>
      <c r="Z26" s="81"/>
      <c r="AA26" s="81"/>
      <c r="AB26" s="81"/>
      <c r="AC26" s="81"/>
    </row>
    <row r="27" spans="1:29" s="1" customFormat="1" ht="15" customHeight="1">
      <c r="B27" s="441"/>
      <c r="C27" s="4"/>
      <c r="D27" s="2"/>
      <c r="H27" s="17"/>
      <c r="I27" s="18"/>
      <c r="J27" s="18">
        <f>J26/I26-1</f>
        <v>-9.1179218816417218E-2</v>
      </c>
      <c r="K27" s="18">
        <f>K26/J26-1</f>
        <v>8.6554246375017518E-2</v>
      </c>
      <c r="L27" s="18">
        <f t="shared" ref="L27:R27" si="63">L26/K26-1</f>
        <v>6.283613428972612E-2</v>
      </c>
      <c r="M27" s="18">
        <f t="shared" si="63"/>
        <v>5.1543020967441233E-2</v>
      </c>
      <c r="N27" s="571">
        <f t="shared" si="63"/>
        <v>3.5752178436925908E-2</v>
      </c>
      <c r="O27" s="571">
        <f t="shared" si="63"/>
        <v>3.46219862151953E-3</v>
      </c>
      <c r="P27" s="571">
        <f t="shared" si="63"/>
        <v>-4.3990293133585601E-3</v>
      </c>
      <c r="Q27" s="571">
        <f t="shared" si="63"/>
        <v>5.3531824037815756E-2</v>
      </c>
      <c r="R27" s="571">
        <f t="shared" si="63"/>
        <v>2.7234557737715104E-2</v>
      </c>
      <c r="V27" s="4"/>
      <c r="W27" s="4"/>
      <c r="X27" s="2"/>
    </row>
    <row r="28" spans="1:29" s="1" customFormat="1" ht="15" customHeight="1">
      <c r="A28" s="2" t="str">
        <f>'Tourism Medium DB-LCU'!$A$163</f>
        <v>Hungary</v>
      </c>
      <c r="B28" s="2" t="s">
        <v>79</v>
      </c>
      <c r="C28" s="2" t="s">
        <v>80</v>
      </c>
      <c r="D28" s="2" t="s">
        <v>85</v>
      </c>
      <c r="E28" s="2"/>
      <c r="F28" s="2"/>
      <c r="G28" s="2"/>
      <c r="I28" s="1">
        <f>'Tourism Medium DB-LCU'!H169</f>
        <v>1654.4798629476502</v>
      </c>
      <c r="J28" s="1">
        <f>'Tourism Medium DB-LCU'!I169</f>
        <v>1556.6748632823271</v>
      </c>
      <c r="K28" s="1">
        <f>'Tourism Medium DB-LCU'!J169</f>
        <v>1628.5235978744713</v>
      </c>
      <c r="L28" s="1">
        <f>'Tourism Medium DB-LCU'!K169</f>
        <v>1685.198609377285</v>
      </c>
      <c r="M28" s="1">
        <f>'Tourism Medium DB-LCU'!L169</f>
        <v>1734.6090057818283</v>
      </c>
      <c r="N28" s="561">
        <f>N$4*N46</f>
        <v>1774.0028555386093</v>
      </c>
      <c r="O28" s="774">
        <f>O$4*O46</f>
        <v>1737.0637752823536</v>
      </c>
      <c r="P28" s="561">
        <f>P$4*P46</f>
        <v>1694.9250679283257</v>
      </c>
      <c r="Q28" s="561">
        <f>Q$4*Q46</f>
        <v>1763.3683157056157</v>
      </c>
      <c r="R28" s="561">
        <f>R$4*R46</f>
        <v>1778.4497670243297</v>
      </c>
      <c r="V28" s="4"/>
      <c r="W28" s="4"/>
      <c r="X28" s="2"/>
    </row>
    <row r="29" spans="1:29" s="1" customFormat="1" ht="15" customHeight="1">
      <c r="B29" s="2"/>
      <c r="I29" s="18"/>
      <c r="J29" s="18">
        <f t="shared" ref="J29:R29" si="64">J28/I28-1</f>
        <v>-5.9115255407866996E-2</v>
      </c>
      <c r="K29" s="18">
        <f t="shared" si="64"/>
        <v>4.615526099049827E-2</v>
      </c>
      <c r="L29" s="18">
        <f t="shared" si="64"/>
        <v>3.4801467769202343E-2</v>
      </c>
      <c r="M29" s="18">
        <f t="shared" si="64"/>
        <v>2.9320221444285144E-2</v>
      </c>
      <c r="N29" s="571">
        <f t="shared" si="64"/>
        <v>2.2710506878191428E-2</v>
      </c>
      <c r="O29" s="571">
        <f t="shared" si="64"/>
        <v>-2.0822446897945102E-2</v>
      </c>
      <c r="P29" s="571">
        <f t="shared" si="64"/>
        <v>-2.4258583912486698E-2</v>
      </c>
      <c r="Q29" s="571">
        <f t="shared" si="64"/>
        <v>4.0381282377838001E-2</v>
      </c>
      <c r="R29" s="571">
        <f t="shared" si="64"/>
        <v>8.5526382573564153E-3</v>
      </c>
      <c r="V29" s="4"/>
      <c r="W29" s="4"/>
      <c r="X29" s="2"/>
    </row>
    <row r="30" spans="1:29" s="1" customFormat="1" ht="15" customHeight="1">
      <c r="A30" s="2" t="str">
        <f>'Tourism Medium DB-LCU'!$A$163</f>
        <v>Hungary</v>
      </c>
      <c r="B30" s="2" t="s">
        <v>79</v>
      </c>
      <c r="C30" s="2" t="s">
        <v>80</v>
      </c>
      <c r="D30" s="2" t="s">
        <v>86</v>
      </c>
      <c r="E30" s="2"/>
      <c r="F30" s="2"/>
      <c r="G30" s="2"/>
      <c r="I30" s="1">
        <f>'Tourism Medium DB-LCU'!H170</f>
        <v>19524.43420574447</v>
      </c>
      <c r="J30" s="1">
        <f>'Tourism Medium DB-LCU'!I170</f>
        <v>18361.48327407004</v>
      </c>
      <c r="K30" s="1">
        <f>'Tourism Medium DB-LCU'!J170</f>
        <v>19371.046783162717</v>
      </c>
      <c r="L30" s="1">
        <f>'Tourism Medium DB-LCU'!K170</f>
        <v>20167.400731710954</v>
      </c>
      <c r="M30" s="1">
        <f>'Tourism Medium DB-LCU'!L170</f>
        <v>20861.677860779346</v>
      </c>
      <c r="N30" s="561">
        <f>N$4*N48</f>
        <v>21415.346585410003</v>
      </c>
      <c r="O30" s="775">
        <f>O$4*O48</f>
        <v>21091.224403747601</v>
      </c>
      <c r="P30" s="561">
        <f>P$4*P48</f>
        <v>20664.942587928781</v>
      </c>
      <c r="Q30" s="561">
        <f>Q$4*Q48</f>
        <v>21449.56448856289</v>
      </c>
      <c r="R30" s="561">
        <f>R$4*R48</f>
        <v>21737.90015413185</v>
      </c>
      <c r="V30" s="4"/>
      <c r="W30" s="2"/>
    </row>
    <row r="31" spans="1:29" s="1" customFormat="1" ht="11.25">
      <c r="B31" s="441"/>
      <c r="C31" s="4"/>
      <c r="D31" s="4"/>
      <c r="E31" s="2"/>
      <c r="H31" s="17"/>
      <c r="I31" s="18"/>
      <c r="J31" s="18">
        <f t="shared" ref="J31:R31" si="65">J30/I30-1</f>
        <v>-5.9563873627245356E-2</v>
      </c>
      <c r="K31" s="18">
        <f t="shared" si="65"/>
        <v>5.498267727195949E-2</v>
      </c>
      <c r="L31" s="18">
        <f t="shared" si="65"/>
        <v>4.1110527348497516E-2</v>
      </c>
      <c r="M31" s="18">
        <f t="shared" si="65"/>
        <v>3.4425711984624741E-2</v>
      </c>
      <c r="N31" s="571">
        <f t="shared" si="65"/>
        <v>2.6539990135288738E-2</v>
      </c>
      <c r="O31" s="571">
        <f t="shared" si="65"/>
        <v>-1.5135042543893418E-2</v>
      </c>
      <c r="P31" s="571">
        <f t="shared" si="65"/>
        <v>-2.0211335655936469E-2</v>
      </c>
      <c r="Q31" s="571">
        <f t="shared" si="65"/>
        <v>3.7968743309862329E-2</v>
      </c>
      <c r="R31" s="571">
        <f t="shared" si="65"/>
        <v>1.3442495101600116E-2</v>
      </c>
      <c r="V31" s="4"/>
      <c r="W31" s="4"/>
      <c r="X31" s="2"/>
    </row>
    <row r="32" spans="1:29" s="1" customFormat="1" ht="11.25">
      <c r="A32" s="2" t="str">
        <f>'Tourism Medium DB-LCU'!$A$163</f>
        <v>Hungary</v>
      </c>
      <c r="B32" s="2" t="s">
        <v>79</v>
      </c>
      <c r="C32" s="2" t="s">
        <v>80</v>
      </c>
      <c r="D32" s="2" t="s">
        <v>86</v>
      </c>
      <c r="E32" s="2" t="s">
        <v>87</v>
      </c>
      <c r="F32" s="2"/>
      <c r="G32" s="2"/>
      <c r="I32" s="1">
        <f>'Tourism Medium DB-LCU'!H171</f>
        <v>2114.6811481569298</v>
      </c>
      <c r="J32" s="1">
        <f>'Tourism Medium DB-LCU'!I171</f>
        <v>2597.8026064028622</v>
      </c>
      <c r="K32" s="1">
        <f>'Tourism Medium DB-LCU'!J171</f>
        <v>3131.0612916041018</v>
      </c>
      <c r="L32" s="1">
        <f>'Tourism Medium DB-LCU'!K171</f>
        <v>3662.9051127877578</v>
      </c>
      <c r="M32" s="1">
        <f>'Tourism Medium DB-LCU'!L171</f>
        <v>4058.1592247410636</v>
      </c>
      <c r="N32" s="561">
        <f>N$30*N50</f>
        <v>4436.8131117837829</v>
      </c>
      <c r="O32" s="561">
        <f>O$30*O50</f>
        <v>4624.1807680051907</v>
      </c>
      <c r="P32" s="561">
        <f>P$30*P50</f>
        <v>4777.0568568814961</v>
      </c>
      <c r="Q32" s="561">
        <f>Q$30*Q50</f>
        <v>5182.3578821022811</v>
      </c>
      <c r="R32" s="561">
        <f>R$30*R50</f>
        <v>5472.3760470435091</v>
      </c>
      <c r="V32" s="4"/>
      <c r="W32" s="2"/>
      <c r="Y32" s="81"/>
      <c r="Z32" s="81"/>
      <c r="AA32" s="81"/>
      <c r="AB32" s="81"/>
      <c r="AC32" s="81"/>
    </row>
    <row r="33" spans="1:23" s="1" customFormat="1" ht="11.25">
      <c r="B33" s="441"/>
      <c r="C33" s="4"/>
      <c r="D33" s="4"/>
      <c r="E33" s="2"/>
      <c r="H33" s="17"/>
      <c r="I33" s="18"/>
      <c r="J33" s="18">
        <f t="shared" ref="J33:R33" si="66">J32/I32-1</f>
        <v>0.22846066352225325</v>
      </c>
      <c r="K33" s="18">
        <f t="shared" si="66"/>
        <v>0.20527298105210345</v>
      </c>
      <c r="L33" s="18">
        <f t="shared" si="66"/>
        <v>0.16986055897717112</v>
      </c>
      <c r="M33" s="18">
        <f t="shared" si="66"/>
        <v>0.10790727572314496</v>
      </c>
      <c r="N33" s="571">
        <f t="shared" si="66"/>
        <v>9.3306808844317857E-2</v>
      </c>
      <c r="O33" s="571">
        <f t="shared" si="66"/>
        <v>4.2230234066829686E-2</v>
      </c>
      <c r="P33" s="571">
        <f t="shared" si="66"/>
        <v>3.3060145471400793E-2</v>
      </c>
      <c r="Q33" s="571">
        <f t="shared" si="66"/>
        <v>8.484324917274888E-2</v>
      </c>
      <c r="R33" s="571">
        <f t="shared" si="66"/>
        <v>5.5962589141678176E-2</v>
      </c>
      <c r="V33" s="4"/>
      <c r="W33" s="4"/>
    </row>
    <row r="34" spans="1:23" s="1" customFormat="1" ht="11.25">
      <c r="A34" s="2" t="str">
        <f>'Tourism Medium DB-LCU'!$A$163</f>
        <v>Hungary</v>
      </c>
      <c r="B34" s="2" t="s">
        <v>79</v>
      </c>
      <c r="C34" s="2" t="s">
        <v>80</v>
      </c>
      <c r="D34" s="2" t="s">
        <v>86</v>
      </c>
      <c r="E34" s="2" t="s">
        <v>88</v>
      </c>
      <c r="F34" s="2"/>
      <c r="G34" s="2"/>
      <c r="I34" s="1">
        <f>'Tourism Medium DB-LCU'!H172</f>
        <v>17409.753057587539</v>
      </c>
      <c r="J34" s="1">
        <f>'Tourism Medium DB-LCU'!I172</f>
        <v>15763.680667667179</v>
      </c>
      <c r="K34" s="1">
        <f>'Tourism Medium DB-LCU'!J172</f>
        <v>16239.985491558615</v>
      </c>
      <c r="L34" s="1">
        <f>'Tourism Medium DB-LCU'!K172</f>
        <v>16504.495618923196</v>
      </c>
      <c r="M34" s="1">
        <f>'Tourism Medium DB-LCU'!L172</f>
        <v>16803.518636038283</v>
      </c>
      <c r="N34" s="561">
        <f>N$30*N52</f>
        <v>16978.533473626219</v>
      </c>
      <c r="O34" s="561">
        <f>O$30*O52</f>
        <v>16467.043635742411</v>
      </c>
      <c r="P34" s="561">
        <f>P$30*P52</f>
        <v>15887.885731047285</v>
      </c>
      <c r="Q34" s="561">
        <f>Q$30*Q52</f>
        <v>16267.206606460608</v>
      </c>
      <c r="R34" s="561">
        <f>R$30*R52</f>
        <v>16265.52410708834</v>
      </c>
    </row>
    <row r="35" spans="1:23" s="1" customFormat="1" ht="11.25">
      <c r="B35" s="2"/>
      <c r="I35" s="18"/>
      <c r="J35" s="18">
        <f t="shared" ref="J35:R35" si="67">J34/I34-1</f>
        <v>-9.4548864907820551E-2</v>
      </c>
      <c r="K35" s="18">
        <f t="shared" si="67"/>
        <v>3.0215330666294449E-2</v>
      </c>
      <c r="L35" s="18">
        <f t="shared" si="67"/>
        <v>1.6287583969953223E-2</v>
      </c>
      <c r="M35" s="18">
        <f t="shared" si="67"/>
        <v>1.8117670725559254E-2</v>
      </c>
      <c r="N35" s="571">
        <f t="shared" si="67"/>
        <v>1.0415368434357752E-2</v>
      </c>
      <c r="O35" s="571">
        <f t="shared" si="67"/>
        <v>-3.0125678326596073E-2</v>
      </c>
      <c r="P35" s="571">
        <f t="shared" si="67"/>
        <v>-3.5170727515292377E-2</v>
      </c>
      <c r="Q35" s="571">
        <f t="shared" si="67"/>
        <v>2.3874849167128342E-2</v>
      </c>
      <c r="R35" s="571">
        <f t="shared" si="67"/>
        <v>-1.0342890534131843E-4</v>
      </c>
    </row>
    <row r="36" spans="1:23" s="1" customFormat="1" ht="11.25">
      <c r="A36" s="2" t="str">
        <f>'Tourism Medium DB-LCU'!$A$163</f>
        <v>Hungary</v>
      </c>
      <c r="B36" s="2" t="s">
        <v>79</v>
      </c>
      <c r="C36" s="2" t="s">
        <v>80</v>
      </c>
      <c r="D36" s="2" t="s">
        <v>89</v>
      </c>
      <c r="E36" s="2"/>
      <c r="F36" s="2"/>
      <c r="G36" s="2"/>
      <c r="I36" s="1">
        <f>'Tourism Medium DB-LCU'!H173</f>
        <v>7148.1287489779934</v>
      </c>
      <c r="J36" s="1">
        <f>'Tourism Medium DB-LCU'!I173</f>
        <v>6876.3704376204332</v>
      </c>
      <c r="K36" s="1">
        <f>'Tourism Medium DB-LCU'!J173</f>
        <v>6914.6814387605773</v>
      </c>
      <c r="L36" s="1">
        <f>'Tourism Medium DB-LCU'!K173</f>
        <v>6944.901545525543</v>
      </c>
      <c r="M36" s="1">
        <f>'Tourism Medium DB-LCU'!L173</f>
        <v>6971.2480325407378</v>
      </c>
      <c r="N36" s="561">
        <f>N$4*N54</f>
        <v>7021.3282842492899</v>
      </c>
      <c r="O36" s="561">
        <f>O$4*O54</f>
        <v>6661.0367793199875</v>
      </c>
      <c r="P36" s="561">
        <f>P$4*P54</f>
        <v>6307.2256721737485</v>
      </c>
      <c r="Q36" s="561">
        <f>Q$4*Q54</f>
        <v>6319.6672722068497</v>
      </c>
      <c r="R36" s="561">
        <f>R$4*R54</f>
        <v>6158.6078065228612</v>
      </c>
    </row>
    <row r="37" spans="1:23" s="1" customFormat="1" ht="11.25">
      <c r="B37" s="441"/>
      <c r="C37" s="4"/>
      <c r="D37" s="4"/>
      <c r="E37" s="2"/>
      <c r="H37" s="17"/>
      <c r="I37" s="18"/>
      <c r="J37" s="18">
        <f t="shared" ref="J37:R37" si="68">J36/I36-1</f>
        <v>-3.8018105283346371E-2</v>
      </c>
      <c r="K37" s="18">
        <f t="shared" si="68"/>
        <v>5.5713986742984556E-3</v>
      </c>
      <c r="L37" s="18">
        <f t="shared" si="68"/>
        <v>4.3704264661514891E-3</v>
      </c>
      <c r="M37" s="18">
        <f t="shared" si="68"/>
        <v>3.793644422816822E-3</v>
      </c>
      <c r="N37" s="571">
        <f t="shared" si="68"/>
        <v>7.1838287025201009E-3</v>
      </c>
      <c r="O37" s="571">
        <f t="shared" si="68"/>
        <v>-5.13138668843518E-2</v>
      </c>
      <c r="P37" s="571">
        <f t="shared" si="68"/>
        <v>-5.3116522077267248E-2</v>
      </c>
      <c r="Q37" s="571">
        <f t="shared" si="68"/>
        <v>1.9725947159288104E-3</v>
      </c>
      <c r="R37" s="571">
        <f t="shared" si="68"/>
        <v>-2.5485434398153983E-2</v>
      </c>
    </row>
    <row r="38" spans="1:23" s="1" customFormat="1">
      <c r="A38" s="34"/>
      <c r="B38" s="175"/>
      <c r="C38" s="34"/>
      <c r="D38" s="175" t="s">
        <v>81</v>
      </c>
      <c r="E38" s="175"/>
      <c r="F38" s="175"/>
      <c r="G38" s="175"/>
      <c r="H38" s="573"/>
      <c r="I38" s="573">
        <f>I20/I$4</f>
        <v>0.11930943407445364</v>
      </c>
      <c r="J38" s="573">
        <f>J20/J$4</f>
        <v>0.12003633083059242</v>
      </c>
      <c r="K38" s="573">
        <f>K20/K$4</f>
        <v>0.11883782298122733</v>
      </c>
      <c r="L38" s="573">
        <f>L20/L$4</f>
        <v>0.11797283244447927</v>
      </c>
      <c r="M38" s="573">
        <f>M20/M$4</f>
        <v>0.11726997972702492</v>
      </c>
      <c r="N38" s="574">
        <f>M38*(1+(((M38/I38)^(1/4))-1))*99.7%</f>
        <v>0.11641529003258426</v>
      </c>
      <c r="O38" s="574">
        <f t="shared" ref="O38:R38" si="69">N38*(1+(((N38/J38)^(1/4))-1))</f>
        <v>0.11552722794384569</v>
      </c>
      <c r="P38" s="574">
        <f t="shared" si="69"/>
        <v>0.11471409123585773</v>
      </c>
      <c r="Q38" s="574">
        <f t="shared" si="69"/>
        <v>0.11391356919004286</v>
      </c>
      <c r="R38" s="574">
        <f t="shared" si="69"/>
        <v>0.11308958541509974</v>
      </c>
    </row>
    <row r="39" spans="1:23" s="1" customFormat="1" ht="11.25">
      <c r="A39" s="34"/>
      <c r="B39" s="175"/>
      <c r="C39" s="34"/>
      <c r="D39" s="34"/>
      <c r="E39" s="34"/>
      <c r="F39" s="34"/>
      <c r="G39" s="34"/>
      <c r="H39" s="49"/>
      <c r="I39" s="575"/>
      <c r="J39" s="575"/>
      <c r="K39" s="575"/>
      <c r="L39" s="575"/>
      <c r="M39" s="575"/>
      <c r="N39" s="563"/>
      <c r="O39" s="563"/>
      <c r="P39" s="563"/>
      <c r="Q39" s="563"/>
      <c r="R39" s="563"/>
    </row>
    <row r="40" spans="1:23" s="1" customFormat="1" outlineLevel="1">
      <c r="A40" s="34"/>
      <c r="B40" s="175"/>
      <c r="C40" s="34"/>
      <c r="D40" s="175" t="s">
        <v>82</v>
      </c>
      <c r="E40" s="175"/>
      <c r="F40" s="175"/>
      <c r="G40" s="175"/>
      <c r="H40" s="573"/>
      <c r="I40" s="573">
        <f>I22/I$4</f>
        <v>0.37705538770121949</v>
      </c>
      <c r="J40" s="573">
        <f>J22/J$4</f>
        <v>0.37332296057013442</v>
      </c>
      <c r="K40" s="573">
        <f>K22/K$4</f>
        <v>0.37942193471341978</v>
      </c>
      <c r="L40" s="573">
        <f>L22/L$4</f>
        <v>0.3838237038971658</v>
      </c>
      <c r="M40" s="573">
        <f>M22/M$4</f>
        <v>0.38740038514507141</v>
      </c>
      <c r="N40" s="574">
        <f>M40*(1+(((M40/I40)^(1/4))-1))*100.05%</f>
        <v>0.39022569742159241</v>
      </c>
      <c r="O40" s="574">
        <f>N40*(1+(((N40/J40)^(1/4))-1))*100.008%</f>
        <v>0.39460119733266191</v>
      </c>
      <c r="P40" s="574">
        <f t="shared" ref="P40:R40" si="70">O40*(1+(((O40/K40)^(1/4))-1))</f>
        <v>0.3984899655403038</v>
      </c>
      <c r="Q40" s="574">
        <f t="shared" si="70"/>
        <v>0.40224327247143177</v>
      </c>
      <c r="R40" s="574">
        <f t="shared" si="70"/>
        <v>0.4060420151939918</v>
      </c>
    </row>
    <row r="41" spans="1:23" s="1" customFormat="1" ht="11.25" outlineLevel="1">
      <c r="A41" s="34"/>
      <c r="B41" s="175"/>
      <c r="C41" s="34"/>
      <c r="D41" s="34"/>
      <c r="E41" s="34"/>
      <c r="F41" s="34"/>
      <c r="G41" s="34"/>
      <c r="H41" s="49"/>
      <c r="I41" s="575"/>
      <c r="J41" s="575"/>
      <c r="K41" s="575"/>
      <c r="L41" s="575"/>
      <c r="M41" s="575"/>
      <c r="N41" s="563"/>
      <c r="O41" s="563"/>
      <c r="P41" s="563"/>
      <c r="Q41" s="563"/>
      <c r="R41" s="563"/>
    </row>
    <row r="42" spans="1:23" s="1" customFormat="1" ht="11.25" outlineLevel="1">
      <c r="A42" s="34"/>
      <c r="B42" s="175"/>
      <c r="C42" s="34"/>
      <c r="D42" s="286" t="s">
        <v>82</v>
      </c>
      <c r="E42" s="286" t="s">
        <v>83</v>
      </c>
      <c r="F42" s="286"/>
      <c r="G42" s="286"/>
      <c r="H42" s="576"/>
      <c r="I42" s="576">
        <f t="shared" ref="I42:M44" si="71">I24/I$22</f>
        <v>0.92767393808249266</v>
      </c>
      <c r="J42" s="576">
        <f t="shared" si="71"/>
        <v>0.92939545460366524</v>
      </c>
      <c r="K42" s="576">
        <f t="shared" si="71"/>
        <v>0.92824613111319854</v>
      </c>
      <c r="L42" s="576">
        <f t="shared" si="71"/>
        <v>0.92743933152881819</v>
      </c>
      <c r="M42" s="576">
        <f t="shared" si="71"/>
        <v>0.92679726353128777</v>
      </c>
      <c r="N42" s="577">
        <f>M42*(1+(((M42/I42)^(1/4))-1))*100.005%</f>
        <v>0.92662455328512661</v>
      </c>
      <c r="O42" s="577">
        <f t="shared" ref="O42" si="72">N42*(1+(((N42/J42)^(1/4))-1))</f>
        <v>0.92593311972671088</v>
      </c>
      <c r="P42" s="577">
        <f>O42*(1+(((O42/K42)^(1/4))-1))</f>
        <v>0.92535576800122277</v>
      </c>
      <c r="Q42" s="577">
        <f>P42*(1+(((P42/L42)^(1/4))-1))</f>
        <v>0.92483560891880923</v>
      </c>
      <c r="R42" s="577">
        <f>Q42*(1+(((Q42/M42)^(1/4))-1))</f>
        <v>0.92434584436377676</v>
      </c>
    </row>
    <row r="43" spans="1:23" s="1" customFormat="1" ht="11.25" outlineLevel="1">
      <c r="A43" s="34"/>
      <c r="B43" s="175"/>
      <c r="C43" s="34"/>
      <c r="D43" s="286"/>
      <c r="E43" s="286"/>
      <c r="F43" s="286"/>
      <c r="G43" s="286"/>
      <c r="H43" s="576"/>
      <c r="I43" s="578"/>
      <c r="J43" s="578"/>
      <c r="K43" s="578"/>
      <c r="L43" s="578"/>
      <c r="M43" s="578"/>
      <c r="N43" s="563"/>
      <c r="O43" s="563"/>
      <c r="P43" s="563"/>
      <c r="Q43" s="563"/>
      <c r="R43" s="563"/>
    </row>
    <row r="44" spans="1:23" s="1" customFormat="1" ht="11.25" outlineLevel="1">
      <c r="A44" s="34"/>
      <c r="B44" s="175"/>
      <c r="C44" s="34"/>
      <c r="D44" s="286" t="s">
        <v>82</v>
      </c>
      <c r="E44" s="286" t="s">
        <v>84</v>
      </c>
      <c r="F44" s="286"/>
      <c r="G44" s="286"/>
      <c r="H44" s="576"/>
      <c r="I44" s="576">
        <f>I26/I$22</f>
        <v>7.23260619175074E-2</v>
      </c>
      <c r="J44" s="576">
        <f>J26/J$22</f>
        <v>7.0604545396334734E-2</v>
      </c>
      <c r="K44" s="576">
        <f t="shared" si="71"/>
        <v>7.1753868886801478E-2</v>
      </c>
      <c r="L44" s="576">
        <f t="shared" si="71"/>
        <v>7.2560668471181825E-2</v>
      </c>
      <c r="M44" s="576">
        <f t="shared" si="71"/>
        <v>7.3202736468712212E-2</v>
      </c>
      <c r="N44" s="577">
        <f t="shared" ref="N44:R44" si="73">1-N42</f>
        <v>7.3375446714873394E-2</v>
      </c>
      <c r="O44" s="577">
        <f t="shared" si="73"/>
        <v>7.4066880273289115E-2</v>
      </c>
      <c r="P44" s="577">
        <f t="shared" si="73"/>
        <v>7.4644231998777233E-2</v>
      </c>
      <c r="Q44" s="577">
        <f t="shared" si="73"/>
        <v>7.5164391081190773E-2</v>
      </c>
      <c r="R44" s="577">
        <f t="shared" si="73"/>
        <v>7.5654155636223241E-2</v>
      </c>
    </row>
    <row r="45" spans="1:23" s="1" customFormat="1" ht="11.25" outlineLevel="1">
      <c r="A45" s="34"/>
      <c r="B45" s="175"/>
      <c r="C45" s="34"/>
      <c r="D45" s="34"/>
      <c r="E45" s="34"/>
      <c r="F45" s="34"/>
      <c r="G45" s="34"/>
      <c r="H45" s="49"/>
      <c r="I45" s="575"/>
      <c r="J45" s="575"/>
      <c r="K45" s="575"/>
      <c r="L45" s="575"/>
      <c r="M45" s="575"/>
      <c r="N45" s="563"/>
      <c r="O45" s="563"/>
      <c r="P45" s="563"/>
      <c r="Q45" s="563"/>
      <c r="R45" s="563"/>
    </row>
    <row r="46" spans="1:23" s="1" customFormat="1" outlineLevel="1">
      <c r="A46" s="34"/>
      <c r="B46" s="175"/>
      <c r="C46" s="34"/>
      <c r="D46" s="34" t="s">
        <v>85</v>
      </c>
      <c r="E46" s="34"/>
      <c r="F46" s="34"/>
      <c r="G46" s="34"/>
      <c r="H46" s="579"/>
      <c r="I46" s="579">
        <f>I28/I$4</f>
        <v>2.9415504682487523E-2</v>
      </c>
      <c r="J46" s="579">
        <f>J28/J$4</f>
        <v>2.9434175472998991E-2</v>
      </c>
      <c r="K46" s="579">
        <f>K28/K$4</f>
        <v>2.9271636219101862E-2</v>
      </c>
      <c r="L46" s="579">
        <f>L28/L$4</f>
        <v>2.9154327920665944E-2</v>
      </c>
      <c r="M46" s="579">
        <f>M28/M$4</f>
        <v>2.90590084312232E-2</v>
      </c>
      <c r="N46" s="580">
        <f>M46*(1+(((M46/I46)^(1/4))-1))</f>
        <v>2.8970561502233424E-2</v>
      </c>
      <c r="O46" s="580">
        <f>N46*(1+(((N46/J46)^(1/4))-1))</f>
        <v>2.8855803521937076E-2</v>
      </c>
      <c r="P46" s="580">
        <f>O46*(1+(((O46/K46)^(1/4))-1))*100.1%</f>
        <v>2.8781524436212267E-2</v>
      </c>
      <c r="Q46" s="580">
        <f>P46*(1+(((P46/L46)^(1/4))-1))*100.7%</f>
        <v>2.8889894319353064E-2</v>
      </c>
      <c r="R46" s="580">
        <f>Q46*(1+(((Q46/M46)^(1/4))-1))*99.9%</f>
        <v>2.8818922025571871E-2</v>
      </c>
    </row>
    <row r="47" spans="1:23" s="1" customFormat="1" ht="11.25" outlineLevel="1">
      <c r="A47" s="34"/>
      <c r="B47" s="175"/>
      <c r="C47" s="34"/>
      <c r="D47" s="34"/>
      <c r="E47" s="34"/>
      <c r="F47" s="34"/>
      <c r="G47" s="34"/>
      <c r="H47" s="49"/>
      <c r="I47" s="575"/>
      <c r="J47" s="575"/>
      <c r="K47" s="575"/>
      <c r="L47" s="575"/>
      <c r="M47" s="575"/>
      <c r="N47" s="563"/>
      <c r="O47" s="563"/>
      <c r="P47" s="563"/>
      <c r="Q47" s="563"/>
      <c r="R47" s="563"/>
    </row>
    <row r="48" spans="1:23" s="1" customFormat="1" outlineLevel="1">
      <c r="A48" s="34"/>
      <c r="B48" s="175"/>
      <c r="C48" s="34"/>
      <c r="D48" s="34" t="s">
        <v>86</v>
      </c>
      <c r="E48" s="34"/>
      <c r="F48" s="34"/>
      <c r="G48" s="34"/>
      <c r="H48" s="49"/>
      <c r="I48" s="49">
        <f>I30/I$4</f>
        <v>0.34713090117565748</v>
      </c>
      <c r="J48" s="49">
        <f>J30/J$4</f>
        <v>0.34718561555875377</v>
      </c>
      <c r="K48" s="49">
        <f>K30/K$4</f>
        <v>0.34818177357700725</v>
      </c>
      <c r="L48" s="49">
        <f>L30/L$4</f>
        <v>0.34890072361087765</v>
      </c>
      <c r="M48" s="49">
        <f>M30/M$4</f>
        <v>0.34948491033148549</v>
      </c>
      <c r="N48" s="574">
        <f>M48*(1+(((M48/I48)^(1/4))-1))*99.9%</f>
        <v>0.34972582676925817</v>
      </c>
      <c r="O48" s="574">
        <f>N48*(1+(((N48/J48)^(1/4))-1))</f>
        <v>0.35036377828597498</v>
      </c>
      <c r="P48" s="574">
        <f t="shared" ref="P48" si="74">O48*(1+(((O48/K48)^(1/4))-1))</f>
        <v>0.35091141273541365</v>
      </c>
      <c r="Q48" s="574">
        <f>P48*(1+(((P48/L48)^(1/4))-1))</f>
        <v>0.35141589295414194</v>
      </c>
      <c r="R48" s="574">
        <f>Q48*(1+(((Q48/M48)^(1/4))-1))*100.1%</f>
        <v>0.3522522036648687</v>
      </c>
    </row>
    <row r="49" spans="1:35" s="1" customFormat="1" ht="11.25" outlineLevel="1">
      <c r="A49" s="34"/>
      <c r="B49" s="175"/>
      <c r="C49" s="34"/>
      <c r="D49" s="34"/>
      <c r="E49" s="34"/>
      <c r="F49" s="34"/>
      <c r="G49" s="34"/>
      <c r="H49" s="34"/>
      <c r="I49" s="581"/>
      <c r="J49" s="581"/>
      <c r="K49" s="581"/>
      <c r="L49" s="581"/>
      <c r="M49" s="581"/>
      <c r="N49" s="563"/>
      <c r="O49" s="563"/>
      <c r="P49" s="563"/>
      <c r="Q49" s="563"/>
      <c r="R49" s="563"/>
    </row>
    <row r="50" spans="1:35" s="1" customFormat="1" ht="12.75" outlineLevel="1">
      <c r="A50" s="34"/>
      <c r="B50" s="175"/>
      <c r="C50" s="34"/>
      <c r="D50" s="286" t="s">
        <v>86</v>
      </c>
      <c r="E50" s="286" t="s">
        <v>87</v>
      </c>
      <c r="F50" s="286"/>
      <c r="G50" s="286"/>
      <c r="H50" s="582"/>
      <c r="I50" s="582">
        <f>I32/I$30</f>
        <v>0.10830947139737085</v>
      </c>
      <c r="J50" s="582">
        <f>J32/J$30</f>
        <v>0.14148108666533826</v>
      </c>
      <c r="K50" s="582">
        <f>K32/K$30</f>
        <v>0.16163614319106467</v>
      </c>
      <c r="L50" s="582">
        <f>L32/L$30</f>
        <v>0.18162504734823137</v>
      </c>
      <c r="M50" s="582">
        <f>M32/M$30</f>
        <v>0.19452698156990234</v>
      </c>
      <c r="N50" s="564">
        <f>M50*(1+(((M50/I50)^(1/4))-1))*0.92</f>
        <v>0.20717914109344959</v>
      </c>
      <c r="O50" s="564">
        <f>N50*(1+(((N50/J50)^(1/4))-1))*0.962</f>
        <v>0.2192466724304323</v>
      </c>
      <c r="P50" s="564">
        <f>O50*(1+(((O50/K50)^(1/4))-1))*0.977</f>
        <v>0.23116719712891753</v>
      </c>
      <c r="Q50" s="564">
        <f>P50*(1+(((P50/L50)^(1/4))-1))*0.984</f>
        <v>0.24160667154177248</v>
      </c>
      <c r="R50" s="564">
        <f>Q50*(1+(((Q50/M50)^(1/4))-1))*0.987</f>
        <v>0.25174354506377389</v>
      </c>
      <c r="V50" s="58"/>
      <c r="W50" s="58"/>
      <c r="X50" s="58"/>
      <c r="Y50" s="58"/>
      <c r="Z50" s="58"/>
      <c r="AA50" s="58"/>
      <c r="AB50" s="58"/>
      <c r="AC50" s="58"/>
      <c r="AD50" s="58"/>
      <c r="AE50" s="58"/>
      <c r="AF50" s="58"/>
      <c r="AG50" s="58"/>
      <c r="AH50" s="58"/>
      <c r="AI50" s="58"/>
    </row>
    <row r="51" spans="1:35" s="1" customFormat="1" ht="11.25" outlineLevel="1">
      <c r="A51" s="34"/>
      <c r="B51" s="175"/>
      <c r="C51" s="34"/>
      <c r="D51" s="286"/>
      <c r="E51" s="286"/>
      <c r="F51" s="286"/>
      <c r="G51" s="286"/>
      <c r="H51" s="582"/>
      <c r="I51" s="583"/>
      <c r="J51" s="583"/>
      <c r="K51" s="583"/>
      <c r="L51" s="583"/>
      <c r="M51" s="583"/>
      <c r="N51" s="563"/>
      <c r="O51" s="563"/>
      <c r="P51" s="563"/>
      <c r="Q51" s="563"/>
      <c r="R51" s="563"/>
    </row>
    <row r="52" spans="1:35" s="1" customFormat="1" ht="12.75" outlineLevel="1">
      <c r="A52" s="34"/>
      <c r="B52" s="175"/>
      <c r="C52" s="34"/>
      <c r="D52" s="286" t="s">
        <v>86</v>
      </c>
      <c r="E52" s="286" t="s">
        <v>88</v>
      </c>
      <c r="F52" s="286"/>
      <c r="G52" s="286"/>
      <c r="H52" s="582"/>
      <c r="I52" s="582">
        <f>I34/I30</f>
        <v>0.8916905286026291</v>
      </c>
      <c r="J52" s="582">
        <f>J34/J30</f>
        <v>0.85851891333466179</v>
      </c>
      <c r="K52" s="582">
        <f>K34/K30</f>
        <v>0.83836385680893533</v>
      </c>
      <c r="L52" s="582">
        <f>L34/L30</f>
        <v>0.81837495265176863</v>
      </c>
      <c r="M52" s="582">
        <f>M34/M30</f>
        <v>0.80547301843009766</v>
      </c>
      <c r="N52" s="577">
        <f t="shared" ref="N52:R52" si="75">1-N50</f>
        <v>0.79282085890655041</v>
      </c>
      <c r="O52" s="577">
        <f t="shared" si="75"/>
        <v>0.78075332756956772</v>
      </c>
      <c r="P52" s="577">
        <f t="shared" si="75"/>
        <v>0.76883280287108247</v>
      </c>
      <c r="Q52" s="577">
        <f t="shared" si="75"/>
        <v>0.75839332845822749</v>
      </c>
      <c r="R52" s="577">
        <f t="shared" si="75"/>
        <v>0.74825645493622606</v>
      </c>
      <c r="V52" s="58"/>
      <c r="W52" s="58"/>
      <c r="X52" s="58"/>
      <c r="Y52" s="58"/>
      <c r="Z52" s="58"/>
      <c r="AA52" s="58"/>
      <c r="AB52" s="58"/>
      <c r="AC52" s="58"/>
      <c r="AD52" s="58"/>
      <c r="AE52" s="58"/>
      <c r="AF52" s="58"/>
      <c r="AG52" s="58"/>
      <c r="AH52" s="58"/>
      <c r="AI52" s="58"/>
    </row>
    <row r="53" spans="1:35" s="1" customFormat="1" ht="11.25" outlineLevel="1">
      <c r="A53" s="34"/>
      <c r="B53" s="175"/>
      <c r="C53" s="34"/>
      <c r="D53" s="34"/>
      <c r="E53" s="34"/>
      <c r="F53" s="34"/>
      <c r="G53" s="34"/>
      <c r="H53" s="34"/>
      <c r="I53" s="581"/>
      <c r="J53" s="581"/>
      <c r="K53" s="581"/>
      <c r="L53" s="581"/>
      <c r="M53" s="581"/>
      <c r="N53" s="563"/>
      <c r="O53" s="563"/>
      <c r="P53" s="563"/>
      <c r="Q53" s="563"/>
      <c r="R53" s="563"/>
    </row>
    <row r="54" spans="1:35" s="1" customFormat="1" outlineLevel="1">
      <c r="A54" s="34"/>
      <c r="B54" s="175"/>
      <c r="C54" s="34"/>
      <c r="D54" s="34" t="s">
        <v>89</v>
      </c>
      <c r="E54" s="34"/>
      <c r="F54" s="34"/>
      <c r="G54" s="34"/>
      <c r="H54" s="584"/>
      <c r="I54" s="584">
        <f>I36/I$4</f>
        <v>0.12708877236618196</v>
      </c>
      <c r="J54" s="584">
        <f>J36/J$4</f>
        <v>0.13002091756752049</v>
      </c>
      <c r="K54" s="584">
        <f>K36/K$4</f>
        <v>0.12428683250924377</v>
      </c>
      <c r="L54" s="584">
        <f>L36/L$4</f>
        <v>0.12014841212681135</v>
      </c>
      <c r="M54" s="584">
        <f t="shared" ref="M54:R54" si="76">1-(M48+M46+M40+M38)</f>
        <v>0.11678571636519497</v>
      </c>
      <c r="N54" s="574">
        <f t="shared" si="76"/>
        <v>0.11466262427433171</v>
      </c>
      <c r="O54" s="574">
        <f t="shared" si="76"/>
        <v>0.11065199291558026</v>
      </c>
      <c r="P54" s="574">
        <f t="shared" si="76"/>
        <v>0.10710300605221246</v>
      </c>
      <c r="Q54" s="574">
        <f t="shared" si="76"/>
        <v>0.10353737106503047</v>
      </c>
      <c r="R54" s="574">
        <f t="shared" si="76"/>
        <v>9.9797273700467981E-2</v>
      </c>
      <c r="V54" s="58"/>
      <c r="W54" s="58"/>
      <c r="X54" s="58"/>
      <c r="Y54" s="58"/>
      <c r="Z54" s="58"/>
      <c r="AA54" s="58"/>
      <c r="AB54" s="58"/>
      <c r="AC54" s="58"/>
      <c r="AD54" s="58"/>
      <c r="AE54" s="58"/>
      <c r="AF54" s="58"/>
      <c r="AG54" s="58"/>
      <c r="AH54" s="58"/>
      <c r="AI54" s="58"/>
    </row>
    <row r="55" spans="1:35" s="1" customFormat="1" ht="11.25" outlineLevel="1">
      <c r="A55" s="34"/>
      <c r="B55" s="586"/>
      <c r="C55" s="221"/>
      <c r="D55" s="4"/>
      <c r="E55" s="2"/>
      <c r="H55" s="17"/>
      <c r="I55" s="18"/>
      <c r="J55" s="18"/>
      <c r="K55" s="18"/>
      <c r="L55" s="18"/>
      <c r="M55" s="18"/>
      <c r="N55" s="570"/>
      <c r="O55" s="570"/>
      <c r="P55" s="570"/>
      <c r="Q55" s="570"/>
      <c r="R55" s="570"/>
    </row>
    <row r="56" spans="1:35" s="1" customFormat="1" ht="11.25" outlineLevel="1">
      <c r="A56" s="34"/>
      <c r="B56" s="586"/>
      <c r="C56" s="221"/>
      <c r="E56" s="2" t="s">
        <v>90</v>
      </c>
      <c r="F56" s="2"/>
      <c r="G56" s="2"/>
      <c r="H56" s="2"/>
      <c r="I56" s="2">
        <f>'Tourism Medium DB-LCU'!H175</f>
        <v>15198.998202003122</v>
      </c>
      <c r="J56" s="2">
        <f>'Tourism Medium DB-LCU'!I175</f>
        <v>18327.390647970864</v>
      </c>
      <c r="K56" s="2">
        <f>'Tourism Medium DB-LCU'!J175</f>
        <v>21780.440422632353</v>
      </c>
      <c r="L56" s="2">
        <f>'Tourism Medium DB-LCU'!K175</f>
        <v>25224.328422694241</v>
      </c>
      <c r="M56" s="2">
        <f>'Tourism Medium DB-LCU'!L175</f>
        <v>27783.746881484709</v>
      </c>
      <c r="N56" s="775">
        <f>N4*N69</f>
        <v>29876.076326124363</v>
      </c>
      <c r="O56" s="561">
        <f>O4*O69</f>
        <v>30553.080988501584</v>
      </c>
      <c r="P56" s="561">
        <f>P4*P69</f>
        <v>31095.815468493573</v>
      </c>
      <c r="Q56" s="561">
        <f>Q4*Q69</f>
        <v>33262.572965058767</v>
      </c>
      <c r="R56" s="561">
        <f>R4*R69</f>
        <v>34730.144305875336</v>
      </c>
    </row>
    <row r="57" spans="1:35" s="1" customFormat="1" ht="11.25" outlineLevel="1">
      <c r="A57" s="34"/>
      <c r="B57" s="586"/>
      <c r="C57" s="221"/>
      <c r="E57" s="4"/>
      <c r="H57" s="17"/>
      <c r="I57" s="18"/>
      <c r="J57" s="18">
        <f t="shared" ref="J57:R57" si="77">J56/I56-1</f>
        <v>0.20582885821747388</v>
      </c>
      <c r="K57" s="18">
        <f t="shared" si="77"/>
        <v>0.18840924171842199</v>
      </c>
      <c r="L57" s="18">
        <f t="shared" si="77"/>
        <v>0.15811838205453821</v>
      </c>
      <c r="M57" s="18">
        <f t="shared" si="77"/>
        <v>0.10146626764055955</v>
      </c>
      <c r="N57" s="571">
        <f t="shared" si="77"/>
        <v>7.5307677310938903E-2</v>
      </c>
      <c r="O57" s="571">
        <f t="shared" si="77"/>
        <v>2.2660427526931759E-2</v>
      </c>
      <c r="P57" s="571">
        <f t="shared" si="77"/>
        <v>1.7763657949790401E-2</v>
      </c>
      <c r="Q57" s="571">
        <f t="shared" si="77"/>
        <v>6.9680034561581561E-2</v>
      </c>
      <c r="R57" s="571">
        <f t="shared" si="77"/>
        <v>4.4120800346930666E-2</v>
      </c>
    </row>
    <row r="58" spans="1:35" s="1" customFormat="1" ht="11.25" outlineLevel="1">
      <c r="A58" s="34"/>
      <c r="B58" s="586"/>
      <c r="C58" s="221"/>
      <c r="E58" s="2" t="s">
        <v>91</v>
      </c>
      <c r="F58" s="2"/>
      <c r="G58" s="2"/>
      <c r="H58" s="2"/>
      <c r="I58" s="2">
        <f>'Tourism Medium DB-LCU'!H176</f>
        <v>41046.165047996874</v>
      </c>
      <c r="J58" s="2">
        <f>'Tourism Medium DB-LCU'!I176</f>
        <v>34559.256872029146</v>
      </c>
      <c r="K58" s="2">
        <f>'Tourism Medium DB-LCU'!J176</f>
        <v>33854.426917367651</v>
      </c>
      <c r="L58" s="2">
        <f>'Tourism Medium DB-LCU'!K176</f>
        <v>32578.362620742155</v>
      </c>
      <c r="M58" s="2">
        <f>'Tourism Medium DB-LCU'!L176</f>
        <v>31908.895759343766</v>
      </c>
      <c r="N58" s="561">
        <f>N4-N56</f>
        <v>31358.596512434407</v>
      </c>
      <c r="O58" s="561">
        <f>O4-O56</f>
        <v>29644.992302432212</v>
      </c>
      <c r="P58" s="561">
        <f>P4-P56</f>
        <v>27793.527647599651</v>
      </c>
      <c r="Q58" s="561">
        <f>Q4-Q56</f>
        <v>27774.975189776545</v>
      </c>
      <c r="R58" s="561">
        <f>R4-R56</f>
        <v>26981.038556768151</v>
      </c>
    </row>
    <row r="59" spans="1:35" s="1" customFormat="1" ht="11.25" outlineLevel="1">
      <c r="A59" s="34"/>
      <c r="B59" s="586"/>
      <c r="C59" s="221"/>
      <c r="D59" s="2"/>
      <c r="H59" s="17"/>
      <c r="I59" s="18"/>
      <c r="J59" s="18">
        <f t="shared" ref="J59:R59" si="78">J58/I58-1</f>
        <v>-0.15803932397539056</v>
      </c>
      <c r="K59" s="18">
        <f t="shared" si="78"/>
        <v>-2.0394823802821871E-2</v>
      </c>
      <c r="L59" s="18">
        <f t="shared" si="78"/>
        <v>-3.7692686387518326E-2</v>
      </c>
      <c r="M59" s="18">
        <f t="shared" si="78"/>
        <v>-2.0549432431332448E-2</v>
      </c>
      <c r="N59" s="571">
        <f t="shared" si="78"/>
        <v>-1.7245950817593503E-2</v>
      </c>
      <c r="O59" s="571">
        <f t="shared" si="78"/>
        <v>-5.4645436995967356E-2</v>
      </c>
      <c r="P59" s="571">
        <f t="shared" si="78"/>
        <v>-6.2454550028021361E-2</v>
      </c>
      <c r="Q59" s="571">
        <f t="shared" si="78"/>
        <v>-6.6751000658626936E-4</v>
      </c>
      <c r="R59" s="571">
        <f t="shared" si="78"/>
        <v>-2.8584602779433865E-2</v>
      </c>
    </row>
    <row r="60" spans="1:35" s="1" customFormat="1" ht="11.25" outlineLevel="1">
      <c r="A60" s="2"/>
      <c r="B60" s="2"/>
      <c r="C60" s="2"/>
      <c r="D60" s="2"/>
      <c r="E60" s="2"/>
      <c r="F60" s="2"/>
      <c r="G60" s="2"/>
      <c r="J60" s="18" t="e">
        <f t="shared" ref="J60:R60" si="79">J67/I67-1</f>
        <v>#VALUE!</v>
      </c>
      <c r="K60" s="18" t="e">
        <f t="shared" si="79"/>
        <v>#VALUE!</v>
      </c>
      <c r="L60" s="18" t="e">
        <f t="shared" si="79"/>
        <v>#VALUE!</v>
      </c>
      <c r="M60" s="18" t="e">
        <f t="shared" si="79"/>
        <v>#VALUE!</v>
      </c>
      <c r="N60" s="571" t="e">
        <f t="shared" si="79"/>
        <v>#VALUE!</v>
      </c>
      <c r="O60" s="571" t="e">
        <f t="shared" si="79"/>
        <v>#VALUE!</v>
      </c>
      <c r="P60" s="571" t="e">
        <f t="shared" si="79"/>
        <v>#VALUE!</v>
      </c>
      <c r="Q60" s="571" t="e">
        <f t="shared" si="79"/>
        <v>#VALUE!</v>
      </c>
      <c r="R60" s="571" t="e">
        <f t="shared" si="79"/>
        <v>#VALUE!</v>
      </c>
    </row>
    <row r="61" spans="1:35" s="1" customFormat="1" ht="11.25" outlineLevel="1">
      <c r="A61" s="2" t="str">
        <f>'Tourism Medium DB-LCU'!$A$163</f>
        <v>Hungary</v>
      </c>
      <c r="B61" s="2" t="s">
        <v>79</v>
      </c>
      <c r="C61" s="2" t="s">
        <v>575</v>
      </c>
      <c r="D61" s="2"/>
      <c r="E61" s="2" t="s">
        <v>14</v>
      </c>
      <c r="F61" s="2"/>
      <c r="G61" s="2"/>
      <c r="H61" s="2"/>
      <c r="I61" s="1">
        <f>'Tourism Medium DB-LCU'!H178</f>
        <v>30650.479684337635</v>
      </c>
      <c r="J61" s="1">
        <f>'Tourism Medium DB-LCU'!I178</f>
        <v>29301.648398054145</v>
      </c>
      <c r="K61" s="1">
        <f>'Tourism Medium DB-LCU'!J178</f>
        <v>30939.451953254389</v>
      </c>
      <c r="L61" s="1">
        <f>'Tourism Medium DB-LCU'!K178</f>
        <v>32322.387426805872</v>
      </c>
      <c r="M61" s="1">
        <f>'Tourism Medium DB-LCU'!L178</f>
        <v>34310.23287417939</v>
      </c>
      <c r="N61" s="561">
        <f>N4*N72</f>
        <v>35668.755199181047</v>
      </c>
      <c r="O61" s="561">
        <f>O4*O72</f>
        <v>35506.61547150871</v>
      </c>
      <c r="P61" s="561">
        <f>P4*P72</f>
        <v>35249.558100167618</v>
      </c>
      <c r="Q61" s="775">
        <f>Q4*Q72</f>
        <v>37162.459175414784</v>
      </c>
      <c r="R61" s="561">
        <f>R4*R72</f>
        <v>38117.320380456636</v>
      </c>
    </row>
    <row r="62" spans="1:35" s="1" customFormat="1" ht="11.25" outlineLevel="1">
      <c r="B62" s="441"/>
      <c r="C62" s="4"/>
      <c r="I62" s="18"/>
      <c r="J62" s="18">
        <f t="shared" ref="J62:R62" si="80">J61/I61-1</f>
        <v>-4.4006857320824988E-2</v>
      </c>
      <c r="K62" s="18">
        <f t="shared" si="80"/>
        <v>5.5894587667941753E-2</v>
      </c>
      <c r="L62" s="18">
        <f t="shared" si="80"/>
        <v>4.4698124441277187E-2</v>
      </c>
      <c r="M62" s="18">
        <f t="shared" si="80"/>
        <v>6.1500576090643078E-2</v>
      </c>
      <c r="N62" s="571">
        <f t="shared" si="80"/>
        <v>3.9595252238116663E-2</v>
      </c>
      <c r="O62" s="571">
        <f t="shared" si="80"/>
        <v>-4.5457074901245065E-3</v>
      </c>
      <c r="P62" s="571">
        <f t="shared" si="80"/>
        <v>-7.2397035855856773E-3</v>
      </c>
      <c r="Q62" s="571">
        <f t="shared" si="80"/>
        <v>5.4267377474955358E-2</v>
      </c>
      <c r="R62" s="571">
        <f t="shared" si="80"/>
        <v>2.5694241614493407E-2</v>
      </c>
    </row>
    <row r="63" spans="1:35" s="1" customFormat="1" ht="11.25" outlineLevel="1">
      <c r="A63" s="2" t="str">
        <f>'Tourism Medium DB-LCU'!$A$163</f>
        <v>Hungary</v>
      </c>
      <c r="B63" s="2" t="s">
        <v>79</v>
      </c>
      <c r="C63" s="2" t="s">
        <v>578</v>
      </c>
      <c r="D63" s="2"/>
      <c r="E63" s="2" t="s">
        <v>15</v>
      </c>
      <c r="F63" s="2"/>
      <c r="G63" s="2"/>
      <c r="H63" s="2"/>
      <c r="I63" s="1">
        <f>'Tourism Medium DB-LCU'!H179</f>
        <v>25594.683565662363</v>
      </c>
      <c r="J63" s="1">
        <f>'Tourism Medium DB-LCU'!I179</f>
        <v>23584.999121945861</v>
      </c>
      <c r="K63" s="1">
        <f>'Tourism Medium DB-LCU'!J179</f>
        <v>24695.415386745615</v>
      </c>
      <c r="L63" s="1">
        <f>'Tourism Medium DB-LCU'!K179</f>
        <v>25480.303616630525</v>
      </c>
      <c r="M63" s="1">
        <f>'Tourism Medium DB-LCU'!L179</f>
        <v>25382.409766649085</v>
      </c>
      <c r="N63" s="561">
        <f>N4*N73</f>
        <v>25565.91763937772</v>
      </c>
      <c r="O63" s="561">
        <f>O4*O73</f>
        <v>24691.457819425086</v>
      </c>
      <c r="P63" s="561">
        <f>P4*P73</f>
        <v>23639.785015925605</v>
      </c>
      <c r="Q63" s="561">
        <f>Q4*Q73</f>
        <v>23875.088979420529</v>
      </c>
      <c r="R63" s="561">
        <f>R4*R73</f>
        <v>23593.862482186847</v>
      </c>
    </row>
    <row r="64" spans="1:35" outlineLevel="1">
      <c r="J64" s="18">
        <f t="shared" ref="J64:R64" si="81">J63/I63-1</f>
        <v>-7.8519605001590276E-2</v>
      </c>
      <c r="K64" s="18">
        <f t="shared" si="81"/>
        <v>4.7081463054476469E-2</v>
      </c>
      <c r="L64" s="18">
        <f t="shared" si="81"/>
        <v>3.178275066821401E-2</v>
      </c>
      <c r="M64" s="18">
        <f t="shared" si="81"/>
        <v>-3.8419420527447956E-3</v>
      </c>
      <c r="N64" s="571">
        <f t="shared" si="81"/>
        <v>7.2297261928908618E-3</v>
      </c>
      <c r="O64" s="571">
        <f t="shared" si="81"/>
        <v>-3.4204124111146816E-2</v>
      </c>
      <c r="P64" s="571">
        <f t="shared" si="81"/>
        <v>-4.2592576395878767E-2</v>
      </c>
      <c r="Q64" s="571">
        <f t="shared" si="81"/>
        <v>9.9537268776515031E-3</v>
      </c>
      <c r="R64" s="571">
        <f t="shared" si="81"/>
        <v>-1.1779076403697908E-2</v>
      </c>
    </row>
    <row r="65" spans="1:18" s="1" customFormat="1" ht="11.25" outlineLevel="1">
      <c r="A65" s="2" t="str">
        <f>'Tourism Medium DB-LCU'!$A$163</f>
        <v>Hungary</v>
      </c>
      <c r="B65" s="2" t="s">
        <v>79</v>
      </c>
      <c r="C65" s="2" t="s">
        <v>571</v>
      </c>
      <c r="D65" s="2"/>
      <c r="E65" s="2" t="s">
        <v>19</v>
      </c>
      <c r="F65" s="2"/>
      <c r="G65" s="2"/>
      <c r="I65" s="1" t="e">
        <f>'Tourism Medium DB-LCU'!H181</f>
        <v>#VALUE!</v>
      </c>
      <c r="J65" s="1" t="e">
        <f>'Tourism Medium DB-LCU'!I181</f>
        <v>#VALUE!</v>
      </c>
      <c r="K65" s="1" t="e">
        <f>'Tourism Medium DB-LCU'!J181</f>
        <v>#VALUE!</v>
      </c>
      <c r="L65" s="1" t="e">
        <f>'Tourism Medium DB-LCU'!K181</f>
        <v>#VALUE!</v>
      </c>
      <c r="M65" s="1">
        <f>'Tourism Medium DB-LCU'!L181</f>
        <v>37822.629247566714</v>
      </c>
      <c r="N65" s="776" t="e">
        <f>N4*N75</f>
        <v>#VALUE!</v>
      </c>
      <c r="O65" s="563" t="e">
        <f>O4*O75</f>
        <v>#VALUE!</v>
      </c>
      <c r="P65" s="563" t="e">
        <f>P4*P75</f>
        <v>#VALUE!</v>
      </c>
      <c r="Q65" s="563" t="e">
        <f>Q4*Q75</f>
        <v>#VALUE!</v>
      </c>
      <c r="R65" s="563" t="e">
        <f>R4*R75</f>
        <v>#VALUE!</v>
      </c>
    </row>
    <row r="66" spans="1:18" s="1" customFormat="1" ht="11.25" outlineLevel="1">
      <c r="B66" s="2"/>
      <c r="D66" s="2"/>
      <c r="H66" s="17"/>
      <c r="I66" s="18"/>
      <c r="J66" s="18" t="e">
        <f t="shared" ref="J66:R66" si="82">J65/I65-1</f>
        <v>#VALUE!</v>
      </c>
      <c r="K66" s="18" t="e">
        <f t="shared" si="82"/>
        <v>#VALUE!</v>
      </c>
      <c r="L66" s="18" t="e">
        <f t="shared" si="82"/>
        <v>#VALUE!</v>
      </c>
      <c r="M66" s="18" t="e">
        <f t="shared" si="82"/>
        <v>#VALUE!</v>
      </c>
      <c r="N66" s="571" t="e">
        <f t="shared" si="82"/>
        <v>#VALUE!</v>
      </c>
      <c r="O66" s="571" t="e">
        <f t="shared" si="82"/>
        <v>#VALUE!</v>
      </c>
      <c r="P66" s="571" t="e">
        <f t="shared" si="82"/>
        <v>#VALUE!</v>
      </c>
      <c r="Q66" s="571" t="e">
        <f t="shared" si="82"/>
        <v>#VALUE!</v>
      </c>
      <c r="R66" s="571" t="e">
        <f t="shared" si="82"/>
        <v>#VALUE!</v>
      </c>
    </row>
    <row r="67" spans="1:18" s="1" customFormat="1" ht="11.25" outlineLevel="1">
      <c r="A67" s="2" t="str">
        <f>'Tourism Medium DB-LCU'!$A$163</f>
        <v>Hungary</v>
      </c>
      <c r="B67" s="2" t="s">
        <v>79</v>
      </c>
      <c r="C67" s="2" t="s">
        <v>571</v>
      </c>
      <c r="D67" s="2"/>
      <c r="E67" s="2" t="s">
        <v>20</v>
      </c>
      <c r="F67" s="2"/>
      <c r="G67" s="2"/>
      <c r="I67" s="1" t="e">
        <f>'Tourism Medium DB-LCU'!H182</f>
        <v>#VALUE!</v>
      </c>
      <c r="J67" s="1" t="e">
        <f>'Tourism Medium DB-LCU'!I182</f>
        <v>#VALUE!</v>
      </c>
      <c r="K67" s="1" t="e">
        <f>'Tourism Medium DB-LCU'!J182</f>
        <v>#VALUE!</v>
      </c>
      <c r="L67" s="1" t="e">
        <f>'Tourism Medium DB-LCU'!K182</f>
        <v>#VALUE!</v>
      </c>
      <c r="M67" s="1">
        <f>'Tourism Medium DB-LCU'!L182</f>
        <v>21870.013393261761</v>
      </c>
      <c r="N67" s="563" t="e">
        <f>N4*N76</f>
        <v>#VALUE!</v>
      </c>
      <c r="O67" s="563" t="e">
        <f>O4*O76</f>
        <v>#VALUE!</v>
      </c>
      <c r="P67" s="563" t="e">
        <f>P4*P76</f>
        <v>#VALUE!</v>
      </c>
      <c r="Q67" s="563" t="e">
        <f>Q4*Q76</f>
        <v>#VALUE!</v>
      </c>
      <c r="R67" s="563" t="e">
        <f>R4*R76</f>
        <v>#VALUE!</v>
      </c>
    </row>
    <row r="68" spans="1:18" outlineLevel="1">
      <c r="J68" s="18" t="e">
        <f t="shared" ref="J68" si="83">J67/I67-1</f>
        <v>#VALUE!</v>
      </c>
      <c r="K68" s="18" t="e">
        <f t="shared" ref="K68" si="84">K67/J67-1</f>
        <v>#VALUE!</v>
      </c>
      <c r="L68" s="18" t="e">
        <f t="shared" ref="L68" si="85">L67/K67-1</f>
        <v>#VALUE!</v>
      </c>
      <c r="M68" s="18" t="e">
        <f t="shared" ref="M68" si="86">M67/L67-1</f>
        <v>#VALUE!</v>
      </c>
      <c r="N68" s="571" t="e">
        <f t="shared" ref="N68" si="87">N67/M67-1</f>
        <v>#VALUE!</v>
      </c>
      <c r="O68" s="571" t="e">
        <f t="shared" ref="O68" si="88">O67/N67-1</f>
        <v>#VALUE!</v>
      </c>
      <c r="P68" s="571" t="e">
        <f t="shared" ref="P68" si="89">P67/O67-1</f>
        <v>#VALUE!</v>
      </c>
      <c r="Q68" s="571" t="e">
        <f t="shared" ref="Q68" si="90">Q67/P67-1</f>
        <v>#VALUE!</v>
      </c>
      <c r="R68" s="571" t="e">
        <f t="shared" ref="R68" si="91">R67/Q67-1</f>
        <v>#VALUE!</v>
      </c>
    </row>
    <row r="69" spans="1:18" ht="15" customHeight="1">
      <c r="A69" s="2" t="str">
        <f>'Tourism Medium DB-LCU'!$A$163</f>
        <v>Hungary</v>
      </c>
      <c r="B69" s="2" t="s">
        <v>79</v>
      </c>
      <c r="C69" s="2" t="s">
        <v>571</v>
      </c>
      <c r="D69" s="81"/>
      <c r="E69" s="2" t="s">
        <v>90</v>
      </c>
      <c r="I69" s="81">
        <f>'Tourism Medium DB-LCU'!H175/'Tourism Medium DB-LCU'!H$174</f>
        <v>0.27022764845478731</v>
      </c>
      <c r="J69" s="81">
        <f>'Tourism Medium DB-LCU'!I175/'Tourism Medium DB-LCU'!I$174</f>
        <v>0.34654097976318204</v>
      </c>
      <c r="K69" s="81">
        <f>'Tourism Medium DB-LCU'!J175/'Tourism Medium DB-LCU'!J$174</f>
        <v>0.39148903311885475</v>
      </c>
      <c r="L69" s="81">
        <f>'Tourism Medium DB-LCU'!K175/'Tourism Medium DB-LCU'!K$174</f>
        <v>0.43638674890999751</v>
      </c>
      <c r="M69" s="81">
        <f>'Tourism Medium DB-LCU'!L175/'Tourism Medium DB-LCU'!L$174</f>
        <v>0.465446756121352</v>
      </c>
      <c r="N69" s="577">
        <f>M69*(1+(((M69/I69)^(1/4))-1))*91.5%</f>
        <v>0.48789476519113106</v>
      </c>
      <c r="O69" s="577">
        <f>N69*(1+(((N69/J69)^(1/4))-1))*95.5%</f>
        <v>0.50754250623338582</v>
      </c>
      <c r="P69" s="577">
        <f>O69*(1+(((O69/K69)^(1/4))-1))*97.5%</f>
        <v>0.52803807655303492</v>
      </c>
      <c r="Q69" s="577">
        <f>P69*(1+(((P69/L69)^(1/4))-1))*98.4%</f>
        <v>0.54495263932753091</v>
      </c>
      <c r="R69" s="577">
        <f>Q69*(1+(((Q69/M69)^(1/4))-1))*99.28%</f>
        <v>0.5627852634615278</v>
      </c>
    </row>
    <row r="70" spans="1:18" ht="15" customHeight="1">
      <c r="A70" s="2" t="str">
        <f>'Tourism Medium DB-LCU'!$A$163</f>
        <v>Hungary</v>
      </c>
      <c r="B70" s="2" t="s">
        <v>79</v>
      </c>
      <c r="C70" s="2" t="s">
        <v>571</v>
      </c>
      <c r="D70" s="81"/>
      <c r="E70" s="2" t="s">
        <v>91</v>
      </c>
      <c r="I70" s="81">
        <f>'Tourism Medium DB-LCU'!H176/'Tourism Medium DB-LCU'!H$174</f>
        <v>0.72977235154521269</v>
      </c>
      <c r="J70" s="81">
        <f>'Tourism Medium DB-LCU'!I176/'Tourism Medium DB-LCU'!I$174</f>
        <v>0.65345902023681801</v>
      </c>
      <c r="K70" s="81">
        <f>'Tourism Medium DB-LCU'!J176/'Tourism Medium DB-LCU'!J$174</f>
        <v>0.60851096688114525</v>
      </c>
      <c r="L70" s="81">
        <f>'Tourism Medium DB-LCU'!K176/'Tourism Medium DB-LCU'!K$174</f>
        <v>0.56361325109000249</v>
      </c>
      <c r="M70" s="81">
        <f>'Tourism Medium DB-LCU'!L176/'Tourism Medium DB-LCU'!L$174</f>
        <v>0.534553243878648</v>
      </c>
      <c r="N70" s="571">
        <f>1-N69</f>
        <v>0.51210523480886894</v>
      </c>
      <c r="O70" s="571">
        <f>1-O69</f>
        <v>0.49245749376661418</v>
      </c>
      <c r="P70" s="571">
        <f>1-P69</f>
        <v>0.47196192344696508</v>
      </c>
      <c r="Q70" s="571">
        <f>1-Q69</f>
        <v>0.45504736067246909</v>
      </c>
      <c r="R70" s="571">
        <f>1-R69</f>
        <v>0.4372147365384722</v>
      </c>
    </row>
    <row r="71" spans="1:18" ht="15" customHeight="1">
      <c r="B71" s="2"/>
      <c r="C71" s="2"/>
      <c r="D71" s="1"/>
      <c r="E71" s="1"/>
      <c r="I71" s="1"/>
      <c r="J71" s="1"/>
      <c r="K71" s="1"/>
      <c r="L71" s="1"/>
      <c r="M71" s="1"/>
      <c r="N71" s="1"/>
      <c r="O71" s="1"/>
      <c r="P71" s="1"/>
      <c r="Q71" s="1"/>
      <c r="R71" s="1"/>
    </row>
    <row r="72" spans="1:18" ht="15" customHeight="1">
      <c r="A72" s="2" t="str">
        <f>'Tourism Medium DB-LCU'!$A$163</f>
        <v>Hungary</v>
      </c>
      <c r="B72" s="2" t="s">
        <v>79</v>
      </c>
      <c r="C72" s="2" t="s">
        <v>578</v>
      </c>
      <c r="D72" s="81"/>
      <c r="E72" s="2" t="s">
        <v>14</v>
      </c>
      <c r="I72" s="81">
        <f>'Tourism Medium DB-LCU'!H178/'Tourism Medium DB-LCU'!H$177</f>
        <v>0.54494427455213468</v>
      </c>
      <c r="J72" s="81">
        <f>'Tourism Medium DB-LCU'!I178/'Tourism Medium DB-LCU'!I$177</f>
        <v>0.55404624365674182</v>
      </c>
      <c r="K72" s="81">
        <f>'Tourism Medium DB-LCU'!J178/'Tourism Medium DB-LCU'!J$177</f>
        <v>0.55611621690719371</v>
      </c>
      <c r="L72" s="81">
        <f>'Tourism Medium DB-LCU'!K178/'Tourism Medium DB-LCU'!K$177</f>
        <v>0.55918482069488595</v>
      </c>
      <c r="M72" s="81">
        <f>'Tourism Medium DB-LCU'!L178/'Tourism Medium DB-LCU'!L$177</f>
        <v>0.57478160383390253</v>
      </c>
      <c r="N72" s="577">
        <f>M72*(1+(((M72/I72)^(1/4))-1))</f>
        <v>0.5824927862882423</v>
      </c>
      <c r="O72" s="577">
        <f t="shared" ref="O72:R72" si="92">N72*(1+(((N72/J72)^(1/4))-1))</f>
        <v>0.58982976581172786</v>
      </c>
      <c r="P72" s="577">
        <f t="shared" si="92"/>
        <v>0.59857278473419839</v>
      </c>
      <c r="Q72" s="577">
        <f t="shared" si="92"/>
        <v>0.60884587108813648</v>
      </c>
      <c r="R72" s="577">
        <f t="shared" si="92"/>
        <v>0.61767282058582518</v>
      </c>
    </row>
    <row r="73" spans="1:18" ht="15" customHeight="1">
      <c r="A73" s="2" t="str">
        <f>'Tourism Medium DB-LCU'!$A$163</f>
        <v>Hungary</v>
      </c>
      <c r="B73" s="2" t="s">
        <v>79</v>
      </c>
      <c r="C73" s="2" t="s">
        <v>578</v>
      </c>
      <c r="D73" s="81"/>
      <c r="E73" s="2" t="s">
        <v>15</v>
      </c>
      <c r="I73" s="81">
        <f>'Tourism Medium DB-LCU'!H179/'Tourism Medium DB-LCU'!H$177</f>
        <v>0.45505572544786532</v>
      </c>
      <c r="J73" s="81">
        <f>'Tourism Medium DB-LCU'!I179/'Tourism Medium DB-LCU'!I$177</f>
        <v>0.44595375634325818</v>
      </c>
      <c r="K73" s="81">
        <f>'Tourism Medium DB-LCU'!J179/'Tourism Medium DB-LCU'!J$177</f>
        <v>0.44388378309280629</v>
      </c>
      <c r="L73" s="81">
        <f>'Tourism Medium DB-LCU'!K179/'Tourism Medium DB-LCU'!K$177</f>
        <v>0.44081517930511405</v>
      </c>
      <c r="M73" s="81">
        <f>'Tourism Medium DB-LCU'!L179/'Tourism Medium DB-LCU'!L$177</f>
        <v>0.42521839616609747</v>
      </c>
      <c r="N73" s="571">
        <f>1-N72</f>
        <v>0.4175072137117577</v>
      </c>
      <c r="O73" s="571">
        <f>1-O72</f>
        <v>0.41017023418827214</v>
      </c>
      <c r="P73" s="571">
        <f>1-P72</f>
        <v>0.40142721526580161</v>
      </c>
      <c r="Q73" s="571">
        <f>1-Q72</f>
        <v>0.39115412891186352</v>
      </c>
      <c r="R73" s="571">
        <f t="shared" ref="R73" si="93">1-R72</f>
        <v>0.38232717941417482</v>
      </c>
    </row>
    <row r="75" spans="1:18" ht="15" customHeight="1">
      <c r="A75" s="2" t="str">
        <f>'Tourism Medium DB-LCU'!$A$163</f>
        <v>Hungary</v>
      </c>
      <c r="B75" s="2" t="s">
        <v>79</v>
      </c>
      <c r="C75" s="2" t="s">
        <v>575</v>
      </c>
      <c r="D75" s="81"/>
      <c r="E75" s="2" t="s">
        <v>19</v>
      </c>
      <c r="I75" s="81" t="e">
        <f>'Tourism Medium DB-LCU'!H181/'Tourism Medium DB-LCU'!H$180</f>
        <v>#VALUE!</v>
      </c>
      <c r="J75" s="81" t="e">
        <f>'Tourism Medium DB-LCU'!I181/'Tourism Medium DB-LCU'!I$180</f>
        <v>#VALUE!</v>
      </c>
      <c r="K75" s="81" t="e">
        <f>'Tourism Medium DB-LCU'!J181/'Tourism Medium DB-LCU'!J$180</f>
        <v>#VALUE!</v>
      </c>
      <c r="L75" s="81" t="e">
        <f>'Tourism Medium DB-LCU'!K181/'Tourism Medium DB-LCU'!K$180</f>
        <v>#VALUE!</v>
      </c>
      <c r="M75" s="81">
        <f>'Tourism Medium DB-LCU'!L181/'Tourism Medium DB-LCU'!L$180</f>
        <v>0.63362296548246388</v>
      </c>
      <c r="N75" s="577" t="e">
        <f>(M75*(1+(((M75/I75)^(1/4))-1)))</f>
        <v>#VALUE!</v>
      </c>
      <c r="O75" s="577" t="e">
        <f t="shared" ref="O75:R75" si="94">(N75*(1+(((N75/J75)^(1/4))-1)))</f>
        <v>#VALUE!</v>
      </c>
      <c r="P75" s="577" t="e">
        <f t="shared" si="94"/>
        <v>#VALUE!</v>
      </c>
      <c r="Q75" s="577" t="e">
        <f t="shared" si="94"/>
        <v>#VALUE!</v>
      </c>
      <c r="R75" s="577" t="e">
        <f t="shared" si="94"/>
        <v>#VALUE!</v>
      </c>
    </row>
    <row r="76" spans="1:18" ht="15" customHeight="1">
      <c r="A76" s="2" t="str">
        <f>'Tourism Medium DB-LCU'!$A$163</f>
        <v>Hungary</v>
      </c>
      <c r="B76" s="2" t="s">
        <v>79</v>
      </c>
      <c r="C76" s="2" t="s">
        <v>575</v>
      </c>
      <c r="D76" s="81"/>
      <c r="E76" s="2" t="s">
        <v>20</v>
      </c>
      <c r="I76" s="81" t="e">
        <f>'Tourism Medium DB-LCU'!H182/'Tourism Medium DB-LCU'!H$180</f>
        <v>#VALUE!</v>
      </c>
      <c r="J76" s="81" t="e">
        <f>'Tourism Medium DB-LCU'!I182/'Tourism Medium DB-LCU'!I$180</f>
        <v>#VALUE!</v>
      </c>
      <c r="K76" s="81" t="e">
        <f>'Tourism Medium DB-LCU'!J182/'Tourism Medium DB-LCU'!J$180</f>
        <v>#VALUE!</v>
      </c>
      <c r="L76" s="81" t="e">
        <f>'Tourism Medium DB-LCU'!K182/'Tourism Medium DB-LCU'!K$180</f>
        <v>#VALUE!</v>
      </c>
      <c r="M76" s="81">
        <f>'Tourism Medium DB-LCU'!L182/'Tourism Medium DB-LCU'!L$180</f>
        <v>0.36637703451753612</v>
      </c>
      <c r="N76" s="571" t="e">
        <f t="shared" ref="N76:R76" si="95">1-N75</f>
        <v>#VALUE!</v>
      </c>
      <c r="O76" s="571" t="e">
        <f t="shared" si="95"/>
        <v>#VALUE!</v>
      </c>
      <c r="P76" s="571" t="e">
        <f t="shared" si="95"/>
        <v>#VALUE!</v>
      </c>
      <c r="Q76" s="571" t="e">
        <f t="shared" si="95"/>
        <v>#VALUE!</v>
      </c>
      <c r="R76" s="571" t="e">
        <f t="shared" si="95"/>
        <v>#VALUE!</v>
      </c>
    </row>
  </sheetData>
  <customSheetViews>
    <customSheetView guid="{BD5E9955-DC4B-4EA0-9160-9EF1C693DE04}" showGridLines="0" topLeftCell="G1">
      <pane ySplit="1" topLeftCell="A55" activePane="bottomLeft" state="frozen"/>
      <selection pane="bottomLeft" activeCell="N76" sqref="N76"/>
      <pageMargins left="0.7" right="0.7" top="0.75" bottom="0.75" header="0.3" footer="0.3"/>
      <pageSetup orientation="portrait" r:id="rId1"/>
    </customSheetView>
    <customSheetView guid="{1ACDCC85-59E3-4410-927D-E7E5C71B61F5}" showGridLines="0" state="hidden" topLeftCell="H1">
      <pane ySplit="1" topLeftCell="A28" activePane="bottomLeft" state="frozen"/>
      <selection pane="bottomLeft" activeCell="H50" sqref="H50"/>
      <pageMargins left="0.7" right="0.7" top="0.75" bottom="0.75" header="0.3" footer="0.3"/>
      <pageSetup orientation="portrait" r:id="rId2"/>
    </customSheetView>
    <customSheetView guid="{9144D9B3-2327-4B3A-89B1-6A595780C3C5}" showGridLines="0" state="hidden" topLeftCell="H1">
      <pane ySplit="1" topLeftCell="A28" activePane="bottomLeft" state="frozen"/>
      <selection pane="bottomLeft" activeCell="R50" sqref="R50"/>
      <pageMargins left="0.7" right="0.7" top="0.75" bottom="0.75" header="0.3" footer="0.3"/>
      <pageSetup orientation="portrait" r:id="rId3"/>
    </customSheetView>
    <customSheetView guid="{513032B5-C585-49C2-98E7-9FDE6F7A4BA7}" showGridLines="0" topLeftCell="G1">
      <pane ySplit="1" topLeftCell="A25" activePane="bottomLeft" state="frozen"/>
      <selection pane="bottomLeft"/>
      <pageMargins left="0.7" right="0.7" top="0.75" bottom="0.75" header="0.3" footer="0.3"/>
      <pageSetup orientation="portrait" r:id="rId4"/>
    </customSheetView>
    <customSheetView guid="{AF983ECA-536A-40E6-8A04-FF0A375E9ACC}" showGridLines="0" topLeftCell="H1">
      <pane ySplit="1" topLeftCell="A28" activePane="bottomLeft" state="frozen"/>
      <selection pane="bottomLeft" activeCell="H50" sqref="H50"/>
      <pageMargins left="0.7" right="0.7" top="0.75" bottom="0.75" header="0.3" footer="0.3"/>
      <pageSetup orientation="portrait" r:id="rId5"/>
    </customSheetView>
  </customSheetViews>
  <pageMargins left="0.7" right="0.7" top="0.75" bottom="0.75" header="0.3" footer="0.3"/>
  <pageSetup orientation="portrait" r:id="rId6"/>
  <legacyDrawing r:id="rId7"/>
</worksheet>
</file>

<file path=xl/worksheets/sheet21.xml><?xml version="1.0" encoding="utf-8"?>
<worksheet xmlns="http://schemas.openxmlformats.org/spreadsheetml/2006/main" xmlns:r="http://schemas.openxmlformats.org/officeDocument/2006/relationships">
  <dimension ref="A1:R61"/>
  <sheetViews>
    <sheetView workbookViewId="0">
      <pane ySplit="1" topLeftCell="A2" activePane="bottomLeft" state="frozen"/>
      <selection pane="bottomLeft" activeCell="A2" sqref="A2"/>
    </sheetView>
  </sheetViews>
  <sheetFormatPr defaultRowHeight="15"/>
  <cols>
    <col min="7" max="7" width="10.28515625" bestFit="1" customWidth="1"/>
    <col min="8" max="13" width="9.5703125" bestFit="1" customWidth="1"/>
    <col min="14" max="16" width="10.5703125" bestFit="1" customWidth="1"/>
  </cols>
  <sheetData>
    <row r="1" spans="1:18">
      <c r="A1" s="3" t="s">
        <v>106</v>
      </c>
      <c r="B1" s="3" t="s">
        <v>0</v>
      </c>
      <c r="C1" s="3" t="s">
        <v>1</v>
      </c>
      <c r="D1" s="3" t="s">
        <v>2</v>
      </c>
      <c r="E1" s="3" t="s">
        <v>3</v>
      </c>
      <c r="F1" s="3" t="s">
        <v>163</v>
      </c>
      <c r="G1" s="3">
        <v>2008</v>
      </c>
      <c r="H1" s="3">
        <v>2009</v>
      </c>
      <c r="I1" s="3">
        <v>2010</v>
      </c>
      <c r="J1" s="3">
        <v>2011</v>
      </c>
      <c r="K1" s="3">
        <v>2012</v>
      </c>
      <c r="L1" s="3">
        <v>2013</v>
      </c>
      <c r="M1" s="3">
        <v>2014</v>
      </c>
      <c r="N1" s="3">
        <v>2015</v>
      </c>
      <c r="O1" s="3">
        <v>2016</v>
      </c>
      <c r="P1" s="3">
        <v>2017</v>
      </c>
      <c r="R1" t="s">
        <v>139</v>
      </c>
    </row>
    <row r="2" spans="1:18">
      <c r="A2" s="441" t="str">
        <f>Home!$B$1</f>
        <v>Hungary</v>
      </c>
      <c r="B2" s="441" t="s">
        <v>79</v>
      </c>
      <c r="C2" s="2" t="s">
        <v>80</v>
      </c>
      <c r="D2" s="2"/>
    </row>
    <row r="3" spans="1:18">
      <c r="A3" s="4" t="str">
        <f>Home!$B$1</f>
        <v>Hungary</v>
      </c>
      <c r="B3" s="4" t="s">
        <v>79</v>
      </c>
      <c r="C3" s="4" t="s">
        <v>80</v>
      </c>
      <c r="D3" s="2" t="s">
        <v>81</v>
      </c>
      <c r="E3" s="1"/>
      <c r="G3" s="101">
        <f>'Tourism Medium DB-LCU'!H165/'Tourism Medium DB-LCU'!H$164</f>
        <v>0.11930943407445364</v>
      </c>
      <c r="H3" s="101">
        <f>'Tourism Medium DB-LCU'!I165/'Tourism Medium DB-LCU'!I$164</f>
        <v>0.12003633083059242</v>
      </c>
      <c r="I3" s="101">
        <f>'Tourism Medium DB-LCU'!J165/'Tourism Medium DB-LCU'!J$164</f>
        <v>0.11883782298122733</v>
      </c>
      <c r="J3" s="101">
        <f>'Tourism Medium DB-LCU'!K165/'Tourism Medium DB-LCU'!K$164</f>
        <v>0.11797283244447927</v>
      </c>
      <c r="K3" s="101">
        <f>'Tourism Medium DB-LCU'!L165/'Tourism Medium DB-LCU'!L$164</f>
        <v>0.11726997972702492</v>
      </c>
      <c r="L3" s="101">
        <f>'Tourism Medium DB-LCU'!M165/'Tourism Medium DB-LCU'!M$164</f>
        <v>0.11641529003258426</v>
      </c>
      <c r="M3" s="101">
        <f>'Tourism Medium DB-LCU'!N165/'Tourism Medium DB-LCU'!N$164</f>
        <v>0.11552722794384569</v>
      </c>
      <c r="N3" s="101">
        <f>'Tourism Medium DB-LCU'!O165/'Tourism Medium DB-LCU'!O$164</f>
        <v>0.11471409123585773</v>
      </c>
      <c r="O3" s="101">
        <f>'Tourism Medium DB-LCU'!P165/'Tourism Medium DB-LCU'!P$164</f>
        <v>0.11391356919004286</v>
      </c>
      <c r="P3" s="101">
        <f>'Tourism Medium DB-LCU'!Q165/'Tourism Medium DB-LCU'!Q$164</f>
        <v>0.11308958541509974</v>
      </c>
    </row>
    <row r="4" spans="1:18">
      <c r="A4" s="4" t="str">
        <f>Home!$B$1</f>
        <v>Hungary</v>
      </c>
      <c r="B4" s="4" t="s">
        <v>79</v>
      </c>
      <c r="C4" s="4" t="s">
        <v>80</v>
      </c>
      <c r="D4" s="2" t="s">
        <v>82</v>
      </c>
      <c r="E4" s="1"/>
      <c r="G4" s="101">
        <f>'Tourism Medium DB-LCU'!H166/'Tourism Medium DB-LCU'!H$164</f>
        <v>0.37705538770121949</v>
      </c>
      <c r="H4" s="101">
        <f>'Tourism Medium DB-LCU'!I166/'Tourism Medium DB-LCU'!I$164</f>
        <v>0.37332296057013442</v>
      </c>
      <c r="I4" s="101">
        <f>'Tourism Medium DB-LCU'!J166/'Tourism Medium DB-LCU'!J$164</f>
        <v>0.37942193471341978</v>
      </c>
      <c r="J4" s="101">
        <f>'Tourism Medium DB-LCU'!K166/'Tourism Medium DB-LCU'!K$164</f>
        <v>0.3838237038971658</v>
      </c>
      <c r="K4" s="101">
        <f>'Tourism Medium DB-LCU'!L166/'Tourism Medium DB-LCU'!L$164</f>
        <v>0.38740038514507141</v>
      </c>
      <c r="L4" s="101">
        <f>'Tourism Medium DB-LCU'!M166/'Tourism Medium DB-LCU'!M$164</f>
        <v>0.39022569742159241</v>
      </c>
      <c r="M4" s="101">
        <f>'Tourism Medium DB-LCU'!N166/'Tourism Medium DB-LCU'!N$164</f>
        <v>0.39460119733266191</v>
      </c>
      <c r="N4" s="101">
        <f>'Tourism Medium DB-LCU'!O166/'Tourism Medium DB-LCU'!O$164</f>
        <v>0.3984899655403038</v>
      </c>
      <c r="O4" s="101">
        <f>'Tourism Medium DB-LCU'!P166/'Tourism Medium DB-LCU'!P$164</f>
        <v>0.40224327247143177</v>
      </c>
      <c r="P4" s="101">
        <f>'Tourism Medium DB-LCU'!Q166/'Tourism Medium DB-LCU'!Q$164</f>
        <v>0.4060420151939918</v>
      </c>
    </row>
    <row r="5" spans="1:18">
      <c r="A5" s="4" t="str">
        <f>Home!$B$1</f>
        <v>Hungary</v>
      </c>
      <c r="B5" s="4" t="s">
        <v>79</v>
      </c>
      <c r="C5" s="4" t="s">
        <v>80</v>
      </c>
      <c r="D5" s="4" t="s">
        <v>82</v>
      </c>
      <c r="E5" s="2" t="s">
        <v>83</v>
      </c>
      <c r="G5" s="101">
        <f>'Tourism Medium DB-LCU'!H167/'Tourism Medium DB-LCU'!H$166</f>
        <v>0.92767393808249266</v>
      </c>
      <c r="H5" s="101">
        <f>'Tourism Medium DB-LCU'!I167/'Tourism Medium DB-LCU'!I$166</f>
        <v>0.92939545460366524</v>
      </c>
      <c r="I5" s="101">
        <f>'Tourism Medium DB-LCU'!J167/'Tourism Medium DB-LCU'!J$166</f>
        <v>0.92824613111319854</v>
      </c>
      <c r="J5" s="101">
        <f>'Tourism Medium DB-LCU'!K167/'Tourism Medium DB-LCU'!K$166</f>
        <v>0.92743933152881819</v>
      </c>
      <c r="K5" s="101">
        <f>'Tourism Medium DB-LCU'!L167/'Tourism Medium DB-LCU'!L$166</f>
        <v>0.92679726353128777</v>
      </c>
      <c r="L5" s="101">
        <f>'Tourism Medium DB-LCU'!M167/'Tourism Medium DB-LCU'!M$166</f>
        <v>0.92662455328512661</v>
      </c>
      <c r="M5" s="101">
        <f>'Tourism Medium DB-LCU'!N167/'Tourism Medium DB-LCU'!N$166</f>
        <v>0.92593311972671088</v>
      </c>
      <c r="N5" s="101">
        <f>'Tourism Medium DB-LCU'!O167/'Tourism Medium DB-LCU'!O$166</f>
        <v>0.92535576800122277</v>
      </c>
      <c r="O5" s="101">
        <f>'Tourism Medium DB-LCU'!P167/'Tourism Medium DB-LCU'!P$166</f>
        <v>0.92483560891880912</v>
      </c>
      <c r="P5" s="101">
        <f>'Tourism Medium DB-LCU'!Q167/'Tourism Medium DB-LCU'!Q$166</f>
        <v>0.92434584436377676</v>
      </c>
    </row>
    <row r="6" spans="1:18">
      <c r="A6" s="4" t="str">
        <f>Home!$B$1</f>
        <v>Hungary</v>
      </c>
      <c r="B6" s="4" t="s">
        <v>79</v>
      </c>
      <c r="C6" s="4" t="s">
        <v>80</v>
      </c>
      <c r="D6" s="4" t="s">
        <v>82</v>
      </c>
      <c r="E6" s="2" t="s">
        <v>84</v>
      </c>
      <c r="G6" s="101">
        <f>'Tourism Medium DB-LCU'!H168/'Tourism Medium DB-LCU'!H$166</f>
        <v>7.23260619175074E-2</v>
      </c>
      <c r="H6" s="101">
        <f>'Tourism Medium DB-LCU'!I168/'Tourism Medium DB-LCU'!I$166</f>
        <v>7.0604545396334734E-2</v>
      </c>
      <c r="I6" s="101">
        <f>'Tourism Medium DB-LCU'!J168/'Tourism Medium DB-LCU'!J$166</f>
        <v>7.1753868886801478E-2</v>
      </c>
      <c r="J6" s="101">
        <f>'Tourism Medium DB-LCU'!K168/'Tourism Medium DB-LCU'!K$166</f>
        <v>7.2560668471181825E-2</v>
      </c>
      <c r="K6" s="101">
        <f>'Tourism Medium DB-LCU'!L168/'Tourism Medium DB-LCU'!L$166</f>
        <v>7.3202736468712212E-2</v>
      </c>
      <c r="L6" s="101">
        <f>'Tourism Medium DB-LCU'!M168/'Tourism Medium DB-LCU'!M$166</f>
        <v>7.3375446714873394E-2</v>
      </c>
      <c r="M6" s="101">
        <f>'Tourism Medium DB-LCU'!N168/'Tourism Medium DB-LCU'!N$166</f>
        <v>7.4066880273289115E-2</v>
      </c>
      <c r="N6" s="101">
        <f>'Tourism Medium DB-LCU'!O168/'Tourism Medium DB-LCU'!O$166</f>
        <v>7.4644231998777233E-2</v>
      </c>
      <c r="O6" s="101">
        <f>'Tourism Medium DB-LCU'!P168/'Tourism Medium DB-LCU'!P$166</f>
        <v>7.5164391081190773E-2</v>
      </c>
      <c r="P6" s="101">
        <f>'Tourism Medium DB-LCU'!Q168/'Tourism Medium DB-LCU'!Q$166</f>
        <v>7.5654155636223241E-2</v>
      </c>
    </row>
    <row r="7" spans="1:18">
      <c r="A7" s="4" t="str">
        <f>Home!$B$1</f>
        <v>Hungary</v>
      </c>
      <c r="B7" s="4" t="s">
        <v>79</v>
      </c>
      <c r="C7" s="4" t="s">
        <v>80</v>
      </c>
      <c r="D7" s="2" t="s">
        <v>85</v>
      </c>
      <c r="E7" s="1"/>
      <c r="G7" s="101">
        <f>'Tourism Medium DB-LCU'!H169/'Tourism Medium DB-LCU'!H$164</f>
        <v>2.9415504682487523E-2</v>
      </c>
      <c r="H7" s="101">
        <f>'Tourism Medium DB-LCU'!I169/'Tourism Medium DB-LCU'!I$164</f>
        <v>2.9434175472998991E-2</v>
      </c>
      <c r="I7" s="101">
        <f>'Tourism Medium DB-LCU'!J169/'Tourism Medium DB-LCU'!J$164</f>
        <v>2.9271636219101862E-2</v>
      </c>
      <c r="J7" s="101">
        <f>'Tourism Medium DB-LCU'!K169/'Tourism Medium DB-LCU'!K$164</f>
        <v>2.9154327920665944E-2</v>
      </c>
      <c r="K7" s="101">
        <f>'Tourism Medium DB-LCU'!L169/'Tourism Medium DB-LCU'!L$164</f>
        <v>2.90590084312232E-2</v>
      </c>
      <c r="L7" s="101">
        <f>'Tourism Medium DB-LCU'!M169/'Tourism Medium DB-LCU'!M$164</f>
        <v>2.8970561502233424E-2</v>
      </c>
      <c r="M7" s="101">
        <f>'Tourism Medium DB-LCU'!N169/'Tourism Medium DB-LCU'!N$164</f>
        <v>2.8855803521937076E-2</v>
      </c>
      <c r="N7" s="101">
        <f>'Tourism Medium DB-LCU'!O169/'Tourism Medium DB-LCU'!O$164</f>
        <v>2.8781524436212267E-2</v>
      </c>
      <c r="O7" s="101">
        <f>'Tourism Medium DB-LCU'!P169/'Tourism Medium DB-LCU'!P$164</f>
        <v>2.8889894319353064E-2</v>
      </c>
      <c r="P7" s="101">
        <f>'Tourism Medium DB-LCU'!Q169/'Tourism Medium DB-LCU'!Q$164</f>
        <v>2.8818922025571871E-2</v>
      </c>
    </row>
    <row r="8" spans="1:18">
      <c r="A8" s="4" t="str">
        <f>Home!$B$1</f>
        <v>Hungary</v>
      </c>
      <c r="B8" s="4" t="s">
        <v>79</v>
      </c>
      <c r="C8" s="4" t="s">
        <v>80</v>
      </c>
      <c r="D8" s="2" t="s">
        <v>86</v>
      </c>
      <c r="E8" s="1"/>
      <c r="G8" s="101">
        <f>'Tourism Medium DB-LCU'!H170/'Tourism Medium DB-LCU'!H$164</f>
        <v>0.34713090117565748</v>
      </c>
      <c r="H8" s="101">
        <f>'Tourism Medium DB-LCU'!I170/'Tourism Medium DB-LCU'!I$164</f>
        <v>0.34718561555875377</v>
      </c>
      <c r="I8" s="101">
        <f>'Tourism Medium DB-LCU'!J170/'Tourism Medium DB-LCU'!J$164</f>
        <v>0.34818177357700725</v>
      </c>
      <c r="J8" s="101">
        <f>'Tourism Medium DB-LCU'!K170/'Tourism Medium DB-LCU'!K$164</f>
        <v>0.34890072361087765</v>
      </c>
      <c r="K8" s="101">
        <f>'Tourism Medium DB-LCU'!L170/'Tourism Medium DB-LCU'!L$164</f>
        <v>0.34948491033148549</v>
      </c>
      <c r="L8" s="101">
        <f>'Tourism Medium DB-LCU'!M170/'Tourism Medium DB-LCU'!M$164</f>
        <v>0.34972582676925817</v>
      </c>
      <c r="M8" s="101">
        <f>'Tourism Medium DB-LCU'!N170/'Tourism Medium DB-LCU'!N$164</f>
        <v>0.35036377828597498</v>
      </c>
      <c r="N8" s="101">
        <f>'Tourism Medium DB-LCU'!O170/'Tourism Medium DB-LCU'!O$164</f>
        <v>0.35091141273541365</v>
      </c>
      <c r="O8" s="101">
        <f>'Tourism Medium DB-LCU'!P170/'Tourism Medium DB-LCU'!P$164</f>
        <v>0.35141589295414194</v>
      </c>
      <c r="P8" s="101">
        <f>'Tourism Medium DB-LCU'!Q170/'Tourism Medium DB-LCU'!Q$164</f>
        <v>0.3522522036648687</v>
      </c>
    </row>
    <row r="9" spans="1:18">
      <c r="A9" s="4" t="str">
        <f>Home!$B$1</f>
        <v>Hungary</v>
      </c>
      <c r="B9" s="4" t="s">
        <v>79</v>
      </c>
      <c r="C9" s="4" t="s">
        <v>80</v>
      </c>
      <c r="D9" s="4" t="s">
        <v>86</v>
      </c>
      <c r="E9" s="2" t="s">
        <v>87</v>
      </c>
      <c r="G9" s="101">
        <f>'Tourism Medium DB-LCU'!H171/'Tourism Medium DB-LCU'!H$170</f>
        <v>0.10830947139737085</v>
      </c>
      <c r="H9" s="101">
        <f>'Tourism Medium DB-LCU'!I171/'Tourism Medium DB-LCU'!I$170</f>
        <v>0.14148108666533826</v>
      </c>
      <c r="I9" s="101">
        <f>'Tourism Medium DB-LCU'!J171/'Tourism Medium DB-LCU'!J$170</f>
        <v>0.16163614319106467</v>
      </c>
      <c r="J9" s="101">
        <f>'Tourism Medium DB-LCU'!K171/'Tourism Medium DB-LCU'!K$170</f>
        <v>0.18162504734823137</v>
      </c>
      <c r="K9" s="101">
        <f>'Tourism Medium DB-LCU'!L171/'Tourism Medium DB-LCU'!L$170</f>
        <v>0.19452698156990234</v>
      </c>
      <c r="L9" s="101">
        <f>'Tourism Medium DB-LCU'!M171/'Tourism Medium DB-LCU'!M$170</f>
        <v>0.20717914109344959</v>
      </c>
      <c r="M9" s="101">
        <f>'Tourism Medium DB-LCU'!N171/'Tourism Medium DB-LCU'!N$170</f>
        <v>0.21924667243043233</v>
      </c>
      <c r="N9" s="101">
        <f>'Tourism Medium DB-LCU'!O171/'Tourism Medium DB-LCU'!O$170</f>
        <v>0.23116719712891753</v>
      </c>
      <c r="O9" s="101">
        <f>'Tourism Medium DB-LCU'!P171/'Tourism Medium DB-LCU'!P$170</f>
        <v>0.24160667154177248</v>
      </c>
      <c r="P9" s="101">
        <f>'Tourism Medium DB-LCU'!Q171/'Tourism Medium DB-LCU'!Q$170</f>
        <v>0.25174354506377389</v>
      </c>
    </row>
    <row r="10" spans="1:18">
      <c r="A10" s="4" t="str">
        <f>Home!$B$1</f>
        <v>Hungary</v>
      </c>
      <c r="B10" s="4" t="s">
        <v>79</v>
      </c>
      <c r="C10" s="4" t="s">
        <v>80</v>
      </c>
      <c r="D10" s="4" t="s">
        <v>86</v>
      </c>
      <c r="E10" s="2" t="s">
        <v>88</v>
      </c>
      <c r="G10" s="101">
        <f>'Tourism Medium DB-LCU'!H172/'Tourism Medium DB-LCU'!H$170</f>
        <v>0.8916905286026291</v>
      </c>
      <c r="H10" s="101">
        <f>'Tourism Medium DB-LCU'!I172/'Tourism Medium DB-LCU'!I$170</f>
        <v>0.85851891333466179</v>
      </c>
      <c r="I10" s="101">
        <f>'Tourism Medium DB-LCU'!J172/'Tourism Medium DB-LCU'!J$170</f>
        <v>0.83836385680893533</v>
      </c>
      <c r="J10" s="101">
        <f>'Tourism Medium DB-LCU'!K172/'Tourism Medium DB-LCU'!K$170</f>
        <v>0.81837495265176863</v>
      </c>
      <c r="K10" s="101">
        <f>'Tourism Medium DB-LCU'!L172/'Tourism Medium DB-LCU'!L$170</f>
        <v>0.80547301843009766</v>
      </c>
      <c r="L10" s="101">
        <f>'Tourism Medium DB-LCU'!M172/'Tourism Medium DB-LCU'!M$170</f>
        <v>0.79282085890655041</v>
      </c>
      <c r="M10" s="101">
        <f>'Tourism Medium DB-LCU'!N172/'Tourism Medium DB-LCU'!N$170</f>
        <v>0.78075332756956772</v>
      </c>
      <c r="N10" s="101">
        <f>'Tourism Medium DB-LCU'!O172/'Tourism Medium DB-LCU'!O$170</f>
        <v>0.76883280287108247</v>
      </c>
      <c r="O10" s="101">
        <f>'Tourism Medium DB-LCU'!P172/'Tourism Medium DB-LCU'!P$170</f>
        <v>0.75839332845822749</v>
      </c>
      <c r="P10" s="101">
        <f>'Tourism Medium DB-LCU'!Q172/'Tourism Medium DB-LCU'!Q$170</f>
        <v>0.74825645493622606</v>
      </c>
    </row>
    <row r="11" spans="1:18">
      <c r="A11" s="4" t="str">
        <f>Home!$B$1</f>
        <v>Hungary</v>
      </c>
      <c r="B11" s="4" t="s">
        <v>79</v>
      </c>
      <c r="C11" s="4" t="s">
        <v>80</v>
      </c>
      <c r="D11" s="2" t="s">
        <v>89</v>
      </c>
      <c r="E11" s="1"/>
      <c r="G11" s="101">
        <f>'Tourism Medium DB-LCU'!H173/'Tourism Medium DB-LCU'!H$164</f>
        <v>0.12708877236618196</v>
      </c>
      <c r="H11" s="101">
        <f>'Tourism Medium DB-LCU'!I173/'Tourism Medium DB-LCU'!I$164</f>
        <v>0.13002091756752049</v>
      </c>
      <c r="I11" s="101">
        <f>'Tourism Medium DB-LCU'!J173/'Tourism Medium DB-LCU'!J$164</f>
        <v>0.12428683250924377</v>
      </c>
      <c r="J11" s="101">
        <f>'Tourism Medium DB-LCU'!K173/'Tourism Medium DB-LCU'!K$164</f>
        <v>0.12014841212681135</v>
      </c>
      <c r="K11" s="101">
        <f>'Tourism Medium DB-LCU'!L173/'Tourism Medium DB-LCU'!L$164</f>
        <v>0.11678571636519498</v>
      </c>
      <c r="L11" s="101">
        <f>'Tourism Medium DB-LCU'!M173/'Tourism Medium DB-LCU'!M$164</f>
        <v>0.11466262427433171</v>
      </c>
      <c r="M11" s="101">
        <f>'Tourism Medium DB-LCU'!N173/'Tourism Medium DB-LCU'!N$164</f>
        <v>0.11065199291558026</v>
      </c>
      <c r="N11" s="101">
        <f>'Tourism Medium DB-LCU'!O173/'Tourism Medium DB-LCU'!O$164</f>
        <v>0.10710300605221246</v>
      </c>
      <c r="O11" s="101">
        <f>'Tourism Medium DB-LCU'!P173/'Tourism Medium DB-LCU'!P$164</f>
        <v>0.10353737106503047</v>
      </c>
      <c r="P11" s="101">
        <f>'Tourism Medium DB-LCU'!Q173/'Tourism Medium DB-LCU'!Q$164</f>
        <v>9.9797273700467981E-2</v>
      </c>
    </row>
    <row r="13" spans="1:18">
      <c r="A13" s="4" t="str">
        <f>$R$1</f>
        <v>Norway</v>
      </c>
      <c r="B13" s="441" t="s">
        <v>79</v>
      </c>
      <c r="C13" s="2" t="s">
        <v>80</v>
      </c>
      <c r="D13" s="2"/>
    </row>
    <row r="14" spans="1:18">
      <c r="A14" s="4" t="str">
        <f t="shared" ref="A14:A22" si="0">$R$1</f>
        <v>Norway</v>
      </c>
      <c r="B14" s="4" t="s">
        <v>79</v>
      </c>
      <c r="C14" s="4" t="s">
        <v>80</v>
      </c>
      <c r="D14" s="2" t="s">
        <v>81</v>
      </c>
      <c r="E14" s="1"/>
      <c r="G14" s="101">
        <f>'Norway TI'!I4/'Norway TI'!I$3</f>
        <v>0.12112632900959761</v>
      </c>
      <c r="H14" s="101">
        <f>'Norway TI'!J4/'Norway TI'!J$3</f>
        <v>0.12141082051313719</v>
      </c>
      <c r="I14" s="101">
        <f>'Norway TI'!K4/'Norway TI'!K$3</f>
        <v>0.12114370089716425</v>
      </c>
      <c r="J14" s="101">
        <f>'Norway TI'!L4/'Norway TI'!L$3</f>
        <v>0.12092926234738555</v>
      </c>
      <c r="K14" s="101">
        <f>'Norway TI'!M4/'Norway TI'!M$3</f>
        <v>0.12066204621601044</v>
      </c>
      <c r="L14" s="101">
        <f>'Norway TI'!N4/'Norway TI'!N$3</f>
        <v>0.12054625384972606</v>
      </c>
      <c r="M14" s="101">
        <f>'Norway TI'!O4/'Norway TI'!O$3</f>
        <v>0.12009041371577034</v>
      </c>
      <c r="N14" s="101">
        <f>'Norway TI'!P4/'Norway TI'!P$3</f>
        <v>0.11958886890221755</v>
      </c>
      <c r="O14" s="101">
        <f>'Norway TI'!Q4/'Norway TI'!Q$3</f>
        <v>0.11913684232388162</v>
      </c>
      <c r="P14" s="101">
        <f>'Norway TI'!R4/'Norway TI'!R$3</f>
        <v>0.11863980470788586</v>
      </c>
    </row>
    <row r="15" spans="1:18">
      <c r="A15" s="4" t="str">
        <f t="shared" si="0"/>
        <v>Norway</v>
      </c>
      <c r="B15" s="4" t="s">
        <v>79</v>
      </c>
      <c r="C15" s="4" t="s">
        <v>80</v>
      </c>
      <c r="D15" s="2" t="s">
        <v>82</v>
      </c>
      <c r="E15" s="1"/>
      <c r="G15" s="101">
        <f>'Norway TI'!I5/'Norway TI'!I$3</f>
        <v>0.38009615695687449</v>
      </c>
      <c r="H15" s="101">
        <f>'Norway TI'!J5/'Norway TI'!J$3</f>
        <v>0.37916756668568136</v>
      </c>
      <c r="I15" s="101">
        <f>'Norway TI'!K5/'Norway TI'!K$3</f>
        <v>0.38003945450500526</v>
      </c>
      <c r="J15" s="101">
        <f>'Norway TI'!L5/'Norway TI'!L$3</f>
        <v>0.38073938947183489</v>
      </c>
      <c r="K15" s="101">
        <f>'Norway TI'!M5/'Norway TI'!M$3</f>
        <v>0.38122031822440439</v>
      </c>
      <c r="L15" s="101">
        <f>'Norway TI'!N5/'Norway TI'!N$3</f>
        <v>0.38150187765555421</v>
      </c>
      <c r="M15" s="101">
        <f>'Norway TI'!O5/'Norway TI'!O$3</f>
        <v>0.38208769741617665</v>
      </c>
      <c r="N15" s="101">
        <f>'Norway TI'!P5/'Norway TI'!P$3</f>
        <v>0.38260148068700323</v>
      </c>
      <c r="O15" s="101">
        <f>'Norway TI'!Q5/'Norway TI'!Q$3</f>
        <v>0.38306842471935271</v>
      </c>
      <c r="P15" s="101">
        <f>'Norway TI'!R5/'Norway TI'!R$3</f>
        <v>0.38353184955313474</v>
      </c>
    </row>
    <row r="16" spans="1:18">
      <c r="A16" s="4" t="str">
        <f t="shared" si="0"/>
        <v>Norway</v>
      </c>
      <c r="B16" s="4" t="s">
        <v>79</v>
      </c>
      <c r="C16" s="4" t="s">
        <v>80</v>
      </c>
      <c r="D16" s="4" t="s">
        <v>82</v>
      </c>
      <c r="E16" s="2" t="s">
        <v>83</v>
      </c>
      <c r="G16" s="101">
        <f>'Norway TI'!I6/'Norway TI'!I$5</f>
        <v>0.93609882753026508</v>
      </c>
      <c r="H16" s="101">
        <f>'Norway TI'!J6/'Norway TI'!J$5</f>
        <v>0.93562396977953755</v>
      </c>
      <c r="I16" s="101">
        <f>'Norway TI'!K6/'Norway TI'!K$5</f>
        <v>0.93606989784320282</v>
      </c>
      <c r="J16" s="101">
        <f>'Norway TI'!L6/'Norway TI'!L$5</f>
        <v>0.93736282894335377</v>
      </c>
      <c r="K16" s="101">
        <f>'Norway TI'!M6/'Norway TI'!M$5</f>
        <v>0.9388741448513811</v>
      </c>
      <c r="L16" s="101">
        <f>'Norway TI'!N6/'Norway TI'!N$5</f>
        <v>0.93956925888253284</v>
      </c>
      <c r="M16" s="101">
        <f>'Norway TI'!O6/'Norway TI'!O$5</f>
        <v>0.94055817784243168</v>
      </c>
      <c r="N16" s="101">
        <f>'Norway TI'!P6/'Norway TI'!P$5</f>
        <v>0.94158943803160855</v>
      </c>
      <c r="O16" s="101">
        <f>'Norway TI'!Q6/'Norway TI'!Q$5</f>
        <v>0.94264906475994437</v>
      </c>
      <c r="P16" s="101">
        <f>'Norway TI'!R6/'Norway TI'!R$5</f>
        <v>0.94359516388478559</v>
      </c>
    </row>
    <row r="17" spans="1:16">
      <c r="A17" s="4" t="str">
        <f t="shared" si="0"/>
        <v>Norway</v>
      </c>
      <c r="B17" s="4" t="s">
        <v>79</v>
      </c>
      <c r="C17" s="4" t="s">
        <v>80</v>
      </c>
      <c r="D17" s="4" t="s">
        <v>82</v>
      </c>
      <c r="E17" s="2" t="s">
        <v>84</v>
      </c>
      <c r="G17" s="101">
        <f>'Norway TI'!I7/'Norway TI'!I$5</f>
        <v>6.3901172469734965E-2</v>
      </c>
      <c r="H17" s="101">
        <f>'Norway TI'!J7/'Norway TI'!J$5</f>
        <v>6.4376030220462413E-2</v>
      </c>
      <c r="I17" s="101">
        <f>'Norway TI'!K7/'Norway TI'!K$5</f>
        <v>6.3930102156797119E-2</v>
      </c>
      <c r="J17" s="101">
        <f>'Norway TI'!L7/'Norway TI'!L$5</f>
        <v>6.2637171056646138E-2</v>
      </c>
      <c r="K17" s="101">
        <f>'Norway TI'!M7/'Norway TI'!M$5</f>
        <v>6.1125855148618791E-2</v>
      </c>
      <c r="L17" s="101">
        <f>'Norway TI'!N7/'Norway TI'!N$5</f>
        <v>6.0430741117467157E-2</v>
      </c>
      <c r="M17" s="101">
        <f>'Norway TI'!O7/'Norway TI'!O$5</f>
        <v>5.9441822157568332E-2</v>
      </c>
      <c r="N17" s="101">
        <f>'Norway TI'!P7/'Norway TI'!P$5</f>
        <v>5.8410561968391554E-2</v>
      </c>
      <c r="O17" s="101">
        <f>'Norway TI'!Q7/'Norway TI'!Q$5</f>
        <v>5.7350935240055634E-2</v>
      </c>
      <c r="P17" s="101">
        <f>'Norway TI'!R7/'Norway TI'!R$5</f>
        <v>5.6404836115214414E-2</v>
      </c>
    </row>
    <row r="18" spans="1:16">
      <c r="A18" s="4" t="str">
        <f t="shared" si="0"/>
        <v>Norway</v>
      </c>
      <c r="B18" s="4" t="s">
        <v>79</v>
      </c>
      <c r="C18" s="4" t="s">
        <v>80</v>
      </c>
      <c r="D18" s="2" t="s">
        <v>85</v>
      </c>
      <c r="E18" s="1"/>
      <c r="G18" s="101">
        <f>'Norway TI'!I8/'Norway TI'!I$3</f>
        <v>2.9652726494443071E-2</v>
      </c>
      <c r="H18" s="101">
        <f>'Norway TI'!J8/'Norway TI'!J$3</f>
        <v>2.9891860849336784E-2</v>
      </c>
      <c r="I18" s="101">
        <f>'Norway TI'!K8/'Norway TI'!K$3</f>
        <v>2.96673287411705E-2</v>
      </c>
      <c r="J18" s="101">
        <f>'Norway TI'!L8/'Norway TI'!L$3</f>
        <v>2.9487078633073555E-2</v>
      </c>
      <c r="K18" s="101">
        <f>'Norway TI'!M8/'Norway TI'!M$3</f>
        <v>2.9364894306940049E-2</v>
      </c>
      <c r="L18" s="101">
        <f>'Norway TI'!N8/'Norway TI'!N$3</f>
        <v>2.9293373874079029E-2</v>
      </c>
      <c r="M18" s="101">
        <f>'Norway TI'!O8/'Norway TI'!O$3</f>
        <v>2.9029051353909822E-2</v>
      </c>
      <c r="N18" s="101">
        <f>'Norway TI'!P8/'Norway TI'!P$3</f>
        <v>2.8785024397756577E-2</v>
      </c>
      <c r="O18" s="101">
        <f>'Norway TI'!Q8/'Norway TI'!Q$3</f>
        <v>2.8612138286631422E-2</v>
      </c>
      <c r="P18" s="101">
        <f>'Norway TI'!R8/'Norway TI'!R$3</f>
        <v>2.842698391244243E-2</v>
      </c>
    </row>
    <row r="19" spans="1:16">
      <c r="A19" s="4" t="str">
        <f t="shared" si="0"/>
        <v>Norway</v>
      </c>
      <c r="B19" s="4" t="s">
        <v>79</v>
      </c>
      <c r="C19" s="4" t="s">
        <v>80</v>
      </c>
      <c r="D19" s="2" t="s">
        <v>86</v>
      </c>
      <c r="E19" s="1"/>
      <c r="G19" s="101">
        <f>'Norway TI'!I9/'Norway TI'!I$3</f>
        <v>0.34922625872802565</v>
      </c>
      <c r="H19" s="101">
        <f>'Norway TI'!J9/'Norway TI'!J$3</f>
        <v>0.3488546407779361</v>
      </c>
      <c r="I19" s="101">
        <f>'Norway TI'!K9/'Norway TI'!K$3</f>
        <v>0.3492035666434945</v>
      </c>
      <c r="J19" s="101">
        <f>'Norway TI'!L9/'Norway TI'!L$3</f>
        <v>0.34948367769530969</v>
      </c>
      <c r="K19" s="101">
        <f>'Norway TI'!M9/'Norway TI'!M$3</f>
        <v>0.34967580087845945</v>
      </c>
      <c r="L19" s="101">
        <f>'Norway TI'!N9/'Norway TI'!N$3</f>
        <v>0.34978827680479424</v>
      </c>
      <c r="M19" s="101">
        <f>'Norway TI'!O9/'Norway TI'!O$3</f>
        <v>0.34967205389342859</v>
      </c>
      <c r="N19" s="101">
        <f>'Norway TI'!P9/'Norway TI'!P$3</f>
        <v>0.34978927387874137</v>
      </c>
      <c r="O19" s="101">
        <f>'Norway TI'!Q9/'Norway TI'!Q$3</f>
        <v>0.35021558038326844</v>
      </c>
      <c r="P19" s="101">
        <f>'Norway TI'!R9/'Norway TI'!R$3</f>
        <v>0.3507010060575419</v>
      </c>
    </row>
    <row r="20" spans="1:16">
      <c r="A20" s="4" t="str">
        <f t="shared" si="0"/>
        <v>Norway</v>
      </c>
      <c r="B20" s="4" t="s">
        <v>79</v>
      </c>
      <c r="C20" s="4" t="s">
        <v>80</v>
      </c>
      <c r="D20" s="4" t="s">
        <v>86</v>
      </c>
      <c r="E20" s="2" t="s">
        <v>87</v>
      </c>
      <c r="G20" s="101">
        <f>'Norway TI'!I10/'Norway TI'!I$9</f>
        <v>0.10495608795614313</v>
      </c>
      <c r="H20" s="101">
        <f>'Norway TI'!J10/'Norway TI'!J$9</f>
        <v>0.14772780506750371</v>
      </c>
      <c r="I20" s="101">
        <f>'Norway TI'!K10/'Norway TI'!K$9</f>
        <v>0.16787731965155137</v>
      </c>
      <c r="J20" s="101">
        <f>'Norway TI'!L10/'Norway TI'!L$9</f>
        <v>0.1865637771848595</v>
      </c>
      <c r="K20" s="101">
        <f>'Norway TI'!M10/'Norway TI'!M$9</f>
        <v>0.20431577706037821</v>
      </c>
      <c r="L20" s="101">
        <f>'Norway TI'!N10/'Norway TI'!N$9</f>
        <v>0.21841077009815243</v>
      </c>
      <c r="M20" s="101">
        <f>'Norway TI'!O10/'Norway TI'!O$9</f>
        <v>0.2316872172865784</v>
      </c>
      <c r="N20" s="101">
        <f>'Norway TI'!P10/'Norway TI'!P$9</f>
        <v>0.24484103169818303</v>
      </c>
      <c r="O20" s="101">
        <f>'Norway TI'!Q10/'Norway TI'!Q$9</f>
        <v>0.25681742978180522</v>
      </c>
      <c r="P20" s="101">
        <f>'Norway TI'!R10/'Norway TI'!R$9</f>
        <v>0.26784982911966554</v>
      </c>
    </row>
    <row r="21" spans="1:16">
      <c r="A21" s="4" t="str">
        <f t="shared" si="0"/>
        <v>Norway</v>
      </c>
      <c r="B21" s="4" t="s">
        <v>79</v>
      </c>
      <c r="C21" s="4" t="s">
        <v>80</v>
      </c>
      <c r="D21" s="4" t="s">
        <v>86</v>
      </c>
      <c r="E21" s="2" t="s">
        <v>88</v>
      </c>
      <c r="G21" s="101">
        <f>'Norway TI'!I11/'Norway TI'!I$9</f>
        <v>0.89504391204385703</v>
      </c>
      <c r="H21" s="101">
        <f>'Norway TI'!J11/'Norway TI'!J$9</f>
        <v>0.8522721949324964</v>
      </c>
      <c r="I21" s="101">
        <f>'Norway TI'!K11/'Norway TI'!K$9</f>
        <v>0.83212268034844872</v>
      </c>
      <c r="J21" s="101">
        <f>'Norway TI'!L11/'Norway TI'!L$9</f>
        <v>0.81343622281514039</v>
      </c>
      <c r="K21" s="101">
        <f>'Norway TI'!M11/'Norway TI'!M$9</f>
        <v>0.79568422293962182</v>
      </c>
      <c r="L21" s="101">
        <f>'Norway TI'!N11/'Norway TI'!N$9</f>
        <v>0.78158922990184754</v>
      </c>
      <c r="M21" s="101">
        <f>'Norway TI'!O11/'Norway TI'!O$9</f>
        <v>0.76831278271342163</v>
      </c>
      <c r="N21" s="101">
        <f>'Norway TI'!P11/'Norway TI'!P$9</f>
        <v>0.75515896830181706</v>
      </c>
      <c r="O21" s="101">
        <f>'Norway TI'!Q11/'Norway TI'!Q$9</f>
        <v>0.74318257021819478</v>
      </c>
      <c r="P21" s="101">
        <f>'Norway TI'!R11/'Norway TI'!R$9</f>
        <v>0.73215017088033441</v>
      </c>
    </row>
    <row r="22" spans="1:16">
      <c r="A22" s="4" t="str">
        <f t="shared" si="0"/>
        <v>Norway</v>
      </c>
      <c r="B22" s="4" t="s">
        <v>79</v>
      </c>
      <c r="C22" s="4" t="s">
        <v>80</v>
      </c>
      <c r="D22" s="2" t="s">
        <v>89</v>
      </c>
      <c r="E22" s="1"/>
      <c r="G22" s="101">
        <f>'Norway TI'!I12/'Norway TI'!I$3</f>
        <v>0.11989852881105906</v>
      </c>
      <c r="H22" s="101">
        <f>'Norway TI'!J12/'Norway TI'!J$3</f>
        <v>0.12067511117390865</v>
      </c>
      <c r="I22" s="101">
        <f>'Norway TI'!K12/'Norway TI'!K$3</f>
        <v>0.11994594921316541</v>
      </c>
      <c r="J22" s="101">
        <f>'Norway TI'!L12/'Norway TI'!L$3</f>
        <v>0.11936059185239638</v>
      </c>
      <c r="K22" s="101">
        <f>'Norway TI'!M12/'Norway TI'!M$3</f>
        <v>0.11907694037418572</v>
      </c>
      <c r="L22" s="101">
        <f>'Norway TI'!N12/'Norway TI'!N$3</f>
        <v>0.11887021781584652</v>
      </c>
      <c r="M22" s="101">
        <f>'Norway TI'!O12/'Norway TI'!O$3</f>
        <v>0.11912078362071454</v>
      </c>
      <c r="N22" s="101">
        <f>'Norway TI'!P12/'Norway TI'!P$3</f>
        <v>0.11923535213428128</v>
      </c>
      <c r="O22" s="101">
        <f>'Norway TI'!Q12/'Norway TI'!Q$3</f>
        <v>0.11896701428686574</v>
      </c>
      <c r="P22" s="101">
        <f>'Norway TI'!R12/'Norway TI'!R$3</f>
        <v>0.11870035576899518</v>
      </c>
    </row>
    <row r="24" spans="1:16">
      <c r="A24" s="4" t="str">
        <f>Home!$B$1</f>
        <v>Hungary</v>
      </c>
      <c r="B24" s="4" t="s">
        <v>79</v>
      </c>
      <c r="C24" s="2" t="s">
        <v>104</v>
      </c>
      <c r="D24" s="2"/>
    </row>
    <row r="25" spans="1:16">
      <c r="A25" s="4" t="str">
        <f>Home!$B$1</f>
        <v>Hungary</v>
      </c>
      <c r="B25" s="4" t="s">
        <v>79</v>
      </c>
      <c r="C25" s="4" t="s">
        <v>104</v>
      </c>
      <c r="D25" s="2" t="s">
        <v>90</v>
      </c>
      <c r="G25" s="101">
        <f>'Tourism Medium DB-LCU'!H175/'Tourism Medium DB-LCU'!H$174</f>
        <v>0.27022764845478731</v>
      </c>
      <c r="H25" s="101">
        <f>'Tourism Medium DB-LCU'!I175/'Tourism Medium DB-LCU'!I$174</f>
        <v>0.34654097976318204</v>
      </c>
      <c r="I25" s="101">
        <f>'Tourism Medium DB-LCU'!J175/'Tourism Medium DB-LCU'!J$174</f>
        <v>0.39148903311885475</v>
      </c>
      <c r="J25" s="101">
        <f>'Tourism Medium DB-LCU'!K175/'Tourism Medium DB-LCU'!K$174</f>
        <v>0.43638674890999751</v>
      </c>
      <c r="K25" s="101">
        <f>'Tourism Medium DB-LCU'!L175/'Tourism Medium DB-LCU'!L$174</f>
        <v>0.465446756121352</v>
      </c>
      <c r="L25" s="101">
        <f>'Tourism Medium DB-LCU'!M175/'Tourism Medium DB-LCU'!M$174</f>
        <v>0.48789476519113106</v>
      </c>
      <c r="M25" s="101">
        <f>'Tourism Medium DB-LCU'!N175/'Tourism Medium DB-LCU'!N$174</f>
        <v>0.50754250623338582</v>
      </c>
      <c r="N25" s="101">
        <f>'Tourism Medium DB-LCU'!O175/'Tourism Medium DB-LCU'!O$174</f>
        <v>0.52803807655303492</v>
      </c>
      <c r="O25" s="101">
        <f>'Tourism Medium DB-LCU'!P175/'Tourism Medium DB-LCU'!P$174</f>
        <v>0.54495263932753091</v>
      </c>
      <c r="P25" s="101">
        <f>'Tourism Medium DB-LCU'!Q175/'Tourism Medium DB-LCU'!Q$174</f>
        <v>0.5627852634615278</v>
      </c>
    </row>
    <row r="26" spans="1:16">
      <c r="A26" s="4" t="str">
        <f>Home!$B$1</f>
        <v>Hungary</v>
      </c>
      <c r="B26" s="4" t="s">
        <v>79</v>
      </c>
      <c r="C26" s="4" t="s">
        <v>104</v>
      </c>
      <c r="D26" s="2" t="s">
        <v>91</v>
      </c>
      <c r="G26" s="101">
        <f>'Tourism Medium DB-LCU'!H176/'Tourism Medium DB-LCU'!H$174</f>
        <v>0.72977235154521269</v>
      </c>
      <c r="H26" s="101">
        <f>'Tourism Medium DB-LCU'!I176/'Tourism Medium DB-LCU'!I$174</f>
        <v>0.65345902023681801</v>
      </c>
      <c r="I26" s="101">
        <f>'Tourism Medium DB-LCU'!J176/'Tourism Medium DB-LCU'!J$174</f>
        <v>0.60851096688114525</v>
      </c>
      <c r="J26" s="101">
        <f>'Tourism Medium DB-LCU'!K176/'Tourism Medium DB-LCU'!K$174</f>
        <v>0.56361325109000249</v>
      </c>
      <c r="K26" s="101">
        <f>'Tourism Medium DB-LCU'!L176/'Tourism Medium DB-LCU'!L$174</f>
        <v>0.534553243878648</v>
      </c>
      <c r="L26" s="101">
        <f>'Tourism Medium DB-LCU'!M176/'Tourism Medium DB-LCU'!M$174</f>
        <v>0.51210523480886894</v>
      </c>
      <c r="M26" s="101">
        <f>'Tourism Medium DB-LCU'!N176/'Tourism Medium DB-LCU'!N$174</f>
        <v>0.49245749376661418</v>
      </c>
      <c r="N26" s="101">
        <f>'Tourism Medium DB-LCU'!O176/'Tourism Medium DB-LCU'!O$174</f>
        <v>0.47196192344696508</v>
      </c>
      <c r="O26" s="101">
        <f>'Tourism Medium DB-LCU'!P176/'Tourism Medium DB-LCU'!P$174</f>
        <v>0.45504736067246909</v>
      </c>
      <c r="P26" s="101">
        <f>'Tourism Medium DB-LCU'!Q176/'Tourism Medium DB-LCU'!Q$174</f>
        <v>0.4372147365384722</v>
      </c>
    </row>
    <row r="28" spans="1:16">
      <c r="A28" s="4" t="str">
        <f t="shared" ref="A28:A30" si="1">$R$1</f>
        <v>Norway</v>
      </c>
      <c r="B28" s="4" t="s">
        <v>79</v>
      </c>
      <c r="C28" s="2" t="s">
        <v>104</v>
      </c>
      <c r="D28" s="2"/>
    </row>
    <row r="29" spans="1:16">
      <c r="A29" s="4" t="str">
        <f t="shared" si="1"/>
        <v>Norway</v>
      </c>
      <c r="B29" s="4" t="s">
        <v>79</v>
      </c>
      <c r="C29" s="4" t="s">
        <v>104</v>
      </c>
      <c r="D29" s="2" t="s">
        <v>90</v>
      </c>
      <c r="G29" s="101">
        <f>'Norway TI'!I14/'Norway TI'!I$13</f>
        <v>0.26871058095469025</v>
      </c>
      <c r="H29" s="101">
        <f>'Norway TI'!J14/'Norway TI'!J$13</f>
        <v>0.35945555043758637</v>
      </c>
      <c r="I29" s="101">
        <f>'Norway TI'!K14/'Norway TI'!K$13</f>
        <v>0.39785689597141799</v>
      </c>
      <c r="J29" s="101">
        <f>'Norway TI'!L14/'Norway TI'!L$13</f>
        <v>0.43376009058368525</v>
      </c>
      <c r="K29" s="101">
        <f>'Norway TI'!M14/'Norway TI'!M$13</f>
        <v>0.46765820555192222</v>
      </c>
      <c r="L29" s="101">
        <f>'Norway TI'!N14/'Norway TI'!N$13</f>
        <v>0.50007965655973341</v>
      </c>
      <c r="M29" s="101">
        <f>'Norway TI'!O14/'Norway TI'!O$13</f>
        <v>0.53007522174747834</v>
      </c>
      <c r="N29" s="101">
        <f>'Norway TI'!P14/'Norway TI'!P$13</f>
        <v>0.55696641993320362</v>
      </c>
      <c r="O29" s="101">
        <f>'Norway TI'!Q14/'Norway TI'!Q$13</f>
        <v>0.58221763384509873</v>
      </c>
      <c r="P29" s="101">
        <f>'Norway TI'!R14/'Norway TI'!R$13</f>
        <v>0.60392921873121497</v>
      </c>
    </row>
    <row r="30" spans="1:16">
      <c r="A30" s="4" t="str">
        <f t="shared" si="1"/>
        <v>Norway</v>
      </c>
      <c r="B30" s="4" t="s">
        <v>79</v>
      </c>
      <c r="C30" s="4" t="s">
        <v>104</v>
      </c>
      <c r="D30" s="2" t="s">
        <v>91</v>
      </c>
      <c r="G30" s="101">
        <f>'Norway TI'!I18/'Norway TI'!I13</f>
        <v>0.73128941904530986</v>
      </c>
      <c r="H30" s="101">
        <f>'Norway TI'!J18/'Norway TI'!J13</f>
        <v>0.64054444956241385</v>
      </c>
      <c r="I30" s="101">
        <f>'Norway TI'!K18/'Norway TI'!K13</f>
        <v>0.60214310402858207</v>
      </c>
      <c r="J30" s="101">
        <f>'Norway TI'!L18/'Norway TI'!L13</f>
        <v>0.56623990941631486</v>
      </c>
      <c r="K30" s="101">
        <f>'Norway TI'!M18/'Norway TI'!M13</f>
        <v>0.53234179444807783</v>
      </c>
      <c r="L30" s="101">
        <f>'Norway TI'!N18/'Norway TI'!N13</f>
        <v>0.4999203434402667</v>
      </c>
      <c r="M30" s="101">
        <f>'Norway TI'!O18/'Norway TI'!O13</f>
        <v>0.4699247782525216</v>
      </c>
      <c r="N30" s="101">
        <f>'Norway TI'!P18/'Norway TI'!P13</f>
        <v>0.44303358006679638</v>
      </c>
      <c r="O30" s="101">
        <f>'Norway TI'!Q18/'Norway TI'!Q13</f>
        <v>0.41778236615490122</v>
      </c>
      <c r="P30" s="101">
        <f>'Norway TI'!R18/'Norway TI'!R13</f>
        <v>0.39607078126878503</v>
      </c>
    </row>
    <row r="32" spans="1:16">
      <c r="A32" s="4" t="str">
        <f>Home!$B$1</f>
        <v>Hungary</v>
      </c>
      <c r="B32" s="4" t="s">
        <v>79</v>
      </c>
      <c r="C32" s="2" t="s">
        <v>105</v>
      </c>
      <c r="D32" s="2"/>
    </row>
    <row r="33" spans="1:16">
      <c r="A33" s="4" t="str">
        <f>Home!$B$1</f>
        <v>Hungary</v>
      </c>
      <c r="B33" s="4" t="s">
        <v>79</v>
      </c>
      <c r="C33" s="4" t="s">
        <v>92</v>
      </c>
      <c r="D33" s="2" t="s">
        <v>14</v>
      </c>
      <c r="G33" s="101">
        <f>'Tourism Medium DB-LCU'!H178/'Tourism Medium DB-LCU'!H$177</f>
        <v>0.54494427455213468</v>
      </c>
      <c r="H33" s="101">
        <f>'Tourism Medium DB-LCU'!I178/'Tourism Medium DB-LCU'!I$177</f>
        <v>0.55404624365674182</v>
      </c>
      <c r="I33" s="101">
        <f>'Tourism Medium DB-LCU'!J178/'Tourism Medium DB-LCU'!J$177</f>
        <v>0.55611621690719371</v>
      </c>
      <c r="J33" s="101">
        <f>'Tourism Medium DB-LCU'!K178/'Tourism Medium DB-LCU'!K$177</f>
        <v>0.55918482069488595</v>
      </c>
      <c r="K33" s="101">
        <f>'Tourism Medium DB-LCU'!L178/'Tourism Medium DB-LCU'!L$177</f>
        <v>0.57478160383390253</v>
      </c>
      <c r="L33" s="101">
        <f>'Tourism Medium DB-LCU'!M178/'Tourism Medium DB-LCU'!M$177</f>
        <v>0.5824927862882423</v>
      </c>
      <c r="M33" s="101">
        <f>'Tourism Medium DB-LCU'!N178/'Tourism Medium DB-LCU'!N$177</f>
        <v>0.58982976581172786</v>
      </c>
      <c r="N33" s="101">
        <f>'Tourism Medium DB-LCU'!O178/'Tourism Medium DB-LCU'!O$177</f>
        <v>0.59857278473419839</v>
      </c>
      <c r="O33" s="101">
        <f>'Tourism Medium DB-LCU'!P178/'Tourism Medium DB-LCU'!P$177</f>
        <v>0.60884587108813648</v>
      </c>
      <c r="P33" s="101">
        <f>'Tourism Medium DB-LCU'!Q178/'Tourism Medium DB-LCU'!Q$177</f>
        <v>0.61767282058582507</v>
      </c>
    </row>
    <row r="34" spans="1:16">
      <c r="A34" s="4" t="str">
        <f>Home!$B$1</f>
        <v>Hungary</v>
      </c>
      <c r="B34" s="4" t="s">
        <v>79</v>
      </c>
      <c r="C34" s="4" t="s">
        <v>92</v>
      </c>
      <c r="D34" s="2" t="s">
        <v>15</v>
      </c>
      <c r="G34" s="101">
        <f>'Tourism Medium DB-LCU'!H179/'Tourism Medium DB-LCU'!H$177</f>
        <v>0.45505572544786532</v>
      </c>
      <c r="H34" s="101">
        <f>'Tourism Medium DB-LCU'!I179/'Tourism Medium DB-LCU'!I$177</f>
        <v>0.44595375634325818</v>
      </c>
      <c r="I34" s="101">
        <f>'Tourism Medium DB-LCU'!J179/'Tourism Medium DB-LCU'!J$177</f>
        <v>0.44388378309280629</v>
      </c>
      <c r="J34" s="101">
        <f>'Tourism Medium DB-LCU'!K179/'Tourism Medium DB-LCU'!K$177</f>
        <v>0.44081517930511405</v>
      </c>
      <c r="K34" s="101">
        <f>'Tourism Medium DB-LCU'!L179/'Tourism Medium DB-LCU'!L$177</f>
        <v>0.42521839616609747</v>
      </c>
      <c r="L34" s="101">
        <f>'Tourism Medium DB-LCU'!M179/'Tourism Medium DB-LCU'!M$177</f>
        <v>0.4175072137117577</v>
      </c>
      <c r="M34" s="101">
        <f>'Tourism Medium DB-LCU'!N179/'Tourism Medium DB-LCU'!N$177</f>
        <v>0.41017023418827214</v>
      </c>
      <c r="N34" s="101">
        <f>'Tourism Medium DB-LCU'!O179/'Tourism Medium DB-LCU'!O$177</f>
        <v>0.40142721526580161</v>
      </c>
      <c r="O34" s="101">
        <f>'Tourism Medium DB-LCU'!P179/'Tourism Medium DB-LCU'!P$177</f>
        <v>0.39115412891186352</v>
      </c>
      <c r="P34" s="101">
        <f>'Tourism Medium DB-LCU'!Q179/'Tourism Medium DB-LCU'!Q$177</f>
        <v>0.38232717941417482</v>
      </c>
    </row>
    <row r="36" spans="1:16">
      <c r="A36" s="4" t="str">
        <f t="shared" ref="A36:A38" si="2">$R$1</f>
        <v>Norway</v>
      </c>
      <c r="B36" s="4" t="s">
        <v>79</v>
      </c>
      <c r="C36" s="2" t="s">
        <v>105</v>
      </c>
      <c r="D36" s="2"/>
    </row>
    <row r="37" spans="1:16">
      <c r="A37" s="4" t="str">
        <f t="shared" si="2"/>
        <v>Norway</v>
      </c>
      <c r="B37" s="4" t="s">
        <v>79</v>
      </c>
      <c r="C37" s="4" t="s">
        <v>92</v>
      </c>
      <c r="D37" s="2" t="s">
        <v>14</v>
      </c>
      <c r="G37" s="101">
        <f>(SUM('Norway TI'!I33,'Norway TI'!I40,'Norway TI'!I47))/'Norway TI'!I31</f>
        <v>0.11285120722185209</v>
      </c>
      <c r="H37" s="101">
        <f>(SUM('Norway TI'!J33,'Norway TI'!J40,'Norway TI'!J47))/'Norway TI'!J31</f>
        <v>0.1225756449371203</v>
      </c>
      <c r="I37" s="101">
        <f>(SUM('Norway TI'!K33,'Norway TI'!K40,'Norway TI'!K47))/'Norway TI'!K31</f>
        <v>0.11430609646984624</v>
      </c>
      <c r="J37" s="101">
        <f>(SUM('Norway TI'!L33,'Norway TI'!L40,'Norway TI'!L47))/'Norway TI'!L31</f>
        <v>0.10762598135043533</v>
      </c>
      <c r="K37" s="101">
        <f>(SUM('Norway TI'!M33,'Norway TI'!M40,'Norway TI'!M47))/'Norway TI'!M31</f>
        <v>0.10547032511058456</v>
      </c>
      <c r="L37" s="101">
        <f>(SUM('Norway TI'!N33,'Norway TI'!N40,'Norway TI'!N47))/'Norway TI'!N31</f>
        <v>0.10409402474555242</v>
      </c>
      <c r="M37" s="101">
        <f>(SUM('Norway TI'!O33,'Norway TI'!O40,'Norway TI'!O47))/'Norway TI'!O31</f>
        <v>0.10135873119106528</v>
      </c>
      <c r="N37" s="101">
        <f>(SUM('Norway TI'!P33,'Norway TI'!P40,'Norway TI'!P47))/'Norway TI'!P31</f>
        <v>9.8755496578024377E-2</v>
      </c>
      <c r="O37" s="101">
        <f>(SUM('Norway TI'!Q33,'Norway TI'!Q40,'Norway TI'!Q47))/'Norway TI'!Q31</f>
        <v>9.6710078842698402E-2</v>
      </c>
      <c r="P37" s="101">
        <f>(SUM('Norway TI'!R33,'Norway TI'!R40,'Norway TI'!R47))/'Norway TI'!R31</f>
        <v>9.489034876952912E-2</v>
      </c>
    </row>
    <row r="38" spans="1:16">
      <c r="A38" s="4" t="str">
        <f t="shared" si="2"/>
        <v>Norway</v>
      </c>
      <c r="B38" s="4" t="s">
        <v>79</v>
      </c>
      <c r="C38" s="4" t="s">
        <v>92</v>
      </c>
      <c r="D38" s="2" t="s">
        <v>15</v>
      </c>
      <c r="G38" s="101">
        <f>1-G37</f>
        <v>0.88714879277814795</v>
      </c>
      <c r="H38" s="101">
        <f t="shared" ref="H38:O38" si="3">1-H37</f>
        <v>0.87742435506287975</v>
      </c>
      <c r="I38" s="101">
        <f t="shared" si="3"/>
        <v>0.88569390353015376</v>
      </c>
      <c r="J38" s="101">
        <f t="shared" si="3"/>
        <v>0.89237401864956467</v>
      </c>
      <c r="K38" s="101">
        <f t="shared" si="3"/>
        <v>0.89452967488941548</v>
      </c>
      <c r="L38" s="101">
        <f t="shared" si="3"/>
        <v>0.8959059752544476</v>
      </c>
      <c r="M38" s="101">
        <f t="shared" si="3"/>
        <v>0.89864126880893469</v>
      </c>
      <c r="N38" s="101">
        <f t="shared" si="3"/>
        <v>0.9012445034219756</v>
      </c>
      <c r="O38" s="101">
        <f t="shared" si="3"/>
        <v>0.90328992115730156</v>
      </c>
      <c r="P38" s="101">
        <f t="shared" ref="P38" si="4">1-P37</f>
        <v>0.90510965123047082</v>
      </c>
    </row>
    <row r="40" spans="1:16">
      <c r="A40" s="4" t="str">
        <f>Home!$B$1</f>
        <v>Hungary</v>
      </c>
      <c r="B40" s="4" t="s">
        <v>79</v>
      </c>
      <c r="C40" s="2" t="s">
        <v>75</v>
      </c>
      <c r="D40" s="2"/>
    </row>
    <row r="41" spans="1:16">
      <c r="A41" s="4" t="str">
        <f>Home!$B$1</f>
        <v>Hungary</v>
      </c>
      <c r="B41" s="4" t="s">
        <v>79</v>
      </c>
      <c r="C41" s="4" t="s">
        <v>75</v>
      </c>
      <c r="D41" s="2" t="s">
        <v>19</v>
      </c>
      <c r="G41" s="444" t="e">
        <f>'Tourism Medium DB-LCU'!H181/'Tourism Medium DB-LCU'!H$180</f>
        <v>#VALUE!</v>
      </c>
      <c r="H41" s="444" t="e">
        <f>'Tourism Medium DB-LCU'!I181/'Tourism Medium DB-LCU'!I$180</f>
        <v>#VALUE!</v>
      </c>
      <c r="I41" s="444" t="e">
        <f>'Tourism Medium DB-LCU'!J181/'Tourism Medium DB-LCU'!J$180</f>
        <v>#VALUE!</v>
      </c>
      <c r="J41" s="444" t="e">
        <f>'Tourism Medium DB-LCU'!K181/'Tourism Medium DB-LCU'!K$180</f>
        <v>#VALUE!</v>
      </c>
      <c r="K41" s="444">
        <f>'Tourism Medium DB-LCU'!L181/'Tourism Medium DB-LCU'!L$180</f>
        <v>0.63362296548246388</v>
      </c>
      <c r="L41" s="444" t="e">
        <f>'Tourism Medium DB-LCU'!M181/'Tourism Medium DB-LCU'!M$180</f>
        <v>#VALUE!</v>
      </c>
      <c r="M41" s="444" t="e">
        <f>'Tourism Medium DB-LCU'!N181/'Tourism Medium DB-LCU'!N$180</f>
        <v>#VALUE!</v>
      </c>
      <c r="N41" s="444" t="e">
        <f>'Tourism Medium DB-LCU'!O181/'Tourism Medium DB-LCU'!O$180</f>
        <v>#VALUE!</v>
      </c>
      <c r="O41" s="444" t="e">
        <f>'Tourism Medium DB-LCU'!P181/'Tourism Medium DB-LCU'!P$180</f>
        <v>#VALUE!</v>
      </c>
      <c r="P41" s="444" t="e">
        <f>'Tourism Medium DB-LCU'!Q181/'Tourism Medium DB-LCU'!Q$180</f>
        <v>#VALUE!</v>
      </c>
    </row>
    <row r="42" spans="1:16">
      <c r="A42" s="4" t="str">
        <f>Home!$B$1</f>
        <v>Hungary</v>
      </c>
      <c r="B42" s="4" t="s">
        <v>79</v>
      </c>
      <c r="C42" s="4" t="s">
        <v>75</v>
      </c>
      <c r="D42" s="2" t="s">
        <v>20</v>
      </c>
      <c r="G42" s="444" t="e">
        <f>'Tourism Medium DB-LCU'!H182/'Tourism Medium DB-LCU'!H$180</f>
        <v>#VALUE!</v>
      </c>
      <c r="H42" s="444" t="e">
        <f>'Tourism Medium DB-LCU'!I182/'Tourism Medium DB-LCU'!I$180</f>
        <v>#VALUE!</v>
      </c>
      <c r="I42" s="444" t="e">
        <f>'Tourism Medium DB-LCU'!J182/'Tourism Medium DB-LCU'!J$180</f>
        <v>#VALUE!</v>
      </c>
      <c r="J42" s="444" t="e">
        <f>'Tourism Medium DB-LCU'!K182/'Tourism Medium DB-LCU'!K$180</f>
        <v>#VALUE!</v>
      </c>
      <c r="K42" s="444">
        <f>'Tourism Medium DB-LCU'!L182/'Tourism Medium DB-LCU'!L$180</f>
        <v>0.36637703451753612</v>
      </c>
      <c r="L42" s="444" t="e">
        <f>'Tourism Medium DB-LCU'!M182/'Tourism Medium DB-LCU'!M$180</f>
        <v>#VALUE!</v>
      </c>
      <c r="M42" s="444" t="e">
        <f>'Tourism Medium DB-LCU'!N182/'Tourism Medium DB-LCU'!N$180</f>
        <v>#VALUE!</v>
      </c>
      <c r="N42" s="444" t="e">
        <f>'Tourism Medium DB-LCU'!O182/'Tourism Medium DB-LCU'!O$180</f>
        <v>#VALUE!</v>
      </c>
      <c r="O42" s="444" t="e">
        <f>'Tourism Medium DB-LCU'!P182/'Tourism Medium DB-LCU'!P$180</f>
        <v>#VALUE!</v>
      </c>
      <c r="P42" s="444" t="e">
        <f>'Tourism Medium DB-LCU'!Q182/'Tourism Medium DB-LCU'!Q$180</f>
        <v>#VALUE!</v>
      </c>
    </row>
    <row r="44" spans="1:16">
      <c r="A44" s="4" t="str">
        <f t="shared" ref="A44:A46" si="5">$R$1</f>
        <v>Norway</v>
      </c>
      <c r="B44" s="4" t="s">
        <v>79</v>
      </c>
      <c r="C44" s="2" t="s">
        <v>75</v>
      </c>
      <c r="D44" s="2"/>
    </row>
    <row r="45" spans="1:16">
      <c r="A45" s="4" t="str">
        <f t="shared" si="5"/>
        <v>Norway</v>
      </c>
      <c r="B45" s="4" t="s">
        <v>79</v>
      </c>
      <c r="C45" s="4" t="s">
        <v>75</v>
      </c>
      <c r="D45" s="2" t="s">
        <v>19</v>
      </c>
      <c r="G45" s="101">
        <f>(SUM('Norway TI'!I24,'Norway TI'!I28))/'Norway TI'!I22</f>
        <v>0.22029214277430115</v>
      </c>
      <c r="H45" s="101">
        <f>(SUM('Norway TI'!J24,'Norway TI'!J28))/'Norway TI'!J22</f>
        <v>0.15292492249520218</v>
      </c>
      <c r="I45" s="101">
        <f>(SUM('Norway TI'!K24,'Norway TI'!K28))/'Norway TI'!K22</f>
        <v>0.16275623050869911</v>
      </c>
      <c r="J45" s="101">
        <f>(SUM('Norway TI'!L24,'Norway TI'!L28))/'Norway TI'!L22</f>
        <v>0.14784038781533793</v>
      </c>
      <c r="K45" s="101">
        <f>(SUM('Norway TI'!M24,'Norway TI'!M28))/'Norway TI'!M22</f>
        <v>0.13892353647675856</v>
      </c>
      <c r="L45" s="101">
        <f>(SUM('Norway TI'!N24,'Norway TI'!N28))/'Norway TI'!N22</f>
        <v>0.12652776087507986</v>
      </c>
      <c r="M45" s="101">
        <f>(SUM('Norway TI'!O24,'Norway TI'!O28))/'Norway TI'!O22</f>
        <v>0.12078399799027638</v>
      </c>
      <c r="N45" s="101">
        <f>(SUM('Norway TI'!P24,'Norway TI'!P28))/'Norway TI'!P22</f>
        <v>0.11530893507073291</v>
      </c>
      <c r="O45" s="101">
        <f>(SUM('Norway TI'!Q24,'Norway TI'!Q28))/'Norway TI'!Q22</f>
        <v>0.11146159189850045</v>
      </c>
      <c r="P45" s="101">
        <f>(SUM('Norway TI'!R24,'Norway TI'!R28))/'Norway TI'!R22</f>
        <v>0.10850041893140504</v>
      </c>
    </row>
    <row r="46" spans="1:16">
      <c r="A46" s="4" t="str">
        <f t="shared" si="5"/>
        <v>Norway</v>
      </c>
      <c r="B46" s="4" t="s">
        <v>79</v>
      </c>
      <c r="C46" s="4" t="s">
        <v>75</v>
      </c>
      <c r="D46" s="2" t="s">
        <v>20</v>
      </c>
      <c r="G46" s="101">
        <f>1-G45</f>
        <v>0.7797078572256988</v>
      </c>
      <c r="H46" s="101">
        <f t="shared" ref="H46:O46" si="6">1-H45</f>
        <v>0.84707507750479782</v>
      </c>
      <c r="I46" s="101">
        <f t="shared" si="6"/>
        <v>0.83724376949130086</v>
      </c>
      <c r="J46" s="101">
        <f t="shared" si="6"/>
        <v>0.85215961218466207</v>
      </c>
      <c r="K46" s="101">
        <f t="shared" si="6"/>
        <v>0.86107646352324141</v>
      </c>
      <c r="L46" s="101">
        <f t="shared" si="6"/>
        <v>0.87347223912492011</v>
      </c>
      <c r="M46" s="101">
        <f t="shared" si="6"/>
        <v>0.87921600200972361</v>
      </c>
      <c r="N46" s="101">
        <f t="shared" si="6"/>
        <v>0.88469106492926708</v>
      </c>
      <c r="O46" s="101">
        <f t="shared" si="6"/>
        <v>0.88853840810149953</v>
      </c>
      <c r="P46" s="101">
        <f t="shared" ref="P46" si="7">1-P45</f>
        <v>0.89149958106859495</v>
      </c>
    </row>
    <row r="48" spans="1:16">
      <c r="A48" s="4" t="str">
        <f>Home!$B$1</f>
        <v>Hungary</v>
      </c>
      <c r="B48" s="4" t="s">
        <v>79</v>
      </c>
      <c r="C48" s="2" t="s">
        <v>579</v>
      </c>
      <c r="F48" t="s">
        <v>176</v>
      </c>
      <c r="G48" s="85">
        <f>'TI working sheet'!F44</f>
        <v>82.01</v>
      </c>
      <c r="H48" s="85">
        <f>'TI working sheet'!G44</f>
        <v>90</v>
      </c>
      <c r="I48" s="85">
        <f>'TI working sheet'!H44</f>
        <v>91</v>
      </c>
      <c r="J48" s="85">
        <f>'TI working sheet'!I44</f>
        <v>90</v>
      </c>
      <c r="K48" s="85">
        <f>'TI working sheet'!J44</f>
        <v>91</v>
      </c>
      <c r="L48" s="85">
        <f>'TI working sheet'!K44</f>
        <v>93.677930980553072</v>
      </c>
      <c r="M48" s="85">
        <f>'TI working sheet'!L44</f>
        <v>93.598134352434698</v>
      </c>
      <c r="N48" s="85">
        <f>'TI working sheet'!M44</f>
        <v>93.898880005000564</v>
      </c>
      <c r="O48" s="85">
        <f>'TI working sheet'!N44</f>
        <v>95.393605022953366</v>
      </c>
      <c r="P48" s="85">
        <f>'TI working sheet'!O44</f>
        <v>96.187381566708638</v>
      </c>
    </row>
    <row r="49" spans="1:16">
      <c r="A49" s="4" t="str">
        <f t="shared" ref="A49" si="8">$R$1</f>
        <v>Norway</v>
      </c>
      <c r="B49" s="4" t="s">
        <v>79</v>
      </c>
      <c r="C49" s="2" t="s">
        <v>579</v>
      </c>
      <c r="F49" t="s">
        <v>176</v>
      </c>
      <c r="G49" s="85">
        <f>'TI working sheet'!F53</f>
        <v>88.994103656776275</v>
      </c>
      <c r="H49" s="85">
        <f>'TI working sheet'!G53</f>
        <v>89.628159598913726</v>
      </c>
      <c r="I49" s="85">
        <f>'TI working sheet'!H53</f>
        <v>91.249225686557907</v>
      </c>
      <c r="J49" s="85">
        <f>'TI working sheet'!I53</f>
        <v>92.442950285248585</v>
      </c>
      <c r="K49" s="85">
        <f>'TI working sheet'!J53</f>
        <v>92.974059923587376</v>
      </c>
      <c r="L49" s="85">
        <f>'TI working sheet'!K53</f>
        <v>93.632028611166305</v>
      </c>
      <c r="M49" s="85">
        <f>'TI working sheet'!L53</f>
        <v>94.694810081179654</v>
      </c>
      <c r="N49" s="85">
        <f>'TI working sheet'!M53</f>
        <v>95.231805150758774</v>
      </c>
      <c r="O49" s="85">
        <f>'TI working sheet'!N53</f>
        <v>95.868489917484411</v>
      </c>
      <c r="P49" s="85">
        <f>'TI working sheet'!O53</f>
        <v>96.639047140842109</v>
      </c>
    </row>
    <row r="51" spans="1:16">
      <c r="A51" s="4" t="str">
        <f>Home!$B$1</f>
        <v>Hungary</v>
      </c>
      <c r="B51" s="4" t="s">
        <v>79</v>
      </c>
      <c r="C51" s="2" t="s">
        <v>586</v>
      </c>
      <c r="F51" t="s">
        <v>396</v>
      </c>
      <c r="G51" s="266">
        <f>'Tourism Medium DB-US$'!G165</f>
        <v>326.79143539773776</v>
      </c>
      <c r="H51" s="266">
        <f>'Tourism Medium DB-US$'!H165</f>
        <v>261.37299544069242</v>
      </c>
      <c r="I51" s="266">
        <f>'Tourism Medium DB-US$'!I165</f>
        <v>267.54714128764459</v>
      </c>
      <c r="J51" s="266">
        <f>'Tourism Medium DB-US$'!J165</f>
        <v>287.49690902209045</v>
      </c>
      <c r="K51" s="266">
        <f>'Tourism Medium DB-US$'!K165</f>
        <v>265.17786642455695</v>
      </c>
      <c r="L51" s="266">
        <f>'Tourism Medium DB-US$'!L165</f>
        <v>271.3748775279272</v>
      </c>
      <c r="M51" s="266">
        <f>'Tourism Medium DB-US$'!M165</f>
        <v>267.50928867840361</v>
      </c>
      <c r="N51" s="266">
        <f>'Tourism Medium DB-US$'!N165</f>
        <v>268.41617510001021</v>
      </c>
      <c r="O51" s="266">
        <f>'Tourism Medium DB-US$'!O165</f>
        <v>283.00921678682482</v>
      </c>
      <c r="P51" s="266">
        <f>'Tourism Medium DB-US$'!P165</f>
        <v>286.56349665152533</v>
      </c>
    </row>
    <row r="52" spans="1:16">
      <c r="A52" s="4" t="str">
        <f t="shared" ref="A52" si="9">$R$1</f>
        <v>Norway</v>
      </c>
      <c r="B52" s="4" t="s">
        <v>79</v>
      </c>
      <c r="C52" s="2" t="s">
        <v>586</v>
      </c>
      <c r="F52" t="s">
        <v>396</v>
      </c>
      <c r="G52" s="266">
        <f>'Norway TI'!H3</f>
        <v>5318.302642113691</v>
      </c>
      <c r="H52" s="266">
        <f>'Norway TI'!I3</f>
        <v>6061.2575061525849</v>
      </c>
      <c r="I52" s="266">
        <f>'Norway TI'!J3</f>
        <v>5077.8359511343806</v>
      </c>
      <c r="J52" s="266">
        <f>'Norway TI'!K3</f>
        <v>5565.2515612489988</v>
      </c>
      <c r="K52" s="266">
        <f>'Norway TI'!L3</f>
        <v>6289.3207326578331</v>
      </c>
      <c r="L52" s="266">
        <f>'Norway TI'!M3</f>
        <v>6324.5575121625043</v>
      </c>
      <c r="M52" s="266">
        <f>'Norway TI'!N3</f>
        <v>6633.5921211010136</v>
      </c>
      <c r="N52" s="266">
        <f>'Norway TI'!O3</f>
        <v>6985.4119992814867</v>
      </c>
      <c r="O52" s="266">
        <f>'Norway TI'!P3</f>
        <v>7372.1209456577544</v>
      </c>
      <c r="P52" s="266">
        <f>'Norway TI'!Q3</f>
        <v>7810.351515920087</v>
      </c>
    </row>
    <row r="54" spans="1:16">
      <c r="A54" s="4"/>
      <c r="B54" s="4"/>
      <c r="C54" s="2"/>
      <c r="G54" s="101"/>
      <c r="H54" s="101"/>
      <c r="I54" s="101"/>
      <c r="J54" s="101"/>
      <c r="K54" s="101"/>
      <c r="L54" s="101"/>
      <c r="M54" s="101"/>
      <c r="N54" s="101"/>
      <c r="O54" s="101"/>
      <c r="P54" s="101"/>
    </row>
    <row r="55" spans="1:16">
      <c r="A55" s="4"/>
      <c r="B55" s="4"/>
      <c r="C55" s="2"/>
      <c r="G55" s="101"/>
      <c r="H55" s="101"/>
      <c r="I55" s="101"/>
      <c r="J55" s="101"/>
      <c r="K55" s="101"/>
      <c r="L55" s="101"/>
      <c r="M55" s="101"/>
      <c r="N55" s="101"/>
      <c r="O55" s="101"/>
      <c r="P55" s="101"/>
    </row>
    <row r="57" spans="1:16">
      <c r="A57" s="4"/>
      <c r="B57" s="4"/>
      <c r="C57" s="2"/>
      <c r="G57" s="101"/>
      <c r="H57" s="101"/>
      <c r="I57" s="101"/>
      <c r="J57" s="101"/>
      <c r="K57" s="101"/>
      <c r="L57" s="101"/>
      <c r="M57" s="101"/>
      <c r="N57" s="101"/>
      <c r="O57" s="101"/>
    </row>
    <row r="58" spans="1:16">
      <c r="A58" s="4"/>
      <c r="B58" s="4"/>
      <c r="C58" s="2"/>
      <c r="G58" s="444"/>
      <c r="H58" s="444"/>
      <c r="I58" s="444"/>
      <c r="J58" s="444"/>
      <c r="K58" s="444"/>
      <c r="L58" s="444"/>
      <c r="M58" s="444"/>
      <c r="N58" s="444"/>
      <c r="O58" s="444"/>
    </row>
    <row r="60" spans="1:16">
      <c r="A60" s="4"/>
      <c r="B60" s="4"/>
      <c r="C60" s="2"/>
      <c r="G60" s="444"/>
      <c r="H60" s="444"/>
      <c r="I60" s="444"/>
      <c r="J60" s="444"/>
      <c r="K60" s="444"/>
      <c r="L60" s="444"/>
      <c r="M60" s="444"/>
      <c r="N60" s="444"/>
      <c r="O60" s="444"/>
    </row>
    <row r="61" spans="1:16">
      <c r="A61" s="4"/>
      <c r="B61" s="4"/>
      <c r="C61" s="2"/>
      <c r="G61" s="444"/>
      <c r="H61" s="444"/>
      <c r="I61" s="444"/>
      <c r="J61" s="444"/>
      <c r="K61" s="444"/>
      <c r="L61" s="444"/>
      <c r="M61" s="444"/>
      <c r="N61" s="444"/>
      <c r="O61" s="444"/>
      <c r="P61" s="444"/>
    </row>
  </sheetData>
  <customSheetViews>
    <customSheetView guid="{BD5E9955-DC4B-4EA0-9160-9EF1C693DE04}">
      <pane ySplit="1" topLeftCell="A2" activePane="bottomLeft" state="frozen"/>
      <selection pane="bottomLeft" activeCell="A2" sqref="A2"/>
      <pageMargins left="0.7" right="0.7" top="0.75" bottom="0.75" header="0.3" footer="0.3"/>
    </customSheetView>
    <customSheetView guid="{1ACDCC85-59E3-4410-927D-E7E5C71B61F5}" state="hidden">
      <pane ySplit="1" topLeftCell="A41" activePane="bottomLeft" state="frozen"/>
      <selection pane="bottomLeft" activeCell="G60" sqref="G60"/>
      <pageMargins left="0.7" right="0.7" top="0.75" bottom="0.75" header="0.3" footer="0.3"/>
    </customSheetView>
    <customSheetView guid="{9144D9B3-2327-4B3A-89B1-6A595780C3C5}" state="hidden">
      <pane ySplit="1" topLeftCell="A41" activePane="bottomLeft" state="frozen"/>
      <selection pane="bottomLeft" activeCell="G60" sqref="G60"/>
      <pageMargins left="0.7" right="0.7" top="0.75" bottom="0.75" header="0.3" footer="0.3"/>
    </customSheetView>
    <customSheetView guid="{513032B5-C585-49C2-98E7-9FDE6F7A4BA7}">
      <pane ySplit="1" topLeftCell="A2" activePane="bottomLeft" state="frozen"/>
      <selection pane="bottomLeft"/>
      <pageMargins left="0.7" right="0.7" top="0.75" bottom="0.75" header="0.3" footer="0.3"/>
    </customSheetView>
    <customSheetView guid="{AF983ECA-536A-40E6-8A04-FF0A375E9ACC}">
      <pane ySplit="1" topLeftCell="A41" activePane="bottomLeft" state="frozen"/>
      <selection pane="bottomLeft" activeCell="G60" sqref="G60"/>
      <pageMargins left="0.7" right="0.7" top="0.75" bottom="0.75" header="0.3" footer="0.3"/>
    </customSheetView>
  </customSheetViews>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AH293"/>
  <sheetViews>
    <sheetView showGridLines="0" workbookViewId="0">
      <pane ySplit="1" topLeftCell="A17" activePane="bottomLeft" state="frozen"/>
      <selection pane="bottomLeft" activeCell="V14" sqref="V14:AA14"/>
    </sheetView>
  </sheetViews>
  <sheetFormatPr defaultRowHeight="15" customHeight="1"/>
  <cols>
    <col min="1" max="1" width="11.5703125" style="1" customWidth="1"/>
    <col min="2" max="2" width="34.140625" style="1" bestFit="1" customWidth="1"/>
    <col min="3" max="3" width="17.42578125" style="1" customWidth="1"/>
    <col min="4" max="4" width="33.42578125" style="1" customWidth="1"/>
    <col min="5" max="5" width="15.28515625" style="1" customWidth="1"/>
    <col min="6" max="7" width="9.85546875" style="1" customWidth="1"/>
    <col min="8" max="8" width="14" style="60" customWidth="1"/>
    <col min="9" max="9" width="10.42578125" style="60" bestFit="1" customWidth="1"/>
    <col min="10" max="10" width="11.5703125" style="60" bestFit="1" customWidth="1"/>
    <col min="11" max="11" width="10.7109375" style="1" customWidth="1"/>
    <col min="12" max="12" width="10.28515625" style="1" customWidth="1"/>
    <col min="13" max="13" width="11" style="1" customWidth="1"/>
    <col min="14" max="14" width="10.85546875" style="1" customWidth="1"/>
    <col min="15" max="15" width="10.28515625" style="1" customWidth="1"/>
    <col min="16" max="16" width="10.7109375" style="1" customWidth="1"/>
    <col min="17" max="18" width="10.5703125" style="1" customWidth="1"/>
    <col min="19" max="20" width="12.85546875" style="19" customWidth="1"/>
    <col min="21" max="16384" width="9.140625" style="6"/>
  </cols>
  <sheetData>
    <row r="1" spans="1:34" ht="15" customHeight="1">
      <c r="A1" s="3" t="s">
        <v>106</v>
      </c>
      <c r="B1" s="3" t="s">
        <v>0</v>
      </c>
      <c r="C1" s="3" t="s">
        <v>1</v>
      </c>
      <c r="D1" s="3" t="s">
        <v>2</v>
      </c>
      <c r="E1" s="3" t="s">
        <v>3</v>
      </c>
      <c r="F1" s="3" t="s">
        <v>329</v>
      </c>
      <c r="G1" s="3" t="s">
        <v>163</v>
      </c>
      <c r="H1" s="470">
        <v>2007</v>
      </c>
      <c r="I1" s="470">
        <v>2008</v>
      </c>
      <c r="J1" s="470">
        <v>2009</v>
      </c>
      <c r="K1" s="3">
        <v>2010</v>
      </c>
      <c r="L1" s="3">
        <v>2011</v>
      </c>
      <c r="M1" s="3">
        <v>2012</v>
      </c>
      <c r="N1" s="3">
        <v>2013</v>
      </c>
      <c r="O1" s="3">
        <v>2014</v>
      </c>
      <c r="P1" s="3">
        <v>2015</v>
      </c>
      <c r="Q1" s="3">
        <v>2016</v>
      </c>
      <c r="R1" s="3">
        <v>2017</v>
      </c>
      <c r="S1" s="7" t="s">
        <v>164</v>
      </c>
      <c r="T1" s="7" t="s">
        <v>801</v>
      </c>
      <c r="U1" s="1"/>
      <c r="V1" s="470">
        <v>2007</v>
      </c>
      <c r="W1" s="470">
        <v>2008</v>
      </c>
      <c r="X1" s="470">
        <v>2009</v>
      </c>
      <c r="Y1" s="3">
        <v>2010</v>
      </c>
      <c r="Z1" s="3">
        <v>2011</v>
      </c>
      <c r="AA1" s="3">
        <v>2012</v>
      </c>
      <c r="AB1" s="3">
        <v>2013</v>
      </c>
      <c r="AC1" s="3">
        <v>2014</v>
      </c>
      <c r="AD1" s="3">
        <v>2015</v>
      </c>
      <c r="AE1" s="3">
        <v>2016</v>
      </c>
      <c r="AF1" s="3">
        <v>2017</v>
      </c>
    </row>
    <row r="2" spans="1:34" ht="15" customHeight="1">
      <c r="A2" s="471" t="s">
        <v>139</v>
      </c>
      <c r="B2" s="471" t="s">
        <v>79</v>
      </c>
      <c r="C2" s="472"/>
      <c r="D2" s="472"/>
      <c r="E2" s="472"/>
      <c r="F2" s="472"/>
      <c r="G2" s="472"/>
      <c r="H2" s="473"/>
      <c r="I2" s="473"/>
      <c r="J2" s="473"/>
      <c r="K2" s="559"/>
      <c r="L2" s="474"/>
      <c r="M2" s="475"/>
      <c r="N2" s="475"/>
      <c r="O2" s="475"/>
      <c r="P2" s="475"/>
      <c r="Q2" s="475"/>
      <c r="R2" s="475"/>
      <c r="S2" s="476"/>
      <c r="T2" s="476"/>
    </row>
    <row r="3" spans="1:34" ht="15" customHeight="1">
      <c r="A3" s="439" t="s">
        <v>139</v>
      </c>
      <c r="B3" s="439" t="s">
        <v>79</v>
      </c>
      <c r="C3" s="477" t="s">
        <v>80</v>
      </c>
      <c r="D3" s="436"/>
      <c r="E3" s="436"/>
      <c r="F3" s="436"/>
      <c r="G3" s="436" t="s">
        <v>180</v>
      </c>
      <c r="H3" s="478">
        <v>5318.302642113691</v>
      </c>
      <c r="I3" s="478">
        <v>6061.2575061525849</v>
      </c>
      <c r="J3" s="478">
        <v>5077.8359511343806</v>
      </c>
      <c r="K3" s="478">
        <v>5565.2515612489988</v>
      </c>
      <c r="L3" s="478">
        <v>6289.3207326578331</v>
      </c>
      <c r="M3" s="479">
        <v>6324.5575121625043</v>
      </c>
      <c r="N3" s="479">
        <v>6633.5921211010136</v>
      </c>
      <c r="O3" s="479">
        <v>6985.4119992814867</v>
      </c>
      <c r="P3" s="479">
        <v>7372.1209456577544</v>
      </c>
      <c r="Q3" s="479">
        <v>7810.351515920087</v>
      </c>
      <c r="R3" s="479">
        <v>8286.3562325186158</v>
      </c>
      <c r="S3" s="480">
        <v>1.0687403067652257E-2</v>
      </c>
      <c r="T3" s="480">
        <v>5.5520544384858539E-2</v>
      </c>
    </row>
    <row r="4" spans="1:34" ht="15" customHeight="1">
      <c r="A4" s="4" t="s">
        <v>139</v>
      </c>
      <c r="B4" s="4" t="s">
        <v>79</v>
      </c>
      <c r="C4" s="4" t="s">
        <v>80</v>
      </c>
      <c r="D4" s="2" t="s">
        <v>81</v>
      </c>
      <c r="G4" s="6" t="s">
        <v>180</v>
      </c>
      <c r="H4" s="482">
        <v>646.26297502208968</v>
      </c>
      <c r="I4" s="482">
        <v>734.17787090213108</v>
      </c>
      <c r="J4" s="482">
        <v>616.50422925833152</v>
      </c>
      <c r="K4" s="482">
        <v>674.1951705534251</v>
      </c>
      <c r="L4" s="482">
        <v>760.56291686643021</v>
      </c>
      <c r="M4" s="483">
        <v>763.13405082836812</v>
      </c>
      <c r="N4" s="483">
        <v>799.65467976578554</v>
      </c>
      <c r="O4" s="483">
        <v>838.88101696882018</v>
      </c>
      <c r="P4" s="483">
        <v>881.62360530155729</v>
      </c>
      <c r="Q4" s="483">
        <v>930.50061704626125</v>
      </c>
      <c r="R4" s="483">
        <v>983.0916851659814</v>
      </c>
      <c r="S4" s="485">
        <v>9.7175049957640702E-3</v>
      </c>
      <c r="T4" s="485">
        <v>5.1958575154820608E-2</v>
      </c>
    </row>
    <row r="5" spans="1:34" ht="15" customHeight="1">
      <c r="A5" s="4" t="s">
        <v>139</v>
      </c>
      <c r="B5" s="4" t="s">
        <v>79</v>
      </c>
      <c r="C5" s="4" t="s">
        <v>80</v>
      </c>
      <c r="D5" s="2" t="s">
        <v>82</v>
      </c>
      <c r="G5" s="6" t="s">
        <v>180</v>
      </c>
      <c r="H5" s="482">
        <v>2014.6886286750414</v>
      </c>
      <c r="I5" s="482">
        <v>2303.8606844146066</v>
      </c>
      <c r="J5" s="482">
        <v>1925.3507016206954</v>
      </c>
      <c r="K5" s="482">
        <v>2115.0151675201982</v>
      </c>
      <c r="L5" s="482">
        <v>2394.5921359446966</v>
      </c>
      <c r="M5" s="483">
        <v>2411.0498274151373</v>
      </c>
      <c r="N5" s="483">
        <v>2530.7278498011274</v>
      </c>
      <c r="O5" s="483">
        <v>2669.0399863087941</v>
      </c>
      <c r="P5" s="483">
        <v>2820.5843896123274</v>
      </c>
      <c r="Q5" s="483">
        <v>2991.899051707916</v>
      </c>
      <c r="R5" s="483">
        <v>3178.0815319140102</v>
      </c>
      <c r="S5" s="485">
        <v>1.1433870547673752E-2</v>
      </c>
      <c r="T5" s="485">
        <v>5.6797481875055844E-2</v>
      </c>
    </row>
    <row r="6" spans="1:34" ht="15" customHeight="1">
      <c r="A6" s="4" t="s">
        <v>139</v>
      </c>
      <c r="B6" s="4" t="s">
        <v>79</v>
      </c>
      <c r="C6" s="4" t="s">
        <v>80</v>
      </c>
      <c r="D6" s="4" t="s">
        <v>82</v>
      </c>
      <c r="E6" s="2" t="s">
        <v>83</v>
      </c>
      <c r="G6" s="6" t="s">
        <v>180</v>
      </c>
      <c r="H6" s="491">
        <v>1884.633475961251</v>
      </c>
      <c r="I6" s="491">
        <v>2156.6412854735872</v>
      </c>
      <c r="J6" s="491">
        <v>1801.404266668173</v>
      </c>
      <c r="K6" s="491">
        <v>1979.8020317974565</v>
      </c>
      <c r="L6" s="491">
        <v>2244.6016587146287</v>
      </c>
      <c r="M6" s="487">
        <v>2263.672344908457</v>
      </c>
      <c r="N6" s="487">
        <v>2377.7940902710311</v>
      </c>
      <c r="O6" s="487">
        <v>2510.3873861111883</v>
      </c>
      <c r="P6" s="487">
        <v>2655.8324703357989</v>
      </c>
      <c r="Q6" s="487">
        <v>2820.3108429486315</v>
      </c>
      <c r="R6" s="487">
        <v>2998.822363945611</v>
      </c>
      <c r="S6" s="19">
        <v>1.2182705605977562E-2</v>
      </c>
      <c r="T6" s="19">
        <v>5.7858147195920528E-2</v>
      </c>
    </row>
    <row r="7" spans="1:34" ht="15" customHeight="1">
      <c r="A7" s="4" t="s">
        <v>139</v>
      </c>
      <c r="B7" s="4" t="s">
        <v>79</v>
      </c>
      <c r="C7" s="4" t="s">
        <v>80</v>
      </c>
      <c r="D7" s="4" t="s">
        <v>82</v>
      </c>
      <c r="E7" s="2" t="s">
        <v>84</v>
      </c>
      <c r="G7" s="6" t="s">
        <v>180</v>
      </c>
      <c r="H7" s="488">
        <v>130.05515271379059</v>
      </c>
      <c r="I7" s="488">
        <v>147.21939894101942</v>
      </c>
      <c r="J7" s="488">
        <v>123.9464349525224</v>
      </c>
      <c r="K7" s="488">
        <v>135.21313572274164</v>
      </c>
      <c r="L7" s="488">
        <v>149.9904772300676</v>
      </c>
      <c r="M7" s="487">
        <v>147.37748250668002</v>
      </c>
      <c r="N7" s="487">
        <v>152.93375953009624</v>
      </c>
      <c r="O7" s="487">
        <v>158.65260019760595</v>
      </c>
      <c r="P7" s="487">
        <v>164.75191927652872</v>
      </c>
      <c r="Q7" s="487">
        <v>171.58820875928456</v>
      </c>
      <c r="R7" s="487">
        <v>179.25916796839931</v>
      </c>
      <c r="S7" s="19">
        <v>2.68340909201914E-4</v>
      </c>
      <c r="T7" s="19">
        <v>3.994422736213421E-2</v>
      </c>
    </row>
    <row r="8" spans="1:34" ht="15" customHeight="1">
      <c r="A8" s="4" t="s">
        <v>139</v>
      </c>
      <c r="B8" s="4" t="s">
        <v>79</v>
      </c>
      <c r="C8" s="4" t="s">
        <v>80</v>
      </c>
      <c r="D8" s="2" t="s">
        <v>85</v>
      </c>
      <c r="G8" s="6" t="s">
        <v>180</v>
      </c>
      <c r="H8" s="482">
        <v>159.44761190197636</v>
      </c>
      <c r="I8" s="482">
        <v>179.73281104233268</v>
      </c>
      <c r="J8" s="482">
        <v>151.78596566706861</v>
      </c>
      <c r="K8" s="482">
        <v>165.10614759488641</v>
      </c>
      <c r="L8" s="482">
        <v>185.45369499250131</v>
      </c>
      <c r="M8" s="483">
        <v>185.71996288281565</v>
      </c>
      <c r="N8" s="483">
        <v>194.32029413155692</v>
      </c>
      <c r="O8" s="483">
        <v>202.77988365536015</v>
      </c>
      <c r="P8" s="483">
        <v>212.20668128397074</v>
      </c>
      <c r="Q8" s="483">
        <v>223.4708576407069</v>
      </c>
      <c r="R8" s="483">
        <v>235.55611531457376</v>
      </c>
      <c r="S8" s="485">
        <v>8.2257970492884969E-3</v>
      </c>
      <c r="T8" s="485">
        <v>4.8690078102283652E-2</v>
      </c>
    </row>
    <row r="9" spans="1:34" ht="16.5" customHeight="1">
      <c r="A9" s="4" t="s">
        <v>139</v>
      </c>
      <c r="B9" s="4" t="s">
        <v>79</v>
      </c>
      <c r="C9" s="4" t="s">
        <v>80</v>
      </c>
      <c r="D9" s="2" t="s">
        <v>86</v>
      </c>
      <c r="G9" s="6" t="s">
        <v>180</v>
      </c>
      <c r="H9" s="482">
        <v>1854.5785003790218</v>
      </c>
      <c r="I9" s="482">
        <v>2116.7502820608302</v>
      </c>
      <c r="J9" s="482">
        <v>1771.4266366622739</v>
      </c>
      <c r="K9" s="482">
        <v>1943.4056944564265</v>
      </c>
      <c r="L9" s="482">
        <v>2198.0149398546191</v>
      </c>
      <c r="M9" s="483">
        <v>2211.5447132673007</v>
      </c>
      <c r="N9" s="483">
        <v>2320.3527570657834</v>
      </c>
      <c r="O9" s="483">
        <v>2442.6033610805589</v>
      </c>
      <c r="P9" s="483">
        <v>2578.688832527886</v>
      </c>
      <c r="Q9" s="483">
        <v>2735.3067891452938</v>
      </c>
      <c r="R9" s="483">
        <v>2906.0334672954609</v>
      </c>
      <c r="S9" s="485">
        <v>1.1012498489209266E-2</v>
      </c>
      <c r="T9" s="485">
        <v>5.6138750330096299E-2</v>
      </c>
    </row>
    <row r="10" spans="1:34" ht="15" customHeight="1">
      <c r="A10" s="4" t="s">
        <v>139</v>
      </c>
      <c r="B10" s="4" t="s">
        <v>79</v>
      </c>
      <c r="C10" s="4" t="s">
        <v>80</v>
      </c>
      <c r="D10" s="4" t="s">
        <v>86</v>
      </c>
      <c r="E10" s="2" t="s">
        <v>87</v>
      </c>
      <c r="G10" s="6" t="s">
        <v>180</v>
      </c>
      <c r="H10" s="491">
        <v>164.94524673149448</v>
      </c>
      <c r="I10" s="491">
        <v>222.16582878516726</v>
      </c>
      <c r="J10" s="491">
        <v>261.68896887222814</v>
      </c>
      <c r="K10" s="491">
        <v>326.25373898090669</v>
      </c>
      <c r="L10" s="491">
        <v>410.06996948802953</v>
      </c>
      <c r="M10" s="487">
        <v>451.85347659497984</v>
      </c>
      <c r="N10" s="487">
        <v>506.79003257010896</v>
      </c>
      <c r="O10" s="487">
        <v>565.91997566359817</v>
      </c>
      <c r="P10" s="487">
        <v>631.36883418471075</v>
      </c>
      <c r="Q10" s="487">
        <v>702.47445925301656</v>
      </c>
      <c r="R10" s="487">
        <v>778.38056763111842</v>
      </c>
      <c r="S10" s="19">
        <v>0.19420831775036596</v>
      </c>
      <c r="T10" s="19">
        <v>0.11490758840247639</v>
      </c>
    </row>
    <row r="11" spans="1:34" ht="15" customHeight="1">
      <c r="A11" s="4" t="s">
        <v>139</v>
      </c>
      <c r="B11" s="4" t="s">
        <v>79</v>
      </c>
      <c r="C11" s="4" t="s">
        <v>80</v>
      </c>
      <c r="D11" s="4" t="s">
        <v>86</v>
      </c>
      <c r="E11" s="2" t="s">
        <v>88</v>
      </c>
      <c r="G11" s="6" t="s">
        <v>180</v>
      </c>
      <c r="H11" s="488">
        <v>1689.6332536475272</v>
      </c>
      <c r="I11" s="488">
        <v>1894.5844532756632</v>
      </c>
      <c r="J11" s="488">
        <v>1509.7376677900461</v>
      </c>
      <c r="K11" s="488">
        <v>1617.15195547552</v>
      </c>
      <c r="L11" s="488">
        <v>1787.9449703665894</v>
      </c>
      <c r="M11" s="487">
        <v>1759.6912366723209</v>
      </c>
      <c r="N11" s="487">
        <v>1813.5627244956743</v>
      </c>
      <c r="O11" s="487">
        <v>1876.6833854169608</v>
      </c>
      <c r="P11" s="487">
        <v>1947.3199983431755</v>
      </c>
      <c r="Q11" s="487">
        <v>2032.8323298922771</v>
      </c>
      <c r="R11" s="487">
        <v>2127.6528996643424</v>
      </c>
      <c r="S11" s="19">
        <v>-1.8295853175548715E-2</v>
      </c>
      <c r="T11" s="19">
        <v>3.8706529477008145E-2</v>
      </c>
    </row>
    <row r="12" spans="1:34" ht="15" customHeight="1">
      <c r="A12" s="4" t="s">
        <v>139</v>
      </c>
      <c r="B12" s="4" t="s">
        <v>79</v>
      </c>
      <c r="C12" s="4" t="s">
        <v>80</v>
      </c>
      <c r="D12" s="2" t="s">
        <v>89</v>
      </c>
      <c r="G12" s="6" t="s">
        <v>180</v>
      </c>
      <c r="H12" s="486">
        <v>643.32492613556155</v>
      </c>
      <c r="I12" s="486">
        <v>726.73585773268371</v>
      </c>
      <c r="J12" s="486">
        <v>612.76841792601158</v>
      </c>
      <c r="K12" s="486">
        <v>667.52938112406196</v>
      </c>
      <c r="L12" s="486">
        <v>750.69704499958618</v>
      </c>
      <c r="M12" s="483">
        <v>753.10895776888287</v>
      </c>
      <c r="N12" s="483">
        <v>788.53654033676082</v>
      </c>
      <c r="O12" s="483">
        <v>832.10775126795295</v>
      </c>
      <c r="P12" s="483">
        <v>879.01743693201308</v>
      </c>
      <c r="Q12" s="483">
        <v>929.17420037990848</v>
      </c>
      <c r="R12" s="483">
        <v>983.59343282859027</v>
      </c>
      <c r="S12" s="485">
        <v>8.9515364806380671E-3</v>
      </c>
      <c r="T12" s="485">
        <v>5.4852074778727555E-2</v>
      </c>
    </row>
    <row r="13" spans="1:34" ht="15" customHeight="1">
      <c r="A13" s="439" t="s">
        <v>139</v>
      </c>
      <c r="B13" s="439" t="s">
        <v>79</v>
      </c>
      <c r="C13" s="477" t="s">
        <v>571</v>
      </c>
      <c r="D13" s="477"/>
      <c r="E13" s="436"/>
      <c r="F13" s="436"/>
      <c r="G13" s="436" t="s">
        <v>180</v>
      </c>
      <c r="H13" s="478">
        <v>5318.302642113691</v>
      </c>
      <c r="I13" s="478">
        <v>6061.2575061525849</v>
      </c>
      <c r="J13" s="478">
        <v>5077.8359511343806</v>
      </c>
      <c r="K13" s="478">
        <v>5565.2515612489988</v>
      </c>
      <c r="L13" s="478">
        <v>6289.3207326578331</v>
      </c>
      <c r="M13" s="479">
        <v>6324.5575121625043</v>
      </c>
      <c r="N13" s="479">
        <v>6633.5921211010136</v>
      </c>
      <c r="O13" s="479">
        <v>6985.4119992814867</v>
      </c>
      <c r="P13" s="479">
        <v>7372.1209456577544</v>
      </c>
      <c r="Q13" s="479">
        <v>7810.351515920087</v>
      </c>
      <c r="R13" s="479">
        <v>8286.3562325186158</v>
      </c>
      <c r="S13" s="480">
        <v>1.0687403067652257E-2</v>
      </c>
      <c r="T13" s="480">
        <v>5.5520544384858539E-2</v>
      </c>
    </row>
    <row r="14" spans="1:34" ht="15" customHeight="1">
      <c r="A14" s="4" t="s">
        <v>139</v>
      </c>
      <c r="B14" s="4" t="s">
        <v>79</v>
      </c>
      <c r="C14" s="4" t="s">
        <v>571</v>
      </c>
      <c r="D14" s="2" t="s">
        <v>90</v>
      </c>
      <c r="G14" s="6" t="s">
        <v>180</v>
      </c>
      <c r="H14" s="482">
        <v>1277.140157727571</v>
      </c>
      <c r="I14" s="482">
        <v>1628.7240257942381</v>
      </c>
      <c r="J14" s="482">
        <v>1825.2563168467736</v>
      </c>
      <c r="K14" s="482">
        <v>2214.1737114586144</v>
      </c>
      <c r="L14" s="482">
        <v>2728.0563307075113</v>
      </c>
      <c r="M14" s="489">
        <v>2957.7312170478463</v>
      </c>
      <c r="N14" s="489">
        <v>3317.3244696775482</v>
      </c>
      <c r="O14" s="489">
        <v>3702.7938145166299</v>
      </c>
      <c r="P14" s="489">
        <v>4106.0238104175833</v>
      </c>
      <c r="Q14" s="489">
        <v>4547.324379097473</v>
      </c>
      <c r="R14" s="489">
        <v>5004.3726456335016</v>
      </c>
      <c r="S14" s="485">
        <v>0.16085453025438601</v>
      </c>
      <c r="T14" s="485">
        <v>0.11090823794125626</v>
      </c>
      <c r="V14" s="490">
        <f>H14/H13</f>
        <v>0.24014055680366247</v>
      </c>
      <c r="W14" s="490">
        <f t="shared" ref="W14:AF14" si="0">I14/I13</f>
        <v>0.26871058095469025</v>
      </c>
      <c r="X14" s="490">
        <f t="shared" si="0"/>
        <v>0.35945555043758637</v>
      </c>
      <c r="Y14" s="490">
        <f t="shared" si="0"/>
        <v>0.39785689597141799</v>
      </c>
      <c r="Z14" s="490">
        <f t="shared" si="0"/>
        <v>0.43376009058368525</v>
      </c>
      <c r="AA14" s="490">
        <f t="shared" si="0"/>
        <v>0.46765820555192222</v>
      </c>
      <c r="AB14" s="490">
        <f t="shared" si="0"/>
        <v>0.50007965655973341</v>
      </c>
      <c r="AC14" s="490">
        <f t="shared" si="0"/>
        <v>0.53007522174747834</v>
      </c>
      <c r="AD14" s="490">
        <f t="shared" si="0"/>
        <v>0.55696641993320362</v>
      </c>
      <c r="AE14" s="490">
        <f t="shared" si="0"/>
        <v>0.58221763384509873</v>
      </c>
      <c r="AF14" s="490">
        <f t="shared" si="0"/>
        <v>0.60392921873121497</v>
      </c>
      <c r="AG14" s="490"/>
      <c r="AH14" s="490"/>
    </row>
    <row r="15" spans="1:34" ht="15" customHeight="1">
      <c r="A15" s="4" t="s">
        <v>139</v>
      </c>
      <c r="B15" s="4" t="s">
        <v>79</v>
      </c>
      <c r="C15" s="4" t="s">
        <v>571</v>
      </c>
      <c r="D15" s="4" t="s">
        <v>90</v>
      </c>
      <c r="E15" s="15" t="s">
        <v>572</v>
      </c>
      <c r="F15" s="6"/>
      <c r="G15" s="6" t="s">
        <v>180</v>
      </c>
      <c r="H15" s="491">
        <v>993.88587131118265</v>
      </c>
      <c r="I15" s="491">
        <v>1307.9083413860749</v>
      </c>
      <c r="J15" s="491">
        <v>1509.0847056671512</v>
      </c>
      <c r="K15" s="491">
        <v>1860.9739381688407</v>
      </c>
      <c r="L15" s="491">
        <v>2321.0462917874361</v>
      </c>
      <c r="M15" s="492">
        <v>2538.4545467545736</v>
      </c>
      <c r="N15" s="492">
        <v>2869.9066660050767</v>
      </c>
      <c r="O15" s="492">
        <v>3226.7803392040482</v>
      </c>
      <c r="P15" s="492">
        <v>3601.2935052274997</v>
      </c>
      <c r="Q15" s="492">
        <v>4010.7461689426686</v>
      </c>
      <c r="R15" s="492">
        <v>4435.208733593834</v>
      </c>
      <c r="S15" s="19">
        <v>0.18031525568090201</v>
      </c>
      <c r="T15" s="19">
        <v>0.11806984506574625</v>
      </c>
    </row>
    <row r="16" spans="1:34" ht="15" customHeight="1">
      <c r="A16" s="4" t="s">
        <v>139</v>
      </c>
      <c r="B16" s="4" t="s">
        <v>79</v>
      </c>
      <c r="C16" s="4" t="s">
        <v>571</v>
      </c>
      <c r="D16" s="4" t="s">
        <v>90</v>
      </c>
      <c r="E16" s="15" t="s">
        <v>573</v>
      </c>
      <c r="F16" s="6"/>
      <c r="G16" s="6" t="s">
        <v>180</v>
      </c>
      <c r="H16" s="491">
        <v>206.79510758632318</v>
      </c>
      <c r="I16" s="491">
        <v>235.9778278093778</v>
      </c>
      <c r="J16" s="491">
        <v>234.41186029071429</v>
      </c>
      <c r="K16" s="491">
        <v>263.93262610088067</v>
      </c>
      <c r="L16" s="491">
        <v>306.71949178479059</v>
      </c>
      <c r="M16" s="492">
        <v>317.21931543917151</v>
      </c>
      <c r="N16" s="492">
        <v>339.91505568780281</v>
      </c>
      <c r="O16" s="492">
        <v>362.88930814367114</v>
      </c>
      <c r="P16" s="492">
        <v>385.4827077243437</v>
      </c>
      <c r="Q16" s="492">
        <v>410.13731438109022</v>
      </c>
      <c r="R16" s="492">
        <v>434.39234027872499</v>
      </c>
      <c r="S16" s="19">
        <v>7.6767914849779739E-2</v>
      </c>
      <c r="T16" s="19">
        <v>6.4889407262264998E-2</v>
      </c>
      <c r="W16" s="544">
        <f>I13/H13-1</f>
        <v>0.1396977408084501</v>
      </c>
      <c r="X16" s="544">
        <f t="shared" ref="X16:AF16" si="1">J13/I13-1</f>
        <v>-0.16224711687631899</v>
      </c>
      <c r="Y16" s="544">
        <f t="shared" si="1"/>
        <v>9.5988845406817402E-2</v>
      </c>
      <c r="Z16" s="544">
        <f t="shared" si="1"/>
        <v>0.13010538040194763</v>
      </c>
      <c r="AA16" s="544">
        <f t="shared" si="1"/>
        <v>5.6026367556198942E-3</v>
      </c>
      <c r="AB16" s="544">
        <f t="shared" si="1"/>
        <v>4.8862645069511546E-2</v>
      </c>
      <c r="AC16" s="544">
        <f t="shared" si="1"/>
        <v>5.3036103480248231E-2</v>
      </c>
      <c r="AD16" s="544">
        <f t="shared" si="1"/>
        <v>5.5359504409481453E-2</v>
      </c>
      <c r="AE16" s="544">
        <f t="shared" si="1"/>
        <v>5.9444300153601581E-2</v>
      </c>
      <c r="AF16" s="544">
        <f t="shared" si="1"/>
        <v>6.094536406309925E-2</v>
      </c>
    </row>
    <row r="17" spans="1:32" ht="16.5" customHeight="1">
      <c r="A17" s="4" t="s">
        <v>139</v>
      </c>
      <c r="B17" s="4" t="s">
        <v>79</v>
      </c>
      <c r="C17" s="4" t="s">
        <v>571</v>
      </c>
      <c r="D17" s="4" t="s">
        <v>90</v>
      </c>
      <c r="E17" s="15" t="s">
        <v>574</v>
      </c>
      <c r="F17" s="6"/>
      <c r="G17" s="6" t="s">
        <v>180</v>
      </c>
      <c r="H17" s="491">
        <v>76.459178830065227</v>
      </c>
      <c r="I17" s="491">
        <v>84.837856598785407</v>
      </c>
      <c r="J17" s="491">
        <v>81.759750888908243</v>
      </c>
      <c r="K17" s="491">
        <v>89.267147188892906</v>
      </c>
      <c r="L17" s="491">
        <v>100.29054713528464</v>
      </c>
      <c r="M17" s="492">
        <v>102.05735485410086</v>
      </c>
      <c r="N17" s="492">
        <v>107.50274798466876</v>
      </c>
      <c r="O17" s="492">
        <v>113.12416716891049</v>
      </c>
      <c r="P17" s="492">
        <v>119.24759746573932</v>
      </c>
      <c r="Q17" s="492">
        <v>126.4408957737143</v>
      </c>
      <c r="R17" s="492">
        <v>134.77157176094312</v>
      </c>
      <c r="S17" s="19">
        <v>4.7282038230677559E-2</v>
      </c>
      <c r="T17" s="19">
        <v>5.7184524348919519E-2</v>
      </c>
      <c r="W17" s="490">
        <f>I14/H14-1</f>
        <v>0.27528996401792272</v>
      </c>
      <c r="X17" s="490">
        <f t="shared" ref="X17:AF17" si="2">J14/I14-1</f>
        <v>0.12066641612700324</v>
      </c>
      <c r="Y17" s="490">
        <f t="shared" si="2"/>
        <v>0.21307549576583096</v>
      </c>
      <c r="Z17" s="490">
        <f t="shared" si="2"/>
        <v>0.23208776104128259</v>
      </c>
      <c r="AA17" s="490">
        <f t="shared" si="2"/>
        <v>8.4189935433176988E-2</v>
      </c>
      <c r="AB17" s="490">
        <f t="shared" si="2"/>
        <v>0.12157739369861242</v>
      </c>
      <c r="AC17" s="490">
        <f t="shared" si="2"/>
        <v>0.11619886699733972</v>
      </c>
      <c r="AD17" s="490">
        <f t="shared" si="2"/>
        <v>0.10889885208301608</v>
      </c>
      <c r="AE17" s="490">
        <f t="shared" si="2"/>
        <v>0.10747637837857771</v>
      </c>
      <c r="AF17" s="490">
        <f t="shared" si="2"/>
        <v>0.10050927280158994</v>
      </c>
    </row>
    <row r="18" spans="1:32" ht="16.5" customHeight="1">
      <c r="A18" s="4" t="s">
        <v>139</v>
      </c>
      <c r="B18" s="4" t="s">
        <v>79</v>
      </c>
      <c r="C18" s="4" t="s">
        <v>571</v>
      </c>
      <c r="D18" s="2" t="s">
        <v>91</v>
      </c>
      <c r="E18" s="6"/>
      <c r="F18" s="6"/>
      <c r="G18" s="6" t="s">
        <v>180</v>
      </c>
      <c r="H18" s="482">
        <v>4041.1624843861196</v>
      </c>
      <c r="I18" s="482">
        <v>4432.5334803583473</v>
      </c>
      <c r="J18" s="482">
        <v>3252.5796342876079</v>
      </c>
      <c r="K18" s="482">
        <v>3351.0778497903843</v>
      </c>
      <c r="L18" s="482">
        <v>3561.2644019503223</v>
      </c>
      <c r="M18" s="489">
        <v>3366.8262951146585</v>
      </c>
      <c r="N18" s="489">
        <v>3316.2676514234658</v>
      </c>
      <c r="O18" s="489">
        <v>3282.6181847648563</v>
      </c>
      <c r="P18" s="489">
        <v>3266.0971352401716</v>
      </c>
      <c r="Q18" s="489">
        <v>3263.0271368226136</v>
      </c>
      <c r="R18" s="489">
        <v>3281.9835868851142</v>
      </c>
      <c r="S18" s="485">
        <v>-6.6440137363074969E-2</v>
      </c>
      <c r="T18" s="485">
        <v>-5.0915054687639127E-3</v>
      </c>
      <c r="W18" s="490">
        <f>I18/H18-1</f>
        <v>9.6846142040655891E-2</v>
      </c>
      <c r="X18" s="490">
        <f t="shared" ref="X18:AF18" si="3">J18/I18-1</f>
        <v>-0.26620303068198059</v>
      </c>
      <c r="Y18" s="490">
        <f t="shared" si="3"/>
        <v>3.0283106511656444E-2</v>
      </c>
      <c r="Z18" s="490">
        <f t="shared" si="3"/>
        <v>6.2722073786822152E-2</v>
      </c>
      <c r="AA18" s="490">
        <f t="shared" si="3"/>
        <v>-5.4598054199283874E-2</v>
      </c>
      <c r="AB18" s="490">
        <f t="shared" si="3"/>
        <v>-1.5016706910170652E-2</v>
      </c>
      <c r="AC18" s="490">
        <f t="shared" si="3"/>
        <v>-1.0146788557360842E-2</v>
      </c>
      <c r="AD18" s="490">
        <f t="shared" si="3"/>
        <v>-5.0328879555232575E-3</v>
      </c>
      <c r="AE18" s="490">
        <f t="shared" si="3"/>
        <v>-9.3995931242640829E-4</v>
      </c>
      <c r="AF18" s="490">
        <f t="shared" si="3"/>
        <v>5.8094674875917018E-3</v>
      </c>
    </row>
    <row r="19" spans="1:32" ht="16.5" customHeight="1">
      <c r="A19" s="4" t="s">
        <v>139</v>
      </c>
      <c r="B19" s="4" t="s">
        <v>79</v>
      </c>
      <c r="C19" s="4" t="s">
        <v>571</v>
      </c>
      <c r="D19" s="4" t="s">
        <v>91</v>
      </c>
      <c r="E19" s="15" t="s">
        <v>572</v>
      </c>
      <c r="F19" s="6"/>
      <c r="G19" s="6" t="s">
        <v>180</v>
      </c>
      <c r="H19" s="491">
        <v>2211.9230183141726</v>
      </c>
      <c r="I19" s="491">
        <v>2454.3481803530558</v>
      </c>
      <c r="J19" s="491">
        <v>1580.1997620466357</v>
      </c>
      <c r="K19" s="491">
        <v>1630.9147727999343</v>
      </c>
      <c r="L19" s="491">
        <v>1641.2976125337013</v>
      </c>
      <c r="M19" s="492">
        <v>1508.6890135159842</v>
      </c>
      <c r="N19" s="492">
        <v>1448.9233920401387</v>
      </c>
      <c r="O19" s="492">
        <v>1407.8445416044162</v>
      </c>
      <c r="P19" s="492">
        <v>1380.2452943749267</v>
      </c>
      <c r="Q19" s="492">
        <v>1366.9207124040904</v>
      </c>
      <c r="R19" s="492">
        <v>1369.4759006593583</v>
      </c>
      <c r="S19" s="19">
        <v>-0.11454623544568243</v>
      </c>
      <c r="T19" s="19">
        <v>-1.9176340732603214E-2</v>
      </c>
    </row>
    <row r="20" spans="1:32" ht="16.5" customHeight="1">
      <c r="A20" s="4" t="s">
        <v>139</v>
      </c>
      <c r="B20" s="4" t="s">
        <v>79</v>
      </c>
      <c r="C20" s="4" t="s">
        <v>571</v>
      </c>
      <c r="D20" s="4" t="s">
        <v>91</v>
      </c>
      <c r="E20" s="15" t="s">
        <v>573</v>
      </c>
      <c r="F20" s="6"/>
      <c r="G20" s="6" t="s">
        <v>180</v>
      </c>
      <c r="H20" s="491">
        <v>1623.9779227314425</v>
      </c>
      <c r="I20" s="491">
        <v>1752.0721311733948</v>
      </c>
      <c r="J20" s="491">
        <v>1482.4467784527412</v>
      </c>
      <c r="K20" s="491">
        <v>1495.6182145716573</v>
      </c>
      <c r="L20" s="491">
        <v>1649.0683264194038</v>
      </c>
      <c r="M20" s="492">
        <v>1591.0415759731786</v>
      </c>
      <c r="N20" s="492">
        <v>1596.098042014971</v>
      </c>
      <c r="O20" s="492">
        <v>1598.3636970161995</v>
      </c>
      <c r="P20" s="492">
        <v>1600.9409560696508</v>
      </c>
      <c r="Q20" s="492">
        <v>1604.505249203597</v>
      </c>
      <c r="R20" s="492">
        <v>1612.0112290547434</v>
      </c>
      <c r="S20" s="19">
        <v>-2.3814423082887504E-2</v>
      </c>
      <c r="T20" s="19">
        <v>2.6221777069299623E-3</v>
      </c>
    </row>
    <row r="21" spans="1:32" ht="16.5" customHeight="1">
      <c r="A21" s="4" t="s">
        <v>139</v>
      </c>
      <c r="B21" s="4" t="s">
        <v>79</v>
      </c>
      <c r="C21" s="4" t="s">
        <v>571</v>
      </c>
      <c r="D21" s="4" t="s">
        <v>91</v>
      </c>
      <c r="E21" s="15" t="s">
        <v>574</v>
      </c>
      <c r="F21" s="6"/>
      <c r="G21" s="6" t="s">
        <v>180</v>
      </c>
      <c r="H21" s="491">
        <v>205.26154334050398</v>
      </c>
      <c r="I21" s="491">
        <v>226.11316883189551</v>
      </c>
      <c r="J21" s="491">
        <v>189.93309378823025</v>
      </c>
      <c r="K21" s="491">
        <v>224.54486241879258</v>
      </c>
      <c r="L21" s="491">
        <v>270.89846299721677</v>
      </c>
      <c r="M21" s="492">
        <v>267.09570562549578</v>
      </c>
      <c r="N21" s="492">
        <v>271.24621736835593</v>
      </c>
      <c r="O21" s="492">
        <v>276.4099461442413</v>
      </c>
      <c r="P21" s="492">
        <v>284.91088479559409</v>
      </c>
      <c r="Q21" s="492">
        <v>291.6011752149264</v>
      </c>
      <c r="R21" s="492">
        <v>300.49645717101288</v>
      </c>
      <c r="S21" s="19">
        <v>4.2522081025314629E-2</v>
      </c>
      <c r="T21" s="19">
        <v>2.384565158612828E-2</v>
      </c>
    </row>
    <row r="22" spans="1:32" ht="16.5" customHeight="1">
      <c r="A22" s="439" t="s">
        <v>139</v>
      </c>
      <c r="B22" s="439" t="s">
        <v>79</v>
      </c>
      <c r="C22" s="477" t="s">
        <v>575</v>
      </c>
      <c r="D22" s="477"/>
      <c r="E22" s="436"/>
      <c r="F22" s="436"/>
      <c r="G22" s="436" t="s">
        <v>180</v>
      </c>
      <c r="H22" s="478">
        <v>5318.302642113691</v>
      </c>
      <c r="I22" s="478">
        <v>6061.2575061525849</v>
      </c>
      <c r="J22" s="478">
        <v>5077.8359511343806</v>
      </c>
      <c r="K22" s="478">
        <v>5565.2515612489988</v>
      </c>
      <c r="L22" s="478">
        <v>6289.3207326578331</v>
      </c>
      <c r="M22" s="493">
        <v>6324.5575121625043</v>
      </c>
      <c r="N22" s="493">
        <v>6633.5921211010136</v>
      </c>
      <c r="O22" s="493">
        <v>6985.4119992814867</v>
      </c>
      <c r="P22" s="493">
        <v>7372.1209456577544</v>
      </c>
      <c r="Q22" s="493">
        <v>7810.351515920087</v>
      </c>
      <c r="R22" s="493">
        <v>8286.3562325186158</v>
      </c>
      <c r="S22" s="494">
        <v>1.0687403067652257E-2</v>
      </c>
      <c r="T22" s="494">
        <v>5.5520544384858539E-2</v>
      </c>
    </row>
    <row r="23" spans="1:32" ht="16.5" customHeight="1">
      <c r="A23" s="4" t="s">
        <v>139</v>
      </c>
      <c r="B23" s="4" t="s">
        <v>79</v>
      </c>
      <c r="C23" s="4" t="s">
        <v>575</v>
      </c>
      <c r="D23" s="2" t="s">
        <v>90</v>
      </c>
      <c r="G23" s="6" t="s">
        <v>180</v>
      </c>
      <c r="H23" s="495">
        <v>1277.140157727571</v>
      </c>
      <c r="I23" s="495">
        <v>1628.7240257942381</v>
      </c>
      <c r="J23" s="495">
        <v>1825.2563168467736</v>
      </c>
      <c r="K23" s="495">
        <v>2214.1737114586144</v>
      </c>
      <c r="L23" s="495">
        <v>2728.0563307075113</v>
      </c>
      <c r="M23" s="492">
        <v>2957.7312170478463</v>
      </c>
      <c r="N23" s="492">
        <v>3317.3244696775482</v>
      </c>
      <c r="O23" s="492">
        <v>3702.7938145166299</v>
      </c>
      <c r="P23" s="492">
        <v>4106.0238104175833</v>
      </c>
      <c r="Q23" s="492">
        <v>4547.324379097473</v>
      </c>
      <c r="R23" s="492">
        <v>5004.3726456335016</v>
      </c>
      <c r="S23" s="19">
        <v>0.16085453025438601</v>
      </c>
      <c r="T23" s="19">
        <v>0.11090823794125626</v>
      </c>
    </row>
    <row r="24" spans="1:32" ht="16.5" customHeight="1">
      <c r="A24" s="4" t="s">
        <v>139</v>
      </c>
      <c r="B24" s="4" t="s">
        <v>79</v>
      </c>
      <c r="C24" s="4" t="s">
        <v>575</v>
      </c>
      <c r="D24" s="4" t="s">
        <v>90</v>
      </c>
      <c r="E24" s="2" t="s">
        <v>19</v>
      </c>
      <c r="G24" s="6" t="s">
        <v>180</v>
      </c>
      <c r="H24" s="496">
        <v>164.47267962520104</v>
      </c>
      <c r="I24" s="496">
        <v>243.43656450338949</v>
      </c>
      <c r="J24" s="496">
        <v>192.79676271464362</v>
      </c>
      <c r="K24" s="496">
        <v>252.02030260074275</v>
      </c>
      <c r="L24" s="496">
        <v>287.44696189807206</v>
      </c>
      <c r="M24" s="492">
        <v>305.23868314676747</v>
      </c>
      <c r="N24" s="492">
        <v>312.07175123716655</v>
      </c>
      <c r="O24" s="492">
        <v>337.71413149269068</v>
      </c>
      <c r="P24" s="492">
        <v>354.31548586336675</v>
      </c>
      <c r="Q24" s="492">
        <v>373.28511839190691</v>
      </c>
      <c r="R24" s="492">
        <v>387.95857136385422</v>
      </c>
      <c r="S24" s="19">
        <v>5.8189481308191571E-2</v>
      </c>
      <c r="T24" s="19">
        <v>4.9129637924862468E-2</v>
      </c>
    </row>
    <row r="25" spans="1:32" ht="16.5" customHeight="1">
      <c r="A25" s="4" t="s">
        <v>139</v>
      </c>
      <c r="B25" s="4" t="s">
        <v>79</v>
      </c>
      <c r="C25" s="4" t="s">
        <v>575</v>
      </c>
      <c r="D25" s="4" t="s">
        <v>90</v>
      </c>
      <c r="E25" s="2" t="s">
        <v>576</v>
      </c>
      <c r="G25" s="6" t="s">
        <v>180</v>
      </c>
      <c r="H25" s="496">
        <v>1062.0341564573002</v>
      </c>
      <c r="I25" s="496">
        <v>1325.6851477301254</v>
      </c>
      <c r="J25" s="496">
        <v>1558.2098692972204</v>
      </c>
      <c r="K25" s="496">
        <v>1868.5066500448177</v>
      </c>
      <c r="L25" s="496">
        <v>2324.0852186800844</v>
      </c>
      <c r="M25" s="492">
        <v>2529.6827818328061</v>
      </c>
      <c r="N25" s="492">
        <v>2861.9848286527535</v>
      </c>
      <c r="O25" s="492">
        <v>3197.6627285754021</v>
      </c>
      <c r="P25" s="492">
        <v>3560.2429418946481</v>
      </c>
      <c r="Q25" s="492">
        <v>3955.0811314312359</v>
      </c>
      <c r="R25" s="492">
        <v>4365.4198992656757</v>
      </c>
      <c r="S25" s="19">
        <v>0.17532079040598703</v>
      </c>
      <c r="T25" s="19">
        <v>0.11530074373205812</v>
      </c>
    </row>
    <row r="26" spans="1:32" ht="16.5" customHeight="1">
      <c r="A26" s="4" t="s">
        <v>139</v>
      </c>
      <c r="B26" s="4" t="s">
        <v>79</v>
      </c>
      <c r="C26" s="4" t="s">
        <v>575</v>
      </c>
      <c r="D26" s="4" t="s">
        <v>90</v>
      </c>
      <c r="E26" s="2" t="s">
        <v>577</v>
      </c>
      <c r="G26" s="6" t="s">
        <v>180</v>
      </c>
      <c r="H26" s="496">
        <v>50.633321645069735</v>
      </c>
      <c r="I26" s="496">
        <v>59.602313560722948</v>
      </c>
      <c r="J26" s="496">
        <v>74.249684834909388</v>
      </c>
      <c r="K26" s="496">
        <v>93.646758813053964</v>
      </c>
      <c r="L26" s="496">
        <v>116.52415012935442</v>
      </c>
      <c r="M26" s="492">
        <v>122.80975206827257</v>
      </c>
      <c r="N26" s="492">
        <v>143.26788978762815</v>
      </c>
      <c r="O26" s="492">
        <v>167.41695444853735</v>
      </c>
      <c r="P26" s="492">
        <v>191.46538265956843</v>
      </c>
      <c r="Q26" s="492">
        <v>218.95812927433005</v>
      </c>
      <c r="R26" s="492">
        <v>250.99417500397195</v>
      </c>
      <c r="S26" s="19">
        <v>0.19809825098223199</v>
      </c>
      <c r="T26" s="19">
        <v>0.15368210859485387</v>
      </c>
    </row>
    <row r="27" spans="1:32" ht="16.5" customHeight="1">
      <c r="A27" s="4" t="s">
        <v>139</v>
      </c>
      <c r="B27" s="4" t="s">
        <v>79</v>
      </c>
      <c r="C27" s="4" t="s">
        <v>575</v>
      </c>
      <c r="D27" s="2" t="s">
        <v>91</v>
      </c>
      <c r="G27" s="6" t="s">
        <v>180</v>
      </c>
      <c r="H27" s="495">
        <v>4041.1624843861196</v>
      </c>
      <c r="I27" s="495">
        <v>4432.5334803583473</v>
      </c>
      <c r="J27" s="495">
        <v>3252.5796342876079</v>
      </c>
      <c r="K27" s="495">
        <v>3351.0778497903843</v>
      </c>
      <c r="L27" s="495">
        <v>3561.2644019503223</v>
      </c>
      <c r="M27" s="489">
        <v>3366.8262951146585</v>
      </c>
      <c r="N27" s="489">
        <v>3316.2676514234658</v>
      </c>
      <c r="O27" s="489">
        <v>3282.6181847648563</v>
      </c>
      <c r="P27" s="489">
        <v>3266.0971352401716</v>
      </c>
      <c r="Q27" s="489">
        <v>3263.0271368226136</v>
      </c>
      <c r="R27" s="489">
        <v>3281.9835868851142</v>
      </c>
      <c r="S27" s="485">
        <v>-6.6440137363074969E-2</v>
      </c>
      <c r="T27" s="485">
        <v>-5.0915054687639127E-3</v>
      </c>
    </row>
    <row r="28" spans="1:32" ht="15" customHeight="1">
      <c r="A28" s="4" t="s">
        <v>139</v>
      </c>
      <c r="B28" s="4" t="s">
        <v>79</v>
      </c>
      <c r="C28" s="4" t="s">
        <v>575</v>
      </c>
      <c r="D28" s="4" t="s">
        <v>91</v>
      </c>
      <c r="E28" s="2" t="s">
        <v>19</v>
      </c>
      <c r="G28" s="6" t="s">
        <v>180</v>
      </c>
      <c r="H28" s="496">
        <v>886.18445752620846</v>
      </c>
      <c r="I28" s="496">
        <v>1091.8108394337803</v>
      </c>
      <c r="J28" s="496">
        <v>583.73090655593273</v>
      </c>
      <c r="K28" s="496">
        <v>653.75906334079696</v>
      </c>
      <c r="L28" s="496">
        <v>642.36865431310719</v>
      </c>
      <c r="M28" s="492">
        <v>573.39121309349764</v>
      </c>
      <c r="N28" s="492">
        <v>527.26180640431642</v>
      </c>
      <c r="O28" s="492">
        <v>506.01185738977694</v>
      </c>
      <c r="P28" s="492">
        <v>495.75592959307323</v>
      </c>
      <c r="Q28" s="492">
        <v>497.26909485941218</v>
      </c>
      <c r="R28" s="492">
        <v>511.11455127927468</v>
      </c>
      <c r="S28" s="19">
        <v>-0.14871318309898696</v>
      </c>
      <c r="T28" s="19">
        <v>-2.2732530852499711E-2</v>
      </c>
    </row>
    <row r="29" spans="1:32" ht="16.5" customHeight="1">
      <c r="A29" s="4" t="s">
        <v>139</v>
      </c>
      <c r="B29" s="4" t="s">
        <v>79</v>
      </c>
      <c r="C29" s="4" t="s">
        <v>575</v>
      </c>
      <c r="D29" s="4" t="s">
        <v>91</v>
      </c>
      <c r="E29" s="2" t="s">
        <v>576</v>
      </c>
      <c r="G29" s="6" t="s">
        <v>180</v>
      </c>
      <c r="H29" s="496">
        <v>3005.5453895478204</v>
      </c>
      <c r="I29" s="496">
        <v>3196.0584154058483</v>
      </c>
      <c r="J29" s="496">
        <v>2559.4933152917051</v>
      </c>
      <c r="K29" s="496">
        <v>2578.737799883017</v>
      </c>
      <c r="L29" s="496">
        <v>2791.8052566281135</v>
      </c>
      <c r="M29" s="492">
        <v>2674.3459933091494</v>
      </c>
      <c r="N29" s="492">
        <v>2671.7154505541625</v>
      </c>
      <c r="O29" s="492">
        <v>2660.2021489778576</v>
      </c>
      <c r="P29" s="492">
        <v>2654.4616797437516</v>
      </c>
      <c r="Q29" s="492">
        <v>2649.2311872393452</v>
      </c>
      <c r="R29" s="492">
        <v>2652.4447442018732</v>
      </c>
      <c r="S29" s="19">
        <v>-4.3575436901722275E-2</v>
      </c>
      <c r="T29" s="19">
        <v>-1.6432688081303715E-3</v>
      </c>
    </row>
    <row r="30" spans="1:32" ht="16.5" customHeight="1">
      <c r="A30" s="4" t="s">
        <v>139</v>
      </c>
      <c r="B30" s="4" t="s">
        <v>79</v>
      </c>
      <c r="C30" s="4" t="s">
        <v>575</v>
      </c>
      <c r="D30" s="4" t="s">
        <v>91</v>
      </c>
      <c r="E30" s="2" t="s">
        <v>577</v>
      </c>
      <c r="G30" s="6" t="s">
        <v>180</v>
      </c>
      <c r="H30" s="496">
        <v>149.43263731209126</v>
      </c>
      <c r="I30" s="496">
        <v>144.6642255187175</v>
      </c>
      <c r="J30" s="496">
        <v>109.35541243996977</v>
      </c>
      <c r="K30" s="496">
        <v>118.58098656657069</v>
      </c>
      <c r="L30" s="496">
        <v>127.09049100910173</v>
      </c>
      <c r="M30" s="492">
        <v>119.08908871201163</v>
      </c>
      <c r="N30" s="492">
        <v>117.29039446498663</v>
      </c>
      <c r="O30" s="492">
        <v>116.40417839722204</v>
      </c>
      <c r="P30" s="492">
        <v>115.87952590334686</v>
      </c>
      <c r="Q30" s="492">
        <v>116.52685472385616</v>
      </c>
      <c r="R30" s="492">
        <v>118.42429140396651</v>
      </c>
      <c r="S30" s="19">
        <v>-4.7472097393156831E-2</v>
      </c>
      <c r="T30" s="19">
        <v>-1.1189719562961775E-3</v>
      </c>
    </row>
    <row r="31" spans="1:32" ht="16.5" customHeight="1">
      <c r="A31" s="439" t="s">
        <v>139</v>
      </c>
      <c r="B31" s="439" t="s">
        <v>79</v>
      </c>
      <c r="C31" s="477" t="s">
        <v>578</v>
      </c>
      <c r="D31" s="436"/>
      <c r="E31" s="436"/>
      <c r="F31" s="436"/>
      <c r="G31" s="436" t="s">
        <v>180</v>
      </c>
      <c r="H31" s="478">
        <v>5318.302642113691</v>
      </c>
      <c r="I31" s="478">
        <v>6061.2575061525849</v>
      </c>
      <c r="J31" s="478">
        <v>5077.8359511343806</v>
      </c>
      <c r="K31" s="478">
        <v>5565.2515612489988</v>
      </c>
      <c r="L31" s="478">
        <v>6289.3207326578331</v>
      </c>
      <c r="M31" s="479">
        <v>6324.5575121625043</v>
      </c>
      <c r="N31" s="479">
        <v>6633.5921211010136</v>
      </c>
      <c r="O31" s="479">
        <v>6985.4119992814867</v>
      </c>
      <c r="P31" s="479">
        <v>7372.1209456577544</v>
      </c>
      <c r="Q31" s="479">
        <v>7810.351515920087</v>
      </c>
      <c r="R31" s="479">
        <v>8286.3562325186158</v>
      </c>
      <c r="S31" s="480">
        <v>1.0687403067652257E-2</v>
      </c>
      <c r="T31" s="480">
        <v>5.5520544384858539E-2</v>
      </c>
    </row>
    <row r="32" spans="1:32" ht="16.5" customHeight="1">
      <c r="A32" s="4" t="s">
        <v>139</v>
      </c>
      <c r="B32" s="4" t="s">
        <v>79</v>
      </c>
      <c r="C32" s="4" t="s">
        <v>578</v>
      </c>
      <c r="D32" s="2" t="s">
        <v>572</v>
      </c>
      <c r="G32" s="6" t="s">
        <v>180</v>
      </c>
      <c r="H32" s="495">
        <v>3205.8088896253553</v>
      </c>
      <c r="I32" s="495">
        <v>3762.2565217391311</v>
      </c>
      <c r="J32" s="495">
        <v>3089.2844677137869</v>
      </c>
      <c r="K32" s="495">
        <v>3491.8887109687753</v>
      </c>
      <c r="L32" s="495">
        <v>3962.343904321137</v>
      </c>
      <c r="M32" s="489">
        <v>4047.1435602705578</v>
      </c>
      <c r="N32" s="489">
        <v>4318.8300580452151</v>
      </c>
      <c r="O32" s="489">
        <v>4634.6248808084647</v>
      </c>
      <c r="P32" s="489">
        <v>4981.5387996024265</v>
      </c>
      <c r="Q32" s="489">
        <v>5377.6668813467586</v>
      </c>
      <c r="R32" s="489">
        <v>5804.6846342531917</v>
      </c>
      <c r="S32" s="485">
        <v>1.8415619658241678E-2</v>
      </c>
      <c r="T32" s="485">
        <v>7.4795907123242689E-2</v>
      </c>
    </row>
    <row r="33" spans="1:20" ht="16.5" customHeight="1">
      <c r="A33" s="4" t="s">
        <v>139</v>
      </c>
      <c r="B33" s="4" t="s">
        <v>79</v>
      </c>
      <c r="C33" s="4" t="s">
        <v>578</v>
      </c>
      <c r="D33" s="4" t="s">
        <v>572</v>
      </c>
      <c r="E33" s="2" t="s">
        <v>14</v>
      </c>
      <c r="G33" s="6" t="s">
        <v>180</v>
      </c>
      <c r="H33" s="498">
        <v>474.59924806783221</v>
      </c>
      <c r="I33" s="498">
        <v>528.49387109419786</v>
      </c>
      <c r="J33" s="498">
        <v>475.04232936194825</v>
      </c>
      <c r="K33" s="498">
        <v>493.66683075763837</v>
      </c>
      <c r="L33" s="498">
        <v>524.25682833085682</v>
      </c>
      <c r="M33" s="489">
        <v>520.64435878540405</v>
      </c>
      <c r="N33" s="489">
        <v>543.51173312711421</v>
      </c>
      <c r="O33" s="489">
        <v>560.30032078130773</v>
      </c>
      <c r="P33" s="489">
        <v>579.13255874738013</v>
      </c>
      <c r="Q33" s="489">
        <v>605.29069070483797</v>
      </c>
      <c r="R33" s="489">
        <v>634.73588819414078</v>
      </c>
      <c r="S33" s="485">
        <v>-3.7340142849904279E-3</v>
      </c>
      <c r="T33" s="485">
        <v>4.0424037541004987E-2</v>
      </c>
    </row>
    <row r="34" spans="1:20" ht="16.5" customHeight="1">
      <c r="A34" s="4" t="s">
        <v>139</v>
      </c>
      <c r="B34" s="4" t="s">
        <v>79</v>
      </c>
      <c r="C34" s="4" t="s">
        <v>578</v>
      </c>
      <c r="D34" s="4" t="s">
        <v>572</v>
      </c>
      <c r="E34" s="1" t="s">
        <v>14</v>
      </c>
      <c r="F34" s="2" t="s">
        <v>90</v>
      </c>
      <c r="G34" s="6" t="s">
        <v>180</v>
      </c>
      <c r="H34" s="496">
        <v>144.34273871734311</v>
      </c>
      <c r="I34" s="496">
        <v>180.23447607898146</v>
      </c>
      <c r="J34" s="496">
        <v>227.64443286867314</v>
      </c>
      <c r="K34" s="496">
        <v>258.09693829301506</v>
      </c>
      <c r="L34" s="496">
        <v>301.26226627130774</v>
      </c>
      <c r="M34" s="492">
        <v>322.91743048662721</v>
      </c>
      <c r="N34" s="492">
        <v>357.85348758192669</v>
      </c>
      <c r="O34" s="492">
        <v>383.64575704057751</v>
      </c>
      <c r="P34" s="492">
        <v>411.1778064652928</v>
      </c>
      <c r="Q34" s="492">
        <v>443.16939950475432</v>
      </c>
      <c r="R34" s="492">
        <v>472.78115979097612</v>
      </c>
      <c r="S34" s="19">
        <v>0.15694684183247953</v>
      </c>
      <c r="T34" s="19">
        <v>7.9229317990418657E-2</v>
      </c>
    </row>
    <row r="35" spans="1:20" ht="16.5" customHeight="1">
      <c r="A35" s="4" t="s">
        <v>139</v>
      </c>
      <c r="B35" s="4" t="s">
        <v>79</v>
      </c>
      <c r="C35" s="4" t="s">
        <v>578</v>
      </c>
      <c r="D35" s="4" t="s">
        <v>572</v>
      </c>
      <c r="E35" s="1" t="s">
        <v>14</v>
      </c>
      <c r="F35" s="2" t="s">
        <v>91</v>
      </c>
      <c r="G35" s="6" t="s">
        <v>180</v>
      </c>
      <c r="H35" s="499">
        <v>330.25650935048907</v>
      </c>
      <c r="I35" s="499">
        <v>348.25939501521634</v>
      </c>
      <c r="J35" s="499">
        <v>247.39789649327508</v>
      </c>
      <c r="K35" s="499">
        <v>235.56989246462331</v>
      </c>
      <c r="L35" s="499">
        <v>222.99456205954905</v>
      </c>
      <c r="M35" s="492">
        <v>197.72692829877687</v>
      </c>
      <c r="N35" s="492">
        <v>185.65824554518758</v>
      </c>
      <c r="O35" s="492">
        <v>176.65456374073025</v>
      </c>
      <c r="P35" s="492">
        <v>167.95475228208733</v>
      </c>
      <c r="Q35" s="492">
        <v>162.12129120008362</v>
      </c>
      <c r="R35" s="492">
        <v>161.95472840316464</v>
      </c>
      <c r="S35" s="19">
        <v>-0.13195798865412434</v>
      </c>
      <c r="T35" s="19">
        <v>-3.9127946104566491E-2</v>
      </c>
    </row>
    <row r="36" spans="1:20" ht="16.5" customHeight="1">
      <c r="A36" s="4" t="s">
        <v>139</v>
      </c>
      <c r="B36" s="4" t="s">
        <v>79</v>
      </c>
      <c r="C36" s="4" t="s">
        <v>578</v>
      </c>
      <c r="D36" s="4" t="s">
        <v>572</v>
      </c>
      <c r="E36" s="2" t="s">
        <v>15</v>
      </c>
      <c r="G36" s="6" t="s">
        <v>180</v>
      </c>
      <c r="H36" s="495">
        <v>2731.2096415575229</v>
      </c>
      <c r="I36" s="495">
        <v>3233.7626506449333</v>
      </c>
      <c r="J36" s="495">
        <v>2614.242138351839</v>
      </c>
      <c r="K36" s="495">
        <v>2998.221880211137</v>
      </c>
      <c r="L36" s="495">
        <v>3438.0870759902805</v>
      </c>
      <c r="M36" s="489">
        <v>3526.4992014851537</v>
      </c>
      <c r="N36" s="489">
        <v>3775.3183249181016</v>
      </c>
      <c r="O36" s="489">
        <v>4074.3245600271566</v>
      </c>
      <c r="P36" s="489">
        <v>4402.4062408550462</v>
      </c>
      <c r="Q36" s="489">
        <v>4772.3761906419213</v>
      </c>
      <c r="R36" s="489">
        <v>5169.9487460590508</v>
      </c>
      <c r="S36" s="485">
        <v>2.1901207404271039E-2</v>
      </c>
      <c r="T36" s="485">
        <v>7.9514523399777381E-2</v>
      </c>
    </row>
    <row r="37" spans="1:20" ht="15" customHeight="1">
      <c r="A37" s="4" t="s">
        <v>139</v>
      </c>
      <c r="B37" s="4" t="s">
        <v>79</v>
      </c>
      <c r="C37" s="4" t="s">
        <v>578</v>
      </c>
      <c r="D37" s="4" t="s">
        <v>572</v>
      </c>
      <c r="E37" s="1" t="s">
        <v>15</v>
      </c>
      <c r="F37" s="2" t="s">
        <v>90</v>
      </c>
      <c r="G37" s="6" t="s">
        <v>180</v>
      </c>
      <c r="H37" s="499">
        <v>849.54313259383957</v>
      </c>
      <c r="I37" s="499">
        <v>1127.6738653070934</v>
      </c>
      <c r="J37" s="499">
        <v>1281.440272798478</v>
      </c>
      <c r="K37" s="499">
        <v>1602.8769998758257</v>
      </c>
      <c r="L37" s="499">
        <v>2019.7840255161284</v>
      </c>
      <c r="M37" s="492">
        <v>2215.5371162679462</v>
      </c>
      <c r="N37" s="492">
        <v>2512.0531784231498</v>
      </c>
      <c r="O37" s="492">
        <v>2843.1345821634709</v>
      </c>
      <c r="P37" s="492">
        <v>3190.1156987622066</v>
      </c>
      <c r="Q37" s="492">
        <v>3567.5767694379142</v>
      </c>
      <c r="R37" s="492">
        <v>3962.4275738028578</v>
      </c>
      <c r="S37" s="19">
        <v>0.18392414766371434</v>
      </c>
      <c r="T37" s="19">
        <v>0.12330181711654586</v>
      </c>
    </row>
    <row r="38" spans="1:20" ht="16.5" customHeight="1">
      <c r="A38" s="4" t="s">
        <v>139</v>
      </c>
      <c r="B38" s="4" t="s">
        <v>79</v>
      </c>
      <c r="C38" s="4" t="s">
        <v>578</v>
      </c>
      <c r="D38" s="4" t="s">
        <v>572</v>
      </c>
      <c r="E38" s="1" t="s">
        <v>15</v>
      </c>
      <c r="F38" s="2" t="s">
        <v>91</v>
      </c>
      <c r="G38" s="6" t="s">
        <v>180</v>
      </c>
      <c r="H38" s="499">
        <v>1881.6665089636836</v>
      </c>
      <c r="I38" s="499">
        <v>2106.0887853378399</v>
      </c>
      <c r="J38" s="499">
        <v>1332.8018655533608</v>
      </c>
      <c r="K38" s="499">
        <v>1395.3448803353112</v>
      </c>
      <c r="L38" s="499">
        <v>1418.3030504741521</v>
      </c>
      <c r="M38" s="492">
        <v>1310.9620852172075</v>
      </c>
      <c r="N38" s="492">
        <v>1263.2651464949511</v>
      </c>
      <c r="O38" s="492">
        <v>1231.1899778636857</v>
      </c>
      <c r="P38" s="492">
        <v>1212.2905420928394</v>
      </c>
      <c r="Q38" s="492">
        <v>1204.7994212040069</v>
      </c>
      <c r="R38" s="492">
        <v>1207.5211722561937</v>
      </c>
      <c r="S38" s="19">
        <v>-0.11176401445843109</v>
      </c>
      <c r="T38" s="19">
        <v>-1.6303956667605979E-2</v>
      </c>
    </row>
    <row r="39" spans="1:20" ht="16.5" customHeight="1">
      <c r="A39" s="4" t="s">
        <v>139</v>
      </c>
      <c r="B39" s="4" t="s">
        <v>79</v>
      </c>
      <c r="C39" s="4" t="s">
        <v>578</v>
      </c>
      <c r="D39" s="2" t="s">
        <v>573</v>
      </c>
      <c r="G39" s="6" t="s">
        <v>180</v>
      </c>
      <c r="H39" s="495">
        <v>1830.7730303177659</v>
      </c>
      <c r="I39" s="495">
        <v>1988.0499589827728</v>
      </c>
      <c r="J39" s="495">
        <v>1716.8586387434555</v>
      </c>
      <c r="K39" s="495">
        <v>1759.550840672538</v>
      </c>
      <c r="L39" s="495">
        <v>1955.7878182041945</v>
      </c>
      <c r="M39" s="489">
        <v>1908.26089141235</v>
      </c>
      <c r="N39" s="489">
        <v>1936.0130977027736</v>
      </c>
      <c r="O39" s="489">
        <v>1961.2530051598706</v>
      </c>
      <c r="P39" s="489">
        <v>1986.4236637939946</v>
      </c>
      <c r="Q39" s="489">
        <v>2014.6425635846872</v>
      </c>
      <c r="R39" s="489">
        <v>2046.4035693334683</v>
      </c>
      <c r="S39" s="485">
        <v>-1.0188229504205948E-2</v>
      </c>
      <c r="T39" s="485">
        <v>1.4076472877775359E-2</v>
      </c>
    </row>
    <row r="40" spans="1:20" ht="16.5" customHeight="1">
      <c r="A40" s="4" t="s">
        <v>139</v>
      </c>
      <c r="B40" s="4" t="s">
        <v>79</v>
      </c>
      <c r="C40" s="4" t="s">
        <v>578</v>
      </c>
      <c r="D40" s="4" t="s">
        <v>573</v>
      </c>
      <c r="E40" s="2" t="s">
        <v>14</v>
      </c>
      <c r="G40" s="6" t="s">
        <v>180</v>
      </c>
      <c r="H40" s="498">
        <v>120.334638640279</v>
      </c>
      <c r="I40" s="498">
        <v>123.98969179458477</v>
      </c>
      <c r="J40" s="498">
        <v>117.21297314531802</v>
      </c>
      <c r="K40" s="498">
        <v>110.44399540044481</v>
      </c>
      <c r="L40" s="498">
        <v>116.63910284371643</v>
      </c>
      <c r="M40" s="492">
        <v>111.07127417173005</v>
      </c>
      <c r="N40" s="492">
        <v>110.97916329453392</v>
      </c>
      <c r="O40" s="492">
        <v>111.38587727573635</v>
      </c>
      <c r="P40" s="492">
        <v>111.67950612430724</v>
      </c>
      <c r="Q40" s="492">
        <v>111.83097821792923</v>
      </c>
      <c r="R40" s="492">
        <v>112.03042235491993</v>
      </c>
      <c r="S40" s="19">
        <v>-2.7131720535742643E-2</v>
      </c>
      <c r="T40" s="19">
        <v>1.721151018329925E-3</v>
      </c>
    </row>
    <row r="41" spans="1:20" ht="16.5" customHeight="1">
      <c r="A41" s="4" t="s">
        <v>139</v>
      </c>
      <c r="B41" s="4" t="s">
        <v>79</v>
      </c>
      <c r="C41" s="4" t="s">
        <v>578</v>
      </c>
      <c r="D41" s="4" t="s">
        <v>573</v>
      </c>
      <c r="E41" s="1" t="s">
        <v>14</v>
      </c>
      <c r="F41" s="2" t="s">
        <v>90</v>
      </c>
      <c r="G41" s="6" t="s">
        <v>180</v>
      </c>
      <c r="H41" s="496">
        <v>13.388522181563781</v>
      </c>
      <c r="I41" s="496">
        <v>14.496585328811387</v>
      </c>
      <c r="J41" s="496">
        <v>15.76365625461702</v>
      </c>
      <c r="K41" s="496">
        <v>16.31810032041572</v>
      </c>
      <c r="L41" s="496">
        <v>18.017728571199552</v>
      </c>
      <c r="M41" s="492">
        <v>17.859584300627166</v>
      </c>
      <c r="N41" s="492">
        <v>18.574755119830105</v>
      </c>
      <c r="O41" s="492">
        <v>19.580737185725042</v>
      </c>
      <c r="P41" s="492">
        <v>20.304894005633237</v>
      </c>
      <c r="Q41" s="492">
        <v>21.232726876317368</v>
      </c>
      <c r="R41" s="492">
        <v>22.241865713727087</v>
      </c>
      <c r="S41" s="19">
        <v>5.3540917565112256E-2</v>
      </c>
      <c r="T41" s="19">
        <v>4.4864499256902723E-2</v>
      </c>
    </row>
    <row r="42" spans="1:20" ht="16.5" customHeight="1">
      <c r="A42" s="4" t="s">
        <v>139</v>
      </c>
      <c r="B42" s="4" t="s">
        <v>79</v>
      </c>
      <c r="C42" s="4" t="s">
        <v>578</v>
      </c>
      <c r="D42" s="4" t="s">
        <v>573</v>
      </c>
      <c r="E42" s="1" t="s">
        <v>14</v>
      </c>
      <c r="F42" s="2" t="s">
        <v>91</v>
      </c>
      <c r="G42" s="6" t="s">
        <v>180</v>
      </c>
      <c r="H42" s="499">
        <v>106.94611645871521</v>
      </c>
      <c r="I42" s="499">
        <v>109.49310646577339</v>
      </c>
      <c r="J42" s="499">
        <v>101.449316890701</v>
      </c>
      <c r="K42" s="499">
        <v>94.125895080029082</v>
      </c>
      <c r="L42" s="499">
        <v>98.621374272516888</v>
      </c>
      <c r="M42" s="492">
        <v>93.211689871102891</v>
      </c>
      <c r="N42" s="492">
        <v>92.404408174703818</v>
      </c>
      <c r="O42" s="492">
        <v>91.805140090011307</v>
      </c>
      <c r="P42" s="492">
        <v>91.374612118673994</v>
      </c>
      <c r="Q42" s="492">
        <v>90.598251341611871</v>
      </c>
      <c r="R42" s="492">
        <v>89.788556641192841</v>
      </c>
      <c r="S42" s="19">
        <v>-3.9447954834612609E-2</v>
      </c>
      <c r="T42" s="19">
        <v>-7.4551923673017439E-3</v>
      </c>
    </row>
    <row r="43" spans="1:20" ht="16.5" customHeight="1">
      <c r="A43" s="4" t="s">
        <v>139</v>
      </c>
      <c r="B43" s="4" t="s">
        <v>79</v>
      </c>
      <c r="C43" s="4" t="s">
        <v>578</v>
      </c>
      <c r="D43" s="4" t="s">
        <v>573</v>
      </c>
      <c r="E43" s="2" t="s">
        <v>15</v>
      </c>
      <c r="G43" s="6" t="s">
        <v>180</v>
      </c>
      <c r="H43" s="495">
        <v>1710.4383916774868</v>
      </c>
      <c r="I43" s="495">
        <v>1864.0602671881879</v>
      </c>
      <c r="J43" s="495">
        <v>1599.6456655981374</v>
      </c>
      <c r="K43" s="495">
        <v>1649.1068452720931</v>
      </c>
      <c r="L43" s="495">
        <v>1839.1487153604778</v>
      </c>
      <c r="M43" s="489">
        <v>1797.1896172406202</v>
      </c>
      <c r="N43" s="489">
        <v>1825.0339344082399</v>
      </c>
      <c r="O43" s="489">
        <v>1849.8671278841343</v>
      </c>
      <c r="P43" s="489">
        <v>1874.7441576696874</v>
      </c>
      <c r="Q43" s="489">
        <v>1902.811585366758</v>
      </c>
      <c r="R43" s="489">
        <v>1934.3731469785484</v>
      </c>
      <c r="S43" s="485">
        <v>-9.0916504539706455E-3</v>
      </c>
      <c r="T43" s="485">
        <v>1.4820591357680213E-2</v>
      </c>
    </row>
    <row r="44" spans="1:20" ht="16.5" customHeight="1">
      <c r="A44" s="4" t="s">
        <v>139</v>
      </c>
      <c r="B44" s="4" t="s">
        <v>79</v>
      </c>
      <c r="C44" s="4" t="s">
        <v>578</v>
      </c>
      <c r="D44" s="4" t="s">
        <v>573</v>
      </c>
      <c r="E44" s="1" t="s">
        <v>15</v>
      </c>
      <c r="F44" s="2" t="s">
        <v>90</v>
      </c>
      <c r="G44" s="6" t="s">
        <v>180</v>
      </c>
      <c r="H44" s="499">
        <v>193.40658540475943</v>
      </c>
      <c r="I44" s="499">
        <v>221.48124248056641</v>
      </c>
      <c r="J44" s="499">
        <v>218.64820403609727</v>
      </c>
      <c r="K44" s="499">
        <v>247.61452578046493</v>
      </c>
      <c r="L44" s="499">
        <v>288.70176321359105</v>
      </c>
      <c r="M44" s="492">
        <v>299.35973113854436</v>
      </c>
      <c r="N44" s="492">
        <v>321.34030056797269</v>
      </c>
      <c r="O44" s="492">
        <v>343.30857095794607</v>
      </c>
      <c r="P44" s="492">
        <v>365.17781371871047</v>
      </c>
      <c r="Q44" s="492">
        <v>388.90458750477285</v>
      </c>
      <c r="R44" s="492">
        <v>412.15047456499792</v>
      </c>
      <c r="S44" s="19">
        <v>7.8236693501999133E-2</v>
      </c>
      <c r="T44" s="19">
        <v>6.6037506606248186E-2</v>
      </c>
    </row>
    <row r="45" spans="1:20" ht="16.5" customHeight="1">
      <c r="A45" s="4" t="s">
        <v>139</v>
      </c>
      <c r="B45" s="4" t="s">
        <v>79</v>
      </c>
      <c r="C45" s="4" t="s">
        <v>578</v>
      </c>
      <c r="D45" s="4" t="s">
        <v>573</v>
      </c>
      <c r="E45" s="1" t="s">
        <v>15</v>
      </c>
      <c r="F45" s="2" t="s">
        <v>91</v>
      </c>
      <c r="G45" s="6" t="s">
        <v>180</v>
      </c>
      <c r="H45" s="499">
        <v>1517.0318062727274</v>
      </c>
      <c r="I45" s="499">
        <v>1642.5790247076216</v>
      </c>
      <c r="J45" s="499">
        <v>1380.9974615620404</v>
      </c>
      <c r="K45" s="499">
        <v>1401.492319491628</v>
      </c>
      <c r="L45" s="499">
        <v>1550.4469521468868</v>
      </c>
      <c r="M45" s="492">
        <v>1497.8298861020758</v>
      </c>
      <c r="N45" s="492">
        <v>1503.693633840267</v>
      </c>
      <c r="O45" s="492">
        <v>1506.5585569261882</v>
      </c>
      <c r="P45" s="492">
        <v>1509.5663439509769</v>
      </c>
      <c r="Q45" s="492">
        <v>1513.9069978619852</v>
      </c>
      <c r="R45" s="492">
        <v>1522.2226724135505</v>
      </c>
      <c r="S45" s="19">
        <v>-2.2798657891399121E-2</v>
      </c>
      <c r="T45" s="19">
        <v>3.2360714657819756E-3</v>
      </c>
    </row>
    <row r="46" spans="1:20" ht="15" customHeight="1">
      <c r="A46" s="4" t="s">
        <v>139</v>
      </c>
      <c r="B46" s="4" t="s">
        <v>79</v>
      </c>
      <c r="C46" s="4" t="s">
        <v>578</v>
      </c>
      <c r="D46" s="2" t="s">
        <v>574</v>
      </c>
      <c r="G46" s="6" t="s">
        <v>180</v>
      </c>
      <c r="H46" s="495">
        <v>281.72072217056922</v>
      </c>
      <c r="I46" s="495">
        <v>310.95102543068094</v>
      </c>
      <c r="J46" s="495">
        <v>271.69284467713851</v>
      </c>
      <c r="K46" s="495">
        <v>313.81200960768547</v>
      </c>
      <c r="L46" s="495">
        <v>371.18901013250144</v>
      </c>
      <c r="M46" s="489">
        <v>369.15306047959666</v>
      </c>
      <c r="N46" s="489">
        <v>378.74896535302463</v>
      </c>
      <c r="O46" s="489">
        <v>389.53411331315181</v>
      </c>
      <c r="P46" s="489">
        <v>404.1584822613334</v>
      </c>
      <c r="Q46" s="489">
        <v>418.04207098864072</v>
      </c>
      <c r="R46" s="489">
        <v>435.26802893195605</v>
      </c>
      <c r="S46" s="485">
        <v>4.3827225241195977E-2</v>
      </c>
      <c r="T46" s="485">
        <v>3.3498996063454856E-2</v>
      </c>
    </row>
    <row r="47" spans="1:20" ht="16.5" customHeight="1">
      <c r="A47" s="4" t="s">
        <v>139</v>
      </c>
      <c r="B47" s="4" t="s">
        <v>79</v>
      </c>
      <c r="C47" s="4" t="s">
        <v>578</v>
      </c>
      <c r="D47" s="4" t="s">
        <v>574</v>
      </c>
      <c r="E47" s="2" t="s">
        <v>14</v>
      </c>
      <c r="G47" s="6" t="s">
        <v>180</v>
      </c>
      <c r="H47" s="498">
        <v>30.112056433250938</v>
      </c>
      <c r="I47" s="498">
        <v>31.536663963049108</v>
      </c>
      <c r="J47" s="498">
        <v>30.163714087926135</v>
      </c>
      <c r="K47" s="498">
        <v>32.031355681007192</v>
      </c>
      <c r="L47" s="498">
        <v>35.998384705364998</v>
      </c>
      <c r="M47" s="489">
        <v>35.337504031235127</v>
      </c>
      <c r="N47" s="489">
        <v>36.026405984142379</v>
      </c>
      <c r="O47" s="489">
        <v>36.346299036970073</v>
      </c>
      <c r="P47" s="489">
        <v>37.225399949998703</v>
      </c>
      <c r="Q47" s="489">
        <v>38.218041971053388</v>
      </c>
      <c r="R47" s="489">
        <v>39.528922383192153</v>
      </c>
      <c r="S47" s="485">
        <v>2.885703176460841E-2</v>
      </c>
      <c r="T47" s="485">
        <v>2.2670717441174215E-2</v>
      </c>
    </row>
    <row r="48" spans="1:20" ht="16.5" customHeight="1">
      <c r="A48" s="4" t="s">
        <v>139</v>
      </c>
      <c r="B48" s="4" t="s">
        <v>79</v>
      </c>
      <c r="C48" s="4" t="s">
        <v>578</v>
      </c>
      <c r="D48" s="4" t="s">
        <v>574</v>
      </c>
      <c r="E48" s="1" t="s">
        <v>14</v>
      </c>
      <c r="F48" s="2" t="s">
        <v>90</v>
      </c>
      <c r="G48" s="6" t="s">
        <v>180</v>
      </c>
      <c r="H48" s="388">
        <v>7.954960916566411</v>
      </c>
      <c r="I48" s="388">
        <v>8.3752975089421753</v>
      </c>
      <c r="J48" s="388">
        <v>8.8355374581025519</v>
      </c>
      <c r="K48" s="388">
        <v>8.8691952116102915</v>
      </c>
      <c r="L48" s="388">
        <v>9.3692622343291276</v>
      </c>
      <c r="M48" s="492">
        <v>9.4711253038489129</v>
      </c>
      <c r="N48" s="492">
        <v>9.9431128671109494</v>
      </c>
      <c r="O48" s="492">
        <v>10.197896162785307</v>
      </c>
      <c r="P48" s="492">
        <v>10.673090314914649</v>
      </c>
      <c r="Q48" s="492">
        <v>11.30491876657759</v>
      </c>
      <c r="R48" s="492">
        <v>12.043332851426007</v>
      </c>
      <c r="S48" s="19">
        <v>3.1217643290758046E-2</v>
      </c>
      <c r="T48" s="19">
        <v>4.9225945568269536E-2</v>
      </c>
    </row>
    <row r="49" spans="1:20" ht="16.5" customHeight="1">
      <c r="A49" s="4" t="s">
        <v>139</v>
      </c>
      <c r="B49" s="4" t="s">
        <v>79</v>
      </c>
      <c r="C49" s="4" t="s">
        <v>578</v>
      </c>
      <c r="D49" s="4" t="s">
        <v>574</v>
      </c>
      <c r="E49" s="1" t="s">
        <v>14</v>
      </c>
      <c r="F49" s="2" t="s">
        <v>91</v>
      </c>
      <c r="G49" s="6" t="s">
        <v>180</v>
      </c>
      <c r="H49" s="499">
        <v>22.157095516684524</v>
      </c>
      <c r="I49" s="499">
        <v>23.161366454106933</v>
      </c>
      <c r="J49" s="499">
        <v>21.328176629823584</v>
      </c>
      <c r="K49" s="499">
        <v>23.162160469396905</v>
      </c>
      <c r="L49" s="499">
        <v>26.629122471035867</v>
      </c>
      <c r="M49" s="492">
        <v>25.866378727386213</v>
      </c>
      <c r="N49" s="492">
        <v>26.083293117031424</v>
      </c>
      <c r="O49" s="492">
        <v>26.148402874184768</v>
      </c>
      <c r="P49" s="492">
        <v>26.552309635084054</v>
      </c>
      <c r="Q49" s="492">
        <v>26.913123204475799</v>
      </c>
      <c r="R49" s="492">
        <v>27.485589531766152</v>
      </c>
      <c r="S49" s="19">
        <v>2.7999405579876901E-2</v>
      </c>
      <c r="T49" s="19">
        <v>1.2217601202843431E-2</v>
      </c>
    </row>
    <row r="50" spans="1:20" ht="16.5" customHeight="1">
      <c r="A50" s="4" t="s">
        <v>139</v>
      </c>
      <c r="B50" s="4" t="s">
        <v>79</v>
      </c>
      <c r="C50" s="4" t="s">
        <v>578</v>
      </c>
      <c r="D50" s="4" t="s">
        <v>574</v>
      </c>
      <c r="E50" s="2" t="s">
        <v>15</v>
      </c>
      <c r="G50" s="6" t="s">
        <v>180</v>
      </c>
      <c r="H50" s="495">
        <v>251.60866573731826</v>
      </c>
      <c r="I50" s="495">
        <v>279.41436146763181</v>
      </c>
      <c r="J50" s="495">
        <v>241.52913058921237</v>
      </c>
      <c r="K50" s="495">
        <v>281.78065392667833</v>
      </c>
      <c r="L50" s="495">
        <v>335.19062542713641</v>
      </c>
      <c r="M50" s="489">
        <v>333.81555644836152</v>
      </c>
      <c r="N50" s="489">
        <v>342.72255936888229</v>
      </c>
      <c r="O50" s="489">
        <v>353.18781427618177</v>
      </c>
      <c r="P50" s="489">
        <v>366.93308231133477</v>
      </c>
      <c r="Q50" s="489">
        <v>379.82402901758735</v>
      </c>
      <c r="R50" s="489">
        <v>395.73910654876391</v>
      </c>
      <c r="S50" s="485">
        <v>4.5476949094166441E-2</v>
      </c>
      <c r="T50" s="485">
        <v>3.4619070980724587E-2</v>
      </c>
    </row>
    <row r="51" spans="1:20" ht="16.5" customHeight="1">
      <c r="A51" s="4" t="s">
        <v>139</v>
      </c>
      <c r="B51" s="4" t="s">
        <v>79</v>
      </c>
      <c r="C51" s="4" t="s">
        <v>578</v>
      </c>
      <c r="D51" s="4" t="s">
        <v>574</v>
      </c>
      <c r="E51" s="1" t="s">
        <v>15</v>
      </c>
      <c r="F51" s="2" t="s">
        <v>90</v>
      </c>
      <c r="G51" s="6" t="s">
        <v>180</v>
      </c>
      <c r="H51" s="499">
        <v>68.50421791349882</v>
      </c>
      <c r="I51" s="499">
        <v>76.462559089843225</v>
      </c>
      <c r="J51" s="499">
        <v>72.924213430805693</v>
      </c>
      <c r="K51" s="499">
        <v>80.397951977282617</v>
      </c>
      <c r="L51" s="499">
        <v>90.921284900955513</v>
      </c>
      <c r="M51" s="492">
        <v>92.586229550251943</v>
      </c>
      <c r="N51" s="492">
        <v>97.559635117557818</v>
      </c>
      <c r="O51" s="492">
        <v>102.92627100612518</v>
      </c>
      <c r="P51" s="492">
        <v>108.57450715082467</v>
      </c>
      <c r="Q51" s="492">
        <v>115.13597700713672</v>
      </c>
      <c r="R51" s="492">
        <v>122.72823890951712</v>
      </c>
      <c r="S51" s="19">
        <v>4.899735301265129E-2</v>
      </c>
      <c r="T51" s="19">
        <v>5.7985269015292884E-2</v>
      </c>
    </row>
    <row r="52" spans="1:20" ht="16.5" customHeight="1">
      <c r="A52" s="4" t="s">
        <v>139</v>
      </c>
      <c r="B52" s="4" t="s">
        <v>79</v>
      </c>
      <c r="C52" s="4" t="s">
        <v>578</v>
      </c>
      <c r="D52" s="4" t="s">
        <v>574</v>
      </c>
      <c r="E52" s="1" t="s">
        <v>15</v>
      </c>
      <c r="F52" s="2" t="s">
        <v>91</v>
      </c>
      <c r="G52" s="6" t="s">
        <v>180</v>
      </c>
      <c r="H52" s="499">
        <v>183.10444782381944</v>
      </c>
      <c r="I52" s="499">
        <v>202.95180237778857</v>
      </c>
      <c r="J52" s="499">
        <v>168.60491715840669</v>
      </c>
      <c r="K52" s="499">
        <v>201.38270194939571</v>
      </c>
      <c r="L52" s="499">
        <v>244.26934052618088</v>
      </c>
      <c r="M52" s="492">
        <v>241.22932689810958</v>
      </c>
      <c r="N52" s="492">
        <v>245.16292425132448</v>
      </c>
      <c r="O52" s="492">
        <v>250.26154327005656</v>
      </c>
      <c r="P52" s="492">
        <v>258.3585751605101</v>
      </c>
      <c r="Q52" s="492">
        <v>264.68805201045063</v>
      </c>
      <c r="R52" s="492">
        <v>273.01086763924684</v>
      </c>
      <c r="S52" s="19">
        <v>4.4141357499064338E-2</v>
      </c>
      <c r="T52" s="19">
        <v>2.5061603266644417E-2</v>
      </c>
    </row>
    <row r="53" spans="1:20" ht="16.5" customHeight="1">
      <c r="A53" s="129"/>
      <c r="B53" s="15"/>
      <c r="C53" s="6"/>
      <c r="D53" s="6"/>
      <c r="E53" s="6"/>
      <c r="F53" s="6"/>
      <c r="G53" s="6"/>
      <c r="H53" s="47"/>
      <c r="I53" s="47"/>
      <c r="J53" s="47"/>
      <c r="K53" s="6"/>
      <c r="L53" s="6"/>
      <c r="M53" s="500"/>
      <c r="N53" s="500"/>
      <c r="O53" s="500"/>
      <c r="P53" s="500"/>
      <c r="Q53" s="500"/>
      <c r="R53" s="500"/>
      <c r="S53" s="481"/>
      <c r="T53" s="481"/>
    </row>
    <row r="54" spans="1:20" ht="16.5" customHeight="1">
      <c r="A54" s="129"/>
      <c r="B54" s="129"/>
      <c r="C54" s="15"/>
      <c r="D54" s="6"/>
      <c r="E54" s="6"/>
      <c r="F54" s="6"/>
      <c r="G54" s="6"/>
      <c r="H54" s="47"/>
      <c r="I54" s="47"/>
      <c r="J54" s="47"/>
      <c r="K54" s="6"/>
      <c r="L54" s="6"/>
      <c r="M54" s="500"/>
      <c r="N54" s="500"/>
      <c r="O54" s="500"/>
      <c r="P54" s="500"/>
      <c r="Q54" s="500"/>
      <c r="R54" s="500"/>
      <c r="S54" s="481"/>
      <c r="T54" s="481"/>
    </row>
    <row r="55" spans="1:20" ht="16.5" customHeight="1">
      <c r="A55" s="129"/>
      <c r="B55" s="129"/>
      <c r="C55" s="129"/>
      <c r="D55" s="15"/>
      <c r="E55" s="6"/>
      <c r="F55" s="6"/>
      <c r="G55" s="6"/>
      <c r="H55" s="45"/>
      <c r="I55" s="45"/>
      <c r="J55" s="45"/>
      <c r="K55" s="501"/>
      <c r="L55" s="501"/>
      <c r="M55" s="501"/>
      <c r="N55" s="501"/>
      <c r="O55" s="501"/>
      <c r="P55" s="501"/>
      <c r="Q55" s="501"/>
      <c r="R55" s="501"/>
      <c r="S55" s="484"/>
      <c r="T55" s="484"/>
    </row>
    <row r="56" spans="1:20" ht="16.5" customHeight="1">
      <c r="A56" s="129"/>
      <c r="B56" s="129"/>
      <c r="C56" s="129"/>
      <c r="D56" s="129"/>
      <c r="E56" s="15"/>
      <c r="F56" s="6"/>
      <c r="G56" s="6"/>
      <c r="H56" s="47"/>
      <c r="I56" s="47"/>
      <c r="J56" s="47"/>
      <c r="K56" s="99"/>
      <c r="L56" s="99"/>
      <c r="M56" s="99"/>
      <c r="N56" s="99"/>
      <c r="O56" s="99"/>
      <c r="P56" s="99"/>
      <c r="Q56" s="99"/>
      <c r="R56" s="99"/>
      <c r="S56" s="481"/>
      <c r="T56" s="481"/>
    </row>
    <row r="57" spans="1:20" ht="16.5" customHeight="1">
      <c r="A57" s="129"/>
      <c r="B57" s="129"/>
      <c r="C57" s="129"/>
      <c r="D57" s="129"/>
      <c r="E57" s="15"/>
      <c r="F57" s="6"/>
      <c r="G57" s="6"/>
      <c r="H57" s="47"/>
      <c r="I57" s="47"/>
      <c r="J57" s="47"/>
      <c r="K57" s="99"/>
      <c r="L57" s="99"/>
      <c r="M57" s="99"/>
      <c r="N57" s="99"/>
      <c r="O57" s="99"/>
      <c r="P57" s="99"/>
      <c r="Q57" s="99"/>
      <c r="R57" s="99"/>
      <c r="S57" s="481"/>
      <c r="T57" s="481"/>
    </row>
    <row r="58" spans="1:20" ht="16.5" customHeight="1">
      <c r="A58" s="129"/>
      <c r="B58" s="129"/>
      <c r="C58" s="129"/>
      <c r="D58" s="129"/>
      <c r="E58" s="15"/>
      <c r="F58" s="6"/>
      <c r="G58" s="6"/>
      <c r="H58" s="47"/>
      <c r="I58" s="47"/>
      <c r="J58" s="47"/>
      <c r="K58" s="99"/>
      <c r="L58" s="99"/>
      <c r="M58" s="99"/>
      <c r="N58" s="99"/>
      <c r="O58" s="99"/>
      <c r="P58" s="99"/>
      <c r="Q58" s="99"/>
      <c r="R58" s="99"/>
      <c r="S58" s="481"/>
      <c r="T58" s="481"/>
    </row>
    <row r="59" spans="1:20" ht="16.5" customHeight="1">
      <c r="A59" s="129"/>
      <c r="B59" s="129"/>
      <c r="C59" s="129"/>
      <c r="D59" s="15"/>
      <c r="E59" s="6"/>
      <c r="F59" s="6"/>
      <c r="G59" s="6"/>
      <c r="H59" s="502"/>
      <c r="I59" s="502"/>
      <c r="J59" s="502"/>
      <c r="K59" s="503"/>
      <c r="L59" s="503"/>
      <c r="M59" s="504"/>
      <c r="N59" s="504"/>
      <c r="O59" s="504"/>
      <c r="P59" s="504"/>
      <c r="Q59" s="504"/>
      <c r="R59" s="504"/>
      <c r="S59" s="484"/>
      <c r="T59" s="484"/>
    </row>
    <row r="60" spans="1:20" ht="16.5" customHeight="1">
      <c r="A60" s="129"/>
      <c r="B60" s="129"/>
      <c r="C60" s="129"/>
      <c r="D60" s="129"/>
      <c r="E60" s="15"/>
      <c r="F60" s="6"/>
      <c r="G60" s="6"/>
      <c r="H60" s="47"/>
      <c r="I60" s="47"/>
      <c r="J60" s="47"/>
      <c r="K60" s="99"/>
      <c r="L60" s="99"/>
      <c r="M60" s="505"/>
      <c r="N60" s="505"/>
      <c r="O60" s="505"/>
      <c r="P60" s="505"/>
      <c r="Q60" s="505"/>
      <c r="R60" s="505"/>
      <c r="S60" s="481"/>
      <c r="T60" s="481"/>
    </row>
    <row r="61" spans="1:20" ht="16.5" customHeight="1">
      <c r="A61" s="129"/>
      <c r="B61" s="129"/>
      <c r="C61" s="129"/>
      <c r="D61" s="129"/>
      <c r="E61" s="129"/>
      <c r="F61" s="15"/>
      <c r="G61" s="15"/>
      <c r="H61" s="506"/>
      <c r="I61" s="506"/>
      <c r="J61" s="506"/>
      <c r="K61" s="507"/>
      <c r="L61" s="507"/>
      <c r="M61" s="487"/>
      <c r="N61" s="487"/>
      <c r="O61" s="487"/>
      <c r="P61" s="487"/>
      <c r="Q61" s="487"/>
      <c r="R61" s="487"/>
      <c r="S61" s="481"/>
      <c r="T61" s="481"/>
    </row>
    <row r="62" spans="1:20" ht="16.5" customHeight="1">
      <c r="A62" s="129"/>
      <c r="B62" s="129"/>
      <c r="C62" s="129"/>
      <c r="D62" s="129"/>
      <c r="E62" s="129"/>
      <c r="F62" s="15"/>
      <c r="G62" s="15"/>
      <c r="H62" s="506"/>
      <c r="I62" s="506"/>
      <c r="J62" s="506"/>
      <c r="K62" s="507"/>
      <c r="L62" s="507"/>
      <c r="M62" s="487"/>
      <c r="N62" s="487"/>
      <c r="O62" s="487"/>
      <c r="P62" s="487"/>
      <c r="Q62" s="487"/>
      <c r="R62" s="487"/>
      <c r="S62" s="481"/>
      <c r="T62" s="481"/>
    </row>
    <row r="63" spans="1:20" ht="16.5" customHeight="1">
      <c r="A63" s="129"/>
      <c r="B63" s="129"/>
      <c r="C63" s="129"/>
      <c r="D63" s="129"/>
      <c r="E63" s="15"/>
      <c r="F63" s="6"/>
      <c r="G63" s="6"/>
      <c r="H63" s="47"/>
      <c r="I63" s="47"/>
      <c r="J63" s="47"/>
      <c r="K63" s="99"/>
      <c r="L63" s="99"/>
      <c r="M63" s="483"/>
      <c r="N63" s="483"/>
      <c r="O63" s="483"/>
      <c r="P63" s="483"/>
      <c r="Q63" s="483"/>
      <c r="R63" s="483"/>
      <c r="S63" s="484"/>
      <c r="T63" s="484"/>
    </row>
    <row r="64" spans="1:20" ht="16.5" customHeight="1">
      <c r="A64" s="129"/>
      <c r="B64" s="129"/>
      <c r="C64" s="129"/>
      <c r="D64" s="129"/>
      <c r="E64" s="129"/>
      <c r="F64" s="15"/>
      <c r="G64" s="15"/>
      <c r="H64" s="506"/>
      <c r="I64" s="506"/>
      <c r="J64" s="506"/>
      <c r="K64" s="507"/>
      <c r="L64" s="507"/>
      <c r="M64" s="487"/>
      <c r="N64" s="487"/>
      <c r="O64" s="487"/>
      <c r="P64" s="487"/>
      <c r="Q64" s="487"/>
      <c r="R64" s="487"/>
      <c r="S64" s="481"/>
      <c r="T64" s="481"/>
    </row>
    <row r="65" spans="1:20" ht="16.5" customHeight="1">
      <c r="A65" s="129"/>
      <c r="B65" s="129"/>
      <c r="C65" s="129"/>
      <c r="D65" s="129"/>
      <c r="E65" s="129"/>
      <c r="F65" s="15"/>
      <c r="G65" s="15"/>
      <c r="H65" s="506"/>
      <c r="I65" s="506"/>
      <c r="J65" s="506"/>
      <c r="K65" s="507"/>
      <c r="L65" s="507"/>
      <c r="M65" s="487"/>
      <c r="N65" s="487"/>
      <c r="O65" s="487"/>
      <c r="P65" s="487"/>
      <c r="Q65" s="487"/>
      <c r="R65" s="487"/>
      <c r="S65" s="481"/>
      <c r="T65" s="481"/>
    </row>
    <row r="66" spans="1:20" ht="16.5" customHeight="1">
      <c r="A66" s="129"/>
      <c r="B66" s="129"/>
      <c r="C66" s="129"/>
      <c r="D66" s="129"/>
      <c r="E66" s="15"/>
      <c r="F66" s="6"/>
      <c r="G66" s="6"/>
      <c r="H66" s="47"/>
      <c r="I66" s="47"/>
      <c r="J66" s="47"/>
      <c r="K66" s="99"/>
      <c r="L66" s="99"/>
      <c r="M66" s="483"/>
      <c r="N66" s="483"/>
      <c r="O66" s="483"/>
      <c r="P66" s="483"/>
      <c r="Q66" s="483"/>
      <c r="R66" s="483"/>
      <c r="S66" s="484"/>
      <c r="T66" s="484"/>
    </row>
    <row r="67" spans="1:20" ht="16.5" customHeight="1">
      <c r="A67" s="129"/>
      <c r="B67" s="129"/>
      <c r="C67" s="129"/>
      <c r="D67" s="129"/>
      <c r="E67" s="129"/>
      <c r="F67" s="15"/>
      <c r="G67" s="15"/>
      <c r="H67" s="506"/>
      <c r="I67" s="506"/>
      <c r="J67" s="506"/>
      <c r="K67" s="507"/>
      <c r="L67" s="507"/>
      <c r="M67" s="487"/>
      <c r="N67" s="487"/>
      <c r="O67" s="487"/>
      <c r="P67" s="487"/>
      <c r="Q67" s="487"/>
      <c r="R67" s="487"/>
      <c r="S67" s="481"/>
      <c r="T67" s="481"/>
    </row>
    <row r="68" spans="1:20" ht="16.5" customHeight="1">
      <c r="A68" s="129"/>
      <c r="B68" s="129"/>
      <c r="C68" s="129"/>
      <c r="D68" s="129"/>
      <c r="E68" s="129"/>
      <c r="F68" s="15"/>
      <c r="G68" s="15"/>
      <c r="H68" s="506"/>
      <c r="I68" s="506"/>
      <c r="J68" s="506"/>
      <c r="K68" s="507"/>
      <c r="L68" s="507"/>
      <c r="M68" s="487"/>
      <c r="N68" s="487"/>
      <c r="O68" s="487"/>
      <c r="P68" s="487"/>
      <c r="Q68" s="487"/>
      <c r="R68" s="487"/>
      <c r="S68" s="481"/>
      <c r="T68" s="481"/>
    </row>
    <row r="69" spans="1:20" ht="15" customHeight="1">
      <c r="A69" s="129"/>
      <c r="B69" s="129"/>
      <c r="C69" s="129"/>
      <c r="D69" s="15"/>
      <c r="E69" s="6"/>
      <c r="F69" s="6"/>
      <c r="G69" s="6"/>
      <c r="H69" s="45"/>
      <c r="I69" s="45"/>
      <c r="J69" s="45"/>
      <c r="K69" s="440"/>
      <c r="L69" s="440"/>
      <c r="M69" s="440"/>
      <c r="N69" s="440"/>
      <c r="O69" s="440"/>
      <c r="P69" s="440"/>
      <c r="Q69" s="440"/>
      <c r="R69" s="440"/>
      <c r="S69" s="484"/>
      <c r="T69" s="484"/>
    </row>
    <row r="70" spans="1:20" ht="16.5" customHeight="1">
      <c r="A70" s="129"/>
      <c r="B70" s="129"/>
      <c r="C70" s="129"/>
      <c r="D70" s="129"/>
      <c r="E70" s="15"/>
      <c r="F70" s="6"/>
      <c r="G70" s="6"/>
      <c r="H70" s="47"/>
      <c r="I70" s="47"/>
      <c r="J70" s="47"/>
      <c r="K70" s="53"/>
      <c r="L70" s="53"/>
      <c r="M70" s="53"/>
      <c r="N70" s="53"/>
      <c r="O70" s="53"/>
      <c r="P70" s="53"/>
      <c r="Q70" s="53"/>
      <c r="R70" s="53"/>
      <c r="S70" s="481"/>
      <c r="T70" s="481"/>
    </row>
    <row r="71" spans="1:20" ht="16.5" customHeight="1">
      <c r="A71" s="129"/>
      <c r="B71" s="129"/>
      <c r="C71" s="129"/>
      <c r="D71" s="129"/>
      <c r="E71" s="15"/>
      <c r="F71" s="6"/>
      <c r="G71" s="6"/>
      <c r="H71" s="47"/>
      <c r="I71" s="47"/>
      <c r="J71" s="47"/>
      <c r="K71" s="53"/>
      <c r="L71" s="53"/>
      <c r="M71" s="508"/>
      <c r="N71" s="508"/>
      <c r="O71" s="508"/>
      <c r="P71" s="508"/>
      <c r="Q71" s="508"/>
      <c r="R71" s="508"/>
      <c r="S71" s="481"/>
      <c r="T71" s="481"/>
    </row>
    <row r="72" spans="1:20" ht="16.5" customHeight="1">
      <c r="A72" s="129"/>
      <c r="B72" s="129"/>
      <c r="C72" s="129"/>
      <c r="D72" s="129"/>
      <c r="E72" s="15"/>
      <c r="F72" s="6"/>
      <c r="G72" s="6"/>
      <c r="H72" s="47"/>
      <c r="I72" s="47"/>
      <c r="J72" s="47"/>
      <c r="K72" s="53"/>
      <c r="L72" s="53"/>
      <c r="M72" s="508"/>
      <c r="N72" s="508"/>
      <c r="O72" s="508"/>
      <c r="P72" s="508"/>
      <c r="Q72" s="508"/>
      <c r="R72" s="508"/>
      <c r="S72" s="481"/>
      <c r="T72" s="481"/>
    </row>
    <row r="73" spans="1:20" ht="16.5" customHeight="1">
      <c r="A73" s="129"/>
      <c r="B73" s="129"/>
      <c r="C73" s="129"/>
      <c r="D73" s="15"/>
      <c r="E73" s="6"/>
      <c r="F73" s="6"/>
      <c r="G73" s="6"/>
      <c r="H73" s="482"/>
      <c r="I73" s="482"/>
      <c r="J73" s="482"/>
      <c r="K73" s="102"/>
      <c r="L73" s="102"/>
      <c r="M73" s="509"/>
      <c r="N73" s="509"/>
      <c r="O73" s="509"/>
      <c r="P73" s="509"/>
      <c r="Q73" s="509"/>
      <c r="R73" s="509"/>
      <c r="S73" s="510"/>
      <c r="T73" s="510"/>
    </row>
    <row r="74" spans="1:20" ht="16.5" customHeight="1">
      <c r="A74" s="129"/>
      <c r="B74" s="129"/>
      <c r="C74" s="129"/>
      <c r="D74" s="129"/>
      <c r="E74" s="15"/>
      <c r="F74" s="6"/>
      <c r="G74" s="6"/>
      <c r="H74" s="491"/>
      <c r="I74" s="491"/>
      <c r="J74" s="491"/>
      <c r="K74" s="511"/>
      <c r="L74" s="511"/>
      <c r="M74" s="512"/>
      <c r="N74" s="512"/>
      <c r="O74" s="512"/>
      <c r="P74" s="512"/>
      <c r="Q74" s="512"/>
      <c r="R74" s="512"/>
      <c r="S74" s="481"/>
      <c r="T74" s="481"/>
    </row>
    <row r="75" spans="1:20" ht="16.5" customHeight="1">
      <c r="A75" s="129"/>
      <c r="B75" s="129"/>
      <c r="C75" s="129"/>
      <c r="D75" s="129"/>
      <c r="E75" s="15"/>
      <c r="F75" s="6"/>
      <c r="G75" s="6"/>
      <c r="H75" s="491"/>
      <c r="I75" s="491"/>
      <c r="J75" s="491"/>
      <c r="K75" s="511"/>
      <c r="L75" s="511"/>
      <c r="M75" s="512"/>
      <c r="N75" s="512"/>
      <c r="O75" s="512"/>
      <c r="P75" s="512"/>
      <c r="Q75" s="512"/>
      <c r="R75" s="512"/>
      <c r="S75" s="481"/>
      <c r="T75" s="481"/>
    </row>
    <row r="76" spans="1:20" ht="16.5" customHeight="1">
      <c r="A76" s="129"/>
      <c r="B76" s="129"/>
      <c r="C76" s="129"/>
      <c r="D76" s="129"/>
      <c r="E76" s="15"/>
      <c r="F76" s="6"/>
      <c r="G76" s="6"/>
      <c r="H76" s="506"/>
      <c r="I76" s="506"/>
      <c r="J76" s="506"/>
      <c r="K76" s="513"/>
      <c r="L76" s="513"/>
      <c r="M76" s="512"/>
      <c r="N76" s="512"/>
      <c r="O76" s="512"/>
      <c r="P76" s="512"/>
      <c r="Q76" s="512"/>
      <c r="R76" s="512"/>
      <c r="S76" s="481"/>
      <c r="T76" s="481"/>
    </row>
    <row r="77" spans="1:20" ht="16.5" customHeight="1">
      <c r="A77" s="129"/>
      <c r="B77" s="129"/>
      <c r="C77" s="129"/>
      <c r="D77" s="15"/>
      <c r="E77" s="6"/>
      <c r="F77" s="6"/>
      <c r="G77" s="6"/>
      <c r="H77" s="482"/>
      <c r="I77" s="482"/>
      <c r="J77" s="482"/>
      <c r="K77" s="514"/>
      <c r="L77" s="514"/>
      <c r="M77" s="515"/>
      <c r="N77" s="515"/>
      <c r="O77" s="515"/>
      <c r="P77" s="515"/>
      <c r="Q77" s="515"/>
      <c r="R77" s="515"/>
      <c r="S77" s="510"/>
      <c r="T77" s="510"/>
    </row>
    <row r="78" spans="1:20" ht="16.5" customHeight="1">
      <c r="A78" s="129"/>
      <c r="B78" s="129"/>
      <c r="C78" s="129"/>
      <c r="D78" s="129"/>
      <c r="E78" s="15"/>
      <c r="F78" s="6"/>
      <c r="G78" s="6"/>
      <c r="H78" s="491"/>
      <c r="I78" s="491"/>
      <c r="J78" s="491"/>
      <c r="K78" s="511"/>
      <c r="L78" s="511"/>
      <c r="M78" s="512"/>
      <c r="N78" s="512"/>
      <c r="O78" s="512"/>
      <c r="P78" s="512"/>
      <c r="Q78" s="512"/>
      <c r="R78" s="512"/>
      <c r="S78" s="481"/>
      <c r="T78" s="481"/>
    </row>
    <row r="79" spans="1:20" ht="16.5" customHeight="1">
      <c r="A79" s="129"/>
      <c r="B79" s="129"/>
      <c r="C79" s="129"/>
      <c r="D79" s="129"/>
      <c r="E79" s="15"/>
      <c r="F79" s="6"/>
      <c r="G79" s="6"/>
      <c r="H79" s="506"/>
      <c r="I79" s="506"/>
      <c r="J79" s="506"/>
      <c r="K79" s="506"/>
      <c r="L79" s="511"/>
      <c r="M79" s="512"/>
      <c r="N79" s="512"/>
      <c r="O79" s="512"/>
      <c r="P79" s="512"/>
      <c r="Q79" s="512"/>
      <c r="R79" s="512"/>
      <c r="S79" s="481"/>
      <c r="T79" s="481"/>
    </row>
    <row r="80" spans="1:20" ht="16.5" customHeight="1">
      <c r="A80" s="129"/>
      <c r="B80" s="129"/>
      <c r="C80" s="129"/>
      <c r="D80" s="129"/>
      <c r="E80" s="15"/>
      <c r="F80" s="6"/>
      <c r="G80" s="6"/>
      <c r="H80" s="506"/>
      <c r="I80" s="506"/>
      <c r="J80" s="506"/>
      <c r="K80" s="513"/>
      <c r="L80" s="513"/>
      <c r="M80" s="503"/>
      <c r="N80" s="503"/>
      <c r="O80" s="503"/>
      <c r="P80" s="503"/>
      <c r="Q80" s="503"/>
      <c r="R80" s="503"/>
      <c r="S80" s="484"/>
      <c r="T80" s="484"/>
    </row>
    <row r="81" spans="1:20" ht="16.5" customHeight="1">
      <c r="A81" s="129"/>
      <c r="B81" s="129"/>
      <c r="C81" s="129"/>
      <c r="D81" s="15"/>
      <c r="E81" s="6"/>
      <c r="F81" s="6"/>
      <c r="G81" s="6"/>
      <c r="H81" s="45"/>
      <c r="I81" s="45"/>
      <c r="J81" s="45"/>
      <c r="K81" s="45"/>
      <c r="L81" s="45"/>
      <c r="M81" s="45"/>
      <c r="N81" s="45"/>
      <c r="O81" s="45"/>
      <c r="P81" s="45"/>
      <c r="Q81" s="45"/>
      <c r="R81" s="45"/>
      <c r="S81" s="484"/>
      <c r="T81" s="484"/>
    </row>
    <row r="82" spans="1:20" ht="16.5" customHeight="1">
      <c r="A82" s="129"/>
      <c r="B82" s="129"/>
      <c r="C82" s="129"/>
      <c r="D82" s="129"/>
      <c r="E82" s="15"/>
      <c r="F82" s="6"/>
      <c r="G82" s="6"/>
      <c r="H82" s="506"/>
      <c r="I82" s="506"/>
      <c r="J82" s="47"/>
      <c r="K82" s="516"/>
      <c r="L82" s="517"/>
      <c r="M82" s="512"/>
      <c r="N82" s="512"/>
      <c r="O82" s="512"/>
      <c r="P82" s="512"/>
      <c r="Q82" s="512"/>
      <c r="R82" s="512"/>
      <c r="S82" s="481"/>
      <c r="T82" s="481"/>
    </row>
    <row r="83" spans="1:20" ht="16.5" customHeight="1">
      <c r="A83" s="129"/>
      <c r="B83" s="129"/>
      <c r="C83" s="129"/>
      <c r="D83" s="129"/>
      <c r="E83" s="15"/>
      <c r="F83" s="6"/>
      <c r="G83" s="6"/>
      <c r="H83" s="506"/>
      <c r="I83" s="506"/>
      <c r="J83" s="47"/>
      <c r="K83" s="516"/>
      <c r="L83" s="517"/>
      <c r="M83" s="516"/>
      <c r="N83" s="516"/>
      <c r="O83" s="516"/>
      <c r="P83" s="516"/>
      <c r="Q83" s="516"/>
      <c r="R83" s="516"/>
      <c r="S83" s="481"/>
      <c r="T83" s="481"/>
    </row>
    <row r="84" spans="1:20" ht="16.5" customHeight="1">
      <c r="A84" s="129"/>
      <c r="B84" s="129"/>
      <c r="C84" s="129"/>
      <c r="D84" s="129"/>
      <c r="E84" s="15"/>
      <c r="F84" s="6"/>
      <c r="G84" s="6"/>
      <c r="H84" s="506"/>
      <c r="I84" s="506"/>
      <c r="J84" s="518"/>
      <c r="K84" s="519"/>
      <c r="L84" s="517"/>
      <c r="M84" s="512"/>
      <c r="N84" s="512"/>
      <c r="O84" s="512"/>
      <c r="P84" s="512"/>
      <c r="Q84" s="512"/>
      <c r="R84" s="512"/>
      <c r="S84" s="481"/>
      <c r="T84" s="481"/>
    </row>
    <row r="85" spans="1:20" ht="16.5" customHeight="1">
      <c r="A85" s="129"/>
      <c r="B85" s="129"/>
      <c r="C85" s="129"/>
      <c r="D85" s="15"/>
      <c r="E85" s="6"/>
      <c r="F85" s="6"/>
      <c r="G85" s="6"/>
      <c r="H85" s="45"/>
      <c r="I85" s="45"/>
      <c r="J85" s="45"/>
      <c r="K85" s="520"/>
      <c r="L85" s="520"/>
      <c r="M85" s="520"/>
      <c r="N85" s="520"/>
      <c r="O85" s="520"/>
      <c r="P85" s="520"/>
      <c r="Q85" s="520"/>
      <c r="R85" s="520"/>
      <c r="S85" s="484"/>
      <c r="T85" s="484"/>
    </row>
    <row r="86" spans="1:20" ht="16.5" customHeight="1">
      <c r="A86" s="129"/>
      <c r="B86" s="129"/>
      <c r="C86" s="129"/>
      <c r="D86" s="129"/>
      <c r="E86" s="15"/>
      <c r="F86" s="6"/>
      <c r="G86" s="6"/>
      <c r="H86" s="521"/>
      <c r="I86" s="521"/>
      <c r="J86" s="521"/>
      <c r="K86" s="512"/>
      <c r="L86" s="512"/>
      <c r="M86" s="512"/>
      <c r="N86" s="512"/>
      <c r="O86" s="512"/>
      <c r="P86" s="512"/>
      <c r="Q86" s="512"/>
      <c r="R86" s="512"/>
      <c r="S86" s="481"/>
      <c r="T86" s="481"/>
    </row>
    <row r="87" spans="1:20" ht="16.5" customHeight="1">
      <c r="A87" s="129"/>
      <c r="B87" s="129"/>
      <c r="C87" s="129"/>
      <c r="D87" s="129"/>
      <c r="E87" s="15"/>
      <c r="F87" s="6"/>
      <c r="G87" s="6"/>
      <c r="H87" s="47"/>
      <c r="I87" s="47"/>
      <c r="J87" s="47"/>
      <c r="K87" s="522"/>
      <c r="L87" s="522"/>
      <c r="M87" s="512"/>
      <c r="N87" s="512"/>
      <c r="O87" s="512"/>
      <c r="P87" s="512"/>
      <c r="Q87" s="512"/>
      <c r="R87" s="512"/>
      <c r="S87" s="481"/>
      <c r="T87" s="481"/>
    </row>
    <row r="88" spans="1:20" ht="16.5" customHeight="1">
      <c r="A88" s="129"/>
      <c r="B88" s="129"/>
      <c r="C88" s="129"/>
      <c r="D88" s="129"/>
      <c r="E88" s="15"/>
      <c r="F88" s="6"/>
      <c r="G88" s="6"/>
      <c r="H88" s="47"/>
      <c r="I88" s="47"/>
      <c r="J88" s="47"/>
      <c r="K88" s="99"/>
      <c r="L88" s="99"/>
      <c r="M88" s="512"/>
      <c r="N88" s="512"/>
      <c r="O88" s="512"/>
      <c r="P88" s="512"/>
      <c r="Q88" s="512"/>
      <c r="R88" s="512"/>
      <c r="S88" s="481"/>
      <c r="T88" s="481"/>
    </row>
    <row r="89" spans="1:20" ht="16.5" customHeight="1">
      <c r="A89" s="129"/>
      <c r="B89" s="129"/>
      <c r="C89" s="15"/>
      <c r="D89" s="6"/>
      <c r="E89" s="6"/>
      <c r="F89" s="6"/>
      <c r="G89" s="6"/>
      <c r="H89" s="47"/>
      <c r="I89" s="47"/>
      <c r="J89" s="47"/>
      <c r="K89" s="6"/>
      <c r="L89" s="6"/>
      <c r="M89" s="500"/>
      <c r="N89" s="500"/>
      <c r="O89" s="500"/>
      <c r="P89" s="500"/>
      <c r="Q89" s="500"/>
      <c r="R89" s="500"/>
      <c r="S89" s="481"/>
      <c r="T89" s="481"/>
    </row>
    <row r="90" spans="1:20" ht="16.5" customHeight="1">
      <c r="A90" s="129"/>
      <c r="B90" s="129"/>
      <c r="C90" s="129"/>
      <c r="D90" s="15"/>
      <c r="E90" s="6"/>
      <c r="F90" s="6"/>
      <c r="G90" s="6"/>
      <c r="H90" s="502"/>
      <c r="I90" s="502"/>
      <c r="J90" s="502"/>
      <c r="K90" s="523"/>
      <c r="L90" s="523"/>
      <c r="M90" s="524"/>
      <c r="N90" s="524"/>
      <c r="O90" s="524"/>
      <c r="P90" s="524"/>
      <c r="Q90" s="524"/>
      <c r="R90" s="524"/>
      <c r="S90" s="484"/>
      <c r="T90" s="484"/>
    </row>
    <row r="91" spans="1:20" ht="16.5" customHeight="1">
      <c r="A91" s="129"/>
      <c r="B91" s="129"/>
      <c r="C91" s="129"/>
      <c r="D91" s="15"/>
      <c r="E91" s="6"/>
      <c r="F91" s="6"/>
      <c r="G91" s="6"/>
      <c r="H91" s="45"/>
      <c r="I91" s="45"/>
      <c r="J91" s="45"/>
      <c r="K91" s="520"/>
      <c r="L91" s="525"/>
      <c r="M91" s="524"/>
      <c r="N91" s="524"/>
      <c r="O91" s="524"/>
      <c r="P91" s="524"/>
      <c r="Q91" s="524"/>
      <c r="R91" s="524"/>
      <c r="S91" s="484"/>
      <c r="T91" s="484"/>
    </row>
    <row r="92" spans="1:20" ht="16.5" customHeight="1">
      <c r="A92" s="129"/>
      <c r="B92" s="129"/>
      <c r="C92" s="129"/>
      <c r="D92" s="15"/>
      <c r="E92" s="6"/>
      <c r="F92" s="6"/>
      <c r="G92" s="6"/>
      <c r="H92" s="45"/>
      <c r="I92" s="45"/>
      <c r="J92" s="45"/>
      <c r="K92" s="526"/>
      <c r="L92" s="526"/>
      <c r="M92" s="440"/>
      <c r="N92" s="440"/>
      <c r="O92" s="440"/>
      <c r="P92" s="440"/>
      <c r="Q92" s="440"/>
      <c r="R92" s="440"/>
      <c r="S92" s="484"/>
      <c r="T92" s="484"/>
    </row>
    <row r="93" spans="1:20" ht="16.5" customHeight="1">
      <c r="A93" s="129"/>
      <c r="B93" s="129"/>
      <c r="C93" s="129"/>
      <c r="D93" s="15"/>
      <c r="E93" s="6"/>
      <c r="F93" s="6"/>
      <c r="G93" s="6"/>
      <c r="H93" s="502"/>
      <c r="I93" s="502"/>
      <c r="J93" s="502"/>
      <c r="K93" s="523"/>
      <c r="L93" s="523"/>
      <c r="M93" s="524"/>
      <c r="N93" s="524"/>
      <c r="O93" s="524"/>
      <c r="P93" s="524"/>
      <c r="Q93" s="524"/>
      <c r="R93" s="524"/>
      <c r="S93" s="484"/>
      <c r="T93" s="484"/>
    </row>
    <row r="94" spans="1:20" ht="16.5" customHeight="1">
      <c r="A94" s="129"/>
      <c r="B94" s="129"/>
      <c r="C94" s="129"/>
      <c r="D94" s="15"/>
      <c r="E94" s="6"/>
      <c r="F94" s="6"/>
      <c r="G94" s="6"/>
      <c r="H94" s="45"/>
      <c r="I94" s="45"/>
      <c r="J94" s="47"/>
      <c r="K94" s="528"/>
      <c r="L94" s="525"/>
      <c r="M94" s="524"/>
      <c r="N94" s="524"/>
      <c r="O94" s="524"/>
      <c r="P94" s="524"/>
      <c r="Q94" s="524"/>
      <c r="R94" s="524"/>
      <c r="S94" s="484"/>
      <c r="T94" s="484"/>
    </row>
    <row r="95" spans="1:20" ht="16.5" customHeight="1">
      <c r="A95" s="129"/>
      <c r="B95" s="129"/>
      <c r="C95" s="129"/>
      <c r="D95" s="15"/>
      <c r="E95" s="6"/>
      <c r="F95" s="6"/>
      <c r="G95" s="6"/>
      <c r="H95" s="45"/>
      <c r="I95" s="45"/>
      <c r="J95" s="45"/>
      <c r="K95" s="527"/>
      <c r="L95" s="527"/>
      <c r="M95" s="483"/>
      <c r="N95" s="483"/>
      <c r="O95" s="483"/>
      <c r="P95" s="483"/>
      <c r="Q95" s="483"/>
      <c r="R95" s="483"/>
      <c r="S95" s="484"/>
      <c r="T95" s="484"/>
    </row>
    <row r="96" spans="1:20" ht="16.5" customHeight="1">
      <c r="A96" s="129"/>
      <c r="B96" s="129"/>
      <c r="C96" s="129"/>
      <c r="D96" s="15"/>
      <c r="E96" s="6"/>
      <c r="F96" s="6"/>
      <c r="G96" s="6"/>
      <c r="H96" s="45"/>
      <c r="I96" s="45"/>
      <c r="J96" s="45"/>
      <c r="K96" s="520"/>
      <c r="L96" s="520"/>
      <c r="M96" s="524"/>
      <c r="N96" s="524"/>
      <c r="O96" s="524"/>
      <c r="P96" s="524"/>
      <c r="Q96" s="524"/>
      <c r="R96" s="524"/>
      <c r="S96" s="484"/>
      <c r="T96" s="484"/>
    </row>
    <row r="97" spans="1:20" ht="16.5" customHeight="1">
      <c r="A97" s="129"/>
      <c r="B97" s="129"/>
      <c r="C97" s="15"/>
      <c r="D97" s="6"/>
      <c r="E97" s="6"/>
      <c r="F97" s="6"/>
      <c r="G97" s="6"/>
      <c r="H97" s="47"/>
      <c r="I97" s="47"/>
      <c r="J97" s="47"/>
      <c r="K97" s="6"/>
      <c r="L97" s="6"/>
      <c r="M97" s="500"/>
      <c r="N97" s="500"/>
      <c r="O97" s="500"/>
      <c r="P97" s="500"/>
      <c r="Q97" s="500"/>
      <c r="R97" s="500"/>
      <c r="S97" s="481"/>
      <c r="T97" s="481"/>
    </row>
    <row r="98" spans="1:20" ht="16.5" customHeight="1">
      <c r="A98" s="129"/>
      <c r="B98" s="129"/>
      <c r="C98" s="129"/>
      <c r="D98" s="15"/>
      <c r="E98" s="6"/>
      <c r="F98" s="6"/>
      <c r="G98" s="6"/>
      <c r="H98" s="47"/>
      <c r="I98" s="47"/>
      <c r="J98" s="47"/>
      <c r="K98" s="6"/>
      <c r="L98" s="6"/>
      <c r="M98" s="500"/>
      <c r="N98" s="500"/>
      <c r="O98" s="500"/>
      <c r="P98" s="500"/>
      <c r="Q98" s="500"/>
      <c r="R98" s="500"/>
      <c r="S98" s="481"/>
      <c r="T98" s="481"/>
    </row>
    <row r="99" spans="1:20" ht="16.5" customHeight="1">
      <c r="A99" s="129"/>
      <c r="B99" s="129"/>
      <c r="C99" s="129"/>
      <c r="D99" s="15"/>
      <c r="E99" s="6"/>
      <c r="F99" s="6"/>
      <c r="G99" s="6"/>
      <c r="H99" s="47"/>
      <c r="I99" s="47"/>
      <c r="J99" s="47"/>
      <c r="K99" s="500"/>
      <c r="L99" s="500"/>
      <c r="M99" s="500"/>
      <c r="N99" s="500"/>
      <c r="O99" s="500"/>
      <c r="P99" s="500"/>
      <c r="Q99" s="500"/>
      <c r="R99" s="500"/>
      <c r="S99" s="481"/>
      <c r="T99" s="481"/>
    </row>
    <row r="100" spans="1:20" ht="16.5" customHeight="1">
      <c r="A100" s="129"/>
      <c r="B100" s="129"/>
      <c r="C100" s="129"/>
      <c r="D100" s="15"/>
      <c r="E100" s="6"/>
      <c r="F100" s="6"/>
      <c r="G100" s="6"/>
      <c r="H100" s="47"/>
      <c r="I100" s="47"/>
      <c r="J100" s="47"/>
      <c r="K100" s="47"/>
      <c r="L100" s="47"/>
      <c r="M100" s="47"/>
      <c r="N100" s="47"/>
      <c r="O100" s="47"/>
      <c r="P100" s="47"/>
      <c r="Q100" s="47"/>
      <c r="R100" s="47"/>
      <c r="S100" s="481"/>
      <c r="T100" s="481"/>
    </row>
    <row r="101" spans="1:20" ht="16.5" customHeight="1">
      <c r="A101" s="129"/>
      <c r="B101" s="129"/>
      <c r="C101" s="129"/>
      <c r="D101" s="15"/>
      <c r="E101" s="6"/>
      <c r="F101" s="6"/>
      <c r="G101" s="6"/>
      <c r="H101" s="47"/>
      <c r="I101" s="47"/>
      <c r="J101" s="47"/>
      <c r="K101" s="500"/>
      <c r="L101" s="500"/>
      <c r="M101" s="500"/>
      <c r="N101" s="500"/>
      <c r="O101" s="500"/>
      <c r="P101" s="500"/>
      <c r="Q101" s="500"/>
      <c r="R101" s="500"/>
      <c r="S101" s="481"/>
      <c r="T101" s="481"/>
    </row>
    <row r="102" spans="1:20" ht="16.5" customHeight="1">
      <c r="A102" s="129"/>
      <c r="B102" s="129"/>
      <c r="C102" s="129"/>
      <c r="D102" s="15"/>
      <c r="E102" s="6"/>
      <c r="F102" s="6"/>
      <c r="G102" s="6"/>
      <c r="H102" s="47"/>
      <c r="I102" s="47"/>
      <c r="J102" s="47"/>
      <c r="K102" s="47"/>
      <c r="L102" s="47"/>
      <c r="M102" s="47"/>
      <c r="N102" s="47"/>
      <c r="O102" s="47"/>
      <c r="P102" s="47"/>
      <c r="Q102" s="47"/>
      <c r="R102" s="47"/>
      <c r="S102" s="481"/>
      <c r="T102" s="481"/>
    </row>
    <row r="103" spans="1:20" ht="16.5" customHeight="1">
      <c r="A103" s="129"/>
      <c r="B103" s="129"/>
      <c r="C103" s="129"/>
      <c r="D103" s="15"/>
      <c r="E103" s="6"/>
      <c r="F103" s="6"/>
      <c r="G103" s="6"/>
      <c r="H103" s="47"/>
      <c r="I103" s="47"/>
      <c r="J103" s="47"/>
      <c r="K103" s="47"/>
      <c r="L103" s="47"/>
      <c r="M103" s="47"/>
      <c r="N103" s="47"/>
      <c r="O103" s="47"/>
      <c r="P103" s="47"/>
      <c r="Q103" s="47"/>
      <c r="R103" s="47"/>
      <c r="S103" s="481"/>
      <c r="T103" s="481"/>
    </row>
    <row r="104" spans="1:20" ht="15" customHeight="1">
      <c r="A104" s="129"/>
      <c r="B104" s="15"/>
      <c r="C104" s="6"/>
      <c r="D104" s="6"/>
      <c r="E104" s="6"/>
      <c r="F104" s="6"/>
      <c r="G104" s="6"/>
      <c r="H104" s="47"/>
      <c r="I104" s="47"/>
      <c r="J104" s="47"/>
      <c r="K104" s="6"/>
      <c r="L104" s="6"/>
      <c r="M104" s="500"/>
      <c r="N104" s="500"/>
      <c r="O104" s="500"/>
      <c r="P104" s="500"/>
      <c r="Q104" s="500"/>
      <c r="R104" s="500"/>
      <c r="S104" s="481"/>
      <c r="T104" s="481"/>
    </row>
    <row r="105" spans="1:20" ht="16.5" customHeight="1">
      <c r="A105" s="129"/>
      <c r="B105" s="129"/>
      <c r="C105" s="15"/>
      <c r="D105" s="6"/>
      <c r="E105" s="6"/>
      <c r="F105" s="6"/>
      <c r="G105" s="6"/>
      <c r="H105" s="502"/>
      <c r="I105" s="502"/>
      <c r="J105" s="502"/>
      <c r="K105" s="503"/>
      <c r="L105" s="514"/>
      <c r="M105" s="524"/>
      <c r="N105" s="524"/>
      <c r="O105" s="524"/>
      <c r="P105" s="524"/>
      <c r="Q105" s="524"/>
      <c r="R105" s="524"/>
      <c r="S105" s="484"/>
      <c r="T105" s="484"/>
    </row>
    <row r="106" spans="1:20" ht="16.5" customHeight="1">
      <c r="A106" s="129"/>
      <c r="B106" s="129"/>
      <c r="C106" s="129"/>
      <c r="D106" s="15"/>
      <c r="E106" s="6"/>
      <c r="F106" s="6"/>
      <c r="G106" s="6"/>
      <c r="H106" s="482"/>
      <c r="I106" s="482"/>
      <c r="J106" s="482"/>
      <c r="K106" s="514"/>
      <c r="L106" s="514"/>
      <c r="M106" s="524"/>
      <c r="N106" s="524"/>
      <c r="O106" s="524"/>
      <c r="P106" s="524"/>
      <c r="Q106" s="524"/>
      <c r="R106" s="524"/>
      <c r="S106" s="484"/>
      <c r="T106" s="484"/>
    </row>
    <row r="107" spans="1:20" ht="16.5" customHeight="1">
      <c r="A107" s="129"/>
      <c r="B107" s="129"/>
      <c r="C107" s="129"/>
      <c r="D107" s="129"/>
      <c r="E107" s="15"/>
      <c r="F107" s="6"/>
      <c r="G107" s="6"/>
      <c r="H107" s="529"/>
      <c r="I107" s="529"/>
      <c r="J107" s="529"/>
      <c r="K107" s="530"/>
      <c r="L107" s="530"/>
      <c r="M107" s="500"/>
      <c r="N107" s="500"/>
      <c r="O107" s="500"/>
      <c r="P107" s="500"/>
      <c r="Q107" s="500"/>
      <c r="R107" s="500"/>
      <c r="S107" s="481"/>
      <c r="T107" s="481"/>
    </row>
    <row r="108" spans="1:20" ht="16.5" customHeight="1">
      <c r="A108" s="129"/>
      <c r="B108" s="129"/>
      <c r="C108" s="129"/>
      <c r="D108" s="129"/>
      <c r="E108" s="15"/>
      <c r="F108" s="6"/>
      <c r="G108" s="6"/>
      <c r="H108" s="529"/>
      <c r="I108" s="529"/>
      <c r="J108" s="529"/>
      <c r="K108" s="530"/>
      <c r="L108" s="530"/>
      <c r="M108" s="500"/>
      <c r="N108" s="500"/>
      <c r="O108" s="500"/>
      <c r="P108" s="500"/>
      <c r="Q108" s="500"/>
      <c r="R108" s="500"/>
      <c r="S108" s="481"/>
      <c r="T108" s="481"/>
    </row>
    <row r="109" spans="1:20" ht="16.5" customHeight="1">
      <c r="A109" s="129"/>
      <c r="B109" s="129"/>
      <c r="C109" s="129"/>
      <c r="D109" s="15"/>
      <c r="E109" s="6"/>
      <c r="F109" s="6"/>
      <c r="G109" s="6"/>
      <c r="H109" s="482"/>
      <c r="I109" s="482"/>
      <c r="J109" s="482"/>
      <c r="K109" s="514"/>
      <c r="L109" s="514"/>
      <c r="M109" s="500"/>
      <c r="N109" s="500"/>
      <c r="O109" s="500"/>
      <c r="P109" s="500"/>
      <c r="Q109" s="500"/>
      <c r="R109" s="500"/>
      <c r="S109" s="481"/>
      <c r="T109" s="481"/>
    </row>
    <row r="110" spans="1:20" ht="16.5" customHeight="1">
      <c r="A110" s="129"/>
      <c r="B110" s="129"/>
      <c r="C110" s="129"/>
      <c r="D110" s="129"/>
      <c r="E110" s="15"/>
      <c r="F110" s="6"/>
      <c r="G110" s="6"/>
      <c r="H110" s="529"/>
      <c r="I110" s="529"/>
      <c r="J110" s="529"/>
      <c r="K110" s="530"/>
      <c r="L110" s="530"/>
      <c r="M110" s="500"/>
      <c r="N110" s="500"/>
      <c r="O110" s="500"/>
      <c r="P110" s="500"/>
      <c r="Q110" s="500"/>
      <c r="R110" s="500"/>
      <c r="S110" s="481"/>
      <c r="T110" s="481"/>
    </row>
    <row r="111" spans="1:20" ht="16.5" customHeight="1">
      <c r="A111" s="129"/>
      <c r="B111" s="129"/>
      <c r="C111" s="129"/>
      <c r="D111" s="129"/>
      <c r="E111" s="15"/>
      <c r="F111" s="6"/>
      <c r="G111" s="6"/>
      <c r="H111" s="529"/>
      <c r="I111" s="529"/>
      <c r="J111" s="529"/>
      <c r="K111" s="530"/>
      <c r="L111" s="530"/>
      <c r="M111" s="500"/>
      <c r="N111" s="500"/>
      <c r="O111" s="500"/>
      <c r="P111" s="500"/>
      <c r="Q111" s="500"/>
      <c r="R111" s="500"/>
      <c r="S111" s="481"/>
      <c r="T111" s="481"/>
    </row>
    <row r="112" spans="1:20" ht="16.5" customHeight="1">
      <c r="A112" s="129"/>
      <c r="B112" s="129"/>
      <c r="C112" s="129"/>
      <c r="D112" s="15"/>
      <c r="E112" s="6"/>
      <c r="F112" s="6"/>
      <c r="G112" s="6"/>
      <c r="H112" s="482"/>
      <c r="I112" s="482"/>
      <c r="J112" s="482"/>
      <c r="K112" s="514"/>
      <c r="L112" s="514"/>
      <c r="M112" s="500"/>
      <c r="N112" s="500"/>
      <c r="O112" s="500"/>
      <c r="P112" s="500"/>
      <c r="Q112" s="500"/>
      <c r="R112" s="500"/>
      <c r="S112" s="481"/>
      <c r="T112" s="481"/>
    </row>
    <row r="113" spans="1:20" ht="16.5" customHeight="1">
      <c r="A113" s="129"/>
      <c r="B113" s="129"/>
      <c r="C113" s="15"/>
      <c r="D113" s="6"/>
      <c r="E113" s="6"/>
      <c r="F113" s="6"/>
      <c r="G113" s="6"/>
      <c r="H113" s="47"/>
      <c r="I113" s="47"/>
      <c r="J113" s="47"/>
      <c r="K113" s="531"/>
      <c r="L113" s="531"/>
      <c r="M113" s="500"/>
      <c r="N113" s="500"/>
      <c r="O113" s="500"/>
      <c r="P113" s="500"/>
      <c r="Q113" s="500"/>
      <c r="R113" s="500"/>
      <c r="S113" s="481"/>
      <c r="T113" s="481"/>
    </row>
    <row r="114" spans="1:20" ht="16.5" customHeight="1">
      <c r="A114" s="129"/>
      <c r="B114" s="129"/>
      <c r="C114" s="15"/>
      <c r="D114" s="6"/>
      <c r="E114" s="6"/>
      <c r="F114" s="6"/>
      <c r="G114" s="6"/>
      <c r="H114" s="506"/>
      <c r="I114" s="506"/>
      <c r="J114" s="506"/>
      <c r="K114" s="506"/>
      <c r="L114" s="506"/>
      <c r="M114" s="505"/>
      <c r="N114" s="505"/>
      <c r="O114" s="505"/>
      <c r="P114" s="505"/>
      <c r="Q114" s="505"/>
      <c r="R114" s="505"/>
      <c r="S114" s="481"/>
      <c r="T114" s="481"/>
    </row>
    <row r="115" spans="1:20" ht="16.5" customHeight="1">
      <c r="A115" s="129"/>
      <c r="B115" s="129"/>
      <c r="C115" s="15"/>
      <c r="D115" s="6"/>
      <c r="E115" s="6"/>
      <c r="F115" s="6"/>
      <c r="G115" s="6"/>
      <c r="H115" s="506"/>
      <c r="I115" s="506"/>
      <c r="J115" s="506"/>
      <c r="K115" s="506"/>
      <c r="L115" s="506"/>
      <c r="M115" s="505"/>
      <c r="N115" s="505"/>
      <c r="O115" s="505"/>
      <c r="P115" s="505"/>
      <c r="Q115" s="505"/>
      <c r="R115" s="505"/>
      <c r="S115" s="481"/>
      <c r="T115" s="481"/>
    </row>
    <row r="116" spans="1:20" ht="16.5" customHeight="1">
      <c r="A116" s="129"/>
      <c r="B116" s="129"/>
      <c r="C116" s="15"/>
      <c r="D116" s="6"/>
      <c r="E116" s="6"/>
      <c r="F116" s="6"/>
      <c r="G116" s="6"/>
      <c r="H116" s="518"/>
      <c r="I116" s="518"/>
      <c r="J116" s="518"/>
      <c r="K116" s="532"/>
      <c r="L116" s="532"/>
      <c r="M116" s="487"/>
      <c r="N116" s="487"/>
      <c r="O116" s="487"/>
      <c r="P116" s="487"/>
      <c r="Q116" s="487"/>
      <c r="R116" s="487"/>
      <c r="S116" s="481"/>
      <c r="T116" s="481"/>
    </row>
    <row r="117" spans="1:20" ht="16.5" customHeight="1">
      <c r="A117" s="129"/>
      <c r="B117" s="129"/>
      <c r="C117" s="15"/>
      <c r="D117" s="6"/>
      <c r="E117" s="6"/>
      <c r="F117" s="497"/>
      <c r="G117" s="497"/>
      <c r="H117" s="533"/>
      <c r="I117" s="533"/>
      <c r="J117" s="533"/>
      <c r="K117" s="534"/>
      <c r="L117" s="534"/>
      <c r="M117" s="535"/>
      <c r="N117" s="535"/>
      <c r="O117" s="535"/>
      <c r="P117" s="535"/>
      <c r="Q117" s="535"/>
      <c r="R117" s="535"/>
      <c r="S117" s="536"/>
      <c r="T117" s="536"/>
    </row>
    <row r="118" spans="1:20" ht="16.5" customHeight="1">
      <c r="A118" s="129"/>
      <c r="B118" s="129"/>
      <c r="C118" s="15"/>
      <c r="D118" s="6"/>
      <c r="E118" s="6"/>
      <c r="F118" s="497"/>
      <c r="G118" s="497"/>
      <c r="H118" s="537"/>
      <c r="I118" s="537"/>
      <c r="J118" s="537"/>
      <c r="K118" s="537"/>
      <c r="L118" s="537"/>
      <c r="M118" s="487"/>
      <c r="N118" s="487"/>
      <c r="O118" s="487"/>
      <c r="P118" s="487"/>
      <c r="Q118" s="487"/>
      <c r="R118" s="487"/>
      <c r="S118" s="481"/>
      <c r="T118" s="481"/>
    </row>
    <row r="119" spans="1:20" ht="16.5" customHeight="1">
      <c r="A119" s="129"/>
      <c r="B119" s="15"/>
      <c r="C119" s="6"/>
      <c r="D119" s="6"/>
      <c r="E119" s="6"/>
      <c r="F119" s="6"/>
      <c r="G119" s="6"/>
      <c r="H119" s="533"/>
      <c r="I119" s="47"/>
      <c r="J119" s="47"/>
      <c r="K119" s="6"/>
      <c r="L119" s="6"/>
      <c r="M119" s="500"/>
      <c r="N119" s="500"/>
      <c r="O119" s="500"/>
      <c r="P119" s="500"/>
      <c r="Q119" s="500"/>
      <c r="R119" s="500"/>
      <c r="S119" s="481"/>
      <c r="T119" s="481"/>
    </row>
    <row r="120" spans="1:20" ht="16.5" customHeight="1">
      <c r="A120" s="129"/>
      <c r="B120" s="129"/>
      <c r="C120" s="15"/>
      <c r="D120" s="6"/>
      <c r="E120" s="6"/>
      <c r="F120" s="6"/>
      <c r="G120" s="6"/>
      <c r="H120" s="47"/>
      <c r="I120" s="47"/>
      <c r="J120" s="47"/>
      <c r="K120" s="6"/>
      <c r="L120" s="6"/>
      <c r="M120" s="500"/>
      <c r="N120" s="500"/>
      <c r="O120" s="500"/>
      <c r="P120" s="500"/>
      <c r="Q120" s="500"/>
      <c r="R120" s="500"/>
      <c r="S120" s="481"/>
      <c r="T120" s="481"/>
    </row>
    <row r="121" spans="1:20" ht="16.5" customHeight="1">
      <c r="A121" s="129"/>
      <c r="B121" s="129"/>
      <c r="C121" s="129"/>
      <c r="D121" s="15"/>
      <c r="E121" s="6"/>
      <c r="F121" s="6"/>
      <c r="G121" s="6"/>
      <c r="H121" s="45"/>
      <c r="I121" s="45"/>
      <c r="J121" s="45"/>
      <c r="K121" s="520"/>
      <c r="L121" s="538"/>
      <c r="M121" s="524"/>
      <c r="N121" s="524"/>
      <c r="O121" s="524"/>
      <c r="P121" s="524"/>
      <c r="Q121" s="524"/>
      <c r="R121" s="524"/>
      <c r="S121" s="484"/>
      <c r="T121" s="484"/>
    </row>
    <row r="122" spans="1:20" ht="16.5" customHeight="1">
      <c r="A122" s="129"/>
      <c r="B122" s="129"/>
      <c r="C122" s="129"/>
      <c r="D122" s="129"/>
      <c r="E122" s="15"/>
      <c r="F122" s="6"/>
      <c r="G122" s="6"/>
      <c r="H122" s="539"/>
      <c r="I122" s="45"/>
      <c r="J122" s="45"/>
      <c r="K122" s="520"/>
      <c r="L122" s="540"/>
      <c r="M122" s="500"/>
      <c r="N122" s="500"/>
      <c r="O122" s="500"/>
      <c r="P122" s="500"/>
      <c r="Q122" s="500"/>
      <c r="R122" s="500"/>
      <c r="S122" s="481"/>
      <c r="T122" s="481"/>
    </row>
    <row r="123" spans="1:20" ht="16.5" customHeight="1">
      <c r="A123" s="129"/>
      <c r="B123" s="129"/>
      <c r="C123" s="129"/>
      <c r="D123" s="129"/>
      <c r="E123" s="15"/>
      <c r="F123" s="6"/>
      <c r="G123" s="6"/>
      <c r="H123" s="539"/>
      <c r="I123" s="45"/>
      <c r="J123" s="45"/>
      <c r="K123" s="520"/>
      <c r="L123" s="540"/>
      <c r="M123" s="500"/>
      <c r="N123" s="500"/>
      <c r="O123" s="500"/>
      <c r="P123" s="500"/>
      <c r="Q123" s="500"/>
      <c r="R123" s="500"/>
      <c r="S123" s="481"/>
      <c r="T123" s="481"/>
    </row>
    <row r="124" spans="1:20" ht="16.5" customHeight="1">
      <c r="A124" s="129"/>
      <c r="B124" s="129"/>
      <c r="C124" s="129"/>
      <c r="D124" s="129"/>
      <c r="E124" s="15"/>
      <c r="F124" s="6"/>
      <c r="G124" s="6"/>
      <c r="H124" s="539"/>
      <c r="I124" s="45"/>
      <c r="J124" s="45"/>
      <c r="K124" s="520"/>
      <c r="L124" s="540"/>
      <c r="M124" s="500"/>
      <c r="N124" s="500"/>
      <c r="O124" s="500"/>
      <c r="P124" s="500"/>
      <c r="Q124" s="500"/>
      <c r="R124" s="500"/>
      <c r="S124" s="481"/>
      <c r="T124" s="481"/>
    </row>
    <row r="125" spans="1:20" ht="16.5" customHeight="1">
      <c r="A125" s="129"/>
      <c r="B125" s="129"/>
      <c r="C125" s="129"/>
      <c r="D125" s="129"/>
      <c r="E125" s="15"/>
      <c r="F125" s="6"/>
      <c r="G125" s="6"/>
      <c r="H125" s="539"/>
      <c r="I125" s="539"/>
      <c r="J125" s="539"/>
      <c r="K125" s="538"/>
      <c r="L125" s="538"/>
      <c r="M125" s="500"/>
      <c r="N125" s="500"/>
      <c r="O125" s="500"/>
      <c r="P125" s="500"/>
      <c r="Q125" s="500"/>
      <c r="R125" s="500"/>
      <c r="S125" s="481"/>
      <c r="T125" s="481"/>
    </row>
    <row r="126" spans="1:20" ht="16.5" customHeight="1">
      <c r="A126" s="129"/>
      <c r="B126" s="129"/>
      <c r="C126" s="129"/>
      <c r="D126" s="15"/>
      <c r="E126" s="6"/>
      <c r="F126" s="6"/>
      <c r="G126" s="6"/>
      <c r="H126" s="482"/>
      <c r="I126" s="482"/>
      <c r="J126" s="482"/>
      <c r="K126" s="102"/>
      <c r="L126" s="102"/>
      <c r="M126" s="524"/>
      <c r="N126" s="524"/>
      <c r="O126" s="524"/>
      <c r="P126" s="524"/>
      <c r="Q126" s="524"/>
      <c r="R126" s="524"/>
      <c r="S126" s="484"/>
      <c r="T126" s="484"/>
    </row>
    <row r="127" spans="1:20" ht="16.5" customHeight="1">
      <c r="A127" s="129"/>
      <c r="B127" s="129"/>
      <c r="C127" s="129"/>
      <c r="D127" s="129"/>
      <c r="E127" s="15"/>
      <c r="F127" s="6"/>
      <c r="G127" s="6"/>
      <c r="H127" s="506"/>
      <c r="I127" s="506"/>
      <c r="J127" s="506"/>
      <c r="K127" s="506"/>
      <c r="L127" s="506"/>
      <c r="M127" s="500"/>
      <c r="N127" s="500"/>
      <c r="O127" s="500"/>
      <c r="P127" s="500"/>
      <c r="Q127" s="500"/>
      <c r="R127" s="500"/>
      <c r="S127" s="481"/>
      <c r="T127" s="481"/>
    </row>
    <row r="128" spans="1:20" ht="16.5" customHeight="1">
      <c r="A128" s="129"/>
      <c r="B128" s="129"/>
      <c r="C128" s="129"/>
      <c r="D128" s="129"/>
      <c r="E128" s="15"/>
      <c r="F128" s="6"/>
      <c r="G128" s="6"/>
      <c r="H128" s="506"/>
      <c r="I128" s="506"/>
      <c r="J128" s="506"/>
      <c r="K128" s="506"/>
      <c r="L128" s="506"/>
      <c r="M128" s="500"/>
      <c r="N128" s="500"/>
      <c r="O128" s="500"/>
      <c r="P128" s="500"/>
      <c r="Q128" s="500"/>
      <c r="R128" s="500"/>
      <c r="S128" s="481"/>
      <c r="T128" s="481"/>
    </row>
    <row r="129" spans="1:27" ht="16.5" customHeight="1">
      <c r="A129" s="129"/>
      <c r="B129" s="129"/>
      <c r="C129" s="129"/>
      <c r="D129" s="129"/>
      <c r="E129" s="15"/>
      <c r="F129" s="6"/>
      <c r="G129" s="6"/>
      <c r="H129" s="506"/>
      <c r="I129" s="506"/>
      <c r="J129" s="506"/>
      <c r="K129" s="506"/>
      <c r="L129" s="506"/>
      <c r="M129" s="500"/>
      <c r="N129" s="500"/>
      <c r="O129" s="500"/>
      <c r="P129" s="500"/>
      <c r="Q129" s="500"/>
      <c r="R129" s="500"/>
      <c r="S129" s="481"/>
      <c r="T129" s="481"/>
    </row>
    <row r="130" spans="1:27" ht="16.5" customHeight="1">
      <c r="A130" s="129"/>
      <c r="B130" s="129"/>
      <c r="C130" s="129"/>
      <c r="D130" s="129"/>
      <c r="E130" s="15"/>
      <c r="F130" s="6"/>
      <c r="G130" s="6"/>
      <c r="H130" s="506"/>
      <c r="I130" s="506"/>
      <c r="J130" s="506"/>
      <c r="K130" s="506"/>
      <c r="L130" s="506"/>
      <c r="M130" s="541"/>
      <c r="N130" s="541"/>
      <c r="O130" s="541"/>
      <c r="P130" s="541"/>
      <c r="Q130" s="541"/>
      <c r="R130" s="541"/>
      <c r="S130" s="481"/>
      <c r="T130" s="481"/>
      <c r="U130" s="490"/>
      <c r="V130" s="542"/>
    </row>
    <row r="131" spans="1:27" ht="16.5" customHeight="1">
      <c r="A131" s="129"/>
      <c r="B131" s="129"/>
      <c r="C131" s="129"/>
      <c r="D131" s="15"/>
      <c r="E131" s="6"/>
      <c r="F131" s="6"/>
      <c r="G131" s="6"/>
      <c r="H131" s="506"/>
      <c r="I131" s="45"/>
      <c r="J131" s="45"/>
      <c r="K131" s="440"/>
      <c r="L131" s="440"/>
      <c r="M131" s="543"/>
      <c r="N131" s="543"/>
      <c r="O131" s="543"/>
      <c r="P131" s="543"/>
      <c r="Q131" s="543"/>
      <c r="R131" s="543"/>
      <c r="S131" s="484"/>
      <c r="T131" s="484"/>
      <c r="U131" s="544"/>
      <c r="V131" s="542"/>
    </row>
    <row r="132" spans="1:27" ht="16.5" customHeight="1">
      <c r="A132" s="129"/>
      <c r="B132" s="129"/>
      <c r="C132" s="129"/>
      <c r="D132" s="129"/>
      <c r="E132" s="15"/>
      <c r="F132" s="6"/>
      <c r="G132" s="6"/>
      <c r="H132" s="506"/>
      <c r="I132" s="47"/>
      <c r="J132" s="47"/>
      <c r="K132" s="53"/>
      <c r="L132" s="53"/>
      <c r="M132" s="508"/>
      <c r="N132" s="508"/>
      <c r="O132" s="508"/>
      <c r="P132" s="508"/>
      <c r="Q132" s="508"/>
      <c r="R132" s="508"/>
      <c r="S132" s="481"/>
      <c r="T132" s="481"/>
      <c r="U132" s="490"/>
      <c r="V132" s="542"/>
    </row>
    <row r="133" spans="1:27" ht="16.5" customHeight="1">
      <c r="A133" s="129"/>
      <c r="B133" s="129"/>
      <c r="C133" s="129"/>
      <c r="D133" s="129"/>
      <c r="E133" s="15"/>
      <c r="F133" s="6"/>
      <c r="G133" s="6"/>
      <c r="H133" s="506"/>
      <c r="I133" s="47"/>
      <c r="J133" s="47"/>
      <c r="K133" s="53"/>
      <c r="L133" s="53"/>
      <c r="M133" s="508"/>
      <c r="N133" s="508"/>
      <c r="O133" s="508"/>
      <c r="P133" s="508"/>
      <c r="Q133" s="508"/>
      <c r="R133" s="508"/>
      <c r="S133" s="481"/>
      <c r="T133" s="481"/>
      <c r="U133" s="490"/>
      <c r="V133" s="542"/>
    </row>
    <row r="134" spans="1:27" ht="16.5" customHeight="1">
      <c r="A134" s="129"/>
      <c r="B134" s="129"/>
      <c r="C134" s="129"/>
      <c r="D134" s="129"/>
      <c r="E134" s="15"/>
      <c r="F134" s="6"/>
      <c r="G134" s="6"/>
      <c r="H134" s="506"/>
      <c r="I134" s="47"/>
      <c r="J134" s="47"/>
      <c r="K134" s="53"/>
      <c r="L134" s="53"/>
      <c r="M134" s="508"/>
      <c r="N134" s="508"/>
      <c r="O134" s="508"/>
      <c r="P134" s="508"/>
      <c r="Q134" s="508"/>
      <c r="R134" s="508"/>
      <c r="S134" s="481"/>
      <c r="T134" s="481"/>
    </row>
    <row r="135" spans="1:27" ht="16.5" customHeight="1">
      <c r="A135" s="129"/>
      <c r="B135" s="129"/>
      <c r="C135" s="129"/>
      <c r="D135" s="129"/>
      <c r="E135" s="15"/>
      <c r="F135" s="6"/>
      <c r="G135" s="6"/>
      <c r="H135" s="506"/>
      <c r="I135" s="506"/>
      <c r="J135" s="506"/>
      <c r="K135" s="545"/>
      <c r="L135" s="545"/>
      <c r="M135" s="508"/>
      <c r="N135" s="508"/>
      <c r="O135" s="508"/>
      <c r="P135" s="508"/>
      <c r="Q135" s="508"/>
      <c r="R135" s="508"/>
      <c r="S135" s="481"/>
      <c r="T135" s="481"/>
    </row>
    <row r="136" spans="1:27" ht="16.5" customHeight="1">
      <c r="A136" s="129"/>
      <c r="B136" s="129"/>
      <c r="C136" s="129"/>
      <c r="D136" s="15"/>
      <c r="E136" s="6"/>
      <c r="F136" s="6"/>
      <c r="G136" s="6"/>
      <c r="H136" s="539"/>
      <c r="I136" s="539"/>
      <c r="J136" s="539"/>
      <c r="K136" s="527"/>
      <c r="L136" s="527"/>
      <c r="M136" s="546"/>
      <c r="N136" s="546"/>
      <c r="O136" s="546"/>
      <c r="P136" s="546"/>
      <c r="Q136" s="546"/>
      <c r="R136" s="546"/>
      <c r="S136" s="484"/>
      <c r="T136" s="484"/>
    </row>
    <row r="137" spans="1:27" ht="16.5" customHeight="1">
      <c r="A137" s="129"/>
      <c r="B137" s="129"/>
      <c r="C137" s="129"/>
      <c r="D137" s="129"/>
      <c r="E137" s="15"/>
      <c r="F137" s="6"/>
      <c r="G137" s="6"/>
      <c r="H137" s="539"/>
      <c r="I137" s="47"/>
      <c r="J137" s="518"/>
      <c r="K137" s="518"/>
      <c r="L137" s="518"/>
      <c r="M137" s="547"/>
      <c r="N137" s="547"/>
      <c r="O137" s="547"/>
      <c r="P137" s="547"/>
      <c r="Q137" s="547"/>
      <c r="R137" s="547"/>
      <c r="S137" s="481"/>
      <c r="T137" s="481"/>
    </row>
    <row r="138" spans="1:27" ht="16.5" customHeight="1">
      <c r="A138" s="129"/>
      <c r="B138" s="129"/>
      <c r="C138" s="129"/>
      <c r="D138" s="129"/>
      <c r="E138" s="15"/>
      <c r="F138" s="6"/>
      <c r="G138" s="6"/>
      <c r="H138" s="539"/>
      <c r="I138" s="47"/>
      <c r="J138" s="518"/>
      <c r="K138" s="518"/>
      <c r="L138" s="518"/>
      <c r="M138" s="547"/>
      <c r="N138" s="547"/>
      <c r="O138" s="547"/>
      <c r="P138" s="547"/>
      <c r="Q138" s="547"/>
      <c r="R138" s="547"/>
      <c r="S138" s="481"/>
      <c r="T138" s="481"/>
      <c r="V138" s="54"/>
      <c r="W138" s="54"/>
      <c r="X138" s="54"/>
      <c r="Y138" s="54"/>
    </row>
    <row r="139" spans="1:27" ht="16.5" customHeight="1">
      <c r="A139" s="129"/>
      <c r="B139" s="129"/>
      <c r="C139" s="129"/>
      <c r="D139" s="129"/>
      <c r="E139" s="15"/>
      <c r="F139" s="6"/>
      <c r="G139" s="6"/>
      <c r="H139" s="539"/>
      <c r="I139" s="47"/>
      <c r="J139" s="518"/>
      <c r="K139" s="518"/>
      <c r="L139" s="518"/>
      <c r="M139" s="547"/>
      <c r="N139" s="547"/>
      <c r="O139" s="547"/>
      <c r="P139" s="547"/>
      <c r="Q139" s="547"/>
      <c r="R139" s="547"/>
      <c r="S139" s="481"/>
      <c r="T139" s="481"/>
    </row>
    <row r="140" spans="1:27" ht="16.5" customHeight="1">
      <c r="A140" s="129"/>
      <c r="B140" s="129"/>
      <c r="C140" s="129"/>
      <c r="D140" s="129"/>
      <c r="E140" s="15"/>
      <c r="F140" s="6"/>
      <c r="G140" s="6"/>
      <c r="H140" s="539"/>
      <c r="I140" s="539"/>
      <c r="J140" s="539"/>
      <c r="K140" s="527"/>
      <c r="L140" s="527"/>
      <c r="M140" s="547"/>
      <c r="N140" s="547"/>
      <c r="O140" s="547"/>
      <c r="P140" s="547"/>
      <c r="Q140" s="547"/>
      <c r="R140" s="547"/>
      <c r="S140" s="481"/>
      <c r="T140" s="481"/>
      <c r="W140" s="54"/>
      <c r="X140" s="54"/>
      <c r="Y140" s="54"/>
      <c r="Z140" s="54"/>
    </row>
    <row r="141" spans="1:27" ht="16.5" customHeight="1">
      <c r="A141" s="129"/>
      <c r="B141" s="129"/>
      <c r="C141" s="129"/>
      <c r="D141" s="15"/>
      <c r="E141" s="6"/>
      <c r="F141" s="516"/>
      <c r="G141" s="516"/>
      <c r="H141" s="539"/>
      <c r="I141" s="539"/>
      <c r="J141" s="539"/>
      <c r="K141" s="525"/>
      <c r="L141" s="525"/>
      <c r="M141" s="500"/>
      <c r="N141" s="500"/>
      <c r="O141" s="500"/>
      <c r="P141" s="500"/>
      <c r="Q141" s="500"/>
      <c r="R141" s="500"/>
      <c r="S141" s="481"/>
      <c r="T141" s="481"/>
      <c r="U141" s="548"/>
      <c r="V141" s="53"/>
      <c r="W141" s="47"/>
      <c r="X141" s="45"/>
      <c r="Y141" s="45"/>
      <c r="Z141" s="45"/>
      <c r="AA141" s="45"/>
    </row>
    <row r="142" spans="1:27" ht="16.5" customHeight="1">
      <c r="A142" s="129"/>
      <c r="B142" s="129"/>
      <c r="C142" s="129"/>
      <c r="D142" s="129"/>
      <c r="E142" s="15"/>
      <c r="F142" s="6"/>
      <c r="G142" s="6"/>
      <c r="H142" s="539"/>
      <c r="I142" s="45"/>
      <c r="J142" s="45"/>
      <c r="K142" s="549"/>
      <c r="L142" s="549"/>
      <c r="M142" s="524"/>
      <c r="N142" s="524"/>
      <c r="O142" s="524"/>
      <c r="P142" s="524"/>
      <c r="Q142" s="524"/>
      <c r="R142" s="524"/>
      <c r="S142" s="484"/>
      <c r="T142" s="484"/>
      <c r="U142" s="548"/>
      <c r="V142" s="53"/>
      <c r="W142" s="47"/>
      <c r="X142" s="45"/>
      <c r="Y142" s="45"/>
      <c r="Z142" s="45"/>
      <c r="AA142" s="45"/>
    </row>
    <row r="143" spans="1:27" ht="16.5" customHeight="1">
      <c r="A143" s="129"/>
      <c r="B143" s="129"/>
      <c r="C143" s="129"/>
      <c r="D143" s="129"/>
      <c r="E143" s="129"/>
      <c r="F143" s="15"/>
      <c r="G143" s="15"/>
      <c r="H143" s="506"/>
      <c r="I143" s="506"/>
      <c r="J143" s="506"/>
      <c r="K143" s="507"/>
      <c r="L143" s="507"/>
      <c r="M143" s="500"/>
      <c r="N143" s="500"/>
      <c r="O143" s="500"/>
      <c r="P143" s="500"/>
      <c r="Q143" s="500"/>
      <c r="R143" s="500"/>
      <c r="S143" s="481"/>
      <c r="T143" s="481"/>
      <c r="U143" s="548"/>
      <c r="V143" s="53"/>
      <c r="W143" s="47"/>
      <c r="X143" s="45"/>
      <c r="Y143" s="45"/>
      <c r="Z143" s="45"/>
      <c r="AA143" s="45"/>
    </row>
    <row r="144" spans="1:27" ht="16.5" customHeight="1">
      <c r="A144" s="129"/>
      <c r="B144" s="129"/>
      <c r="C144" s="129"/>
      <c r="D144" s="129"/>
      <c r="E144" s="129"/>
      <c r="F144" s="15"/>
      <c r="G144" s="15"/>
      <c r="H144" s="506"/>
      <c r="I144" s="506"/>
      <c r="J144" s="506"/>
      <c r="K144" s="507"/>
      <c r="L144" s="507"/>
      <c r="M144" s="500"/>
      <c r="N144" s="500"/>
      <c r="O144" s="500"/>
      <c r="P144" s="500"/>
      <c r="Q144" s="500"/>
      <c r="R144" s="500"/>
      <c r="S144" s="481"/>
      <c r="T144" s="481"/>
      <c r="U144" s="548"/>
      <c r="V144" s="53"/>
      <c r="W144" s="47"/>
      <c r="X144" s="45"/>
      <c r="Y144" s="45"/>
      <c r="Z144" s="45"/>
      <c r="AA144" s="45"/>
    </row>
    <row r="145" spans="1:27" ht="16.5" customHeight="1">
      <c r="A145" s="129"/>
      <c r="B145" s="129"/>
      <c r="C145" s="129"/>
      <c r="D145" s="129"/>
      <c r="E145" s="15"/>
      <c r="F145" s="6"/>
      <c r="G145" s="6"/>
      <c r="H145" s="539"/>
      <c r="I145" s="45"/>
      <c r="J145" s="45"/>
      <c r="K145" s="549"/>
      <c r="L145" s="549"/>
      <c r="M145" s="524"/>
      <c r="N145" s="524"/>
      <c r="O145" s="524"/>
      <c r="P145" s="524"/>
      <c r="Q145" s="524"/>
      <c r="R145" s="524"/>
      <c r="S145" s="484"/>
      <c r="T145" s="484"/>
    </row>
    <row r="146" spans="1:27" ht="16.5" customHeight="1">
      <c r="A146" s="129"/>
      <c r="B146" s="129"/>
      <c r="C146" s="129"/>
      <c r="D146" s="129"/>
      <c r="E146" s="129"/>
      <c r="F146" s="15"/>
      <c r="G146" s="15"/>
      <c r="H146" s="491"/>
      <c r="I146" s="491"/>
      <c r="J146" s="491"/>
      <c r="K146" s="550"/>
      <c r="L146" s="550"/>
      <c r="M146" s="500"/>
      <c r="N146" s="500"/>
      <c r="O146" s="500"/>
      <c r="P146" s="500"/>
      <c r="Q146" s="500"/>
      <c r="R146" s="500"/>
      <c r="S146" s="481"/>
      <c r="T146" s="481"/>
      <c r="X146" s="54"/>
      <c r="Y146" s="54"/>
      <c r="Z146" s="54"/>
      <c r="AA146" s="54"/>
    </row>
    <row r="147" spans="1:27" ht="16.5" customHeight="1">
      <c r="A147" s="129"/>
      <c r="B147" s="129"/>
      <c r="C147" s="129"/>
      <c r="D147" s="129"/>
      <c r="E147" s="129"/>
      <c r="F147" s="15"/>
      <c r="G147" s="15"/>
      <c r="H147" s="491"/>
      <c r="I147" s="491"/>
      <c r="J147" s="491"/>
      <c r="K147" s="550"/>
      <c r="L147" s="550"/>
      <c r="M147" s="500"/>
      <c r="N147" s="500"/>
      <c r="O147" s="500"/>
      <c r="P147" s="500"/>
      <c r="Q147" s="500"/>
      <c r="R147" s="500"/>
      <c r="S147" s="481"/>
      <c r="T147" s="481"/>
      <c r="X147" s="54"/>
      <c r="Y147" s="54"/>
      <c r="Z147" s="54"/>
      <c r="AA147" s="54"/>
    </row>
    <row r="148" spans="1:27" ht="16.5" customHeight="1">
      <c r="A148" s="129"/>
      <c r="B148" s="129"/>
      <c r="C148" s="129"/>
      <c r="D148" s="129"/>
      <c r="E148" s="15"/>
      <c r="F148" s="6"/>
      <c r="G148" s="6"/>
      <c r="H148" s="539"/>
      <c r="I148" s="45"/>
      <c r="J148" s="45"/>
      <c r="K148" s="549"/>
      <c r="L148" s="549"/>
      <c r="M148" s="551"/>
      <c r="N148" s="551"/>
      <c r="O148" s="551"/>
      <c r="P148" s="551"/>
      <c r="Q148" s="551"/>
      <c r="R148" s="551"/>
      <c r="S148" s="484"/>
      <c r="T148" s="484"/>
      <c r="X148" s="54"/>
      <c r="Y148" s="54"/>
      <c r="Z148" s="54"/>
      <c r="AA148" s="54"/>
    </row>
    <row r="149" spans="1:27" ht="16.5" customHeight="1">
      <c r="A149" s="129"/>
      <c r="B149" s="129"/>
      <c r="C149" s="129"/>
      <c r="D149" s="129"/>
      <c r="E149" s="129"/>
      <c r="F149" s="15"/>
      <c r="G149" s="15"/>
      <c r="H149" s="506"/>
      <c r="I149" s="506"/>
      <c r="J149" s="506"/>
      <c r="K149" s="552"/>
      <c r="L149" s="552"/>
      <c r="M149" s="500"/>
      <c r="N149" s="500"/>
      <c r="O149" s="500"/>
      <c r="P149" s="500"/>
      <c r="Q149" s="500"/>
      <c r="R149" s="500"/>
      <c r="S149" s="481"/>
      <c r="T149" s="481"/>
      <c r="X149" s="54"/>
      <c r="Y149" s="54"/>
      <c r="Z149" s="54"/>
      <c r="AA149" s="54"/>
    </row>
    <row r="150" spans="1:27" ht="16.5" customHeight="1">
      <c r="A150" s="129"/>
      <c r="B150" s="129"/>
      <c r="C150" s="129"/>
      <c r="D150" s="129"/>
      <c r="E150" s="129"/>
      <c r="F150" s="15"/>
      <c r="G150" s="15"/>
      <c r="H150" s="506"/>
      <c r="I150" s="506"/>
      <c r="J150" s="506"/>
      <c r="K150" s="552"/>
      <c r="L150" s="552"/>
      <c r="M150" s="516"/>
      <c r="N150" s="516"/>
      <c r="O150" s="516"/>
      <c r="P150" s="516"/>
      <c r="Q150" s="516"/>
      <c r="R150" s="516"/>
      <c r="S150" s="481"/>
      <c r="T150" s="481"/>
    </row>
    <row r="151" spans="1:27" ht="16.5" customHeight="1">
      <c r="A151" s="129"/>
      <c r="B151" s="129"/>
      <c r="C151" s="129"/>
      <c r="D151" s="129"/>
      <c r="E151" s="15"/>
      <c r="F151" s="15"/>
      <c r="G151" s="15"/>
      <c r="H151" s="539"/>
      <c r="I151" s="539"/>
      <c r="J151" s="539"/>
      <c r="K151" s="525"/>
      <c r="L151" s="525"/>
      <c r="M151" s="553"/>
      <c r="N151" s="553"/>
      <c r="O151" s="553"/>
      <c r="P151" s="553"/>
      <c r="Q151" s="553"/>
      <c r="R151" s="553"/>
      <c r="S151" s="484"/>
      <c r="T151" s="484"/>
    </row>
    <row r="152" spans="1:27" ht="16.5" customHeight="1">
      <c r="A152" s="129"/>
      <c r="B152" s="129"/>
      <c r="C152" s="129"/>
      <c r="D152" s="129"/>
      <c r="E152" s="129"/>
      <c r="F152" s="15"/>
      <c r="G152" s="15"/>
      <c r="H152" s="506"/>
      <c r="I152" s="506"/>
      <c r="J152" s="506"/>
      <c r="K152" s="552"/>
      <c r="L152" s="552"/>
      <c r="M152" s="516"/>
      <c r="N152" s="516"/>
      <c r="O152" s="516"/>
      <c r="P152" s="516"/>
      <c r="Q152" s="516"/>
      <c r="R152" s="516"/>
      <c r="S152" s="481"/>
      <c r="T152" s="481"/>
    </row>
    <row r="153" spans="1:27" ht="16.5" customHeight="1">
      <c r="A153" s="129"/>
      <c r="B153" s="129"/>
      <c r="C153" s="129"/>
      <c r="D153" s="129"/>
      <c r="E153" s="129"/>
      <c r="F153" s="15"/>
      <c r="G153" s="15"/>
      <c r="H153" s="506"/>
      <c r="I153" s="506"/>
      <c r="J153" s="506"/>
      <c r="K153" s="552"/>
      <c r="L153" s="552"/>
      <c r="M153" s="516"/>
      <c r="N153" s="516"/>
      <c r="O153" s="516"/>
      <c r="P153" s="516"/>
      <c r="Q153" s="516"/>
      <c r="R153" s="516"/>
      <c r="S153" s="481"/>
      <c r="T153" s="481"/>
    </row>
    <row r="154" spans="1:27" ht="16.5" customHeight="1">
      <c r="A154" s="129"/>
      <c r="B154" s="129"/>
      <c r="C154" s="129"/>
      <c r="D154" s="15"/>
      <c r="E154" s="6"/>
      <c r="F154" s="6"/>
      <c r="G154" s="6"/>
      <c r="H154" s="554"/>
      <c r="I154" s="554"/>
      <c r="J154" s="554"/>
      <c r="K154" s="555"/>
      <c r="L154" s="555"/>
      <c r="M154" s="549"/>
      <c r="N154" s="549"/>
      <c r="O154" s="549"/>
      <c r="P154" s="549"/>
      <c r="Q154" s="549"/>
      <c r="R154" s="549"/>
      <c r="S154" s="484"/>
      <c r="T154" s="484"/>
    </row>
    <row r="155" spans="1:27" ht="16.5" customHeight="1">
      <c r="A155" s="129"/>
      <c r="B155" s="129"/>
      <c r="C155" s="129"/>
      <c r="D155" s="129"/>
      <c r="E155" s="15"/>
      <c r="F155" s="6"/>
      <c r="G155" s="6"/>
      <c r="H155" s="45"/>
      <c r="I155" s="45"/>
      <c r="J155" s="45"/>
      <c r="K155" s="549"/>
      <c r="L155" s="549"/>
      <c r="M155" s="553"/>
      <c r="N155" s="553"/>
      <c r="O155" s="553"/>
      <c r="P155" s="553"/>
      <c r="Q155" s="553"/>
      <c r="R155" s="553"/>
      <c r="S155" s="484"/>
      <c r="T155" s="484"/>
    </row>
    <row r="156" spans="1:27" ht="15" customHeight="1">
      <c r="A156" s="129"/>
      <c r="B156" s="129"/>
      <c r="C156" s="129"/>
      <c r="D156" s="129"/>
      <c r="E156" s="129"/>
      <c r="F156" s="15"/>
      <c r="G156" s="15"/>
      <c r="H156" s="506"/>
      <c r="I156" s="506"/>
      <c r="J156" s="506"/>
      <c r="K156" s="552"/>
      <c r="L156" s="552"/>
      <c r="M156" s="516"/>
      <c r="N156" s="516"/>
      <c r="O156" s="516"/>
      <c r="P156" s="516"/>
      <c r="Q156" s="516"/>
      <c r="R156" s="516"/>
      <c r="S156" s="481"/>
      <c r="T156" s="481"/>
    </row>
    <row r="157" spans="1:27" ht="16.5" customHeight="1">
      <c r="A157" s="129"/>
      <c r="B157" s="129"/>
      <c r="C157" s="129"/>
      <c r="D157" s="129"/>
      <c r="E157" s="129"/>
      <c r="F157" s="15"/>
      <c r="G157" s="15"/>
      <c r="H157" s="506"/>
      <c r="I157" s="506"/>
      <c r="J157" s="506"/>
      <c r="K157" s="552"/>
      <c r="L157" s="552"/>
      <c r="M157" s="44"/>
      <c r="N157" s="44"/>
      <c r="O157" s="44"/>
      <c r="P157" s="44"/>
      <c r="Q157" s="44"/>
      <c r="R157" s="44"/>
      <c r="S157" s="481"/>
      <c r="T157" s="481"/>
    </row>
    <row r="158" spans="1:27" ht="16.5" customHeight="1">
      <c r="A158" s="129"/>
      <c r="B158" s="129"/>
      <c r="C158" s="129"/>
      <c r="D158" s="129"/>
      <c r="E158" s="15"/>
      <c r="F158" s="6"/>
      <c r="G158" s="6"/>
      <c r="H158" s="45"/>
      <c r="I158" s="45"/>
      <c r="J158" s="45"/>
      <c r="K158" s="549"/>
      <c r="L158" s="549"/>
      <c r="M158" s="553"/>
      <c r="N158" s="553"/>
      <c r="O158" s="553"/>
      <c r="P158" s="553"/>
      <c r="Q158" s="553"/>
      <c r="R158" s="553"/>
      <c r="S158" s="484"/>
      <c r="T158" s="484"/>
    </row>
    <row r="159" spans="1:27" ht="16.5" customHeight="1">
      <c r="A159" s="129"/>
      <c r="B159" s="129"/>
      <c r="C159" s="129"/>
      <c r="D159" s="129"/>
      <c r="E159" s="129"/>
      <c r="F159" s="15"/>
      <c r="G159" s="15"/>
      <c r="H159" s="506"/>
      <c r="I159" s="506"/>
      <c r="J159" s="506"/>
      <c r="K159" s="552"/>
      <c r="L159" s="552"/>
      <c r="M159" s="516"/>
      <c r="N159" s="516"/>
      <c r="O159" s="516"/>
      <c r="P159" s="516"/>
      <c r="Q159" s="516"/>
      <c r="R159" s="516"/>
      <c r="S159" s="481"/>
      <c r="T159" s="481"/>
    </row>
    <row r="160" spans="1:27" ht="16.5" customHeight="1">
      <c r="A160" s="129"/>
      <c r="B160" s="129"/>
      <c r="C160" s="129"/>
      <c r="D160" s="129"/>
      <c r="E160" s="129"/>
      <c r="F160" s="15"/>
      <c r="G160" s="15"/>
      <c r="H160" s="506"/>
      <c r="I160" s="506"/>
      <c r="J160" s="506"/>
      <c r="K160" s="552"/>
      <c r="L160" s="552"/>
      <c r="M160" s="516"/>
      <c r="N160" s="516"/>
      <c r="O160" s="516"/>
      <c r="P160" s="516"/>
      <c r="Q160" s="516"/>
      <c r="R160" s="516"/>
      <c r="S160" s="481"/>
      <c r="T160" s="481"/>
    </row>
    <row r="161" spans="1:20" ht="16.5" customHeight="1">
      <c r="A161" s="129"/>
      <c r="B161" s="129"/>
      <c r="C161" s="129"/>
      <c r="D161" s="129"/>
      <c r="E161" s="15"/>
      <c r="F161" s="6"/>
      <c r="G161" s="6"/>
      <c r="H161" s="45"/>
      <c r="I161" s="45"/>
      <c r="J161" s="45"/>
      <c r="K161" s="549"/>
      <c r="L161" s="549"/>
      <c r="M161" s="553"/>
      <c r="N161" s="553"/>
      <c r="O161" s="553"/>
      <c r="P161" s="553"/>
      <c r="Q161" s="553"/>
      <c r="R161" s="553"/>
      <c r="S161" s="484"/>
      <c r="T161" s="484"/>
    </row>
    <row r="162" spans="1:20" ht="16.5" customHeight="1">
      <c r="A162" s="129"/>
      <c r="B162" s="129"/>
      <c r="C162" s="129"/>
      <c r="D162" s="129"/>
      <c r="E162" s="129"/>
      <c r="F162" s="15"/>
      <c r="G162" s="15"/>
      <c r="H162" s="506"/>
      <c r="I162" s="506"/>
      <c r="J162" s="506"/>
      <c r="K162" s="552"/>
      <c r="L162" s="552"/>
      <c r="M162" s="516"/>
      <c r="N162" s="516"/>
      <c r="O162" s="516"/>
      <c r="P162" s="516"/>
      <c r="Q162" s="516"/>
      <c r="R162" s="516"/>
      <c r="S162" s="481"/>
      <c r="T162" s="481"/>
    </row>
    <row r="163" spans="1:20" ht="15" customHeight="1">
      <c r="A163" s="129"/>
      <c r="B163" s="129"/>
      <c r="C163" s="129"/>
      <c r="D163" s="129"/>
      <c r="E163" s="129"/>
      <c r="F163" s="15"/>
      <c r="G163" s="15"/>
      <c r="H163" s="506"/>
      <c r="I163" s="506"/>
      <c r="J163" s="506"/>
      <c r="K163" s="552"/>
      <c r="L163" s="552"/>
      <c r="M163" s="516"/>
      <c r="N163" s="516"/>
      <c r="O163" s="516"/>
      <c r="P163" s="516"/>
      <c r="Q163" s="516"/>
      <c r="R163" s="516"/>
      <c r="S163" s="481"/>
      <c r="T163" s="481"/>
    </row>
    <row r="164" spans="1:20" ht="16.5" customHeight="1">
      <c r="A164" s="129"/>
      <c r="B164" s="129"/>
      <c r="C164" s="129"/>
      <c r="D164" s="129"/>
      <c r="E164" s="15"/>
      <c r="F164" s="15"/>
      <c r="G164" s="15"/>
      <c r="H164" s="45"/>
      <c r="I164" s="45"/>
      <c r="J164" s="45"/>
      <c r="K164" s="549"/>
      <c r="L164" s="549"/>
      <c r="M164" s="553"/>
      <c r="N164" s="553"/>
      <c r="O164" s="553"/>
      <c r="P164" s="553"/>
      <c r="Q164" s="553"/>
      <c r="R164" s="553"/>
      <c r="S164" s="484"/>
      <c r="T164" s="484"/>
    </row>
    <row r="165" spans="1:20" ht="16.5" customHeight="1">
      <c r="A165" s="129"/>
      <c r="B165" s="129"/>
      <c r="C165" s="129"/>
      <c r="D165" s="129"/>
      <c r="E165" s="129"/>
      <c r="F165" s="15"/>
      <c r="G165" s="15"/>
      <c r="H165" s="506"/>
      <c r="I165" s="506"/>
      <c r="J165" s="506"/>
      <c r="K165" s="552"/>
      <c r="L165" s="552"/>
      <c r="M165" s="516"/>
      <c r="N165" s="516"/>
      <c r="O165" s="516"/>
      <c r="P165" s="516"/>
      <c r="Q165" s="516"/>
      <c r="R165" s="516"/>
      <c r="S165" s="481"/>
      <c r="T165" s="481"/>
    </row>
    <row r="166" spans="1:20" ht="16.5" customHeight="1">
      <c r="A166" s="129"/>
      <c r="B166" s="129"/>
      <c r="C166" s="129"/>
      <c r="D166" s="129"/>
      <c r="E166" s="129"/>
      <c r="F166" s="15"/>
      <c r="G166" s="15"/>
      <c r="H166" s="506"/>
      <c r="I166" s="506"/>
      <c r="J166" s="506"/>
      <c r="K166" s="552"/>
      <c r="L166" s="552"/>
      <c r="M166" s="516"/>
      <c r="N166" s="516"/>
      <c r="O166" s="516"/>
      <c r="P166" s="516"/>
      <c r="Q166" s="516"/>
      <c r="R166" s="516"/>
      <c r="S166" s="481"/>
      <c r="T166" s="481"/>
    </row>
    <row r="167" spans="1:20" ht="16.5" customHeight="1">
      <c r="A167" s="129"/>
      <c r="B167" s="129"/>
      <c r="C167" s="129"/>
      <c r="D167" s="15"/>
      <c r="E167" s="6"/>
      <c r="F167" s="15"/>
      <c r="G167" s="15"/>
      <c r="H167" s="502"/>
      <c r="I167" s="502"/>
      <c r="J167" s="502"/>
      <c r="K167" s="523"/>
      <c r="L167" s="538"/>
      <c r="M167" s="524"/>
      <c r="N167" s="524"/>
      <c r="O167" s="524"/>
      <c r="P167" s="524"/>
      <c r="Q167" s="524"/>
      <c r="R167" s="524"/>
      <c r="S167" s="484"/>
      <c r="T167" s="484"/>
    </row>
    <row r="168" spans="1:20" ht="16.5" customHeight="1">
      <c r="A168" s="129"/>
      <c r="B168" s="129"/>
      <c r="C168" s="129"/>
      <c r="D168" s="129"/>
      <c r="E168" s="15"/>
      <c r="F168" s="6"/>
      <c r="G168" s="6"/>
      <c r="H168" s="539"/>
      <c r="I168" s="539"/>
      <c r="J168" s="539"/>
      <c r="K168" s="538"/>
      <c r="L168" s="538"/>
      <c r="M168" s="524"/>
      <c r="N168" s="524"/>
      <c r="O168" s="524"/>
      <c r="P168" s="524"/>
      <c r="Q168" s="524"/>
      <c r="R168" s="524"/>
      <c r="S168" s="484"/>
      <c r="T168" s="484"/>
    </row>
    <row r="169" spans="1:20" ht="16.5" customHeight="1">
      <c r="A169" s="129"/>
      <c r="B169" s="129"/>
      <c r="C169" s="129"/>
      <c r="D169" s="129"/>
      <c r="E169" s="129"/>
      <c r="F169" s="15"/>
      <c r="G169" s="15"/>
      <c r="H169" s="491"/>
      <c r="I169" s="491"/>
      <c r="J169" s="491"/>
      <c r="K169" s="511"/>
      <c r="L169" s="511"/>
      <c r="M169" s="500"/>
      <c r="N169" s="500"/>
      <c r="O169" s="500"/>
      <c r="P169" s="500"/>
      <c r="Q169" s="500"/>
      <c r="R169" s="500"/>
      <c r="S169" s="481"/>
      <c r="T169" s="481"/>
    </row>
    <row r="170" spans="1:20" ht="16.5" customHeight="1">
      <c r="A170" s="129"/>
      <c r="B170" s="129"/>
      <c r="C170" s="129"/>
      <c r="D170" s="129"/>
      <c r="E170" s="129"/>
      <c r="F170" s="15"/>
      <c r="G170" s="15"/>
      <c r="H170" s="491"/>
      <c r="I170" s="491"/>
      <c r="J170" s="491"/>
      <c r="K170" s="511"/>
      <c r="L170" s="511"/>
      <c r="M170" s="500"/>
      <c r="N170" s="500"/>
      <c r="O170" s="500"/>
      <c r="P170" s="500"/>
      <c r="Q170" s="500"/>
      <c r="R170" s="500"/>
      <c r="S170" s="481"/>
      <c r="T170" s="481"/>
    </row>
    <row r="171" spans="1:20" ht="16.5" customHeight="1">
      <c r="A171" s="129"/>
      <c r="B171" s="129"/>
      <c r="C171" s="129"/>
      <c r="D171" s="129"/>
      <c r="E171" s="15"/>
      <c r="F171" s="6"/>
      <c r="G171" s="6"/>
      <c r="H171" s="539"/>
      <c r="I171" s="539"/>
      <c r="J171" s="539"/>
      <c r="K171" s="556"/>
      <c r="L171" s="556"/>
      <c r="M171" s="524"/>
      <c r="N171" s="524"/>
      <c r="O171" s="524"/>
      <c r="P171" s="524"/>
      <c r="Q171" s="524"/>
      <c r="R171" s="524"/>
      <c r="S171" s="484"/>
      <c r="T171" s="484"/>
    </row>
    <row r="172" spans="1:20" ht="16.5" customHeight="1">
      <c r="A172" s="129"/>
      <c r="B172" s="129"/>
      <c r="C172" s="129"/>
      <c r="D172" s="129"/>
      <c r="E172" s="129"/>
      <c r="F172" s="15"/>
      <c r="G172" s="15"/>
      <c r="H172" s="506"/>
      <c r="I172" s="506"/>
      <c r="J172" s="506"/>
      <c r="K172" s="557"/>
      <c r="L172" s="557"/>
      <c r="M172" s="500"/>
      <c r="N172" s="500"/>
      <c r="O172" s="500"/>
      <c r="P172" s="500"/>
      <c r="Q172" s="500"/>
      <c r="R172" s="500"/>
      <c r="S172" s="481"/>
      <c r="T172" s="481"/>
    </row>
    <row r="173" spans="1:20" ht="16.5" customHeight="1">
      <c r="A173" s="129"/>
      <c r="B173" s="129"/>
      <c r="C173" s="129"/>
      <c r="D173" s="129"/>
      <c r="E173" s="129"/>
      <c r="F173" s="15"/>
      <c r="G173" s="15"/>
      <c r="H173" s="506"/>
      <c r="I173" s="506"/>
      <c r="J173" s="506"/>
      <c r="K173" s="557"/>
      <c r="L173" s="557"/>
      <c r="M173" s="500"/>
      <c r="N173" s="500"/>
      <c r="O173" s="500"/>
      <c r="P173" s="500"/>
      <c r="Q173" s="500"/>
      <c r="R173" s="500"/>
      <c r="S173" s="481"/>
      <c r="T173" s="481"/>
    </row>
    <row r="174" spans="1:20" ht="16.5" customHeight="1">
      <c r="A174" s="129"/>
      <c r="B174" s="129"/>
      <c r="C174" s="129"/>
      <c r="D174" s="129"/>
      <c r="E174" s="15"/>
      <c r="F174" s="6"/>
      <c r="G174" s="6"/>
      <c r="H174" s="539"/>
      <c r="I174" s="539"/>
      <c r="J174" s="539"/>
      <c r="K174" s="538"/>
      <c r="L174" s="538"/>
      <c r="M174" s="524"/>
      <c r="N174" s="524"/>
      <c r="O174" s="524"/>
      <c r="P174" s="524"/>
      <c r="Q174" s="524"/>
      <c r="R174" s="524"/>
      <c r="S174" s="484"/>
      <c r="T174" s="484"/>
    </row>
    <row r="175" spans="1:20" ht="16.5" customHeight="1">
      <c r="A175" s="129"/>
      <c r="B175" s="129"/>
      <c r="C175" s="129"/>
      <c r="D175" s="129"/>
      <c r="E175" s="129"/>
      <c r="F175" s="15"/>
      <c r="G175" s="15"/>
      <c r="H175" s="491"/>
      <c r="I175" s="491"/>
      <c r="J175" s="491"/>
      <c r="K175" s="511"/>
      <c r="L175" s="511"/>
      <c r="M175" s="500"/>
      <c r="N175" s="500"/>
      <c r="O175" s="500"/>
      <c r="P175" s="500"/>
      <c r="Q175" s="500"/>
      <c r="R175" s="500"/>
      <c r="S175" s="481"/>
      <c r="T175" s="481"/>
    </row>
    <row r="176" spans="1:20" ht="16.5" customHeight="1">
      <c r="A176" s="129"/>
      <c r="B176" s="129"/>
      <c r="C176" s="129"/>
      <c r="D176" s="129"/>
      <c r="E176" s="129"/>
      <c r="F176" s="15"/>
      <c r="G176" s="15"/>
      <c r="H176" s="491"/>
      <c r="I176" s="491"/>
      <c r="J176" s="491"/>
      <c r="K176" s="511"/>
      <c r="L176" s="511"/>
      <c r="M176" s="500"/>
      <c r="N176" s="500"/>
      <c r="O176" s="500"/>
      <c r="P176" s="500"/>
      <c r="Q176" s="500"/>
      <c r="R176" s="500"/>
      <c r="S176" s="481"/>
      <c r="T176" s="481"/>
    </row>
    <row r="177" spans="1:20" ht="16.5" customHeight="1">
      <c r="A177" s="129"/>
      <c r="B177" s="129"/>
      <c r="C177" s="129"/>
      <c r="D177" s="129"/>
      <c r="E177" s="15"/>
      <c r="F177" s="15"/>
      <c r="G177" s="15"/>
      <c r="H177" s="539"/>
      <c r="I177" s="539"/>
      <c r="J177" s="539"/>
      <c r="K177" s="538"/>
      <c r="L177" s="538"/>
      <c r="M177" s="524"/>
      <c r="N177" s="524"/>
      <c r="O177" s="524"/>
      <c r="P177" s="524"/>
      <c r="Q177" s="524"/>
      <c r="R177" s="524"/>
      <c r="S177" s="484"/>
      <c r="T177" s="484"/>
    </row>
    <row r="178" spans="1:20" ht="16.5" customHeight="1">
      <c r="A178" s="129"/>
      <c r="B178" s="129"/>
      <c r="C178" s="129"/>
      <c r="D178" s="129"/>
      <c r="E178" s="129"/>
      <c r="F178" s="15"/>
      <c r="G178" s="15"/>
      <c r="H178" s="491"/>
      <c r="I178" s="491"/>
      <c r="J178" s="491"/>
      <c r="K178" s="511"/>
      <c r="L178" s="511"/>
      <c r="M178" s="558"/>
      <c r="N178" s="558"/>
      <c r="O178" s="558"/>
      <c r="P178" s="558"/>
      <c r="Q178" s="558"/>
      <c r="R178" s="558"/>
      <c r="S178" s="481"/>
      <c r="T178" s="481"/>
    </row>
    <row r="179" spans="1:20" ht="16.5" customHeight="1">
      <c r="A179" s="129"/>
      <c r="B179" s="129"/>
      <c r="C179" s="129"/>
      <c r="D179" s="129"/>
      <c r="E179" s="129"/>
      <c r="F179" s="15"/>
      <c r="G179" s="15"/>
      <c r="H179" s="491"/>
      <c r="I179" s="491"/>
      <c r="J179" s="491"/>
      <c r="K179" s="511"/>
      <c r="L179" s="511"/>
      <c r="M179" s="558"/>
      <c r="N179" s="558"/>
      <c r="O179" s="558"/>
      <c r="P179" s="558"/>
      <c r="Q179" s="558"/>
      <c r="R179" s="558"/>
      <c r="S179" s="481"/>
      <c r="T179" s="481"/>
    </row>
    <row r="180" spans="1:20" ht="16.5" customHeight="1"/>
    <row r="181" spans="1:20" ht="16.5" customHeight="1"/>
    <row r="182" spans="1:20" ht="16.5" customHeight="1"/>
    <row r="183" spans="1:20" ht="16.5" customHeight="1"/>
    <row r="184" spans="1:20" ht="16.5" customHeight="1"/>
    <row r="185" spans="1:20" ht="16.5" customHeight="1"/>
    <row r="186" spans="1:20" ht="16.5" customHeight="1"/>
    <row r="187" spans="1:20" ht="16.5" customHeight="1"/>
    <row r="188" spans="1:20" ht="16.5" customHeight="1"/>
    <row r="189" spans="1:20" ht="16.5" customHeight="1"/>
    <row r="190" spans="1:20" ht="16.5" customHeight="1"/>
    <row r="191" spans="1:20" ht="16.5" customHeight="1"/>
    <row r="192" spans="1:20" ht="16.5" customHeight="1"/>
    <row r="193" ht="16.5" customHeight="1"/>
    <row r="194" ht="16.5" customHeight="1"/>
    <row r="195" ht="16.5" customHeight="1"/>
    <row r="196" ht="16.5" customHeight="1"/>
    <row r="197" ht="16.5" customHeight="1"/>
    <row r="198" ht="16.5" customHeight="1"/>
    <row r="199" ht="16.5" customHeight="1"/>
    <row r="200" ht="16.5" customHeight="1"/>
    <row r="201" ht="16.5" customHeight="1"/>
    <row r="202" ht="16.5" customHeight="1"/>
    <row r="203" ht="16.5" customHeight="1"/>
    <row r="204" ht="16.5" customHeight="1"/>
    <row r="205" ht="16.5" customHeight="1"/>
    <row r="206" ht="16.5" customHeight="1"/>
    <row r="207" ht="16.5" customHeight="1"/>
    <row r="208" ht="16.5" customHeight="1"/>
    <row r="209" ht="16.5" customHeight="1"/>
    <row r="210" ht="16.5" customHeight="1"/>
    <row r="211" ht="16.5" customHeight="1"/>
    <row r="212" ht="16.5" customHeight="1"/>
    <row r="213" ht="16.5" customHeight="1"/>
    <row r="214" ht="16.5" customHeight="1"/>
    <row r="215" ht="16.5" customHeight="1"/>
    <row r="216" ht="16.5" customHeight="1"/>
    <row r="217" ht="16.5" customHeight="1"/>
    <row r="218" ht="16.5" customHeight="1"/>
    <row r="219" ht="16.5" customHeight="1"/>
    <row r="220" ht="16.5" customHeight="1"/>
    <row r="221" ht="16.5" customHeight="1"/>
    <row r="222" ht="16.5" customHeight="1"/>
    <row r="223" ht="16.5" customHeight="1"/>
    <row r="224" ht="16.5" customHeight="1"/>
    <row r="225" ht="16.5" customHeight="1"/>
    <row r="226" ht="16.5" customHeight="1"/>
    <row r="227" ht="16.5" customHeight="1"/>
    <row r="228" ht="16.5" customHeight="1"/>
    <row r="229" ht="16.5" customHeight="1"/>
    <row r="230" ht="16.5" customHeight="1"/>
    <row r="231" ht="16.5" customHeight="1"/>
    <row r="232" ht="16.5" customHeight="1"/>
    <row r="233" ht="16.5" customHeight="1"/>
    <row r="234" ht="16.5" customHeight="1"/>
    <row r="235" ht="16.5" customHeight="1"/>
    <row r="236" ht="16.5" customHeight="1"/>
    <row r="237" ht="16.5" customHeight="1"/>
    <row r="238" ht="16.5" customHeight="1"/>
    <row r="239" ht="16.5" customHeight="1"/>
    <row r="240" ht="16.5" customHeight="1"/>
    <row r="241" ht="16.5" customHeight="1"/>
    <row r="242" ht="16.5" customHeight="1"/>
    <row r="243" ht="16.5" customHeight="1"/>
    <row r="244" ht="16.5" customHeight="1"/>
    <row r="245" ht="16.5" customHeight="1"/>
    <row r="246" ht="16.5" customHeight="1"/>
    <row r="247" ht="16.5" customHeight="1"/>
    <row r="248" ht="11.25"/>
    <row r="249" ht="11.25"/>
    <row r="250" ht="11.25"/>
    <row r="251" ht="11.25"/>
    <row r="252" ht="11.25"/>
    <row r="253" ht="11.25"/>
    <row r="254" ht="11.25"/>
    <row r="255" ht="11.25"/>
    <row r="256" ht="11.25"/>
    <row r="257" ht="11.25"/>
    <row r="258" ht="11.25"/>
    <row r="259" ht="11.25"/>
    <row r="260" ht="11.25"/>
    <row r="261" ht="11.25"/>
    <row r="262" ht="11.25"/>
    <row r="263" ht="11.25"/>
    <row r="264" ht="11.25"/>
    <row r="265" ht="11.25"/>
    <row r="266" ht="11.25"/>
    <row r="267" ht="11.25"/>
    <row r="268" ht="11.25"/>
    <row r="269" ht="11.25"/>
    <row r="270" ht="11.25"/>
    <row r="271" ht="11.25"/>
    <row r="272" ht="11.25"/>
    <row r="273" ht="11.25"/>
    <row r="274" ht="11.25"/>
    <row r="275" ht="11.25"/>
    <row r="276" ht="11.25"/>
    <row r="277" ht="11.25"/>
    <row r="278" ht="11.25"/>
    <row r="279" ht="11.25"/>
    <row r="280" ht="11.25"/>
    <row r="281" ht="11.25"/>
    <row r="282" ht="11.25"/>
    <row r="283" ht="11.25"/>
    <row r="284" ht="11.25"/>
    <row r="285" ht="11.25"/>
    <row r="286" ht="11.25"/>
    <row r="287" ht="11.25"/>
    <row r="288" ht="11.25"/>
    <row r="289" ht="11.25"/>
    <row r="290" ht="11.25"/>
    <row r="291" ht="11.25"/>
    <row r="292" ht="11.25"/>
    <row r="293" ht="11.25"/>
  </sheetData>
  <customSheetViews>
    <customSheetView guid="{BD5E9955-DC4B-4EA0-9160-9EF1C693DE04}" showGridLines="0">
      <pane ySplit="1" topLeftCell="A17" activePane="bottomLeft" state="frozen"/>
      <selection pane="bottomLeft" activeCell="V14" sqref="V14:AA14"/>
      <pageMargins left="0.7" right="0.7" top="0.75" bottom="0.75" header="0.3" footer="0.3"/>
      <pageSetup orientation="portrait" r:id="rId1"/>
    </customSheetView>
    <customSheetView guid="{1ACDCC85-59E3-4410-927D-E7E5C71B61F5}" showGridLines="0">
      <selection activeCell="H3" sqref="H3"/>
      <pageMargins left="0.7" right="0.7" top="0.75" bottom="0.75" header="0.3" footer="0.3"/>
      <pageSetup orientation="portrait" r:id="rId2"/>
    </customSheetView>
    <customSheetView guid="{9144D9B3-2327-4B3A-89B1-6A595780C3C5}" showGridLines="0" hiddenColumns="1" state="hidden">
      <selection activeCell="H3" sqref="H3"/>
      <pageMargins left="0.7" right="0.7" top="0.75" bottom="0.75" header="0.3" footer="0.3"/>
      <pageSetup orientation="portrait" r:id="rId3"/>
    </customSheetView>
    <customSheetView guid="{513032B5-C585-49C2-98E7-9FDE6F7A4BA7}" showGridLines="0" hiddenColumns="1">
      <pageMargins left="0.7" right="0.7" top="0.75" bottom="0.75" header="0.3" footer="0.3"/>
      <pageSetup orientation="portrait" r:id="rId4"/>
    </customSheetView>
    <customSheetView guid="{AF983ECA-536A-40E6-8A04-FF0A375E9ACC}" showGridLines="0" hiddenColumns="1">
      <selection activeCell="H3" sqref="H3"/>
      <pageMargins left="0.7" right="0.7" top="0.75" bottom="0.75" header="0.3" footer="0.3"/>
      <pageSetup orientation="portrait" r:id="rId5"/>
    </customSheetView>
  </customSheetViews>
  <pageMargins left="0.7" right="0.7" top="0.75" bottom="0.75" header="0.3" footer="0.3"/>
  <pageSetup orientation="portrait" r:id="rId6"/>
</worksheet>
</file>

<file path=xl/worksheets/sheet23.xml><?xml version="1.0" encoding="utf-8"?>
<worksheet xmlns="http://schemas.openxmlformats.org/spreadsheetml/2006/main" xmlns:r="http://schemas.openxmlformats.org/officeDocument/2006/relationships">
  <dimension ref="A1:Y106"/>
  <sheetViews>
    <sheetView topLeftCell="A91" workbookViewId="0">
      <selection activeCell="G104" sqref="G104"/>
    </sheetView>
  </sheetViews>
  <sheetFormatPr defaultRowHeight="15"/>
  <cols>
    <col min="1" max="1" width="45.28515625" customWidth="1"/>
    <col min="2" max="6" width="10.140625" bestFit="1" customWidth="1"/>
    <col min="7" max="7" width="11.140625" bestFit="1" customWidth="1"/>
  </cols>
  <sheetData>
    <row r="1" spans="1:11">
      <c r="A1" s="5" t="s">
        <v>150</v>
      </c>
      <c r="B1" s="5">
        <v>2007</v>
      </c>
      <c r="C1" s="5">
        <v>2008</v>
      </c>
      <c r="D1" s="5">
        <v>2009</v>
      </c>
      <c r="E1" s="5">
        <v>2010</v>
      </c>
      <c r="F1" s="5">
        <v>2011</v>
      </c>
      <c r="G1" s="5">
        <v>2012</v>
      </c>
    </row>
    <row r="2" spans="1:11">
      <c r="A2" s="5" t="s">
        <v>940</v>
      </c>
      <c r="B2" s="248">
        <v>146267</v>
      </c>
      <c r="C2" s="248">
        <v>157467</v>
      </c>
      <c r="D2" s="248">
        <v>162270</v>
      </c>
      <c r="E2" s="248">
        <v>157800</v>
      </c>
      <c r="F2" s="248">
        <v>165224</v>
      </c>
    </row>
    <row r="3" spans="1:11">
      <c r="A3" s="375"/>
      <c r="C3" s="101">
        <f>C2/B2-1</f>
        <v>7.657229586988179E-2</v>
      </c>
      <c r="D3" s="101">
        <f t="shared" ref="D3:F3" si="0">D2/C2-1</f>
        <v>3.0501628912724676E-2</v>
      </c>
      <c r="E3" s="101">
        <f t="shared" si="0"/>
        <v>-2.7546681456831257E-2</v>
      </c>
      <c r="F3" s="101">
        <f t="shared" si="0"/>
        <v>4.7046894803548733E-2</v>
      </c>
      <c r="H3" t="s">
        <v>939</v>
      </c>
    </row>
    <row r="4" spans="1:11">
      <c r="A4" s="5" t="s">
        <v>941</v>
      </c>
      <c r="B4" s="248">
        <v>35113.788786550365</v>
      </c>
      <c r="C4" s="248">
        <v>36767.313990971052</v>
      </c>
      <c r="D4" s="248">
        <v>37168.253593778951</v>
      </c>
      <c r="E4" s="248">
        <v>38221.878155948689</v>
      </c>
      <c r="F4" s="248">
        <v>39144.591682312799</v>
      </c>
      <c r="G4" s="248">
        <v>40638.852523077985</v>
      </c>
    </row>
    <row r="5" spans="1:11">
      <c r="C5" s="101">
        <f>C4/B4-1</f>
        <v>4.709048102077884E-2</v>
      </c>
      <c r="D5" s="101">
        <f t="shared" ref="D5" si="1">D4/C4-1</f>
        <v>1.0904783604980262E-2</v>
      </c>
      <c r="E5" s="101">
        <f t="shared" ref="E5" si="2">E4/D4-1</f>
        <v>2.8347432561267594E-2</v>
      </c>
      <c r="F5" s="101">
        <f t="shared" ref="F5:G5" si="3">F4/E4-1</f>
        <v>2.4140978174838956E-2</v>
      </c>
      <c r="G5" s="101">
        <f t="shared" si="3"/>
        <v>3.8172855471126477E-2</v>
      </c>
    </row>
    <row r="6" spans="1:11">
      <c r="A6" s="5" t="s">
        <v>942</v>
      </c>
      <c r="B6" s="248">
        <v>6180.2083488549324</v>
      </c>
      <c r="C6" s="248">
        <v>6336.9902970555704</v>
      </c>
      <c r="D6" s="248">
        <v>5712.9849431918628</v>
      </c>
      <c r="E6" s="248">
        <v>5877.2861874583268</v>
      </c>
      <c r="F6" s="248">
        <v>6016.6138942399075</v>
      </c>
      <c r="G6" s="248">
        <v>6093.1256496794513</v>
      </c>
    </row>
    <row r="7" spans="1:11">
      <c r="B7" s="85"/>
      <c r="C7" s="101">
        <f>C6/B6-1</f>
        <v>2.5368392026732689E-2</v>
      </c>
      <c r="D7" s="101">
        <f t="shared" ref="D7" si="4">D6/C6-1</f>
        <v>-9.8470302874480775E-2</v>
      </c>
      <c r="E7" s="101">
        <f t="shared" ref="E7" si="5">E6/D6-1</f>
        <v>2.8759264360089132E-2</v>
      </c>
      <c r="F7" s="101">
        <f t="shared" ref="F7" si="6">F6/E6-1</f>
        <v>2.3706129383131769E-2</v>
      </c>
      <c r="G7" s="101">
        <f t="shared" ref="G7" si="7">G6/F6-1</f>
        <v>1.2716746792210465E-2</v>
      </c>
      <c r="H7" s="85"/>
      <c r="I7" s="85"/>
      <c r="J7" s="85"/>
      <c r="K7" s="85"/>
    </row>
    <row r="8" spans="1:11">
      <c r="A8" s="5" t="s">
        <v>943</v>
      </c>
      <c r="B8" s="248">
        <f>(B6/(B6+B4))*B2*0.999</f>
        <v>21868.955215602644</v>
      </c>
      <c r="C8" s="248">
        <f>(C6/(C6+C4))*C2*1.05</f>
        <v>24307.553757521513</v>
      </c>
      <c r="D8" s="248">
        <f t="shared" ref="D8" si="8">(D6/(D6+D4))*D2</f>
        <v>21618.92003031756</v>
      </c>
      <c r="E8" s="248">
        <f>(E6/(E6+E4))*E2*1.04</f>
        <v>21871.915378831032</v>
      </c>
      <c r="F8" s="248">
        <f>(F6/(F6+F4))*F2*1.055</f>
        <v>23222.673009858874</v>
      </c>
      <c r="G8" s="248">
        <f>G59</f>
        <v>23320.429424450438</v>
      </c>
      <c r="H8" s="101"/>
      <c r="I8" s="101"/>
      <c r="J8" s="101"/>
      <c r="K8" s="101"/>
    </row>
    <row r="9" spans="1:11">
      <c r="A9" s="375"/>
      <c r="B9" s="85"/>
      <c r="C9" s="101">
        <f>C8/B8-1</f>
        <v>0.11150960427131085</v>
      </c>
      <c r="D9" s="101">
        <f t="shared" ref="D9" si="9">D8/C8-1</f>
        <v>-0.11060897999133323</v>
      </c>
      <c r="E9" s="101">
        <f t="shared" ref="E9" si="10">E8/D8-1</f>
        <v>1.1702497079349117E-2</v>
      </c>
      <c r="F9" s="101">
        <f t="shared" ref="F9:G9" si="11">F8/E8-1</f>
        <v>6.17576287962045E-2</v>
      </c>
      <c r="G9" s="101">
        <f t="shared" si="11"/>
        <v>4.2095246550670762E-3</v>
      </c>
      <c r="H9" s="85"/>
      <c r="I9" s="85"/>
      <c r="J9" s="85"/>
      <c r="K9" s="85"/>
    </row>
    <row r="10" spans="1:11">
      <c r="A10" s="5" t="s">
        <v>944</v>
      </c>
      <c r="B10" s="85">
        <f>B2-B8</f>
        <v>124398.04478439735</v>
      </c>
      <c r="C10" s="85">
        <f t="shared" ref="C10:F10" si="12">C2-C8</f>
        <v>133159.4462424785</v>
      </c>
      <c r="D10" s="85">
        <f t="shared" si="12"/>
        <v>140651.07996968244</v>
      </c>
      <c r="E10" s="85">
        <f t="shared" si="12"/>
        <v>135928.08462116896</v>
      </c>
      <c r="F10" s="85">
        <f t="shared" si="12"/>
        <v>142001.32699014113</v>
      </c>
      <c r="G10" s="85">
        <f>FORECAST(G12,B10:F10,B12:F12)</f>
        <v>145699.39307754498</v>
      </c>
      <c r="H10" s="85"/>
      <c r="I10" s="85"/>
      <c r="J10" s="85"/>
      <c r="K10" s="85"/>
    </row>
    <row r="11" spans="1:11">
      <c r="A11" s="375"/>
      <c r="B11" s="85"/>
      <c r="C11" s="101">
        <f>C10/B10-1</f>
        <v>7.0430379137116805E-2</v>
      </c>
      <c r="D11" s="101">
        <f t="shared" ref="D11" si="13">D10/C10-1</f>
        <v>5.6260625427669186E-2</v>
      </c>
      <c r="E11" s="101">
        <f t="shared" ref="E11" si="14">E10/D10-1</f>
        <v>-3.3579517125154834E-2</v>
      </c>
      <c r="F11" s="101">
        <f t="shared" ref="F11:G11" si="15">F10/E10-1</f>
        <v>4.4679820111482194E-2</v>
      </c>
      <c r="G11" s="101">
        <f t="shared" si="15"/>
        <v>2.6042475558419209E-2</v>
      </c>
      <c r="H11" s="85"/>
      <c r="I11" s="85"/>
      <c r="J11" s="85"/>
      <c r="K11" s="85"/>
    </row>
    <row r="12" spans="1:11">
      <c r="A12" s="5" t="s">
        <v>960</v>
      </c>
      <c r="B12" s="248">
        <v>144.27500000000001</v>
      </c>
      <c r="C12" s="248">
        <v>155.392</v>
      </c>
      <c r="D12" s="248">
        <v>158.35499999999999</v>
      </c>
      <c r="E12" s="248">
        <v>165.14099999999999</v>
      </c>
      <c r="F12" s="248">
        <v>172.82599999999999</v>
      </c>
      <c r="G12" s="248">
        <v>177.584</v>
      </c>
      <c r="H12" s="85"/>
      <c r="I12" s="85"/>
      <c r="J12" s="85"/>
      <c r="K12" s="85"/>
    </row>
    <row r="13" spans="1:11">
      <c r="A13" s="375"/>
      <c r="B13" s="85"/>
      <c r="C13" s="113">
        <f>C12/B12-1</f>
        <v>7.705423670074496E-2</v>
      </c>
      <c r="D13" s="113">
        <f t="shared" ref="D13" si="16">D12/C12-1</f>
        <v>1.9067905683690212E-2</v>
      </c>
      <c r="E13" s="113">
        <f t="shared" ref="E13" si="17">E12/D12-1</f>
        <v>4.2853083262290426E-2</v>
      </c>
      <c r="F13" s="113">
        <f t="shared" ref="F13" si="18">F12/E12-1</f>
        <v>4.6535990456640031E-2</v>
      </c>
      <c r="G13" s="113">
        <f>G12/F12-1</f>
        <v>2.7530579889599949E-2</v>
      </c>
      <c r="H13" s="85"/>
      <c r="I13" s="85"/>
      <c r="J13" s="85"/>
      <c r="K13" s="85"/>
    </row>
    <row r="14" spans="1:11">
      <c r="A14" s="5" t="s">
        <v>980</v>
      </c>
      <c r="B14" s="85">
        <v>15273</v>
      </c>
      <c r="C14" s="85">
        <v>16458</v>
      </c>
      <c r="D14" s="85">
        <v>13432</v>
      </c>
      <c r="E14" s="85">
        <v>15173</v>
      </c>
      <c r="F14" s="85">
        <v>17575</v>
      </c>
      <c r="G14" s="101"/>
      <c r="H14" s="101"/>
      <c r="I14" s="101"/>
      <c r="J14" s="101"/>
      <c r="K14" s="101"/>
    </row>
    <row r="15" spans="1:11">
      <c r="A15" s="376"/>
      <c r="B15" s="85"/>
      <c r="C15" s="101">
        <f>C14/B14-1</f>
        <v>7.758790021606754E-2</v>
      </c>
      <c r="D15" s="101">
        <f t="shared" ref="D15" si="19">D14/C14-1</f>
        <v>-0.18386195163446351</v>
      </c>
      <c r="E15" s="101">
        <f t="shared" ref="E15" si="20">E14/D14-1</f>
        <v>0.12961584276354965</v>
      </c>
      <c r="F15" s="101">
        <f t="shared" ref="F15" si="21">F14/E14-1</f>
        <v>0.15830751993672965</v>
      </c>
      <c r="G15" s="85"/>
      <c r="H15" s="85"/>
      <c r="I15" s="85"/>
      <c r="J15" s="85"/>
      <c r="K15" s="85"/>
    </row>
    <row r="16" spans="1:11">
      <c r="A16" s="5" t="s">
        <v>970</v>
      </c>
      <c r="B16" s="248">
        <f>B14/Home!B5</f>
        <v>2804517.3524490898</v>
      </c>
      <c r="C16" s="248">
        <f>C14/Home!C5</f>
        <v>2832641.2399451397</v>
      </c>
      <c r="D16" s="248">
        <f>D14/Home!D5</f>
        <v>2717853.2667114399</v>
      </c>
      <c r="E16" s="248">
        <f>E14/Home!E5</f>
        <v>3155136.8408839097</v>
      </c>
      <c r="F16" s="248">
        <f>F14/Home!F5</f>
        <v>3533541.625</v>
      </c>
      <c r="G16" s="247">
        <f>F16*(1+((F16/B16)^(1/4)-1))*1.058</f>
        <v>3960808.9931038795</v>
      </c>
    </row>
    <row r="17" spans="1:13">
      <c r="C17" s="101">
        <f>C16/B16-1</f>
        <v>1.0028066851321293E-2</v>
      </c>
      <c r="D17" s="101">
        <f t="shared" ref="D17" si="22">D16/C16-1</f>
        <v>-4.0523300873753776E-2</v>
      </c>
      <c r="E17" s="101">
        <f t="shared" ref="E17" si="23">E16/D16-1</f>
        <v>0.16089300313904586</v>
      </c>
      <c r="F17" s="101">
        <f t="shared" ref="F17:G17" si="24">F16/E16-1</f>
        <v>0.11993292310265713</v>
      </c>
      <c r="G17" s="101">
        <f t="shared" si="24"/>
        <v>0.12091759867237428</v>
      </c>
    </row>
    <row r="18" spans="1:13">
      <c r="A18" s="5" t="s">
        <v>971</v>
      </c>
      <c r="B18" s="248">
        <f>103/Home!B5</f>
        <v>18913.46083299</v>
      </c>
      <c r="C18" s="248">
        <f>108.3/Home!C5</f>
        <v>18639.873999639</v>
      </c>
      <c r="D18" s="248">
        <f>102.6/Home!D5</f>
        <v>20760.255000341996</v>
      </c>
      <c r="E18" s="248">
        <f>109/Home!E5</f>
        <v>22665.914167029998</v>
      </c>
      <c r="F18" s="248">
        <f>113.9/Home!F5</f>
        <v>22900.164500000003</v>
      </c>
      <c r="G18" s="248">
        <f>117.3/Home!G5</f>
        <v>26404.718750391003</v>
      </c>
      <c r="H18" s="248">
        <f>117.1/Home!H5</f>
        <v>26423.1540322199</v>
      </c>
    </row>
    <row r="19" spans="1:13">
      <c r="C19" s="101">
        <f>C18/B18-1</f>
        <v>-1.4465191525064203E-2</v>
      </c>
      <c r="D19" s="101">
        <f t="shared" ref="D19" si="25">D18/C18-1</f>
        <v>0.11375511447899611</v>
      </c>
      <c r="E19" s="101">
        <f t="shared" ref="E19" si="26">E18/D18-1</f>
        <v>9.1793630023167205E-2</v>
      </c>
      <c r="F19" s="101">
        <f t="shared" ref="F19" si="27">F18/E18-1</f>
        <v>1.0334916617250167E-2</v>
      </c>
      <c r="G19" s="101">
        <f t="shared" ref="G19:H19" si="28">G18/F18-1</f>
        <v>0.15303620418931918</v>
      </c>
      <c r="H19" s="101">
        <f t="shared" si="28"/>
        <v>6.9818133656984749E-4</v>
      </c>
    </row>
    <row r="20" spans="1:13">
      <c r="A20" s="5" t="s">
        <v>961</v>
      </c>
      <c r="B20" s="247">
        <v>82.855999999999995</v>
      </c>
      <c r="C20" s="247">
        <v>84.727999999999994</v>
      </c>
      <c r="D20" s="247">
        <v>93.787000000000006</v>
      </c>
      <c r="E20" s="247">
        <v>95.789000000000001</v>
      </c>
      <c r="F20" s="247">
        <v>105.925</v>
      </c>
      <c r="G20" s="247">
        <v>119.461</v>
      </c>
    </row>
    <row r="21" spans="1:13">
      <c r="C21" s="113">
        <f>C20/B20-1</f>
        <v>2.2593415081587409E-2</v>
      </c>
      <c r="D21" s="113">
        <f t="shared" ref="D21" si="29">D20/C20-1</f>
        <v>0.1069186101406856</v>
      </c>
      <c r="E21" s="113">
        <f t="shared" ref="E21" si="30">E20/D20-1</f>
        <v>2.1346242016484052E-2</v>
      </c>
      <c r="F21" s="113">
        <f t="shared" ref="F21:G21" si="31">F20/E20-1</f>
        <v>0.10581590788086315</v>
      </c>
      <c r="G21" s="113">
        <f t="shared" si="31"/>
        <v>0.12778852962001408</v>
      </c>
    </row>
    <row r="22" spans="1:13">
      <c r="A22" s="5" t="s">
        <v>945</v>
      </c>
      <c r="B22">
        <v>75814</v>
      </c>
      <c r="C22">
        <v>81540</v>
      </c>
      <c r="D22">
        <v>88860</v>
      </c>
      <c r="E22">
        <v>90381</v>
      </c>
      <c r="F22">
        <v>98797</v>
      </c>
      <c r="G22" s="247">
        <f>FORECAST(G20,B22:F22,B20:F20)</f>
        <v>112069.08825269554</v>
      </c>
    </row>
    <row r="23" spans="1:13">
      <c r="C23" s="101">
        <f>C22/B22-1</f>
        <v>7.5526947529479971E-2</v>
      </c>
      <c r="D23" s="101">
        <f t="shared" ref="D23" si="32">D22/C22-1</f>
        <v>8.9771891096394496E-2</v>
      </c>
      <c r="E23" s="101">
        <f t="shared" ref="E23" si="33">E22/D22-1</f>
        <v>1.7116812964213413E-2</v>
      </c>
      <c r="F23" s="101">
        <f t="shared" ref="F23:G23" si="34">F22/E22-1</f>
        <v>9.3116916166008368E-2</v>
      </c>
      <c r="G23" s="101">
        <f t="shared" si="34"/>
        <v>0.13433695610894603</v>
      </c>
    </row>
    <row r="25" spans="1:13">
      <c r="A25" s="5" t="str">
        <f>A10</f>
        <v>Domestic consumption-without DP</v>
      </c>
      <c r="B25" s="707">
        <f t="shared" ref="B25:G25" si="35">B10</f>
        <v>124398.04478439735</v>
      </c>
      <c r="C25" s="707">
        <f t="shared" si="35"/>
        <v>133159.4462424785</v>
      </c>
      <c r="D25" s="707">
        <f t="shared" si="35"/>
        <v>140651.07996968244</v>
      </c>
      <c r="E25" s="707">
        <f t="shared" si="35"/>
        <v>135928.08462116896</v>
      </c>
      <c r="F25" s="707">
        <f t="shared" si="35"/>
        <v>142001.32699014113</v>
      </c>
      <c r="G25" s="707">
        <f t="shared" si="35"/>
        <v>145699.39307754498</v>
      </c>
    </row>
    <row r="26" spans="1:13">
      <c r="C26" s="101">
        <f>C25/B25-1</f>
        <v>7.0430379137116805E-2</v>
      </c>
      <c r="D26" s="101">
        <f t="shared" ref="D26" si="36">D25/C25-1</f>
        <v>5.6260625427669186E-2</v>
      </c>
      <c r="E26" s="101">
        <f t="shared" ref="E26" si="37">E25/D25-1</f>
        <v>-3.3579517125154834E-2</v>
      </c>
      <c r="F26" s="101">
        <f t="shared" ref="F26:G28" si="38">F25/E25-1</f>
        <v>4.4679820111482194E-2</v>
      </c>
      <c r="G26" s="101">
        <f t="shared" si="38"/>
        <v>2.6042475558419209E-2</v>
      </c>
    </row>
    <row r="27" spans="1:13">
      <c r="A27" t="s">
        <v>36</v>
      </c>
      <c r="B27" s="85">
        <f>H27*B$25</f>
        <v>11924.768964397977</v>
      </c>
      <c r="C27" s="85">
        <f>I27*C$25*0.978</f>
        <v>12722.87496818482</v>
      </c>
      <c r="D27" s="85">
        <f>J27*D$25*1.009</f>
        <v>13375.259574079366</v>
      </c>
      <c r="E27" s="85">
        <f>K27*E$25*1.002</f>
        <v>12849.285473593936</v>
      </c>
      <c r="F27" s="85">
        <f t="shared" ref="F27" si="39">L27*F$25</f>
        <v>13383.199448980118</v>
      </c>
      <c r="G27" s="248">
        <f>(F27/$F$25)*$G$25*0.994</f>
        <v>13649.340706962494</v>
      </c>
      <c r="H27" s="444">
        <v>9.5859778062152012E-2</v>
      </c>
      <c r="I27" s="444">
        <v>9.7695469429235085E-2</v>
      </c>
      <c r="J27" s="444">
        <v>9.4247096952284989E-2</v>
      </c>
      <c r="K27" s="444">
        <v>9.4341344049237261E-2</v>
      </c>
      <c r="L27" s="444">
        <v>9.4247002705188015E-2</v>
      </c>
      <c r="M27" s="444">
        <v>9.4042048102206205E-2</v>
      </c>
    </row>
    <row r="28" spans="1:13">
      <c r="B28" s="85"/>
      <c r="C28" s="101">
        <f>C27/B27-1</f>
        <v>6.6928424875117409E-2</v>
      </c>
      <c r="D28" s="101">
        <f t="shared" ref="D28" si="40">D27/C27-1</f>
        <v>5.1276508456297609E-2</v>
      </c>
      <c r="E28" s="101">
        <f t="shared" ref="E28" si="41">E27/D27-1</f>
        <v>-3.9324403206704384E-2</v>
      </c>
      <c r="F28" s="101">
        <f t="shared" ref="F28" si="42">F27/E27-1</f>
        <v>4.1552036218932775E-2</v>
      </c>
      <c r="G28" s="101">
        <f t="shared" si="38"/>
        <v>1.9886220705068958E-2</v>
      </c>
    </row>
    <row r="29" spans="1:13">
      <c r="A29" t="s">
        <v>37</v>
      </c>
      <c r="B29" s="85">
        <f>H29*B$25</f>
        <v>6068.6658455180432</v>
      </c>
      <c r="C29" s="85">
        <f>I29*C$25*0.962</f>
        <v>6511.7009878652771</v>
      </c>
      <c r="D29" s="85">
        <f>J29*D$25*0.905</f>
        <v>6890.4481838894299</v>
      </c>
      <c r="E29" s="85">
        <f>K29*E$25*0.9</f>
        <v>6642.1466571200399</v>
      </c>
      <c r="F29" s="85">
        <f>L29*F$25*0.908</f>
        <v>6958.5922583577812</v>
      </c>
      <c r="G29" s="248">
        <f>(F29/$F$25)*$G$25*1.003</f>
        <v>7161.2306608485706</v>
      </c>
      <c r="H29" s="444">
        <v>4.8784254254446345E-2</v>
      </c>
      <c r="I29" s="444">
        <v>5.0833193865044653E-2</v>
      </c>
      <c r="J29" s="444">
        <v>5.4132217832714075E-2</v>
      </c>
      <c r="K29" s="444">
        <v>5.4294614486212207E-2</v>
      </c>
      <c r="L29" s="444">
        <v>5.3968846799294937E-2</v>
      </c>
      <c r="M29" s="444">
        <v>5.4222401523700475E-2</v>
      </c>
    </row>
    <row r="30" spans="1:13">
      <c r="B30" s="85"/>
      <c r="C30" s="101">
        <f>C29/B29-1</f>
        <v>7.3003713439657059E-2</v>
      </c>
      <c r="D30" s="101">
        <f t="shared" ref="D30" si="43">D29/C29-1</f>
        <v>5.8164095177275277E-2</v>
      </c>
      <c r="E30" s="101">
        <f t="shared" ref="E30" si="44">E29/D29-1</f>
        <v>-3.6035613379974962E-2</v>
      </c>
      <c r="F30" s="101">
        <f t="shared" ref="F30:G30" si="45">F29/E29-1</f>
        <v>4.7642067779176234E-2</v>
      </c>
      <c r="G30" s="101">
        <f t="shared" si="45"/>
        <v>2.9120602985094557E-2</v>
      </c>
    </row>
    <row r="31" spans="1:13">
      <c r="A31" t="s">
        <v>38</v>
      </c>
      <c r="B31" s="85">
        <f>H31*B$25</f>
        <v>19934.84104654409</v>
      </c>
      <c r="C31" s="85">
        <f>I31*C$25*0.978</f>
        <v>21276.812342395944</v>
      </c>
      <c r="D31" s="85">
        <f>J31*D$25*0.975</f>
        <v>22546.950688386038</v>
      </c>
      <c r="E31" s="85">
        <f>K31*E$25*0.972</f>
        <v>21831.403272186606</v>
      </c>
      <c r="F31" s="85">
        <f>L31*F$25*0.964</f>
        <v>22709.592401213889</v>
      </c>
      <c r="G31" s="248">
        <f>(F31/$F$25)*$G$25*1.01</f>
        <v>23534.016470326806</v>
      </c>
      <c r="H31" s="444">
        <v>0.16025043706349654</v>
      </c>
      <c r="I31" s="444">
        <v>0.16337880981665234</v>
      </c>
      <c r="J31" s="444">
        <v>0.16441450456049489</v>
      </c>
      <c r="K31" s="444">
        <v>0.16523657708329734</v>
      </c>
      <c r="L31" s="444">
        <v>0.16589752339163052</v>
      </c>
      <c r="M31" s="444">
        <v>0.16521320099940437</v>
      </c>
    </row>
    <row r="32" spans="1:13">
      <c r="B32" s="85"/>
      <c r="C32" s="101">
        <f>C31/B31-1</f>
        <v>6.7317882932630635E-2</v>
      </c>
      <c r="D32" s="101">
        <f t="shared" ref="D32" si="46">D31/C31-1</f>
        <v>5.9695894551799356E-2</v>
      </c>
      <c r="E32" s="101">
        <f t="shared" ref="E32" si="47">E31/D31-1</f>
        <v>-3.1735884203978437E-2</v>
      </c>
      <c r="F32" s="101">
        <f t="shared" ref="F32:G32" si="48">F31/E31-1</f>
        <v>4.0225958820801155E-2</v>
      </c>
      <c r="G32" s="101">
        <f t="shared" si="48"/>
        <v>3.6302900314003406E-2</v>
      </c>
    </row>
    <row r="33" spans="1:13">
      <c r="A33" t="s">
        <v>39</v>
      </c>
      <c r="B33" s="85">
        <f>H33*B$25</f>
        <v>21217.769986743206</v>
      </c>
      <c r="C33" s="85">
        <f>I33*C$25*1.035</f>
        <v>22569.614678936498</v>
      </c>
      <c r="D33" s="85">
        <f t="shared" ref="D33" si="49">J33*D$25</f>
        <v>23734.832515611179</v>
      </c>
      <c r="E33" s="85">
        <f>K33*E$25*1.001</f>
        <v>22914.844596733234</v>
      </c>
      <c r="F33" s="85">
        <f t="shared" ref="F33" si="50">L33*F$25</f>
        <v>23795.187165376479</v>
      </c>
      <c r="G33" s="248">
        <f>(F33/$F$25)*$G$25*0.997</f>
        <v>24341.628127302192</v>
      </c>
      <c r="H33" s="444">
        <v>0.17056353275903294</v>
      </c>
      <c r="I33" s="444">
        <v>0.16376150254059257</v>
      </c>
      <c r="J33" s="444">
        <v>0.16874973530759421</v>
      </c>
      <c r="K33" s="444">
        <v>0.16841223583697901</v>
      </c>
      <c r="L33" s="444">
        <v>0.16757017465779409</v>
      </c>
      <c r="M33" s="444">
        <v>0.16740327294296428</v>
      </c>
    </row>
    <row r="34" spans="1:13">
      <c r="B34" s="85"/>
      <c r="C34" s="101">
        <f>C33/B33-1</f>
        <v>6.3712854510060257E-2</v>
      </c>
      <c r="D34" s="101">
        <f t="shared" ref="D34" si="51">D33/C33-1</f>
        <v>5.1627723966512384E-2</v>
      </c>
      <c r="E34" s="101">
        <f t="shared" ref="E34" si="52">E33/D33-1</f>
        <v>-3.4547870448995655E-2</v>
      </c>
      <c r="F34" s="101">
        <f t="shared" ref="F34:G34" si="53">F33/E33-1</f>
        <v>3.8418003007916868E-2</v>
      </c>
      <c r="G34" s="101">
        <f t="shared" si="53"/>
        <v>2.2964348131744083E-2</v>
      </c>
    </row>
    <row r="35" spans="1:13">
      <c r="A35" t="s">
        <v>40</v>
      </c>
      <c r="B35" s="85">
        <f>H35*B$25</f>
        <v>39054.858307642098</v>
      </c>
      <c r="C35" s="85">
        <f t="shared" ref="C35" si="54">I35*C$25</f>
        <v>42145.490320675912</v>
      </c>
      <c r="D35" s="85">
        <f>J35*D$25*1.05</f>
        <v>44434.320124807666</v>
      </c>
      <c r="E35" s="85">
        <f>K35*E$25*1.054</f>
        <v>42976.509106183701</v>
      </c>
      <c r="F35" s="85">
        <f>L35*F$25*1.055</f>
        <v>45029.166860420803</v>
      </c>
      <c r="G35" s="248">
        <f>(F35/$F$25)*$G$25*0.994</f>
        <v>45924.626810772505</v>
      </c>
      <c r="H35" s="444">
        <v>0.31395074074782048</v>
      </c>
      <c r="I35" s="444">
        <v>0.31650394703452361</v>
      </c>
      <c r="J35" s="444">
        <v>0.30087504573719759</v>
      </c>
      <c r="K35" s="444">
        <v>0.29997242059998597</v>
      </c>
      <c r="L35" s="444">
        <v>0.30057236544118593</v>
      </c>
      <c r="M35" s="444">
        <v>0.29962351143272242</v>
      </c>
    </row>
    <row r="36" spans="1:13">
      <c r="B36" s="85"/>
      <c r="C36" s="101">
        <f>C35/B35-1</f>
        <v>7.9135660631216576E-2</v>
      </c>
      <c r="D36" s="101">
        <f t="shared" ref="D36" si="55">D35/C35-1</f>
        <v>5.430782241982568E-2</v>
      </c>
      <c r="E36" s="101">
        <f t="shared" ref="E36" si="56">E35/D35-1</f>
        <v>-3.2808221539774807E-2</v>
      </c>
      <c r="F36" s="101">
        <f t="shared" ref="F36:G36" si="57">F35/E35-1</f>
        <v>4.7762319390938002E-2</v>
      </c>
      <c r="G36" s="101">
        <f t="shared" si="57"/>
        <v>1.9886220705068958E-2</v>
      </c>
    </row>
    <row r="37" spans="1:13">
      <c r="A37" t="s">
        <v>41</v>
      </c>
      <c r="B37" s="85">
        <f>H37*B$25*0.98</f>
        <v>3946.7690933193126</v>
      </c>
      <c r="C37" s="85">
        <f>I37*C$25*0.958</f>
        <v>4181.9206046207946</v>
      </c>
      <c r="D37" s="85">
        <f>J37*D$25*0.958</f>
        <v>4391.0815549868748</v>
      </c>
      <c r="E37" s="85">
        <f>K37*E$25*0.95</f>
        <v>4220.8183169876938</v>
      </c>
      <c r="F37" s="85">
        <f>L37*F$25*0.95</f>
        <v>4444.6789498748658</v>
      </c>
      <c r="G37" s="248">
        <f>(F37/$F$25)*$G$25*1.012</f>
        <v>4615.1545455055066</v>
      </c>
      <c r="H37" s="101">
        <v>3.2374426851533314E-2</v>
      </c>
      <c r="I37" s="444">
        <v>3.2782214965908052E-2</v>
      </c>
      <c r="J37" s="444">
        <v>3.2588391346471138E-2</v>
      </c>
      <c r="K37" s="444">
        <v>3.2686156520510545E-2</v>
      </c>
      <c r="L37" s="444">
        <v>3.294764577267463E-2</v>
      </c>
      <c r="M37" s="444">
        <v>3.3160833396493235E-2</v>
      </c>
    </row>
    <row r="38" spans="1:13">
      <c r="B38" s="85"/>
      <c r="C38" s="101">
        <f>C37/B37-1</f>
        <v>5.9580762325194714E-2</v>
      </c>
      <c r="D38" s="101">
        <f t="shared" ref="D38" si="58">D37/C37-1</f>
        <v>5.0015523999898281E-2</v>
      </c>
      <c r="E38" s="101">
        <f t="shared" ref="E38" si="59">E37/D37-1</f>
        <v>-3.8774783812843605E-2</v>
      </c>
      <c r="F38" s="101">
        <f t="shared" ref="F38:G38" si="60">F37/E37-1</f>
        <v>5.303725867237441E-2</v>
      </c>
      <c r="G38" s="101">
        <f t="shared" si="60"/>
        <v>3.8354985265120378E-2</v>
      </c>
    </row>
    <row r="39" spans="1:13">
      <c r="A39" t="s">
        <v>42</v>
      </c>
      <c r="B39" s="85">
        <f>B25-(B27+B29+B31+B33+B35+B37)</f>
        <v>22250.37154023262</v>
      </c>
      <c r="C39" s="85">
        <f t="shared" ref="C39:F39" si="61">C25-(C27+C29+C31+C33+C35+C37)</f>
        <v>23751.032339799247</v>
      </c>
      <c r="D39" s="85">
        <f t="shared" si="61"/>
        <v>25278.187327921885</v>
      </c>
      <c r="E39" s="85">
        <f t="shared" si="61"/>
        <v>24493.077198363753</v>
      </c>
      <c r="F39" s="85">
        <f t="shared" si="61"/>
        <v>25680.909905917171</v>
      </c>
      <c r="G39" s="248">
        <f>G25-(G27+G29+G31+G33+G35+G37)</f>
        <v>26473.395755826918</v>
      </c>
      <c r="H39" s="444">
        <v>0.17821683026151836</v>
      </c>
      <c r="I39" s="444">
        <v>0.1750448623480437</v>
      </c>
      <c r="J39" s="444">
        <v>0.18499300826324311</v>
      </c>
      <c r="K39" s="444">
        <v>0.18505665142377778</v>
      </c>
      <c r="L39" s="444">
        <v>0.18479644123223196</v>
      </c>
      <c r="M39" s="444">
        <v>0.18633473160250905</v>
      </c>
    </row>
    <row r="40" spans="1:13">
      <c r="C40" s="101">
        <f>C39/B39-1</f>
        <v>6.7444302979533077E-2</v>
      </c>
      <c r="D40" s="101">
        <f t="shared" ref="D40" si="62">D39/C39-1</f>
        <v>6.4298467800222969E-2</v>
      </c>
      <c r="E40" s="101">
        <f t="shared" ref="E40" si="63">E39/D39-1</f>
        <v>-3.1058798614523764E-2</v>
      </c>
      <c r="F40" s="101">
        <f t="shared" ref="F40:G40" si="64">F39/E39-1</f>
        <v>4.8496671036204919E-2</v>
      </c>
      <c r="G40" s="101">
        <f t="shared" si="64"/>
        <v>3.0858947475500109E-2</v>
      </c>
    </row>
    <row r="41" spans="1:13">
      <c r="C41" s="113"/>
      <c r="D41" s="113"/>
      <c r="E41" s="113"/>
      <c r="F41" s="113"/>
    </row>
    <row r="42" spans="1:13">
      <c r="A42" s="5" t="str">
        <f>A22</f>
        <v>Inbound tourism - Sweden</v>
      </c>
      <c r="B42" s="5">
        <f t="shared" ref="B42:F42" si="65">B22</f>
        <v>75814</v>
      </c>
      <c r="C42" s="5">
        <f t="shared" si="65"/>
        <v>81540</v>
      </c>
      <c r="D42" s="5">
        <f t="shared" si="65"/>
        <v>88860</v>
      </c>
      <c r="E42" s="5">
        <f t="shared" si="65"/>
        <v>90381</v>
      </c>
      <c r="F42" s="5">
        <f t="shared" si="65"/>
        <v>98797</v>
      </c>
      <c r="G42" s="720">
        <f>G22</f>
        <v>112069.08825269554</v>
      </c>
    </row>
    <row r="43" spans="1:13">
      <c r="C43" s="101">
        <f>C42/B42-1</f>
        <v>7.5526947529479971E-2</v>
      </c>
      <c r="D43" s="101">
        <f t="shared" ref="D43" si="66">D42/C42-1</f>
        <v>8.9771891096394496E-2</v>
      </c>
      <c r="E43" s="101">
        <f t="shared" ref="E43" si="67">E42/D42-1</f>
        <v>1.7116812964213413E-2</v>
      </c>
      <c r="F43" s="101">
        <f t="shared" ref="F43:G43" si="68">F42/E42-1</f>
        <v>9.3116916166008368E-2</v>
      </c>
      <c r="G43" s="101">
        <f t="shared" si="68"/>
        <v>0.13433695610894603</v>
      </c>
    </row>
    <row r="44" spans="1:13">
      <c r="A44" t="s">
        <v>36</v>
      </c>
      <c r="B44" s="248">
        <f>H44*B$42*0.995</f>
        <v>9681.8291363400058</v>
      </c>
      <c r="C44" s="248">
        <f>I44*C$42*0.996</f>
        <v>10463.44339661461</v>
      </c>
      <c r="D44" s="248">
        <f t="shared" ref="D44" si="69">J44*D$42</f>
        <v>11447.113223005079</v>
      </c>
      <c r="E44" s="248">
        <f>K44*E$42*1.002</f>
        <v>11667.504055403646</v>
      </c>
      <c r="F44" s="248">
        <f>L44*F$42*1.002</f>
        <v>12779.453944502024</v>
      </c>
      <c r="G44" s="247">
        <f>(F44/$F$42)*$G$42*0.994</f>
        <v>14409.229646812046</v>
      </c>
      <c r="H44" s="444">
        <v>0.12834676371198336</v>
      </c>
      <c r="I44" s="444">
        <v>0.12883818074129494</v>
      </c>
      <c r="J44" s="444">
        <v>0.12882189087334098</v>
      </c>
      <c r="K44" s="444">
        <v>0.12883477306242833</v>
      </c>
      <c r="L44" s="444">
        <v>0.12909244260855318</v>
      </c>
      <c r="M44" s="444">
        <v>0.12945463025820889</v>
      </c>
    </row>
    <row r="45" spans="1:13">
      <c r="B45" s="248"/>
      <c r="C45" s="101">
        <f>C44/B44-1</f>
        <v>8.073002004764529E-2</v>
      </c>
      <c r="D45" s="101">
        <f t="shared" ref="D45" si="70">D44/C44-1</f>
        <v>9.4010144567583831E-2</v>
      </c>
      <c r="E45" s="101">
        <f t="shared" ref="E45" si="71">E44/D44-1</f>
        <v>1.9252961694800952E-2</v>
      </c>
      <c r="F45" s="101">
        <f t="shared" ref="F45:G45" si="72">F44/E44-1</f>
        <v>9.5303149998340331E-2</v>
      </c>
      <c r="G45" s="101">
        <f t="shared" si="72"/>
        <v>0.12753093437229257</v>
      </c>
    </row>
    <row r="46" spans="1:13">
      <c r="A46" t="s">
        <v>37</v>
      </c>
      <c r="B46" s="248">
        <f>H46*B$42*0.995</f>
        <v>1830.9686999610087</v>
      </c>
      <c r="C46" s="248">
        <f>I46*C$42*0.979</f>
        <v>1965.8920602263161</v>
      </c>
      <c r="D46" s="248">
        <f>J46*D$42*0.992</f>
        <v>2154.9809444535472</v>
      </c>
      <c r="E46" s="248">
        <f>K46*E$42*0.995</f>
        <v>2200.6944773019823</v>
      </c>
      <c r="F46" s="248">
        <f>L46*F$42*0.99</f>
        <v>2400.7084195356092</v>
      </c>
      <c r="G46" s="247">
        <f>(F46/$F$42)*$G$42*1.005</f>
        <v>2736.8283425267468</v>
      </c>
      <c r="H46" s="444">
        <v>2.4272160124772551E-2</v>
      </c>
      <c r="I46" s="444">
        <v>2.4626702827394868E-2</v>
      </c>
      <c r="J46" s="444">
        <v>2.4446993281992464E-2</v>
      </c>
      <c r="K46" s="444">
        <v>2.4471440275274453E-2</v>
      </c>
      <c r="L46" s="444">
        <v>2.4544854596100271E-2</v>
      </c>
      <c r="M46" s="444">
        <v>2.4515077921354374E-2</v>
      </c>
    </row>
    <row r="47" spans="1:13">
      <c r="B47" s="248"/>
      <c r="C47" s="101">
        <f>C46/B46-1</f>
        <v>7.3689604998807834E-2</v>
      </c>
      <c r="D47" s="101">
        <f t="shared" ref="D47" si="73">D46/C46-1</f>
        <v>9.6184774359108438E-2</v>
      </c>
      <c r="E47" s="101">
        <f t="shared" ref="E47" si="74">E46/D46-1</f>
        <v>2.1212963839003729E-2</v>
      </c>
      <c r="F47" s="101">
        <f t="shared" ref="F47:G47" si="75">F46/E46-1</f>
        <v>9.088673793503621E-2</v>
      </c>
      <c r="G47" s="101">
        <f t="shared" si="75"/>
        <v>0.1400086408894905</v>
      </c>
    </row>
    <row r="48" spans="1:13">
      <c r="A48" t="s">
        <v>38</v>
      </c>
      <c r="B48" s="248">
        <f>H48*B$42*0.995</f>
        <v>13434.457087665713</v>
      </c>
      <c r="C48" s="248">
        <f>I48*C$42*1.027</f>
        <v>14485.552150004674</v>
      </c>
      <c r="D48" s="248">
        <f>J48*D$42*1.03</f>
        <v>15761.693560543994</v>
      </c>
      <c r="E48" s="248">
        <f>K48*E$42*1.035</f>
        <v>16141.524869272487</v>
      </c>
      <c r="F48" s="248">
        <f>L48*F$42*1.03</f>
        <v>17541.775065537797</v>
      </c>
      <c r="G48" s="247">
        <f>(F48/$F$42)*$G$42*1.002</f>
        <v>19938.080300055131</v>
      </c>
      <c r="H48" s="444">
        <v>0.17809331946971665</v>
      </c>
      <c r="I48" s="444">
        <v>0.17297920758128371</v>
      </c>
      <c r="J48" s="444">
        <v>0.17221038833360641</v>
      </c>
      <c r="K48" s="444">
        <v>0.17255480911027363</v>
      </c>
      <c r="L48" s="444">
        <v>0.17238225430116336</v>
      </c>
      <c r="M48" s="444">
        <v>0.17247681159052575</v>
      </c>
    </row>
    <row r="49" spans="1:13">
      <c r="B49" s="248"/>
      <c r="C49" s="101">
        <f>C48/B48-1</f>
        <v>7.8238745003248455E-2</v>
      </c>
      <c r="D49" s="101">
        <f t="shared" ref="D49" si="76">D48/C48-1</f>
        <v>8.8097533136761275E-2</v>
      </c>
      <c r="E49" s="101">
        <f t="shared" ref="E49" si="77">E48/D48-1</f>
        <v>2.4098381767763799E-2</v>
      </c>
      <c r="F49" s="101">
        <f t="shared" ref="F49:G49" si="78">F48/E48-1</f>
        <v>8.674832195878035E-2</v>
      </c>
      <c r="G49" s="101">
        <f t="shared" si="78"/>
        <v>0.13660563002116399</v>
      </c>
    </row>
    <row r="50" spans="1:13">
      <c r="A50" t="s">
        <v>39</v>
      </c>
      <c r="B50" s="248">
        <f>H50*B$42*0.995</f>
        <v>19834.268701585654</v>
      </c>
      <c r="C50" s="248">
        <f>I50*C$42*0.979</f>
        <v>21283.892140652766</v>
      </c>
      <c r="D50" s="248">
        <f>J50*D$42*0.992</f>
        <v>23340.812374242178</v>
      </c>
      <c r="E50" s="248">
        <f>K50*E$42*0.993</f>
        <v>23716.735952112729</v>
      </c>
      <c r="F50" s="248">
        <f>L50*F$42*0.995</f>
        <v>26055.313250238662</v>
      </c>
      <c r="G50" s="247">
        <f>(F50/$F$42)*$G$42*0.995</f>
        <v>29407.727199127108</v>
      </c>
      <c r="H50" s="444">
        <v>0.26293215492591632</v>
      </c>
      <c r="I50" s="444">
        <v>0.26662302440849156</v>
      </c>
      <c r="J50" s="444">
        <v>0.26478780927412748</v>
      </c>
      <c r="K50" s="444">
        <v>0.26425823365557921</v>
      </c>
      <c r="L50" s="444">
        <v>0.26505100835654594</v>
      </c>
      <c r="M50" s="444">
        <v>0.26448610223374297</v>
      </c>
    </row>
    <row r="51" spans="1:13">
      <c r="B51" s="248"/>
      <c r="C51" s="101">
        <f>C50/B50-1</f>
        <v>7.3086810553858239E-2</v>
      </c>
      <c r="D51" s="101">
        <f t="shared" ref="D51" si="79">D50/C50-1</f>
        <v>9.6642109441094304E-2</v>
      </c>
      <c r="E51" s="101">
        <f t="shared" ref="E51" si="80">E50/D50-1</f>
        <v>1.6105848067456519E-2</v>
      </c>
      <c r="F51" s="101">
        <f t="shared" ref="F51:G51" si="81">F50/E50-1</f>
        <v>9.860451720033625E-2</v>
      </c>
      <c r="G51" s="101">
        <f t="shared" si="81"/>
        <v>0.12866527132840133</v>
      </c>
    </row>
    <row r="52" spans="1:13">
      <c r="A52" t="s">
        <v>40</v>
      </c>
      <c r="B52" s="248">
        <f>H52*B$42*0.995</f>
        <v>24754.838135574471</v>
      </c>
      <c r="C52" s="248">
        <f>I52*C$42*0.996</f>
        <v>26612.647755059181</v>
      </c>
      <c r="D52" s="248">
        <f>J52*D$42*0.9835</f>
        <v>28921.475693043481</v>
      </c>
      <c r="E52" s="248">
        <f>K52*E$42*0.981</f>
        <v>29341.744096238814</v>
      </c>
      <c r="F52" s="248">
        <f>L52*F$42*0.978</f>
        <v>32007.84719787259</v>
      </c>
      <c r="G52" s="247">
        <f>(F52/$F$42)*$G$42*1.007</f>
        <v>36561.837749769293</v>
      </c>
      <c r="H52" s="444">
        <v>0.32816147818490016</v>
      </c>
      <c r="I52" s="444">
        <v>0.32768611550764232</v>
      </c>
      <c r="J52" s="444">
        <v>0.33093277078826844</v>
      </c>
      <c r="K52" s="444">
        <v>0.33093277078826844</v>
      </c>
      <c r="L52" s="444">
        <v>0.33126370355905665</v>
      </c>
      <c r="M52" s="444">
        <v>0.33080769387798986</v>
      </c>
    </row>
    <row r="53" spans="1:13">
      <c r="B53" s="248"/>
      <c r="C53" s="101">
        <f>C52/B52-1</f>
        <v>7.5048344461396521E-2</v>
      </c>
      <c r="D53" s="101">
        <f t="shared" ref="D53" si="82">D52/C52-1</f>
        <v>8.675679170425199E-2</v>
      </c>
      <c r="E53" s="101">
        <f t="shared" ref="E53" si="83">E52/D52-1</f>
        <v>1.4531360973963681E-2</v>
      </c>
      <c r="F53" s="101">
        <f t="shared" ref="F53:G53" si="84">F52/E52-1</f>
        <v>9.0863825029935175E-2</v>
      </c>
      <c r="G53" s="101">
        <f t="shared" si="84"/>
        <v>0.14227731480170847</v>
      </c>
    </row>
    <row r="54" spans="1:13">
      <c r="A54" t="s">
        <v>41</v>
      </c>
      <c r="B54" s="248">
        <f>H54*B$42*0.995</f>
        <v>165.45473256953892</v>
      </c>
      <c r="C54" s="248">
        <f>I54*C$42*1.001</f>
        <v>178.50714159991139</v>
      </c>
      <c r="D54" s="248">
        <f>J54*D$42*0.97</f>
        <v>193.73286731895217</v>
      </c>
      <c r="E54" s="248">
        <f>K54*E$42*0.963</f>
        <v>196.21383465585578</v>
      </c>
      <c r="F54" s="248">
        <f>L54*F$42*0.961</f>
        <v>213.61113241533488</v>
      </c>
      <c r="G54" s="247">
        <f>(F54/$F$42)*$G$42*0.994</f>
        <v>240.85315972458602</v>
      </c>
      <c r="H54" s="444">
        <v>2.1933437542732384E-3</v>
      </c>
      <c r="I54" s="444">
        <v>2.1870102132342936E-3</v>
      </c>
      <c r="J54" s="444">
        <v>2.2476322921838382E-3</v>
      </c>
      <c r="K54" s="444">
        <v>2.2543751890603896E-3</v>
      </c>
      <c r="L54" s="444">
        <v>2.2498664386822686E-3</v>
      </c>
      <c r="M54" s="444">
        <v>2.253561196170953E-3</v>
      </c>
    </row>
    <row r="55" spans="1:13">
      <c r="B55" s="248"/>
      <c r="C55" s="101">
        <f>C54/B54-1</f>
        <v>7.8888097231589738E-2</v>
      </c>
      <c r="D55" s="101">
        <f t="shared" ref="D55" si="85">D54/C54-1</f>
        <v>8.529477074461389E-2</v>
      </c>
      <c r="E55" s="101">
        <f t="shared" ref="E55" si="86">E54/D54-1</f>
        <v>1.2806125110506272E-2</v>
      </c>
      <c r="F55" s="101">
        <f t="shared" ref="F55:G55" si="87">F54/E54-1</f>
        <v>8.866499036621267E-2</v>
      </c>
      <c r="G55" s="101">
        <f t="shared" si="87"/>
        <v>0.12753093437229235</v>
      </c>
    </row>
    <row r="56" spans="1:13">
      <c r="A56" t="s">
        <v>42</v>
      </c>
      <c r="B56" s="248">
        <f>B42-(B54+B52+B50+B48+B46+B44)</f>
        <v>6112.1835063036124</v>
      </c>
      <c r="C56" s="248">
        <f t="shared" ref="C56:F56" si="88">C42-(C54+C52+C50+C48+C46+C44)</f>
        <v>6550.0653558425402</v>
      </c>
      <c r="D56" s="248">
        <f t="shared" si="88"/>
        <v>7040.1913373927819</v>
      </c>
      <c r="E56" s="248">
        <f t="shared" si="88"/>
        <v>7116.5827150144905</v>
      </c>
      <c r="F56" s="248">
        <f t="shared" si="88"/>
        <v>7798.2909898979851</v>
      </c>
      <c r="G56" s="247">
        <f>G42-(G44+G46+G48+G50+G52+G54)</f>
        <v>8774.5318546806229</v>
      </c>
      <c r="H56" s="444">
        <v>7.6000779828437739E-2</v>
      </c>
      <c r="I56" s="444">
        <v>7.7059758720658372E-2</v>
      </c>
      <c r="J56" s="444">
        <v>7.6552515156480413E-2</v>
      </c>
      <c r="K56" s="444">
        <v>7.6693597919115494E-2</v>
      </c>
      <c r="L56" s="444">
        <v>7.5415870139898256E-2</v>
      </c>
      <c r="M56" s="444">
        <v>7.6006122922007494E-2</v>
      </c>
    </row>
    <row r="57" spans="1:13">
      <c r="C57" s="101">
        <f>C56/B56-1</f>
        <v>7.1640821825347922E-2</v>
      </c>
      <c r="D57" s="101">
        <f t="shared" ref="D57" si="89">D56/C56-1</f>
        <v>7.4827647500197658E-2</v>
      </c>
      <c r="E57" s="101">
        <f t="shared" ref="E57" si="90">E56/D56-1</f>
        <v>1.0850753049276962E-2</v>
      </c>
      <c r="F57" s="101">
        <f t="shared" ref="F57:G57" si="91">F56/E56-1</f>
        <v>9.5791519916607504E-2</v>
      </c>
      <c r="G57" s="101">
        <f t="shared" si="91"/>
        <v>0.12518651407690151</v>
      </c>
    </row>
    <row r="59" spans="1:13">
      <c r="A59" s="5" t="s">
        <v>954</v>
      </c>
      <c r="B59" s="707">
        <f>B8</f>
        <v>21868.955215602644</v>
      </c>
      <c r="C59" s="707">
        <f t="shared" ref="C59:F59" si="92">C8</f>
        <v>24307.553757521513</v>
      </c>
      <c r="D59" s="707">
        <f t="shared" si="92"/>
        <v>21618.92003031756</v>
      </c>
      <c r="E59" s="707">
        <f t="shared" si="92"/>
        <v>21871.915378831032</v>
      </c>
      <c r="F59" s="707">
        <f t="shared" si="92"/>
        <v>23222.673009858874</v>
      </c>
      <c r="G59" s="707">
        <f>FORECAST(G76,B59:F59,B76:F76)</f>
        <v>23320.429424450438</v>
      </c>
    </row>
    <row r="60" spans="1:13">
      <c r="C60" s="101">
        <f>C59/B59-1</f>
        <v>0.11150960427131085</v>
      </c>
      <c r="D60" s="101">
        <f t="shared" ref="D60" si="93">D59/C59-1</f>
        <v>-0.11060897999133323</v>
      </c>
      <c r="E60" s="101">
        <f t="shared" ref="E60" si="94">E59/D59-1</f>
        <v>1.1702497079349117E-2</v>
      </c>
      <c r="F60" s="101">
        <f t="shared" ref="F60:G60" si="95">F59/E59-1</f>
        <v>6.17576287962045E-2</v>
      </c>
      <c r="G60" s="101">
        <f t="shared" si="95"/>
        <v>4.2095246550670762E-3</v>
      </c>
    </row>
    <row r="61" spans="1:13">
      <c r="A61" t="s">
        <v>36</v>
      </c>
      <c r="B61" s="248">
        <f>H61*B$59*0.993</f>
        <v>120.77310216978286</v>
      </c>
      <c r="C61" s="248">
        <f>I61*C$59*0.955</f>
        <v>134.63954026291674</v>
      </c>
      <c r="D61" s="248">
        <f>J61*D$59*1.01</f>
        <v>119.24153150842314</v>
      </c>
      <c r="E61" s="248">
        <f>K61*E$59*0.99</f>
        <v>121.03467240645513</v>
      </c>
      <c r="F61" s="248">
        <f>L61*F$59*0.985</f>
        <v>129.41804864209965</v>
      </c>
      <c r="G61" s="248">
        <f>M61*G$59*0.985</f>
        <v>130.22002068872195</v>
      </c>
      <c r="H61" s="101">
        <v>5.5615127602162617E-3</v>
      </c>
      <c r="I61" s="101">
        <v>5.8000000000002199E-3</v>
      </c>
      <c r="J61" s="101">
        <v>5.4610000000001506E-3</v>
      </c>
      <c r="K61" s="101">
        <v>5.589690831253543E-3</v>
      </c>
      <c r="L61" s="101">
        <v>5.6577846062067245E-3</v>
      </c>
      <c r="M61" s="101">
        <v>5.6689808014619468E-3</v>
      </c>
    </row>
    <row r="62" spans="1:13">
      <c r="C62" s="101">
        <f>C61/B61-1</f>
        <v>0.11481395976432274</v>
      </c>
      <c r="D62" s="101">
        <f t="shared" ref="D62" si="96">D61/C61-1</f>
        <v>-0.11436468606789074</v>
      </c>
      <c r="E62" s="101">
        <f t="shared" ref="E62" si="97">E61/D61-1</f>
        <v>1.5037888857585946E-2</v>
      </c>
      <c r="F62" s="101">
        <f t="shared" ref="F62:G62" si="98">F61/E61-1</f>
        <v>6.926425353134924E-2</v>
      </c>
      <c r="G62" s="101">
        <f t="shared" si="98"/>
        <v>6.1967558237576714E-3</v>
      </c>
    </row>
    <row r="63" spans="1:13">
      <c r="A63" t="s">
        <v>37</v>
      </c>
      <c r="B63" s="248"/>
      <c r="C63" s="248"/>
      <c r="D63" s="248"/>
      <c r="E63" s="248"/>
      <c r="F63" s="248"/>
      <c r="G63" s="248"/>
      <c r="H63" s="101">
        <v>0</v>
      </c>
      <c r="I63" s="101">
        <v>0</v>
      </c>
      <c r="J63" s="101">
        <v>0</v>
      </c>
      <c r="K63" s="101">
        <v>0</v>
      </c>
      <c r="L63" s="101">
        <v>0</v>
      </c>
      <c r="M63" s="101">
        <v>0</v>
      </c>
    </row>
    <row r="64" spans="1:13">
      <c r="C64" s="101"/>
      <c r="D64" s="101"/>
      <c r="E64" s="101"/>
      <c r="F64" s="101"/>
      <c r="G64" s="101"/>
    </row>
    <row r="65" spans="1:25">
      <c r="A65" t="s">
        <v>38</v>
      </c>
      <c r="B65" s="248">
        <f>H65*B$59*0.993</f>
        <v>154.68228449100346</v>
      </c>
      <c r="C65" s="248">
        <f>I65*C$59*0.988</f>
        <v>172.91421440950504</v>
      </c>
      <c r="D65" s="248">
        <f t="shared" ref="D65" si="99">J65*D$59</f>
        <v>154.84551471714948</v>
      </c>
      <c r="E65" s="248">
        <f>K65*E$59*1.004</f>
        <v>155.9995991986205</v>
      </c>
      <c r="F65" s="248">
        <f>L65*F$59*0.997</f>
        <v>165.33560863951203</v>
      </c>
      <c r="G65" s="248">
        <f>M65*G$59*0.997</f>
        <v>167.28308075770005</v>
      </c>
      <c r="H65" s="101">
        <v>7.1230057315804758E-3</v>
      </c>
      <c r="I65" s="101">
        <v>7.1999999999999998E-3</v>
      </c>
      <c r="J65" s="101">
        <v>7.1624999999999987E-3</v>
      </c>
      <c r="K65" s="101">
        <v>7.1039999999999992E-3</v>
      </c>
      <c r="L65" s="101">
        <v>7.1410000000000006E-3</v>
      </c>
      <c r="M65" s="101">
        <v>7.194826348352625E-3</v>
      </c>
    </row>
    <row r="66" spans="1:25">
      <c r="C66" s="101">
        <f>C65/B65-1</f>
        <v>0.11786695534330538</v>
      </c>
      <c r="D66" s="101">
        <f t="shared" ref="D66" si="100">D65/C65-1</f>
        <v>-0.10449516688989058</v>
      </c>
      <c r="E66" s="101">
        <f t="shared" ref="E66" si="101">E65/D65-1</f>
        <v>7.4531347167474671E-3</v>
      </c>
      <c r="F66" s="101">
        <f t="shared" ref="F66:G66" si="102">F65/E65-1</f>
        <v>5.9846368124348848E-2</v>
      </c>
      <c r="G66" s="101">
        <f t="shared" si="102"/>
        <v>1.177890313050578E-2</v>
      </c>
    </row>
    <row r="67" spans="1:25">
      <c r="A67" t="s">
        <v>39</v>
      </c>
      <c r="B67" s="248">
        <f>H67*B$59*0.993</f>
        <v>248.81148950579038</v>
      </c>
      <c r="C67" s="248">
        <f>I67*C$59*0.979</f>
        <v>276.04630349191729</v>
      </c>
      <c r="D67" s="248">
        <f t="shared" ref="D67" si="103">J67*D$59</f>
        <v>247.88253706762114</v>
      </c>
      <c r="E67" s="248">
        <f>K67*E$59*0.994</f>
        <v>250.12137547412036</v>
      </c>
      <c r="F67" s="248">
        <f>L67*F$59*0.985</f>
        <v>266.76047045135954</v>
      </c>
      <c r="G67" s="248">
        <f>M67*G$59*0.982</f>
        <v>270.29946654925317</v>
      </c>
      <c r="H67" s="101">
        <v>1.1457586572791396E-2</v>
      </c>
      <c r="I67" s="101">
        <v>1.1599999999999999E-2</v>
      </c>
      <c r="J67" s="101">
        <v>1.1466E-2</v>
      </c>
      <c r="K67" s="101">
        <v>1.1504761155593951E-2</v>
      </c>
      <c r="L67" s="101">
        <v>1.1662E-2</v>
      </c>
      <c r="M67" s="101">
        <v>1.1803129103929232E-2</v>
      </c>
    </row>
    <row r="68" spans="1:25">
      <c r="C68" s="101">
        <f>C67/B67-1</f>
        <v>0.10945963162803651</v>
      </c>
      <c r="D68" s="101">
        <f t="shared" ref="D68" si="104">D67/C67-1</f>
        <v>-0.10202551553138539</v>
      </c>
      <c r="E68" s="101">
        <f t="shared" ref="E68" si="105">E67/D67-1</f>
        <v>9.0318520739056662E-3</v>
      </c>
      <c r="F68" s="101">
        <f t="shared" ref="F68:G68" si="106">F67/E67-1</f>
        <v>6.6524082340818635E-2</v>
      </c>
      <c r="G68" s="101">
        <f t="shared" si="106"/>
        <v>1.3266568663286682E-2</v>
      </c>
    </row>
    <row r="69" spans="1:25">
      <c r="A69" t="s">
        <v>40</v>
      </c>
      <c r="B69" s="248">
        <f>H69*B$59</f>
        <v>17519.983565094073</v>
      </c>
      <c r="C69" s="248">
        <f t="shared" ref="C69:F69" si="107">I69*C$59</f>
        <v>19465.489049023228</v>
      </c>
      <c r="D69" s="248">
        <f t="shared" si="107"/>
        <v>17318.916836287397</v>
      </c>
      <c r="E69" s="248">
        <f>K69*E$59*0.9996</f>
        <v>17516.769090078818</v>
      </c>
      <c r="F69" s="248">
        <f t="shared" si="107"/>
        <v>18599.004371100647</v>
      </c>
      <c r="G69" s="248">
        <f>M69*G$59*0.99</f>
        <v>18681.832479665467</v>
      </c>
      <c r="H69" s="101">
        <v>0.80113491441942553</v>
      </c>
      <c r="I69" s="101">
        <v>0.80079999999999996</v>
      </c>
      <c r="J69" s="101">
        <v>0.80110000000000003</v>
      </c>
      <c r="K69" s="101">
        <v>0.80120000000000002</v>
      </c>
      <c r="L69" s="101">
        <v>0.80089851685913538</v>
      </c>
      <c r="M69" s="101">
        <v>0.80918483595602331</v>
      </c>
    </row>
    <row r="70" spans="1:25">
      <c r="C70" s="101">
        <f>C69/B69-1</f>
        <v>0.11104493772501489</v>
      </c>
      <c r="D70" s="101">
        <f t="shared" ref="D70" si="108">D69/C69-1</f>
        <v>-0.11027579154727407</v>
      </c>
      <c r="E70" s="101">
        <f t="shared" ref="E70" si="109">E69/D69-1</f>
        <v>1.1424054729385347E-2</v>
      </c>
      <c r="F70" s="101">
        <f t="shared" ref="F70:G70" si="110">F69/E69-1</f>
        <v>6.1782813683077364E-2</v>
      </c>
      <c r="G70" s="101">
        <f t="shared" si="110"/>
        <v>4.4533624979150588E-3</v>
      </c>
      <c r="O70" s="5">
        <v>2007</v>
      </c>
      <c r="P70" s="5">
        <v>2008</v>
      </c>
      <c r="Q70" s="5">
        <v>2009</v>
      </c>
      <c r="R70" s="5">
        <v>2010</v>
      </c>
      <c r="S70" s="5">
        <v>2011</v>
      </c>
      <c r="T70" s="5">
        <v>2012</v>
      </c>
      <c r="U70" s="5">
        <v>2013</v>
      </c>
      <c r="V70" s="5">
        <v>2014</v>
      </c>
      <c r="W70" s="5">
        <v>2015</v>
      </c>
      <c r="X70" s="5">
        <v>2016</v>
      </c>
      <c r="Y70" s="5">
        <v>2017</v>
      </c>
    </row>
    <row r="71" spans="1:25">
      <c r="A71" t="s">
        <v>41</v>
      </c>
      <c r="B71" s="248">
        <f>H71*B$59*0.8</f>
        <v>2983.7951042269146</v>
      </c>
      <c r="C71" s="248">
        <f>I71*C$59*0.8</f>
        <v>3313.6057282253332</v>
      </c>
      <c r="D71" s="248">
        <f>J71*D$59*0.798</f>
        <v>2944.3900890453815</v>
      </c>
      <c r="E71" s="248">
        <f>K71*E$59*0.8</f>
        <v>2983.0359167720399</v>
      </c>
      <c r="F71" s="248">
        <f>L71*F$59*0.801</f>
        <v>3170.9796038688287</v>
      </c>
      <c r="G71" s="248">
        <f>M71*G$59*0.79</f>
        <v>3173.3977502012372</v>
      </c>
      <c r="H71" s="101">
        <v>0.17054970589644891</v>
      </c>
      <c r="I71" s="101">
        <v>0.1704</v>
      </c>
      <c r="J71" s="101">
        <v>0.17067049999999998</v>
      </c>
      <c r="K71" s="101">
        <v>0.17048323529881629</v>
      </c>
      <c r="L71" s="101">
        <v>0.17047029999999999</v>
      </c>
      <c r="M71" s="101">
        <v>0.17225065217959992</v>
      </c>
      <c r="O71" s="101">
        <f>B71/B59</f>
        <v>0.13643976471715913</v>
      </c>
      <c r="P71" s="101">
        <f t="shared" ref="P71:T71" si="111">C71/C59</f>
        <v>0.13632000000000002</v>
      </c>
      <c r="Q71" s="101">
        <f t="shared" si="111"/>
        <v>0.13619505899999998</v>
      </c>
      <c r="R71" s="101">
        <f t="shared" si="111"/>
        <v>0.13638658823905303</v>
      </c>
      <c r="S71" s="101">
        <f t="shared" si="111"/>
        <v>0.13654671029999998</v>
      </c>
      <c r="T71" s="101">
        <f t="shared" si="111"/>
        <v>0.13607801522188395</v>
      </c>
      <c r="U71" s="101">
        <f>T71*(1+(T71/O71)^(1/5)-1)</f>
        <v>0.13600578049922041</v>
      </c>
      <c r="V71" s="101">
        <f t="shared" ref="V71:Y71" si="112">U71*(1+(U71/P71)^(1/5)-1)</f>
        <v>0.13594302356618287</v>
      </c>
      <c r="W71" s="101">
        <f t="shared" si="112"/>
        <v>0.1358926724754885</v>
      </c>
      <c r="X71" s="101">
        <f t="shared" si="112"/>
        <v>0.13579410417271834</v>
      </c>
      <c r="Y71" s="101">
        <f t="shared" si="112"/>
        <v>0.13564408145848819</v>
      </c>
    </row>
    <row r="72" spans="1:25">
      <c r="C72" s="101">
        <f>C71/B71-1</f>
        <v>0.11053393831607305</v>
      </c>
      <c r="D72" s="101">
        <f t="shared" ref="D72" si="113">D71/C71-1</f>
        <v>-0.11142413113152494</v>
      </c>
      <c r="E72" s="101">
        <f t="shared" ref="E72" si="114">E71/D71-1</f>
        <v>1.3125240392039217E-2</v>
      </c>
      <c r="F72" s="101">
        <f t="shared" ref="F72:G72" si="115">F71/E71-1</f>
        <v>6.300416499851047E-2</v>
      </c>
      <c r="G72" s="101">
        <f t="shared" si="115"/>
        <v>7.625865298717116E-4</v>
      </c>
    </row>
    <row r="73" spans="1:25">
      <c r="A73" t="s">
        <v>42</v>
      </c>
      <c r="B73" s="248">
        <f>B59-(B71+B69+B67+B65+B63+B61)</f>
        <v>840.90967011507746</v>
      </c>
      <c r="C73" s="248">
        <f t="shared" ref="C73:G73" si="116">C59-(C71+C69+C67+C65+C63+C61)</f>
        <v>944.85892210861493</v>
      </c>
      <c r="D73" s="248">
        <f t="shared" si="116"/>
        <v>833.64352169159247</v>
      </c>
      <c r="E73" s="248">
        <f t="shared" si="116"/>
        <v>844.95472490097382</v>
      </c>
      <c r="F73" s="248">
        <f t="shared" si="116"/>
        <v>891.17490715642998</v>
      </c>
      <c r="G73" s="248">
        <f t="shared" si="116"/>
        <v>897.39662658805901</v>
      </c>
      <c r="H73" s="101">
        <v>4.173274619537458E-3</v>
      </c>
      <c r="I73" s="101">
        <v>4.1999999999999815E-3</v>
      </c>
      <c r="J73" s="101">
        <v>4.1399999999999276E-3</v>
      </c>
      <c r="K73" s="101">
        <v>4.1183127143362341E-3</v>
      </c>
      <c r="L73" s="101">
        <v>4.1703985346579269E-3</v>
      </c>
      <c r="M73" s="101">
        <v>4.2034519446193927E-3</v>
      </c>
    </row>
    <row r="74" spans="1:25">
      <c r="C74" s="101">
        <f>C73/B73-1</f>
        <v>0.12361524155063197</v>
      </c>
      <c r="D74" s="101">
        <f t="shared" ref="D74" si="117">D73/C73-1</f>
        <v>-0.11770582656808304</v>
      </c>
      <c r="E74" s="101">
        <f t="shared" ref="E74" si="118">E73/D73-1</f>
        <v>1.3568393342071605E-2</v>
      </c>
      <c r="F74" s="101">
        <f t="shared" ref="F74:G74" si="119">F73/E73-1</f>
        <v>5.470137143841991E-2</v>
      </c>
      <c r="G74" s="101">
        <f t="shared" si="119"/>
        <v>6.9814795969529442E-3</v>
      </c>
    </row>
    <row r="76" spans="1:25">
      <c r="A76" s="5" t="s">
        <v>973</v>
      </c>
      <c r="B76" s="720">
        <f>'Tourism Medium DB-LCU'!G74</f>
        <v>2804517.3524490898</v>
      </c>
      <c r="C76" s="720">
        <f>'Tourism Medium DB-LCU'!H74</f>
        <v>2832641.2399451397</v>
      </c>
      <c r="D76" s="720">
        <f>'Tourism Medium DB-LCU'!I74</f>
        <v>2717853.2667114399</v>
      </c>
      <c r="E76" s="720">
        <f>'Tourism Medium DB-LCU'!J74</f>
        <v>3155136.8408839097</v>
      </c>
      <c r="F76" s="720">
        <f>'Tourism Medium DB-LCU'!K74</f>
        <v>3533541.625</v>
      </c>
      <c r="G76" s="720">
        <f>G16</f>
        <v>3960808.9931038795</v>
      </c>
    </row>
    <row r="77" spans="1:25">
      <c r="C77" s="101">
        <f>C76/B76-1</f>
        <v>1.0028066851321293E-2</v>
      </c>
      <c r="D77" s="101">
        <f t="shared" ref="D77" si="120">D76/C76-1</f>
        <v>-4.0523300873753776E-2</v>
      </c>
      <c r="E77" s="101">
        <f t="shared" ref="E77" si="121">E76/D76-1</f>
        <v>0.16089300313904586</v>
      </c>
      <c r="F77" s="101">
        <f t="shared" ref="F77:G77" si="122">F76/E76-1</f>
        <v>0.11993292310265713</v>
      </c>
      <c r="G77" s="101">
        <f t="shared" si="122"/>
        <v>0.12091759867237428</v>
      </c>
    </row>
    <row r="78" spans="1:25">
      <c r="A78" t="s">
        <v>36</v>
      </c>
      <c r="B78" s="85">
        <f>H78*B$76</f>
        <v>853180.43962627521</v>
      </c>
      <c r="C78" s="85">
        <f>I78*C$76*1.01</f>
        <v>869410.30514619662</v>
      </c>
      <c r="D78" s="85">
        <f t="shared" ref="D78" si="123">J78*D$76</f>
        <v>826769.61766355333</v>
      </c>
      <c r="E78" s="85">
        <f>K78*E$76*1.017</f>
        <v>955789.06705979817</v>
      </c>
      <c r="F78" s="85">
        <f>L78*F$76*1.015</f>
        <v>1063318.6524911837</v>
      </c>
      <c r="G78" s="247">
        <f>(F78/$F$76)*$G$76*1.002</f>
        <v>1194276.3757551105</v>
      </c>
      <c r="H78" s="101">
        <v>0.30421649517740429</v>
      </c>
      <c r="I78" s="101">
        <v>0.30388680012991631</v>
      </c>
      <c r="J78" s="101">
        <v>0.30419950473041235</v>
      </c>
      <c r="K78" s="101">
        <v>0.29786735284649246</v>
      </c>
      <c r="L78" s="101">
        <v>0.29647438601636861</v>
      </c>
      <c r="M78" s="101">
        <v>0.29480874394317774</v>
      </c>
    </row>
    <row r="79" spans="1:25">
      <c r="B79" s="85"/>
      <c r="C79" s="101">
        <f>C78/B78-1</f>
        <v>1.9022782012009909E-2</v>
      </c>
      <c r="D79" s="101">
        <f t="shared" ref="D79" si="124">D78/C78-1</f>
        <v>-4.9045528020826734E-2</v>
      </c>
      <c r="E79" s="101">
        <f t="shared" ref="E79" si="125">E78/D78-1</f>
        <v>0.15605248020706552</v>
      </c>
      <c r="F79" s="101">
        <f t="shared" ref="F79:G79" si="126">F78/E78-1</f>
        <v>0.11250346874354666</v>
      </c>
      <c r="G79" s="101">
        <f t="shared" si="126"/>
        <v>0.12315943386971906</v>
      </c>
    </row>
    <row r="80" spans="1:25">
      <c r="A80" t="s">
        <v>37</v>
      </c>
      <c r="B80" s="85">
        <f>H80*B$76</f>
        <v>188553.15237562163</v>
      </c>
      <c r="C80" s="85">
        <f t="shared" ref="C80" si="127">I80*C$76</f>
        <v>188891.93873113568</v>
      </c>
      <c r="D80" s="85">
        <f t="shared" ref="D80" si="128">J80*D$76</f>
        <v>182135.86821482712</v>
      </c>
      <c r="E80" s="85">
        <f>K80*E$76*1.025</f>
        <v>211580.14905914987</v>
      </c>
      <c r="F80" s="85">
        <f>L80*F$76*1.015</f>
        <v>233770.09179356488</v>
      </c>
      <c r="G80" s="247">
        <f>(F80/$F$76)*$G$76*0.995</f>
        <v>260726.82488498997</v>
      </c>
      <c r="H80" s="101">
        <v>6.7231943568102567E-2</v>
      </c>
      <c r="I80" s="101">
        <v>6.6684031873656541E-2</v>
      </c>
      <c r="J80" s="101">
        <v>6.7014606875818825E-2</v>
      </c>
      <c r="K80" s="101">
        <v>6.5423361340123207E-2</v>
      </c>
      <c r="L80" s="101">
        <v>6.5179750464371661E-2</v>
      </c>
      <c r="M80" s="101">
        <v>6.5507334390479538E-2</v>
      </c>
    </row>
    <row r="81" spans="1:13">
      <c r="B81" s="85"/>
      <c r="C81" s="101">
        <f>C80/B80-1</f>
        <v>1.7967684509412329E-3</v>
      </c>
      <c r="D81" s="101">
        <f t="shared" ref="D81" si="129">D80/C80-1</f>
        <v>-3.5766854645528312E-2</v>
      </c>
      <c r="E81" s="101">
        <f t="shared" ref="E81" si="130">E80/D80-1</f>
        <v>0.16166107825391962</v>
      </c>
      <c r="F81" s="101">
        <f t="shared" ref="F81:G81" si="131">F80/E80-1</f>
        <v>0.10487724313026892</v>
      </c>
      <c r="G81" s="101">
        <f t="shared" si="131"/>
        <v>0.11531301067901256</v>
      </c>
    </row>
    <row r="82" spans="1:13">
      <c r="A82" t="s">
        <v>38</v>
      </c>
      <c r="B82" s="85">
        <f>H82*B$76</f>
        <v>516287.88969040586</v>
      </c>
      <c r="C82" s="85">
        <f>I82*C$76*1.005</f>
        <v>521052.57602908672</v>
      </c>
      <c r="D82" s="85">
        <f t="shared" ref="D82" si="132">J82*D$76</f>
        <v>497379.30561199773</v>
      </c>
      <c r="E82" s="85">
        <f>K82*E$76*1.006</f>
        <v>577785.15680646512</v>
      </c>
      <c r="F82" s="85">
        <f t="shared" ref="F82" si="133">L82*F$76</f>
        <v>638451.06909077044</v>
      </c>
      <c r="G82" s="247">
        <f>(F82/$F$76)*$G$76*0.998</f>
        <v>714219.73715656647</v>
      </c>
      <c r="H82" s="101">
        <v>0.18409152977411575</v>
      </c>
      <c r="I82" s="101">
        <v>0.18303068787696139</v>
      </c>
      <c r="J82" s="101">
        <v>0.18300447331132741</v>
      </c>
      <c r="K82" s="101">
        <v>0.18203303090750264</v>
      </c>
      <c r="L82" s="101">
        <v>0.18068304744839972</v>
      </c>
      <c r="M82" s="101">
        <v>0.18023881059411187</v>
      </c>
    </row>
    <row r="83" spans="1:13">
      <c r="B83" s="85"/>
      <c r="C83" s="101">
        <f>C82/B82-1</f>
        <v>9.2287393018999353E-3</v>
      </c>
      <c r="D83" s="101">
        <f t="shared" ref="D83" si="134">D82/C82-1</f>
        <v>-4.5433554129031828E-2</v>
      </c>
      <c r="E83" s="101">
        <f t="shared" ref="E83" si="135">E82/D82-1</f>
        <v>0.16165902016275568</v>
      </c>
      <c r="F83" s="101">
        <f t="shared" ref="F83:G83" si="136">F82/E82-1</f>
        <v>0.10499735337546223</v>
      </c>
      <c r="G83" s="101">
        <f t="shared" si="136"/>
        <v>0.11867576347502951</v>
      </c>
    </row>
    <row r="84" spans="1:13">
      <c r="A84" t="s">
        <v>39</v>
      </c>
      <c r="B84" s="85">
        <f>H84*B$76</f>
        <v>422720.64330261236</v>
      </c>
      <c r="C84" s="85">
        <f t="shared" ref="C84" si="137">I84*C$76</f>
        <v>421681.16141069389</v>
      </c>
      <c r="D84" s="85">
        <f t="shared" ref="D84" si="138">J84*D$76</f>
        <v>407784.3328621831</v>
      </c>
      <c r="E84" s="85">
        <f t="shared" ref="E84" si="139">K84*E$76</f>
        <v>475503.14437880466</v>
      </c>
      <c r="F84" s="85">
        <f t="shared" ref="F84" si="140">L84*F$76</f>
        <v>529740.37899519142</v>
      </c>
      <c r="G84" s="247">
        <f>(F84/$F$76)*$G$76*1.007</f>
        <v>597951.8807378849</v>
      </c>
      <c r="H84" s="101">
        <v>0.15072848200902189</v>
      </c>
      <c r="I84" s="101">
        <v>0.14886500819950665</v>
      </c>
      <c r="J84" s="101">
        <v>0.15003912751904955</v>
      </c>
      <c r="K84" s="101">
        <v>0.15070761376092731</v>
      </c>
      <c r="L84" s="101">
        <v>0.14991768463890429</v>
      </c>
      <c r="M84" s="101">
        <v>0.14923347422706723</v>
      </c>
    </row>
    <row r="85" spans="1:13">
      <c r="B85" s="85"/>
      <c r="C85" s="101">
        <f>C84/B84-1</f>
        <v>-2.4590279854734831E-3</v>
      </c>
      <c r="D85" s="101">
        <f t="shared" ref="D85" si="141">D84/C84-1</f>
        <v>-3.2955772797675587E-2</v>
      </c>
      <c r="E85" s="101">
        <f t="shared" ref="E85" si="142">E84/D84-1</f>
        <v>0.16606526062762739</v>
      </c>
      <c r="F85" s="101">
        <f t="shared" ref="F85:G85" si="143">F84/E84-1</f>
        <v>0.11406283061964206</v>
      </c>
      <c r="G85" s="101">
        <f t="shared" si="143"/>
        <v>0.12876402186308078</v>
      </c>
    </row>
    <row r="86" spans="1:13">
      <c r="A86" t="s">
        <v>40</v>
      </c>
      <c r="B86" s="85">
        <f>H86*B$76</f>
        <v>242225.02118589004</v>
      </c>
      <c r="C86" s="85">
        <f>I86*C$76*0.94</f>
        <v>252162.13043999576</v>
      </c>
      <c r="D86" s="85">
        <f t="shared" ref="D86" si="144">J86*D$76</f>
        <v>255472.67486738603</v>
      </c>
      <c r="E86" s="85">
        <f>K86*E$76*0.89</f>
        <v>295670.26874426933</v>
      </c>
      <c r="F86" s="85">
        <f>L86*F$76*0.9</f>
        <v>352798.79494058614</v>
      </c>
      <c r="G86" s="247">
        <f>(F86/$F$76)*$G$76*0.999</f>
        <v>395062.91966126993</v>
      </c>
      <c r="H86" s="101">
        <v>8.6369592605431075E-2</v>
      </c>
      <c r="I86" s="101">
        <v>9.4702280610607426E-2</v>
      </c>
      <c r="J86" s="101">
        <v>9.3997964495156128E-2</v>
      </c>
      <c r="K86" s="101">
        <v>0.10529298786700202</v>
      </c>
      <c r="L86" s="101">
        <v>0.11093647751923559</v>
      </c>
      <c r="M86" s="101">
        <v>0.1120886759018495</v>
      </c>
    </row>
    <row r="87" spans="1:13">
      <c r="B87" s="85"/>
      <c r="C87" s="101">
        <f>C86/B86-1</f>
        <v>4.1024288925460395E-2</v>
      </c>
      <c r="D87" s="101">
        <f t="shared" ref="D87" si="145">D86/C86-1</f>
        <v>1.3128634429022901E-2</v>
      </c>
      <c r="E87" s="101">
        <f t="shared" ref="E87" si="146">E86/D86-1</f>
        <v>0.15734596233334774</v>
      </c>
      <c r="F87" s="101">
        <f t="shared" ref="F87:G87" si="147">F86/E86-1</f>
        <v>0.19321701312392814</v>
      </c>
      <c r="G87" s="101">
        <f t="shared" si="147"/>
        <v>0.11979668107370189</v>
      </c>
    </row>
    <row r="88" spans="1:13">
      <c r="A88" t="s">
        <v>41</v>
      </c>
      <c r="B88" s="85">
        <f>H88*B$76</f>
        <v>428692.17294093891</v>
      </c>
      <c r="C88" s="85">
        <f t="shared" ref="C88" si="148">I88*C$76</f>
        <v>423609.47889385343</v>
      </c>
      <c r="D88" s="85">
        <f t="shared" ref="D88" si="149">J88*D$76</f>
        <v>403077.10319174681</v>
      </c>
      <c r="E88" s="85">
        <f>K88*E$76*1.02</f>
        <v>471033.28376491461</v>
      </c>
      <c r="F88" s="85">
        <f>L88*F$76*1.015</f>
        <v>523257.39118008292</v>
      </c>
      <c r="G88" s="247">
        <f>(F88/$F$76)*$G$76*0.997</f>
        <v>584768.83315392234</v>
      </c>
      <c r="H88" s="101">
        <v>0.15285773595466493</v>
      </c>
      <c r="I88" s="101">
        <v>0.1495457571259739</v>
      </c>
      <c r="J88" s="101">
        <v>0.14830716143828612</v>
      </c>
      <c r="K88" s="101">
        <v>0.14636364770000082</v>
      </c>
      <c r="L88" s="101">
        <v>0.14589456642671672</v>
      </c>
      <c r="M88" s="101">
        <v>0.14614573086132401</v>
      </c>
    </row>
    <row r="89" spans="1:13">
      <c r="C89" s="101">
        <f>C88/B88-1</f>
        <v>-1.1856279092330668E-2</v>
      </c>
      <c r="D89" s="101">
        <f t="shared" ref="D89" si="150">D88/C88-1</f>
        <v>-4.8470057270015854E-2</v>
      </c>
      <c r="E89" s="101">
        <f t="shared" ref="E89" si="151">E88/D88-1</f>
        <v>0.16859350242189408</v>
      </c>
      <c r="F89" s="101">
        <f t="shared" ref="F89:G89" si="152">F88/E88-1</f>
        <v>0.11087137409430392</v>
      </c>
      <c r="G89" s="101">
        <f t="shared" si="152"/>
        <v>0.11755484587635734</v>
      </c>
    </row>
    <row r="90" spans="1:13">
      <c r="A90" t="s">
        <v>42</v>
      </c>
      <c r="B90" s="248">
        <f>B76-(B78+B80+B82+B84+B86+B88)</f>
        <v>152858.0333273462</v>
      </c>
      <c r="C90" s="248">
        <f t="shared" ref="C90:F90" si="153">C76-(C78+C80+C82+C84+C86+C88)</f>
        <v>155833.649294178</v>
      </c>
      <c r="D90" s="248">
        <f t="shared" si="153"/>
        <v>145234.36429974576</v>
      </c>
      <c r="E90" s="248">
        <f t="shared" si="153"/>
        <v>167775.77107050782</v>
      </c>
      <c r="F90" s="248">
        <f t="shared" si="153"/>
        <v>192205.24650862068</v>
      </c>
      <c r="G90" s="247">
        <f>G76-(G88+G86+G84+G82+G80+G78)</f>
        <v>213802.42175413575</v>
      </c>
      <c r="H90" s="101">
        <v>5.4504220911259497E-2</v>
      </c>
      <c r="I90" s="101">
        <v>5.328543418337791E-2</v>
      </c>
      <c r="J90" s="101">
        <v>5.343716162994968E-2</v>
      </c>
      <c r="K90" s="101">
        <v>5.2312005577951501E-2</v>
      </c>
      <c r="L90" s="101">
        <v>5.0914087486003491E-2</v>
      </c>
      <c r="M90" s="101">
        <v>5.1150280498749708E-2</v>
      </c>
    </row>
    <row r="91" spans="1:13">
      <c r="C91" s="101">
        <f>C90/B90-1</f>
        <v>1.9466533109578243E-2</v>
      </c>
      <c r="D91" s="101">
        <f t="shared" ref="D91" si="154">D90/C90-1</f>
        <v>-6.801666419569774E-2</v>
      </c>
      <c r="E91" s="101">
        <f t="shared" ref="E91" si="155">E90/D90-1</f>
        <v>0.1552071156123862</v>
      </c>
      <c r="F91" s="101">
        <f t="shared" ref="F91:G91" si="156">F90/E90-1</f>
        <v>0.1456078865395074</v>
      </c>
      <c r="G91" s="101">
        <f t="shared" si="156"/>
        <v>0.11236517024287584</v>
      </c>
    </row>
    <row r="93" spans="1:13">
      <c r="A93" t="s">
        <v>985</v>
      </c>
      <c r="B93" s="85">
        <f>'Tourism Medium DB-LCU'!G85</f>
        <v>2826386.3076646924</v>
      </c>
      <c r="C93" s="85">
        <f>'Tourism Medium DB-LCU'!H85</f>
        <v>2856948.7937026611</v>
      </c>
      <c r="D93" s="85">
        <f>'Tourism Medium DB-LCU'!I85</f>
        <v>2739472.1867417577</v>
      </c>
      <c r="E93" s="85">
        <f>'Tourism Medium DB-LCU'!J85</f>
        <v>3177008.7562627406</v>
      </c>
      <c r="F93" s="85">
        <f>'Tourism Medium DB-LCU'!K85</f>
        <v>3556764.2980098589</v>
      </c>
      <c r="G93" s="85">
        <f>'Tourism Medium DB-LCU'!L85</f>
        <v>3984129.4225283298</v>
      </c>
    </row>
    <row r="94" spans="1:13">
      <c r="C94" s="113">
        <f>C93/B93-1</f>
        <v>1.0813272748699809E-2</v>
      </c>
      <c r="D94" s="113">
        <f t="shared" ref="D94" si="157">D93/C93-1</f>
        <v>-4.1119605370543377E-2</v>
      </c>
      <c r="E94" s="113">
        <f t="shared" ref="E94" si="158">E93/D93-1</f>
        <v>0.15971564582350273</v>
      </c>
      <c r="F94" s="113">
        <f t="shared" ref="F94:G94" si="159">F93/E93-1</f>
        <v>0.11953241897697575</v>
      </c>
      <c r="G94" s="113">
        <f t="shared" si="159"/>
        <v>0.12015559331766723</v>
      </c>
    </row>
    <row r="95" spans="1:13">
      <c r="A95" t="s">
        <v>23</v>
      </c>
      <c r="B95" s="248">
        <f>H95*B$93</f>
        <v>74052.686054346312</v>
      </c>
      <c r="C95" s="248">
        <f>I95*C$93*0.99</f>
        <v>33809.560081356685</v>
      </c>
      <c r="D95" s="248">
        <f>J95*D$93*0.852</f>
        <v>27900.305211166295</v>
      </c>
      <c r="E95" s="248">
        <f>K95*E$93*0.74</f>
        <v>27217.203429810575</v>
      </c>
      <c r="F95" s="248">
        <f>L95*F$93*1.52</f>
        <v>62800.09575144948</v>
      </c>
      <c r="G95" s="248">
        <f>M95*G$93*1.55</f>
        <v>101852.15686859206</v>
      </c>
      <c r="H95" s="101">
        <f>('Tourism Medium DB-LCU'!G34/'Tourism Medium DB-LCU'!G$33)</f>
        <v>2.6200482875793615E-2</v>
      </c>
      <c r="I95" s="101">
        <f>('Tourism Medium DB-LCU'!H34/'Tourism Medium DB-LCU'!H$33)</f>
        <v>1.1953686696984416E-2</v>
      </c>
      <c r="J95" s="101">
        <f>('Tourism Medium DB-LCU'!I34/'Tourism Medium DB-LCU'!I$33)</f>
        <v>1.1953703074918208E-2</v>
      </c>
      <c r="K95" s="101">
        <f>('Tourism Medium DB-LCU'!J34/'Tourism Medium DB-LCU'!J$33)</f>
        <v>1.1576928946883088E-2</v>
      </c>
      <c r="L95" s="101">
        <f>('Tourism Medium DB-LCU'!K34/'Tourism Medium DB-LCU'!K$33)</f>
        <v>1.1616134499319117E-2</v>
      </c>
      <c r="M95" s="101">
        <f>('Tourism Medium DB-LCU'!L34/'Tourism Medium DB-LCU'!L$33)</f>
        <v>1.6493206414408719E-2</v>
      </c>
    </row>
    <row r="96" spans="1:13">
      <c r="B96" s="248"/>
      <c r="C96" s="113">
        <f>C95/B95-1</f>
        <v>-0.54343911230249931</v>
      </c>
      <c r="D96" s="113">
        <f t="shared" ref="D96" si="160">D95/C95-1</f>
        <v>-0.17478059034104021</v>
      </c>
      <c r="E96" s="113">
        <f t="shared" ref="E96" si="161">E95/D95-1</f>
        <v>-2.4483666977317742E-2</v>
      </c>
      <c r="F96" s="113">
        <f t="shared" ref="F96:G96" si="162">F95/E95-1</f>
        <v>1.3073676879919822</v>
      </c>
      <c r="G96" s="113">
        <f t="shared" si="162"/>
        <v>0.62184715882763975</v>
      </c>
      <c r="H96" s="101"/>
      <c r="I96" s="101"/>
      <c r="J96" s="101"/>
      <c r="K96" s="101"/>
      <c r="L96" s="101"/>
      <c r="M96" s="101"/>
    </row>
    <row r="97" spans="1:13">
      <c r="A97" t="s">
        <v>24</v>
      </c>
      <c r="B97" s="248">
        <f>H97*B$93</f>
        <v>177251.13477070365</v>
      </c>
      <c r="C97" s="248">
        <f>I97*C$93*0.995</f>
        <v>523315.47838219447</v>
      </c>
      <c r="D97" s="248">
        <f>J97*D$93*0.985</f>
        <v>652605.04311597464</v>
      </c>
      <c r="E97" s="248">
        <f>K97*E$93*1.005</f>
        <v>757159.46230992477</v>
      </c>
      <c r="F97" s="248">
        <f>L97*F$93*1.19</f>
        <v>540389.94313873583</v>
      </c>
      <c r="G97" s="248">
        <f>M97*G$93*1.188</f>
        <v>665161.67208097037</v>
      </c>
      <c r="H97" s="101">
        <f>('Tourism Medium DB-LCU'!G35/'Tourism Medium DB-LCU'!G$33)</f>
        <v>6.2712989477067549E-2</v>
      </c>
      <c r="I97" s="101">
        <f>('Tourism Medium DB-LCU'!H35/'Tourism Medium DB-LCU'!H$33)</f>
        <v>0.18409332556590222</v>
      </c>
      <c r="J97" s="101">
        <f>('Tourism Medium DB-LCU'!I35/'Tourism Medium DB-LCU'!I$33)</f>
        <v>0.24185067261759391</v>
      </c>
      <c r="K97" s="101">
        <f>('Tourism Medium DB-LCU'!J35/'Tourism Medium DB-LCU'!J$33)</f>
        <v>0.23713894345608297</v>
      </c>
      <c r="L97" s="101">
        <f>('Tourism Medium DB-LCU'!K35/'Tourism Medium DB-LCU'!K$33)</f>
        <v>0.12767480717487942</v>
      </c>
      <c r="M97" s="101">
        <f>('Tourism Medium DB-LCU'!L35/'Tourism Medium DB-LCU'!L$33)</f>
        <v>0.14053268305205838</v>
      </c>
    </row>
    <row r="98" spans="1:13">
      <c r="C98" s="113">
        <f>C97/B97-1</f>
        <v>1.9523956450781994</v>
      </c>
      <c r="D98" s="113">
        <f t="shared" ref="D98" si="163">D97/C97-1</f>
        <v>0.24705855277484412</v>
      </c>
      <c r="E98" s="113">
        <f t="shared" ref="E98" si="164">E97/D97-1</f>
        <v>0.16021086612315649</v>
      </c>
      <c r="F98" s="113">
        <f t="shared" ref="F98:G98" si="165">F97/E97-1</f>
        <v>-0.28629308614842297</v>
      </c>
      <c r="G98" s="113">
        <f t="shared" si="165"/>
        <v>0.23089202626075056</v>
      </c>
      <c r="H98" s="101"/>
      <c r="I98" s="101"/>
      <c r="J98" s="101"/>
      <c r="K98" s="101"/>
      <c r="L98" s="101"/>
      <c r="M98" s="101"/>
    </row>
    <row r="99" spans="1:13">
      <c r="A99" t="s">
        <v>25</v>
      </c>
      <c r="B99" s="248">
        <f>H99*B$93</f>
        <v>2456628.3564786562</v>
      </c>
      <c r="C99" s="248">
        <f>I99*C$93*1.022</f>
        <v>2162403.0270867399</v>
      </c>
      <c r="D99" s="248">
        <f>J99*D$93*1.0328</f>
        <v>1893557.4451080028</v>
      </c>
      <c r="E99" s="248">
        <f>K99*E$93*1.0274</f>
        <v>2204294.8590126159</v>
      </c>
      <c r="F99" s="248">
        <f>L99*F$93*0.999</f>
        <v>2876901.611648771</v>
      </c>
      <c r="G99" s="248">
        <f>M99*G$93*0.998</f>
        <v>3141737.4064029274</v>
      </c>
      <c r="H99" s="101">
        <f>('Tourism Medium DB-LCU'!G36/'Tourism Medium DB-LCU'!G$33)</f>
        <v>0.86917642850755616</v>
      </c>
      <c r="I99" s="101">
        <f>('Tourism Medium DB-LCU'!H36/'Tourism Medium DB-LCU'!H$33)</f>
        <v>0.74059928501479022</v>
      </c>
      <c r="J99" s="101">
        <f>('Tourism Medium DB-LCU'!I36/'Tourism Medium DB-LCU'!I$33)</f>
        <v>0.66926075675324515</v>
      </c>
      <c r="K99" s="101">
        <f>('Tourism Medium DB-LCU'!J36/'Tourism Medium DB-LCU'!J$33)</f>
        <v>0.67532326978589341</v>
      </c>
      <c r="L99" s="101">
        <f>('Tourism Medium DB-LCU'!K36/'Tourism Medium DB-LCU'!K$33)</f>
        <v>0.80966326462879679</v>
      </c>
      <c r="M99" s="101">
        <f>('Tourism Medium DB-LCU'!L36/'Tourism Medium DB-LCU'!L$33)</f>
        <v>0.7901433762540484</v>
      </c>
    </row>
    <row r="100" spans="1:13">
      <c r="C100" s="113">
        <f>C99/B99-1</f>
        <v>-0.11976794479961972</v>
      </c>
      <c r="D100" s="113">
        <f t="shared" ref="D100" si="166">D99/C99-1</f>
        <v>-0.12432723160813119</v>
      </c>
      <c r="E100" s="113">
        <f t="shared" ref="E100" si="167">E99/D99-1</f>
        <v>0.16410244891561221</v>
      </c>
      <c r="F100" s="113">
        <f t="shared" ref="F100:G100" si="168">F99/E99-1</f>
        <v>0.30513465559568576</v>
      </c>
      <c r="G100" s="113">
        <f t="shared" si="168"/>
        <v>9.2055909622288823E-2</v>
      </c>
      <c r="H100" s="101"/>
      <c r="I100" s="101"/>
      <c r="J100" s="101"/>
      <c r="K100" s="101"/>
      <c r="L100" s="101"/>
      <c r="M100" s="101"/>
    </row>
    <row r="101" spans="1:13">
      <c r="A101" t="s">
        <v>26</v>
      </c>
      <c r="B101" s="248">
        <f>H101*B$93</f>
        <v>14325.438707775867</v>
      </c>
      <c r="C101" s="248">
        <f>I101*C$93*1.775</f>
        <v>213529.69973808265</v>
      </c>
      <c r="D101" s="248">
        <f>J101*D$93*0.52</f>
        <v>67947.954663927128</v>
      </c>
      <c r="E101" s="248">
        <f>K101*E$93*0.71</f>
        <v>113508.06416249891</v>
      </c>
      <c r="F101" s="248">
        <f>L101*F$93*0.891</f>
        <v>85794.098181647147</v>
      </c>
      <c r="G101" s="248">
        <f>M101*G$93*0.906</f>
        <v>106771.64732088965</v>
      </c>
      <c r="H101" s="101">
        <f>('Tourism Medium DB-LCU'!G37/'Tourism Medium DB-LCU'!G$33)</f>
        <v>5.0684645155998831E-3</v>
      </c>
      <c r="I101" s="101">
        <f>('Tourism Medium DB-LCU'!H37/'Tourism Medium DB-LCU'!H$33)</f>
        <v>4.2107307856835301E-2</v>
      </c>
      <c r="J101" s="101">
        <f>('Tourism Medium DB-LCU'!I37/'Tourism Medium DB-LCU'!I$33)</f>
        <v>4.7698656776613974E-2</v>
      </c>
      <c r="K101" s="101">
        <f>('Tourism Medium DB-LCU'!J37/'Tourism Medium DB-LCU'!J$33)</f>
        <v>5.0321080352636785E-2</v>
      </c>
      <c r="L101" s="101">
        <f>('Tourism Medium DB-LCU'!K37/'Tourism Medium DB-LCU'!K$33)</f>
        <v>2.7072266929828729E-2</v>
      </c>
      <c r="M101" s="101">
        <f>('Tourism Medium DB-LCU'!L37/'Tourism Medium DB-LCU'!L$33)</f>
        <v>2.9579736965320645E-2</v>
      </c>
    </row>
    <row r="102" spans="1:13">
      <c r="C102" s="113">
        <f>C101/B101-1</f>
        <v>13.905630751969811</v>
      </c>
      <c r="D102" s="113">
        <f t="shared" ref="D102" si="169">D101/C101-1</f>
        <v>-0.681786867366588</v>
      </c>
      <c r="E102" s="113">
        <f t="shared" ref="E102" si="170">E101/D101-1</f>
        <v>0.67051480392476304</v>
      </c>
      <c r="F102" s="113">
        <f t="shared" ref="F102:G102" si="171">F101/E101-1</f>
        <v>-0.24415856428646565</v>
      </c>
      <c r="G102" s="113">
        <f t="shared" si="171"/>
        <v>0.24451039854545575</v>
      </c>
      <c r="H102" s="101"/>
      <c r="I102" s="101"/>
      <c r="J102" s="101"/>
      <c r="K102" s="101"/>
      <c r="L102" s="101"/>
      <c r="M102" s="101"/>
    </row>
    <row r="103" spans="1:13">
      <c r="A103" t="s">
        <v>27</v>
      </c>
      <c r="B103" s="248">
        <f>H103*B$93</f>
        <v>74810.904682889115</v>
      </c>
      <c r="C103" s="248">
        <f>I103*C$93*0.61</f>
        <v>35447.937996966335</v>
      </c>
      <c r="D103" s="248">
        <f>J103*D$93*0.6</f>
        <v>46353.903037735196</v>
      </c>
      <c r="E103" s="248">
        <f>K103*E$93*0.68</f>
        <v>51635.399938606308</v>
      </c>
      <c r="F103" s="248">
        <f>L103*F$93*0.6</f>
        <v>47606.98166805139</v>
      </c>
      <c r="G103" s="248">
        <f>M103*G$93*0.614</f>
        <v>48371.590626382465</v>
      </c>
      <c r="H103" s="101">
        <f>('Tourism Medium DB-LCU'!G38/'Tourism Medium DB-LCU'!G$33)</f>
        <v>2.6468747205579898E-2</v>
      </c>
      <c r="I103" s="101">
        <f>('Tourism Medium DB-LCU'!H38/'Tourism Medium DB-LCU'!H$33)</f>
        <v>2.0340362380175919E-2</v>
      </c>
      <c r="J103" s="101">
        <f>('Tourism Medium DB-LCU'!I38/'Tourism Medium DB-LCU'!I$33)</f>
        <v>2.820123724445564E-2</v>
      </c>
      <c r="K103" s="101">
        <f>('Tourism Medium DB-LCU'!J38/'Tourism Medium DB-LCU'!J$33)</f>
        <v>2.3901228325145105E-2</v>
      </c>
      <c r="L103" s="101">
        <f>('Tourism Medium DB-LCU'!K38/'Tourism Medium DB-LCU'!K$33)</f>
        <v>2.2308188791466659E-2</v>
      </c>
      <c r="M103" s="101">
        <f>('Tourism Medium DB-LCU'!L38/'Tourism Medium DB-LCU'!L$33)</f>
        <v>1.9773728177581166E-2</v>
      </c>
    </row>
    <row r="104" spans="1:13">
      <c r="C104" s="113">
        <f>C103/B103-1</f>
        <v>-0.52616616324552945</v>
      </c>
      <c r="D104" s="113">
        <f t="shared" ref="D104" si="172">D103/C103-1</f>
        <v>0.30766147925733223</v>
      </c>
      <c r="E104" s="113">
        <f t="shared" ref="E104" si="173">E103/D103-1</f>
        <v>0.11393855867048819</v>
      </c>
      <c r="F104" s="113">
        <f t="shared" ref="F104:G104" si="174">F103/E103-1</f>
        <v>-7.8016598599887743E-2</v>
      </c>
      <c r="G104" s="113">
        <f t="shared" si="174"/>
        <v>1.6060857704915055E-2</v>
      </c>
      <c r="H104" s="101"/>
      <c r="I104" s="101"/>
      <c r="J104" s="101"/>
      <c r="K104" s="101"/>
      <c r="L104" s="101"/>
      <c r="M104" s="101"/>
    </row>
    <row r="105" spans="1:13">
      <c r="A105" t="s">
        <v>28</v>
      </c>
      <c r="B105" s="248">
        <f>B93-(B95+B97+B99+B101+B103)</f>
        <v>29317.786970321089</v>
      </c>
      <c r="C105" s="248">
        <f t="shared" ref="C105:G105" si="175">C93-(C95+C97+C99+C101+C103)</f>
        <v>-111556.90958267869</v>
      </c>
      <c r="D105" s="248">
        <f t="shared" si="175"/>
        <v>51107.535604951438</v>
      </c>
      <c r="E105" s="248">
        <f t="shared" si="175"/>
        <v>23193.767409284133</v>
      </c>
      <c r="F105" s="248">
        <f t="shared" si="175"/>
        <v>-56728.432378795929</v>
      </c>
      <c r="G105" s="248">
        <f t="shared" si="175"/>
        <v>-79765.050771431997</v>
      </c>
      <c r="H105" s="101">
        <f>('Tourism Medium DB-LCU'!G39/'Tourism Medium DB-LCU'!G$33)</f>
        <v>1.0372887418402933E-2</v>
      </c>
      <c r="I105" s="101">
        <f>('Tourism Medium DB-LCU'!H39/'Tourism Medium DB-LCU'!H$33)</f>
        <v>9.0603248531193395E-4</v>
      </c>
      <c r="J105" s="101">
        <f>('Tourism Medium DB-LCU'!I39/'Tourism Medium DB-LCU'!I$33)</f>
        <v>1.0349735331730329E-3</v>
      </c>
      <c r="K105" s="101">
        <f>('Tourism Medium DB-LCU'!J39/'Tourism Medium DB-LCU'!J$33)</f>
        <v>1.7385491333586967E-3</v>
      </c>
      <c r="L105" s="101">
        <f>('Tourism Medium DB-LCU'!K39/'Tourism Medium DB-LCU'!K$33)</f>
        <v>1.6653379757093092E-3</v>
      </c>
      <c r="M105" s="101">
        <f>('Tourism Medium DB-LCU'!L39/'Tourism Medium DB-LCU'!L$33)</f>
        <v>3.4772691365826686E-3</v>
      </c>
    </row>
    <row r="106" spans="1:13">
      <c r="C106" s="113">
        <f>C105/B105-1</f>
        <v>-4.8050931230112877</v>
      </c>
      <c r="D106" s="113">
        <f t="shared" ref="D106" si="176">D105/C105-1</f>
        <v>-1.4581297186892208</v>
      </c>
      <c r="E106" s="113">
        <f t="shared" ref="E106" si="177">E105/D105-1</f>
        <v>-0.5461771510846033</v>
      </c>
      <c r="F106" s="113">
        <f t="shared" ref="F106:G106" si="178">F105/E105-1</f>
        <v>-3.4458481184944687</v>
      </c>
      <c r="G106" s="113">
        <f t="shared" si="178"/>
        <v>0.40608593304345808</v>
      </c>
    </row>
  </sheetData>
  <customSheetViews>
    <customSheetView guid="{BD5E9955-DC4B-4EA0-9160-9EF1C693DE04}" topLeftCell="A91">
      <selection activeCell="G104" sqref="G104"/>
      <pageMargins left="0.7" right="0.7" top="0.75" bottom="0.75" header="0.3" footer="0.3"/>
    </customSheetView>
    <customSheetView guid="{1ACDCC85-59E3-4410-927D-E7E5C71B61F5}" topLeftCell="A53">
      <selection activeCell="A18" sqref="A18:XFD18"/>
      <pageMargins left="0.7" right="0.7" top="0.75" bottom="0.75" header="0.3" footer="0.3"/>
    </customSheetView>
    <customSheetView guid="{63078F6D-D19C-47E9-B618-80B24EAAED3A}">
      <selection activeCell="H16" sqref="H16"/>
      <pageMargins left="0.7" right="0.7" top="0.75" bottom="0.75" header="0.3" footer="0.3"/>
    </customSheetView>
    <customSheetView guid="{92F60ACF-D6F3-4086-9F2B-BC0D304DAC43}">
      <selection activeCell="A22" sqref="A22:XFD22"/>
      <pageMargins left="0.7" right="0.7" top="0.75" bottom="0.75" header="0.3" footer="0.3"/>
    </customSheetView>
    <customSheetView guid="{9144D9B3-2327-4B3A-89B1-6A595780C3C5}" state="hidden">
      <selection activeCell="A16" sqref="A16:XFD16"/>
      <pageMargins left="0.7" right="0.7" top="0.75" bottom="0.75" header="0.3" footer="0.3"/>
    </customSheetView>
    <customSheetView guid="{513032B5-C585-49C2-98E7-9FDE6F7A4BA7}">
      <pageMargins left="0.7" right="0.7" top="0.75" bottom="0.75" header="0.3" footer="0.3"/>
    </customSheetView>
    <customSheetView guid="{AF983ECA-536A-40E6-8A04-FF0A375E9ACC}" topLeftCell="A2">
      <selection activeCell="C25" sqref="C25"/>
      <pageMargins left="0.7" right="0.7" top="0.75" bottom="0.75" header="0.3" footer="0.3"/>
    </customSheetView>
  </customSheetViews>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dimension ref="A1:O31"/>
  <sheetViews>
    <sheetView workbookViewId="0">
      <pane ySplit="1" topLeftCell="A12" activePane="bottomLeft" state="frozen"/>
      <selection pane="bottomLeft"/>
    </sheetView>
  </sheetViews>
  <sheetFormatPr defaultRowHeight="15"/>
  <cols>
    <col min="1" max="1" width="31.28515625" bestFit="1" customWidth="1"/>
    <col min="2" max="2" width="7" customWidth="1"/>
  </cols>
  <sheetData>
    <row r="1" spans="1:15" ht="14.25" customHeight="1">
      <c r="A1" s="5" t="str">
        <f>Home!$B$1</f>
        <v>Hungary</v>
      </c>
      <c r="C1" s="5">
        <v>2008</v>
      </c>
      <c r="D1" s="5">
        <v>2009</v>
      </c>
      <c r="E1" s="5">
        <v>2010</v>
      </c>
      <c r="F1" s="5">
        <v>2011</v>
      </c>
      <c r="G1" s="5">
        <v>2012</v>
      </c>
      <c r="H1" s="5">
        <v>2013</v>
      </c>
      <c r="I1" s="5">
        <v>2014</v>
      </c>
      <c r="J1" s="5">
        <v>2015</v>
      </c>
      <c r="K1" s="5">
        <v>2016</v>
      </c>
      <c r="L1" s="5">
        <v>2017</v>
      </c>
      <c r="M1" s="5"/>
      <c r="N1" t="s">
        <v>531</v>
      </c>
      <c r="O1" t="s">
        <v>154</v>
      </c>
    </row>
    <row r="2" spans="1:15">
      <c r="A2" s="5" t="s">
        <v>532</v>
      </c>
      <c r="C2" s="85">
        <f>'Tourism Medium DB-US$'!G151/'Tourism Medium DB-US$'!G150</f>
        <v>11.754777638864082</v>
      </c>
      <c r="D2" s="85">
        <f>'Tourism Medium DB-US$'!H151/'Tourism Medium DB-US$'!H150</f>
        <v>11.732612863866132</v>
      </c>
      <c r="E2" s="85">
        <f>'Tourism Medium DB-US$'!I151/'Tourism Medium DB-US$'!I150</f>
        <v>12.192063492063491</v>
      </c>
      <c r="F2" s="85">
        <f>'Tourism Medium DB-US$'!J151/'Tourism Medium DB-US$'!J150</f>
        <v>11.918592057761733</v>
      </c>
      <c r="G2" s="85">
        <f>'Tourism Medium DB-US$'!K151/'Tourism Medium DB-US$'!K150</f>
        <v>8.9333672431332651</v>
      </c>
      <c r="H2" s="85">
        <f>'Tourism Medium DB-US$'!L151/'Tourism Medium DB-US$'!L150</f>
        <v>8.459431335091594</v>
      </c>
      <c r="I2" s="85">
        <f>'Tourism Medium DB-US$'!M151/'Tourism Medium DB-US$'!M150</f>
        <v>8.1273202856265847</v>
      </c>
      <c r="J2" s="85">
        <f>'Tourism Medium DB-US$'!N151/'Tourism Medium DB-US$'!N150</f>
        <v>7.7355100395052609</v>
      </c>
      <c r="K2" s="85">
        <f>'Tourism Medium DB-US$'!O151/'Tourism Medium DB-US$'!O150</f>
        <v>7.0223630681041067</v>
      </c>
      <c r="L2" s="85">
        <f>'Tourism Medium DB-US$'!P151/'Tourism Medium DB-US$'!P150</f>
        <v>6.6532755179507665</v>
      </c>
      <c r="M2" s="85"/>
    </row>
    <row r="4" spans="1:15">
      <c r="A4" s="113" t="str">
        <f>$O$1</f>
        <v>Turkey</v>
      </c>
    </row>
    <row r="5" spans="1:15">
      <c r="A5" s="5" t="s">
        <v>532</v>
      </c>
      <c r="C5" s="85">
        <v>107.87275868303247</v>
      </c>
      <c r="D5" s="85">
        <v>115.32316463514016</v>
      </c>
      <c r="E5" s="85">
        <v>119.43965925224799</v>
      </c>
      <c r="F5" s="85">
        <v>123.65888837584254</v>
      </c>
      <c r="G5" s="85">
        <v>123.32841627590744</v>
      </c>
      <c r="H5" s="85">
        <v>125.13185981228571</v>
      </c>
      <c r="I5" s="85">
        <v>126.50593136875557</v>
      </c>
      <c r="J5" s="85">
        <v>129.15090519402909</v>
      </c>
      <c r="K5" s="85">
        <v>130.62583489534836</v>
      </c>
    </row>
    <row r="7" spans="1:15">
      <c r="A7" s="5" t="str">
        <f>Home!$B$1</f>
        <v>Hungary</v>
      </c>
    </row>
    <row r="8" spans="1:15">
      <c r="A8" s="2" t="s">
        <v>533</v>
      </c>
      <c r="B8" s="1"/>
      <c r="C8" s="81">
        <f>'Tourism Medium DB-US$'!G152</f>
        <v>0.48499999999999999</v>
      </c>
      <c r="D8" s="81">
        <f>'Tourism Medium DB-US$'!H152</f>
        <v>0.43099999999999999</v>
      </c>
      <c r="E8" s="81">
        <f>'Tourism Medium DB-US$'!I152</f>
        <v>0.44299999999999995</v>
      </c>
      <c r="F8" s="81">
        <f>'Tourism Medium DB-US$'!J152</f>
        <v>0.45899999999999996</v>
      </c>
      <c r="G8" s="81">
        <f>'Tourism Medium DB-US$'!K152</f>
        <v>0.47700000000000004</v>
      </c>
      <c r="H8" s="81">
        <f>'Tourism Medium DB-US$'!L152</f>
        <v>0.49148620151387556</v>
      </c>
      <c r="I8" s="81">
        <f>'Tourism Medium DB-US$'!M152</f>
        <v>0.48395902595397294</v>
      </c>
      <c r="J8" s="81">
        <f>'Tourism Medium DB-US$'!N152</f>
        <v>0.44068718587636735</v>
      </c>
      <c r="K8" s="81">
        <f>'Tourism Medium DB-US$'!O152</f>
        <v>0.44292727355082173</v>
      </c>
      <c r="L8" s="81">
        <f>'Tourism Medium DB-US$'!P152</f>
        <v>0.44750265910872766</v>
      </c>
    </row>
    <row r="9" spans="1:15">
      <c r="A9" s="4"/>
      <c r="B9" s="2"/>
      <c r="C9" s="81"/>
      <c r="D9" s="81"/>
      <c r="E9" s="81"/>
      <c r="F9" s="81"/>
      <c r="G9" s="81"/>
      <c r="H9" s="81"/>
      <c r="I9" s="81"/>
      <c r="J9" s="81"/>
      <c r="K9" s="81"/>
      <c r="L9" s="81"/>
      <c r="M9" s="81"/>
    </row>
    <row r="10" spans="1:15">
      <c r="A10" s="113" t="str">
        <f>$O$1</f>
        <v>Turkey</v>
      </c>
    </row>
    <row r="11" spans="1:15">
      <c r="A11" s="2" t="s">
        <v>533</v>
      </c>
      <c r="B11" s="1"/>
      <c r="C11" s="157">
        <v>0.51028949999999995</v>
      </c>
      <c r="D11" s="157">
        <v>0.48570009014303339</v>
      </c>
      <c r="E11" s="157">
        <v>0.49739713166164989</v>
      </c>
      <c r="F11" s="157">
        <v>0.51260244948388112</v>
      </c>
      <c r="G11" s="157">
        <v>0.51435366919277214</v>
      </c>
      <c r="H11" s="157">
        <v>0.51789159680813124</v>
      </c>
      <c r="I11" s="157">
        <v>0.52355356309461631</v>
      </c>
      <c r="J11" s="157">
        <v>0.53122124827644157</v>
      </c>
      <c r="K11" s="157">
        <v>0.53531056181965575</v>
      </c>
    </row>
    <row r="12" spans="1:15">
      <c r="A12" s="2"/>
      <c r="B12" s="1"/>
    </row>
    <row r="13" spans="1:15">
      <c r="A13" s="5" t="str">
        <f>Home!$B$1</f>
        <v>Hungary</v>
      </c>
    </row>
    <row r="14" spans="1:15">
      <c r="A14" s="2" t="str">
        <f>'Tourism Medium DB-US$'!C155</f>
        <v>Revenue per Available Room</v>
      </c>
      <c r="B14" s="1"/>
      <c r="C14" s="448">
        <f>'Tourism Medium DB-US$'!G155</f>
        <v>37.461995353981393</v>
      </c>
      <c r="D14" s="448">
        <f>'Tourism Medium DB-US$'!H155</f>
        <v>31.709678760648913</v>
      </c>
      <c r="E14" s="448">
        <f>'Tourism Medium DB-US$'!I155</f>
        <v>30.23168358445205</v>
      </c>
      <c r="F14" s="448">
        <f>'Tourism Medium DB-US$'!J155</f>
        <v>32.970470766705624</v>
      </c>
      <c r="G14" s="448">
        <f>'Tourism Medium DB-US$'!K155</f>
        <v>30.982706154099283</v>
      </c>
      <c r="H14" s="448">
        <f>'Tourism Medium DB-US$'!L155</f>
        <v>31.380043348817917</v>
      </c>
      <c r="I14" s="448">
        <f>'Tourism Medium DB-US$'!M155</f>
        <v>31.433687082122489</v>
      </c>
      <c r="J14" s="448">
        <f>'Tourism Medium DB-US$'!N155</f>
        <v>31.573132814557457</v>
      </c>
      <c r="K14" s="448">
        <f>'Tourism Medium DB-US$'!O155</f>
        <v>32.735763321887262</v>
      </c>
      <c r="L14" s="448">
        <f>'Tourism Medium DB-US$'!P155</f>
        <v>32.884944636623452</v>
      </c>
      <c r="M14" s="449"/>
    </row>
    <row r="16" spans="1:15">
      <c r="A16" s="113" t="str">
        <f>$O$1</f>
        <v>Turkey</v>
      </c>
    </row>
    <row r="17" spans="1:13">
      <c r="A17" s="2" t="s">
        <v>99</v>
      </c>
      <c r="B17" s="1"/>
      <c r="C17" s="448">
        <v>49.096643899302315</v>
      </c>
      <c r="D17" s="448">
        <v>42.185452385903496</v>
      </c>
      <c r="E17" s="448">
        <v>42.412811275378154</v>
      </c>
      <c r="F17" s="448">
        <v>39.418403063114866</v>
      </c>
      <c r="G17" s="448">
        <v>39.77912768573767</v>
      </c>
      <c r="H17" s="448">
        <v>40.268448176869754</v>
      </c>
      <c r="I17" s="448">
        <v>41.396065930245996</v>
      </c>
      <c r="J17" s="448">
        <v>42.331474176548916</v>
      </c>
      <c r="K17" s="448">
        <v>43.27036408291854</v>
      </c>
    </row>
    <row r="19" spans="1:13">
      <c r="A19" s="5" t="str">
        <f>Home!$B$1</f>
        <v>Hungary</v>
      </c>
    </row>
    <row r="20" spans="1:13">
      <c r="A20" t="s">
        <v>534</v>
      </c>
      <c r="C20" s="448">
        <f>'Tourism Medium DB-US$'!G158*1000000/('Tourism Medium DB-US$'!G161*1000)</f>
        <v>0.37876906172258229</v>
      </c>
      <c r="D20" s="448">
        <f>'Tourism Medium DB-US$'!H158*1000000/('Tourism Medium DB-US$'!H161*1000)</f>
        <v>0.35690909284232836</v>
      </c>
      <c r="E20" s="448">
        <f>'Tourism Medium DB-US$'!I158*1000000/('Tourism Medium DB-US$'!I161*1000)</f>
        <v>0.33377158086825359</v>
      </c>
      <c r="F20" s="448">
        <f>'Tourism Medium DB-US$'!J158*1000000/('Tourism Medium DB-US$'!J161*1000)</f>
        <v>0.33192698823604122</v>
      </c>
      <c r="G20" s="448">
        <f>'Tourism Medium DB-US$'!K158*1000000/('Tourism Medium DB-US$'!K161*1000)</f>
        <v>0.51887567712467797</v>
      </c>
      <c r="H20" s="448">
        <f>'Tourism Medium DB-US$'!L158*1000000/('Tourism Medium DB-US$'!L161*1000)</f>
        <v>205.27365480584712</v>
      </c>
      <c r="I20" s="448">
        <f>'Tourism Medium DB-US$'!M158*1000000/('Tourism Medium DB-US$'!M161*1000)</f>
        <v>246.50385104394275</v>
      </c>
      <c r="J20" s="448">
        <f>'Tourism Medium DB-US$'!N158*1000000/('Tourism Medium DB-US$'!N161*1000)</f>
        <v>322.13821869743424</v>
      </c>
      <c r="K20" s="448">
        <f>'Tourism Medium DB-US$'!O158*1000000/('Tourism Medium DB-US$'!O161*1000)</f>
        <v>344.69474230914773</v>
      </c>
      <c r="L20" s="448">
        <f>'Tourism Medium DB-US$'!P158*1000000/('Tourism Medium DB-US$'!P161*1000)</f>
        <v>356.80218676370151</v>
      </c>
      <c r="M20" s="448"/>
    </row>
    <row r="22" spans="1:13">
      <c r="A22" s="113" t="str">
        <f>$O$1</f>
        <v>Turkey</v>
      </c>
    </row>
    <row r="23" spans="1:13">
      <c r="A23" t="s">
        <v>534</v>
      </c>
      <c r="C23" s="448">
        <v>180.59142220361244</v>
      </c>
      <c r="D23" s="448">
        <v>158.76887134333032</v>
      </c>
      <c r="E23" s="448">
        <v>150.80076770511613</v>
      </c>
      <c r="F23" s="448">
        <v>133.194937807868</v>
      </c>
      <c r="G23" s="448">
        <v>136.25274563454144</v>
      </c>
      <c r="H23" s="448">
        <v>138.90970156047214</v>
      </c>
      <c r="I23" s="448">
        <v>143.74260876137177</v>
      </c>
      <c r="J23" s="448">
        <v>150.47586054033749</v>
      </c>
      <c r="K23" s="448">
        <v>157.20757668807764</v>
      </c>
    </row>
    <row r="25" spans="1:13">
      <c r="A25" s="5" t="str">
        <f>Home!$B$1</f>
        <v>Hungary</v>
      </c>
    </row>
    <row r="26" spans="1:13">
      <c r="A26" t="s">
        <v>535</v>
      </c>
      <c r="C26" s="448">
        <f>'Tourism Medium DB-US$'!G159*1000000/('Tourism Medium DB-US$'!G161*1000)</f>
        <v>0.19323325210437078</v>
      </c>
      <c r="D26" s="448">
        <f>'Tourism Medium DB-US$'!H159*1000000/('Tourism Medium DB-US$'!H161*1000)</f>
        <v>0.18239167823380137</v>
      </c>
      <c r="E26" s="448">
        <f>'Tourism Medium DB-US$'!I159*1000000/('Tourism Medium DB-US$'!I161*1000)</f>
        <v>0.17052488005144434</v>
      </c>
      <c r="F26" s="448">
        <f>'Tourism Medium DB-US$'!J159*1000000/('Tourism Medium DB-US$'!J161*1000)</f>
        <v>0.16964560060076245</v>
      </c>
      <c r="G26" s="448">
        <f>'Tourism Medium DB-US$'!K159*1000000/('Tourism Medium DB-US$'!K161*1000)</f>
        <v>0.26443276576402908</v>
      </c>
      <c r="H26" s="448">
        <f>'Tourism Medium DB-US$'!L159*1000000/('Tourism Medium DB-US$'!L161*1000)</f>
        <v>0.29413923269577469</v>
      </c>
      <c r="I26" s="448">
        <f>'Tourism Medium DB-US$'!M159*1000000/('Tourism Medium DB-US$'!M161*1000)</f>
        <v>0.35270446379990572</v>
      </c>
      <c r="J26" s="448">
        <f>'Tourism Medium DB-US$'!N159*1000000/('Tourism Medium DB-US$'!N161*1000)</f>
        <v>0.47351052777946567</v>
      </c>
      <c r="K26" s="448">
        <f>'Tourism Medium DB-US$'!O159*1000000/('Tourism Medium DB-US$'!O161*1000)</f>
        <v>0.52397637403491448</v>
      </c>
      <c r="L26" s="448">
        <f>'Tourism Medium DB-US$'!P159*1000000/('Tourism Medium DB-US$'!P161*1000)</f>
        <v>0.56945453765489473</v>
      </c>
      <c r="M26" s="448"/>
    </row>
    <row r="28" spans="1:13">
      <c r="A28" s="113" t="str">
        <f>$O$1</f>
        <v>Turkey</v>
      </c>
    </row>
    <row r="29" spans="1:13">
      <c r="A29" t="str">
        <f>A26</f>
        <v>Non Room Revenue per guest</v>
      </c>
      <c r="B29" s="2"/>
      <c r="C29" s="448">
        <v>72.025605792662361</v>
      </c>
      <c r="D29" s="448">
        <v>59.822578169692108</v>
      </c>
      <c r="E29" s="448">
        <v>53.402801860236963</v>
      </c>
      <c r="F29" s="448">
        <v>44.48495590950391</v>
      </c>
      <c r="G29" s="448">
        <v>44.982088575863393</v>
      </c>
      <c r="H29" s="448">
        <v>44.953423462394895</v>
      </c>
      <c r="I29" s="448">
        <v>44.147219019556907</v>
      </c>
      <c r="J29" s="448">
        <v>43.903520317270463</v>
      </c>
      <c r="K29" s="448">
        <v>43.514986432923472</v>
      </c>
    </row>
    <row r="30" spans="1:13">
      <c r="B30" s="2"/>
      <c r="C30" s="244"/>
      <c r="D30" s="244"/>
      <c r="E30" s="244"/>
      <c r="F30" s="244"/>
      <c r="G30" s="244"/>
    </row>
    <row r="31" spans="1:13">
      <c r="B31" s="2"/>
      <c r="C31" s="244"/>
      <c r="D31" s="244"/>
      <c r="E31" s="244"/>
      <c r="F31" s="244"/>
      <c r="G31" s="244"/>
    </row>
  </sheetData>
  <customSheetViews>
    <customSheetView guid="{BD5E9955-DC4B-4EA0-9160-9EF1C693DE04}">
      <pane ySplit="1" topLeftCell="A12" activePane="bottomLeft" state="frozen"/>
      <selection pane="bottomLeft"/>
      <pageMargins left="0.7" right="0.7" top="0.75" bottom="0.75" header="0.3" footer="0.3"/>
      <pageSetup orientation="portrait" r:id="rId1"/>
    </customSheetView>
    <customSheetView guid="{1ACDCC85-59E3-4410-927D-E7E5C71B61F5}" state="hidden">
      <pane ySplit="1" topLeftCell="A12" activePane="bottomLeft" state="frozen"/>
      <selection pane="bottomLeft" activeCell="C20" sqref="C20"/>
      <pageMargins left="0.7" right="0.7" top="0.75" bottom="0.75" header="0.3" footer="0.3"/>
      <pageSetup orientation="portrait" r:id="rId2"/>
    </customSheetView>
    <customSheetView guid="{9144D9B3-2327-4B3A-89B1-6A595780C3C5}" state="hidden">
      <pane ySplit="1" topLeftCell="A12" activePane="bottomLeft" state="frozen"/>
      <selection pane="bottomLeft" activeCell="C20" sqref="C20"/>
      <pageMargins left="0.7" right="0.7" top="0.75" bottom="0.75" header="0.3" footer="0.3"/>
      <pageSetup orientation="portrait" r:id="rId3"/>
    </customSheetView>
    <customSheetView guid="{513032B5-C585-49C2-98E7-9FDE6F7A4BA7}">
      <pane ySplit="1" topLeftCell="A12" activePane="bottomLeft" state="frozen"/>
      <selection pane="bottomLeft"/>
      <pageMargins left="0.7" right="0.7" top="0.75" bottom="0.75" header="0.3" footer="0.3"/>
      <pageSetup orientation="portrait" r:id="rId4"/>
    </customSheetView>
    <customSheetView guid="{AF983ECA-536A-40E6-8A04-FF0A375E9ACC}">
      <pane ySplit="1" topLeftCell="A12" activePane="bottomLeft" state="frozen"/>
      <selection pane="bottomLeft" activeCell="C20" sqref="C20"/>
      <pageMargins left="0.7" right="0.7" top="0.75" bottom="0.75" header="0.3" footer="0.3"/>
      <pageSetup orientation="portrait" r:id="rId5"/>
    </customSheetView>
  </customSheetViews>
  <pageMargins left="0.7" right="0.7" top="0.75" bottom="0.75" header="0.3" footer="0.3"/>
  <pageSetup orientation="portrait" r:id="rId6"/>
</worksheet>
</file>

<file path=xl/worksheets/sheet25.xml><?xml version="1.0" encoding="utf-8"?>
<worksheet xmlns="http://schemas.openxmlformats.org/spreadsheetml/2006/main" xmlns:r="http://schemas.openxmlformats.org/officeDocument/2006/relationships">
  <dimension ref="A1:XFD132"/>
  <sheetViews>
    <sheetView showGridLines="0" topLeftCell="G1" workbookViewId="0">
      <pane ySplit="1" topLeftCell="A47" activePane="bottomLeft" state="frozen"/>
      <selection pane="bottomLeft"/>
    </sheetView>
  </sheetViews>
  <sheetFormatPr defaultRowHeight="15" customHeight="1" outlineLevelRow="1"/>
  <cols>
    <col min="1" max="1" width="11.5703125" style="1" customWidth="1"/>
    <col min="2" max="2" width="34.140625" style="1" bestFit="1" customWidth="1"/>
    <col min="3" max="3" width="41.42578125" style="1" bestFit="1" customWidth="1"/>
    <col min="4" max="4" width="45.140625" style="1" bestFit="1" customWidth="1"/>
    <col min="5" max="5" width="28.85546875" style="1" customWidth="1"/>
    <col min="6" max="6" width="24.28515625" style="1" customWidth="1"/>
    <col min="7" max="7" width="9.85546875" style="1" customWidth="1"/>
    <col min="8" max="8" width="11.7109375" style="1" bestFit="1" customWidth="1"/>
    <col min="9" max="12" width="11.140625" style="1" bestFit="1" customWidth="1"/>
    <col min="13" max="13" width="12.42578125" style="1" customWidth="1"/>
    <col min="14" max="17" width="11.140625" style="1" bestFit="1" customWidth="1"/>
    <col min="18" max="18" width="21.28515625" style="1" customWidth="1"/>
    <col min="19" max="19" width="13.42578125" style="1" bestFit="1" customWidth="1"/>
    <col min="20" max="16384" width="9.140625" style="1"/>
  </cols>
  <sheetData>
    <row r="1" spans="1:20" ht="15" customHeight="1">
      <c r="A1" s="3" t="e">
        <f>'Tourism Medium DB-LCU'!#REF!</f>
        <v>#REF!</v>
      </c>
      <c r="B1" s="3" t="e">
        <f>'Tourism Medium DB-LCU'!#REF!</f>
        <v>#REF!</v>
      </c>
      <c r="C1" s="3" t="e">
        <f>'Tourism Medium DB-LCU'!#REF!</f>
        <v>#REF!</v>
      </c>
      <c r="D1" s="3"/>
      <c r="E1" s="3" t="s">
        <v>3</v>
      </c>
      <c r="F1" s="3" t="s">
        <v>329</v>
      </c>
      <c r="G1" s="3" t="s">
        <v>163</v>
      </c>
      <c r="H1" s="2">
        <f>'Tourism Medium DB-LCU'!H1</f>
        <v>2008</v>
      </c>
      <c r="I1" s="2">
        <f>'Tourism Medium DB-LCU'!I1</f>
        <v>2009</v>
      </c>
      <c r="J1" s="2">
        <f>'Tourism Medium DB-LCU'!J1</f>
        <v>2010</v>
      </c>
      <c r="K1" s="2">
        <f>'Tourism Medium DB-LCU'!K1</f>
        <v>2011</v>
      </c>
      <c r="L1" s="2">
        <f>'Tourism Medium DB-LCU'!L1</f>
        <v>2012</v>
      </c>
      <c r="M1" s="2">
        <f>'Tourism Medium DB-LCU'!M1</f>
        <v>2013</v>
      </c>
      <c r="N1" s="2">
        <f>'Tourism Medium DB-LCU'!N1</f>
        <v>2014</v>
      </c>
      <c r="O1" s="2">
        <f>'Tourism Medium DB-LCU'!O1</f>
        <v>2015</v>
      </c>
      <c r="P1" s="2">
        <f>'Tourism Medium DB-LCU'!P1</f>
        <v>2016</v>
      </c>
      <c r="Q1" s="2">
        <f>'Tourism Medium DB-LCU'!Q1</f>
        <v>2017</v>
      </c>
      <c r="R1" s="2"/>
      <c r="S1" s="3" t="s">
        <v>536</v>
      </c>
      <c r="T1" s="3" t="s">
        <v>537</v>
      </c>
    </row>
    <row r="2" spans="1:20" ht="11.25">
      <c r="I2" s="18"/>
      <c r="J2" s="18"/>
      <c r="K2" s="18"/>
      <c r="L2" s="18"/>
      <c r="M2" s="18"/>
      <c r="N2" s="18"/>
      <c r="O2" s="18"/>
      <c r="P2" s="18"/>
      <c r="Q2" s="18"/>
    </row>
    <row r="3" spans="1:20" ht="11.25">
      <c r="I3" s="18"/>
      <c r="J3" s="18"/>
      <c r="K3" s="18"/>
      <c r="L3" s="18"/>
      <c r="M3" s="18"/>
      <c r="N3" s="18"/>
      <c r="O3" s="18"/>
      <c r="P3" s="18"/>
      <c r="Q3" s="18"/>
    </row>
    <row r="4" spans="1:20" ht="11.25">
      <c r="A4" s="2" t="str">
        <f>'Tourism Medium DB-LCU'!A6</f>
        <v>Hungary</v>
      </c>
      <c r="B4" s="2" t="str">
        <f>'Tourism Medium DB-LCU'!B132</f>
        <v>Passenger Airlines</v>
      </c>
      <c r="C4" s="2" t="str">
        <f>'Tourism Medium DB-LCU'!C128</f>
        <v>Number of Seats Sold by Passenger Type</v>
      </c>
      <c r="D4" s="2" t="str">
        <f>'Tourism Medium DB-LCU'!C126</f>
        <v>Number of Seats Sold by Passenger Type</v>
      </c>
      <c r="E4" s="2"/>
      <c r="F4" s="2"/>
      <c r="G4" s="2"/>
      <c r="H4" s="39">
        <f>'Tourism Medium DB-LCU'!H126</f>
        <v>28075.972000000002</v>
      </c>
      <c r="I4" s="39">
        <f>'Tourism Medium DB-LCU'!I126</f>
        <v>25455.255000000001</v>
      </c>
      <c r="J4" s="39">
        <f>'Tourism Medium DB-LCU'!J126</f>
        <v>26927.026999999998</v>
      </c>
      <c r="K4" s="39">
        <f>'Tourism Medium DB-LCU'!K126</f>
        <v>30058.674999999999</v>
      </c>
      <c r="L4" s="39">
        <f>'Tourism Medium DB-LCU'!L126</f>
        <v>30706.269</v>
      </c>
      <c r="M4" s="103">
        <f t="shared" ref="M4:Q4" si="0">L4*(1+M5)</f>
        <v>31465.990201422796</v>
      </c>
      <c r="N4" s="103">
        <f t="shared" si="0"/>
        <v>32199.238307235162</v>
      </c>
      <c r="O4" s="103">
        <f t="shared" si="0"/>
        <v>33161.865129326987</v>
      </c>
      <c r="P4" s="103">
        <f t="shared" si="0"/>
        <v>34259.162102382732</v>
      </c>
      <c r="Q4" s="103">
        <f t="shared" si="0"/>
        <v>35424.226186030202</v>
      </c>
    </row>
    <row r="5" spans="1:20" ht="11.25">
      <c r="B5" s="4"/>
      <c r="C5" s="4"/>
      <c r="D5" s="4"/>
      <c r="E5" s="2"/>
      <c r="H5" s="17"/>
      <c r="I5" s="18">
        <f>I4/H4-1</f>
        <v>-9.3343767403671785E-2</v>
      </c>
      <c r="J5" s="18">
        <f>J4/I4-1</f>
        <v>5.7818002608891472E-2</v>
      </c>
      <c r="K5" s="18">
        <f>K4/J4-1</f>
        <v>0.11630129089260399</v>
      </c>
      <c r="L5" s="18">
        <f>L4/K4-1</f>
        <v>2.154432954879093E-2</v>
      </c>
      <c r="M5" s="21">
        <f>((L4/H4)^(1/4)-1)*0.9+0.1*($E$7*M8+$E$9*M10+$E$11*M12+$E$13*M14)</f>
        <v>2.4741566662585979E-2</v>
      </c>
      <c r="N5" s="21">
        <f>((M4/H4)^(1/5)-1)*0.99+0.01*($E$7*N8+$E$9*N10+$E$11*N12+$E$13*N14)</f>
        <v>2.3302877205472961E-2</v>
      </c>
      <c r="O5" s="21">
        <f>((N4/K4)^(1/3)-1)*0.5+0.5*($E$7*O8+$E$9*O10+$E$11*O12+$E$13*O14)</f>
        <v>2.9895950112444801E-2</v>
      </c>
      <c r="P5" s="21">
        <f>((O4/L4)^(1/3)-1)*0.7+0.3*($E$7*P8+$E$9*P10+$E$11*P12+$E$13*P14)</f>
        <v>3.3089121156980275E-2</v>
      </c>
      <c r="Q5" s="21">
        <f>((P4/M4)^(1/3)-1)*0.7+0.3*($E$7*Q8+$E$9*Q10+$E$11*Q12+$E$13*Q14)</f>
        <v>3.400737239765815E-2</v>
      </c>
    </row>
    <row r="6" spans="1:20">
      <c r="A6" s="195"/>
      <c r="B6" s="195"/>
      <c r="C6" s="195"/>
      <c r="D6" s="196" t="s">
        <v>351</v>
      </c>
      <c r="E6" s="197" t="s">
        <v>352</v>
      </c>
      <c r="F6" s="197"/>
      <c r="G6" s="197"/>
      <c r="H6" s="197"/>
      <c r="I6" s="197"/>
      <c r="J6" s="197"/>
      <c r="K6" s="198"/>
      <c r="L6" s="199"/>
      <c r="M6" s="200"/>
      <c r="N6" s="200"/>
      <c r="O6" s="200"/>
      <c r="P6" s="200"/>
      <c r="Q6" s="200"/>
    </row>
    <row r="7" spans="1:20" outlineLevel="1">
      <c r="A7" s="23"/>
      <c r="B7" s="23"/>
      <c r="C7" s="23"/>
      <c r="D7" s="23" t="s">
        <v>538</v>
      </c>
      <c r="E7" s="41">
        <f>R8/R$15</f>
        <v>0.26361840306331602</v>
      </c>
      <c r="F7" s="25"/>
      <c r="G7" s="25"/>
      <c r="H7" s="229">
        <f t="shared" ref="H7:Q7" si="1">H93</f>
        <v>486.61200000000002</v>
      </c>
      <c r="I7" s="229">
        <f t="shared" si="1"/>
        <v>406.41199999999998</v>
      </c>
      <c r="J7" s="229">
        <f t="shared" si="1"/>
        <v>462.46</v>
      </c>
      <c r="K7" s="229">
        <f t="shared" si="1"/>
        <v>538.62400000000002</v>
      </c>
      <c r="L7" s="229">
        <f t="shared" si="1"/>
        <v>526.19200000000001</v>
      </c>
      <c r="M7" s="229">
        <f t="shared" si="1"/>
        <v>576.01099999999997</v>
      </c>
      <c r="N7" s="229">
        <f t="shared" si="1"/>
        <v>602.94500000000005</v>
      </c>
      <c r="O7" s="229">
        <f t="shared" si="1"/>
        <v>632.94399999999996</v>
      </c>
      <c r="P7" s="229">
        <f t="shared" si="1"/>
        <v>663.83399999999995</v>
      </c>
      <c r="Q7" s="229">
        <f t="shared" si="1"/>
        <v>696.45500000000004</v>
      </c>
    </row>
    <row r="8" spans="1:20" ht="12.75" outlineLevel="1">
      <c r="A8" s="28"/>
      <c r="B8" s="28"/>
      <c r="C8" s="28"/>
      <c r="D8" s="28" t="s">
        <v>184</v>
      </c>
      <c r="E8" s="42"/>
      <c r="F8" s="28"/>
      <c r="G8" s="28"/>
      <c r="H8" s="28"/>
      <c r="I8" s="30">
        <f t="shared" ref="I8:Q8" si="2">I7/H7-1</f>
        <v>-0.16481303379283707</v>
      </c>
      <c r="J8" s="30">
        <f t="shared" si="2"/>
        <v>0.13790931370136716</v>
      </c>
      <c r="K8" s="30">
        <f t="shared" si="2"/>
        <v>0.16469316265190503</v>
      </c>
      <c r="L8" s="30">
        <f t="shared" si="2"/>
        <v>-2.3081036121673004E-2</v>
      </c>
      <c r="M8" s="30">
        <f t="shared" si="2"/>
        <v>9.4678368352236308E-2</v>
      </c>
      <c r="N8" s="30">
        <f t="shared" si="2"/>
        <v>4.6759523689651861E-2</v>
      </c>
      <c r="O8" s="30">
        <f t="shared" si="2"/>
        <v>4.9754123510436177E-2</v>
      </c>
      <c r="P8" s="30">
        <f t="shared" si="2"/>
        <v>4.8803685634116079E-2</v>
      </c>
      <c r="Q8" s="30">
        <f t="shared" si="2"/>
        <v>4.9140297122473475E-2</v>
      </c>
      <c r="R8" s="27">
        <f>CORREL(H7:J7,$H$4:$J$4)</f>
        <v>0.98805731231432525</v>
      </c>
    </row>
    <row r="9" spans="1:20" outlineLevel="1">
      <c r="A9" s="25"/>
      <c r="B9" s="25"/>
      <c r="C9" s="25"/>
      <c r="D9" s="25" t="s">
        <v>539</v>
      </c>
      <c r="E9" s="41">
        <f>R10/R$15</f>
        <v>0.2643638994249779</v>
      </c>
      <c r="F9" s="25"/>
      <c r="G9" s="25"/>
      <c r="H9" s="451">
        <f t="shared" ref="H9:Q9" si="3">H85</f>
        <v>243265.6213799479</v>
      </c>
      <c r="I9" s="451">
        <f t="shared" si="3"/>
        <v>209746.7</v>
      </c>
      <c r="J9" s="451">
        <f t="shared" si="3"/>
        <v>229862.9</v>
      </c>
      <c r="K9" s="451">
        <f t="shared" si="3"/>
        <v>267252.2</v>
      </c>
      <c r="L9" s="451">
        <f t="shared" si="3"/>
        <v>265907.5</v>
      </c>
      <c r="M9" s="451">
        <f t="shared" si="3"/>
        <v>272054.09999999998</v>
      </c>
      <c r="N9" s="451">
        <f t="shared" si="3"/>
        <v>275379.65496027685</v>
      </c>
      <c r="O9" s="451">
        <f t="shared" si="3"/>
        <v>279081.0614839106</v>
      </c>
      <c r="P9" s="451">
        <f t="shared" si="3"/>
        <v>282894.02457884245</v>
      </c>
      <c r="Q9" s="451">
        <f t="shared" si="3"/>
        <v>286919.55518451671</v>
      </c>
      <c r="R9" s="27"/>
    </row>
    <row r="10" spans="1:20" ht="12.75" outlineLevel="1">
      <c r="A10" s="28"/>
      <c r="B10" s="28"/>
      <c r="C10" s="28"/>
      <c r="D10" s="28" t="s">
        <v>184</v>
      </c>
      <c r="E10" s="42"/>
      <c r="F10" s="28"/>
      <c r="G10" s="28"/>
      <c r="H10" s="28"/>
      <c r="I10" s="29">
        <f>I9/H9-1</f>
        <v>-0.13778733381975039</v>
      </c>
      <c r="J10" s="29">
        <f t="shared" ref="J10:Q10" si="4">J9/I9-1</f>
        <v>9.5907110815092622E-2</v>
      </c>
      <c r="K10" s="29">
        <f t="shared" si="4"/>
        <v>0.16265913290052469</v>
      </c>
      <c r="L10" s="29">
        <f t="shared" si="4"/>
        <v>-5.0315769149890111E-3</v>
      </c>
      <c r="M10" s="29">
        <f t="shared" si="4"/>
        <v>2.3115557101623496E-2</v>
      </c>
      <c r="N10" s="29">
        <f t="shared" si="4"/>
        <v>1.2223873708489874E-2</v>
      </c>
      <c r="O10" s="29">
        <f t="shared" si="4"/>
        <v>1.3441103788759179E-2</v>
      </c>
      <c r="P10" s="29">
        <f t="shared" si="4"/>
        <v>1.3662564828504697E-2</v>
      </c>
      <c r="Q10" s="29">
        <f t="shared" si="4"/>
        <v>1.4229818433483254E-2</v>
      </c>
      <c r="R10" s="27">
        <f>CORREL(I9:L9,$I$4:$L$4)</f>
        <v>0.99085147661728856</v>
      </c>
    </row>
    <row r="11" spans="1:20" outlineLevel="1">
      <c r="A11" s="25"/>
      <c r="B11" s="25"/>
      <c r="C11" s="25"/>
      <c r="D11" s="25" t="s">
        <v>540</v>
      </c>
      <c r="E11" s="41">
        <f>R12/R$15</f>
        <v>0.21118010992446776</v>
      </c>
      <c r="F11" s="25"/>
      <c r="G11" s="25"/>
      <c r="H11" s="26">
        <f t="shared" ref="H11" si="5">H97</f>
        <v>9428.6643747667695</v>
      </c>
      <c r="I11" s="26">
        <f t="shared" ref="I11:Q11" si="6">I97</f>
        <v>7862.7188208366169</v>
      </c>
      <c r="J11" s="26">
        <f t="shared" si="6"/>
        <v>8392.969907228975</v>
      </c>
      <c r="K11" s="26">
        <f t="shared" si="6"/>
        <v>10326.359360862501</v>
      </c>
      <c r="L11" s="26">
        <f t="shared" si="6"/>
        <v>11124.597914278886</v>
      </c>
      <c r="M11" s="26">
        <f t="shared" si="6"/>
        <v>11195.723598189106</v>
      </c>
      <c r="N11" s="26">
        <f t="shared" si="6"/>
        <v>12296.394726892522</v>
      </c>
      <c r="O11" s="26">
        <f t="shared" si="6"/>
        <v>12822.830583736071</v>
      </c>
      <c r="P11" s="26">
        <f t="shared" si="6"/>
        <v>13824.862431465919</v>
      </c>
      <c r="Q11" s="26">
        <f t="shared" si="6"/>
        <v>14791.51679972429</v>
      </c>
      <c r="R11" s="25"/>
    </row>
    <row r="12" spans="1:20" ht="12.75" outlineLevel="1">
      <c r="A12" s="28"/>
      <c r="B12" s="28"/>
      <c r="C12" s="28"/>
      <c r="D12" s="28" t="s">
        <v>184</v>
      </c>
      <c r="E12" s="42"/>
      <c r="F12" s="28"/>
      <c r="G12" s="28"/>
      <c r="H12" s="29"/>
      <c r="I12" s="29">
        <f t="shared" ref="I12:Q12" si="7">I11/H11-1</f>
        <v>-0.16608349726828497</v>
      </c>
      <c r="J12" s="29">
        <f t="shared" si="7"/>
        <v>6.7438642850506714E-2</v>
      </c>
      <c r="K12" s="29">
        <f t="shared" si="7"/>
        <v>0.23035820156679843</v>
      </c>
      <c r="L12" s="29">
        <f t="shared" si="7"/>
        <v>7.7301062796802711E-2</v>
      </c>
      <c r="M12" s="29">
        <f t="shared" si="7"/>
        <v>6.3935509811934299E-3</v>
      </c>
      <c r="N12" s="29">
        <f t="shared" si="7"/>
        <v>9.8311745466943101E-2</v>
      </c>
      <c r="O12" s="29">
        <f t="shared" si="7"/>
        <v>4.2812211915434162E-2</v>
      </c>
      <c r="P12" s="29">
        <f t="shared" si="7"/>
        <v>7.8144356753865329E-2</v>
      </c>
      <c r="Q12" s="29">
        <f t="shared" si="7"/>
        <v>6.9921445732308296E-2</v>
      </c>
      <c r="R12" s="27">
        <f>CORREL(I12:L12,$I$4:$L$4)</f>
        <v>0.79151549892401762</v>
      </c>
    </row>
    <row r="13" spans="1:20" outlineLevel="1">
      <c r="A13" s="216"/>
      <c r="B13" s="216"/>
      <c r="C13" s="216"/>
      <c r="D13" s="25" t="s">
        <v>211</v>
      </c>
      <c r="E13" s="41">
        <f>R14/R$15</f>
        <v>0.26083758758723841</v>
      </c>
      <c r="F13" s="25"/>
      <c r="G13" s="25"/>
      <c r="H13" s="26">
        <f t="shared" ref="H13" si="8">H99</f>
        <v>16440.323</v>
      </c>
      <c r="I13" s="26">
        <f t="shared" ref="I13:Q13" si="9">I99</f>
        <v>15257.275</v>
      </c>
      <c r="J13" s="26">
        <f t="shared" si="9"/>
        <v>16571.118999999999</v>
      </c>
      <c r="K13" s="26">
        <f t="shared" si="9"/>
        <v>17938.826000000001</v>
      </c>
      <c r="L13" s="26">
        <f t="shared" si="9"/>
        <v>18736.581825041318</v>
      </c>
      <c r="M13" s="26">
        <f t="shared" si="9"/>
        <v>19543.225239847256</v>
      </c>
      <c r="N13" s="26">
        <f t="shared" si="9"/>
        <v>20365.72863012406</v>
      </c>
      <c r="O13" s="26">
        <f t="shared" si="9"/>
        <v>21215.683593195623</v>
      </c>
      <c r="P13" s="26">
        <f t="shared" si="9"/>
        <v>22574.486719227825</v>
      </c>
      <c r="Q13" s="26">
        <f t="shared" si="9"/>
        <v>23853.790415676056</v>
      </c>
    </row>
    <row r="14" spans="1:20" ht="12.75" outlineLevel="1">
      <c r="A14" s="28"/>
      <c r="B14" s="28"/>
      <c r="C14" s="28"/>
      <c r="D14" s="28" t="s">
        <v>184</v>
      </c>
      <c r="E14" s="28"/>
      <c r="F14" s="28"/>
      <c r="G14" s="28"/>
      <c r="H14" s="29"/>
      <c r="I14" s="29">
        <f t="shared" ref="I14:Q14" si="10">I13/H13-1</f>
        <v>-7.1960143362146844E-2</v>
      </c>
      <c r="J14" s="29">
        <f t="shared" si="10"/>
        <v>8.6112624960879236E-2</v>
      </c>
      <c r="K14" s="29">
        <f t="shared" si="10"/>
        <v>8.2535584953556951E-2</v>
      </c>
      <c r="L14" s="29">
        <f t="shared" si="10"/>
        <v>4.447090489875527E-2</v>
      </c>
      <c r="M14" s="29">
        <f t="shared" si="10"/>
        <v>4.305179153477523E-2</v>
      </c>
      <c r="N14" s="29">
        <f t="shared" si="10"/>
        <v>4.2086369070739593E-2</v>
      </c>
      <c r="O14" s="29">
        <f t="shared" si="10"/>
        <v>4.1734571765546846E-2</v>
      </c>
      <c r="P14" s="29">
        <f t="shared" si="10"/>
        <v>6.4047105532248905E-2</v>
      </c>
      <c r="Q14" s="29">
        <f t="shared" si="10"/>
        <v>5.6670333742675272E-2</v>
      </c>
      <c r="R14" s="27">
        <f>CORREL(J13:L13,$J$4:$L$4)</f>
        <v>0.97763465200909838</v>
      </c>
    </row>
    <row r="15" spans="1:20" ht="11.25">
      <c r="B15" s="4"/>
      <c r="C15" s="4"/>
      <c r="D15" s="4"/>
      <c r="E15" s="2"/>
      <c r="H15" s="17"/>
      <c r="I15" s="18"/>
      <c r="J15" s="18"/>
      <c r="K15" s="18"/>
      <c r="L15" s="18"/>
      <c r="M15" s="17"/>
      <c r="N15" s="17"/>
      <c r="O15" s="17"/>
      <c r="P15" s="17"/>
      <c r="Q15" s="17"/>
      <c r="R15" s="1">
        <f>R12+R10+R8+R14</f>
        <v>3.7480589398647295</v>
      </c>
    </row>
    <row r="16" spans="1:20" ht="11.25">
      <c r="A16" s="2" t="str">
        <f>'Tourism Medium DB-LCU'!A7</f>
        <v>Hungary</v>
      </c>
      <c r="B16" s="2" t="str">
        <f>'Tourism Medium DB-LCU'!B124</f>
        <v>Passenger Airlines</v>
      </c>
      <c r="C16" s="2" t="str">
        <f>'Tourism Medium DB-LCU'!C126</f>
        <v>Number of Seats Sold by Passenger Type</v>
      </c>
      <c r="D16" s="2" t="str">
        <f>'Tourism Medium DB-LCU'!D127</f>
        <v>Business</v>
      </c>
      <c r="E16" s="2"/>
      <c r="F16" s="2" t="str">
        <f>'Tourism Medium DB-LCU'!F8</f>
        <v>Thousand</v>
      </c>
      <c r="G16" s="2"/>
      <c r="H16" s="39">
        <f>'Tourism Medium DB-LCU'!H127</f>
        <v>11718.739480682489</v>
      </c>
      <c r="I16" s="39">
        <f>'Tourism Medium DB-LCU'!I127</f>
        <v>11157.024703091427</v>
      </c>
      <c r="J16" s="39">
        <f>'Tourism Medium DB-LCU'!J127</f>
        <v>11472.478863782853</v>
      </c>
      <c r="K16" s="39">
        <f>'Tourism Medium DB-LCU'!K127</f>
        <v>12143.704699999998</v>
      </c>
      <c r="L16" s="39">
        <f>'Tourism Medium DB-LCU'!L127</f>
        <v>12282.507600000001</v>
      </c>
      <c r="M16" s="103">
        <f t="shared" ref="M16:Q16" si="11">M$4*M20</f>
        <v>12466.491337218598</v>
      </c>
      <c r="N16" s="103">
        <f t="shared" si="11"/>
        <v>12661.562635995988</v>
      </c>
      <c r="O16" s="103">
        <f t="shared" si="11"/>
        <v>12858.913762916978</v>
      </c>
      <c r="P16" s="103">
        <f t="shared" si="11"/>
        <v>13162.413389532105</v>
      </c>
      <c r="Q16" s="103">
        <f t="shared" si="11"/>
        <v>13487.249147787586</v>
      </c>
    </row>
    <row r="17" spans="1:22" ht="11.25">
      <c r="I17" s="18">
        <f t="shared" ref="I17:Q17" si="12">I16/H16-1</f>
        <v>-4.7933037381452936E-2</v>
      </c>
      <c r="J17" s="18">
        <f t="shared" si="12"/>
        <v>2.8274039816728047E-2</v>
      </c>
      <c r="K17" s="18">
        <f t="shared" si="12"/>
        <v>5.8507480744734108E-2</v>
      </c>
      <c r="L17" s="18">
        <f t="shared" si="12"/>
        <v>1.1430029256228824E-2</v>
      </c>
      <c r="M17" s="18">
        <f t="shared" si="12"/>
        <v>1.4979330215810105E-2</v>
      </c>
      <c r="N17" s="18">
        <f t="shared" si="12"/>
        <v>1.564765044956995E-2</v>
      </c>
      <c r="O17" s="18">
        <f t="shared" si="12"/>
        <v>1.5586632755733909E-2</v>
      </c>
      <c r="P17" s="18">
        <f t="shared" si="12"/>
        <v>2.3602275605142609E-2</v>
      </c>
      <c r="Q17" s="18">
        <f t="shared" si="12"/>
        <v>2.4679042409792462E-2</v>
      </c>
      <c r="S17" s="1" t="s">
        <v>988</v>
      </c>
    </row>
    <row r="18" spans="1:22" ht="11.25">
      <c r="A18" s="2" t="str">
        <f>'Tourism Medium DB-LCU'!A8</f>
        <v>Hungary</v>
      </c>
      <c r="B18" s="2" t="str">
        <f>'Tourism Medium DB-LCU'!B126</f>
        <v>Passenger Airlines</v>
      </c>
      <c r="C18" s="2" t="str">
        <f>'Tourism Medium DB-LCU'!C128</f>
        <v>Number of Seats Sold by Passenger Type</v>
      </c>
      <c r="D18" s="2" t="str">
        <f>'Tourism Medium DB-LCU'!D128</f>
        <v>Leisure</v>
      </c>
      <c r="E18" s="2"/>
      <c r="F18" s="2" t="str">
        <f>'Tourism Medium DB-LCU'!F9</f>
        <v>Thousand</v>
      </c>
      <c r="G18" s="2"/>
      <c r="H18" s="39">
        <f>'Tourism Medium DB-LCU'!H128</f>
        <v>16357.232519317511</v>
      </c>
      <c r="I18" s="39">
        <f>'Tourism Medium DB-LCU'!I128</f>
        <v>14298.230296908572</v>
      </c>
      <c r="J18" s="39">
        <f>'Tourism Medium DB-LCU'!J128</f>
        <v>15454.548136217147</v>
      </c>
      <c r="K18" s="39">
        <f>'Tourism Medium DB-LCU'!K128</f>
        <v>17914.970300000001</v>
      </c>
      <c r="L18" s="39">
        <f>'Tourism Medium DB-LCU'!L128</f>
        <v>18423.761399999999</v>
      </c>
      <c r="M18" s="103">
        <f t="shared" ref="M18:Q18" si="13">M$4*M22</f>
        <v>18999.498864204197</v>
      </c>
      <c r="N18" s="103">
        <f t="shared" si="13"/>
        <v>19537.675671239173</v>
      </c>
      <c r="O18" s="103">
        <f t="shared" si="13"/>
        <v>20302.951366410009</v>
      </c>
      <c r="P18" s="103">
        <f t="shared" si="13"/>
        <v>21096.748712850625</v>
      </c>
      <c r="Q18" s="103">
        <f t="shared" si="13"/>
        <v>21936.977038242614</v>
      </c>
    </row>
    <row r="19" spans="1:22" ht="11.25">
      <c r="B19" s="4"/>
      <c r="C19" s="4"/>
      <c r="D19" s="2"/>
      <c r="H19" s="17"/>
      <c r="I19" s="18">
        <f t="shared" ref="I19:Q19" si="14">I18/H18-1</f>
        <v>-0.12587717512588426</v>
      </c>
      <c r="J19" s="18">
        <f t="shared" si="14"/>
        <v>8.0871395641080257E-2</v>
      </c>
      <c r="K19" s="18">
        <f t="shared" si="14"/>
        <v>0.15920375944327669</v>
      </c>
      <c r="L19" s="18">
        <f t="shared" si="14"/>
        <v>2.8400331760527697E-2</v>
      </c>
      <c r="M19" s="18">
        <f t="shared" si="14"/>
        <v>3.124972429376971E-2</v>
      </c>
      <c r="N19" s="18">
        <f t="shared" si="14"/>
        <v>2.8325842217287178E-2</v>
      </c>
      <c r="O19" s="18">
        <f t="shared" si="14"/>
        <v>3.9169229136983619E-2</v>
      </c>
      <c r="P19" s="18">
        <f t="shared" si="14"/>
        <v>3.9097633251188535E-2</v>
      </c>
      <c r="Q19" s="18">
        <f t="shared" si="14"/>
        <v>3.9827384628237983E-2</v>
      </c>
    </row>
    <row r="20" spans="1:22" ht="11.25">
      <c r="A20" s="34"/>
      <c r="B20" s="221"/>
      <c r="C20" s="221"/>
      <c r="D20" s="175"/>
      <c r="E20" s="34"/>
      <c r="F20" s="34" t="s">
        <v>19</v>
      </c>
      <c r="G20" s="34"/>
      <c r="H20" s="48">
        <f>H16/H$4</f>
        <v>0.4173939011152486</v>
      </c>
      <c r="I20" s="48">
        <f>I16/I$4</f>
        <v>0.4382994671666588</v>
      </c>
      <c r="J20" s="48">
        <f>J16/J$4</f>
        <v>0.42605813347989935</v>
      </c>
      <c r="K20" s="48">
        <f>K16/K$4</f>
        <v>0.40399999999999997</v>
      </c>
      <c r="L20" s="48">
        <f>L16/L$4</f>
        <v>0.4</v>
      </c>
      <c r="M20" s="176">
        <f>L20*(1+(((L20/H20)^(1/4))-1)*0.9)</f>
        <v>0.39618938598204045</v>
      </c>
      <c r="N20" s="176">
        <f>M20*(1+(((M20/I20)^(1/4))-1)*0.3)</f>
        <v>0.39322553270308064</v>
      </c>
      <c r="O20" s="176">
        <f>N20*(1+(((N20/J20)^(1/4))-1)*0.7)</f>
        <v>0.38776207890505787</v>
      </c>
      <c r="P20" s="176">
        <f>O20*(1+(((O20/K20)^(1/4))-1)*0.9)</f>
        <v>0.38420126418143358</v>
      </c>
      <c r="Q20" s="176">
        <f>P20*(1+(((P20/L20)^(1/4))-1)*0.9)</f>
        <v>0.38073518040900439</v>
      </c>
    </row>
    <row r="21" spans="1:22" ht="11.25">
      <c r="A21" s="34"/>
      <c r="B21" s="221"/>
      <c r="C21" s="221"/>
      <c r="D21" s="175"/>
      <c r="E21" s="34"/>
      <c r="F21" s="34"/>
      <c r="G21" s="34"/>
      <c r="H21" s="48"/>
      <c r="I21" s="48"/>
      <c r="J21" s="48"/>
      <c r="K21" s="48"/>
      <c r="L21" s="48"/>
      <c r="M21" s="452"/>
      <c r="N21" s="452"/>
      <c r="O21" s="452"/>
      <c r="P21" s="452"/>
      <c r="Q21" s="452"/>
    </row>
    <row r="22" spans="1:22" ht="11.25">
      <c r="A22" s="34"/>
      <c r="B22" s="221"/>
      <c r="C22" s="221"/>
      <c r="D22" s="175"/>
      <c r="E22" s="34"/>
      <c r="F22" s="34" t="s">
        <v>20</v>
      </c>
      <c r="G22" s="34"/>
      <c r="H22" s="48">
        <f>H18/H$4</f>
        <v>0.58260609888475134</v>
      </c>
      <c r="I22" s="48">
        <f>I18/I$4</f>
        <v>0.5617005328333412</v>
      </c>
      <c r="J22" s="48">
        <f>J18/J$4</f>
        <v>0.57394186652010071</v>
      </c>
      <c r="K22" s="48">
        <f>K18/K$4</f>
        <v>0.59600000000000009</v>
      </c>
      <c r="L22" s="48">
        <f>L18/L$4</f>
        <v>0.6</v>
      </c>
      <c r="M22" s="49">
        <f t="shared" ref="M22:Q22" si="15">1-M20</f>
        <v>0.60381061401795955</v>
      </c>
      <c r="N22" s="49">
        <f t="shared" si="15"/>
        <v>0.60677446729691931</v>
      </c>
      <c r="O22" s="49">
        <f t="shared" si="15"/>
        <v>0.61223792109494213</v>
      </c>
      <c r="P22" s="49">
        <f t="shared" si="15"/>
        <v>0.61579873581856637</v>
      </c>
      <c r="Q22" s="49">
        <f t="shared" si="15"/>
        <v>0.61926481959099555</v>
      </c>
    </row>
    <row r="23" spans="1:22" ht="11.25">
      <c r="B23" s="4"/>
      <c r="C23" s="4"/>
      <c r="D23" s="2"/>
      <c r="H23" s="17"/>
      <c r="I23" s="18"/>
      <c r="J23" s="18"/>
      <c r="K23" s="18"/>
      <c r="L23" s="18"/>
      <c r="M23" s="17"/>
      <c r="N23" s="17"/>
      <c r="O23" s="17"/>
      <c r="P23" s="17"/>
      <c r="Q23" s="17"/>
    </row>
    <row r="24" spans="1:22" ht="11.25">
      <c r="H24" s="32"/>
      <c r="I24" s="18"/>
      <c r="J24" s="18"/>
      <c r="K24" s="18"/>
      <c r="L24" s="18"/>
      <c r="M24" s="18"/>
      <c r="N24" s="18"/>
      <c r="O24" s="18"/>
      <c r="P24" s="18"/>
      <c r="Q24" s="18"/>
    </row>
    <row r="25" spans="1:22" ht="11.25">
      <c r="A25" s="2" t="str">
        <f>'Tourism Medium DB-LCU'!A16</f>
        <v>Hungary</v>
      </c>
      <c r="B25" s="2" t="str">
        <f>'Tourism Medium DB-LCU'!B124</f>
        <v>Passenger Airlines</v>
      </c>
      <c r="C25" s="2" t="str">
        <f>'Tourism Medium DB-LCU'!C129</f>
        <v>Load Factor</v>
      </c>
      <c r="D25" s="2"/>
      <c r="E25" s="2"/>
      <c r="F25" s="2"/>
      <c r="G25" s="2"/>
      <c r="H25" s="32">
        <f>'Tourism Medium DB-LCU'!H129</f>
        <v>0.68</v>
      </c>
      <c r="I25" s="32">
        <f>'Tourism Medium DB-LCU'!I129</f>
        <v>0.69899999999999995</v>
      </c>
      <c r="J25" s="32">
        <f>'Tourism Medium DB-LCU'!J129</f>
        <v>0.72688308115543321</v>
      </c>
      <c r="K25" s="32">
        <f>'Tourism Medium DB-LCU'!K129</f>
        <v>0.72015268225584583</v>
      </c>
      <c r="L25" s="32">
        <f>'Tourism Medium DB-LCU'!L129</f>
        <v>0.73745942228335615</v>
      </c>
      <c r="M25" s="453">
        <f>M45/M28</f>
        <v>0.74428069116924633</v>
      </c>
      <c r="N25" s="453">
        <f>N45/N28</f>
        <v>0.74671528215540672</v>
      </c>
      <c r="O25" s="453">
        <f>O45/O28</f>
        <v>0.75248968084224721</v>
      </c>
      <c r="P25" s="453">
        <f>P45/P28</f>
        <v>0.75393107654205971</v>
      </c>
      <c r="Q25" s="453">
        <f>Q45/Q28</f>
        <v>0.75867066745643674</v>
      </c>
    </row>
    <row r="26" spans="1:22" ht="11.25">
      <c r="B26" s="4"/>
      <c r="C26" s="2"/>
      <c r="H26" s="32"/>
      <c r="I26" s="18">
        <f t="shared" ref="I26:Q26" si="16">I25/H25-1</f>
        <v>2.7941176470588136E-2</v>
      </c>
      <c r="J26" s="18">
        <f t="shared" si="16"/>
        <v>3.9889958734525388E-2</v>
      </c>
      <c r="K26" s="18">
        <f t="shared" si="16"/>
        <v>-9.2592592592593004E-3</v>
      </c>
      <c r="L26" s="18">
        <f t="shared" si="16"/>
        <v>2.4032042723631575E-2</v>
      </c>
      <c r="M26" s="18">
        <f t="shared" si="16"/>
        <v>9.2496870739950943E-3</v>
      </c>
      <c r="N26" s="18">
        <f t="shared" si="16"/>
        <v>3.2710656275869443E-3</v>
      </c>
      <c r="O26" s="18">
        <f t="shared" si="16"/>
        <v>7.7330661697088132E-3</v>
      </c>
      <c r="P26" s="18">
        <f t="shared" si="16"/>
        <v>1.9155022806414124E-3</v>
      </c>
      <c r="Q26" s="18">
        <f t="shared" si="16"/>
        <v>6.286504246668434E-3</v>
      </c>
      <c r="R26" s="37"/>
      <c r="S26" s="37"/>
      <c r="T26" s="37"/>
      <c r="U26" s="37"/>
      <c r="V26" s="37"/>
    </row>
    <row r="27" spans="1:22" ht="11.25">
      <c r="I27" s="18"/>
      <c r="J27" s="18"/>
      <c r="K27" s="18"/>
      <c r="L27" s="18"/>
      <c r="M27" s="18"/>
      <c r="N27" s="18"/>
      <c r="O27" s="18"/>
      <c r="P27" s="18"/>
      <c r="Q27" s="18"/>
    </row>
    <row r="28" spans="1:22" ht="11.25">
      <c r="A28" s="2" t="str">
        <f>'Tourism Medium DB-LCU'!A20</f>
        <v>Hungary</v>
      </c>
      <c r="B28" s="2" t="str">
        <f>'Tourism Medium DB-LCU'!B132</f>
        <v>Passenger Airlines</v>
      </c>
      <c r="C28" s="2" t="str">
        <f>'Tourism Medium DB-LCU'!C130</f>
        <v>Number of Passenger Kilometers Available</v>
      </c>
      <c r="D28" s="2"/>
      <c r="E28" s="2"/>
      <c r="F28" s="2"/>
      <c r="G28" s="2"/>
      <c r="H28" s="62">
        <f>'Tourism Medium DB-LCU'!H130</f>
        <v>19738.148339510579</v>
      </c>
      <c r="I28" s="62">
        <f>'Tourism Medium DB-LCU'!I130</f>
        <v>17534.370635676933</v>
      </c>
      <c r="J28" s="62">
        <f>'Tourism Medium DB-LCU'!J130</f>
        <v>17954.671057734526</v>
      </c>
      <c r="K28" s="62">
        <f>'Tourism Medium DB-LCU'!K130</f>
        <v>20270.766726977166</v>
      </c>
      <c r="L28" s="62">
        <f>'Tourism Medium DB-LCU'!L130</f>
        <v>20376.636833590394</v>
      </c>
      <c r="M28" s="103">
        <f t="shared" ref="M28:Q28" si="17">L28*(1+M29)</f>
        <v>20830.418096038215</v>
      </c>
      <c r="N28" s="103">
        <f t="shared" si="17"/>
        <v>21416.412633005475</v>
      </c>
      <c r="O28" s="103">
        <f t="shared" si="17"/>
        <v>22015.651420789713</v>
      </c>
      <c r="P28" s="103">
        <f t="shared" si="17"/>
        <v>22798.825866108211</v>
      </c>
      <c r="Q28" s="103">
        <f t="shared" si="17"/>
        <v>23676.87256684625</v>
      </c>
      <c r="R28" s="37"/>
      <c r="S28" s="37"/>
      <c r="T28" s="37"/>
      <c r="U28" s="37"/>
      <c r="V28" s="37"/>
    </row>
    <row r="29" spans="1:22" ht="11.25">
      <c r="B29" s="4"/>
      <c r="C29" s="4"/>
      <c r="D29" s="2"/>
      <c r="H29" s="17"/>
      <c r="I29" s="18">
        <f>I28/H28-1</f>
        <v>-0.11165068100244557</v>
      </c>
      <c r="J29" s="18">
        <f>J28/I28-1</f>
        <v>2.3970088849520232E-2</v>
      </c>
      <c r="K29" s="18">
        <f>K28/J28-1</f>
        <v>0.12899683106390913</v>
      </c>
      <c r="L29" s="18">
        <f>L28/K28-1</f>
        <v>5.2227973435425845E-3</v>
      </c>
      <c r="M29" s="21">
        <f>((L28/H28)^(1/4)-1)*0.001+0.999*($E$31*M32+$E$33*M34+$E$35*M36+$E$37*M38)</f>
        <v>2.2269683959807024E-2</v>
      </c>
      <c r="N29" s="21">
        <f>((M28/K28)^(1/2)-1)*0.6+0.4*($E$31*N32+$E$33*N34+$E$35*N36+$E$37*N38)</f>
        <v>2.8131674278718113E-2</v>
      </c>
      <c r="O29" s="21">
        <f>((N28/L28)^(1/2)-1)*0.6+0.4*($E$31*O32+$E$33*O34+$E$35*O36+$E$37*O38)</f>
        <v>2.7980353108285366E-2</v>
      </c>
      <c r="P29" s="21">
        <f>((O28/M28)^(1/2)-1)*0.6+0.4*($E$31*P32+$E$33*P34+$E$35*P36+$E$37*P38)</f>
        <v>3.5573530410230404E-2</v>
      </c>
      <c r="Q29" s="21">
        <f>((P28/N28)^(1/2)-1)*0.4+0.6*($E$31*Q32+$E$33*Q34+$E$35*Q36+$E$37*Q38)</f>
        <v>3.8512803505521886E-2</v>
      </c>
    </row>
    <row r="30" spans="1:22">
      <c r="A30" s="195"/>
      <c r="B30" s="195"/>
      <c r="C30" s="195"/>
      <c r="D30" s="196" t="s">
        <v>351</v>
      </c>
      <c r="E30" s="197" t="s">
        <v>352</v>
      </c>
      <c r="F30" s="197"/>
      <c r="G30" s="197"/>
      <c r="H30" s="197"/>
      <c r="I30" s="197"/>
      <c r="J30" s="197"/>
      <c r="K30" s="198"/>
      <c r="L30" s="199"/>
      <c r="M30" s="200"/>
      <c r="N30" s="200"/>
      <c r="O30" s="200"/>
      <c r="P30" s="200"/>
      <c r="Q30" s="200"/>
    </row>
    <row r="31" spans="1:22">
      <c r="A31" s="23"/>
      <c r="B31" s="23"/>
      <c r="C31" s="23"/>
      <c r="D31" s="23" t="s">
        <v>541</v>
      </c>
      <c r="E31" s="41">
        <f>R32/R$40</f>
        <v>0.19587942717526344</v>
      </c>
      <c r="F31" s="25"/>
      <c r="G31" s="25"/>
      <c r="H31" s="26">
        <f t="shared" ref="H31:Q31" si="18">H95</f>
        <v>35.468000000000004</v>
      </c>
      <c r="I31" s="26">
        <f t="shared" si="18"/>
        <v>36.972000000000001</v>
      </c>
      <c r="J31" s="26">
        <f t="shared" si="18"/>
        <v>38.023000000000003</v>
      </c>
      <c r="K31" s="26">
        <f t="shared" si="18"/>
        <v>39.736000000000004</v>
      </c>
      <c r="L31" s="26">
        <f t="shared" si="18"/>
        <v>42.502000000000002</v>
      </c>
      <c r="M31" s="26">
        <f t="shared" si="18"/>
        <v>43.161000000000001</v>
      </c>
      <c r="N31" s="26">
        <f t="shared" si="18"/>
        <v>45.125999999999998</v>
      </c>
      <c r="O31" s="26">
        <f t="shared" si="18"/>
        <v>46.523000000000003</v>
      </c>
      <c r="P31" s="26">
        <f t="shared" si="18"/>
        <v>47.795000000000002</v>
      </c>
      <c r="Q31" s="26">
        <f t="shared" si="18"/>
        <v>49.136000000000003</v>
      </c>
    </row>
    <row r="32" spans="1:22" ht="12.75">
      <c r="A32" s="28"/>
      <c r="B32" s="28"/>
      <c r="C32" s="28"/>
      <c r="D32" s="28" t="s">
        <v>184</v>
      </c>
      <c r="E32" s="28"/>
      <c r="F32" s="28"/>
      <c r="G32" s="28"/>
      <c r="H32" s="28"/>
      <c r="I32" s="30">
        <f t="shared" ref="I32:Q32" si="19">I31/H31-1</f>
        <v>4.2404420886432703E-2</v>
      </c>
      <c r="J32" s="30">
        <f t="shared" si="19"/>
        <v>2.8426917667424112E-2</v>
      </c>
      <c r="K32" s="30">
        <f t="shared" si="19"/>
        <v>4.505167924677167E-2</v>
      </c>
      <c r="L32" s="30">
        <f t="shared" si="19"/>
        <v>6.9609422186430292E-2</v>
      </c>
      <c r="M32" s="30">
        <f t="shared" si="19"/>
        <v>1.5505152698696456E-2</v>
      </c>
      <c r="N32" s="30">
        <f t="shared" si="19"/>
        <v>4.5527212066448719E-2</v>
      </c>
      <c r="O32" s="30">
        <f t="shared" si="19"/>
        <v>3.0957762708859748E-2</v>
      </c>
      <c r="P32" s="30">
        <f t="shared" si="19"/>
        <v>2.7341315048470705E-2</v>
      </c>
      <c r="Q32" s="30">
        <f t="shared" si="19"/>
        <v>2.8057328172403029E-2</v>
      </c>
      <c r="R32" s="27">
        <f>CORREL(I32:L32,$I$28:$L$28)</f>
        <v>0.71254495718872102</v>
      </c>
    </row>
    <row r="33" spans="1:22">
      <c r="A33" s="25"/>
      <c r="B33" s="25"/>
      <c r="C33" s="25"/>
      <c r="D33" s="25" t="s">
        <v>539</v>
      </c>
      <c r="E33" s="41">
        <f>R34/R$40</f>
        <v>0.2742204182863523</v>
      </c>
      <c r="F33" s="25"/>
      <c r="G33" s="25"/>
      <c r="H33" s="26">
        <f>H85</f>
        <v>243265.6213799479</v>
      </c>
      <c r="I33" s="26">
        <f t="shared" ref="I33:Q33" si="20">I85</f>
        <v>209746.7</v>
      </c>
      <c r="J33" s="26">
        <f t="shared" si="20"/>
        <v>229862.9</v>
      </c>
      <c r="K33" s="26">
        <f t="shared" si="20"/>
        <v>267252.2</v>
      </c>
      <c r="L33" s="26">
        <f t="shared" si="20"/>
        <v>265907.5</v>
      </c>
      <c r="M33" s="26">
        <f t="shared" si="20"/>
        <v>272054.09999999998</v>
      </c>
      <c r="N33" s="26">
        <f t="shared" si="20"/>
        <v>275379.65496027685</v>
      </c>
      <c r="O33" s="26">
        <f t="shared" si="20"/>
        <v>279081.0614839106</v>
      </c>
      <c r="P33" s="26">
        <f t="shared" si="20"/>
        <v>282894.02457884245</v>
      </c>
      <c r="Q33" s="26">
        <f t="shared" si="20"/>
        <v>286919.55518451671</v>
      </c>
    </row>
    <row r="34" spans="1:22" ht="12.75">
      <c r="A34" s="28"/>
      <c r="B34" s="28"/>
      <c r="C34" s="28"/>
      <c r="D34" s="28" t="s">
        <v>184</v>
      </c>
      <c r="E34" s="42"/>
      <c r="F34" s="28"/>
      <c r="G34" s="28"/>
      <c r="H34" s="28"/>
      <c r="I34" s="29">
        <f t="shared" ref="I34:Q34" si="21">I33/H33-1</f>
        <v>-0.13778733381975039</v>
      </c>
      <c r="J34" s="29">
        <f t="shared" si="21"/>
        <v>9.5907110815092622E-2</v>
      </c>
      <c r="K34" s="29">
        <f t="shared" si="21"/>
        <v>0.16265913290052469</v>
      </c>
      <c r="L34" s="29">
        <f t="shared" si="21"/>
        <v>-5.0315769149890111E-3</v>
      </c>
      <c r="M34" s="29">
        <f t="shared" si="21"/>
        <v>2.3115557101623496E-2</v>
      </c>
      <c r="N34" s="29">
        <f t="shared" si="21"/>
        <v>1.2223873708489874E-2</v>
      </c>
      <c r="O34" s="29">
        <f t="shared" si="21"/>
        <v>1.3441103788759179E-2</v>
      </c>
      <c r="P34" s="29">
        <f t="shared" si="21"/>
        <v>1.3662564828504697E-2</v>
      </c>
      <c r="Q34" s="29">
        <f t="shared" si="21"/>
        <v>1.4229818433483254E-2</v>
      </c>
      <c r="R34" s="27">
        <f>CORREL(J33:L33,$J$28:$L$28)</f>
        <v>0.99752372684494639</v>
      </c>
    </row>
    <row r="35" spans="1:22">
      <c r="A35" s="25"/>
      <c r="B35" s="25"/>
      <c r="C35" s="25"/>
      <c r="D35" s="25" t="s">
        <v>540</v>
      </c>
      <c r="E35" s="41">
        <f>R36/R$40</f>
        <v>0.27020041782208909</v>
      </c>
      <c r="F35" s="25"/>
      <c r="G35" s="25"/>
      <c r="H35" s="26">
        <f>H$97</f>
        <v>9428.6643747667695</v>
      </c>
      <c r="I35" s="26">
        <f t="shared" ref="I35:Q35" si="22">I97</f>
        <v>7862.7188208366169</v>
      </c>
      <c r="J35" s="26">
        <f t="shared" si="22"/>
        <v>8392.969907228975</v>
      </c>
      <c r="K35" s="26">
        <f t="shared" si="22"/>
        <v>10326.359360862501</v>
      </c>
      <c r="L35" s="26">
        <f t="shared" si="22"/>
        <v>11124.597914278886</v>
      </c>
      <c r="M35" s="26">
        <f t="shared" si="22"/>
        <v>11195.723598189106</v>
      </c>
      <c r="N35" s="26">
        <f t="shared" si="22"/>
        <v>12296.394726892522</v>
      </c>
      <c r="O35" s="26">
        <f t="shared" si="22"/>
        <v>12822.830583736071</v>
      </c>
      <c r="P35" s="26">
        <f t="shared" si="22"/>
        <v>13824.862431465919</v>
      </c>
      <c r="Q35" s="26">
        <f t="shared" si="22"/>
        <v>14791.51679972429</v>
      </c>
      <c r="R35" s="27"/>
    </row>
    <row r="36" spans="1:22" ht="12.75">
      <c r="A36" s="28"/>
      <c r="B36" s="28"/>
      <c r="C36" s="28"/>
      <c r="D36" s="28" t="s">
        <v>184</v>
      </c>
      <c r="E36" s="42"/>
      <c r="F36" s="28"/>
      <c r="G36" s="28"/>
      <c r="H36" s="29"/>
      <c r="I36" s="29">
        <f t="shared" ref="I36:Q36" si="23">I35/H35-1</f>
        <v>-0.16608349726828497</v>
      </c>
      <c r="J36" s="29">
        <f t="shared" si="23"/>
        <v>6.7438642850506714E-2</v>
      </c>
      <c r="K36" s="29">
        <f t="shared" si="23"/>
        <v>0.23035820156679843</v>
      </c>
      <c r="L36" s="29">
        <f t="shared" si="23"/>
        <v>7.7301062796802711E-2</v>
      </c>
      <c r="M36" s="29">
        <f t="shared" si="23"/>
        <v>6.3935509811934299E-3</v>
      </c>
      <c r="N36" s="29">
        <f t="shared" si="23"/>
        <v>9.8311745466943101E-2</v>
      </c>
      <c r="O36" s="29">
        <f t="shared" si="23"/>
        <v>4.2812211915434162E-2</v>
      </c>
      <c r="P36" s="29">
        <f t="shared" si="23"/>
        <v>7.8144356753865329E-2</v>
      </c>
      <c r="Q36" s="29">
        <f t="shared" si="23"/>
        <v>6.9921445732308296E-2</v>
      </c>
      <c r="R36" s="27">
        <f>CORREL(I35:L35,$I$28:$L$28)</f>
        <v>0.9829002868032104</v>
      </c>
    </row>
    <row r="37" spans="1:22">
      <c r="A37" s="216"/>
      <c r="B37" s="216"/>
      <c r="C37" s="216"/>
      <c r="D37" s="25" t="s">
        <v>211</v>
      </c>
      <c r="E37" s="41">
        <f>R38/R$40</f>
        <v>0.25969973671629509</v>
      </c>
      <c r="F37" s="25"/>
      <c r="G37" s="25"/>
      <c r="H37" s="26">
        <f>H$99</f>
        <v>16440.323</v>
      </c>
      <c r="I37" s="26">
        <f t="shared" ref="I37:Q37" si="24">I99</f>
        <v>15257.275</v>
      </c>
      <c r="J37" s="26">
        <f t="shared" si="24"/>
        <v>16571.118999999999</v>
      </c>
      <c r="K37" s="26">
        <f t="shared" si="24"/>
        <v>17938.826000000001</v>
      </c>
      <c r="L37" s="26">
        <f t="shared" si="24"/>
        <v>18736.581825041318</v>
      </c>
      <c r="M37" s="26">
        <f t="shared" si="24"/>
        <v>19543.225239847256</v>
      </c>
      <c r="N37" s="26">
        <f t="shared" si="24"/>
        <v>20365.72863012406</v>
      </c>
      <c r="O37" s="26">
        <f t="shared" si="24"/>
        <v>21215.683593195623</v>
      </c>
      <c r="P37" s="26">
        <f t="shared" si="24"/>
        <v>22574.486719227825</v>
      </c>
      <c r="Q37" s="26">
        <f t="shared" si="24"/>
        <v>23853.790415676056</v>
      </c>
      <c r="R37" s="25"/>
    </row>
    <row r="38" spans="1:22" ht="12.75">
      <c r="A38" s="28"/>
      <c r="B38" s="28"/>
      <c r="C38" s="28"/>
      <c r="D38" s="28" t="s">
        <v>184</v>
      </c>
      <c r="E38" s="28"/>
      <c r="F38" s="28"/>
      <c r="G38" s="28"/>
      <c r="H38" s="29"/>
      <c r="I38" s="29">
        <f t="shared" ref="I38:Q38" si="25">I37/H37-1</f>
        <v>-7.1960143362146844E-2</v>
      </c>
      <c r="J38" s="29">
        <f t="shared" si="25"/>
        <v>8.6112624960879236E-2</v>
      </c>
      <c r="K38" s="29">
        <f t="shared" si="25"/>
        <v>8.2535584953556951E-2</v>
      </c>
      <c r="L38" s="29">
        <f t="shared" si="25"/>
        <v>4.447090489875527E-2</v>
      </c>
      <c r="M38" s="29">
        <f t="shared" si="25"/>
        <v>4.305179153477523E-2</v>
      </c>
      <c r="N38" s="29">
        <f t="shared" si="25"/>
        <v>4.2086369070739593E-2</v>
      </c>
      <c r="O38" s="29">
        <f t="shared" si="25"/>
        <v>4.1734571765546846E-2</v>
      </c>
      <c r="P38" s="29">
        <f t="shared" si="25"/>
        <v>6.4047105532248905E-2</v>
      </c>
      <c r="Q38" s="29">
        <f t="shared" si="25"/>
        <v>5.6670333742675272E-2</v>
      </c>
      <c r="R38" s="27">
        <f>CORREL(J37:L37,$J$28:$L$28)</f>
        <v>0.94470226122758083</v>
      </c>
    </row>
    <row r="39" spans="1:22">
      <c r="B39" s="4"/>
      <c r="C39" s="4"/>
      <c r="D39" s="25" t="s">
        <v>542</v>
      </c>
      <c r="E39" s="25" t="e">
        <f>R40/#REF!</f>
        <v>#REF!</v>
      </c>
      <c r="H39" s="17"/>
      <c r="I39" s="18"/>
      <c r="J39" s="18"/>
      <c r="K39" s="18"/>
      <c r="L39" s="18"/>
      <c r="M39" s="17"/>
      <c r="N39" s="17"/>
      <c r="O39" s="17"/>
      <c r="P39" s="17"/>
      <c r="Q39" s="17"/>
    </row>
    <row r="40" spans="1:22" ht="12.75">
      <c r="A40" s="28"/>
      <c r="B40" s="28"/>
      <c r="C40" s="28"/>
      <c r="D40" s="28" t="s">
        <v>184</v>
      </c>
      <c r="E40" s="28"/>
      <c r="F40" s="28"/>
      <c r="G40" s="28"/>
      <c r="H40" s="29"/>
      <c r="I40" s="29" t="e">
        <f t="shared" ref="I40:Q40" si="26">I39/H39-1</f>
        <v>#DIV/0!</v>
      </c>
      <c r="J40" s="29" t="e">
        <f t="shared" si="26"/>
        <v>#DIV/0!</v>
      </c>
      <c r="K40" s="29" t="e">
        <f t="shared" si="26"/>
        <v>#DIV/0!</v>
      </c>
      <c r="L40" s="29" t="e">
        <f t="shared" si="26"/>
        <v>#DIV/0!</v>
      </c>
      <c r="M40" s="29" t="e">
        <f t="shared" si="26"/>
        <v>#DIV/0!</v>
      </c>
      <c r="N40" s="29" t="e">
        <f t="shared" si="26"/>
        <v>#DIV/0!</v>
      </c>
      <c r="O40" s="29" t="e">
        <f t="shared" si="26"/>
        <v>#DIV/0!</v>
      </c>
      <c r="P40" s="29" t="e">
        <f t="shared" si="26"/>
        <v>#DIV/0!</v>
      </c>
      <c r="Q40" s="29" t="e">
        <f t="shared" si="26"/>
        <v>#DIV/0!</v>
      </c>
      <c r="R40" s="1">
        <f>R38+R36+R34+R32</f>
        <v>3.6376712320644589</v>
      </c>
    </row>
    <row r="41" spans="1:22" ht="11.25">
      <c r="B41" s="4"/>
      <c r="C41" s="4"/>
      <c r="D41" s="2"/>
      <c r="E41" s="43">
        <f>SUM(E31:E37)</f>
        <v>0.99999999999999989</v>
      </c>
      <c r="H41" s="17"/>
      <c r="I41" s="18"/>
      <c r="J41" s="18"/>
      <c r="K41" s="18"/>
      <c r="L41" s="18"/>
      <c r="M41" s="17"/>
      <c r="N41" s="17"/>
      <c r="O41" s="17"/>
      <c r="P41" s="17"/>
      <c r="Q41" s="17"/>
    </row>
    <row r="42" spans="1:22" ht="11.25">
      <c r="B42" s="4"/>
      <c r="C42" s="4"/>
      <c r="D42" s="2"/>
      <c r="H42" s="17"/>
      <c r="I42" s="18"/>
      <c r="J42" s="18"/>
      <c r="K42" s="18"/>
      <c r="L42" s="18"/>
      <c r="M42" s="17"/>
      <c r="N42" s="17"/>
      <c r="O42" s="17"/>
      <c r="P42" s="17"/>
      <c r="Q42" s="17"/>
    </row>
    <row r="43" spans="1:22" ht="11.25">
      <c r="B43" s="4"/>
      <c r="C43" s="4"/>
      <c r="D43" s="2"/>
      <c r="H43" s="17"/>
      <c r="I43" s="18"/>
      <c r="J43" s="18"/>
      <c r="K43" s="18"/>
      <c r="L43" s="18"/>
      <c r="M43" s="17"/>
      <c r="N43" s="17"/>
      <c r="O43" s="17"/>
      <c r="P43" s="17"/>
      <c r="Q43" s="17"/>
    </row>
    <row r="44" spans="1:22" ht="11.25">
      <c r="I44" s="18"/>
      <c r="J44" s="18"/>
      <c r="K44" s="18"/>
      <c r="L44" s="18"/>
      <c r="M44" s="18"/>
      <c r="N44" s="18"/>
      <c r="O44" s="18"/>
      <c r="P44" s="18"/>
      <c r="Q44" s="18"/>
    </row>
    <row r="45" spans="1:22" ht="11.25">
      <c r="A45" s="2" t="str">
        <f>'Tourism Medium DB-LCU'!A24</f>
        <v>Hungary</v>
      </c>
      <c r="B45" s="2" t="str">
        <f>'Tourism Medium DB-LCU'!B126</f>
        <v>Passenger Airlines</v>
      </c>
      <c r="C45" s="2" t="str">
        <f>'Tourism Medium DB-LCU'!C131</f>
        <v>Number of Revenue-Generating Passenger Kilometers</v>
      </c>
      <c r="D45" s="2"/>
      <c r="E45" s="2"/>
      <c r="F45" s="2"/>
      <c r="G45" s="2"/>
      <c r="H45" s="71">
        <f>'Tourism Medium DB-LCU'!H131</f>
        <v>13421.940870867194</v>
      </c>
      <c r="I45" s="71">
        <f>'Tourism Medium DB-LCU'!I131</f>
        <v>12256.525074338175</v>
      </c>
      <c r="J45" s="71">
        <f>'Tourism Medium DB-LCU'!J131</f>
        <v>13050.946619578353</v>
      </c>
      <c r="K45" s="71">
        <f>'Tourism Medium DB-LCU'!K131</f>
        <v>14598.047029815159</v>
      </c>
      <c r="L45" s="71">
        <f>'Tourism Medium DB-LCU'!L131</f>
        <v>15026.942827377328</v>
      </c>
      <c r="M45" s="103">
        <f t="shared" ref="M45:Q45" si="27">L45*(1+M46)</f>
        <v>15503.677977863699</v>
      </c>
      <c r="N45" s="103">
        <f t="shared" si="27"/>
        <v>15991.962602011299</v>
      </c>
      <c r="O45" s="103">
        <f t="shared" si="27"/>
        <v>16566.550511164216</v>
      </c>
      <c r="P45" s="103">
        <f t="shared" si="27"/>
        <v>17188.74332912992</v>
      </c>
      <c r="Q45" s="103">
        <f t="shared" si="27"/>
        <v>17962.94871357024</v>
      </c>
    </row>
    <row r="46" spans="1:22" ht="11.25">
      <c r="B46" s="4"/>
      <c r="C46" s="2"/>
      <c r="H46" s="17"/>
      <c r="I46" s="18">
        <f>I45/H45-1</f>
        <v>-8.6829155912808154E-2</v>
      </c>
      <c r="J46" s="18">
        <f>J45/I45-1</f>
        <v>6.4816213439115922E-2</v>
      </c>
      <c r="K46" s="18">
        <f>K45/J45-1</f>
        <v>0.11854315670220639</v>
      </c>
      <c r="L46" s="18">
        <f>L45/K45-1</f>
        <v>2.9380354556070909E-2</v>
      </c>
      <c r="M46" s="21">
        <f>((L45/H45)^(1/4)-1)*0.1+0.9*($E$48*M49+$E$50*M51+$E$52*M53+$E$54*M55)</f>
        <v>3.1725358641667048E-2</v>
      </c>
      <c r="N46" s="21">
        <f>((M45/H45)^(1/5)-1)*0.9+0.1*($E$48*N49+$E$50*N51+$E$52*N53+$E$54*N55)</f>
        <v>3.1494760459084489E-2</v>
      </c>
      <c r="O46" s="21">
        <f>((N45/J45)^(1/4)-1)*0.1+0.9*($E$48*O49+$E$50*O51+$E$52*O53+$E$54*O55)</f>
        <v>3.5929793200032499E-2</v>
      </c>
      <c r="P46" s="21">
        <f>((O45/K45)^(1/4)-1)*0.7+0.3*($E$48*P49+$E$50*P51+$E$52*P53+$E$54*P55)</f>
        <v>3.7557173869503205E-2</v>
      </c>
      <c r="Q46" s="21">
        <f>((P45/L45)^(1/4)-1)*0.1+0.9*($E$48*Q49+$E$50*Q51+$E$52*Q53+$E$54*Q55)</f>
        <v>4.5041418654979057E-2</v>
      </c>
      <c r="R46" s="37"/>
      <c r="S46" s="37"/>
      <c r="T46" s="37"/>
      <c r="U46" s="37"/>
      <c r="V46" s="37"/>
    </row>
    <row r="47" spans="1:22">
      <c r="A47" s="195"/>
      <c r="B47" s="195"/>
      <c r="C47" s="195"/>
      <c r="D47" s="196" t="s">
        <v>351</v>
      </c>
      <c r="E47" s="197" t="s">
        <v>352</v>
      </c>
      <c r="F47" s="197"/>
      <c r="G47" s="197"/>
      <c r="H47" s="197"/>
      <c r="I47" s="197"/>
      <c r="J47" s="197"/>
      <c r="K47" s="198"/>
      <c r="L47" s="199"/>
      <c r="M47" s="200"/>
      <c r="N47" s="200"/>
      <c r="O47" s="200"/>
      <c r="P47" s="200"/>
      <c r="Q47" s="200"/>
    </row>
    <row r="48" spans="1:22">
      <c r="A48" s="23"/>
      <c r="B48" s="23"/>
      <c r="C48" s="23"/>
      <c r="D48" s="23" t="s">
        <v>538</v>
      </c>
      <c r="E48" s="334">
        <f>R49/R$57</f>
        <v>0.14538131607604532</v>
      </c>
      <c r="F48" s="25"/>
      <c r="G48" s="25"/>
      <c r="H48" s="26">
        <f t="shared" ref="H48:Q48" si="28">H$93</f>
        <v>486.61200000000002</v>
      </c>
      <c r="I48" s="26">
        <f t="shared" si="28"/>
        <v>406.41199999999998</v>
      </c>
      <c r="J48" s="26">
        <f t="shared" si="28"/>
        <v>462.46</v>
      </c>
      <c r="K48" s="26">
        <f t="shared" si="28"/>
        <v>538.62400000000002</v>
      </c>
      <c r="L48" s="26">
        <f t="shared" si="28"/>
        <v>526.19200000000001</v>
      </c>
      <c r="M48" s="26">
        <f t="shared" si="28"/>
        <v>576.01099999999997</v>
      </c>
      <c r="N48" s="26">
        <f t="shared" si="28"/>
        <v>602.94500000000005</v>
      </c>
      <c r="O48" s="26">
        <f t="shared" si="28"/>
        <v>632.94399999999996</v>
      </c>
      <c r="P48" s="26">
        <f t="shared" si="28"/>
        <v>663.83399999999995</v>
      </c>
      <c r="Q48" s="26">
        <f t="shared" si="28"/>
        <v>696.45500000000004</v>
      </c>
    </row>
    <row r="49" spans="1:18" ht="12.75">
      <c r="A49" s="28"/>
      <c r="B49" s="28"/>
      <c r="C49" s="28"/>
      <c r="D49" s="28" t="s">
        <v>184</v>
      </c>
      <c r="E49" s="335"/>
      <c r="F49" s="28"/>
      <c r="G49" s="28"/>
      <c r="H49" s="28"/>
      <c r="I49" s="30">
        <f t="shared" ref="I49:Q49" si="29">I48/H48-1</f>
        <v>-0.16481303379283707</v>
      </c>
      <c r="J49" s="30">
        <f t="shared" si="29"/>
        <v>0.13790931370136716</v>
      </c>
      <c r="K49" s="30">
        <f t="shared" si="29"/>
        <v>0.16469316265190503</v>
      </c>
      <c r="L49" s="30">
        <f t="shared" si="29"/>
        <v>-2.3081036121673004E-2</v>
      </c>
      <c r="M49" s="30">
        <f t="shared" si="29"/>
        <v>9.4678368352236308E-2</v>
      </c>
      <c r="N49" s="30">
        <f t="shared" si="29"/>
        <v>4.6759523689651861E-2</v>
      </c>
      <c r="O49" s="30">
        <f t="shared" si="29"/>
        <v>4.9754123510436177E-2</v>
      </c>
      <c r="P49" s="30">
        <f t="shared" si="29"/>
        <v>4.8803685634116079E-2</v>
      </c>
      <c r="Q49" s="30">
        <f t="shared" si="29"/>
        <v>4.9140297122473475E-2</v>
      </c>
      <c r="R49" s="27">
        <f>CORREL(I49:L49,$I$45:$L$45)</f>
        <v>0.43795515735785717</v>
      </c>
    </row>
    <row r="50" spans="1:18">
      <c r="A50" s="25"/>
      <c r="B50" s="25"/>
      <c r="C50" s="25"/>
      <c r="D50" s="25" t="s">
        <v>539</v>
      </c>
      <c r="E50" s="334">
        <f>R51/R$57</f>
        <v>0.3224782218902415</v>
      </c>
      <c r="F50" s="25"/>
      <c r="G50" s="25"/>
      <c r="H50" s="26">
        <f>H33</f>
        <v>243265.6213799479</v>
      </c>
      <c r="I50" s="26">
        <f t="shared" ref="I50:Q50" si="30">I33</f>
        <v>209746.7</v>
      </c>
      <c r="J50" s="26">
        <f t="shared" si="30"/>
        <v>229862.9</v>
      </c>
      <c r="K50" s="26">
        <f t="shared" si="30"/>
        <v>267252.2</v>
      </c>
      <c r="L50" s="26">
        <f t="shared" si="30"/>
        <v>265907.5</v>
      </c>
      <c r="M50" s="26">
        <f t="shared" si="30"/>
        <v>272054.09999999998</v>
      </c>
      <c r="N50" s="26">
        <f t="shared" si="30"/>
        <v>275379.65496027685</v>
      </c>
      <c r="O50" s="26">
        <f t="shared" si="30"/>
        <v>279081.0614839106</v>
      </c>
      <c r="P50" s="26">
        <f t="shared" si="30"/>
        <v>282894.02457884245</v>
      </c>
      <c r="Q50" s="26">
        <f t="shared" si="30"/>
        <v>286919.55518451671</v>
      </c>
      <c r="R50" s="27"/>
    </row>
    <row r="51" spans="1:18" ht="12.75">
      <c r="A51" s="28"/>
      <c r="B51" s="28"/>
      <c r="C51" s="28"/>
      <c r="D51" s="28" t="s">
        <v>184</v>
      </c>
      <c r="E51" s="335"/>
      <c r="F51" s="28"/>
      <c r="G51" s="28"/>
      <c r="H51" s="28"/>
      <c r="I51" s="29">
        <f t="shared" ref="I51:Q51" si="31">I50/H50-1</f>
        <v>-0.13778733381975039</v>
      </c>
      <c r="J51" s="29">
        <f t="shared" si="31"/>
        <v>9.5907110815092622E-2</v>
      </c>
      <c r="K51" s="29">
        <f t="shared" si="31"/>
        <v>0.16265913290052469</v>
      </c>
      <c r="L51" s="29">
        <f t="shared" si="31"/>
        <v>-5.0315769149890111E-3</v>
      </c>
      <c r="M51" s="29">
        <f t="shared" si="31"/>
        <v>2.3115557101623496E-2</v>
      </c>
      <c r="N51" s="29">
        <f t="shared" si="31"/>
        <v>1.2223873708489874E-2</v>
      </c>
      <c r="O51" s="29">
        <f t="shared" si="31"/>
        <v>1.3441103788759179E-2</v>
      </c>
      <c r="P51" s="29">
        <f t="shared" si="31"/>
        <v>1.3662564828504697E-2</v>
      </c>
      <c r="Q51" s="29">
        <f t="shared" si="31"/>
        <v>1.4229818433483254E-2</v>
      </c>
      <c r="R51" s="27">
        <f>CORREL(J50:L50,$J$45:$L$45)</f>
        <v>0.97145220736995064</v>
      </c>
    </row>
    <row r="52" spans="1:18">
      <c r="A52" s="25"/>
      <c r="B52" s="25"/>
      <c r="C52" s="25"/>
      <c r="D52" s="25" t="s">
        <v>540</v>
      </c>
      <c r="E52" s="334">
        <f>R53/R$57</f>
        <v>0.32899189407333818</v>
      </c>
      <c r="F52" s="25"/>
      <c r="G52" s="25"/>
      <c r="H52" s="26">
        <f t="shared" ref="H52:Q52" si="32">H$97</f>
        <v>9428.6643747667695</v>
      </c>
      <c r="I52" s="26">
        <f t="shared" si="32"/>
        <v>7862.7188208366169</v>
      </c>
      <c r="J52" s="26">
        <f t="shared" si="32"/>
        <v>8392.969907228975</v>
      </c>
      <c r="K52" s="26">
        <f t="shared" si="32"/>
        <v>10326.359360862501</v>
      </c>
      <c r="L52" s="26">
        <f t="shared" si="32"/>
        <v>11124.597914278886</v>
      </c>
      <c r="M52" s="26">
        <f t="shared" si="32"/>
        <v>11195.723598189106</v>
      </c>
      <c r="N52" s="26">
        <f t="shared" si="32"/>
        <v>12296.394726892522</v>
      </c>
      <c r="O52" s="26">
        <f t="shared" si="32"/>
        <v>12822.830583736071</v>
      </c>
      <c r="P52" s="26">
        <f t="shared" si="32"/>
        <v>13824.862431465919</v>
      </c>
      <c r="Q52" s="26">
        <f t="shared" si="32"/>
        <v>14791.51679972429</v>
      </c>
      <c r="R52" s="25"/>
    </row>
    <row r="53" spans="1:18" ht="12.75">
      <c r="A53" s="28"/>
      <c r="B53" s="28"/>
      <c r="C53" s="28"/>
      <c r="D53" s="28" t="s">
        <v>184</v>
      </c>
      <c r="E53" s="335"/>
      <c r="F53" s="28"/>
      <c r="G53" s="28"/>
      <c r="H53" s="29"/>
      <c r="I53" s="29">
        <f t="shared" ref="I53:Q53" si="33">I52/H52-1</f>
        <v>-0.16608349726828497</v>
      </c>
      <c r="J53" s="29">
        <f t="shared" si="33"/>
        <v>6.7438642850506714E-2</v>
      </c>
      <c r="K53" s="29">
        <f t="shared" si="33"/>
        <v>0.23035820156679843</v>
      </c>
      <c r="L53" s="29">
        <f t="shared" si="33"/>
        <v>7.7301062796802711E-2</v>
      </c>
      <c r="M53" s="29">
        <f t="shared" si="33"/>
        <v>6.3935509811934299E-3</v>
      </c>
      <c r="N53" s="29">
        <f t="shared" si="33"/>
        <v>9.8311745466943101E-2</v>
      </c>
      <c r="O53" s="29">
        <f t="shared" si="33"/>
        <v>4.2812211915434162E-2</v>
      </c>
      <c r="P53" s="29">
        <f t="shared" si="33"/>
        <v>7.8144356753865329E-2</v>
      </c>
      <c r="Q53" s="29">
        <f t="shared" si="33"/>
        <v>6.9921445732308296E-2</v>
      </c>
      <c r="R53" s="27">
        <f>CORREL(I52:L52,$I$45:$L$45)</f>
        <v>0.99107437342898819</v>
      </c>
    </row>
    <row r="54" spans="1:18">
      <c r="A54" s="216"/>
      <c r="B54" s="216"/>
      <c r="C54" s="216"/>
      <c r="D54" s="25" t="s">
        <v>211</v>
      </c>
      <c r="E54" s="334">
        <f>R55/R$57</f>
        <v>0.203148567960375</v>
      </c>
      <c r="F54" s="25"/>
      <c r="G54" s="25"/>
      <c r="H54" s="26">
        <f t="shared" ref="H54:Q54" si="34">H$99</f>
        <v>16440.323</v>
      </c>
      <c r="I54" s="26">
        <f t="shared" si="34"/>
        <v>15257.275</v>
      </c>
      <c r="J54" s="26">
        <f t="shared" si="34"/>
        <v>16571.118999999999</v>
      </c>
      <c r="K54" s="26">
        <f t="shared" si="34"/>
        <v>17938.826000000001</v>
      </c>
      <c r="L54" s="26">
        <f t="shared" si="34"/>
        <v>18736.581825041318</v>
      </c>
      <c r="M54" s="26">
        <f t="shared" si="34"/>
        <v>19543.225239847256</v>
      </c>
      <c r="N54" s="26">
        <f t="shared" si="34"/>
        <v>20365.72863012406</v>
      </c>
      <c r="O54" s="26">
        <f t="shared" si="34"/>
        <v>21215.683593195623</v>
      </c>
      <c r="P54" s="26">
        <f t="shared" si="34"/>
        <v>22574.486719227825</v>
      </c>
      <c r="Q54" s="26">
        <f t="shared" si="34"/>
        <v>23853.790415676056</v>
      </c>
    </row>
    <row r="55" spans="1:18" ht="12.75">
      <c r="A55" s="28"/>
      <c r="B55" s="28"/>
      <c r="C55" s="28"/>
      <c r="D55" s="28" t="s">
        <v>184</v>
      </c>
      <c r="E55" s="28"/>
      <c r="F55" s="28"/>
      <c r="G55" s="28"/>
      <c r="H55" s="29"/>
      <c r="I55" s="29">
        <f t="shared" ref="I55:Q55" si="35">I54/H54-1</f>
        <v>-7.1960143362146844E-2</v>
      </c>
      <c r="J55" s="29">
        <f t="shared" si="35"/>
        <v>8.6112624960879236E-2</v>
      </c>
      <c r="K55" s="29">
        <f t="shared" si="35"/>
        <v>8.2535584953556951E-2</v>
      </c>
      <c r="L55" s="29">
        <f t="shared" si="35"/>
        <v>4.447090489875527E-2</v>
      </c>
      <c r="M55" s="29">
        <f t="shared" si="35"/>
        <v>4.305179153477523E-2</v>
      </c>
      <c r="N55" s="29">
        <f>N54/M54-1</f>
        <v>4.2086369070739593E-2</v>
      </c>
      <c r="O55" s="29">
        <f t="shared" si="35"/>
        <v>4.1734571765546846E-2</v>
      </c>
      <c r="P55" s="29">
        <f t="shared" si="35"/>
        <v>6.4047105532248905E-2</v>
      </c>
      <c r="Q55" s="29">
        <f t="shared" si="35"/>
        <v>5.6670333742675272E-2</v>
      </c>
      <c r="R55" s="27">
        <f>CORREL(I55:L55,$I$45:$L$45)</f>
        <v>0.61197659678339567</v>
      </c>
    </row>
    <row r="56" spans="1:18">
      <c r="B56" s="4"/>
      <c r="C56" s="4"/>
      <c r="D56" s="25" t="s">
        <v>543</v>
      </c>
      <c r="E56" s="25"/>
      <c r="H56" s="17"/>
      <c r="I56" s="18"/>
      <c r="J56" s="18"/>
      <c r="K56" s="18"/>
      <c r="L56" s="18"/>
      <c r="M56" s="17"/>
      <c r="N56" s="17"/>
      <c r="O56" s="17"/>
      <c r="P56" s="17"/>
      <c r="Q56" s="17"/>
    </row>
    <row r="57" spans="1:18" ht="12.75">
      <c r="A57" s="28"/>
      <c r="B57" s="28"/>
      <c r="C57" s="28"/>
      <c r="D57" s="28" t="s">
        <v>184</v>
      </c>
      <c r="E57" s="28"/>
      <c r="F57" s="28"/>
      <c r="G57" s="28"/>
      <c r="H57" s="29"/>
      <c r="I57" s="29" t="e">
        <f t="shared" ref="I57:Q57" si="36">I56/H56-1</f>
        <v>#DIV/0!</v>
      </c>
      <c r="J57" s="29" t="e">
        <f t="shared" si="36"/>
        <v>#DIV/0!</v>
      </c>
      <c r="K57" s="29" t="e">
        <f t="shared" si="36"/>
        <v>#DIV/0!</v>
      </c>
      <c r="L57" s="29" t="e">
        <f t="shared" si="36"/>
        <v>#DIV/0!</v>
      </c>
      <c r="M57" s="29" t="e">
        <f t="shared" si="36"/>
        <v>#DIV/0!</v>
      </c>
      <c r="N57" s="29" t="e">
        <f t="shared" si="36"/>
        <v>#DIV/0!</v>
      </c>
      <c r="O57" s="29" t="e">
        <f t="shared" si="36"/>
        <v>#DIV/0!</v>
      </c>
      <c r="P57" s="29" t="e">
        <f t="shared" si="36"/>
        <v>#DIV/0!</v>
      </c>
      <c r="Q57" s="29" t="e">
        <f t="shared" si="36"/>
        <v>#DIV/0!</v>
      </c>
      <c r="R57" s="1">
        <f>SUM(R49:R55)</f>
        <v>3.0124583349401917</v>
      </c>
    </row>
    <row r="58" spans="1:18" ht="11.25">
      <c r="B58" s="4"/>
      <c r="C58" s="2"/>
      <c r="H58" s="17"/>
      <c r="I58" s="18"/>
      <c r="J58" s="18"/>
      <c r="K58" s="18"/>
      <c r="L58" s="18"/>
      <c r="M58" s="17"/>
      <c r="N58" s="17"/>
      <c r="O58" s="17"/>
      <c r="P58" s="17"/>
      <c r="Q58" s="17"/>
    </row>
    <row r="59" spans="1:18" ht="11.25">
      <c r="B59" s="4"/>
      <c r="C59" s="2"/>
      <c r="H59" s="17"/>
      <c r="I59" s="18"/>
      <c r="J59" s="18"/>
      <c r="K59" s="18"/>
      <c r="L59" s="18"/>
      <c r="M59" s="17"/>
      <c r="N59" s="17"/>
      <c r="O59" s="17"/>
      <c r="P59" s="17"/>
      <c r="Q59" s="17"/>
    </row>
    <row r="60" spans="1:18" ht="11.25">
      <c r="B60" s="4"/>
      <c r="C60" s="2"/>
      <c r="H60" s="17"/>
      <c r="I60" s="18"/>
      <c r="J60" s="18"/>
      <c r="K60" s="18"/>
      <c r="L60" s="18"/>
      <c r="M60" s="17"/>
      <c r="N60" s="17"/>
      <c r="O60" s="17"/>
      <c r="P60" s="17"/>
      <c r="Q60" s="17"/>
    </row>
    <row r="61" spans="1:18" ht="11.25">
      <c r="B61" s="4"/>
      <c r="C61" s="2"/>
      <c r="H61" s="17"/>
      <c r="I61" s="18"/>
      <c r="J61" s="18"/>
      <c r="K61" s="18"/>
      <c r="L61" s="18"/>
      <c r="M61" s="17"/>
      <c r="N61" s="17"/>
      <c r="O61" s="17"/>
      <c r="P61" s="17"/>
      <c r="Q61" s="17"/>
    </row>
    <row r="62" spans="1:18" ht="11.25">
      <c r="I62" s="18"/>
      <c r="J62" s="18"/>
      <c r="K62" s="18"/>
      <c r="L62" s="18"/>
      <c r="M62" s="18"/>
      <c r="N62" s="18"/>
      <c r="O62" s="18"/>
      <c r="P62" s="18"/>
      <c r="Q62" s="18"/>
    </row>
    <row r="63" spans="1:18" ht="11.25">
      <c r="A63" s="2" t="str">
        <f>'Tourism Medium DB-LCU'!A28</f>
        <v>Hungary</v>
      </c>
      <c r="B63" s="2" t="str">
        <f>'Tourism Medium DB-LCU'!B124</f>
        <v>Passenger Airlines</v>
      </c>
      <c r="C63" s="2" t="str">
        <f>'Tourism Medium DB-LCU'!C132</f>
        <v>Revenue per Passenger</v>
      </c>
      <c r="D63" s="2"/>
      <c r="E63" s="2"/>
      <c r="F63" s="2"/>
      <c r="G63" s="2"/>
      <c r="H63" s="39">
        <f>'Tourism Medium DB-LCU'!H132</f>
        <v>1087.6339838796573</v>
      </c>
      <c r="I63" s="39">
        <f>'Tourism Medium DB-LCU'!I132</f>
        <v>1018.6929610097217</v>
      </c>
      <c r="J63" s="39">
        <f>'Tourism Medium DB-LCU'!J132</f>
        <v>903.96279454953958</v>
      </c>
      <c r="K63" s="39">
        <f>'Tourism Medium DB-LCU'!K132</f>
        <v>844.08076454890204</v>
      </c>
      <c r="L63" s="39">
        <f>'Tourism Medium DB-LCU'!L132</f>
        <v>854.36528548579372</v>
      </c>
      <c r="M63" s="40">
        <f t="shared" ref="M63:Q63" si="37">L63*(1+M64)</f>
        <v>858.01858414436583</v>
      </c>
      <c r="N63" s="40">
        <f t="shared" si="37"/>
        <v>859.92874203542124</v>
      </c>
      <c r="O63" s="40">
        <f t="shared" si="37"/>
        <v>862.44859951198691</v>
      </c>
      <c r="P63" s="40">
        <f t="shared" si="37"/>
        <v>867.09245676322632</v>
      </c>
      <c r="Q63" s="40">
        <f t="shared" si="37"/>
        <v>873.16100354231492</v>
      </c>
    </row>
    <row r="64" spans="1:18" ht="11.25">
      <c r="B64" s="4"/>
      <c r="C64" s="2"/>
      <c r="H64" s="17"/>
      <c r="I64" s="18">
        <f>I63/H63-1</f>
        <v>-6.3386234608097447E-2</v>
      </c>
      <c r="J64" s="18">
        <f>J63/I63-1</f>
        <v>-0.11262487408027466</v>
      </c>
      <c r="K64" s="18">
        <f>K63/J63-1</f>
        <v>-6.6243909994634032E-2</v>
      </c>
      <c r="L64" s="18">
        <f>L63/K63-1</f>
        <v>1.2184285401158235E-2</v>
      </c>
      <c r="M64" s="21">
        <f>(((L63/K63)^(1/1)-1)*0.7+0.3*($E$65*M66+$E$67*M70+$E$69*M68))</f>
        <v>4.2760382714927365E-3</v>
      </c>
      <c r="N64" s="21">
        <f>(((M63/J63)^(1/3)-1)*0.25+0.75*($E$65*N66+$E$67*N70+$E$69*N68))</f>
        <v>2.2262430282442673E-3</v>
      </c>
      <c r="O64" s="21">
        <f>(((N63/L63)^(1/2)-1)*0.92+0.08*($E$65*O66+$E$67*O70+$E$69*O68))</f>
        <v>2.9303096330996346E-3</v>
      </c>
      <c r="P64" s="21">
        <f>(((O63/K63)^(1/4)-1)*0.999+0.001*($E$65*P66+$E$67*P70+$E$69*P68))</f>
        <v>5.3845032085009809E-3</v>
      </c>
      <c r="Q64" s="21">
        <f>(((P63/K63)^(1/5)-1)*0.999+0.001*($E$65*Q66+$E$67*Q70+$E$69*Q68))*1.3</f>
        <v>6.9987309101291533E-3</v>
      </c>
    </row>
    <row r="65" spans="1:20">
      <c r="A65" s="23"/>
      <c r="B65" s="23"/>
      <c r="C65" s="23"/>
      <c r="D65" s="23" t="s">
        <v>545</v>
      </c>
      <c r="E65" s="24">
        <f>R66/$R$74</f>
        <v>0.52018925270086247</v>
      </c>
      <c r="F65" s="25"/>
      <c r="G65" s="25"/>
      <c r="H65" s="26">
        <f t="shared" ref="H65:Q65" si="38">H$103</f>
        <v>9246.9262295081971</v>
      </c>
      <c r="I65" s="26">
        <f t="shared" si="38"/>
        <v>9863.4877908094604</v>
      </c>
      <c r="J65" s="26">
        <f t="shared" si="38"/>
        <v>9380.3786574870919</v>
      </c>
      <c r="K65" s="26">
        <f t="shared" si="38"/>
        <v>8806.9280136085981</v>
      </c>
      <c r="L65" s="26">
        <f t="shared" si="38"/>
        <v>8635.3734452355184</v>
      </c>
      <c r="M65" s="26">
        <f t="shared" si="38"/>
        <v>8226.5255930667518</v>
      </c>
      <c r="N65" s="26">
        <f t="shared" si="38"/>
        <v>8155.4410224657222</v>
      </c>
      <c r="O65" s="26">
        <f t="shared" si="38"/>
        <v>7972.161373253316</v>
      </c>
      <c r="P65" s="26">
        <f t="shared" si="38"/>
        <v>7644.7484553919439</v>
      </c>
      <c r="Q65" s="26">
        <f t="shared" si="38"/>
        <v>7396.741685022299</v>
      </c>
    </row>
    <row r="66" spans="1:20" ht="12.75">
      <c r="A66" s="28"/>
      <c r="B66" s="28"/>
      <c r="C66" s="28"/>
      <c r="D66" s="28" t="s">
        <v>184</v>
      </c>
      <c r="E66" s="29"/>
      <c r="F66" s="28"/>
      <c r="G66" s="28"/>
      <c r="H66" s="28"/>
      <c r="I66" s="30">
        <f t="shared" ref="I66:Q66" si="39">I65/H65-1</f>
        <v>6.6677460812192058E-2</v>
      </c>
      <c r="J66" s="30">
        <f t="shared" si="39"/>
        <v>-4.8979543906620626E-2</v>
      </c>
      <c r="K66" s="30">
        <f t="shared" si="39"/>
        <v>-6.1132995246496291E-2</v>
      </c>
      <c r="L66" s="30">
        <f t="shared" si="39"/>
        <v>-1.9479501604644733E-2</v>
      </c>
      <c r="M66" s="30">
        <f t="shared" si="39"/>
        <v>-4.7345705980364361E-2</v>
      </c>
      <c r="N66" s="30">
        <f t="shared" si="39"/>
        <v>-8.6408982500387754E-3</v>
      </c>
      <c r="O66" s="30">
        <f t="shared" si="39"/>
        <v>-2.2473297116308855E-2</v>
      </c>
      <c r="P66" s="30">
        <f t="shared" si="39"/>
        <v>-4.1069529645981095E-2</v>
      </c>
      <c r="Q66" s="30">
        <f t="shared" si="39"/>
        <v>-3.2441455963763244E-2</v>
      </c>
      <c r="R66" s="27">
        <f>CORREL(I65:L65,$I$63:$L$63)</f>
        <v>0.94992640471679557</v>
      </c>
    </row>
    <row r="67" spans="1:20">
      <c r="A67" s="25"/>
      <c r="B67" s="25"/>
      <c r="C67" s="25"/>
      <c r="D67" s="25" t="s">
        <v>546</v>
      </c>
      <c r="E67" s="24">
        <f>R68/$R$74</f>
        <v>0.24662262229361478</v>
      </c>
      <c r="F67" s="25"/>
      <c r="G67" s="25"/>
      <c r="H67" s="26">
        <f t="shared" ref="H67:Q67" si="40">H$105</f>
        <v>5081.9286245884641</v>
      </c>
      <c r="I67" s="26">
        <f t="shared" si="40"/>
        <v>4946.9906441962612</v>
      </c>
      <c r="J67" s="26">
        <f t="shared" si="40"/>
        <v>5004.3232651043127</v>
      </c>
      <c r="K67" s="26">
        <f t="shared" si="40"/>
        <v>5122.6311102303598</v>
      </c>
      <c r="L67" s="26">
        <f t="shared" si="40"/>
        <v>5088.7660497534735</v>
      </c>
      <c r="M67" s="26">
        <f t="shared" si="40"/>
        <v>5085.1575408215867</v>
      </c>
      <c r="N67" s="26">
        <f t="shared" si="40"/>
        <v>5146.8608749525256</v>
      </c>
      <c r="O67" s="26">
        <f t="shared" si="40"/>
        <v>5161.0850190334004</v>
      </c>
      <c r="P67" s="26">
        <f t="shared" si="40"/>
        <v>5141.5519133630442</v>
      </c>
      <c r="Q67" s="26">
        <f t="shared" si="40"/>
        <v>5096.386180261532</v>
      </c>
      <c r="R67" s="27"/>
    </row>
    <row r="68" spans="1:20" ht="12.75">
      <c r="A68" s="28"/>
      <c r="B68" s="28"/>
      <c r="C68" s="28"/>
      <c r="D68" s="28" t="s">
        <v>184</v>
      </c>
      <c r="E68" s="29"/>
      <c r="F68" s="28"/>
      <c r="G68" s="28"/>
      <c r="H68" s="28"/>
      <c r="I68" s="29">
        <f t="shared" ref="I68:Q68" si="41">I67/H67-1</f>
        <v>-2.6552513889966378E-2</v>
      </c>
      <c r="J68" s="29">
        <f t="shared" si="41"/>
        <v>1.1589393437667628E-2</v>
      </c>
      <c r="K68" s="29">
        <f t="shared" si="41"/>
        <v>2.3641127652767935E-2</v>
      </c>
      <c r="L68" s="29">
        <f t="shared" si="41"/>
        <v>-6.6108723716714612E-3</v>
      </c>
      <c r="M68" s="29">
        <f t="shared" si="41"/>
        <v>-7.0911275869356416E-4</v>
      </c>
      <c r="N68" s="29">
        <f t="shared" si="41"/>
        <v>1.213400639716844E-2</v>
      </c>
      <c r="O68" s="29">
        <f t="shared" si="41"/>
        <v>2.763654279076766E-3</v>
      </c>
      <c r="P68" s="29">
        <f t="shared" si="41"/>
        <v>-3.7846897693645243E-3</v>
      </c>
      <c r="Q68" s="29">
        <f t="shared" si="41"/>
        <v>-8.7844553283854543E-3</v>
      </c>
      <c r="R68" s="27">
        <f>CORREL(H67:J67,$H$63:$J$63)</f>
        <v>0.45036174757713004</v>
      </c>
    </row>
    <row r="69" spans="1:20">
      <c r="A69" s="25"/>
      <c r="B69" s="25"/>
      <c r="C69" s="25"/>
      <c r="D69" s="25" t="s">
        <v>211</v>
      </c>
      <c r="E69" s="24">
        <f>R70/$R$74</f>
        <v>0.2331881250055228</v>
      </c>
      <c r="F69" s="25"/>
      <c r="G69" s="25"/>
      <c r="H69" s="26">
        <f t="shared" ref="H69:Q69" si="42">H$99</f>
        <v>16440.323</v>
      </c>
      <c r="I69" s="26">
        <f t="shared" si="42"/>
        <v>15257.275</v>
      </c>
      <c r="J69" s="26">
        <f t="shared" si="42"/>
        <v>16571.118999999999</v>
      </c>
      <c r="K69" s="26">
        <f t="shared" si="42"/>
        <v>17938.826000000001</v>
      </c>
      <c r="L69" s="26">
        <f t="shared" si="42"/>
        <v>18736.581825041318</v>
      </c>
      <c r="M69" s="26">
        <f t="shared" si="42"/>
        <v>19543.225239847256</v>
      </c>
      <c r="N69" s="26">
        <f t="shared" si="42"/>
        <v>20365.72863012406</v>
      </c>
      <c r="O69" s="26">
        <f t="shared" si="42"/>
        <v>21215.683593195623</v>
      </c>
      <c r="P69" s="26">
        <f t="shared" si="42"/>
        <v>22574.486719227825</v>
      </c>
      <c r="Q69" s="26">
        <f t="shared" si="42"/>
        <v>23853.790415676056</v>
      </c>
      <c r="R69" s="25"/>
    </row>
    <row r="70" spans="1:20" ht="12.75">
      <c r="A70" s="28"/>
      <c r="B70" s="28"/>
      <c r="C70" s="28"/>
      <c r="D70" s="28" t="s">
        <v>184</v>
      </c>
      <c r="E70" s="28"/>
      <c r="F70" s="28"/>
      <c r="G70" s="28"/>
      <c r="H70" s="29"/>
      <c r="I70" s="29">
        <f t="shared" ref="I70:Q70" si="43">I69/H69-1</f>
        <v>-7.1960143362146844E-2</v>
      </c>
      <c r="J70" s="29">
        <f t="shared" si="43"/>
        <v>8.6112624960879236E-2</v>
      </c>
      <c r="K70" s="29">
        <f t="shared" si="43"/>
        <v>8.2535584953556951E-2</v>
      </c>
      <c r="L70" s="29">
        <f t="shared" si="43"/>
        <v>4.447090489875527E-2</v>
      </c>
      <c r="M70" s="29">
        <f t="shared" si="43"/>
        <v>4.305179153477523E-2</v>
      </c>
      <c r="N70" s="29">
        <f t="shared" si="43"/>
        <v>4.2086369070739593E-2</v>
      </c>
      <c r="O70" s="29">
        <f t="shared" si="43"/>
        <v>4.1734571765546846E-2</v>
      </c>
      <c r="P70" s="29">
        <f t="shared" si="43"/>
        <v>6.4047105532248905E-2</v>
      </c>
      <c r="Q70" s="29">
        <f t="shared" si="43"/>
        <v>5.6670333742675272E-2</v>
      </c>
      <c r="R70" s="27">
        <f>CORREL(J70:L70,$J$63:$L$63)</f>
        <v>0.42582878454147599</v>
      </c>
    </row>
    <row r="71" spans="1:20">
      <c r="A71" s="216"/>
      <c r="B71" s="216"/>
      <c r="C71" s="216"/>
      <c r="D71" s="25"/>
      <c r="E71" s="24">
        <f>SUM(E65:E69)</f>
        <v>1</v>
      </c>
      <c r="F71" s="25"/>
      <c r="G71" s="25"/>
      <c r="H71" s="26"/>
      <c r="I71" s="26"/>
      <c r="J71" s="26"/>
      <c r="K71" s="26"/>
      <c r="L71" s="26"/>
      <c r="M71" s="26"/>
      <c r="N71" s="26"/>
      <c r="O71" s="26"/>
      <c r="P71" s="26"/>
      <c r="Q71" s="26"/>
    </row>
    <row r="72" spans="1:20" ht="12.75">
      <c r="A72" s="28"/>
      <c r="B72" s="28"/>
      <c r="C72" s="28"/>
      <c r="D72" s="28"/>
      <c r="E72" s="28"/>
      <c r="F72" s="28"/>
      <c r="G72" s="28"/>
      <c r="H72" s="29"/>
      <c r="I72" s="29"/>
      <c r="J72" s="29"/>
      <c r="K72" s="29"/>
      <c r="L72" s="29"/>
      <c r="M72" s="29"/>
      <c r="N72" s="29"/>
      <c r="O72" s="29"/>
      <c r="P72" s="29"/>
      <c r="Q72" s="29"/>
      <c r="R72" s="27"/>
    </row>
    <row r="73" spans="1:20">
      <c r="B73" s="4"/>
      <c r="C73" s="4"/>
      <c r="D73" s="25"/>
      <c r="E73" s="25"/>
      <c r="H73" s="17"/>
      <c r="I73" s="18"/>
      <c r="J73" s="18"/>
      <c r="K73" s="18"/>
      <c r="L73" s="18"/>
      <c r="M73" s="17"/>
      <c r="N73" s="17"/>
      <c r="O73" s="17"/>
      <c r="P73" s="17"/>
      <c r="Q73" s="17"/>
    </row>
    <row r="74" spans="1:20" ht="12.75">
      <c r="A74" s="28"/>
      <c r="B74" s="28"/>
      <c r="C74" s="28"/>
      <c r="D74" s="28"/>
      <c r="E74" s="28"/>
      <c r="F74" s="28"/>
      <c r="G74" s="28"/>
      <c r="H74" s="29"/>
      <c r="I74" s="29"/>
      <c r="J74" s="29"/>
      <c r="K74" s="29"/>
      <c r="L74" s="29"/>
      <c r="M74" s="29"/>
      <c r="N74" s="29"/>
      <c r="O74" s="29"/>
      <c r="P74" s="29"/>
      <c r="Q74" s="29"/>
      <c r="R74" s="1">
        <f>SUM(R66:R72)</f>
        <v>1.8261169368354015</v>
      </c>
    </row>
    <row r="75" spans="1:20" ht="11.25">
      <c r="B75" s="4"/>
      <c r="C75" s="2"/>
      <c r="H75" s="17"/>
      <c r="I75" s="18"/>
      <c r="J75" s="18"/>
      <c r="K75" s="18"/>
      <c r="L75" s="18"/>
      <c r="M75" s="17"/>
      <c r="N75" s="17"/>
      <c r="O75" s="17"/>
      <c r="P75" s="17"/>
      <c r="Q75" s="17"/>
    </row>
    <row r="76" spans="1:20" ht="15" customHeight="1">
      <c r="A76"/>
      <c r="B76"/>
      <c r="C76"/>
      <c r="D76"/>
      <c r="E76"/>
      <c r="F76"/>
      <c r="G76"/>
      <c r="H76"/>
      <c r="I76"/>
      <c r="J76"/>
      <c r="K76"/>
      <c r="L76"/>
      <c r="M76"/>
      <c r="N76"/>
      <c r="O76"/>
      <c r="P76"/>
      <c r="Q76"/>
      <c r="R76"/>
      <c r="S76"/>
      <c r="T76"/>
    </row>
    <row r="77" spans="1:20" ht="15" customHeight="1">
      <c r="F77" s="25" t="s">
        <v>186</v>
      </c>
      <c r="G77" s="1" t="s">
        <v>178</v>
      </c>
      <c r="H77" s="60">
        <f>H83+H79</f>
        <v>35959.323000000004</v>
      </c>
      <c r="I77" s="60">
        <f t="shared" ref="I77:Q77" si="44">I83+I79</f>
        <v>36809.275000000001</v>
      </c>
      <c r="J77" s="60">
        <f t="shared" si="44"/>
        <v>41945.118999999999</v>
      </c>
      <c r="K77" s="60">
        <f t="shared" si="44"/>
        <v>41946.826000000001</v>
      </c>
      <c r="L77" s="60">
        <f t="shared" si="44"/>
        <v>43785.70329311266</v>
      </c>
      <c r="M77" s="60">
        <f t="shared" si="44"/>
        <v>45820.622470146707</v>
      </c>
      <c r="N77" s="60">
        <f t="shared" si="44"/>
        <v>48413.222915585007</v>
      </c>
      <c r="O77" s="60">
        <f t="shared" si="44"/>
        <v>50176.544757583048</v>
      </c>
      <c r="P77" s="60">
        <f t="shared" si="44"/>
        <v>52349.901623819234</v>
      </c>
      <c r="Q77" s="60">
        <f t="shared" si="44"/>
        <v>54964.132902051977</v>
      </c>
    </row>
    <row r="78" spans="1:20" ht="15" customHeight="1">
      <c r="F78" s="28" t="s">
        <v>184</v>
      </c>
      <c r="G78" s="58"/>
      <c r="H78" s="58"/>
      <c r="I78" s="59">
        <f t="shared" ref="I78:Q78" si="45">I77/H77-1</f>
        <v>2.3636485036161448E-2</v>
      </c>
      <c r="J78" s="59">
        <f t="shared" si="45"/>
        <v>0.13952581244808537</v>
      </c>
      <c r="K78" s="59">
        <f t="shared" si="45"/>
        <v>4.0696034263376646E-5</v>
      </c>
      <c r="L78" s="59">
        <f t="shared" si="45"/>
        <v>4.3838294060977612E-2</v>
      </c>
      <c r="M78" s="59">
        <f t="shared" si="45"/>
        <v>4.6474511632524917E-2</v>
      </c>
      <c r="N78" s="59">
        <f t="shared" si="45"/>
        <v>5.6581519535825686E-2</v>
      </c>
      <c r="O78" s="59">
        <f t="shared" si="45"/>
        <v>3.6422318858478686E-2</v>
      </c>
      <c r="P78" s="59">
        <f t="shared" si="45"/>
        <v>4.331419942796555E-2</v>
      </c>
      <c r="Q78" s="59">
        <f t="shared" si="45"/>
        <v>4.9937654076569693E-2</v>
      </c>
    </row>
    <row r="79" spans="1:20" ht="15" customHeight="1">
      <c r="F79" s="454" t="s">
        <v>199</v>
      </c>
      <c r="G79" s="1" t="s">
        <v>200</v>
      </c>
      <c r="H79" s="57">
        <v>31231</v>
      </c>
      <c r="I79" s="57">
        <v>31954</v>
      </c>
      <c r="J79" s="455">
        <v>36994</v>
      </c>
      <c r="K79" s="57">
        <v>36941</v>
      </c>
      <c r="L79" s="57">
        <v>38632.784148545121</v>
      </c>
      <c r="M79" s="57">
        <v>40511.839058170372</v>
      </c>
      <c r="N79" s="57">
        <v>42890.439088586339</v>
      </c>
      <c r="O79" s="57">
        <v>44482.393258117154</v>
      </c>
      <c r="P79" s="57">
        <v>46483.384955650334</v>
      </c>
      <c r="Q79" s="57">
        <v>48918.084013657346</v>
      </c>
    </row>
    <row r="80" spans="1:20" ht="15" customHeight="1">
      <c r="F80" s="58" t="s">
        <v>184</v>
      </c>
      <c r="G80" s="58"/>
      <c r="H80" s="58"/>
      <c r="I80" s="59">
        <f t="shared" ref="I80:Q80" si="46">I79/H79-1</f>
        <v>2.3150075245749413E-2</v>
      </c>
      <c r="J80" s="59">
        <f t="shared" si="46"/>
        <v>0.1577267321775051</v>
      </c>
      <c r="K80" s="59">
        <f t="shared" si="46"/>
        <v>-1.4326647564469885E-3</v>
      </c>
      <c r="L80" s="59">
        <f t="shared" si="46"/>
        <v>4.5796923433180536E-2</v>
      </c>
      <c r="M80" s="59">
        <f t="shared" si="46"/>
        <v>4.8638868542328906E-2</v>
      </c>
      <c r="N80" s="59">
        <f t="shared" si="46"/>
        <v>5.8713701616966096E-2</v>
      </c>
      <c r="O80" s="59">
        <f t="shared" si="46"/>
        <v>3.7116760829675188E-2</v>
      </c>
      <c r="P80" s="59">
        <f t="shared" si="46"/>
        <v>4.4983903764396427E-2</v>
      </c>
      <c r="Q80" s="59">
        <f t="shared" si="46"/>
        <v>5.237783479688396E-2</v>
      </c>
    </row>
    <row r="81" spans="1:16384" ht="15" customHeight="1">
      <c r="F81" s="65" t="s">
        <v>201</v>
      </c>
      <c r="G81" s="1" t="s">
        <v>200</v>
      </c>
      <c r="H81" s="57">
        <v>11712</v>
      </c>
      <c r="I81" s="57">
        <v>10402</v>
      </c>
      <c r="J81" s="57">
        <v>11620</v>
      </c>
      <c r="K81" s="57">
        <v>12933</v>
      </c>
      <c r="L81" s="57">
        <v>13583.662680473779</v>
      </c>
      <c r="M81" s="57">
        <v>14234.441827870922</v>
      </c>
      <c r="N81" s="57">
        <v>14842.944803125398</v>
      </c>
      <c r="O81" s="57">
        <v>15521.532093729729</v>
      </c>
      <c r="P81" s="57">
        <v>16707.970051058925</v>
      </c>
      <c r="Q81" s="60">
        <v>17807.741527281425</v>
      </c>
    </row>
    <row r="82" spans="1:16384" ht="15" customHeight="1">
      <c r="F82" s="58" t="s">
        <v>184</v>
      </c>
      <c r="G82" s="58"/>
      <c r="H82" s="58"/>
      <c r="I82" s="59">
        <f t="shared" ref="I82:Q82" si="47">I81/H81-1</f>
        <v>-0.1118510928961749</v>
      </c>
      <c r="J82" s="59">
        <f t="shared" si="47"/>
        <v>0.11709286675639308</v>
      </c>
      <c r="K82" s="59">
        <f t="shared" si="47"/>
        <v>0.11299483648881248</v>
      </c>
      <c r="L82" s="59">
        <f t="shared" si="47"/>
        <v>5.0310266796085967E-2</v>
      </c>
      <c r="M82" s="59">
        <f t="shared" si="47"/>
        <v>4.7908959660241335E-2</v>
      </c>
      <c r="N82" s="59">
        <f t="shared" si="47"/>
        <v>4.2748636203144397E-2</v>
      </c>
      <c r="O82" s="59">
        <f t="shared" si="47"/>
        <v>4.5717834271097324E-2</v>
      </c>
      <c r="P82" s="59">
        <f t="shared" si="47"/>
        <v>7.6438198894584808E-2</v>
      </c>
      <c r="Q82" s="59">
        <f t="shared" si="47"/>
        <v>6.5823165403196215E-2</v>
      </c>
    </row>
    <row r="83" spans="1:16384" ht="15" customHeight="1">
      <c r="F83" s="456" t="s">
        <v>202</v>
      </c>
      <c r="G83" s="1" t="s">
        <v>200</v>
      </c>
      <c r="H83" s="57">
        <v>4728.3230000000003</v>
      </c>
      <c r="I83" s="57">
        <v>4855.2749999999996</v>
      </c>
      <c r="J83" s="57">
        <v>4951.1189999999997</v>
      </c>
      <c r="K83" s="57">
        <v>5005.826</v>
      </c>
      <c r="L83" s="57">
        <v>5152.9191445675388</v>
      </c>
      <c r="M83" s="57">
        <v>5308.7834119763329</v>
      </c>
      <c r="N83" s="57">
        <v>5522.7838269986642</v>
      </c>
      <c r="O83" s="57">
        <v>5694.1514994658946</v>
      </c>
      <c r="P83" s="57">
        <v>5866.5166681689007</v>
      </c>
      <c r="Q83" s="60">
        <v>6046.0488883946318</v>
      </c>
    </row>
    <row r="84" spans="1:16384" ht="15" customHeight="1">
      <c r="F84" s="58" t="s">
        <v>184</v>
      </c>
      <c r="G84" s="58"/>
      <c r="H84" s="58"/>
      <c r="I84" s="59">
        <f t="shared" ref="I84:Q84" si="48">I83/H83-1</f>
        <v>2.6849265585282334E-2</v>
      </c>
      <c r="J84" s="59">
        <f t="shared" si="48"/>
        <v>1.9740179495497223E-2</v>
      </c>
      <c r="K84" s="59">
        <f t="shared" si="48"/>
        <v>1.1049421353031663E-2</v>
      </c>
      <c r="L84" s="59">
        <f t="shared" si="48"/>
        <v>2.9384390222020995E-2</v>
      </c>
      <c r="M84" s="59">
        <f t="shared" si="48"/>
        <v>3.0247761130332007E-2</v>
      </c>
      <c r="N84" s="59">
        <f t="shared" si="48"/>
        <v>4.0310632100672539E-2</v>
      </c>
      <c r="O84" s="59">
        <f t="shared" si="48"/>
        <v>3.1029219653589069E-2</v>
      </c>
      <c r="P84" s="59">
        <f t="shared" si="48"/>
        <v>3.0270562474351781E-2</v>
      </c>
      <c r="Q84" s="59">
        <f t="shared" si="48"/>
        <v>3.0602865444814054E-2</v>
      </c>
    </row>
    <row r="85" spans="1:16384" ht="15" customHeight="1">
      <c r="E85" t="s">
        <v>792</v>
      </c>
      <c r="F85" s="25" t="s">
        <v>547</v>
      </c>
      <c r="G85" s="1" t="s">
        <v>180</v>
      </c>
      <c r="H85" s="236">
        <f>FORECAST(H93,I85:K85,I93:K93)</f>
        <v>243265.6213799479</v>
      </c>
      <c r="I85" s="732">
        <v>209746.7</v>
      </c>
      <c r="J85" s="732">
        <v>229862.9</v>
      </c>
      <c r="K85" s="732">
        <v>267252.2</v>
      </c>
      <c r="L85" s="732">
        <v>265907.5</v>
      </c>
      <c r="M85" s="732">
        <v>272054.09999999998</v>
      </c>
      <c r="N85" s="236">
        <f t="shared" ref="N85:Q85" si="49">FORECAST(N93,K85:M85,K93:M93)</f>
        <v>275379.65496027685</v>
      </c>
      <c r="O85" s="236">
        <f t="shared" si="49"/>
        <v>279081.0614839106</v>
      </c>
      <c r="P85" s="236">
        <f t="shared" si="49"/>
        <v>282894.02457884245</v>
      </c>
      <c r="Q85" s="236">
        <f t="shared" si="49"/>
        <v>286919.55518451671</v>
      </c>
      <c r="R85" s="70"/>
      <c r="S85" s="71"/>
      <c r="T85" s="71"/>
      <c r="U85" s="71"/>
      <c r="X85" s="71">
        <v>1106367.8999999999</v>
      </c>
      <c r="Y85" s="71">
        <v>1043684.6</v>
      </c>
      <c r="Z85" s="71">
        <v>1210448.6000000001</v>
      </c>
      <c r="AA85" s="71">
        <v>1314459.8</v>
      </c>
      <c r="AB85" s="71">
        <v>1330962.5</v>
      </c>
    </row>
    <row r="86" spans="1:16384" ht="15" customHeight="1">
      <c r="F86" s="58" t="s">
        <v>184</v>
      </c>
      <c r="G86" s="58"/>
      <c r="H86" s="58"/>
      <c r="I86" s="59">
        <f t="shared" ref="I86:Q86" si="50">I85/H85-1</f>
        <v>-0.13778733381975039</v>
      </c>
      <c r="J86" s="59">
        <f t="shared" si="50"/>
        <v>9.5907110815092622E-2</v>
      </c>
      <c r="K86" s="59">
        <f t="shared" si="50"/>
        <v>0.16265913290052469</v>
      </c>
      <c r="L86" s="59">
        <f t="shared" si="50"/>
        <v>-5.0315769149890111E-3</v>
      </c>
      <c r="M86" s="59">
        <f t="shared" si="50"/>
        <v>2.3115557101623496E-2</v>
      </c>
      <c r="N86" s="59">
        <f t="shared" si="50"/>
        <v>1.2223873708489874E-2</v>
      </c>
      <c r="O86" s="59">
        <f t="shared" si="50"/>
        <v>1.3441103788759179E-2</v>
      </c>
      <c r="P86" s="59">
        <f t="shared" si="50"/>
        <v>1.3662564828504697E-2</v>
      </c>
      <c r="Q86" s="59">
        <f t="shared" si="50"/>
        <v>1.4229818433483254E-2</v>
      </c>
      <c r="X86" s="1">
        <f>X85/1000</f>
        <v>1106.3679</v>
      </c>
      <c r="Y86" s="1">
        <f t="shared" ref="Y86:AB86" si="51">Y85/1000</f>
        <v>1043.6846</v>
      </c>
      <c r="Z86" s="1">
        <f t="shared" si="51"/>
        <v>1210.4486000000002</v>
      </c>
      <c r="AA86" s="1">
        <f t="shared" si="51"/>
        <v>1314.4598000000001</v>
      </c>
      <c r="AB86" s="1">
        <f t="shared" si="51"/>
        <v>1330.9625000000001</v>
      </c>
    </row>
    <row r="87" spans="1:16384" ht="15" customHeight="1">
      <c r="F87" s="1" t="s">
        <v>207</v>
      </c>
      <c r="G87" s="1" t="s">
        <v>205</v>
      </c>
      <c r="H87" s="73">
        <v>13.102</v>
      </c>
      <c r="I87" s="73">
        <v>14.226000000000001</v>
      </c>
      <c r="J87" s="73">
        <v>14.372</v>
      </c>
      <c r="K87" s="73">
        <v>15.715999999999999</v>
      </c>
      <c r="L87" s="73">
        <v>17.638999999999999</v>
      </c>
      <c r="M87" s="73">
        <v>17.597999999999999</v>
      </c>
      <c r="N87" s="73">
        <v>18.436</v>
      </c>
      <c r="O87" s="73">
        <v>19.231999999999999</v>
      </c>
      <c r="P87" s="73">
        <v>20.062999999999999</v>
      </c>
      <c r="Q87" s="73">
        <v>21.138999999999999</v>
      </c>
    </row>
    <row r="88" spans="1:16384" s="58" customFormat="1" ht="15" customHeight="1">
      <c r="A88" s="1"/>
      <c r="B88" s="1"/>
      <c r="C88" s="1"/>
      <c r="D88" s="1"/>
      <c r="E88" s="1"/>
      <c r="F88" s="58" t="s">
        <v>184</v>
      </c>
      <c r="I88" s="59">
        <f t="shared" ref="I88:Q88" si="52">I87/H87-1</f>
        <v>8.5788429247443121E-2</v>
      </c>
      <c r="J88" s="59">
        <f t="shared" si="52"/>
        <v>1.0262898917474894E-2</v>
      </c>
      <c r="K88" s="59">
        <f t="shared" si="52"/>
        <v>9.3515168382966918E-2</v>
      </c>
      <c r="L88" s="59">
        <f t="shared" si="52"/>
        <v>0.12235937897683891</v>
      </c>
      <c r="M88" s="59">
        <f t="shared" si="52"/>
        <v>-2.3243948069618936E-3</v>
      </c>
      <c r="N88" s="59">
        <f t="shared" si="52"/>
        <v>4.7619047619047672E-2</v>
      </c>
      <c r="O88" s="59">
        <f t="shared" si="52"/>
        <v>4.3176394011716246E-2</v>
      </c>
      <c r="P88" s="59">
        <f t="shared" si="52"/>
        <v>4.3209234608984959E-2</v>
      </c>
      <c r="Q88" s="59">
        <f t="shared" si="52"/>
        <v>5.3631062154214204E-2</v>
      </c>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c r="JD88" s="1"/>
      <c r="JE88" s="1"/>
      <c r="JF88" s="1"/>
      <c r="JG88" s="1"/>
      <c r="JH88" s="1"/>
      <c r="JI88" s="1"/>
      <c r="JJ88" s="1"/>
      <c r="JK88" s="1"/>
      <c r="JL88" s="1"/>
      <c r="JM88" s="1"/>
      <c r="JN88" s="1"/>
      <c r="JO88" s="1"/>
      <c r="JP88" s="1"/>
      <c r="JQ88" s="1"/>
      <c r="JR88" s="1"/>
      <c r="JS88" s="1"/>
      <c r="JT88" s="1"/>
      <c r="JU88" s="1"/>
      <c r="JV88" s="1"/>
      <c r="JW88" s="1"/>
      <c r="JX88" s="1"/>
      <c r="JY88" s="1"/>
      <c r="JZ88" s="1"/>
      <c r="KA88" s="1"/>
      <c r="KB88" s="1"/>
      <c r="KC88" s="1"/>
      <c r="KD88" s="1"/>
      <c r="KE88" s="1"/>
      <c r="KF88" s="1"/>
      <c r="KG88" s="1"/>
      <c r="KH88" s="1"/>
      <c r="KI88" s="1"/>
      <c r="KJ88" s="1"/>
      <c r="KK88" s="1"/>
      <c r="KL88" s="1"/>
      <c r="KM88" s="1"/>
      <c r="KN88" s="1"/>
      <c r="KO88" s="1"/>
      <c r="KP88" s="1"/>
      <c r="KQ88" s="1"/>
      <c r="KR88" s="1"/>
      <c r="KS88" s="1"/>
      <c r="KT88" s="1"/>
      <c r="KU88" s="1"/>
      <c r="KV88" s="1"/>
      <c r="KW88" s="1"/>
      <c r="KX88" s="1"/>
      <c r="KY88" s="1"/>
      <c r="KZ88" s="1"/>
      <c r="LA88" s="1"/>
      <c r="LB88" s="1"/>
      <c r="LC88" s="1"/>
      <c r="LD88" s="1"/>
      <c r="LE88" s="1"/>
      <c r="LF88" s="1"/>
      <c r="LG88" s="1"/>
      <c r="LH88" s="1"/>
      <c r="LI88" s="1"/>
      <c r="LJ88" s="1"/>
      <c r="LK88" s="1"/>
      <c r="LL88" s="1"/>
      <c r="LM88" s="1"/>
      <c r="LN88" s="1"/>
      <c r="LO88" s="1"/>
      <c r="LP88" s="1"/>
      <c r="LQ88" s="1"/>
      <c r="LR88" s="1"/>
      <c r="LS88" s="1"/>
      <c r="LT88" s="1"/>
      <c r="LU88" s="1"/>
      <c r="LV88" s="1"/>
      <c r="LW88" s="1"/>
      <c r="LX88" s="1"/>
      <c r="LY88" s="1"/>
      <c r="LZ88" s="1"/>
      <c r="MA88" s="1"/>
      <c r="MB88" s="1"/>
      <c r="MC88" s="1"/>
      <c r="MD88" s="1"/>
      <c r="ME88" s="1"/>
      <c r="MF88" s="1"/>
      <c r="MG88" s="1"/>
      <c r="MH88" s="1"/>
      <c r="MI88" s="1"/>
      <c r="MJ88" s="1"/>
      <c r="MK88" s="1"/>
      <c r="ML88" s="1"/>
      <c r="MM88" s="1"/>
      <c r="MN88" s="1"/>
      <c r="MO88" s="1"/>
      <c r="MP88" s="1"/>
      <c r="MQ88" s="1"/>
      <c r="MR88" s="1"/>
      <c r="MS88" s="1"/>
      <c r="MT88" s="1"/>
      <c r="MU88" s="1"/>
      <c r="MV88" s="1"/>
      <c r="MW88" s="1"/>
      <c r="MX88" s="1"/>
      <c r="MY88" s="1"/>
      <c r="MZ88" s="1"/>
      <c r="NA88" s="1"/>
      <c r="NB88" s="1"/>
      <c r="NC88" s="1"/>
      <c r="ND88" s="1"/>
      <c r="NE88" s="1"/>
      <c r="NF88" s="1"/>
      <c r="NG88" s="1"/>
      <c r="NH88" s="1"/>
      <c r="NI88" s="1"/>
      <c r="NJ88" s="1"/>
      <c r="NK88" s="1"/>
      <c r="NL88" s="1"/>
      <c r="NM88" s="1"/>
      <c r="NN88" s="1"/>
      <c r="NO88" s="1"/>
      <c r="NP88" s="1"/>
      <c r="NQ88" s="1"/>
      <c r="NR88" s="1"/>
      <c r="NS88" s="1"/>
      <c r="NT88" s="1"/>
      <c r="NU88" s="1"/>
      <c r="NV88" s="1"/>
      <c r="NW88" s="1"/>
      <c r="NX88" s="1"/>
      <c r="NY88" s="1"/>
      <c r="NZ88" s="1"/>
      <c r="OA88" s="1"/>
      <c r="OB88" s="1"/>
      <c r="OC88" s="1"/>
      <c r="OD88" s="1"/>
      <c r="OE88" s="1"/>
      <c r="OF88" s="1"/>
      <c r="OG88" s="1"/>
      <c r="OH88" s="1"/>
      <c r="OI88" s="1"/>
      <c r="OJ88" s="1"/>
      <c r="OK88" s="1"/>
      <c r="OL88" s="1"/>
      <c r="OM88" s="1"/>
      <c r="ON88" s="1"/>
      <c r="OO88" s="1"/>
      <c r="OP88" s="1"/>
      <c r="OQ88" s="1"/>
      <c r="OR88" s="1"/>
      <c r="OS88" s="1"/>
      <c r="OT88" s="1"/>
      <c r="OU88" s="1"/>
      <c r="OV88" s="1"/>
      <c r="OW88" s="1"/>
      <c r="OX88" s="1"/>
      <c r="OY88" s="1"/>
      <c r="OZ88" s="1"/>
      <c r="PA88" s="1"/>
      <c r="PB88" s="1"/>
      <c r="PC88" s="1"/>
      <c r="PD88" s="1"/>
      <c r="PE88" s="1"/>
      <c r="PF88" s="1"/>
      <c r="PG88" s="1"/>
      <c r="PH88" s="1"/>
      <c r="PI88" s="1"/>
      <c r="PJ88" s="1"/>
      <c r="PK88" s="1"/>
      <c r="PL88" s="1"/>
      <c r="PM88" s="1"/>
      <c r="PN88" s="1"/>
      <c r="PO88" s="1"/>
      <c r="PP88" s="1"/>
      <c r="PQ88" s="1"/>
      <c r="PR88" s="1"/>
      <c r="PS88" s="1"/>
      <c r="PT88" s="1"/>
      <c r="PU88" s="1"/>
      <c r="PV88" s="1"/>
      <c r="PW88" s="1"/>
      <c r="PX88" s="1"/>
      <c r="PY88" s="1"/>
      <c r="PZ88" s="1"/>
      <c r="QA88" s="1"/>
      <c r="QB88" s="1"/>
      <c r="QC88" s="1"/>
      <c r="QD88" s="1"/>
      <c r="QE88" s="1"/>
      <c r="QF88" s="1"/>
      <c r="QG88" s="1"/>
      <c r="QH88" s="1"/>
      <c r="QI88" s="1"/>
      <c r="QJ88" s="1"/>
      <c r="QK88" s="1"/>
      <c r="QL88" s="1"/>
      <c r="QM88" s="1"/>
      <c r="QN88" s="1"/>
      <c r="QO88" s="1"/>
      <c r="QP88" s="1"/>
      <c r="QQ88" s="1"/>
      <c r="QR88" s="1"/>
      <c r="QS88" s="1"/>
      <c r="QT88" s="1"/>
      <c r="QU88" s="1"/>
      <c r="QV88" s="1"/>
      <c r="QW88" s="1"/>
      <c r="QX88" s="1"/>
      <c r="QY88" s="1"/>
      <c r="QZ88" s="1"/>
      <c r="RA88" s="1"/>
      <c r="RB88" s="1"/>
      <c r="RC88" s="1"/>
      <c r="RD88" s="1"/>
      <c r="RE88" s="1"/>
      <c r="RF88" s="1"/>
      <c r="RG88" s="1"/>
      <c r="RH88" s="1"/>
      <c r="RI88" s="1"/>
      <c r="RJ88" s="1"/>
      <c r="RK88" s="1"/>
      <c r="RL88" s="1"/>
      <c r="RM88" s="1"/>
      <c r="RN88" s="1"/>
      <c r="RO88" s="1"/>
      <c r="RP88" s="1"/>
      <c r="RQ88" s="1"/>
      <c r="RR88" s="1"/>
      <c r="RS88" s="1"/>
      <c r="RT88" s="1"/>
      <c r="RU88" s="1"/>
      <c r="RV88" s="1"/>
      <c r="RW88" s="1"/>
      <c r="RX88" s="1"/>
      <c r="RY88" s="1"/>
      <c r="RZ88" s="1"/>
      <c r="SA88" s="1"/>
      <c r="SB88" s="1"/>
      <c r="SC88" s="1"/>
      <c r="SD88" s="1"/>
      <c r="SE88" s="1"/>
      <c r="SF88" s="1"/>
      <c r="SG88" s="1"/>
      <c r="SH88" s="1"/>
      <c r="SI88" s="1"/>
      <c r="SJ88" s="1"/>
      <c r="SK88" s="1"/>
      <c r="SL88" s="1"/>
      <c r="SM88" s="1"/>
      <c r="SN88" s="1"/>
      <c r="SO88" s="1"/>
      <c r="SP88" s="1"/>
      <c r="SQ88" s="1"/>
      <c r="SR88" s="1"/>
      <c r="SS88" s="1"/>
      <c r="ST88" s="1"/>
      <c r="SU88" s="1"/>
      <c r="SV88" s="1"/>
      <c r="SW88" s="1"/>
      <c r="SX88" s="1"/>
      <c r="SY88" s="1"/>
      <c r="SZ88" s="1"/>
      <c r="TA88" s="1"/>
      <c r="TB88" s="1"/>
      <c r="TC88" s="1"/>
      <c r="TD88" s="1"/>
      <c r="TE88" s="1"/>
      <c r="TF88" s="1"/>
      <c r="TG88" s="1"/>
      <c r="TH88" s="1"/>
      <c r="TI88" s="1"/>
      <c r="TJ88" s="1"/>
      <c r="TK88" s="1"/>
      <c r="TL88" s="1"/>
      <c r="TM88" s="1"/>
      <c r="TN88" s="1"/>
      <c r="TO88" s="1"/>
      <c r="TP88" s="1"/>
      <c r="TQ88" s="1"/>
      <c r="TR88" s="1"/>
      <c r="TS88" s="1"/>
      <c r="TT88" s="1"/>
      <c r="TU88" s="1"/>
      <c r="TV88" s="1"/>
      <c r="TW88" s="1"/>
      <c r="TX88" s="1"/>
      <c r="TY88" s="1"/>
      <c r="TZ88" s="1"/>
      <c r="UA88" s="1"/>
      <c r="UB88" s="1"/>
      <c r="UC88" s="1"/>
      <c r="UD88" s="1"/>
      <c r="UE88" s="1"/>
      <c r="UF88" s="1"/>
      <c r="UG88" s="1"/>
      <c r="UH88" s="1"/>
      <c r="UI88" s="1"/>
      <c r="UJ88" s="1"/>
      <c r="UK88" s="1"/>
      <c r="UL88" s="1"/>
      <c r="UM88" s="1"/>
      <c r="UN88" s="1"/>
      <c r="UO88" s="1"/>
      <c r="UP88" s="1"/>
      <c r="UQ88" s="1"/>
      <c r="UR88" s="1"/>
      <c r="US88" s="1"/>
      <c r="UT88" s="1"/>
      <c r="UU88" s="1"/>
      <c r="UV88" s="1"/>
      <c r="UW88" s="1"/>
      <c r="UX88" s="1"/>
      <c r="UY88" s="1"/>
      <c r="UZ88" s="1"/>
      <c r="VA88" s="1"/>
      <c r="VB88" s="1"/>
      <c r="VC88" s="1"/>
      <c r="VD88" s="1"/>
      <c r="VE88" s="1"/>
      <c r="VF88" s="1"/>
      <c r="VG88" s="1"/>
      <c r="VH88" s="1"/>
      <c r="VI88" s="1"/>
      <c r="VJ88" s="1"/>
      <c r="VK88" s="1"/>
      <c r="VL88" s="1"/>
      <c r="VM88" s="1"/>
      <c r="VN88" s="1"/>
      <c r="VO88" s="1"/>
      <c r="VP88" s="1"/>
      <c r="VQ88" s="1"/>
      <c r="VR88" s="1"/>
      <c r="VS88" s="1"/>
      <c r="VT88" s="1"/>
      <c r="VU88" s="1"/>
      <c r="VV88" s="1"/>
      <c r="VW88" s="1"/>
      <c r="VX88" s="1"/>
      <c r="VY88" s="1"/>
      <c r="VZ88" s="1"/>
      <c r="WA88" s="1"/>
      <c r="WB88" s="1"/>
      <c r="WC88" s="1"/>
      <c r="WD88" s="1"/>
      <c r="WE88" s="1"/>
      <c r="WF88" s="1"/>
      <c r="WG88" s="1"/>
      <c r="WH88" s="1"/>
      <c r="WI88" s="1"/>
      <c r="WJ88" s="1"/>
      <c r="WK88" s="1"/>
      <c r="WL88" s="1"/>
      <c r="WM88" s="1"/>
      <c r="WN88" s="1"/>
      <c r="WO88" s="1"/>
      <c r="WP88" s="1"/>
      <c r="WQ88" s="1"/>
      <c r="WR88" s="1"/>
      <c r="WS88" s="1"/>
      <c r="WT88" s="1"/>
      <c r="WU88" s="1"/>
      <c r="WV88" s="1"/>
      <c r="WW88" s="1"/>
      <c r="WX88" s="1"/>
      <c r="WY88" s="1"/>
      <c r="WZ88" s="1"/>
      <c r="XA88" s="1"/>
      <c r="XB88" s="1"/>
      <c r="XC88" s="1"/>
      <c r="XD88" s="1"/>
      <c r="XE88" s="1"/>
      <c r="XF88" s="1"/>
      <c r="XG88" s="1"/>
      <c r="XH88" s="1"/>
      <c r="XI88" s="1"/>
      <c r="XJ88" s="1"/>
      <c r="XK88" s="1"/>
      <c r="XL88" s="1"/>
      <c r="XM88" s="1"/>
      <c r="XN88" s="1"/>
      <c r="XO88" s="1"/>
      <c r="XP88" s="1"/>
      <c r="XQ88" s="1"/>
      <c r="XR88" s="1"/>
      <c r="XS88" s="1"/>
      <c r="XT88" s="1"/>
      <c r="XU88" s="1"/>
      <c r="XV88" s="1"/>
      <c r="XW88" s="1"/>
      <c r="XX88" s="1"/>
      <c r="XY88" s="1"/>
      <c r="XZ88" s="1"/>
      <c r="YA88" s="1"/>
      <c r="YB88" s="1"/>
      <c r="YC88" s="1"/>
      <c r="YD88" s="1"/>
      <c r="YE88" s="1"/>
      <c r="YF88" s="1"/>
      <c r="YG88" s="1"/>
      <c r="YH88" s="1"/>
      <c r="YI88" s="1"/>
      <c r="YJ88" s="1"/>
      <c r="YK88" s="1"/>
      <c r="YL88" s="1"/>
      <c r="YM88" s="1"/>
      <c r="YN88" s="1"/>
      <c r="YO88" s="1"/>
      <c r="YP88" s="1"/>
      <c r="YQ88" s="1"/>
      <c r="YR88" s="1"/>
      <c r="YS88" s="1"/>
      <c r="YT88" s="1"/>
      <c r="YU88" s="1"/>
      <c r="YV88" s="1"/>
      <c r="YW88" s="1"/>
      <c r="YX88" s="1"/>
      <c r="YY88" s="1"/>
      <c r="YZ88" s="1"/>
      <c r="ZA88" s="1"/>
      <c r="ZB88" s="1"/>
      <c r="ZC88" s="1"/>
      <c r="ZD88" s="1"/>
      <c r="ZE88" s="1"/>
      <c r="ZF88" s="1"/>
      <c r="ZG88" s="1"/>
      <c r="ZH88" s="1"/>
      <c r="ZI88" s="1"/>
      <c r="ZJ88" s="1"/>
      <c r="ZK88" s="1"/>
      <c r="ZL88" s="1"/>
      <c r="ZM88" s="1"/>
      <c r="ZN88" s="1"/>
      <c r="ZO88" s="1"/>
      <c r="ZP88" s="1"/>
      <c r="ZQ88" s="1"/>
      <c r="ZR88" s="1"/>
      <c r="ZS88" s="1"/>
      <c r="ZT88" s="1"/>
      <c r="ZU88" s="1"/>
      <c r="ZV88" s="1"/>
      <c r="ZW88" s="1"/>
      <c r="ZX88" s="1"/>
      <c r="ZY88" s="1"/>
      <c r="ZZ88" s="1"/>
      <c r="AAA88" s="1"/>
      <c r="AAB88" s="1"/>
      <c r="AAC88" s="1"/>
      <c r="AAD88" s="1"/>
      <c r="AAE88" s="1"/>
      <c r="AAF88" s="1"/>
      <c r="AAG88" s="1"/>
      <c r="AAH88" s="1"/>
      <c r="AAI88" s="1"/>
      <c r="AAJ88" s="1"/>
      <c r="AAK88" s="1"/>
      <c r="AAL88" s="1"/>
      <c r="AAM88" s="1"/>
      <c r="AAN88" s="1"/>
      <c r="AAO88" s="1"/>
      <c r="AAP88" s="1"/>
      <c r="AAQ88" s="1"/>
      <c r="AAR88" s="1"/>
      <c r="AAS88" s="1"/>
      <c r="AAT88" s="1"/>
      <c r="AAU88" s="1"/>
      <c r="AAV88" s="1"/>
      <c r="AAW88" s="1"/>
      <c r="AAX88" s="1"/>
      <c r="AAY88" s="1"/>
      <c r="AAZ88" s="1"/>
      <c r="ABA88" s="1"/>
      <c r="ABB88" s="1"/>
      <c r="ABC88" s="1"/>
      <c r="ABD88" s="1"/>
      <c r="ABE88" s="1"/>
      <c r="ABF88" s="1"/>
      <c r="ABG88" s="1"/>
      <c r="ABH88" s="1"/>
      <c r="ABI88" s="1"/>
      <c r="ABJ88" s="1"/>
      <c r="ABK88" s="1"/>
      <c r="ABL88" s="1"/>
      <c r="ABM88" s="1"/>
      <c r="ABN88" s="1"/>
      <c r="ABO88" s="1"/>
      <c r="ABP88" s="1"/>
      <c r="ABQ88" s="1"/>
      <c r="ABR88" s="1"/>
      <c r="ABS88" s="1"/>
      <c r="ABT88" s="1"/>
      <c r="ABU88" s="1"/>
      <c r="ABV88" s="1"/>
      <c r="ABW88" s="1"/>
      <c r="ABX88" s="1"/>
      <c r="ABY88" s="1"/>
      <c r="ABZ88" s="1"/>
      <c r="ACA88" s="1"/>
      <c r="ACB88" s="1"/>
      <c r="ACC88" s="1"/>
      <c r="ACD88" s="1"/>
      <c r="ACE88" s="1"/>
      <c r="ACF88" s="1"/>
      <c r="ACG88" s="1"/>
      <c r="ACH88" s="1"/>
      <c r="ACI88" s="1"/>
      <c r="ACJ88" s="1"/>
      <c r="ACK88" s="1"/>
      <c r="ACL88" s="1"/>
      <c r="ACM88" s="1"/>
      <c r="ACN88" s="1"/>
      <c r="ACO88" s="1"/>
      <c r="ACP88" s="1"/>
      <c r="ACQ88" s="1"/>
      <c r="ACR88" s="1"/>
      <c r="ACS88" s="1"/>
      <c r="ACT88" s="1"/>
      <c r="ACU88" s="1"/>
      <c r="ACV88" s="1"/>
      <c r="ACW88" s="1"/>
      <c r="ACX88" s="1"/>
      <c r="ACY88" s="1"/>
      <c r="ACZ88" s="1"/>
      <c r="ADA88" s="1"/>
      <c r="ADB88" s="1"/>
      <c r="ADC88" s="1"/>
      <c r="ADD88" s="1"/>
      <c r="ADE88" s="1"/>
      <c r="ADF88" s="1"/>
      <c r="ADG88" s="1"/>
      <c r="ADH88" s="1"/>
      <c r="ADI88" s="1"/>
      <c r="ADJ88" s="1"/>
      <c r="ADK88" s="1"/>
      <c r="ADL88" s="1"/>
      <c r="ADM88" s="1"/>
      <c r="ADN88" s="1"/>
      <c r="ADO88" s="1"/>
      <c r="ADP88" s="1"/>
      <c r="ADQ88" s="1"/>
      <c r="ADR88" s="1"/>
      <c r="ADS88" s="1"/>
      <c r="ADT88" s="1"/>
      <c r="ADU88" s="1"/>
      <c r="ADV88" s="1"/>
      <c r="ADW88" s="1"/>
      <c r="ADX88" s="1"/>
      <c r="ADY88" s="1"/>
      <c r="ADZ88" s="1"/>
      <c r="AEA88" s="1"/>
      <c r="AEB88" s="1"/>
      <c r="AEC88" s="1"/>
      <c r="AED88" s="1"/>
      <c r="AEE88" s="1"/>
      <c r="AEF88" s="1"/>
      <c r="AEG88" s="1"/>
      <c r="AEH88" s="1"/>
      <c r="AEI88" s="1"/>
      <c r="AEJ88" s="1"/>
      <c r="AEK88" s="1"/>
      <c r="AEL88" s="1"/>
      <c r="AEM88" s="1"/>
      <c r="AEN88" s="1"/>
      <c r="AEO88" s="1"/>
      <c r="AEP88" s="1"/>
      <c r="AEQ88" s="1"/>
      <c r="AER88" s="1"/>
      <c r="AES88" s="1"/>
      <c r="AET88" s="1"/>
      <c r="AEU88" s="1"/>
      <c r="AEV88" s="1"/>
      <c r="AEW88" s="1"/>
      <c r="AEX88" s="1"/>
      <c r="AEY88" s="1"/>
      <c r="AEZ88" s="1"/>
      <c r="AFA88" s="1"/>
      <c r="AFB88" s="1"/>
      <c r="AFC88" s="1"/>
      <c r="AFD88" s="1"/>
      <c r="AFE88" s="1"/>
      <c r="AFF88" s="1"/>
      <c r="AFG88" s="1"/>
      <c r="AFH88" s="1"/>
      <c r="AFI88" s="1"/>
      <c r="AFJ88" s="1"/>
      <c r="AFK88" s="1"/>
      <c r="AFL88" s="1"/>
      <c r="AFM88" s="1"/>
      <c r="AFN88" s="1"/>
      <c r="AFO88" s="1"/>
      <c r="AFP88" s="1"/>
      <c r="AFQ88" s="1"/>
      <c r="AFR88" s="1"/>
      <c r="AFS88" s="1"/>
      <c r="AFT88" s="1"/>
      <c r="AFU88" s="1"/>
      <c r="AFV88" s="1"/>
      <c r="AFW88" s="1"/>
      <c r="AFX88" s="1"/>
      <c r="AFY88" s="1"/>
      <c r="AFZ88" s="1"/>
      <c r="AGA88" s="1"/>
      <c r="AGB88" s="1"/>
      <c r="AGC88" s="1"/>
      <c r="AGD88" s="1"/>
      <c r="AGE88" s="1"/>
      <c r="AGF88" s="1"/>
      <c r="AGG88" s="1"/>
      <c r="AGH88" s="1"/>
      <c r="AGI88" s="1"/>
      <c r="AGJ88" s="1"/>
      <c r="AGK88" s="1"/>
      <c r="AGL88" s="1"/>
      <c r="AGM88" s="1"/>
      <c r="AGN88" s="1"/>
      <c r="AGO88" s="1"/>
      <c r="AGP88" s="1"/>
      <c r="AGQ88" s="1"/>
      <c r="AGR88" s="1"/>
      <c r="AGS88" s="1"/>
      <c r="AGT88" s="1"/>
      <c r="AGU88" s="1"/>
      <c r="AGV88" s="1"/>
      <c r="AGW88" s="1"/>
      <c r="AGX88" s="1"/>
      <c r="AGY88" s="1"/>
      <c r="AGZ88" s="1"/>
      <c r="AHA88" s="1"/>
      <c r="AHB88" s="1"/>
      <c r="AHC88" s="1"/>
      <c r="AHD88" s="1"/>
      <c r="AHE88" s="1"/>
      <c r="AHF88" s="1"/>
      <c r="AHG88" s="1"/>
      <c r="AHH88" s="1"/>
      <c r="AHI88" s="1"/>
      <c r="AHJ88" s="1"/>
      <c r="AHK88" s="1"/>
      <c r="AHL88" s="1"/>
      <c r="AHM88" s="1"/>
      <c r="AHN88" s="1"/>
      <c r="AHO88" s="1"/>
      <c r="AHP88" s="1"/>
      <c r="AHQ88" s="1"/>
      <c r="AHR88" s="1"/>
      <c r="AHS88" s="1"/>
      <c r="AHT88" s="1"/>
      <c r="AHU88" s="1"/>
      <c r="AHV88" s="1"/>
      <c r="AHW88" s="1"/>
      <c r="AHX88" s="1"/>
      <c r="AHY88" s="1"/>
      <c r="AHZ88" s="1"/>
      <c r="AIA88" s="1"/>
      <c r="AIB88" s="1"/>
      <c r="AIC88" s="1"/>
      <c r="AID88" s="1"/>
      <c r="AIE88" s="1"/>
      <c r="AIF88" s="1"/>
      <c r="AIG88" s="1"/>
      <c r="AIH88" s="1"/>
      <c r="AII88" s="1"/>
      <c r="AIJ88" s="1"/>
      <c r="AIK88" s="1"/>
      <c r="AIL88" s="1"/>
      <c r="AIM88" s="1"/>
      <c r="AIN88" s="1"/>
      <c r="AIO88" s="1"/>
      <c r="AIP88" s="1"/>
      <c r="AIQ88" s="1"/>
      <c r="AIR88" s="1"/>
      <c r="AIS88" s="1"/>
      <c r="AIT88" s="1"/>
      <c r="AIU88" s="1"/>
      <c r="AIV88" s="1"/>
      <c r="AIW88" s="1"/>
      <c r="AIX88" s="1"/>
      <c r="AIY88" s="1"/>
      <c r="AIZ88" s="1"/>
      <c r="AJA88" s="1"/>
      <c r="AJB88" s="1"/>
      <c r="AJC88" s="1"/>
      <c r="AJD88" s="1"/>
      <c r="AJE88" s="1"/>
      <c r="AJF88" s="1"/>
      <c r="AJG88" s="1"/>
      <c r="AJH88" s="1"/>
      <c r="AJI88" s="1"/>
      <c r="AJJ88" s="1"/>
      <c r="AJK88" s="1"/>
      <c r="AJL88" s="1"/>
      <c r="AJM88" s="1"/>
      <c r="AJN88" s="1"/>
      <c r="AJO88" s="1"/>
      <c r="AJP88" s="1"/>
      <c r="AJQ88" s="1"/>
      <c r="AJR88" s="1"/>
      <c r="AJS88" s="1"/>
      <c r="AJT88" s="1"/>
      <c r="AJU88" s="1"/>
      <c r="AJV88" s="1"/>
      <c r="AJW88" s="1"/>
      <c r="AJX88" s="1"/>
      <c r="AJY88" s="1"/>
      <c r="AJZ88" s="1"/>
      <c r="AKA88" s="1"/>
      <c r="AKB88" s="1"/>
      <c r="AKC88" s="1"/>
      <c r="AKD88" s="1"/>
      <c r="AKE88" s="1"/>
      <c r="AKF88" s="1"/>
      <c r="AKG88" s="1"/>
      <c r="AKH88" s="1"/>
      <c r="AKI88" s="1"/>
      <c r="AKJ88" s="1"/>
      <c r="AKK88" s="1"/>
      <c r="AKL88" s="1"/>
      <c r="AKM88" s="1"/>
      <c r="AKN88" s="1"/>
      <c r="AKO88" s="1"/>
      <c r="AKP88" s="1"/>
      <c r="AKQ88" s="1"/>
      <c r="AKR88" s="1"/>
      <c r="AKS88" s="1"/>
      <c r="AKT88" s="1"/>
      <c r="AKU88" s="1"/>
      <c r="AKV88" s="1"/>
      <c r="AKW88" s="1"/>
      <c r="AKX88" s="1"/>
      <c r="AKY88" s="1"/>
      <c r="AKZ88" s="1"/>
      <c r="ALA88" s="1"/>
      <c r="ALB88" s="1"/>
      <c r="ALC88" s="1"/>
      <c r="ALD88" s="1"/>
      <c r="ALE88" s="1"/>
      <c r="ALF88" s="1"/>
      <c r="ALG88" s="1"/>
      <c r="ALH88" s="1"/>
      <c r="ALI88" s="1"/>
      <c r="ALJ88" s="1"/>
      <c r="ALK88" s="1"/>
      <c r="ALL88" s="1"/>
      <c r="ALM88" s="1"/>
      <c r="ALN88" s="1"/>
      <c r="ALO88" s="1"/>
      <c r="ALP88" s="1"/>
      <c r="ALQ88" s="1"/>
      <c r="ALR88" s="1"/>
      <c r="ALS88" s="1"/>
      <c r="ALT88" s="1"/>
      <c r="ALU88" s="1"/>
      <c r="ALV88" s="1"/>
      <c r="ALW88" s="1"/>
      <c r="ALX88" s="1"/>
      <c r="ALY88" s="1"/>
      <c r="ALZ88" s="1"/>
      <c r="AMA88" s="1"/>
      <c r="AMB88" s="1"/>
      <c r="AMC88" s="1"/>
      <c r="AMD88" s="1"/>
      <c r="AME88" s="1"/>
      <c r="AMF88" s="1"/>
      <c r="AMG88" s="1"/>
      <c r="AMH88" s="1"/>
      <c r="AMI88" s="1"/>
      <c r="AMJ88" s="1"/>
      <c r="AMK88" s="1"/>
      <c r="AML88" s="1"/>
      <c r="AMM88" s="1"/>
      <c r="AMN88" s="1"/>
      <c r="AMO88" s="1"/>
      <c r="AMP88" s="1"/>
      <c r="AMQ88" s="1"/>
      <c r="AMR88" s="1"/>
      <c r="AMS88" s="1"/>
      <c r="AMT88" s="1"/>
      <c r="AMU88" s="1"/>
      <c r="AMV88" s="1"/>
      <c r="AMW88" s="1"/>
      <c r="AMX88" s="1"/>
      <c r="AMY88" s="1"/>
      <c r="AMZ88" s="1"/>
      <c r="ANA88" s="1"/>
      <c r="ANB88" s="1"/>
      <c r="ANC88" s="1"/>
      <c r="AND88" s="1"/>
      <c r="ANE88" s="1"/>
      <c r="ANF88" s="1"/>
      <c r="ANG88" s="1"/>
      <c r="ANH88" s="1"/>
      <c r="ANI88" s="1"/>
      <c r="ANJ88" s="1"/>
      <c r="ANK88" s="1"/>
      <c r="ANL88" s="1"/>
      <c r="ANM88" s="1"/>
      <c r="ANN88" s="1"/>
      <c r="ANO88" s="1"/>
      <c r="ANP88" s="1"/>
      <c r="ANQ88" s="1"/>
      <c r="ANR88" s="1"/>
      <c r="ANS88" s="1"/>
      <c r="ANT88" s="1"/>
      <c r="ANU88" s="1"/>
      <c r="ANV88" s="1"/>
      <c r="ANW88" s="1"/>
      <c r="ANX88" s="1"/>
      <c r="ANY88" s="1"/>
      <c r="ANZ88" s="1"/>
      <c r="AOA88" s="1"/>
      <c r="AOB88" s="1"/>
      <c r="AOC88" s="1"/>
      <c r="AOD88" s="1"/>
      <c r="AOE88" s="1"/>
      <c r="AOF88" s="1"/>
      <c r="AOG88" s="1"/>
      <c r="AOH88" s="1"/>
      <c r="AOI88" s="1"/>
      <c r="AOJ88" s="1"/>
      <c r="AOK88" s="1"/>
      <c r="AOL88" s="1"/>
      <c r="AOM88" s="1"/>
      <c r="AON88" s="1"/>
      <c r="AOO88" s="1"/>
      <c r="AOP88" s="1"/>
      <c r="AOQ88" s="1"/>
      <c r="AOR88" s="1"/>
      <c r="AOS88" s="1"/>
      <c r="AOT88" s="1"/>
      <c r="AOU88" s="1"/>
      <c r="AOV88" s="1"/>
      <c r="AOW88" s="1"/>
      <c r="AOX88" s="1"/>
      <c r="AOY88" s="1"/>
      <c r="AOZ88" s="1"/>
      <c r="APA88" s="1"/>
      <c r="APB88" s="1"/>
      <c r="APC88" s="1"/>
      <c r="APD88" s="1"/>
      <c r="APE88" s="1"/>
      <c r="APF88" s="1"/>
      <c r="APG88" s="1"/>
      <c r="APH88" s="1"/>
      <c r="API88" s="1"/>
      <c r="APJ88" s="1"/>
      <c r="APK88" s="1"/>
      <c r="APL88" s="1"/>
      <c r="APM88" s="1"/>
      <c r="APN88" s="1"/>
      <c r="APO88" s="1"/>
      <c r="APP88" s="1"/>
      <c r="APQ88" s="1"/>
      <c r="APR88" s="1"/>
      <c r="APS88" s="1"/>
      <c r="APT88" s="1"/>
      <c r="APU88" s="1"/>
      <c r="APV88" s="1"/>
      <c r="APW88" s="1"/>
      <c r="APX88" s="1"/>
      <c r="APY88" s="1"/>
      <c r="APZ88" s="1"/>
      <c r="AQA88" s="1"/>
      <c r="AQB88" s="1"/>
      <c r="AQC88" s="1"/>
      <c r="AQD88" s="1"/>
      <c r="AQE88" s="1"/>
      <c r="AQF88" s="1"/>
      <c r="AQG88" s="1"/>
      <c r="AQH88" s="1"/>
      <c r="AQI88" s="1"/>
      <c r="AQJ88" s="1"/>
      <c r="AQK88" s="1"/>
      <c r="AQL88" s="1"/>
      <c r="AQM88" s="1"/>
      <c r="AQN88" s="1"/>
      <c r="AQO88" s="1"/>
      <c r="AQP88" s="1"/>
      <c r="AQQ88" s="1"/>
      <c r="AQR88" s="1"/>
      <c r="AQS88" s="1"/>
      <c r="AQT88" s="1"/>
      <c r="AQU88" s="1"/>
      <c r="AQV88" s="1"/>
      <c r="AQW88" s="1"/>
      <c r="AQX88" s="1"/>
      <c r="AQY88" s="1"/>
      <c r="AQZ88" s="1"/>
      <c r="ARA88" s="1"/>
      <c r="ARB88" s="1"/>
      <c r="ARC88" s="1"/>
      <c r="ARD88" s="1"/>
      <c r="ARE88" s="1"/>
      <c r="ARF88" s="1"/>
      <c r="ARG88" s="1"/>
      <c r="ARH88" s="1"/>
      <c r="ARI88" s="1"/>
      <c r="ARJ88" s="1"/>
      <c r="ARK88" s="1"/>
      <c r="ARL88" s="1"/>
      <c r="ARM88" s="1"/>
      <c r="ARN88" s="1"/>
      <c r="ARO88" s="1"/>
      <c r="ARP88" s="1"/>
      <c r="ARQ88" s="1"/>
      <c r="ARR88" s="1"/>
      <c r="ARS88" s="1"/>
      <c r="ART88" s="1"/>
      <c r="ARU88" s="1"/>
      <c r="ARV88" s="1"/>
      <c r="ARW88" s="1"/>
      <c r="ARX88" s="1"/>
      <c r="ARY88" s="1"/>
      <c r="ARZ88" s="1"/>
      <c r="ASA88" s="1"/>
      <c r="ASB88" s="1"/>
      <c r="ASC88" s="1"/>
      <c r="ASD88" s="1"/>
      <c r="ASE88" s="1"/>
      <c r="ASF88" s="1"/>
      <c r="ASG88" s="1"/>
      <c r="ASH88" s="1"/>
      <c r="ASI88" s="1"/>
      <c r="ASJ88" s="1"/>
      <c r="ASK88" s="1"/>
      <c r="ASL88" s="1"/>
      <c r="ASM88" s="1"/>
      <c r="ASN88" s="1"/>
      <c r="ASO88" s="1"/>
      <c r="ASP88" s="1"/>
      <c r="ASQ88" s="1"/>
      <c r="ASR88" s="1"/>
      <c r="ASS88" s="1"/>
      <c r="AST88" s="1"/>
      <c r="ASU88" s="1"/>
      <c r="ASV88" s="1"/>
      <c r="ASW88" s="1"/>
      <c r="ASX88" s="1"/>
      <c r="ASY88" s="1"/>
      <c r="ASZ88" s="1"/>
      <c r="ATA88" s="1"/>
      <c r="ATB88" s="1"/>
      <c r="ATC88" s="1"/>
      <c r="ATD88" s="1"/>
      <c r="ATE88" s="1"/>
      <c r="ATF88" s="1"/>
      <c r="ATG88" s="1"/>
      <c r="ATH88" s="1"/>
      <c r="ATI88" s="1"/>
      <c r="ATJ88" s="1"/>
      <c r="ATK88" s="1"/>
      <c r="ATL88" s="1"/>
      <c r="ATM88" s="1"/>
      <c r="ATN88" s="1"/>
      <c r="ATO88" s="1"/>
      <c r="ATP88" s="1"/>
      <c r="ATQ88" s="1"/>
      <c r="ATR88" s="1"/>
      <c r="ATS88" s="1"/>
      <c r="ATT88" s="1"/>
      <c r="ATU88" s="1"/>
      <c r="ATV88" s="1"/>
      <c r="ATW88" s="1"/>
      <c r="ATX88" s="1"/>
      <c r="ATY88" s="1"/>
      <c r="ATZ88" s="1"/>
      <c r="AUA88" s="1"/>
      <c r="AUB88" s="1"/>
      <c r="AUC88" s="1"/>
      <c r="AUD88" s="1"/>
      <c r="AUE88" s="1"/>
      <c r="AUF88" s="1"/>
      <c r="AUG88" s="1"/>
      <c r="AUH88" s="1"/>
      <c r="AUI88" s="1"/>
      <c r="AUJ88" s="1"/>
      <c r="AUK88" s="1"/>
      <c r="AUL88" s="1"/>
      <c r="AUM88" s="1"/>
      <c r="AUN88" s="1"/>
      <c r="AUO88" s="1"/>
      <c r="AUP88" s="1"/>
      <c r="AUQ88" s="1"/>
      <c r="AUR88" s="1"/>
      <c r="AUS88" s="1"/>
      <c r="AUT88" s="1"/>
      <c r="AUU88" s="1"/>
      <c r="AUV88" s="1"/>
      <c r="AUW88" s="1"/>
      <c r="AUX88" s="1"/>
      <c r="AUY88" s="1"/>
      <c r="AUZ88" s="1"/>
      <c r="AVA88" s="1"/>
      <c r="AVB88" s="1"/>
      <c r="AVC88" s="1"/>
      <c r="AVD88" s="1"/>
      <c r="AVE88" s="1"/>
      <c r="AVF88" s="1"/>
      <c r="AVG88" s="1"/>
      <c r="AVH88" s="1"/>
      <c r="AVI88" s="1"/>
      <c r="AVJ88" s="1"/>
      <c r="AVK88" s="1"/>
      <c r="AVL88" s="1"/>
      <c r="AVM88" s="1"/>
      <c r="AVN88" s="1"/>
      <c r="AVO88" s="1"/>
      <c r="AVP88" s="1"/>
      <c r="AVQ88" s="1"/>
      <c r="AVR88" s="1"/>
      <c r="AVS88" s="1"/>
      <c r="AVT88" s="1"/>
      <c r="AVU88" s="1"/>
      <c r="AVV88" s="1"/>
      <c r="AVW88" s="1"/>
      <c r="AVX88" s="1"/>
      <c r="AVY88" s="1"/>
      <c r="AVZ88" s="1"/>
      <c r="AWA88" s="1"/>
      <c r="AWB88" s="1"/>
      <c r="AWC88" s="1"/>
      <c r="AWD88" s="1"/>
      <c r="AWE88" s="1"/>
      <c r="AWF88" s="1"/>
      <c r="AWG88" s="1"/>
      <c r="AWH88" s="1"/>
      <c r="AWI88" s="1"/>
      <c r="AWJ88" s="1"/>
      <c r="AWK88" s="1"/>
      <c r="AWL88" s="1"/>
      <c r="AWM88" s="1"/>
      <c r="AWN88" s="1"/>
      <c r="AWO88" s="1"/>
      <c r="AWP88" s="1"/>
      <c r="AWQ88" s="1"/>
      <c r="AWR88" s="1"/>
      <c r="AWS88" s="1"/>
      <c r="AWT88" s="1"/>
      <c r="AWU88" s="1"/>
      <c r="AWV88" s="1"/>
      <c r="AWW88" s="1"/>
      <c r="AWX88" s="1"/>
      <c r="AWY88" s="1"/>
      <c r="AWZ88" s="1"/>
      <c r="AXA88" s="1"/>
      <c r="AXB88" s="1"/>
      <c r="AXC88" s="1"/>
      <c r="AXD88" s="1"/>
      <c r="AXE88" s="1"/>
      <c r="AXF88" s="1"/>
      <c r="AXG88" s="1"/>
      <c r="AXH88" s="1"/>
      <c r="AXI88" s="1"/>
      <c r="AXJ88" s="1"/>
      <c r="AXK88" s="1"/>
      <c r="AXL88" s="1"/>
      <c r="AXM88" s="1"/>
      <c r="AXN88" s="1"/>
      <c r="AXO88" s="1"/>
      <c r="AXP88" s="1"/>
      <c r="AXQ88" s="1"/>
      <c r="AXR88" s="1"/>
      <c r="AXS88" s="1"/>
      <c r="AXT88" s="1"/>
      <c r="AXU88" s="1"/>
      <c r="AXV88" s="1"/>
      <c r="AXW88" s="1"/>
      <c r="AXX88" s="1"/>
      <c r="AXY88" s="1"/>
      <c r="AXZ88" s="1"/>
      <c r="AYA88" s="1"/>
      <c r="AYB88" s="1"/>
      <c r="AYC88" s="1"/>
      <c r="AYD88" s="1"/>
      <c r="AYE88" s="1"/>
      <c r="AYF88" s="1"/>
      <c r="AYG88" s="1"/>
      <c r="AYH88" s="1"/>
      <c r="AYI88" s="1"/>
      <c r="AYJ88" s="1"/>
      <c r="AYK88" s="1"/>
      <c r="AYL88" s="1"/>
      <c r="AYM88" s="1"/>
      <c r="AYN88" s="1"/>
      <c r="AYO88" s="1"/>
      <c r="AYP88" s="1"/>
      <c r="AYQ88" s="1"/>
      <c r="AYR88" s="1"/>
      <c r="AYS88" s="1"/>
      <c r="AYT88" s="1"/>
      <c r="AYU88" s="1"/>
      <c r="AYV88" s="1"/>
      <c r="AYW88" s="1"/>
      <c r="AYX88" s="1"/>
      <c r="AYY88" s="1"/>
      <c r="AYZ88" s="1"/>
      <c r="AZA88" s="1"/>
      <c r="AZB88" s="1"/>
      <c r="AZC88" s="1"/>
      <c r="AZD88" s="1"/>
      <c r="AZE88" s="1"/>
      <c r="AZF88" s="1"/>
      <c r="AZG88" s="1"/>
      <c r="AZH88" s="1"/>
      <c r="AZI88" s="1"/>
      <c r="AZJ88" s="1"/>
      <c r="AZK88" s="1"/>
      <c r="AZL88" s="1"/>
      <c r="AZM88" s="1"/>
      <c r="AZN88" s="1"/>
      <c r="AZO88" s="1"/>
      <c r="AZP88" s="1"/>
      <c r="AZQ88" s="1"/>
      <c r="AZR88" s="1"/>
      <c r="AZS88" s="1"/>
      <c r="AZT88" s="1"/>
      <c r="AZU88" s="1"/>
      <c r="AZV88" s="1"/>
      <c r="AZW88" s="1"/>
      <c r="AZX88" s="1"/>
      <c r="AZY88" s="1"/>
      <c r="AZZ88" s="1"/>
      <c r="BAA88" s="1"/>
      <c r="BAB88" s="1"/>
      <c r="BAC88" s="1"/>
      <c r="BAD88" s="1"/>
      <c r="BAE88" s="1"/>
      <c r="BAF88" s="1"/>
      <c r="BAG88" s="1"/>
      <c r="BAH88" s="1"/>
      <c r="BAI88" s="1"/>
      <c r="BAJ88" s="1"/>
      <c r="BAK88" s="1"/>
      <c r="BAL88" s="1"/>
      <c r="BAM88" s="1"/>
      <c r="BAN88" s="1"/>
      <c r="BAO88" s="1"/>
      <c r="BAP88" s="1"/>
      <c r="BAQ88" s="1"/>
      <c r="BAR88" s="1"/>
      <c r="BAS88" s="1"/>
      <c r="BAT88" s="1"/>
      <c r="BAU88" s="1"/>
      <c r="BAV88" s="1"/>
      <c r="BAW88" s="1"/>
      <c r="BAX88" s="1"/>
      <c r="BAY88" s="1"/>
      <c r="BAZ88" s="1"/>
      <c r="BBA88" s="1"/>
      <c r="BBB88" s="1"/>
      <c r="BBC88" s="1"/>
      <c r="BBD88" s="1"/>
      <c r="BBE88" s="1"/>
      <c r="BBF88" s="1"/>
      <c r="BBG88" s="1"/>
      <c r="BBH88" s="1"/>
      <c r="BBI88" s="1"/>
      <c r="BBJ88" s="1"/>
      <c r="BBK88" s="1"/>
      <c r="BBL88" s="1"/>
      <c r="BBM88" s="1"/>
      <c r="BBN88" s="1"/>
      <c r="BBO88" s="1"/>
      <c r="BBP88" s="1"/>
      <c r="BBQ88" s="1"/>
      <c r="BBR88" s="1"/>
      <c r="BBS88" s="1"/>
      <c r="BBT88" s="1"/>
      <c r="BBU88" s="1"/>
      <c r="BBV88" s="1"/>
      <c r="BBW88" s="1"/>
      <c r="BBX88" s="1"/>
      <c r="BBY88" s="1"/>
      <c r="BBZ88" s="1"/>
      <c r="BCA88" s="1"/>
      <c r="BCB88" s="1"/>
      <c r="BCC88" s="1"/>
      <c r="BCD88" s="1"/>
      <c r="BCE88" s="1"/>
      <c r="BCF88" s="1"/>
      <c r="BCG88" s="1"/>
      <c r="BCH88" s="1"/>
      <c r="BCI88" s="1"/>
      <c r="BCJ88" s="1"/>
      <c r="BCK88" s="1"/>
      <c r="BCL88" s="1"/>
      <c r="BCM88" s="1"/>
      <c r="BCN88" s="1"/>
      <c r="BCO88" s="1"/>
      <c r="BCP88" s="1"/>
      <c r="BCQ88" s="1"/>
      <c r="BCR88" s="1"/>
      <c r="BCS88" s="1"/>
      <c r="BCT88" s="1"/>
      <c r="BCU88" s="1"/>
      <c r="BCV88" s="1"/>
      <c r="BCW88" s="1"/>
      <c r="BCX88" s="1"/>
      <c r="BCY88" s="1"/>
      <c r="BCZ88" s="1"/>
      <c r="BDA88" s="1"/>
      <c r="BDB88" s="1"/>
      <c r="BDC88" s="1"/>
      <c r="BDD88" s="1"/>
      <c r="BDE88" s="1"/>
      <c r="BDF88" s="1"/>
      <c r="BDG88" s="1"/>
      <c r="BDH88" s="1"/>
      <c r="BDI88" s="1"/>
      <c r="BDJ88" s="1"/>
      <c r="BDK88" s="1"/>
      <c r="BDL88" s="1"/>
      <c r="BDM88" s="1"/>
      <c r="BDN88" s="1"/>
      <c r="BDO88" s="1"/>
      <c r="BDP88" s="1"/>
      <c r="BDQ88" s="1"/>
      <c r="BDR88" s="1"/>
      <c r="BDS88" s="1"/>
      <c r="BDT88" s="1"/>
      <c r="BDU88" s="1"/>
      <c r="BDV88" s="1"/>
      <c r="BDW88" s="1"/>
      <c r="BDX88" s="1"/>
      <c r="BDY88" s="1"/>
      <c r="BDZ88" s="1"/>
      <c r="BEA88" s="1"/>
      <c r="BEB88" s="1"/>
      <c r="BEC88" s="1"/>
      <c r="BED88" s="1"/>
      <c r="BEE88" s="1"/>
      <c r="BEF88" s="1"/>
      <c r="BEG88" s="1"/>
      <c r="BEH88" s="1"/>
      <c r="BEI88" s="1"/>
      <c r="BEJ88" s="1"/>
      <c r="BEK88" s="1"/>
      <c r="BEL88" s="1"/>
      <c r="BEM88" s="1"/>
      <c r="BEN88" s="1"/>
      <c r="BEO88" s="1"/>
      <c r="BEP88" s="1"/>
      <c r="BEQ88" s="1"/>
      <c r="BER88" s="1"/>
      <c r="BES88" s="1"/>
      <c r="BET88" s="1"/>
      <c r="BEU88" s="1"/>
      <c r="BEV88" s="1"/>
      <c r="BEW88" s="1"/>
      <c r="BEX88" s="1"/>
      <c r="BEY88" s="1"/>
      <c r="BEZ88" s="1"/>
      <c r="BFA88" s="1"/>
      <c r="BFB88" s="1"/>
      <c r="BFC88" s="1"/>
      <c r="BFD88" s="1"/>
      <c r="BFE88" s="1"/>
      <c r="BFF88" s="1"/>
      <c r="BFG88" s="1"/>
      <c r="BFH88" s="1"/>
      <c r="BFI88" s="1"/>
      <c r="BFJ88" s="1"/>
      <c r="BFK88" s="1"/>
      <c r="BFL88" s="1"/>
      <c r="BFM88" s="1"/>
      <c r="BFN88" s="1"/>
      <c r="BFO88" s="1"/>
      <c r="BFP88" s="1"/>
      <c r="BFQ88" s="1"/>
      <c r="BFR88" s="1"/>
      <c r="BFS88" s="1"/>
      <c r="BFT88" s="1"/>
      <c r="BFU88" s="1"/>
      <c r="BFV88" s="1"/>
      <c r="BFW88" s="1"/>
      <c r="BFX88" s="1"/>
      <c r="BFY88" s="1"/>
      <c r="BFZ88" s="1"/>
      <c r="BGA88" s="1"/>
      <c r="BGB88" s="1"/>
      <c r="BGC88" s="1"/>
      <c r="BGD88" s="1"/>
      <c r="BGE88" s="1"/>
      <c r="BGF88" s="1"/>
      <c r="BGG88" s="1"/>
      <c r="BGH88" s="1"/>
      <c r="BGI88" s="1"/>
      <c r="BGJ88" s="1"/>
      <c r="BGK88" s="1"/>
      <c r="BGL88" s="1"/>
      <c r="BGM88" s="1"/>
      <c r="BGN88" s="1"/>
      <c r="BGO88" s="1"/>
      <c r="BGP88" s="1"/>
      <c r="BGQ88" s="1"/>
      <c r="BGR88" s="1"/>
      <c r="BGS88" s="1"/>
      <c r="BGT88" s="1"/>
      <c r="BGU88" s="1"/>
      <c r="BGV88" s="1"/>
      <c r="BGW88" s="1"/>
      <c r="BGX88" s="1"/>
      <c r="BGY88" s="1"/>
      <c r="BGZ88" s="1"/>
      <c r="BHA88" s="1"/>
      <c r="BHB88" s="1"/>
      <c r="BHC88" s="1"/>
      <c r="BHD88" s="1"/>
      <c r="BHE88" s="1"/>
      <c r="BHF88" s="1"/>
      <c r="BHG88" s="1"/>
      <c r="BHH88" s="1"/>
      <c r="BHI88" s="1"/>
      <c r="BHJ88" s="1"/>
      <c r="BHK88" s="1"/>
      <c r="BHL88" s="1"/>
      <c r="BHM88" s="1"/>
      <c r="BHN88" s="1"/>
      <c r="BHO88" s="1"/>
      <c r="BHP88" s="1"/>
      <c r="BHQ88" s="1"/>
      <c r="BHR88" s="1"/>
      <c r="BHS88" s="1"/>
      <c r="BHT88" s="1"/>
      <c r="BHU88" s="1"/>
      <c r="BHV88" s="1"/>
      <c r="BHW88" s="1"/>
      <c r="BHX88" s="1"/>
      <c r="BHY88" s="1"/>
      <c r="BHZ88" s="1"/>
      <c r="BIA88" s="1"/>
      <c r="BIB88" s="1"/>
      <c r="BIC88" s="1"/>
      <c r="BID88" s="1"/>
      <c r="BIE88" s="1"/>
      <c r="BIF88" s="1"/>
      <c r="BIG88" s="1"/>
      <c r="BIH88" s="1"/>
      <c r="BII88" s="1"/>
      <c r="BIJ88" s="1"/>
      <c r="BIK88" s="1"/>
      <c r="BIL88" s="1"/>
      <c r="BIM88" s="1"/>
      <c r="BIN88" s="1"/>
      <c r="BIO88" s="1"/>
      <c r="BIP88" s="1"/>
      <c r="BIQ88" s="1"/>
      <c r="BIR88" s="1"/>
      <c r="BIS88" s="1"/>
      <c r="BIT88" s="1"/>
      <c r="BIU88" s="1"/>
      <c r="BIV88" s="1"/>
      <c r="BIW88" s="1"/>
      <c r="BIX88" s="1"/>
      <c r="BIY88" s="1"/>
      <c r="BIZ88" s="1"/>
      <c r="BJA88" s="1"/>
      <c r="BJB88" s="1"/>
      <c r="BJC88" s="1"/>
      <c r="BJD88" s="1"/>
      <c r="BJE88" s="1"/>
      <c r="BJF88" s="1"/>
      <c r="BJG88" s="1"/>
      <c r="BJH88" s="1"/>
      <c r="BJI88" s="1"/>
      <c r="BJJ88" s="1"/>
      <c r="BJK88" s="1"/>
      <c r="BJL88" s="1"/>
      <c r="BJM88" s="1"/>
      <c r="BJN88" s="1"/>
      <c r="BJO88" s="1"/>
      <c r="BJP88" s="1"/>
      <c r="BJQ88" s="1"/>
      <c r="BJR88" s="1"/>
      <c r="BJS88" s="1"/>
      <c r="BJT88" s="1"/>
      <c r="BJU88" s="1"/>
      <c r="BJV88" s="1"/>
      <c r="BJW88" s="1"/>
      <c r="BJX88" s="1"/>
      <c r="BJY88" s="1"/>
      <c r="BJZ88" s="1"/>
      <c r="BKA88" s="1"/>
      <c r="BKB88" s="1"/>
      <c r="BKC88" s="1"/>
      <c r="BKD88" s="1"/>
      <c r="BKE88" s="1"/>
      <c r="BKF88" s="1"/>
      <c r="BKG88" s="1"/>
      <c r="BKH88" s="1"/>
      <c r="BKI88" s="1"/>
      <c r="BKJ88" s="1"/>
      <c r="BKK88" s="1"/>
      <c r="BKL88" s="1"/>
      <c r="BKM88" s="1"/>
      <c r="BKN88" s="1"/>
      <c r="BKO88" s="1"/>
      <c r="BKP88" s="1"/>
      <c r="BKQ88" s="1"/>
      <c r="BKR88" s="1"/>
      <c r="BKS88" s="1"/>
      <c r="BKT88" s="1"/>
      <c r="BKU88" s="1"/>
      <c r="BKV88" s="1"/>
      <c r="BKW88" s="1"/>
      <c r="BKX88" s="1"/>
      <c r="BKY88" s="1"/>
      <c r="BKZ88" s="1"/>
      <c r="BLA88" s="1"/>
      <c r="BLB88" s="1"/>
      <c r="BLC88" s="1"/>
      <c r="BLD88" s="1"/>
      <c r="BLE88" s="1"/>
      <c r="BLF88" s="1"/>
      <c r="BLG88" s="1"/>
      <c r="BLH88" s="1"/>
      <c r="BLI88" s="1"/>
      <c r="BLJ88" s="1"/>
      <c r="BLK88" s="1"/>
      <c r="BLL88" s="1"/>
      <c r="BLM88" s="1"/>
      <c r="BLN88" s="1"/>
      <c r="BLO88" s="1"/>
      <c r="BLP88" s="1"/>
      <c r="BLQ88" s="1"/>
      <c r="BLR88" s="1"/>
      <c r="BLS88" s="1"/>
      <c r="BLT88" s="1"/>
      <c r="BLU88" s="1"/>
      <c r="BLV88" s="1"/>
      <c r="BLW88" s="1"/>
      <c r="BLX88" s="1"/>
      <c r="BLY88" s="1"/>
      <c r="BLZ88" s="1"/>
      <c r="BMA88" s="1"/>
      <c r="BMB88" s="1"/>
      <c r="BMC88" s="1"/>
      <c r="BMD88" s="1"/>
      <c r="BME88" s="1"/>
      <c r="BMF88" s="1"/>
      <c r="BMG88" s="1"/>
      <c r="BMH88" s="1"/>
      <c r="BMI88" s="1"/>
      <c r="BMJ88" s="1"/>
      <c r="BMK88" s="1"/>
      <c r="BML88" s="1"/>
      <c r="BMM88" s="1"/>
      <c r="BMN88" s="1"/>
      <c r="BMO88" s="1"/>
      <c r="BMP88" s="1"/>
      <c r="BMQ88" s="1"/>
      <c r="BMR88" s="1"/>
      <c r="BMS88" s="1"/>
      <c r="BMT88" s="1"/>
      <c r="BMU88" s="1"/>
      <c r="BMV88" s="1"/>
      <c r="BMW88" s="1"/>
      <c r="BMX88" s="1"/>
      <c r="BMY88" s="1"/>
      <c r="BMZ88" s="1"/>
      <c r="BNA88" s="1"/>
      <c r="BNB88" s="1"/>
      <c r="BNC88" s="1"/>
      <c r="BND88" s="1"/>
      <c r="BNE88" s="1"/>
      <c r="BNF88" s="1"/>
      <c r="BNG88" s="1"/>
      <c r="BNH88" s="1"/>
      <c r="BNI88" s="1"/>
      <c r="BNJ88" s="1"/>
      <c r="BNK88" s="1"/>
      <c r="BNL88" s="1"/>
      <c r="BNM88" s="1"/>
      <c r="BNN88" s="1"/>
      <c r="BNO88" s="1"/>
      <c r="BNP88" s="1"/>
      <c r="BNQ88" s="1"/>
      <c r="BNR88" s="1"/>
      <c r="BNS88" s="1"/>
      <c r="BNT88" s="1"/>
      <c r="BNU88" s="1"/>
      <c r="BNV88" s="1"/>
      <c r="BNW88" s="1"/>
      <c r="BNX88" s="1"/>
      <c r="BNY88" s="1"/>
      <c r="BNZ88" s="1"/>
      <c r="BOA88" s="1"/>
      <c r="BOB88" s="1"/>
      <c r="BOC88" s="1"/>
      <c r="BOD88" s="1"/>
      <c r="BOE88" s="1"/>
      <c r="BOF88" s="1"/>
      <c r="BOG88" s="1"/>
      <c r="BOH88" s="1"/>
      <c r="BOI88" s="1"/>
      <c r="BOJ88" s="1"/>
      <c r="BOK88" s="1"/>
      <c r="BOL88" s="1"/>
      <c r="BOM88" s="1"/>
      <c r="BON88" s="1"/>
      <c r="BOO88" s="1"/>
      <c r="BOP88" s="1"/>
      <c r="BOQ88" s="1"/>
      <c r="BOR88" s="1"/>
      <c r="BOS88" s="1"/>
      <c r="BOT88" s="1"/>
      <c r="BOU88" s="1"/>
      <c r="BOV88" s="1"/>
      <c r="BOW88" s="1"/>
      <c r="BOX88" s="1"/>
      <c r="BOY88" s="1"/>
      <c r="BOZ88" s="1"/>
      <c r="BPA88" s="1"/>
      <c r="BPB88" s="1"/>
      <c r="BPC88" s="1"/>
      <c r="BPD88" s="1"/>
      <c r="BPE88" s="1"/>
      <c r="BPF88" s="1"/>
      <c r="BPG88" s="1"/>
      <c r="BPH88" s="1"/>
      <c r="BPI88" s="1"/>
      <c r="BPJ88" s="1"/>
      <c r="BPK88" s="1"/>
      <c r="BPL88" s="1"/>
      <c r="BPM88" s="1"/>
      <c r="BPN88" s="1"/>
      <c r="BPO88" s="1"/>
      <c r="BPP88" s="1"/>
      <c r="BPQ88" s="1"/>
      <c r="BPR88" s="1"/>
      <c r="BPS88" s="1"/>
      <c r="BPT88" s="1"/>
      <c r="BPU88" s="1"/>
      <c r="BPV88" s="1"/>
      <c r="BPW88" s="1"/>
      <c r="BPX88" s="1"/>
      <c r="BPY88" s="1"/>
      <c r="BPZ88" s="1"/>
      <c r="BQA88" s="1"/>
      <c r="BQB88" s="1"/>
      <c r="BQC88" s="1"/>
      <c r="BQD88" s="1"/>
      <c r="BQE88" s="1"/>
      <c r="BQF88" s="1"/>
      <c r="BQG88" s="1"/>
      <c r="BQH88" s="1"/>
      <c r="BQI88" s="1"/>
      <c r="BQJ88" s="1"/>
      <c r="BQK88" s="1"/>
      <c r="BQL88" s="1"/>
      <c r="BQM88" s="1"/>
      <c r="BQN88" s="1"/>
      <c r="BQO88" s="1"/>
      <c r="BQP88" s="1"/>
      <c r="BQQ88" s="1"/>
      <c r="BQR88" s="1"/>
      <c r="BQS88" s="1"/>
      <c r="BQT88" s="1"/>
      <c r="BQU88" s="1"/>
      <c r="BQV88" s="1"/>
      <c r="BQW88" s="1"/>
      <c r="BQX88" s="1"/>
      <c r="BQY88" s="1"/>
      <c r="BQZ88" s="1"/>
      <c r="BRA88" s="1"/>
      <c r="BRB88" s="1"/>
      <c r="BRC88" s="1"/>
      <c r="BRD88" s="1"/>
      <c r="BRE88" s="1"/>
      <c r="BRF88" s="1"/>
      <c r="BRG88" s="1"/>
      <c r="BRH88" s="1"/>
      <c r="BRI88" s="1"/>
      <c r="BRJ88" s="1"/>
      <c r="BRK88" s="1"/>
      <c r="BRL88" s="1"/>
      <c r="BRM88" s="1"/>
      <c r="BRN88" s="1"/>
      <c r="BRO88" s="1"/>
      <c r="BRP88" s="1"/>
      <c r="BRQ88" s="1"/>
      <c r="BRR88" s="1"/>
      <c r="BRS88" s="1"/>
      <c r="BRT88" s="1"/>
      <c r="BRU88" s="1"/>
      <c r="BRV88" s="1"/>
      <c r="BRW88" s="1"/>
      <c r="BRX88" s="1"/>
      <c r="BRY88" s="1"/>
      <c r="BRZ88" s="1"/>
      <c r="BSA88" s="1"/>
      <c r="BSB88" s="1"/>
      <c r="BSC88" s="1"/>
      <c r="BSD88" s="1"/>
      <c r="BSE88" s="1"/>
      <c r="BSF88" s="1"/>
      <c r="BSG88" s="1"/>
      <c r="BSH88" s="1"/>
      <c r="BSI88" s="1"/>
      <c r="BSJ88" s="1"/>
      <c r="BSK88" s="1"/>
      <c r="BSL88" s="1"/>
      <c r="BSM88" s="1"/>
      <c r="BSN88" s="1"/>
      <c r="BSO88" s="1"/>
      <c r="BSP88" s="1"/>
      <c r="BSQ88" s="1"/>
      <c r="BSR88" s="1"/>
      <c r="BSS88" s="1"/>
      <c r="BST88" s="1"/>
      <c r="BSU88" s="1"/>
      <c r="BSV88" s="1"/>
      <c r="BSW88" s="1"/>
      <c r="BSX88" s="1"/>
      <c r="BSY88" s="1"/>
      <c r="BSZ88" s="1"/>
      <c r="BTA88" s="1"/>
      <c r="BTB88" s="1"/>
      <c r="BTC88" s="1"/>
      <c r="BTD88" s="1"/>
      <c r="BTE88" s="1"/>
      <c r="BTF88" s="1"/>
      <c r="BTG88" s="1"/>
      <c r="BTH88" s="1"/>
      <c r="BTI88" s="1"/>
      <c r="BTJ88" s="1"/>
      <c r="BTK88" s="1"/>
      <c r="BTL88" s="1"/>
      <c r="BTM88" s="1"/>
      <c r="BTN88" s="1"/>
      <c r="BTO88" s="1"/>
      <c r="BTP88" s="1"/>
      <c r="BTQ88" s="1"/>
      <c r="BTR88" s="1"/>
      <c r="BTS88" s="1"/>
      <c r="BTT88" s="1"/>
      <c r="BTU88" s="1"/>
      <c r="BTV88" s="1"/>
      <c r="BTW88" s="1"/>
      <c r="BTX88" s="1"/>
      <c r="BTY88" s="1"/>
      <c r="BTZ88" s="1"/>
      <c r="BUA88" s="1"/>
      <c r="BUB88" s="1"/>
      <c r="BUC88" s="1"/>
      <c r="BUD88" s="1"/>
      <c r="BUE88" s="1"/>
      <c r="BUF88" s="1"/>
      <c r="BUG88" s="1"/>
      <c r="BUH88" s="1"/>
      <c r="BUI88" s="1"/>
      <c r="BUJ88" s="1"/>
      <c r="BUK88" s="1"/>
      <c r="BUL88" s="1"/>
      <c r="BUM88" s="1"/>
      <c r="BUN88" s="1"/>
      <c r="BUO88" s="1"/>
      <c r="BUP88" s="1"/>
      <c r="BUQ88" s="1"/>
      <c r="BUR88" s="1"/>
      <c r="BUS88" s="1"/>
      <c r="BUT88" s="1"/>
      <c r="BUU88" s="1"/>
      <c r="BUV88" s="1"/>
      <c r="BUW88" s="1"/>
      <c r="BUX88" s="1"/>
      <c r="BUY88" s="1"/>
      <c r="BUZ88" s="1"/>
      <c r="BVA88" s="1"/>
      <c r="BVB88" s="1"/>
      <c r="BVC88" s="1"/>
      <c r="BVD88" s="1"/>
      <c r="BVE88" s="1"/>
      <c r="BVF88" s="1"/>
      <c r="BVG88" s="1"/>
      <c r="BVH88" s="1"/>
      <c r="BVI88" s="1"/>
      <c r="BVJ88" s="1"/>
      <c r="BVK88" s="1"/>
      <c r="BVL88" s="1"/>
      <c r="BVM88" s="1"/>
      <c r="BVN88" s="1"/>
      <c r="BVO88" s="1"/>
      <c r="BVP88" s="1"/>
      <c r="BVQ88" s="1"/>
      <c r="BVR88" s="1"/>
      <c r="BVS88" s="1"/>
      <c r="BVT88" s="1"/>
      <c r="BVU88" s="1"/>
      <c r="BVV88" s="1"/>
      <c r="BVW88" s="1"/>
      <c r="BVX88" s="1"/>
      <c r="BVY88" s="1"/>
      <c r="BVZ88" s="1"/>
      <c r="BWA88" s="1"/>
      <c r="BWB88" s="1"/>
      <c r="BWC88" s="1"/>
      <c r="BWD88" s="1"/>
      <c r="BWE88" s="1"/>
      <c r="BWF88" s="1"/>
      <c r="BWG88" s="1"/>
      <c r="BWH88" s="1"/>
      <c r="BWI88" s="1"/>
      <c r="BWJ88" s="1"/>
      <c r="BWK88" s="1"/>
      <c r="BWL88" s="1"/>
      <c r="BWM88" s="1"/>
      <c r="BWN88" s="1"/>
      <c r="BWO88" s="1"/>
      <c r="BWP88" s="1"/>
      <c r="BWQ88" s="1"/>
      <c r="BWR88" s="1"/>
      <c r="BWS88" s="1"/>
      <c r="BWT88" s="1"/>
      <c r="BWU88" s="1"/>
      <c r="BWV88" s="1"/>
      <c r="BWW88" s="1"/>
      <c r="BWX88" s="1"/>
      <c r="BWY88" s="1"/>
      <c r="BWZ88" s="1"/>
      <c r="BXA88" s="1"/>
      <c r="BXB88" s="1"/>
      <c r="BXC88" s="1"/>
      <c r="BXD88" s="1"/>
      <c r="BXE88" s="1"/>
      <c r="BXF88" s="1"/>
      <c r="BXG88" s="1"/>
      <c r="BXH88" s="1"/>
      <c r="BXI88" s="1"/>
      <c r="BXJ88" s="1"/>
      <c r="BXK88" s="1"/>
      <c r="BXL88" s="1"/>
      <c r="BXM88" s="1"/>
      <c r="BXN88" s="1"/>
      <c r="BXO88" s="1"/>
      <c r="BXP88" s="1"/>
      <c r="BXQ88" s="1"/>
      <c r="BXR88" s="1"/>
      <c r="BXS88" s="1"/>
      <c r="BXT88" s="1"/>
      <c r="BXU88" s="1"/>
      <c r="BXV88" s="1"/>
      <c r="BXW88" s="1"/>
      <c r="BXX88" s="1"/>
      <c r="BXY88" s="1"/>
      <c r="BXZ88" s="1"/>
      <c r="BYA88" s="1"/>
      <c r="BYB88" s="1"/>
      <c r="BYC88" s="1"/>
      <c r="BYD88" s="1"/>
      <c r="BYE88" s="1"/>
      <c r="BYF88" s="1"/>
      <c r="BYG88" s="1"/>
      <c r="BYH88" s="1"/>
      <c r="BYI88" s="1"/>
      <c r="BYJ88" s="1"/>
      <c r="BYK88" s="1"/>
      <c r="BYL88" s="1"/>
      <c r="BYM88" s="1"/>
      <c r="BYN88" s="1"/>
      <c r="BYO88" s="1"/>
      <c r="BYP88" s="1"/>
      <c r="BYQ88" s="1"/>
      <c r="BYR88" s="1"/>
      <c r="BYS88" s="1"/>
      <c r="BYT88" s="1"/>
      <c r="BYU88" s="1"/>
      <c r="BYV88" s="1"/>
      <c r="BYW88" s="1"/>
      <c r="BYX88" s="1"/>
      <c r="BYY88" s="1"/>
      <c r="BYZ88" s="1"/>
      <c r="BZA88" s="1"/>
      <c r="BZB88" s="1"/>
      <c r="BZC88" s="1"/>
      <c r="BZD88" s="1"/>
      <c r="BZE88" s="1"/>
      <c r="BZF88" s="1"/>
      <c r="BZG88" s="1"/>
      <c r="BZH88" s="1"/>
      <c r="BZI88" s="1"/>
      <c r="BZJ88" s="1"/>
      <c r="BZK88" s="1"/>
      <c r="BZL88" s="1"/>
      <c r="BZM88" s="1"/>
      <c r="BZN88" s="1"/>
      <c r="BZO88" s="1"/>
      <c r="BZP88" s="1"/>
      <c r="BZQ88" s="1"/>
      <c r="BZR88" s="1"/>
      <c r="BZS88" s="1"/>
      <c r="BZT88" s="1"/>
      <c r="BZU88" s="1"/>
      <c r="BZV88" s="1"/>
      <c r="BZW88" s="1"/>
      <c r="BZX88" s="1"/>
      <c r="BZY88" s="1"/>
      <c r="BZZ88" s="1"/>
      <c r="CAA88" s="1"/>
      <c r="CAB88" s="1"/>
      <c r="CAC88" s="1"/>
      <c r="CAD88" s="1"/>
      <c r="CAE88" s="1"/>
      <c r="CAF88" s="1"/>
      <c r="CAG88" s="1"/>
      <c r="CAH88" s="1"/>
      <c r="CAI88" s="1"/>
      <c r="CAJ88" s="1"/>
      <c r="CAK88" s="1"/>
      <c r="CAL88" s="1"/>
      <c r="CAM88" s="1"/>
      <c r="CAN88" s="1"/>
      <c r="CAO88" s="1"/>
      <c r="CAP88" s="1"/>
      <c r="CAQ88" s="1"/>
      <c r="CAR88" s="1"/>
      <c r="CAS88" s="1"/>
      <c r="CAT88" s="1"/>
      <c r="CAU88" s="1"/>
      <c r="CAV88" s="1"/>
      <c r="CAW88" s="1"/>
      <c r="CAX88" s="1"/>
      <c r="CAY88" s="1"/>
      <c r="CAZ88" s="1"/>
      <c r="CBA88" s="1"/>
      <c r="CBB88" s="1"/>
      <c r="CBC88" s="1"/>
      <c r="CBD88" s="1"/>
      <c r="CBE88" s="1"/>
      <c r="CBF88" s="1"/>
      <c r="CBG88" s="1"/>
      <c r="CBH88" s="1"/>
      <c r="CBI88" s="1"/>
      <c r="CBJ88" s="1"/>
      <c r="CBK88" s="1"/>
      <c r="CBL88" s="1"/>
      <c r="CBM88" s="1"/>
      <c r="CBN88" s="1"/>
      <c r="CBO88" s="1"/>
      <c r="CBP88" s="1"/>
      <c r="CBQ88" s="1"/>
      <c r="CBR88" s="1"/>
      <c r="CBS88" s="1"/>
      <c r="CBT88" s="1"/>
      <c r="CBU88" s="1"/>
      <c r="CBV88" s="1"/>
      <c r="CBW88" s="1"/>
      <c r="CBX88" s="1"/>
      <c r="CBY88" s="1"/>
      <c r="CBZ88" s="1"/>
      <c r="CCA88" s="1"/>
      <c r="CCB88" s="1"/>
      <c r="CCC88" s="1"/>
      <c r="CCD88" s="1"/>
      <c r="CCE88" s="1"/>
      <c r="CCF88" s="1"/>
      <c r="CCG88" s="1"/>
      <c r="CCH88" s="1"/>
      <c r="CCI88" s="1"/>
      <c r="CCJ88" s="1"/>
      <c r="CCK88" s="1"/>
      <c r="CCL88" s="1"/>
      <c r="CCM88" s="1"/>
      <c r="CCN88" s="1"/>
      <c r="CCO88" s="1"/>
      <c r="CCP88" s="1"/>
      <c r="CCQ88" s="1"/>
      <c r="CCR88" s="1"/>
      <c r="CCS88" s="1"/>
      <c r="CCT88" s="1"/>
      <c r="CCU88" s="1"/>
      <c r="CCV88" s="1"/>
      <c r="CCW88" s="1"/>
      <c r="CCX88" s="1"/>
      <c r="CCY88" s="1"/>
      <c r="CCZ88" s="1"/>
      <c r="CDA88" s="1"/>
      <c r="CDB88" s="1"/>
      <c r="CDC88" s="1"/>
      <c r="CDD88" s="1"/>
      <c r="CDE88" s="1"/>
      <c r="CDF88" s="1"/>
      <c r="CDG88" s="1"/>
      <c r="CDH88" s="1"/>
      <c r="CDI88" s="1"/>
      <c r="CDJ88" s="1"/>
      <c r="CDK88" s="1"/>
      <c r="CDL88" s="1"/>
      <c r="CDM88" s="1"/>
      <c r="CDN88" s="1"/>
      <c r="CDO88" s="1"/>
      <c r="CDP88" s="1"/>
      <c r="CDQ88" s="1"/>
      <c r="CDR88" s="1"/>
      <c r="CDS88" s="1"/>
      <c r="CDT88" s="1"/>
      <c r="CDU88" s="1"/>
      <c r="CDV88" s="1"/>
      <c r="CDW88" s="1"/>
      <c r="CDX88" s="1"/>
      <c r="CDY88" s="1"/>
      <c r="CDZ88" s="1"/>
      <c r="CEA88" s="1"/>
      <c r="CEB88" s="1"/>
      <c r="CEC88" s="1"/>
      <c r="CED88" s="1"/>
      <c r="CEE88" s="1"/>
      <c r="CEF88" s="1"/>
      <c r="CEG88" s="1"/>
      <c r="CEH88" s="1"/>
      <c r="CEI88" s="1"/>
      <c r="CEJ88" s="1"/>
      <c r="CEK88" s="1"/>
      <c r="CEL88" s="1"/>
      <c r="CEM88" s="1"/>
      <c r="CEN88" s="1"/>
      <c r="CEO88" s="1"/>
      <c r="CEP88" s="1"/>
      <c r="CEQ88" s="1"/>
      <c r="CER88" s="1"/>
      <c r="CES88" s="1"/>
      <c r="CET88" s="1"/>
      <c r="CEU88" s="1"/>
      <c r="CEV88" s="1"/>
      <c r="CEW88" s="1"/>
      <c r="CEX88" s="1"/>
      <c r="CEY88" s="1"/>
      <c r="CEZ88" s="1"/>
      <c r="CFA88" s="1"/>
      <c r="CFB88" s="1"/>
      <c r="CFC88" s="1"/>
      <c r="CFD88" s="1"/>
      <c r="CFE88" s="1"/>
      <c r="CFF88" s="1"/>
      <c r="CFG88" s="1"/>
      <c r="CFH88" s="1"/>
      <c r="CFI88" s="1"/>
      <c r="CFJ88" s="1"/>
      <c r="CFK88" s="1"/>
      <c r="CFL88" s="1"/>
      <c r="CFM88" s="1"/>
      <c r="CFN88" s="1"/>
      <c r="CFO88" s="1"/>
      <c r="CFP88" s="1"/>
      <c r="CFQ88" s="1"/>
      <c r="CFR88" s="1"/>
      <c r="CFS88" s="1"/>
      <c r="CFT88" s="1"/>
      <c r="CFU88" s="1"/>
      <c r="CFV88" s="1"/>
      <c r="CFW88" s="1"/>
      <c r="CFX88" s="1"/>
      <c r="CFY88" s="1"/>
      <c r="CFZ88" s="1"/>
      <c r="CGA88" s="1"/>
      <c r="CGB88" s="1"/>
      <c r="CGC88" s="1"/>
      <c r="CGD88" s="1"/>
      <c r="CGE88" s="1"/>
      <c r="CGF88" s="1"/>
      <c r="CGG88" s="1"/>
      <c r="CGH88" s="1"/>
      <c r="CGI88" s="1"/>
      <c r="CGJ88" s="1"/>
      <c r="CGK88" s="1"/>
      <c r="CGL88" s="1"/>
      <c r="CGM88" s="1"/>
      <c r="CGN88" s="1"/>
      <c r="CGO88" s="1"/>
      <c r="CGP88" s="1"/>
      <c r="CGQ88" s="1"/>
      <c r="CGR88" s="1"/>
      <c r="CGS88" s="1"/>
      <c r="CGT88" s="1"/>
      <c r="CGU88" s="1"/>
      <c r="CGV88" s="1"/>
      <c r="CGW88" s="1"/>
      <c r="CGX88" s="1"/>
      <c r="CGY88" s="1"/>
      <c r="CGZ88" s="1"/>
      <c r="CHA88" s="1"/>
      <c r="CHB88" s="1"/>
      <c r="CHC88" s="1"/>
      <c r="CHD88" s="1"/>
      <c r="CHE88" s="1"/>
      <c r="CHF88" s="1"/>
      <c r="CHG88" s="1"/>
      <c r="CHH88" s="1"/>
      <c r="CHI88" s="1"/>
      <c r="CHJ88" s="1"/>
      <c r="CHK88" s="1"/>
      <c r="CHL88" s="1"/>
      <c r="CHM88" s="1"/>
      <c r="CHN88" s="1"/>
      <c r="CHO88" s="1"/>
      <c r="CHP88" s="1"/>
      <c r="CHQ88" s="1"/>
      <c r="CHR88" s="1"/>
      <c r="CHS88" s="1"/>
      <c r="CHT88" s="1"/>
      <c r="CHU88" s="1"/>
      <c r="CHV88" s="1"/>
      <c r="CHW88" s="1"/>
      <c r="CHX88" s="1"/>
      <c r="CHY88" s="1"/>
      <c r="CHZ88" s="1"/>
      <c r="CIA88" s="1"/>
      <c r="CIB88" s="1"/>
      <c r="CIC88" s="1"/>
      <c r="CID88" s="1"/>
      <c r="CIE88" s="1"/>
      <c r="CIF88" s="1"/>
      <c r="CIG88" s="1"/>
      <c r="CIH88" s="1"/>
      <c r="CII88" s="1"/>
      <c r="CIJ88" s="1"/>
      <c r="CIK88" s="1"/>
      <c r="CIL88" s="1"/>
      <c r="CIM88" s="1"/>
      <c r="CIN88" s="1"/>
      <c r="CIO88" s="1"/>
      <c r="CIP88" s="1"/>
      <c r="CIQ88" s="1"/>
      <c r="CIR88" s="1"/>
      <c r="CIS88" s="1"/>
      <c r="CIT88" s="1"/>
      <c r="CIU88" s="1"/>
      <c r="CIV88" s="1"/>
      <c r="CIW88" s="1"/>
      <c r="CIX88" s="1"/>
      <c r="CIY88" s="1"/>
      <c r="CIZ88" s="1"/>
      <c r="CJA88" s="1"/>
      <c r="CJB88" s="1"/>
      <c r="CJC88" s="1"/>
      <c r="CJD88" s="1"/>
      <c r="CJE88" s="1"/>
      <c r="CJF88" s="1"/>
      <c r="CJG88" s="1"/>
      <c r="CJH88" s="1"/>
      <c r="CJI88" s="1"/>
      <c r="CJJ88" s="1"/>
      <c r="CJK88" s="1"/>
      <c r="CJL88" s="1"/>
      <c r="CJM88" s="1"/>
      <c r="CJN88" s="1"/>
      <c r="CJO88" s="1"/>
      <c r="CJP88" s="1"/>
      <c r="CJQ88" s="1"/>
      <c r="CJR88" s="1"/>
      <c r="CJS88" s="1"/>
      <c r="CJT88" s="1"/>
      <c r="CJU88" s="1"/>
      <c r="CJV88" s="1"/>
      <c r="CJW88" s="1"/>
      <c r="CJX88" s="1"/>
      <c r="CJY88" s="1"/>
      <c r="CJZ88" s="1"/>
      <c r="CKA88" s="1"/>
      <c r="CKB88" s="1"/>
      <c r="CKC88" s="1"/>
      <c r="CKD88" s="1"/>
      <c r="CKE88" s="1"/>
      <c r="CKF88" s="1"/>
      <c r="CKG88" s="1"/>
      <c r="CKH88" s="1"/>
      <c r="CKI88" s="1"/>
      <c r="CKJ88" s="1"/>
      <c r="CKK88" s="1"/>
      <c r="CKL88" s="1"/>
      <c r="CKM88" s="1"/>
      <c r="CKN88" s="1"/>
      <c r="CKO88" s="1"/>
      <c r="CKP88" s="1"/>
      <c r="CKQ88" s="1"/>
      <c r="CKR88" s="1"/>
      <c r="CKS88" s="1"/>
      <c r="CKT88" s="1"/>
      <c r="CKU88" s="1"/>
      <c r="CKV88" s="1"/>
      <c r="CKW88" s="1"/>
      <c r="CKX88" s="1"/>
      <c r="CKY88" s="1"/>
      <c r="CKZ88" s="1"/>
      <c r="CLA88" s="1"/>
      <c r="CLB88" s="1"/>
      <c r="CLC88" s="1"/>
      <c r="CLD88" s="1"/>
      <c r="CLE88" s="1"/>
      <c r="CLF88" s="1"/>
      <c r="CLG88" s="1"/>
      <c r="CLH88" s="1"/>
      <c r="CLI88" s="1"/>
      <c r="CLJ88" s="1"/>
      <c r="CLK88" s="1"/>
      <c r="CLL88" s="1"/>
      <c r="CLM88" s="1"/>
      <c r="CLN88" s="1"/>
      <c r="CLO88" s="1"/>
      <c r="CLP88" s="1"/>
      <c r="CLQ88" s="1"/>
      <c r="CLR88" s="1"/>
      <c r="CLS88" s="1"/>
      <c r="CLT88" s="1"/>
      <c r="CLU88" s="1"/>
      <c r="CLV88" s="1"/>
      <c r="CLW88" s="1"/>
      <c r="CLX88" s="1"/>
      <c r="CLY88" s="1"/>
      <c r="CLZ88" s="1"/>
      <c r="CMA88" s="1"/>
      <c r="CMB88" s="1"/>
      <c r="CMC88" s="1"/>
      <c r="CMD88" s="1"/>
      <c r="CME88" s="1"/>
      <c r="CMF88" s="1"/>
      <c r="CMG88" s="1"/>
      <c r="CMH88" s="1"/>
      <c r="CMI88" s="1"/>
      <c r="CMJ88" s="1"/>
      <c r="CMK88" s="1"/>
      <c r="CML88" s="1"/>
      <c r="CMM88" s="1"/>
      <c r="CMN88" s="1"/>
      <c r="CMO88" s="1"/>
      <c r="CMP88" s="1"/>
      <c r="CMQ88" s="1"/>
      <c r="CMR88" s="1"/>
      <c r="CMS88" s="1"/>
      <c r="CMT88" s="1"/>
      <c r="CMU88" s="1"/>
      <c r="CMV88" s="1"/>
      <c r="CMW88" s="1"/>
      <c r="CMX88" s="1"/>
      <c r="CMY88" s="1"/>
      <c r="CMZ88" s="1"/>
      <c r="CNA88" s="1"/>
      <c r="CNB88" s="1"/>
      <c r="CNC88" s="1"/>
      <c r="CND88" s="1"/>
      <c r="CNE88" s="1"/>
      <c r="CNF88" s="1"/>
      <c r="CNG88" s="1"/>
      <c r="CNH88" s="1"/>
      <c r="CNI88" s="1"/>
      <c r="CNJ88" s="1"/>
      <c r="CNK88" s="1"/>
      <c r="CNL88" s="1"/>
      <c r="CNM88" s="1"/>
      <c r="CNN88" s="1"/>
      <c r="CNO88" s="1"/>
      <c r="CNP88" s="1"/>
      <c r="CNQ88" s="1"/>
      <c r="CNR88" s="1"/>
      <c r="CNS88" s="1"/>
      <c r="CNT88" s="1"/>
      <c r="CNU88" s="1"/>
      <c r="CNV88" s="1"/>
      <c r="CNW88" s="1"/>
      <c r="CNX88" s="1"/>
      <c r="CNY88" s="1"/>
      <c r="CNZ88" s="1"/>
      <c r="COA88" s="1"/>
      <c r="COB88" s="1"/>
      <c r="COC88" s="1"/>
      <c r="COD88" s="1"/>
      <c r="COE88" s="1"/>
      <c r="COF88" s="1"/>
      <c r="COG88" s="1"/>
      <c r="COH88" s="1"/>
      <c r="COI88" s="1"/>
      <c r="COJ88" s="1"/>
      <c r="COK88" s="1"/>
      <c r="COL88" s="1"/>
      <c r="COM88" s="1"/>
      <c r="CON88" s="1"/>
      <c r="COO88" s="1"/>
      <c r="COP88" s="1"/>
      <c r="COQ88" s="1"/>
      <c r="COR88" s="1"/>
      <c r="COS88" s="1"/>
      <c r="COT88" s="1"/>
      <c r="COU88" s="1"/>
      <c r="COV88" s="1"/>
      <c r="COW88" s="1"/>
      <c r="COX88" s="1"/>
      <c r="COY88" s="1"/>
      <c r="COZ88" s="1"/>
      <c r="CPA88" s="1"/>
      <c r="CPB88" s="1"/>
      <c r="CPC88" s="1"/>
      <c r="CPD88" s="1"/>
      <c r="CPE88" s="1"/>
      <c r="CPF88" s="1"/>
      <c r="CPG88" s="1"/>
      <c r="CPH88" s="1"/>
      <c r="CPI88" s="1"/>
      <c r="CPJ88" s="1"/>
      <c r="CPK88" s="1"/>
      <c r="CPL88" s="1"/>
      <c r="CPM88" s="1"/>
      <c r="CPN88" s="1"/>
      <c r="CPO88" s="1"/>
      <c r="CPP88" s="1"/>
      <c r="CPQ88" s="1"/>
      <c r="CPR88" s="1"/>
      <c r="CPS88" s="1"/>
      <c r="CPT88" s="1"/>
      <c r="CPU88" s="1"/>
      <c r="CPV88" s="1"/>
      <c r="CPW88" s="1"/>
      <c r="CPX88" s="1"/>
      <c r="CPY88" s="1"/>
      <c r="CPZ88" s="1"/>
      <c r="CQA88" s="1"/>
      <c r="CQB88" s="1"/>
      <c r="CQC88" s="1"/>
      <c r="CQD88" s="1"/>
      <c r="CQE88" s="1"/>
      <c r="CQF88" s="1"/>
      <c r="CQG88" s="1"/>
      <c r="CQH88" s="1"/>
      <c r="CQI88" s="1"/>
      <c r="CQJ88" s="1"/>
      <c r="CQK88" s="1"/>
      <c r="CQL88" s="1"/>
      <c r="CQM88" s="1"/>
      <c r="CQN88" s="1"/>
      <c r="CQO88" s="1"/>
      <c r="CQP88" s="1"/>
      <c r="CQQ88" s="1"/>
      <c r="CQR88" s="1"/>
      <c r="CQS88" s="1"/>
      <c r="CQT88" s="1"/>
      <c r="CQU88" s="1"/>
      <c r="CQV88" s="1"/>
      <c r="CQW88" s="1"/>
      <c r="CQX88" s="1"/>
      <c r="CQY88" s="1"/>
      <c r="CQZ88" s="1"/>
      <c r="CRA88" s="1"/>
      <c r="CRB88" s="1"/>
      <c r="CRC88" s="1"/>
      <c r="CRD88" s="1"/>
      <c r="CRE88" s="1"/>
      <c r="CRF88" s="1"/>
      <c r="CRG88" s="1"/>
      <c r="CRH88" s="1"/>
      <c r="CRI88" s="1"/>
      <c r="CRJ88" s="1"/>
      <c r="CRK88" s="1"/>
      <c r="CRL88" s="1"/>
      <c r="CRM88" s="1"/>
      <c r="CRN88" s="1"/>
      <c r="CRO88" s="1"/>
      <c r="CRP88" s="1"/>
      <c r="CRQ88" s="1"/>
      <c r="CRR88" s="1"/>
      <c r="CRS88" s="1"/>
      <c r="CRT88" s="1"/>
      <c r="CRU88" s="1"/>
      <c r="CRV88" s="1"/>
      <c r="CRW88" s="1"/>
      <c r="CRX88" s="1"/>
      <c r="CRY88" s="1"/>
      <c r="CRZ88" s="1"/>
      <c r="CSA88" s="1"/>
      <c r="CSB88" s="1"/>
      <c r="CSC88" s="1"/>
      <c r="CSD88" s="1"/>
      <c r="CSE88" s="1"/>
      <c r="CSF88" s="1"/>
      <c r="CSG88" s="1"/>
      <c r="CSH88" s="1"/>
      <c r="CSI88" s="1"/>
      <c r="CSJ88" s="1"/>
      <c r="CSK88" s="1"/>
      <c r="CSL88" s="1"/>
      <c r="CSM88" s="1"/>
      <c r="CSN88" s="1"/>
      <c r="CSO88" s="1"/>
      <c r="CSP88" s="1"/>
      <c r="CSQ88" s="1"/>
      <c r="CSR88" s="1"/>
      <c r="CSS88" s="1"/>
      <c r="CST88" s="1"/>
      <c r="CSU88" s="1"/>
      <c r="CSV88" s="1"/>
      <c r="CSW88" s="1"/>
      <c r="CSX88" s="1"/>
      <c r="CSY88" s="1"/>
      <c r="CSZ88" s="1"/>
      <c r="CTA88" s="1"/>
      <c r="CTB88" s="1"/>
      <c r="CTC88" s="1"/>
      <c r="CTD88" s="1"/>
      <c r="CTE88" s="1"/>
      <c r="CTF88" s="1"/>
      <c r="CTG88" s="1"/>
      <c r="CTH88" s="1"/>
      <c r="CTI88" s="1"/>
      <c r="CTJ88" s="1"/>
      <c r="CTK88" s="1"/>
      <c r="CTL88" s="1"/>
      <c r="CTM88" s="1"/>
      <c r="CTN88" s="1"/>
      <c r="CTO88" s="1"/>
      <c r="CTP88" s="1"/>
      <c r="CTQ88" s="1"/>
      <c r="CTR88" s="1"/>
      <c r="CTS88" s="1"/>
      <c r="CTT88" s="1"/>
      <c r="CTU88" s="1"/>
      <c r="CTV88" s="1"/>
      <c r="CTW88" s="1"/>
      <c r="CTX88" s="1"/>
      <c r="CTY88" s="1"/>
      <c r="CTZ88" s="1"/>
      <c r="CUA88" s="1"/>
      <c r="CUB88" s="1"/>
      <c r="CUC88" s="1"/>
      <c r="CUD88" s="1"/>
      <c r="CUE88" s="1"/>
      <c r="CUF88" s="1"/>
      <c r="CUG88" s="1"/>
      <c r="CUH88" s="1"/>
      <c r="CUI88" s="1"/>
      <c r="CUJ88" s="1"/>
      <c r="CUK88" s="1"/>
      <c r="CUL88" s="1"/>
      <c r="CUM88" s="1"/>
      <c r="CUN88" s="1"/>
      <c r="CUO88" s="1"/>
      <c r="CUP88" s="1"/>
      <c r="CUQ88" s="1"/>
      <c r="CUR88" s="1"/>
      <c r="CUS88" s="1"/>
      <c r="CUT88" s="1"/>
      <c r="CUU88" s="1"/>
      <c r="CUV88" s="1"/>
      <c r="CUW88" s="1"/>
      <c r="CUX88" s="1"/>
      <c r="CUY88" s="1"/>
      <c r="CUZ88" s="1"/>
      <c r="CVA88" s="1"/>
      <c r="CVB88" s="1"/>
      <c r="CVC88" s="1"/>
      <c r="CVD88" s="1"/>
      <c r="CVE88" s="1"/>
      <c r="CVF88" s="1"/>
      <c r="CVG88" s="1"/>
      <c r="CVH88" s="1"/>
      <c r="CVI88" s="1"/>
      <c r="CVJ88" s="1"/>
      <c r="CVK88" s="1"/>
      <c r="CVL88" s="1"/>
      <c r="CVM88" s="1"/>
      <c r="CVN88" s="1"/>
      <c r="CVO88" s="1"/>
      <c r="CVP88" s="1"/>
      <c r="CVQ88" s="1"/>
      <c r="CVR88" s="1"/>
      <c r="CVS88" s="1"/>
      <c r="CVT88" s="1"/>
      <c r="CVU88" s="1"/>
      <c r="CVV88" s="1"/>
      <c r="CVW88" s="1"/>
      <c r="CVX88" s="1"/>
      <c r="CVY88" s="1"/>
      <c r="CVZ88" s="1"/>
      <c r="CWA88" s="1"/>
      <c r="CWB88" s="1"/>
      <c r="CWC88" s="1"/>
      <c r="CWD88" s="1"/>
      <c r="CWE88" s="1"/>
      <c r="CWF88" s="1"/>
      <c r="CWG88" s="1"/>
      <c r="CWH88" s="1"/>
      <c r="CWI88" s="1"/>
      <c r="CWJ88" s="1"/>
      <c r="CWK88" s="1"/>
      <c r="CWL88" s="1"/>
      <c r="CWM88" s="1"/>
      <c r="CWN88" s="1"/>
      <c r="CWO88" s="1"/>
      <c r="CWP88" s="1"/>
      <c r="CWQ88" s="1"/>
      <c r="CWR88" s="1"/>
      <c r="CWS88" s="1"/>
      <c r="CWT88" s="1"/>
      <c r="CWU88" s="1"/>
      <c r="CWV88" s="1"/>
      <c r="CWW88" s="1"/>
      <c r="CWX88" s="1"/>
      <c r="CWY88" s="1"/>
      <c r="CWZ88" s="1"/>
      <c r="CXA88" s="1"/>
      <c r="CXB88" s="1"/>
      <c r="CXC88" s="1"/>
      <c r="CXD88" s="1"/>
      <c r="CXE88" s="1"/>
      <c r="CXF88" s="1"/>
      <c r="CXG88" s="1"/>
      <c r="CXH88" s="1"/>
      <c r="CXI88" s="1"/>
      <c r="CXJ88" s="1"/>
      <c r="CXK88" s="1"/>
      <c r="CXL88" s="1"/>
      <c r="CXM88" s="1"/>
      <c r="CXN88" s="1"/>
      <c r="CXO88" s="1"/>
      <c r="CXP88" s="1"/>
      <c r="CXQ88" s="1"/>
      <c r="CXR88" s="1"/>
      <c r="CXS88" s="1"/>
      <c r="CXT88" s="1"/>
      <c r="CXU88" s="1"/>
      <c r="CXV88" s="1"/>
      <c r="CXW88" s="1"/>
      <c r="CXX88" s="1"/>
      <c r="CXY88" s="1"/>
      <c r="CXZ88" s="1"/>
      <c r="CYA88" s="1"/>
      <c r="CYB88" s="1"/>
      <c r="CYC88" s="1"/>
      <c r="CYD88" s="1"/>
      <c r="CYE88" s="1"/>
      <c r="CYF88" s="1"/>
      <c r="CYG88" s="1"/>
      <c r="CYH88" s="1"/>
      <c r="CYI88" s="1"/>
      <c r="CYJ88" s="1"/>
      <c r="CYK88" s="1"/>
      <c r="CYL88" s="1"/>
      <c r="CYM88" s="1"/>
      <c r="CYN88" s="1"/>
      <c r="CYO88" s="1"/>
      <c r="CYP88" s="1"/>
      <c r="CYQ88" s="1"/>
      <c r="CYR88" s="1"/>
      <c r="CYS88" s="1"/>
      <c r="CYT88" s="1"/>
      <c r="CYU88" s="1"/>
      <c r="CYV88" s="1"/>
      <c r="CYW88" s="1"/>
      <c r="CYX88" s="1"/>
      <c r="CYY88" s="1"/>
      <c r="CYZ88" s="1"/>
      <c r="CZA88" s="1"/>
      <c r="CZB88" s="1"/>
      <c r="CZC88" s="1"/>
      <c r="CZD88" s="1"/>
      <c r="CZE88" s="1"/>
      <c r="CZF88" s="1"/>
      <c r="CZG88" s="1"/>
      <c r="CZH88" s="1"/>
      <c r="CZI88" s="1"/>
      <c r="CZJ88" s="1"/>
      <c r="CZK88" s="1"/>
      <c r="CZL88" s="1"/>
      <c r="CZM88" s="1"/>
      <c r="CZN88" s="1"/>
      <c r="CZO88" s="1"/>
      <c r="CZP88" s="1"/>
      <c r="CZQ88" s="1"/>
      <c r="CZR88" s="1"/>
      <c r="CZS88" s="1"/>
      <c r="CZT88" s="1"/>
      <c r="CZU88" s="1"/>
      <c r="CZV88" s="1"/>
      <c r="CZW88" s="1"/>
      <c r="CZX88" s="1"/>
      <c r="CZY88" s="1"/>
      <c r="CZZ88" s="1"/>
      <c r="DAA88" s="1"/>
      <c r="DAB88" s="1"/>
      <c r="DAC88" s="1"/>
      <c r="DAD88" s="1"/>
      <c r="DAE88" s="1"/>
      <c r="DAF88" s="1"/>
      <c r="DAG88" s="1"/>
      <c r="DAH88" s="1"/>
      <c r="DAI88" s="1"/>
      <c r="DAJ88" s="1"/>
      <c r="DAK88" s="1"/>
      <c r="DAL88" s="1"/>
      <c r="DAM88" s="1"/>
      <c r="DAN88" s="1"/>
      <c r="DAO88" s="1"/>
      <c r="DAP88" s="1"/>
      <c r="DAQ88" s="1"/>
      <c r="DAR88" s="1"/>
      <c r="DAS88" s="1"/>
      <c r="DAT88" s="1"/>
      <c r="DAU88" s="1"/>
      <c r="DAV88" s="1"/>
      <c r="DAW88" s="1"/>
      <c r="DAX88" s="1"/>
      <c r="DAY88" s="1"/>
      <c r="DAZ88" s="1"/>
      <c r="DBA88" s="1"/>
      <c r="DBB88" s="1"/>
      <c r="DBC88" s="1"/>
      <c r="DBD88" s="1"/>
      <c r="DBE88" s="1"/>
      <c r="DBF88" s="1"/>
      <c r="DBG88" s="1"/>
      <c r="DBH88" s="1"/>
      <c r="DBI88" s="1"/>
      <c r="DBJ88" s="1"/>
      <c r="DBK88" s="1"/>
      <c r="DBL88" s="1"/>
      <c r="DBM88" s="1"/>
      <c r="DBN88" s="1"/>
      <c r="DBO88" s="1"/>
      <c r="DBP88" s="1"/>
      <c r="DBQ88" s="1"/>
      <c r="DBR88" s="1"/>
      <c r="DBS88" s="1"/>
      <c r="DBT88" s="1"/>
      <c r="DBU88" s="1"/>
      <c r="DBV88" s="1"/>
      <c r="DBW88" s="1"/>
      <c r="DBX88" s="1"/>
      <c r="DBY88" s="1"/>
      <c r="DBZ88" s="1"/>
      <c r="DCA88" s="1"/>
      <c r="DCB88" s="1"/>
      <c r="DCC88" s="1"/>
      <c r="DCD88" s="1"/>
      <c r="DCE88" s="1"/>
      <c r="DCF88" s="1"/>
      <c r="DCG88" s="1"/>
      <c r="DCH88" s="1"/>
      <c r="DCI88" s="1"/>
      <c r="DCJ88" s="1"/>
      <c r="DCK88" s="1"/>
      <c r="DCL88" s="1"/>
      <c r="DCM88" s="1"/>
      <c r="DCN88" s="1"/>
      <c r="DCO88" s="1"/>
      <c r="DCP88" s="1"/>
      <c r="DCQ88" s="1"/>
      <c r="DCR88" s="1"/>
      <c r="DCS88" s="1"/>
      <c r="DCT88" s="1"/>
      <c r="DCU88" s="1"/>
      <c r="DCV88" s="1"/>
      <c r="DCW88" s="1"/>
      <c r="DCX88" s="1"/>
      <c r="DCY88" s="1"/>
      <c r="DCZ88" s="1"/>
      <c r="DDA88" s="1"/>
      <c r="DDB88" s="1"/>
      <c r="DDC88" s="1"/>
      <c r="DDD88" s="1"/>
      <c r="DDE88" s="1"/>
      <c r="DDF88" s="1"/>
      <c r="DDG88" s="1"/>
      <c r="DDH88" s="1"/>
      <c r="DDI88" s="1"/>
      <c r="DDJ88" s="1"/>
      <c r="DDK88" s="1"/>
      <c r="DDL88" s="1"/>
      <c r="DDM88" s="1"/>
      <c r="DDN88" s="1"/>
      <c r="DDO88" s="1"/>
      <c r="DDP88" s="1"/>
      <c r="DDQ88" s="1"/>
      <c r="DDR88" s="1"/>
      <c r="DDS88" s="1"/>
      <c r="DDT88" s="1"/>
      <c r="DDU88" s="1"/>
      <c r="DDV88" s="1"/>
      <c r="DDW88" s="1"/>
      <c r="DDX88" s="1"/>
      <c r="DDY88" s="1"/>
      <c r="DDZ88" s="1"/>
      <c r="DEA88" s="1"/>
      <c r="DEB88" s="1"/>
      <c r="DEC88" s="1"/>
      <c r="DED88" s="1"/>
      <c r="DEE88" s="1"/>
      <c r="DEF88" s="1"/>
      <c r="DEG88" s="1"/>
      <c r="DEH88" s="1"/>
      <c r="DEI88" s="1"/>
      <c r="DEJ88" s="1"/>
      <c r="DEK88" s="1"/>
      <c r="DEL88" s="1"/>
      <c r="DEM88" s="1"/>
      <c r="DEN88" s="1"/>
      <c r="DEO88" s="1"/>
      <c r="DEP88" s="1"/>
      <c r="DEQ88" s="1"/>
      <c r="DER88" s="1"/>
      <c r="DES88" s="1"/>
      <c r="DET88" s="1"/>
      <c r="DEU88" s="1"/>
      <c r="DEV88" s="1"/>
      <c r="DEW88" s="1"/>
      <c r="DEX88" s="1"/>
      <c r="DEY88" s="1"/>
      <c r="DEZ88" s="1"/>
      <c r="DFA88" s="1"/>
      <c r="DFB88" s="1"/>
      <c r="DFC88" s="1"/>
      <c r="DFD88" s="1"/>
      <c r="DFE88" s="1"/>
      <c r="DFF88" s="1"/>
      <c r="DFG88" s="1"/>
      <c r="DFH88" s="1"/>
      <c r="DFI88" s="1"/>
      <c r="DFJ88" s="1"/>
      <c r="DFK88" s="1"/>
      <c r="DFL88" s="1"/>
      <c r="DFM88" s="1"/>
      <c r="DFN88" s="1"/>
      <c r="DFO88" s="1"/>
      <c r="DFP88" s="1"/>
      <c r="DFQ88" s="1"/>
      <c r="DFR88" s="1"/>
      <c r="DFS88" s="1"/>
      <c r="DFT88" s="1"/>
      <c r="DFU88" s="1"/>
      <c r="DFV88" s="1"/>
      <c r="DFW88" s="1"/>
      <c r="DFX88" s="1"/>
      <c r="DFY88" s="1"/>
      <c r="DFZ88" s="1"/>
      <c r="DGA88" s="1"/>
      <c r="DGB88" s="1"/>
      <c r="DGC88" s="1"/>
      <c r="DGD88" s="1"/>
      <c r="DGE88" s="1"/>
      <c r="DGF88" s="1"/>
      <c r="DGG88" s="1"/>
      <c r="DGH88" s="1"/>
      <c r="DGI88" s="1"/>
      <c r="DGJ88" s="1"/>
      <c r="DGK88" s="1"/>
      <c r="DGL88" s="1"/>
      <c r="DGM88" s="1"/>
      <c r="DGN88" s="1"/>
      <c r="DGO88" s="1"/>
      <c r="DGP88" s="1"/>
      <c r="DGQ88" s="1"/>
      <c r="DGR88" s="1"/>
      <c r="DGS88" s="1"/>
      <c r="DGT88" s="1"/>
      <c r="DGU88" s="1"/>
      <c r="DGV88" s="1"/>
      <c r="DGW88" s="1"/>
      <c r="DGX88" s="1"/>
      <c r="DGY88" s="1"/>
      <c r="DGZ88" s="1"/>
      <c r="DHA88" s="1"/>
      <c r="DHB88" s="1"/>
      <c r="DHC88" s="1"/>
      <c r="DHD88" s="1"/>
      <c r="DHE88" s="1"/>
      <c r="DHF88" s="1"/>
      <c r="DHG88" s="1"/>
      <c r="DHH88" s="1"/>
      <c r="DHI88" s="1"/>
      <c r="DHJ88" s="1"/>
      <c r="DHK88" s="1"/>
      <c r="DHL88" s="1"/>
      <c r="DHM88" s="1"/>
      <c r="DHN88" s="1"/>
      <c r="DHO88" s="1"/>
      <c r="DHP88" s="1"/>
      <c r="DHQ88" s="1"/>
      <c r="DHR88" s="1"/>
      <c r="DHS88" s="1"/>
      <c r="DHT88" s="1"/>
      <c r="DHU88" s="1"/>
      <c r="DHV88" s="1"/>
      <c r="DHW88" s="1"/>
      <c r="DHX88" s="1"/>
      <c r="DHY88" s="1"/>
      <c r="DHZ88" s="1"/>
      <c r="DIA88" s="1"/>
      <c r="DIB88" s="1"/>
      <c r="DIC88" s="1"/>
      <c r="DID88" s="1"/>
      <c r="DIE88" s="1"/>
      <c r="DIF88" s="1"/>
      <c r="DIG88" s="1"/>
      <c r="DIH88" s="1"/>
      <c r="DII88" s="1"/>
      <c r="DIJ88" s="1"/>
      <c r="DIK88" s="1"/>
      <c r="DIL88" s="1"/>
      <c r="DIM88" s="1"/>
      <c r="DIN88" s="1"/>
      <c r="DIO88" s="1"/>
      <c r="DIP88" s="1"/>
      <c r="DIQ88" s="1"/>
      <c r="DIR88" s="1"/>
      <c r="DIS88" s="1"/>
      <c r="DIT88" s="1"/>
      <c r="DIU88" s="1"/>
      <c r="DIV88" s="1"/>
      <c r="DIW88" s="1"/>
      <c r="DIX88" s="1"/>
      <c r="DIY88" s="1"/>
      <c r="DIZ88" s="1"/>
      <c r="DJA88" s="1"/>
      <c r="DJB88" s="1"/>
      <c r="DJC88" s="1"/>
      <c r="DJD88" s="1"/>
      <c r="DJE88" s="1"/>
      <c r="DJF88" s="1"/>
      <c r="DJG88" s="1"/>
      <c r="DJH88" s="1"/>
      <c r="DJI88" s="1"/>
      <c r="DJJ88" s="1"/>
      <c r="DJK88" s="1"/>
      <c r="DJL88" s="1"/>
      <c r="DJM88" s="1"/>
      <c r="DJN88" s="1"/>
      <c r="DJO88" s="1"/>
      <c r="DJP88" s="1"/>
      <c r="DJQ88" s="1"/>
      <c r="DJR88" s="1"/>
      <c r="DJS88" s="1"/>
      <c r="DJT88" s="1"/>
      <c r="DJU88" s="1"/>
      <c r="DJV88" s="1"/>
      <c r="DJW88" s="1"/>
      <c r="DJX88" s="1"/>
      <c r="DJY88" s="1"/>
      <c r="DJZ88" s="1"/>
      <c r="DKA88" s="1"/>
      <c r="DKB88" s="1"/>
      <c r="DKC88" s="1"/>
      <c r="DKD88" s="1"/>
      <c r="DKE88" s="1"/>
      <c r="DKF88" s="1"/>
      <c r="DKG88" s="1"/>
      <c r="DKH88" s="1"/>
      <c r="DKI88" s="1"/>
      <c r="DKJ88" s="1"/>
      <c r="DKK88" s="1"/>
      <c r="DKL88" s="1"/>
      <c r="DKM88" s="1"/>
      <c r="DKN88" s="1"/>
      <c r="DKO88" s="1"/>
      <c r="DKP88" s="1"/>
      <c r="DKQ88" s="1"/>
      <c r="DKR88" s="1"/>
      <c r="DKS88" s="1"/>
      <c r="DKT88" s="1"/>
      <c r="DKU88" s="1"/>
      <c r="DKV88" s="1"/>
      <c r="DKW88" s="1"/>
      <c r="DKX88" s="1"/>
      <c r="DKY88" s="1"/>
      <c r="DKZ88" s="1"/>
      <c r="DLA88" s="1"/>
      <c r="DLB88" s="1"/>
      <c r="DLC88" s="1"/>
      <c r="DLD88" s="1"/>
      <c r="DLE88" s="1"/>
      <c r="DLF88" s="1"/>
      <c r="DLG88" s="1"/>
      <c r="DLH88" s="1"/>
      <c r="DLI88" s="1"/>
      <c r="DLJ88" s="1"/>
      <c r="DLK88" s="1"/>
      <c r="DLL88" s="1"/>
      <c r="DLM88" s="1"/>
      <c r="DLN88" s="1"/>
      <c r="DLO88" s="1"/>
      <c r="DLP88" s="1"/>
      <c r="DLQ88" s="1"/>
      <c r="DLR88" s="1"/>
      <c r="DLS88" s="1"/>
      <c r="DLT88" s="1"/>
      <c r="DLU88" s="1"/>
      <c r="DLV88" s="1"/>
      <c r="DLW88" s="1"/>
      <c r="DLX88" s="1"/>
      <c r="DLY88" s="1"/>
      <c r="DLZ88" s="1"/>
      <c r="DMA88" s="1"/>
      <c r="DMB88" s="1"/>
      <c r="DMC88" s="1"/>
      <c r="DMD88" s="1"/>
      <c r="DME88" s="1"/>
      <c r="DMF88" s="1"/>
      <c r="DMG88" s="1"/>
      <c r="DMH88" s="1"/>
      <c r="DMI88" s="1"/>
      <c r="DMJ88" s="1"/>
      <c r="DMK88" s="1"/>
      <c r="DML88" s="1"/>
      <c r="DMM88" s="1"/>
      <c r="DMN88" s="1"/>
      <c r="DMO88" s="1"/>
      <c r="DMP88" s="1"/>
      <c r="DMQ88" s="1"/>
      <c r="DMR88" s="1"/>
      <c r="DMS88" s="1"/>
      <c r="DMT88" s="1"/>
      <c r="DMU88" s="1"/>
      <c r="DMV88" s="1"/>
      <c r="DMW88" s="1"/>
      <c r="DMX88" s="1"/>
      <c r="DMY88" s="1"/>
      <c r="DMZ88" s="1"/>
      <c r="DNA88" s="1"/>
      <c r="DNB88" s="1"/>
      <c r="DNC88" s="1"/>
      <c r="DND88" s="1"/>
      <c r="DNE88" s="1"/>
      <c r="DNF88" s="1"/>
      <c r="DNG88" s="1"/>
      <c r="DNH88" s="1"/>
      <c r="DNI88" s="1"/>
      <c r="DNJ88" s="1"/>
      <c r="DNK88" s="1"/>
      <c r="DNL88" s="1"/>
      <c r="DNM88" s="1"/>
      <c r="DNN88" s="1"/>
      <c r="DNO88" s="1"/>
      <c r="DNP88" s="1"/>
      <c r="DNQ88" s="1"/>
      <c r="DNR88" s="1"/>
      <c r="DNS88" s="1"/>
      <c r="DNT88" s="1"/>
      <c r="DNU88" s="1"/>
      <c r="DNV88" s="1"/>
      <c r="DNW88" s="1"/>
      <c r="DNX88" s="1"/>
      <c r="DNY88" s="1"/>
      <c r="DNZ88" s="1"/>
      <c r="DOA88" s="1"/>
      <c r="DOB88" s="1"/>
      <c r="DOC88" s="1"/>
      <c r="DOD88" s="1"/>
      <c r="DOE88" s="1"/>
      <c r="DOF88" s="1"/>
      <c r="DOG88" s="1"/>
      <c r="DOH88" s="1"/>
      <c r="DOI88" s="1"/>
      <c r="DOJ88" s="1"/>
      <c r="DOK88" s="1"/>
      <c r="DOL88" s="1"/>
      <c r="DOM88" s="1"/>
      <c r="DON88" s="1"/>
      <c r="DOO88" s="1"/>
      <c r="DOP88" s="1"/>
      <c r="DOQ88" s="1"/>
      <c r="DOR88" s="1"/>
      <c r="DOS88" s="1"/>
      <c r="DOT88" s="1"/>
      <c r="DOU88" s="1"/>
      <c r="DOV88" s="1"/>
      <c r="DOW88" s="1"/>
      <c r="DOX88" s="1"/>
      <c r="DOY88" s="1"/>
      <c r="DOZ88" s="1"/>
      <c r="DPA88" s="1"/>
      <c r="DPB88" s="1"/>
      <c r="DPC88" s="1"/>
      <c r="DPD88" s="1"/>
      <c r="DPE88" s="1"/>
      <c r="DPF88" s="1"/>
      <c r="DPG88" s="1"/>
      <c r="DPH88" s="1"/>
      <c r="DPI88" s="1"/>
      <c r="DPJ88" s="1"/>
      <c r="DPK88" s="1"/>
      <c r="DPL88" s="1"/>
      <c r="DPM88" s="1"/>
      <c r="DPN88" s="1"/>
      <c r="DPO88" s="1"/>
      <c r="DPP88" s="1"/>
      <c r="DPQ88" s="1"/>
      <c r="DPR88" s="1"/>
      <c r="DPS88" s="1"/>
      <c r="DPT88" s="1"/>
      <c r="DPU88" s="1"/>
      <c r="DPV88" s="1"/>
      <c r="DPW88" s="1"/>
      <c r="DPX88" s="1"/>
      <c r="DPY88" s="1"/>
      <c r="DPZ88" s="1"/>
      <c r="DQA88" s="1"/>
      <c r="DQB88" s="1"/>
      <c r="DQC88" s="1"/>
      <c r="DQD88" s="1"/>
      <c r="DQE88" s="1"/>
      <c r="DQF88" s="1"/>
      <c r="DQG88" s="1"/>
      <c r="DQH88" s="1"/>
      <c r="DQI88" s="1"/>
      <c r="DQJ88" s="1"/>
      <c r="DQK88" s="1"/>
      <c r="DQL88" s="1"/>
      <c r="DQM88" s="1"/>
      <c r="DQN88" s="1"/>
      <c r="DQO88" s="1"/>
      <c r="DQP88" s="1"/>
      <c r="DQQ88" s="1"/>
      <c r="DQR88" s="1"/>
      <c r="DQS88" s="1"/>
      <c r="DQT88" s="1"/>
      <c r="DQU88" s="1"/>
      <c r="DQV88" s="1"/>
      <c r="DQW88" s="1"/>
      <c r="DQX88" s="1"/>
      <c r="DQY88" s="1"/>
      <c r="DQZ88" s="1"/>
      <c r="DRA88" s="1"/>
      <c r="DRB88" s="1"/>
      <c r="DRC88" s="1"/>
      <c r="DRD88" s="1"/>
      <c r="DRE88" s="1"/>
      <c r="DRF88" s="1"/>
      <c r="DRG88" s="1"/>
      <c r="DRH88" s="1"/>
      <c r="DRI88" s="1"/>
      <c r="DRJ88" s="1"/>
      <c r="DRK88" s="1"/>
      <c r="DRL88" s="1"/>
      <c r="DRM88" s="1"/>
      <c r="DRN88" s="1"/>
      <c r="DRO88" s="1"/>
      <c r="DRP88" s="1"/>
      <c r="DRQ88" s="1"/>
      <c r="DRR88" s="1"/>
      <c r="DRS88" s="1"/>
      <c r="DRT88" s="1"/>
      <c r="DRU88" s="1"/>
      <c r="DRV88" s="1"/>
      <c r="DRW88" s="1"/>
      <c r="DRX88" s="1"/>
      <c r="DRY88" s="1"/>
      <c r="DRZ88" s="1"/>
      <c r="DSA88" s="1"/>
      <c r="DSB88" s="1"/>
      <c r="DSC88" s="1"/>
      <c r="DSD88" s="1"/>
      <c r="DSE88" s="1"/>
      <c r="DSF88" s="1"/>
      <c r="DSG88" s="1"/>
      <c r="DSH88" s="1"/>
      <c r="DSI88" s="1"/>
      <c r="DSJ88" s="1"/>
      <c r="DSK88" s="1"/>
      <c r="DSL88" s="1"/>
      <c r="DSM88" s="1"/>
      <c r="DSN88" s="1"/>
      <c r="DSO88" s="1"/>
      <c r="DSP88" s="1"/>
      <c r="DSQ88" s="1"/>
      <c r="DSR88" s="1"/>
      <c r="DSS88" s="1"/>
      <c r="DST88" s="1"/>
      <c r="DSU88" s="1"/>
      <c r="DSV88" s="1"/>
      <c r="DSW88" s="1"/>
      <c r="DSX88" s="1"/>
      <c r="DSY88" s="1"/>
      <c r="DSZ88" s="1"/>
      <c r="DTA88" s="1"/>
      <c r="DTB88" s="1"/>
      <c r="DTC88" s="1"/>
      <c r="DTD88" s="1"/>
      <c r="DTE88" s="1"/>
      <c r="DTF88" s="1"/>
      <c r="DTG88" s="1"/>
      <c r="DTH88" s="1"/>
      <c r="DTI88" s="1"/>
      <c r="DTJ88" s="1"/>
      <c r="DTK88" s="1"/>
      <c r="DTL88" s="1"/>
      <c r="DTM88" s="1"/>
      <c r="DTN88" s="1"/>
      <c r="DTO88" s="1"/>
      <c r="DTP88" s="1"/>
      <c r="DTQ88" s="1"/>
      <c r="DTR88" s="1"/>
      <c r="DTS88" s="1"/>
      <c r="DTT88" s="1"/>
      <c r="DTU88" s="1"/>
      <c r="DTV88" s="1"/>
      <c r="DTW88" s="1"/>
      <c r="DTX88" s="1"/>
      <c r="DTY88" s="1"/>
      <c r="DTZ88" s="1"/>
      <c r="DUA88" s="1"/>
      <c r="DUB88" s="1"/>
      <c r="DUC88" s="1"/>
      <c r="DUD88" s="1"/>
      <c r="DUE88" s="1"/>
      <c r="DUF88" s="1"/>
      <c r="DUG88" s="1"/>
      <c r="DUH88" s="1"/>
      <c r="DUI88" s="1"/>
      <c r="DUJ88" s="1"/>
      <c r="DUK88" s="1"/>
      <c r="DUL88" s="1"/>
      <c r="DUM88" s="1"/>
      <c r="DUN88" s="1"/>
      <c r="DUO88" s="1"/>
      <c r="DUP88" s="1"/>
      <c r="DUQ88" s="1"/>
      <c r="DUR88" s="1"/>
      <c r="DUS88" s="1"/>
      <c r="DUT88" s="1"/>
      <c r="DUU88" s="1"/>
      <c r="DUV88" s="1"/>
      <c r="DUW88" s="1"/>
      <c r="DUX88" s="1"/>
      <c r="DUY88" s="1"/>
      <c r="DUZ88" s="1"/>
      <c r="DVA88" s="1"/>
      <c r="DVB88" s="1"/>
      <c r="DVC88" s="1"/>
      <c r="DVD88" s="1"/>
      <c r="DVE88" s="1"/>
      <c r="DVF88" s="1"/>
      <c r="DVG88" s="1"/>
      <c r="DVH88" s="1"/>
      <c r="DVI88" s="1"/>
      <c r="DVJ88" s="1"/>
      <c r="DVK88" s="1"/>
      <c r="DVL88" s="1"/>
      <c r="DVM88" s="1"/>
      <c r="DVN88" s="1"/>
      <c r="DVO88" s="1"/>
      <c r="DVP88" s="1"/>
      <c r="DVQ88" s="1"/>
      <c r="DVR88" s="1"/>
      <c r="DVS88" s="1"/>
      <c r="DVT88" s="1"/>
      <c r="DVU88" s="1"/>
      <c r="DVV88" s="1"/>
      <c r="DVW88" s="1"/>
      <c r="DVX88" s="1"/>
      <c r="DVY88" s="1"/>
      <c r="DVZ88" s="1"/>
      <c r="DWA88" s="1"/>
      <c r="DWB88" s="1"/>
      <c r="DWC88" s="1"/>
      <c r="DWD88" s="1"/>
      <c r="DWE88" s="1"/>
      <c r="DWF88" s="1"/>
      <c r="DWG88" s="1"/>
      <c r="DWH88" s="1"/>
      <c r="DWI88" s="1"/>
      <c r="DWJ88" s="1"/>
      <c r="DWK88" s="1"/>
      <c r="DWL88" s="1"/>
      <c r="DWM88" s="1"/>
      <c r="DWN88" s="1"/>
      <c r="DWO88" s="1"/>
      <c r="DWP88" s="1"/>
      <c r="DWQ88" s="1"/>
      <c r="DWR88" s="1"/>
      <c r="DWS88" s="1"/>
      <c r="DWT88" s="1"/>
      <c r="DWU88" s="1"/>
      <c r="DWV88" s="1"/>
      <c r="DWW88" s="1"/>
      <c r="DWX88" s="1"/>
      <c r="DWY88" s="1"/>
      <c r="DWZ88" s="1"/>
      <c r="DXA88" s="1"/>
      <c r="DXB88" s="1"/>
      <c r="DXC88" s="1"/>
      <c r="DXD88" s="1"/>
      <c r="DXE88" s="1"/>
      <c r="DXF88" s="1"/>
      <c r="DXG88" s="1"/>
      <c r="DXH88" s="1"/>
      <c r="DXI88" s="1"/>
      <c r="DXJ88" s="1"/>
      <c r="DXK88" s="1"/>
      <c r="DXL88" s="1"/>
      <c r="DXM88" s="1"/>
      <c r="DXN88" s="1"/>
      <c r="DXO88" s="1"/>
      <c r="DXP88" s="1"/>
      <c r="DXQ88" s="1"/>
      <c r="DXR88" s="1"/>
      <c r="DXS88" s="1"/>
      <c r="DXT88" s="1"/>
      <c r="DXU88" s="1"/>
      <c r="DXV88" s="1"/>
      <c r="DXW88" s="1"/>
      <c r="DXX88" s="1"/>
      <c r="DXY88" s="1"/>
      <c r="DXZ88" s="1"/>
      <c r="DYA88" s="1"/>
      <c r="DYB88" s="1"/>
      <c r="DYC88" s="1"/>
      <c r="DYD88" s="1"/>
      <c r="DYE88" s="1"/>
      <c r="DYF88" s="1"/>
      <c r="DYG88" s="1"/>
      <c r="DYH88" s="1"/>
      <c r="DYI88" s="1"/>
      <c r="DYJ88" s="1"/>
      <c r="DYK88" s="1"/>
      <c r="DYL88" s="1"/>
      <c r="DYM88" s="1"/>
      <c r="DYN88" s="1"/>
      <c r="DYO88" s="1"/>
      <c r="DYP88" s="1"/>
      <c r="DYQ88" s="1"/>
      <c r="DYR88" s="1"/>
      <c r="DYS88" s="1"/>
      <c r="DYT88" s="1"/>
      <c r="DYU88" s="1"/>
      <c r="DYV88" s="1"/>
      <c r="DYW88" s="1"/>
      <c r="DYX88" s="1"/>
      <c r="DYY88" s="1"/>
      <c r="DYZ88" s="1"/>
      <c r="DZA88" s="1"/>
      <c r="DZB88" s="1"/>
      <c r="DZC88" s="1"/>
      <c r="DZD88" s="1"/>
      <c r="DZE88" s="1"/>
      <c r="DZF88" s="1"/>
      <c r="DZG88" s="1"/>
      <c r="DZH88" s="1"/>
      <c r="DZI88" s="1"/>
      <c r="DZJ88" s="1"/>
      <c r="DZK88" s="1"/>
      <c r="DZL88" s="1"/>
      <c r="DZM88" s="1"/>
      <c r="DZN88" s="1"/>
      <c r="DZO88" s="1"/>
      <c r="DZP88" s="1"/>
      <c r="DZQ88" s="1"/>
      <c r="DZR88" s="1"/>
      <c r="DZS88" s="1"/>
      <c r="DZT88" s="1"/>
      <c r="DZU88" s="1"/>
      <c r="DZV88" s="1"/>
      <c r="DZW88" s="1"/>
      <c r="DZX88" s="1"/>
      <c r="DZY88" s="1"/>
      <c r="DZZ88" s="1"/>
      <c r="EAA88" s="1"/>
      <c r="EAB88" s="1"/>
      <c r="EAC88" s="1"/>
      <c r="EAD88" s="1"/>
      <c r="EAE88" s="1"/>
      <c r="EAF88" s="1"/>
      <c r="EAG88" s="1"/>
      <c r="EAH88" s="1"/>
      <c r="EAI88" s="1"/>
      <c r="EAJ88" s="1"/>
      <c r="EAK88" s="1"/>
      <c r="EAL88" s="1"/>
      <c r="EAM88" s="1"/>
      <c r="EAN88" s="1"/>
      <c r="EAO88" s="1"/>
      <c r="EAP88" s="1"/>
      <c r="EAQ88" s="1"/>
      <c r="EAR88" s="1"/>
      <c r="EAS88" s="1"/>
      <c r="EAT88" s="1"/>
      <c r="EAU88" s="1"/>
      <c r="EAV88" s="1"/>
      <c r="EAW88" s="1"/>
      <c r="EAX88" s="1"/>
      <c r="EAY88" s="1"/>
      <c r="EAZ88" s="1"/>
      <c r="EBA88" s="1"/>
      <c r="EBB88" s="1"/>
      <c r="EBC88" s="1"/>
      <c r="EBD88" s="1"/>
      <c r="EBE88" s="1"/>
      <c r="EBF88" s="1"/>
      <c r="EBG88" s="1"/>
      <c r="EBH88" s="1"/>
      <c r="EBI88" s="1"/>
      <c r="EBJ88" s="1"/>
      <c r="EBK88" s="1"/>
      <c r="EBL88" s="1"/>
      <c r="EBM88" s="1"/>
      <c r="EBN88" s="1"/>
      <c r="EBO88" s="1"/>
      <c r="EBP88" s="1"/>
      <c r="EBQ88" s="1"/>
      <c r="EBR88" s="1"/>
      <c r="EBS88" s="1"/>
      <c r="EBT88" s="1"/>
      <c r="EBU88" s="1"/>
      <c r="EBV88" s="1"/>
      <c r="EBW88" s="1"/>
      <c r="EBX88" s="1"/>
      <c r="EBY88" s="1"/>
      <c r="EBZ88" s="1"/>
      <c r="ECA88" s="1"/>
      <c r="ECB88" s="1"/>
      <c r="ECC88" s="1"/>
      <c r="ECD88" s="1"/>
      <c r="ECE88" s="1"/>
      <c r="ECF88" s="1"/>
      <c r="ECG88" s="1"/>
      <c r="ECH88" s="1"/>
      <c r="ECI88" s="1"/>
      <c r="ECJ88" s="1"/>
      <c r="ECK88" s="1"/>
      <c r="ECL88" s="1"/>
      <c r="ECM88" s="1"/>
      <c r="ECN88" s="1"/>
      <c r="ECO88" s="1"/>
      <c r="ECP88" s="1"/>
      <c r="ECQ88" s="1"/>
      <c r="ECR88" s="1"/>
      <c r="ECS88" s="1"/>
      <c r="ECT88" s="1"/>
      <c r="ECU88" s="1"/>
      <c r="ECV88" s="1"/>
      <c r="ECW88" s="1"/>
      <c r="ECX88" s="1"/>
      <c r="ECY88" s="1"/>
      <c r="ECZ88" s="1"/>
      <c r="EDA88" s="1"/>
      <c r="EDB88" s="1"/>
      <c r="EDC88" s="1"/>
      <c r="EDD88" s="1"/>
      <c r="EDE88" s="1"/>
      <c r="EDF88" s="1"/>
      <c r="EDG88" s="1"/>
      <c r="EDH88" s="1"/>
      <c r="EDI88" s="1"/>
      <c r="EDJ88" s="1"/>
      <c r="EDK88" s="1"/>
      <c r="EDL88" s="1"/>
      <c r="EDM88" s="1"/>
      <c r="EDN88" s="1"/>
      <c r="EDO88" s="1"/>
      <c r="EDP88" s="1"/>
      <c r="EDQ88" s="1"/>
      <c r="EDR88" s="1"/>
      <c r="EDS88" s="1"/>
      <c r="EDT88" s="1"/>
      <c r="EDU88" s="1"/>
      <c r="EDV88" s="1"/>
      <c r="EDW88" s="1"/>
      <c r="EDX88" s="1"/>
      <c r="EDY88" s="1"/>
      <c r="EDZ88" s="1"/>
      <c r="EEA88" s="1"/>
      <c r="EEB88" s="1"/>
      <c r="EEC88" s="1"/>
      <c r="EED88" s="1"/>
      <c r="EEE88" s="1"/>
      <c r="EEF88" s="1"/>
      <c r="EEG88" s="1"/>
      <c r="EEH88" s="1"/>
      <c r="EEI88" s="1"/>
      <c r="EEJ88" s="1"/>
      <c r="EEK88" s="1"/>
      <c r="EEL88" s="1"/>
      <c r="EEM88" s="1"/>
      <c r="EEN88" s="1"/>
      <c r="EEO88" s="1"/>
      <c r="EEP88" s="1"/>
      <c r="EEQ88" s="1"/>
      <c r="EER88" s="1"/>
      <c r="EES88" s="1"/>
      <c r="EET88" s="1"/>
      <c r="EEU88" s="1"/>
      <c r="EEV88" s="1"/>
      <c r="EEW88" s="1"/>
      <c r="EEX88" s="1"/>
      <c r="EEY88" s="1"/>
      <c r="EEZ88" s="1"/>
      <c r="EFA88" s="1"/>
      <c r="EFB88" s="1"/>
      <c r="EFC88" s="1"/>
      <c r="EFD88" s="1"/>
      <c r="EFE88" s="1"/>
      <c r="EFF88" s="1"/>
      <c r="EFG88" s="1"/>
      <c r="EFH88" s="1"/>
      <c r="EFI88" s="1"/>
      <c r="EFJ88" s="1"/>
      <c r="EFK88" s="1"/>
      <c r="EFL88" s="1"/>
      <c r="EFM88" s="1"/>
      <c r="EFN88" s="1"/>
      <c r="EFO88" s="1"/>
      <c r="EFP88" s="1"/>
      <c r="EFQ88" s="1"/>
      <c r="EFR88" s="1"/>
      <c r="EFS88" s="1"/>
      <c r="EFT88" s="1"/>
      <c r="EFU88" s="1"/>
      <c r="EFV88" s="1"/>
      <c r="EFW88" s="1"/>
      <c r="EFX88" s="1"/>
      <c r="EFY88" s="1"/>
      <c r="EFZ88" s="1"/>
      <c r="EGA88" s="1"/>
      <c r="EGB88" s="1"/>
      <c r="EGC88" s="1"/>
      <c r="EGD88" s="1"/>
      <c r="EGE88" s="1"/>
      <c r="EGF88" s="1"/>
      <c r="EGG88" s="1"/>
      <c r="EGH88" s="1"/>
      <c r="EGI88" s="1"/>
      <c r="EGJ88" s="1"/>
      <c r="EGK88" s="1"/>
      <c r="EGL88" s="1"/>
      <c r="EGM88" s="1"/>
      <c r="EGN88" s="1"/>
      <c r="EGO88" s="1"/>
      <c r="EGP88" s="1"/>
      <c r="EGQ88" s="1"/>
      <c r="EGR88" s="1"/>
      <c r="EGS88" s="1"/>
      <c r="EGT88" s="1"/>
      <c r="EGU88" s="1"/>
      <c r="EGV88" s="1"/>
      <c r="EGW88" s="1"/>
      <c r="EGX88" s="1"/>
      <c r="EGY88" s="1"/>
      <c r="EGZ88" s="1"/>
      <c r="EHA88" s="1"/>
      <c r="EHB88" s="1"/>
      <c r="EHC88" s="1"/>
      <c r="EHD88" s="1"/>
      <c r="EHE88" s="1"/>
      <c r="EHF88" s="1"/>
      <c r="EHG88" s="1"/>
      <c r="EHH88" s="1"/>
      <c r="EHI88" s="1"/>
      <c r="EHJ88" s="1"/>
      <c r="EHK88" s="1"/>
      <c r="EHL88" s="1"/>
      <c r="EHM88" s="1"/>
      <c r="EHN88" s="1"/>
      <c r="EHO88" s="1"/>
      <c r="EHP88" s="1"/>
      <c r="EHQ88" s="1"/>
      <c r="EHR88" s="1"/>
      <c r="EHS88" s="1"/>
      <c r="EHT88" s="1"/>
      <c r="EHU88" s="1"/>
      <c r="EHV88" s="1"/>
      <c r="EHW88" s="1"/>
      <c r="EHX88" s="1"/>
      <c r="EHY88" s="1"/>
      <c r="EHZ88" s="1"/>
      <c r="EIA88" s="1"/>
      <c r="EIB88" s="1"/>
      <c r="EIC88" s="1"/>
      <c r="EID88" s="1"/>
      <c r="EIE88" s="1"/>
      <c r="EIF88" s="1"/>
      <c r="EIG88" s="1"/>
      <c r="EIH88" s="1"/>
      <c r="EII88" s="1"/>
      <c r="EIJ88" s="1"/>
      <c r="EIK88" s="1"/>
      <c r="EIL88" s="1"/>
      <c r="EIM88" s="1"/>
      <c r="EIN88" s="1"/>
      <c r="EIO88" s="1"/>
      <c r="EIP88" s="1"/>
      <c r="EIQ88" s="1"/>
      <c r="EIR88" s="1"/>
      <c r="EIS88" s="1"/>
      <c r="EIT88" s="1"/>
      <c r="EIU88" s="1"/>
      <c r="EIV88" s="1"/>
      <c r="EIW88" s="1"/>
      <c r="EIX88" s="1"/>
      <c r="EIY88" s="1"/>
      <c r="EIZ88" s="1"/>
      <c r="EJA88" s="1"/>
      <c r="EJB88" s="1"/>
      <c r="EJC88" s="1"/>
      <c r="EJD88" s="1"/>
      <c r="EJE88" s="1"/>
      <c r="EJF88" s="1"/>
      <c r="EJG88" s="1"/>
      <c r="EJH88" s="1"/>
      <c r="EJI88" s="1"/>
      <c r="EJJ88" s="1"/>
      <c r="EJK88" s="1"/>
      <c r="EJL88" s="1"/>
      <c r="EJM88" s="1"/>
      <c r="EJN88" s="1"/>
      <c r="EJO88" s="1"/>
      <c r="EJP88" s="1"/>
      <c r="EJQ88" s="1"/>
      <c r="EJR88" s="1"/>
      <c r="EJS88" s="1"/>
      <c r="EJT88" s="1"/>
      <c r="EJU88" s="1"/>
      <c r="EJV88" s="1"/>
      <c r="EJW88" s="1"/>
      <c r="EJX88" s="1"/>
      <c r="EJY88" s="1"/>
      <c r="EJZ88" s="1"/>
      <c r="EKA88" s="1"/>
      <c r="EKB88" s="1"/>
      <c r="EKC88" s="1"/>
      <c r="EKD88" s="1"/>
      <c r="EKE88" s="1"/>
      <c r="EKF88" s="1"/>
      <c r="EKG88" s="1"/>
      <c r="EKH88" s="1"/>
      <c r="EKI88" s="1"/>
      <c r="EKJ88" s="1"/>
      <c r="EKK88" s="1"/>
      <c r="EKL88" s="1"/>
      <c r="EKM88" s="1"/>
      <c r="EKN88" s="1"/>
      <c r="EKO88" s="1"/>
      <c r="EKP88" s="1"/>
      <c r="EKQ88" s="1"/>
      <c r="EKR88" s="1"/>
      <c r="EKS88" s="1"/>
      <c r="EKT88" s="1"/>
      <c r="EKU88" s="1"/>
      <c r="EKV88" s="1"/>
      <c r="EKW88" s="1"/>
      <c r="EKX88" s="1"/>
      <c r="EKY88" s="1"/>
      <c r="EKZ88" s="1"/>
      <c r="ELA88" s="1"/>
      <c r="ELB88" s="1"/>
      <c r="ELC88" s="1"/>
      <c r="ELD88" s="1"/>
      <c r="ELE88" s="1"/>
      <c r="ELF88" s="1"/>
      <c r="ELG88" s="1"/>
      <c r="ELH88" s="1"/>
      <c r="ELI88" s="1"/>
      <c r="ELJ88" s="1"/>
      <c r="ELK88" s="1"/>
      <c r="ELL88" s="1"/>
      <c r="ELM88" s="1"/>
      <c r="ELN88" s="1"/>
      <c r="ELO88" s="1"/>
      <c r="ELP88" s="1"/>
      <c r="ELQ88" s="1"/>
      <c r="ELR88" s="1"/>
      <c r="ELS88" s="1"/>
      <c r="ELT88" s="1"/>
      <c r="ELU88" s="1"/>
      <c r="ELV88" s="1"/>
      <c r="ELW88" s="1"/>
      <c r="ELX88" s="1"/>
      <c r="ELY88" s="1"/>
      <c r="ELZ88" s="1"/>
      <c r="EMA88" s="1"/>
      <c r="EMB88" s="1"/>
      <c r="EMC88" s="1"/>
      <c r="EMD88" s="1"/>
      <c r="EME88" s="1"/>
      <c r="EMF88" s="1"/>
      <c r="EMG88" s="1"/>
      <c r="EMH88" s="1"/>
      <c r="EMI88" s="1"/>
      <c r="EMJ88" s="1"/>
      <c r="EMK88" s="1"/>
      <c r="EML88" s="1"/>
      <c r="EMM88" s="1"/>
      <c r="EMN88" s="1"/>
      <c r="EMO88" s="1"/>
      <c r="EMP88" s="1"/>
      <c r="EMQ88" s="1"/>
      <c r="EMR88" s="1"/>
      <c r="EMS88" s="1"/>
      <c r="EMT88" s="1"/>
      <c r="EMU88" s="1"/>
      <c r="EMV88" s="1"/>
      <c r="EMW88" s="1"/>
      <c r="EMX88" s="1"/>
      <c r="EMY88" s="1"/>
      <c r="EMZ88" s="1"/>
      <c r="ENA88" s="1"/>
      <c r="ENB88" s="1"/>
      <c r="ENC88" s="1"/>
      <c r="END88" s="1"/>
      <c r="ENE88" s="1"/>
      <c r="ENF88" s="1"/>
      <c r="ENG88" s="1"/>
      <c r="ENH88" s="1"/>
      <c r="ENI88" s="1"/>
      <c r="ENJ88" s="1"/>
      <c r="ENK88" s="1"/>
      <c r="ENL88" s="1"/>
      <c r="ENM88" s="1"/>
      <c r="ENN88" s="1"/>
      <c r="ENO88" s="1"/>
      <c r="ENP88" s="1"/>
      <c r="ENQ88" s="1"/>
      <c r="ENR88" s="1"/>
      <c r="ENS88" s="1"/>
      <c r="ENT88" s="1"/>
      <c r="ENU88" s="1"/>
      <c r="ENV88" s="1"/>
      <c r="ENW88" s="1"/>
      <c r="ENX88" s="1"/>
      <c r="ENY88" s="1"/>
      <c r="ENZ88" s="1"/>
      <c r="EOA88" s="1"/>
      <c r="EOB88" s="1"/>
      <c r="EOC88" s="1"/>
      <c r="EOD88" s="1"/>
      <c r="EOE88" s="1"/>
      <c r="EOF88" s="1"/>
      <c r="EOG88" s="1"/>
      <c r="EOH88" s="1"/>
      <c r="EOI88" s="1"/>
      <c r="EOJ88" s="1"/>
      <c r="EOK88" s="1"/>
      <c r="EOL88" s="1"/>
      <c r="EOM88" s="1"/>
      <c r="EON88" s="1"/>
      <c r="EOO88" s="1"/>
      <c r="EOP88" s="1"/>
      <c r="EOQ88" s="1"/>
      <c r="EOR88" s="1"/>
      <c r="EOS88" s="1"/>
      <c r="EOT88" s="1"/>
      <c r="EOU88" s="1"/>
      <c r="EOV88" s="1"/>
      <c r="EOW88" s="1"/>
      <c r="EOX88" s="1"/>
      <c r="EOY88" s="1"/>
      <c r="EOZ88" s="1"/>
      <c r="EPA88" s="1"/>
      <c r="EPB88" s="1"/>
      <c r="EPC88" s="1"/>
      <c r="EPD88" s="1"/>
      <c r="EPE88" s="1"/>
      <c r="EPF88" s="1"/>
      <c r="EPG88" s="1"/>
      <c r="EPH88" s="1"/>
      <c r="EPI88" s="1"/>
      <c r="EPJ88" s="1"/>
      <c r="EPK88" s="1"/>
      <c r="EPL88" s="1"/>
      <c r="EPM88" s="1"/>
      <c r="EPN88" s="1"/>
      <c r="EPO88" s="1"/>
      <c r="EPP88" s="1"/>
      <c r="EPQ88" s="1"/>
      <c r="EPR88" s="1"/>
      <c r="EPS88" s="1"/>
      <c r="EPT88" s="1"/>
      <c r="EPU88" s="1"/>
      <c r="EPV88" s="1"/>
      <c r="EPW88" s="1"/>
      <c r="EPX88" s="1"/>
      <c r="EPY88" s="1"/>
      <c r="EPZ88" s="1"/>
      <c r="EQA88" s="1"/>
      <c r="EQB88" s="1"/>
      <c r="EQC88" s="1"/>
      <c r="EQD88" s="1"/>
      <c r="EQE88" s="1"/>
      <c r="EQF88" s="1"/>
      <c r="EQG88" s="1"/>
      <c r="EQH88" s="1"/>
      <c r="EQI88" s="1"/>
      <c r="EQJ88" s="1"/>
      <c r="EQK88" s="1"/>
      <c r="EQL88" s="1"/>
      <c r="EQM88" s="1"/>
      <c r="EQN88" s="1"/>
      <c r="EQO88" s="1"/>
      <c r="EQP88" s="1"/>
      <c r="EQQ88" s="1"/>
      <c r="EQR88" s="1"/>
      <c r="EQS88" s="1"/>
      <c r="EQT88" s="1"/>
      <c r="EQU88" s="1"/>
      <c r="EQV88" s="1"/>
      <c r="EQW88" s="1"/>
      <c r="EQX88" s="1"/>
      <c r="EQY88" s="1"/>
      <c r="EQZ88" s="1"/>
      <c r="ERA88" s="1"/>
      <c r="ERB88" s="1"/>
      <c r="ERC88" s="1"/>
      <c r="ERD88" s="1"/>
      <c r="ERE88" s="1"/>
      <c r="ERF88" s="1"/>
      <c r="ERG88" s="1"/>
      <c r="ERH88" s="1"/>
      <c r="ERI88" s="1"/>
      <c r="ERJ88" s="1"/>
      <c r="ERK88" s="1"/>
      <c r="ERL88" s="1"/>
      <c r="ERM88" s="1"/>
      <c r="ERN88" s="1"/>
      <c r="ERO88" s="1"/>
      <c r="ERP88" s="1"/>
      <c r="ERQ88" s="1"/>
      <c r="ERR88" s="1"/>
      <c r="ERS88" s="1"/>
      <c r="ERT88" s="1"/>
      <c r="ERU88" s="1"/>
      <c r="ERV88" s="1"/>
      <c r="ERW88" s="1"/>
      <c r="ERX88" s="1"/>
      <c r="ERY88" s="1"/>
      <c r="ERZ88" s="1"/>
      <c r="ESA88" s="1"/>
      <c r="ESB88" s="1"/>
      <c r="ESC88" s="1"/>
      <c r="ESD88" s="1"/>
      <c r="ESE88" s="1"/>
      <c r="ESF88" s="1"/>
      <c r="ESG88" s="1"/>
      <c r="ESH88" s="1"/>
      <c r="ESI88" s="1"/>
      <c r="ESJ88" s="1"/>
      <c r="ESK88" s="1"/>
      <c r="ESL88" s="1"/>
      <c r="ESM88" s="1"/>
      <c r="ESN88" s="1"/>
      <c r="ESO88" s="1"/>
      <c r="ESP88" s="1"/>
      <c r="ESQ88" s="1"/>
      <c r="ESR88" s="1"/>
      <c r="ESS88" s="1"/>
      <c r="EST88" s="1"/>
      <c r="ESU88" s="1"/>
      <c r="ESV88" s="1"/>
      <c r="ESW88" s="1"/>
      <c r="ESX88" s="1"/>
      <c r="ESY88" s="1"/>
      <c r="ESZ88" s="1"/>
      <c r="ETA88" s="1"/>
      <c r="ETB88" s="1"/>
      <c r="ETC88" s="1"/>
      <c r="ETD88" s="1"/>
      <c r="ETE88" s="1"/>
      <c r="ETF88" s="1"/>
      <c r="ETG88" s="1"/>
      <c r="ETH88" s="1"/>
      <c r="ETI88" s="1"/>
      <c r="ETJ88" s="1"/>
      <c r="ETK88" s="1"/>
      <c r="ETL88" s="1"/>
      <c r="ETM88" s="1"/>
      <c r="ETN88" s="1"/>
      <c r="ETO88" s="1"/>
      <c r="ETP88" s="1"/>
      <c r="ETQ88" s="1"/>
      <c r="ETR88" s="1"/>
      <c r="ETS88" s="1"/>
      <c r="ETT88" s="1"/>
      <c r="ETU88" s="1"/>
      <c r="ETV88" s="1"/>
      <c r="ETW88" s="1"/>
      <c r="ETX88" s="1"/>
      <c r="ETY88" s="1"/>
      <c r="ETZ88" s="1"/>
      <c r="EUA88" s="1"/>
      <c r="EUB88" s="1"/>
      <c r="EUC88" s="1"/>
      <c r="EUD88" s="1"/>
      <c r="EUE88" s="1"/>
      <c r="EUF88" s="1"/>
      <c r="EUG88" s="1"/>
      <c r="EUH88" s="1"/>
      <c r="EUI88" s="1"/>
      <c r="EUJ88" s="1"/>
      <c r="EUK88" s="1"/>
      <c r="EUL88" s="1"/>
      <c r="EUM88" s="1"/>
      <c r="EUN88" s="1"/>
      <c r="EUO88" s="1"/>
      <c r="EUP88" s="1"/>
      <c r="EUQ88" s="1"/>
      <c r="EUR88" s="1"/>
      <c r="EUS88" s="1"/>
      <c r="EUT88" s="1"/>
      <c r="EUU88" s="1"/>
      <c r="EUV88" s="1"/>
      <c r="EUW88" s="1"/>
      <c r="EUX88" s="1"/>
      <c r="EUY88" s="1"/>
      <c r="EUZ88" s="1"/>
      <c r="EVA88" s="1"/>
      <c r="EVB88" s="1"/>
      <c r="EVC88" s="1"/>
      <c r="EVD88" s="1"/>
      <c r="EVE88" s="1"/>
      <c r="EVF88" s="1"/>
      <c r="EVG88" s="1"/>
      <c r="EVH88" s="1"/>
      <c r="EVI88" s="1"/>
      <c r="EVJ88" s="1"/>
      <c r="EVK88" s="1"/>
      <c r="EVL88" s="1"/>
      <c r="EVM88" s="1"/>
      <c r="EVN88" s="1"/>
      <c r="EVO88" s="1"/>
      <c r="EVP88" s="1"/>
      <c r="EVQ88" s="1"/>
      <c r="EVR88" s="1"/>
      <c r="EVS88" s="1"/>
      <c r="EVT88" s="1"/>
      <c r="EVU88" s="1"/>
      <c r="EVV88" s="1"/>
      <c r="EVW88" s="1"/>
      <c r="EVX88" s="1"/>
      <c r="EVY88" s="1"/>
      <c r="EVZ88" s="1"/>
      <c r="EWA88" s="1"/>
      <c r="EWB88" s="1"/>
      <c r="EWC88" s="1"/>
      <c r="EWD88" s="1"/>
      <c r="EWE88" s="1"/>
      <c r="EWF88" s="1"/>
      <c r="EWG88" s="1"/>
      <c r="EWH88" s="1"/>
      <c r="EWI88" s="1"/>
      <c r="EWJ88" s="1"/>
      <c r="EWK88" s="1"/>
      <c r="EWL88" s="1"/>
      <c r="EWM88" s="1"/>
      <c r="EWN88" s="1"/>
      <c r="EWO88" s="1"/>
      <c r="EWP88" s="1"/>
      <c r="EWQ88" s="1"/>
      <c r="EWR88" s="1"/>
      <c r="EWS88" s="1"/>
      <c r="EWT88" s="1"/>
      <c r="EWU88" s="1"/>
      <c r="EWV88" s="1"/>
      <c r="EWW88" s="1"/>
      <c r="EWX88" s="1"/>
      <c r="EWY88" s="1"/>
      <c r="EWZ88" s="1"/>
      <c r="EXA88" s="1"/>
      <c r="EXB88" s="1"/>
      <c r="EXC88" s="1"/>
      <c r="EXD88" s="1"/>
      <c r="EXE88" s="1"/>
      <c r="EXF88" s="1"/>
      <c r="EXG88" s="1"/>
      <c r="EXH88" s="1"/>
      <c r="EXI88" s="1"/>
      <c r="EXJ88" s="1"/>
      <c r="EXK88" s="1"/>
      <c r="EXL88" s="1"/>
      <c r="EXM88" s="1"/>
      <c r="EXN88" s="1"/>
      <c r="EXO88" s="1"/>
      <c r="EXP88" s="1"/>
      <c r="EXQ88" s="1"/>
      <c r="EXR88" s="1"/>
      <c r="EXS88" s="1"/>
      <c r="EXT88" s="1"/>
      <c r="EXU88" s="1"/>
      <c r="EXV88" s="1"/>
      <c r="EXW88" s="1"/>
      <c r="EXX88" s="1"/>
      <c r="EXY88" s="1"/>
      <c r="EXZ88" s="1"/>
      <c r="EYA88" s="1"/>
      <c r="EYB88" s="1"/>
      <c r="EYC88" s="1"/>
      <c r="EYD88" s="1"/>
      <c r="EYE88" s="1"/>
      <c r="EYF88" s="1"/>
      <c r="EYG88" s="1"/>
      <c r="EYH88" s="1"/>
      <c r="EYI88" s="1"/>
      <c r="EYJ88" s="1"/>
      <c r="EYK88" s="1"/>
      <c r="EYL88" s="1"/>
      <c r="EYM88" s="1"/>
      <c r="EYN88" s="1"/>
      <c r="EYO88" s="1"/>
      <c r="EYP88" s="1"/>
      <c r="EYQ88" s="1"/>
      <c r="EYR88" s="1"/>
      <c r="EYS88" s="1"/>
      <c r="EYT88" s="1"/>
      <c r="EYU88" s="1"/>
      <c r="EYV88" s="1"/>
      <c r="EYW88" s="1"/>
      <c r="EYX88" s="1"/>
      <c r="EYY88" s="1"/>
      <c r="EYZ88" s="1"/>
      <c r="EZA88" s="1"/>
      <c r="EZB88" s="1"/>
      <c r="EZC88" s="1"/>
      <c r="EZD88" s="1"/>
      <c r="EZE88" s="1"/>
      <c r="EZF88" s="1"/>
      <c r="EZG88" s="1"/>
      <c r="EZH88" s="1"/>
      <c r="EZI88" s="1"/>
      <c r="EZJ88" s="1"/>
      <c r="EZK88" s="1"/>
      <c r="EZL88" s="1"/>
      <c r="EZM88" s="1"/>
      <c r="EZN88" s="1"/>
      <c r="EZO88" s="1"/>
      <c r="EZP88" s="1"/>
      <c r="EZQ88" s="1"/>
      <c r="EZR88" s="1"/>
      <c r="EZS88" s="1"/>
      <c r="EZT88" s="1"/>
      <c r="EZU88" s="1"/>
      <c r="EZV88" s="1"/>
      <c r="EZW88" s="1"/>
      <c r="EZX88" s="1"/>
      <c r="EZY88" s="1"/>
      <c r="EZZ88" s="1"/>
      <c r="FAA88" s="1"/>
      <c r="FAB88" s="1"/>
      <c r="FAC88" s="1"/>
      <c r="FAD88" s="1"/>
      <c r="FAE88" s="1"/>
      <c r="FAF88" s="1"/>
      <c r="FAG88" s="1"/>
      <c r="FAH88" s="1"/>
      <c r="FAI88" s="1"/>
      <c r="FAJ88" s="1"/>
      <c r="FAK88" s="1"/>
      <c r="FAL88" s="1"/>
      <c r="FAM88" s="1"/>
      <c r="FAN88" s="1"/>
      <c r="FAO88" s="1"/>
      <c r="FAP88" s="1"/>
      <c r="FAQ88" s="1"/>
      <c r="FAR88" s="1"/>
      <c r="FAS88" s="1"/>
      <c r="FAT88" s="1"/>
      <c r="FAU88" s="1"/>
      <c r="FAV88" s="1"/>
      <c r="FAW88" s="1"/>
      <c r="FAX88" s="1"/>
      <c r="FAY88" s="1"/>
      <c r="FAZ88" s="1"/>
      <c r="FBA88" s="1"/>
      <c r="FBB88" s="1"/>
      <c r="FBC88" s="1"/>
      <c r="FBD88" s="1"/>
      <c r="FBE88" s="1"/>
      <c r="FBF88" s="1"/>
      <c r="FBG88" s="1"/>
      <c r="FBH88" s="1"/>
      <c r="FBI88" s="1"/>
      <c r="FBJ88" s="1"/>
      <c r="FBK88" s="1"/>
      <c r="FBL88" s="1"/>
      <c r="FBM88" s="1"/>
      <c r="FBN88" s="1"/>
      <c r="FBO88" s="1"/>
      <c r="FBP88" s="1"/>
      <c r="FBQ88" s="1"/>
      <c r="FBR88" s="1"/>
      <c r="FBS88" s="1"/>
      <c r="FBT88" s="1"/>
      <c r="FBU88" s="1"/>
      <c r="FBV88" s="1"/>
      <c r="FBW88" s="1"/>
      <c r="FBX88" s="1"/>
      <c r="FBY88" s="1"/>
      <c r="FBZ88" s="1"/>
      <c r="FCA88" s="1"/>
      <c r="FCB88" s="1"/>
      <c r="FCC88" s="1"/>
      <c r="FCD88" s="1"/>
      <c r="FCE88" s="1"/>
      <c r="FCF88" s="1"/>
      <c r="FCG88" s="1"/>
      <c r="FCH88" s="1"/>
      <c r="FCI88" s="1"/>
      <c r="FCJ88" s="1"/>
      <c r="FCK88" s="1"/>
      <c r="FCL88" s="1"/>
      <c r="FCM88" s="1"/>
      <c r="FCN88" s="1"/>
      <c r="FCO88" s="1"/>
      <c r="FCP88" s="1"/>
      <c r="FCQ88" s="1"/>
      <c r="FCR88" s="1"/>
      <c r="FCS88" s="1"/>
      <c r="FCT88" s="1"/>
      <c r="FCU88" s="1"/>
      <c r="FCV88" s="1"/>
      <c r="FCW88" s="1"/>
      <c r="FCX88" s="1"/>
      <c r="FCY88" s="1"/>
      <c r="FCZ88" s="1"/>
      <c r="FDA88" s="1"/>
      <c r="FDB88" s="1"/>
      <c r="FDC88" s="1"/>
      <c r="FDD88" s="1"/>
      <c r="FDE88" s="1"/>
      <c r="FDF88" s="1"/>
      <c r="FDG88" s="1"/>
      <c r="FDH88" s="1"/>
      <c r="FDI88" s="1"/>
      <c r="FDJ88" s="1"/>
      <c r="FDK88" s="1"/>
      <c r="FDL88" s="1"/>
      <c r="FDM88" s="1"/>
      <c r="FDN88" s="1"/>
      <c r="FDO88" s="1"/>
      <c r="FDP88" s="1"/>
      <c r="FDQ88" s="1"/>
      <c r="FDR88" s="1"/>
      <c r="FDS88" s="1"/>
      <c r="FDT88" s="1"/>
      <c r="FDU88" s="1"/>
      <c r="FDV88" s="1"/>
      <c r="FDW88" s="1"/>
      <c r="FDX88" s="1"/>
      <c r="FDY88" s="1"/>
      <c r="FDZ88" s="1"/>
      <c r="FEA88" s="1"/>
      <c r="FEB88" s="1"/>
      <c r="FEC88" s="1"/>
      <c r="FED88" s="1"/>
      <c r="FEE88" s="1"/>
      <c r="FEF88" s="1"/>
      <c r="FEG88" s="1"/>
      <c r="FEH88" s="1"/>
      <c r="FEI88" s="1"/>
      <c r="FEJ88" s="1"/>
      <c r="FEK88" s="1"/>
      <c r="FEL88" s="1"/>
      <c r="FEM88" s="1"/>
      <c r="FEN88" s="1"/>
      <c r="FEO88" s="1"/>
      <c r="FEP88" s="1"/>
      <c r="FEQ88" s="1"/>
      <c r="FER88" s="1"/>
      <c r="FES88" s="1"/>
      <c r="FET88" s="1"/>
      <c r="FEU88" s="1"/>
      <c r="FEV88" s="1"/>
      <c r="FEW88" s="1"/>
      <c r="FEX88" s="1"/>
      <c r="FEY88" s="1"/>
      <c r="FEZ88" s="1"/>
      <c r="FFA88" s="1"/>
      <c r="FFB88" s="1"/>
      <c r="FFC88" s="1"/>
      <c r="FFD88" s="1"/>
      <c r="FFE88" s="1"/>
      <c r="FFF88" s="1"/>
      <c r="FFG88" s="1"/>
      <c r="FFH88" s="1"/>
      <c r="FFI88" s="1"/>
      <c r="FFJ88" s="1"/>
      <c r="FFK88" s="1"/>
      <c r="FFL88" s="1"/>
      <c r="FFM88" s="1"/>
      <c r="FFN88" s="1"/>
      <c r="FFO88" s="1"/>
      <c r="FFP88" s="1"/>
      <c r="FFQ88" s="1"/>
      <c r="FFR88" s="1"/>
      <c r="FFS88" s="1"/>
      <c r="FFT88" s="1"/>
      <c r="FFU88" s="1"/>
      <c r="FFV88" s="1"/>
      <c r="FFW88" s="1"/>
      <c r="FFX88" s="1"/>
      <c r="FFY88" s="1"/>
      <c r="FFZ88" s="1"/>
      <c r="FGA88" s="1"/>
      <c r="FGB88" s="1"/>
      <c r="FGC88" s="1"/>
      <c r="FGD88" s="1"/>
      <c r="FGE88" s="1"/>
      <c r="FGF88" s="1"/>
      <c r="FGG88" s="1"/>
      <c r="FGH88" s="1"/>
      <c r="FGI88" s="1"/>
      <c r="FGJ88" s="1"/>
      <c r="FGK88" s="1"/>
      <c r="FGL88" s="1"/>
      <c r="FGM88" s="1"/>
      <c r="FGN88" s="1"/>
      <c r="FGO88" s="1"/>
      <c r="FGP88" s="1"/>
      <c r="FGQ88" s="1"/>
      <c r="FGR88" s="1"/>
      <c r="FGS88" s="1"/>
      <c r="FGT88" s="1"/>
      <c r="FGU88" s="1"/>
      <c r="FGV88" s="1"/>
      <c r="FGW88" s="1"/>
      <c r="FGX88" s="1"/>
      <c r="FGY88" s="1"/>
      <c r="FGZ88" s="1"/>
      <c r="FHA88" s="1"/>
      <c r="FHB88" s="1"/>
      <c r="FHC88" s="1"/>
      <c r="FHD88" s="1"/>
      <c r="FHE88" s="1"/>
      <c r="FHF88" s="1"/>
      <c r="FHG88" s="1"/>
      <c r="FHH88" s="1"/>
      <c r="FHI88" s="1"/>
      <c r="FHJ88" s="1"/>
      <c r="FHK88" s="1"/>
      <c r="FHL88" s="1"/>
      <c r="FHM88" s="1"/>
      <c r="FHN88" s="1"/>
      <c r="FHO88" s="1"/>
      <c r="FHP88" s="1"/>
      <c r="FHQ88" s="1"/>
      <c r="FHR88" s="1"/>
      <c r="FHS88" s="1"/>
      <c r="FHT88" s="1"/>
      <c r="FHU88" s="1"/>
      <c r="FHV88" s="1"/>
      <c r="FHW88" s="1"/>
      <c r="FHX88" s="1"/>
      <c r="FHY88" s="1"/>
      <c r="FHZ88" s="1"/>
      <c r="FIA88" s="1"/>
      <c r="FIB88" s="1"/>
      <c r="FIC88" s="1"/>
      <c r="FID88" s="1"/>
      <c r="FIE88" s="1"/>
      <c r="FIF88" s="1"/>
      <c r="FIG88" s="1"/>
      <c r="FIH88" s="1"/>
      <c r="FII88" s="1"/>
      <c r="FIJ88" s="1"/>
      <c r="FIK88" s="1"/>
      <c r="FIL88" s="1"/>
      <c r="FIM88" s="1"/>
      <c r="FIN88" s="1"/>
      <c r="FIO88" s="1"/>
      <c r="FIP88" s="1"/>
      <c r="FIQ88" s="1"/>
      <c r="FIR88" s="1"/>
      <c r="FIS88" s="1"/>
      <c r="FIT88" s="1"/>
      <c r="FIU88" s="1"/>
      <c r="FIV88" s="1"/>
      <c r="FIW88" s="1"/>
      <c r="FIX88" s="1"/>
      <c r="FIY88" s="1"/>
      <c r="FIZ88" s="1"/>
      <c r="FJA88" s="1"/>
      <c r="FJB88" s="1"/>
      <c r="FJC88" s="1"/>
      <c r="FJD88" s="1"/>
      <c r="FJE88" s="1"/>
      <c r="FJF88" s="1"/>
      <c r="FJG88" s="1"/>
      <c r="FJH88" s="1"/>
      <c r="FJI88" s="1"/>
      <c r="FJJ88" s="1"/>
      <c r="FJK88" s="1"/>
      <c r="FJL88" s="1"/>
      <c r="FJM88" s="1"/>
      <c r="FJN88" s="1"/>
      <c r="FJO88" s="1"/>
      <c r="FJP88" s="1"/>
      <c r="FJQ88" s="1"/>
      <c r="FJR88" s="1"/>
      <c r="FJS88" s="1"/>
      <c r="FJT88" s="1"/>
      <c r="FJU88" s="1"/>
      <c r="FJV88" s="1"/>
      <c r="FJW88" s="1"/>
      <c r="FJX88" s="1"/>
      <c r="FJY88" s="1"/>
      <c r="FJZ88" s="1"/>
      <c r="FKA88" s="1"/>
      <c r="FKB88" s="1"/>
      <c r="FKC88" s="1"/>
      <c r="FKD88" s="1"/>
      <c r="FKE88" s="1"/>
      <c r="FKF88" s="1"/>
      <c r="FKG88" s="1"/>
      <c r="FKH88" s="1"/>
      <c r="FKI88" s="1"/>
      <c r="FKJ88" s="1"/>
      <c r="FKK88" s="1"/>
      <c r="FKL88" s="1"/>
      <c r="FKM88" s="1"/>
      <c r="FKN88" s="1"/>
      <c r="FKO88" s="1"/>
      <c r="FKP88" s="1"/>
      <c r="FKQ88" s="1"/>
      <c r="FKR88" s="1"/>
      <c r="FKS88" s="1"/>
      <c r="FKT88" s="1"/>
      <c r="FKU88" s="1"/>
      <c r="FKV88" s="1"/>
      <c r="FKW88" s="1"/>
      <c r="FKX88" s="1"/>
      <c r="FKY88" s="1"/>
      <c r="FKZ88" s="1"/>
      <c r="FLA88" s="1"/>
      <c r="FLB88" s="1"/>
      <c r="FLC88" s="1"/>
      <c r="FLD88" s="1"/>
      <c r="FLE88" s="1"/>
      <c r="FLF88" s="1"/>
      <c r="FLG88" s="1"/>
      <c r="FLH88" s="1"/>
      <c r="FLI88" s="1"/>
      <c r="FLJ88" s="1"/>
      <c r="FLK88" s="1"/>
      <c r="FLL88" s="1"/>
      <c r="FLM88" s="1"/>
      <c r="FLN88" s="1"/>
      <c r="FLO88" s="1"/>
      <c r="FLP88" s="1"/>
      <c r="FLQ88" s="1"/>
      <c r="FLR88" s="1"/>
      <c r="FLS88" s="1"/>
      <c r="FLT88" s="1"/>
      <c r="FLU88" s="1"/>
      <c r="FLV88" s="1"/>
      <c r="FLW88" s="1"/>
      <c r="FLX88" s="1"/>
      <c r="FLY88" s="1"/>
      <c r="FLZ88" s="1"/>
      <c r="FMA88" s="1"/>
      <c r="FMB88" s="1"/>
      <c r="FMC88" s="1"/>
      <c r="FMD88" s="1"/>
      <c r="FME88" s="1"/>
      <c r="FMF88" s="1"/>
      <c r="FMG88" s="1"/>
      <c r="FMH88" s="1"/>
      <c r="FMI88" s="1"/>
      <c r="FMJ88" s="1"/>
      <c r="FMK88" s="1"/>
      <c r="FML88" s="1"/>
      <c r="FMM88" s="1"/>
      <c r="FMN88" s="1"/>
      <c r="FMO88" s="1"/>
      <c r="FMP88" s="1"/>
      <c r="FMQ88" s="1"/>
      <c r="FMR88" s="1"/>
      <c r="FMS88" s="1"/>
      <c r="FMT88" s="1"/>
      <c r="FMU88" s="1"/>
      <c r="FMV88" s="1"/>
      <c r="FMW88" s="1"/>
      <c r="FMX88" s="1"/>
      <c r="FMY88" s="1"/>
      <c r="FMZ88" s="1"/>
      <c r="FNA88" s="1"/>
      <c r="FNB88" s="1"/>
      <c r="FNC88" s="1"/>
      <c r="FND88" s="1"/>
      <c r="FNE88" s="1"/>
      <c r="FNF88" s="1"/>
      <c r="FNG88" s="1"/>
      <c r="FNH88" s="1"/>
      <c r="FNI88" s="1"/>
      <c r="FNJ88" s="1"/>
      <c r="FNK88" s="1"/>
      <c r="FNL88" s="1"/>
      <c r="FNM88" s="1"/>
      <c r="FNN88" s="1"/>
      <c r="FNO88" s="1"/>
      <c r="FNP88" s="1"/>
      <c r="FNQ88" s="1"/>
      <c r="FNR88" s="1"/>
      <c r="FNS88" s="1"/>
      <c r="FNT88" s="1"/>
      <c r="FNU88" s="1"/>
      <c r="FNV88" s="1"/>
      <c r="FNW88" s="1"/>
      <c r="FNX88" s="1"/>
      <c r="FNY88" s="1"/>
      <c r="FNZ88" s="1"/>
      <c r="FOA88" s="1"/>
      <c r="FOB88" s="1"/>
      <c r="FOC88" s="1"/>
      <c r="FOD88" s="1"/>
      <c r="FOE88" s="1"/>
      <c r="FOF88" s="1"/>
      <c r="FOG88" s="1"/>
      <c r="FOH88" s="1"/>
      <c r="FOI88" s="1"/>
      <c r="FOJ88" s="1"/>
      <c r="FOK88" s="1"/>
      <c r="FOL88" s="1"/>
      <c r="FOM88" s="1"/>
      <c r="FON88" s="1"/>
      <c r="FOO88" s="1"/>
      <c r="FOP88" s="1"/>
      <c r="FOQ88" s="1"/>
      <c r="FOR88" s="1"/>
      <c r="FOS88" s="1"/>
      <c r="FOT88" s="1"/>
      <c r="FOU88" s="1"/>
      <c r="FOV88" s="1"/>
      <c r="FOW88" s="1"/>
      <c r="FOX88" s="1"/>
      <c r="FOY88" s="1"/>
      <c r="FOZ88" s="1"/>
      <c r="FPA88" s="1"/>
      <c r="FPB88" s="1"/>
      <c r="FPC88" s="1"/>
      <c r="FPD88" s="1"/>
      <c r="FPE88" s="1"/>
      <c r="FPF88" s="1"/>
      <c r="FPG88" s="1"/>
      <c r="FPH88" s="1"/>
      <c r="FPI88" s="1"/>
      <c r="FPJ88" s="1"/>
      <c r="FPK88" s="1"/>
      <c r="FPL88" s="1"/>
      <c r="FPM88" s="1"/>
      <c r="FPN88" s="1"/>
      <c r="FPO88" s="1"/>
      <c r="FPP88" s="1"/>
      <c r="FPQ88" s="1"/>
      <c r="FPR88" s="1"/>
      <c r="FPS88" s="1"/>
      <c r="FPT88" s="1"/>
      <c r="FPU88" s="1"/>
      <c r="FPV88" s="1"/>
      <c r="FPW88" s="1"/>
      <c r="FPX88" s="1"/>
      <c r="FPY88" s="1"/>
      <c r="FPZ88" s="1"/>
      <c r="FQA88" s="1"/>
      <c r="FQB88" s="1"/>
      <c r="FQC88" s="1"/>
      <c r="FQD88" s="1"/>
      <c r="FQE88" s="1"/>
      <c r="FQF88" s="1"/>
      <c r="FQG88" s="1"/>
      <c r="FQH88" s="1"/>
      <c r="FQI88" s="1"/>
      <c r="FQJ88" s="1"/>
      <c r="FQK88" s="1"/>
      <c r="FQL88" s="1"/>
      <c r="FQM88" s="1"/>
      <c r="FQN88" s="1"/>
      <c r="FQO88" s="1"/>
      <c r="FQP88" s="1"/>
      <c r="FQQ88" s="1"/>
      <c r="FQR88" s="1"/>
      <c r="FQS88" s="1"/>
      <c r="FQT88" s="1"/>
      <c r="FQU88" s="1"/>
      <c r="FQV88" s="1"/>
      <c r="FQW88" s="1"/>
      <c r="FQX88" s="1"/>
      <c r="FQY88" s="1"/>
      <c r="FQZ88" s="1"/>
      <c r="FRA88" s="1"/>
      <c r="FRB88" s="1"/>
      <c r="FRC88" s="1"/>
      <c r="FRD88" s="1"/>
      <c r="FRE88" s="1"/>
      <c r="FRF88" s="1"/>
      <c r="FRG88" s="1"/>
      <c r="FRH88" s="1"/>
      <c r="FRI88" s="1"/>
      <c r="FRJ88" s="1"/>
      <c r="FRK88" s="1"/>
      <c r="FRL88" s="1"/>
      <c r="FRM88" s="1"/>
      <c r="FRN88" s="1"/>
      <c r="FRO88" s="1"/>
      <c r="FRP88" s="1"/>
      <c r="FRQ88" s="1"/>
      <c r="FRR88" s="1"/>
      <c r="FRS88" s="1"/>
      <c r="FRT88" s="1"/>
      <c r="FRU88" s="1"/>
      <c r="FRV88" s="1"/>
      <c r="FRW88" s="1"/>
      <c r="FRX88" s="1"/>
      <c r="FRY88" s="1"/>
      <c r="FRZ88" s="1"/>
      <c r="FSA88" s="1"/>
      <c r="FSB88" s="1"/>
      <c r="FSC88" s="1"/>
      <c r="FSD88" s="1"/>
      <c r="FSE88" s="1"/>
      <c r="FSF88" s="1"/>
      <c r="FSG88" s="1"/>
      <c r="FSH88" s="1"/>
      <c r="FSI88" s="1"/>
      <c r="FSJ88" s="1"/>
      <c r="FSK88" s="1"/>
      <c r="FSL88" s="1"/>
      <c r="FSM88" s="1"/>
      <c r="FSN88" s="1"/>
      <c r="FSO88" s="1"/>
      <c r="FSP88" s="1"/>
      <c r="FSQ88" s="1"/>
      <c r="FSR88" s="1"/>
      <c r="FSS88" s="1"/>
      <c r="FST88" s="1"/>
      <c r="FSU88" s="1"/>
      <c r="FSV88" s="1"/>
      <c r="FSW88" s="1"/>
      <c r="FSX88" s="1"/>
      <c r="FSY88" s="1"/>
      <c r="FSZ88" s="1"/>
      <c r="FTA88" s="1"/>
      <c r="FTB88" s="1"/>
      <c r="FTC88" s="1"/>
      <c r="FTD88" s="1"/>
      <c r="FTE88" s="1"/>
      <c r="FTF88" s="1"/>
      <c r="FTG88" s="1"/>
      <c r="FTH88" s="1"/>
      <c r="FTI88" s="1"/>
      <c r="FTJ88" s="1"/>
      <c r="FTK88" s="1"/>
      <c r="FTL88" s="1"/>
      <c r="FTM88" s="1"/>
      <c r="FTN88" s="1"/>
      <c r="FTO88" s="1"/>
      <c r="FTP88" s="1"/>
      <c r="FTQ88" s="1"/>
      <c r="FTR88" s="1"/>
      <c r="FTS88" s="1"/>
      <c r="FTT88" s="1"/>
      <c r="FTU88" s="1"/>
      <c r="FTV88" s="1"/>
      <c r="FTW88" s="1"/>
      <c r="FTX88" s="1"/>
      <c r="FTY88" s="1"/>
      <c r="FTZ88" s="1"/>
      <c r="FUA88" s="1"/>
      <c r="FUB88" s="1"/>
      <c r="FUC88" s="1"/>
      <c r="FUD88" s="1"/>
      <c r="FUE88" s="1"/>
      <c r="FUF88" s="1"/>
      <c r="FUG88" s="1"/>
      <c r="FUH88" s="1"/>
      <c r="FUI88" s="1"/>
      <c r="FUJ88" s="1"/>
      <c r="FUK88" s="1"/>
      <c r="FUL88" s="1"/>
      <c r="FUM88" s="1"/>
      <c r="FUN88" s="1"/>
      <c r="FUO88" s="1"/>
      <c r="FUP88" s="1"/>
      <c r="FUQ88" s="1"/>
      <c r="FUR88" s="1"/>
      <c r="FUS88" s="1"/>
      <c r="FUT88" s="1"/>
      <c r="FUU88" s="1"/>
      <c r="FUV88" s="1"/>
      <c r="FUW88" s="1"/>
      <c r="FUX88" s="1"/>
      <c r="FUY88" s="1"/>
      <c r="FUZ88" s="1"/>
      <c r="FVA88" s="1"/>
      <c r="FVB88" s="1"/>
      <c r="FVC88" s="1"/>
      <c r="FVD88" s="1"/>
      <c r="FVE88" s="1"/>
      <c r="FVF88" s="1"/>
      <c r="FVG88" s="1"/>
      <c r="FVH88" s="1"/>
      <c r="FVI88" s="1"/>
      <c r="FVJ88" s="1"/>
      <c r="FVK88" s="1"/>
      <c r="FVL88" s="1"/>
      <c r="FVM88" s="1"/>
      <c r="FVN88" s="1"/>
      <c r="FVO88" s="1"/>
      <c r="FVP88" s="1"/>
      <c r="FVQ88" s="1"/>
      <c r="FVR88" s="1"/>
      <c r="FVS88" s="1"/>
      <c r="FVT88" s="1"/>
      <c r="FVU88" s="1"/>
      <c r="FVV88" s="1"/>
      <c r="FVW88" s="1"/>
      <c r="FVX88" s="1"/>
      <c r="FVY88" s="1"/>
      <c r="FVZ88" s="1"/>
      <c r="FWA88" s="1"/>
      <c r="FWB88" s="1"/>
      <c r="FWC88" s="1"/>
      <c r="FWD88" s="1"/>
      <c r="FWE88" s="1"/>
      <c r="FWF88" s="1"/>
      <c r="FWG88" s="1"/>
      <c r="FWH88" s="1"/>
      <c r="FWI88" s="1"/>
      <c r="FWJ88" s="1"/>
      <c r="FWK88" s="1"/>
      <c r="FWL88" s="1"/>
      <c r="FWM88" s="1"/>
      <c r="FWN88" s="1"/>
      <c r="FWO88" s="1"/>
      <c r="FWP88" s="1"/>
      <c r="FWQ88" s="1"/>
      <c r="FWR88" s="1"/>
      <c r="FWS88" s="1"/>
      <c r="FWT88" s="1"/>
      <c r="FWU88" s="1"/>
      <c r="FWV88" s="1"/>
      <c r="FWW88" s="1"/>
      <c r="FWX88" s="1"/>
      <c r="FWY88" s="1"/>
      <c r="FWZ88" s="1"/>
      <c r="FXA88" s="1"/>
      <c r="FXB88" s="1"/>
      <c r="FXC88" s="1"/>
      <c r="FXD88" s="1"/>
      <c r="FXE88" s="1"/>
      <c r="FXF88" s="1"/>
      <c r="FXG88" s="1"/>
      <c r="FXH88" s="1"/>
      <c r="FXI88" s="1"/>
      <c r="FXJ88" s="1"/>
      <c r="FXK88" s="1"/>
      <c r="FXL88" s="1"/>
      <c r="FXM88" s="1"/>
      <c r="FXN88" s="1"/>
      <c r="FXO88" s="1"/>
      <c r="FXP88" s="1"/>
      <c r="FXQ88" s="1"/>
      <c r="FXR88" s="1"/>
      <c r="FXS88" s="1"/>
      <c r="FXT88" s="1"/>
      <c r="FXU88" s="1"/>
      <c r="FXV88" s="1"/>
      <c r="FXW88" s="1"/>
      <c r="FXX88" s="1"/>
      <c r="FXY88" s="1"/>
      <c r="FXZ88" s="1"/>
      <c r="FYA88" s="1"/>
      <c r="FYB88" s="1"/>
      <c r="FYC88" s="1"/>
      <c r="FYD88" s="1"/>
      <c r="FYE88" s="1"/>
      <c r="FYF88" s="1"/>
      <c r="FYG88" s="1"/>
      <c r="FYH88" s="1"/>
      <c r="FYI88" s="1"/>
      <c r="FYJ88" s="1"/>
      <c r="FYK88" s="1"/>
      <c r="FYL88" s="1"/>
      <c r="FYM88" s="1"/>
      <c r="FYN88" s="1"/>
      <c r="FYO88" s="1"/>
      <c r="FYP88" s="1"/>
      <c r="FYQ88" s="1"/>
      <c r="FYR88" s="1"/>
      <c r="FYS88" s="1"/>
      <c r="FYT88" s="1"/>
      <c r="FYU88" s="1"/>
      <c r="FYV88" s="1"/>
      <c r="FYW88" s="1"/>
      <c r="FYX88" s="1"/>
      <c r="FYY88" s="1"/>
      <c r="FYZ88" s="1"/>
      <c r="FZA88" s="1"/>
      <c r="FZB88" s="1"/>
      <c r="FZC88" s="1"/>
      <c r="FZD88" s="1"/>
      <c r="FZE88" s="1"/>
      <c r="FZF88" s="1"/>
      <c r="FZG88" s="1"/>
      <c r="FZH88" s="1"/>
      <c r="FZI88" s="1"/>
      <c r="FZJ88" s="1"/>
      <c r="FZK88" s="1"/>
      <c r="FZL88" s="1"/>
      <c r="FZM88" s="1"/>
      <c r="FZN88" s="1"/>
      <c r="FZO88" s="1"/>
      <c r="FZP88" s="1"/>
      <c r="FZQ88" s="1"/>
      <c r="FZR88" s="1"/>
      <c r="FZS88" s="1"/>
      <c r="FZT88" s="1"/>
      <c r="FZU88" s="1"/>
      <c r="FZV88" s="1"/>
      <c r="FZW88" s="1"/>
      <c r="FZX88" s="1"/>
      <c r="FZY88" s="1"/>
      <c r="FZZ88" s="1"/>
      <c r="GAA88" s="1"/>
      <c r="GAB88" s="1"/>
      <c r="GAC88" s="1"/>
      <c r="GAD88" s="1"/>
      <c r="GAE88" s="1"/>
      <c r="GAF88" s="1"/>
      <c r="GAG88" s="1"/>
      <c r="GAH88" s="1"/>
      <c r="GAI88" s="1"/>
      <c r="GAJ88" s="1"/>
      <c r="GAK88" s="1"/>
      <c r="GAL88" s="1"/>
      <c r="GAM88" s="1"/>
      <c r="GAN88" s="1"/>
      <c r="GAO88" s="1"/>
      <c r="GAP88" s="1"/>
      <c r="GAQ88" s="1"/>
      <c r="GAR88" s="1"/>
      <c r="GAS88" s="1"/>
      <c r="GAT88" s="1"/>
      <c r="GAU88" s="1"/>
      <c r="GAV88" s="1"/>
      <c r="GAW88" s="1"/>
      <c r="GAX88" s="1"/>
      <c r="GAY88" s="1"/>
      <c r="GAZ88" s="1"/>
      <c r="GBA88" s="1"/>
      <c r="GBB88" s="1"/>
      <c r="GBC88" s="1"/>
      <c r="GBD88" s="1"/>
      <c r="GBE88" s="1"/>
      <c r="GBF88" s="1"/>
      <c r="GBG88" s="1"/>
      <c r="GBH88" s="1"/>
      <c r="GBI88" s="1"/>
      <c r="GBJ88" s="1"/>
      <c r="GBK88" s="1"/>
      <c r="GBL88" s="1"/>
      <c r="GBM88" s="1"/>
      <c r="GBN88" s="1"/>
      <c r="GBO88" s="1"/>
      <c r="GBP88" s="1"/>
      <c r="GBQ88" s="1"/>
      <c r="GBR88" s="1"/>
      <c r="GBS88" s="1"/>
      <c r="GBT88" s="1"/>
      <c r="GBU88" s="1"/>
      <c r="GBV88" s="1"/>
      <c r="GBW88" s="1"/>
      <c r="GBX88" s="1"/>
      <c r="GBY88" s="1"/>
      <c r="GBZ88" s="1"/>
      <c r="GCA88" s="1"/>
      <c r="GCB88" s="1"/>
      <c r="GCC88" s="1"/>
      <c r="GCD88" s="1"/>
      <c r="GCE88" s="1"/>
      <c r="GCF88" s="1"/>
      <c r="GCG88" s="1"/>
      <c r="GCH88" s="1"/>
      <c r="GCI88" s="1"/>
      <c r="GCJ88" s="1"/>
      <c r="GCK88" s="1"/>
      <c r="GCL88" s="1"/>
      <c r="GCM88" s="1"/>
      <c r="GCN88" s="1"/>
      <c r="GCO88" s="1"/>
      <c r="GCP88" s="1"/>
      <c r="GCQ88" s="1"/>
      <c r="GCR88" s="1"/>
      <c r="GCS88" s="1"/>
      <c r="GCT88" s="1"/>
      <c r="GCU88" s="1"/>
      <c r="GCV88" s="1"/>
      <c r="GCW88" s="1"/>
      <c r="GCX88" s="1"/>
      <c r="GCY88" s="1"/>
      <c r="GCZ88" s="1"/>
      <c r="GDA88" s="1"/>
      <c r="GDB88" s="1"/>
      <c r="GDC88" s="1"/>
      <c r="GDD88" s="1"/>
      <c r="GDE88" s="1"/>
      <c r="GDF88" s="1"/>
      <c r="GDG88" s="1"/>
      <c r="GDH88" s="1"/>
      <c r="GDI88" s="1"/>
      <c r="GDJ88" s="1"/>
      <c r="GDK88" s="1"/>
      <c r="GDL88" s="1"/>
      <c r="GDM88" s="1"/>
      <c r="GDN88" s="1"/>
      <c r="GDO88" s="1"/>
      <c r="GDP88" s="1"/>
      <c r="GDQ88" s="1"/>
      <c r="GDR88" s="1"/>
      <c r="GDS88" s="1"/>
      <c r="GDT88" s="1"/>
      <c r="GDU88" s="1"/>
      <c r="GDV88" s="1"/>
      <c r="GDW88" s="1"/>
      <c r="GDX88" s="1"/>
      <c r="GDY88" s="1"/>
      <c r="GDZ88" s="1"/>
      <c r="GEA88" s="1"/>
      <c r="GEB88" s="1"/>
      <c r="GEC88" s="1"/>
      <c r="GED88" s="1"/>
      <c r="GEE88" s="1"/>
      <c r="GEF88" s="1"/>
      <c r="GEG88" s="1"/>
      <c r="GEH88" s="1"/>
      <c r="GEI88" s="1"/>
      <c r="GEJ88" s="1"/>
      <c r="GEK88" s="1"/>
      <c r="GEL88" s="1"/>
      <c r="GEM88" s="1"/>
      <c r="GEN88" s="1"/>
      <c r="GEO88" s="1"/>
      <c r="GEP88" s="1"/>
      <c r="GEQ88" s="1"/>
      <c r="GER88" s="1"/>
      <c r="GES88" s="1"/>
      <c r="GET88" s="1"/>
      <c r="GEU88" s="1"/>
      <c r="GEV88" s="1"/>
      <c r="GEW88" s="1"/>
      <c r="GEX88" s="1"/>
      <c r="GEY88" s="1"/>
      <c r="GEZ88" s="1"/>
      <c r="GFA88" s="1"/>
      <c r="GFB88" s="1"/>
      <c r="GFC88" s="1"/>
      <c r="GFD88" s="1"/>
      <c r="GFE88" s="1"/>
      <c r="GFF88" s="1"/>
      <c r="GFG88" s="1"/>
      <c r="GFH88" s="1"/>
      <c r="GFI88" s="1"/>
      <c r="GFJ88" s="1"/>
      <c r="GFK88" s="1"/>
      <c r="GFL88" s="1"/>
      <c r="GFM88" s="1"/>
      <c r="GFN88" s="1"/>
      <c r="GFO88" s="1"/>
      <c r="GFP88" s="1"/>
      <c r="GFQ88" s="1"/>
      <c r="GFR88" s="1"/>
      <c r="GFS88" s="1"/>
      <c r="GFT88" s="1"/>
      <c r="GFU88" s="1"/>
      <c r="GFV88" s="1"/>
      <c r="GFW88" s="1"/>
      <c r="GFX88" s="1"/>
      <c r="GFY88" s="1"/>
      <c r="GFZ88" s="1"/>
      <c r="GGA88" s="1"/>
      <c r="GGB88" s="1"/>
      <c r="GGC88" s="1"/>
      <c r="GGD88" s="1"/>
      <c r="GGE88" s="1"/>
      <c r="GGF88" s="1"/>
      <c r="GGG88" s="1"/>
      <c r="GGH88" s="1"/>
      <c r="GGI88" s="1"/>
      <c r="GGJ88" s="1"/>
      <c r="GGK88" s="1"/>
      <c r="GGL88" s="1"/>
      <c r="GGM88" s="1"/>
      <c r="GGN88" s="1"/>
      <c r="GGO88" s="1"/>
      <c r="GGP88" s="1"/>
      <c r="GGQ88" s="1"/>
      <c r="GGR88" s="1"/>
      <c r="GGS88" s="1"/>
      <c r="GGT88" s="1"/>
      <c r="GGU88" s="1"/>
      <c r="GGV88" s="1"/>
      <c r="GGW88" s="1"/>
      <c r="GGX88" s="1"/>
      <c r="GGY88" s="1"/>
      <c r="GGZ88" s="1"/>
      <c r="GHA88" s="1"/>
      <c r="GHB88" s="1"/>
      <c r="GHC88" s="1"/>
      <c r="GHD88" s="1"/>
      <c r="GHE88" s="1"/>
      <c r="GHF88" s="1"/>
      <c r="GHG88" s="1"/>
      <c r="GHH88" s="1"/>
      <c r="GHI88" s="1"/>
      <c r="GHJ88" s="1"/>
      <c r="GHK88" s="1"/>
      <c r="GHL88" s="1"/>
      <c r="GHM88" s="1"/>
      <c r="GHN88" s="1"/>
      <c r="GHO88" s="1"/>
      <c r="GHP88" s="1"/>
      <c r="GHQ88" s="1"/>
      <c r="GHR88" s="1"/>
      <c r="GHS88" s="1"/>
      <c r="GHT88" s="1"/>
      <c r="GHU88" s="1"/>
      <c r="GHV88" s="1"/>
      <c r="GHW88" s="1"/>
      <c r="GHX88" s="1"/>
      <c r="GHY88" s="1"/>
      <c r="GHZ88" s="1"/>
      <c r="GIA88" s="1"/>
      <c r="GIB88" s="1"/>
      <c r="GIC88" s="1"/>
      <c r="GID88" s="1"/>
      <c r="GIE88" s="1"/>
      <c r="GIF88" s="1"/>
      <c r="GIG88" s="1"/>
      <c r="GIH88" s="1"/>
      <c r="GII88" s="1"/>
      <c r="GIJ88" s="1"/>
      <c r="GIK88" s="1"/>
      <c r="GIL88" s="1"/>
      <c r="GIM88" s="1"/>
      <c r="GIN88" s="1"/>
      <c r="GIO88" s="1"/>
      <c r="GIP88" s="1"/>
      <c r="GIQ88" s="1"/>
      <c r="GIR88" s="1"/>
      <c r="GIS88" s="1"/>
      <c r="GIT88" s="1"/>
      <c r="GIU88" s="1"/>
      <c r="GIV88" s="1"/>
      <c r="GIW88" s="1"/>
      <c r="GIX88" s="1"/>
      <c r="GIY88" s="1"/>
      <c r="GIZ88" s="1"/>
      <c r="GJA88" s="1"/>
      <c r="GJB88" s="1"/>
      <c r="GJC88" s="1"/>
      <c r="GJD88" s="1"/>
      <c r="GJE88" s="1"/>
      <c r="GJF88" s="1"/>
      <c r="GJG88" s="1"/>
      <c r="GJH88" s="1"/>
      <c r="GJI88" s="1"/>
      <c r="GJJ88" s="1"/>
      <c r="GJK88" s="1"/>
      <c r="GJL88" s="1"/>
      <c r="GJM88" s="1"/>
      <c r="GJN88" s="1"/>
      <c r="GJO88" s="1"/>
      <c r="GJP88" s="1"/>
      <c r="GJQ88" s="1"/>
      <c r="GJR88" s="1"/>
      <c r="GJS88" s="1"/>
      <c r="GJT88" s="1"/>
      <c r="GJU88" s="1"/>
      <c r="GJV88" s="1"/>
      <c r="GJW88" s="1"/>
      <c r="GJX88" s="1"/>
      <c r="GJY88" s="1"/>
      <c r="GJZ88" s="1"/>
      <c r="GKA88" s="1"/>
      <c r="GKB88" s="1"/>
      <c r="GKC88" s="1"/>
      <c r="GKD88" s="1"/>
      <c r="GKE88" s="1"/>
      <c r="GKF88" s="1"/>
      <c r="GKG88" s="1"/>
      <c r="GKH88" s="1"/>
      <c r="GKI88" s="1"/>
      <c r="GKJ88" s="1"/>
      <c r="GKK88" s="1"/>
      <c r="GKL88" s="1"/>
      <c r="GKM88" s="1"/>
      <c r="GKN88" s="1"/>
      <c r="GKO88" s="1"/>
      <c r="GKP88" s="1"/>
      <c r="GKQ88" s="1"/>
      <c r="GKR88" s="1"/>
      <c r="GKS88" s="1"/>
      <c r="GKT88" s="1"/>
      <c r="GKU88" s="1"/>
      <c r="GKV88" s="1"/>
      <c r="GKW88" s="1"/>
      <c r="GKX88" s="1"/>
      <c r="GKY88" s="1"/>
      <c r="GKZ88" s="1"/>
      <c r="GLA88" s="1"/>
      <c r="GLB88" s="1"/>
      <c r="GLC88" s="1"/>
      <c r="GLD88" s="1"/>
      <c r="GLE88" s="1"/>
      <c r="GLF88" s="1"/>
      <c r="GLG88" s="1"/>
      <c r="GLH88" s="1"/>
      <c r="GLI88" s="1"/>
      <c r="GLJ88" s="1"/>
      <c r="GLK88" s="1"/>
      <c r="GLL88" s="1"/>
      <c r="GLM88" s="1"/>
      <c r="GLN88" s="1"/>
      <c r="GLO88" s="1"/>
      <c r="GLP88" s="1"/>
      <c r="GLQ88" s="1"/>
      <c r="GLR88" s="1"/>
      <c r="GLS88" s="1"/>
      <c r="GLT88" s="1"/>
      <c r="GLU88" s="1"/>
      <c r="GLV88" s="1"/>
      <c r="GLW88" s="1"/>
      <c r="GLX88" s="1"/>
      <c r="GLY88" s="1"/>
      <c r="GLZ88" s="1"/>
      <c r="GMA88" s="1"/>
      <c r="GMB88" s="1"/>
      <c r="GMC88" s="1"/>
      <c r="GMD88" s="1"/>
      <c r="GME88" s="1"/>
      <c r="GMF88" s="1"/>
      <c r="GMG88" s="1"/>
      <c r="GMH88" s="1"/>
      <c r="GMI88" s="1"/>
      <c r="GMJ88" s="1"/>
      <c r="GMK88" s="1"/>
      <c r="GML88" s="1"/>
      <c r="GMM88" s="1"/>
      <c r="GMN88" s="1"/>
      <c r="GMO88" s="1"/>
      <c r="GMP88" s="1"/>
      <c r="GMQ88" s="1"/>
      <c r="GMR88" s="1"/>
      <c r="GMS88" s="1"/>
      <c r="GMT88" s="1"/>
      <c r="GMU88" s="1"/>
      <c r="GMV88" s="1"/>
      <c r="GMW88" s="1"/>
      <c r="GMX88" s="1"/>
      <c r="GMY88" s="1"/>
      <c r="GMZ88" s="1"/>
      <c r="GNA88" s="1"/>
      <c r="GNB88" s="1"/>
      <c r="GNC88" s="1"/>
      <c r="GND88" s="1"/>
      <c r="GNE88" s="1"/>
      <c r="GNF88" s="1"/>
      <c r="GNG88" s="1"/>
      <c r="GNH88" s="1"/>
      <c r="GNI88" s="1"/>
      <c r="GNJ88" s="1"/>
      <c r="GNK88" s="1"/>
      <c r="GNL88" s="1"/>
      <c r="GNM88" s="1"/>
      <c r="GNN88" s="1"/>
      <c r="GNO88" s="1"/>
      <c r="GNP88" s="1"/>
      <c r="GNQ88" s="1"/>
      <c r="GNR88" s="1"/>
      <c r="GNS88" s="1"/>
      <c r="GNT88" s="1"/>
      <c r="GNU88" s="1"/>
      <c r="GNV88" s="1"/>
      <c r="GNW88" s="1"/>
      <c r="GNX88" s="1"/>
      <c r="GNY88" s="1"/>
      <c r="GNZ88" s="1"/>
      <c r="GOA88" s="1"/>
      <c r="GOB88" s="1"/>
      <c r="GOC88" s="1"/>
      <c r="GOD88" s="1"/>
      <c r="GOE88" s="1"/>
      <c r="GOF88" s="1"/>
      <c r="GOG88" s="1"/>
      <c r="GOH88" s="1"/>
      <c r="GOI88" s="1"/>
      <c r="GOJ88" s="1"/>
      <c r="GOK88" s="1"/>
      <c r="GOL88" s="1"/>
      <c r="GOM88" s="1"/>
      <c r="GON88" s="1"/>
      <c r="GOO88" s="1"/>
      <c r="GOP88" s="1"/>
      <c r="GOQ88" s="1"/>
      <c r="GOR88" s="1"/>
      <c r="GOS88" s="1"/>
      <c r="GOT88" s="1"/>
      <c r="GOU88" s="1"/>
      <c r="GOV88" s="1"/>
      <c r="GOW88" s="1"/>
      <c r="GOX88" s="1"/>
      <c r="GOY88" s="1"/>
      <c r="GOZ88" s="1"/>
      <c r="GPA88" s="1"/>
      <c r="GPB88" s="1"/>
      <c r="GPC88" s="1"/>
      <c r="GPD88" s="1"/>
      <c r="GPE88" s="1"/>
      <c r="GPF88" s="1"/>
      <c r="GPG88" s="1"/>
      <c r="GPH88" s="1"/>
      <c r="GPI88" s="1"/>
      <c r="GPJ88" s="1"/>
      <c r="GPK88" s="1"/>
      <c r="GPL88" s="1"/>
      <c r="GPM88" s="1"/>
      <c r="GPN88" s="1"/>
      <c r="GPO88" s="1"/>
      <c r="GPP88" s="1"/>
      <c r="GPQ88" s="1"/>
      <c r="GPR88" s="1"/>
      <c r="GPS88" s="1"/>
      <c r="GPT88" s="1"/>
      <c r="GPU88" s="1"/>
      <c r="GPV88" s="1"/>
      <c r="GPW88" s="1"/>
      <c r="GPX88" s="1"/>
      <c r="GPY88" s="1"/>
      <c r="GPZ88" s="1"/>
      <c r="GQA88" s="1"/>
      <c r="GQB88" s="1"/>
      <c r="GQC88" s="1"/>
      <c r="GQD88" s="1"/>
      <c r="GQE88" s="1"/>
      <c r="GQF88" s="1"/>
      <c r="GQG88" s="1"/>
      <c r="GQH88" s="1"/>
      <c r="GQI88" s="1"/>
      <c r="GQJ88" s="1"/>
      <c r="GQK88" s="1"/>
      <c r="GQL88" s="1"/>
      <c r="GQM88" s="1"/>
      <c r="GQN88" s="1"/>
      <c r="GQO88" s="1"/>
      <c r="GQP88" s="1"/>
      <c r="GQQ88" s="1"/>
      <c r="GQR88" s="1"/>
      <c r="GQS88" s="1"/>
      <c r="GQT88" s="1"/>
      <c r="GQU88" s="1"/>
      <c r="GQV88" s="1"/>
      <c r="GQW88" s="1"/>
      <c r="GQX88" s="1"/>
      <c r="GQY88" s="1"/>
      <c r="GQZ88" s="1"/>
      <c r="GRA88" s="1"/>
      <c r="GRB88" s="1"/>
      <c r="GRC88" s="1"/>
      <c r="GRD88" s="1"/>
      <c r="GRE88" s="1"/>
      <c r="GRF88" s="1"/>
      <c r="GRG88" s="1"/>
      <c r="GRH88" s="1"/>
      <c r="GRI88" s="1"/>
      <c r="GRJ88" s="1"/>
      <c r="GRK88" s="1"/>
      <c r="GRL88" s="1"/>
      <c r="GRM88" s="1"/>
      <c r="GRN88" s="1"/>
      <c r="GRO88" s="1"/>
      <c r="GRP88" s="1"/>
      <c r="GRQ88" s="1"/>
      <c r="GRR88" s="1"/>
      <c r="GRS88" s="1"/>
      <c r="GRT88" s="1"/>
      <c r="GRU88" s="1"/>
      <c r="GRV88" s="1"/>
      <c r="GRW88" s="1"/>
      <c r="GRX88" s="1"/>
      <c r="GRY88" s="1"/>
      <c r="GRZ88" s="1"/>
      <c r="GSA88" s="1"/>
      <c r="GSB88" s="1"/>
      <c r="GSC88" s="1"/>
      <c r="GSD88" s="1"/>
      <c r="GSE88" s="1"/>
      <c r="GSF88" s="1"/>
      <c r="GSG88" s="1"/>
      <c r="GSH88" s="1"/>
      <c r="GSI88" s="1"/>
      <c r="GSJ88" s="1"/>
      <c r="GSK88" s="1"/>
      <c r="GSL88" s="1"/>
      <c r="GSM88" s="1"/>
      <c r="GSN88" s="1"/>
      <c r="GSO88" s="1"/>
      <c r="GSP88" s="1"/>
      <c r="GSQ88" s="1"/>
      <c r="GSR88" s="1"/>
      <c r="GSS88" s="1"/>
      <c r="GST88" s="1"/>
      <c r="GSU88" s="1"/>
      <c r="GSV88" s="1"/>
      <c r="GSW88" s="1"/>
      <c r="GSX88" s="1"/>
      <c r="GSY88" s="1"/>
      <c r="GSZ88" s="1"/>
      <c r="GTA88" s="1"/>
      <c r="GTB88" s="1"/>
      <c r="GTC88" s="1"/>
      <c r="GTD88" s="1"/>
      <c r="GTE88" s="1"/>
      <c r="GTF88" s="1"/>
      <c r="GTG88" s="1"/>
      <c r="GTH88" s="1"/>
      <c r="GTI88" s="1"/>
      <c r="GTJ88" s="1"/>
      <c r="GTK88" s="1"/>
      <c r="GTL88" s="1"/>
      <c r="GTM88" s="1"/>
      <c r="GTN88" s="1"/>
      <c r="GTO88" s="1"/>
      <c r="GTP88" s="1"/>
      <c r="GTQ88" s="1"/>
      <c r="GTR88" s="1"/>
      <c r="GTS88" s="1"/>
      <c r="GTT88" s="1"/>
      <c r="GTU88" s="1"/>
      <c r="GTV88" s="1"/>
      <c r="GTW88" s="1"/>
      <c r="GTX88" s="1"/>
      <c r="GTY88" s="1"/>
      <c r="GTZ88" s="1"/>
      <c r="GUA88" s="1"/>
      <c r="GUB88" s="1"/>
      <c r="GUC88" s="1"/>
      <c r="GUD88" s="1"/>
      <c r="GUE88" s="1"/>
      <c r="GUF88" s="1"/>
      <c r="GUG88" s="1"/>
      <c r="GUH88" s="1"/>
      <c r="GUI88" s="1"/>
      <c r="GUJ88" s="1"/>
      <c r="GUK88" s="1"/>
      <c r="GUL88" s="1"/>
      <c r="GUM88" s="1"/>
      <c r="GUN88" s="1"/>
      <c r="GUO88" s="1"/>
      <c r="GUP88" s="1"/>
      <c r="GUQ88" s="1"/>
      <c r="GUR88" s="1"/>
      <c r="GUS88" s="1"/>
      <c r="GUT88" s="1"/>
      <c r="GUU88" s="1"/>
      <c r="GUV88" s="1"/>
      <c r="GUW88" s="1"/>
      <c r="GUX88" s="1"/>
      <c r="GUY88" s="1"/>
      <c r="GUZ88" s="1"/>
      <c r="GVA88" s="1"/>
      <c r="GVB88" s="1"/>
      <c r="GVC88" s="1"/>
      <c r="GVD88" s="1"/>
      <c r="GVE88" s="1"/>
      <c r="GVF88" s="1"/>
      <c r="GVG88" s="1"/>
      <c r="GVH88" s="1"/>
      <c r="GVI88" s="1"/>
      <c r="GVJ88" s="1"/>
      <c r="GVK88" s="1"/>
      <c r="GVL88" s="1"/>
      <c r="GVM88" s="1"/>
      <c r="GVN88" s="1"/>
      <c r="GVO88" s="1"/>
      <c r="GVP88" s="1"/>
      <c r="GVQ88" s="1"/>
      <c r="GVR88" s="1"/>
      <c r="GVS88" s="1"/>
      <c r="GVT88" s="1"/>
      <c r="GVU88" s="1"/>
      <c r="GVV88" s="1"/>
      <c r="GVW88" s="1"/>
      <c r="GVX88" s="1"/>
      <c r="GVY88" s="1"/>
      <c r="GVZ88" s="1"/>
      <c r="GWA88" s="1"/>
      <c r="GWB88" s="1"/>
      <c r="GWC88" s="1"/>
      <c r="GWD88" s="1"/>
      <c r="GWE88" s="1"/>
      <c r="GWF88" s="1"/>
      <c r="GWG88" s="1"/>
      <c r="GWH88" s="1"/>
      <c r="GWI88" s="1"/>
      <c r="GWJ88" s="1"/>
      <c r="GWK88" s="1"/>
      <c r="GWL88" s="1"/>
      <c r="GWM88" s="1"/>
      <c r="GWN88" s="1"/>
      <c r="GWO88" s="1"/>
      <c r="GWP88" s="1"/>
      <c r="GWQ88" s="1"/>
      <c r="GWR88" s="1"/>
      <c r="GWS88" s="1"/>
      <c r="GWT88" s="1"/>
      <c r="GWU88" s="1"/>
      <c r="GWV88" s="1"/>
      <c r="GWW88" s="1"/>
      <c r="GWX88" s="1"/>
      <c r="GWY88" s="1"/>
      <c r="GWZ88" s="1"/>
      <c r="GXA88" s="1"/>
      <c r="GXB88" s="1"/>
      <c r="GXC88" s="1"/>
      <c r="GXD88" s="1"/>
      <c r="GXE88" s="1"/>
      <c r="GXF88" s="1"/>
      <c r="GXG88" s="1"/>
      <c r="GXH88" s="1"/>
      <c r="GXI88" s="1"/>
      <c r="GXJ88" s="1"/>
      <c r="GXK88" s="1"/>
      <c r="GXL88" s="1"/>
      <c r="GXM88" s="1"/>
      <c r="GXN88" s="1"/>
      <c r="GXO88" s="1"/>
      <c r="GXP88" s="1"/>
      <c r="GXQ88" s="1"/>
      <c r="GXR88" s="1"/>
      <c r="GXS88" s="1"/>
      <c r="GXT88" s="1"/>
      <c r="GXU88" s="1"/>
      <c r="GXV88" s="1"/>
      <c r="GXW88" s="1"/>
      <c r="GXX88" s="1"/>
      <c r="GXY88" s="1"/>
      <c r="GXZ88" s="1"/>
      <c r="GYA88" s="1"/>
      <c r="GYB88" s="1"/>
      <c r="GYC88" s="1"/>
      <c r="GYD88" s="1"/>
      <c r="GYE88" s="1"/>
      <c r="GYF88" s="1"/>
      <c r="GYG88" s="1"/>
      <c r="GYH88" s="1"/>
      <c r="GYI88" s="1"/>
      <c r="GYJ88" s="1"/>
      <c r="GYK88" s="1"/>
      <c r="GYL88" s="1"/>
      <c r="GYM88" s="1"/>
      <c r="GYN88" s="1"/>
      <c r="GYO88" s="1"/>
      <c r="GYP88" s="1"/>
      <c r="GYQ88" s="1"/>
      <c r="GYR88" s="1"/>
      <c r="GYS88" s="1"/>
      <c r="GYT88" s="1"/>
      <c r="GYU88" s="1"/>
      <c r="GYV88" s="1"/>
      <c r="GYW88" s="1"/>
      <c r="GYX88" s="1"/>
      <c r="GYY88" s="1"/>
      <c r="GYZ88" s="1"/>
      <c r="GZA88" s="1"/>
      <c r="GZB88" s="1"/>
      <c r="GZC88" s="1"/>
      <c r="GZD88" s="1"/>
      <c r="GZE88" s="1"/>
      <c r="GZF88" s="1"/>
      <c r="GZG88" s="1"/>
      <c r="GZH88" s="1"/>
      <c r="GZI88" s="1"/>
      <c r="GZJ88" s="1"/>
      <c r="GZK88" s="1"/>
      <c r="GZL88" s="1"/>
      <c r="GZM88" s="1"/>
      <c r="GZN88" s="1"/>
      <c r="GZO88" s="1"/>
      <c r="GZP88" s="1"/>
      <c r="GZQ88" s="1"/>
      <c r="GZR88" s="1"/>
      <c r="GZS88" s="1"/>
      <c r="GZT88" s="1"/>
      <c r="GZU88" s="1"/>
      <c r="GZV88" s="1"/>
      <c r="GZW88" s="1"/>
      <c r="GZX88" s="1"/>
      <c r="GZY88" s="1"/>
      <c r="GZZ88" s="1"/>
      <c r="HAA88" s="1"/>
      <c r="HAB88" s="1"/>
      <c r="HAC88" s="1"/>
      <c r="HAD88" s="1"/>
      <c r="HAE88" s="1"/>
      <c r="HAF88" s="1"/>
      <c r="HAG88" s="1"/>
      <c r="HAH88" s="1"/>
      <c r="HAI88" s="1"/>
      <c r="HAJ88" s="1"/>
      <c r="HAK88" s="1"/>
      <c r="HAL88" s="1"/>
      <c r="HAM88" s="1"/>
      <c r="HAN88" s="1"/>
      <c r="HAO88" s="1"/>
      <c r="HAP88" s="1"/>
      <c r="HAQ88" s="1"/>
      <c r="HAR88" s="1"/>
      <c r="HAS88" s="1"/>
      <c r="HAT88" s="1"/>
      <c r="HAU88" s="1"/>
      <c r="HAV88" s="1"/>
      <c r="HAW88" s="1"/>
      <c r="HAX88" s="1"/>
      <c r="HAY88" s="1"/>
      <c r="HAZ88" s="1"/>
      <c r="HBA88" s="1"/>
      <c r="HBB88" s="1"/>
      <c r="HBC88" s="1"/>
      <c r="HBD88" s="1"/>
      <c r="HBE88" s="1"/>
      <c r="HBF88" s="1"/>
      <c r="HBG88" s="1"/>
      <c r="HBH88" s="1"/>
      <c r="HBI88" s="1"/>
      <c r="HBJ88" s="1"/>
      <c r="HBK88" s="1"/>
      <c r="HBL88" s="1"/>
      <c r="HBM88" s="1"/>
      <c r="HBN88" s="1"/>
      <c r="HBO88" s="1"/>
      <c r="HBP88" s="1"/>
      <c r="HBQ88" s="1"/>
      <c r="HBR88" s="1"/>
      <c r="HBS88" s="1"/>
      <c r="HBT88" s="1"/>
      <c r="HBU88" s="1"/>
      <c r="HBV88" s="1"/>
      <c r="HBW88" s="1"/>
      <c r="HBX88" s="1"/>
      <c r="HBY88" s="1"/>
      <c r="HBZ88" s="1"/>
      <c r="HCA88" s="1"/>
      <c r="HCB88" s="1"/>
      <c r="HCC88" s="1"/>
      <c r="HCD88" s="1"/>
      <c r="HCE88" s="1"/>
      <c r="HCF88" s="1"/>
      <c r="HCG88" s="1"/>
      <c r="HCH88" s="1"/>
      <c r="HCI88" s="1"/>
      <c r="HCJ88" s="1"/>
      <c r="HCK88" s="1"/>
      <c r="HCL88" s="1"/>
      <c r="HCM88" s="1"/>
      <c r="HCN88" s="1"/>
      <c r="HCO88" s="1"/>
      <c r="HCP88" s="1"/>
      <c r="HCQ88" s="1"/>
      <c r="HCR88" s="1"/>
      <c r="HCS88" s="1"/>
      <c r="HCT88" s="1"/>
      <c r="HCU88" s="1"/>
      <c r="HCV88" s="1"/>
      <c r="HCW88" s="1"/>
      <c r="HCX88" s="1"/>
      <c r="HCY88" s="1"/>
      <c r="HCZ88" s="1"/>
      <c r="HDA88" s="1"/>
      <c r="HDB88" s="1"/>
      <c r="HDC88" s="1"/>
      <c r="HDD88" s="1"/>
      <c r="HDE88" s="1"/>
      <c r="HDF88" s="1"/>
      <c r="HDG88" s="1"/>
      <c r="HDH88" s="1"/>
      <c r="HDI88" s="1"/>
      <c r="HDJ88" s="1"/>
      <c r="HDK88" s="1"/>
      <c r="HDL88" s="1"/>
      <c r="HDM88" s="1"/>
      <c r="HDN88" s="1"/>
      <c r="HDO88" s="1"/>
      <c r="HDP88" s="1"/>
      <c r="HDQ88" s="1"/>
      <c r="HDR88" s="1"/>
      <c r="HDS88" s="1"/>
      <c r="HDT88" s="1"/>
      <c r="HDU88" s="1"/>
      <c r="HDV88" s="1"/>
      <c r="HDW88" s="1"/>
      <c r="HDX88" s="1"/>
      <c r="HDY88" s="1"/>
      <c r="HDZ88" s="1"/>
      <c r="HEA88" s="1"/>
      <c r="HEB88" s="1"/>
      <c r="HEC88" s="1"/>
      <c r="HED88" s="1"/>
      <c r="HEE88" s="1"/>
      <c r="HEF88" s="1"/>
      <c r="HEG88" s="1"/>
      <c r="HEH88" s="1"/>
      <c r="HEI88" s="1"/>
      <c r="HEJ88" s="1"/>
      <c r="HEK88" s="1"/>
      <c r="HEL88" s="1"/>
      <c r="HEM88" s="1"/>
      <c r="HEN88" s="1"/>
      <c r="HEO88" s="1"/>
      <c r="HEP88" s="1"/>
      <c r="HEQ88" s="1"/>
      <c r="HER88" s="1"/>
      <c r="HES88" s="1"/>
      <c r="HET88" s="1"/>
      <c r="HEU88" s="1"/>
      <c r="HEV88" s="1"/>
      <c r="HEW88" s="1"/>
      <c r="HEX88" s="1"/>
      <c r="HEY88" s="1"/>
      <c r="HEZ88" s="1"/>
      <c r="HFA88" s="1"/>
      <c r="HFB88" s="1"/>
      <c r="HFC88" s="1"/>
      <c r="HFD88" s="1"/>
      <c r="HFE88" s="1"/>
      <c r="HFF88" s="1"/>
      <c r="HFG88" s="1"/>
      <c r="HFH88" s="1"/>
      <c r="HFI88" s="1"/>
      <c r="HFJ88" s="1"/>
      <c r="HFK88" s="1"/>
      <c r="HFL88" s="1"/>
      <c r="HFM88" s="1"/>
      <c r="HFN88" s="1"/>
      <c r="HFO88" s="1"/>
      <c r="HFP88" s="1"/>
      <c r="HFQ88" s="1"/>
      <c r="HFR88" s="1"/>
      <c r="HFS88" s="1"/>
      <c r="HFT88" s="1"/>
      <c r="HFU88" s="1"/>
      <c r="HFV88" s="1"/>
      <c r="HFW88" s="1"/>
      <c r="HFX88" s="1"/>
      <c r="HFY88" s="1"/>
      <c r="HFZ88" s="1"/>
      <c r="HGA88" s="1"/>
      <c r="HGB88" s="1"/>
      <c r="HGC88" s="1"/>
      <c r="HGD88" s="1"/>
      <c r="HGE88" s="1"/>
      <c r="HGF88" s="1"/>
      <c r="HGG88" s="1"/>
      <c r="HGH88" s="1"/>
      <c r="HGI88" s="1"/>
      <c r="HGJ88" s="1"/>
      <c r="HGK88" s="1"/>
      <c r="HGL88" s="1"/>
      <c r="HGM88" s="1"/>
      <c r="HGN88" s="1"/>
      <c r="HGO88" s="1"/>
      <c r="HGP88" s="1"/>
      <c r="HGQ88" s="1"/>
      <c r="HGR88" s="1"/>
      <c r="HGS88" s="1"/>
      <c r="HGT88" s="1"/>
      <c r="HGU88" s="1"/>
      <c r="HGV88" s="1"/>
      <c r="HGW88" s="1"/>
      <c r="HGX88" s="1"/>
      <c r="HGY88" s="1"/>
      <c r="HGZ88" s="1"/>
      <c r="HHA88" s="1"/>
      <c r="HHB88" s="1"/>
      <c r="HHC88" s="1"/>
      <c r="HHD88" s="1"/>
      <c r="HHE88" s="1"/>
      <c r="HHF88" s="1"/>
      <c r="HHG88" s="1"/>
      <c r="HHH88" s="1"/>
      <c r="HHI88" s="1"/>
      <c r="HHJ88" s="1"/>
      <c r="HHK88" s="1"/>
      <c r="HHL88" s="1"/>
      <c r="HHM88" s="1"/>
      <c r="HHN88" s="1"/>
      <c r="HHO88" s="1"/>
      <c r="HHP88" s="1"/>
      <c r="HHQ88" s="1"/>
      <c r="HHR88" s="1"/>
      <c r="HHS88" s="1"/>
      <c r="HHT88" s="1"/>
      <c r="HHU88" s="1"/>
      <c r="HHV88" s="1"/>
      <c r="HHW88" s="1"/>
      <c r="HHX88" s="1"/>
      <c r="HHY88" s="1"/>
      <c r="HHZ88" s="1"/>
      <c r="HIA88" s="1"/>
      <c r="HIB88" s="1"/>
      <c r="HIC88" s="1"/>
      <c r="HID88" s="1"/>
      <c r="HIE88" s="1"/>
      <c r="HIF88" s="1"/>
      <c r="HIG88" s="1"/>
      <c r="HIH88" s="1"/>
      <c r="HII88" s="1"/>
      <c r="HIJ88" s="1"/>
      <c r="HIK88" s="1"/>
      <c r="HIL88" s="1"/>
      <c r="HIM88" s="1"/>
      <c r="HIN88" s="1"/>
      <c r="HIO88" s="1"/>
      <c r="HIP88" s="1"/>
      <c r="HIQ88" s="1"/>
      <c r="HIR88" s="1"/>
      <c r="HIS88" s="1"/>
      <c r="HIT88" s="1"/>
      <c r="HIU88" s="1"/>
      <c r="HIV88" s="1"/>
      <c r="HIW88" s="1"/>
      <c r="HIX88" s="1"/>
      <c r="HIY88" s="1"/>
      <c r="HIZ88" s="1"/>
      <c r="HJA88" s="1"/>
      <c r="HJB88" s="1"/>
      <c r="HJC88" s="1"/>
      <c r="HJD88" s="1"/>
      <c r="HJE88" s="1"/>
      <c r="HJF88" s="1"/>
      <c r="HJG88" s="1"/>
      <c r="HJH88" s="1"/>
      <c r="HJI88" s="1"/>
      <c r="HJJ88" s="1"/>
      <c r="HJK88" s="1"/>
      <c r="HJL88" s="1"/>
      <c r="HJM88" s="1"/>
      <c r="HJN88" s="1"/>
      <c r="HJO88" s="1"/>
      <c r="HJP88" s="1"/>
      <c r="HJQ88" s="1"/>
      <c r="HJR88" s="1"/>
      <c r="HJS88" s="1"/>
      <c r="HJT88" s="1"/>
      <c r="HJU88" s="1"/>
      <c r="HJV88" s="1"/>
      <c r="HJW88" s="1"/>
      <c r="HJX88" s="1"/>
      <c r="HJY88" s="1"/>
      <c r="HJZ88" s="1"/>
      <c r="HKA88" s="1"/>
      <c r="HKB88" s="1"/>
      <c r="HKC88" s="1"/>
      <c r="HKD88" s="1"/>
      <c r="HKE88" s="1"/>
      <c r="HKF88" s="1"/>
      <c r="HKG88" s="1"/>
      <c r="HKH88" s="1"/>
      <c r="HKI88" s="1"/>
      <c r="HKJ88" s="1"/>
      <c r="HKK88" s="1"/>
      <c r="HKL88" s="1"/>
      <c r="HKM88" s="1"/>
      <c r="HKN88" s="1"/>
      <c r="HKO88" s="1"/>
      <c r="HKP88" s="1"/>
      <c r="HKQ88" s="1"/>
      <c r="HKR88" s="1"/>
      <c r="HKS88" s="1"/>
      <c r="HKT88" s="1"/>
      <c r="HKU88" s="1"/>
      <c r="HKV88" s="1"/>
      <c r="HKW88" s="1"/>
      <c r="HKX88" s="1"/>
      <c r="HKY88" s="1"/>
      <c r="HKZ88" s="1"/>
      <c r="HLA88" s="1"/>
      <c r="HLB88" s="1"/>
      <c r="HLC88" s="1"/>
      <c r="HLD88" s="1"/>
      <c r="HLE88" s="1"/>
      <c r="HLF88" s="1"/>
      <c r="HLG88" s="1"/>
      <c r="HLH88" s="1"/>
      <c r="HLI88" s="1"/>
      <c r="HLJ88" s="1"/>
      <c r="HLK88" s="1"/>
      <c r="HLL88" s="1"/>
      <c r="HLM88" s="1"/>
      <c r="HLN88" s="1"/>
      <c r="HLO88" s="1"/>
      <c r="HLP88" s="1"/>
      <c r="HLQ88" s="1"/>
      <c r="HLR88" s="1"/>
      <c r="HLS88" s="1"/>
      <c r="HLT88" s="1"/>
      <c r="HLU88" s="1"/>
      <c r="HLV88" s="1"/>
      <c r="HLW88" s="1"/>
      <c r="HLX88" s="1"/>
      <c r="HLY88" s="1"/>
      <c r="HLZ88" s="1"/>
      <c r="HMA88" s="1"/>
      <c r="HMB88" s="1"/>
      <c r="HMC88" s="1"/>
      <c r="HMD88" s="1"/>
      <c r="HME88" s="1"/>
      <c r="HMF88" s="1"/>
      <c r="HMG88" s="1"/>
      <c r="HMH88" s="1"/>
      <c r="HMI88" s="1"/>
      <c r="HMJ88" s="1"/>
      <c r="HMK88" s="1"/>
      <c r="HML88" s="1"/>
      <c r="HMM88" s="1"/>
      <c r="HMN88" s="1"/>
      <c r="HMO88" s="1"/>
      <c r="HMP88" s="1"/>
      <c r="HMQ88" s="1"/>
      <c r="HMR88" s="1"/>
      <c r="HMS88" s="1"/>
      <c r="HMT88" s="1"/>
      <c r="HMU88" s="1"/>
      <c r="HMV88" s="1"/>
      <c r="HMW88" s="1"/>
      <c r="HMX88" s="1"/>
      <c r="HMY88" s="1"/>
      <c r="HMZ88" s="1"/>
      <c r="HNA88" s="1"/>
      <c r="HNB88" s="1"/>
      <c r="HNC88" s="1"/>
      <c r="HND88" s="1"/>
      <c r="HNE88" s="1"/>
      <c r="HNF88" s="1"/>
      <c r="HNG88" s="1"/>
      <c r="HNH88" s="1"/>
      <c r="HNI88" s="1"/>
      <c r="HNJ88" s="1"/>
      <c r="HNK88" s="1"/>
      <c r="HNL88" s="1"/>
      <c r="HNM88" s="1"/>
      <c r="HNN88" s="1"/>
      <c r="HNO88" s="1"/>
      <c r="HNP88" s="1"/>
      <c r="HNQ88" s="1"/>
      <c r="HNR88" s="1"/>
      <c r="HNS88" s="1"/>
      <c r="HNT88" s="1"/>
      <c r="HNU88" s="1"/>
      <c r="HNV88" s="1"/>
      <c r="HNW88" s="1"/>
      <c r="HNX88" s="1"/>
      <c r="HNY88" s="1"/>
      <c r="HNZ88" s="1"/>
      <c r="HOA88" s="1"/>
      <c r="HOB88" s="1"/>
      <c r="HOC88" s="1"/>
      <c r="HOD88" s="1"/>
      <c r="HOE88" s="1"/>
      <c r="HOF88" s="1"/>
      <c r="HOG88" s="1"/>
      <c r="HOH88" s="1"/>
      <c r="HOI88" s="1"/>
      <c r="HOJ88" s="1"/>
      <c r="HOK88" s="1"/>
      <c r="HOL88" s="1"/>
      <c r="HOM88" s="1"/>
      <c r="HON88" s="1"/>
      <c r="HOO88" s="1"/>
      <c r="HOP88" s="1"/>
      <c r="HOQ88" s="1"/>
      <c r="HOR88" s="1"/>
      <c r="HOS88" s="1"/>
      <c r="HOT88" s="1"/>
      <c r="HOU88" s="1"/>
      <c r="HOV88" s="1"/>
      <c r="HOW88" s="1"/>
      <c r="HOX88" s="1"/>
      <c r="HOY88" s="1"/>
      <c r="HOZ88" s="1"/>
      <c r="HPA88" s="1"/>
      <c r="HPB88" s="1"/>
      <c r="HPC88" s="1"/>
      <c r="HPD88" s="1"/>
      <c r="HPE88" s="1"/>
      <c r="HPF88" s="1"/>
      <c r="HPG88" s="1"/>
      <c r="HPH88" s="1"/>
      <c r="HPI88" s="1"/>
      <c r="HPJ88" s="1"/>
      <c r="HPK88" s="1"/>
      <c r="HPL88" s="1"/>
      <c r="HPM88" s="1"/>
      <c r="HPN88" s="1"/>
      <c r="HPO88" s="1"/>
      <c r="HPP88" s="1"/>
      <c r="HPQ88" s="1"/>
      <c r="HPR88" s="1"/>
      <c r="HPS88" s="1"/>
      <c r="HPT88" s="1"/>
      <c r="HPU88" s="1"/>
      <c r="HPV88" s="1"/>
      <c r="HPW88" s="1"/>
      <c r="HPX88" s="1"/>
      <c r="HPY88" s="1"/>
      <c r="HPZ88" s="1"/>
      <c r="HQA88" s="1"/>
      <c r="HQB88" s="1"/>
      <c r="HQC88" s="1"/>
      <c r="HQD88" s="1"/>
      <c r="HQE88" s="1"/>
      <c r="HQF88" s="1"/>
      <c r="HQG88" s="1"/>
      <c r="HQH88" s="1"/>
      <c r="HQI88" s="1"/>
      <c r="HQJ88" s="1"/>
      <c r="HQK88" s="1"/>
      <c r="HQL88" s="1"/>
      <c r="HQM88" s="1"/>
      <c r="HQN88" s="1"/>
      <c r="HQO88" s="1"/>
      <c r="HQP88" s="1"/>
      <c r="HQQ88" s="1"/>
      <c r="HQR88" s="1"/>
      <c r="HQS88" s="1"/>
      <c r="HQT88" s="1"/>
      <c r="HQU88" s="1"/>
      <c r="HQV88" s="1"/>
      <c r="HQW88" s="1"/>
      <c r="HQX88" s="1"/>
      <c r="HQY88" s="1"/>
      <c r="HQZ88" s="1"/>
      <c r="HRA88" s="1"/>
      <c r="HRB88" s="1"/>
      <c r="HRC88" s="1"/>
      <c r="HRD88" s="1"/>
      <c r="HRE88" s="1"/>
      <c r="HRF88" s="1"/>
      <c r="HRG88" s="1"/>
      <c r="HRH88" s="1"/>
      <c r="HRI88" s="1"/>
      <c r="HRJ88" s="1"/>
      <c r="HRK88" s="1"/>
      <c r="HRL88" s="1"/>
      <c r="HRM88" s="1"/>
      <c r="HRN88" s="1"/>
      <c r="HRO88" s="1"/>
      <c r="HRP88" s="1"/>
      <c r="HRQ88" s="1"/>
      <c r="HRR88" s="1"/>
      <c r="HRS88" s="1"/>
      <c r="HRT88" s="1"/>
      <c r="HRU88" s="1"/>
      <c r="HRV88" s="1"/>
      <c r="HRW88" s="1"/>
      <c r="HRX88" s="1"/>
      <c r="HRY88" s="1"/>
      <c r="HRZ88" s="1"/>
      <c r="HSA88" s="1"/>
      <c r="HSB88" s="1"/>
      <c r="HSC88" s="1"/>
      <c r="HSD88" s="1"/>
      <c r="HSE88" s="1"/>
      <c r="HSF88" s="1"/>
      <c r="HSG88" s="1"/>
      <c r="HSH88" s="1"/>
      <c r="HSI88" s="1"/>
      <c r="HSJ88" s="1"/>
      <c r="HSK88" s="1"/>
      <c r="HSL88" s="1"/>
      <c r="HSM88" s="1"/>
      <c r="HSN88" s="1"/>
      <c r="HSO88" s="1"/>
      <c r="HSP88" s="1"/>
      <c r="HSQ88" s="1"/>
      <c r="HSR88" s="1"/>
      <c r="HSS88" s="1"/>
      <c r="HST88" s="1"/>
      <c r="HSU88" s="1"/>
      <c r="HSV88" s="1"/>
      <c r="HSW88" s="1"/>
      <c r="HSX88" s="1"/>
      <c r="HSY88" s="1"/>
      <c r="HSZ88" s="1"/>
      <c r="HTA88" s="1"/>
      <c r="HTB88" s="1"/>
      <c r="HTC88" s="1"/>
      <c r="HTD88" s="1"/>
      <c r="HTE88" s="1"/>
      <c r="HTF88" s="1"/>
      <c r="HTG88" s="1"/>
      <c r="HTH88" s="1"/>
      <c r="HTI88" s="1"/>
      <c r="HTJ88" s="1"/>
      <c r="HTK88" s="1"/>
      <c r="HTL88" s="1"/>
      <c r="HTM88" s="1"/>
      <c r="HTN88" s="1"/>
      <c r="HTO88" s="1"/>
      <c r="HTP88" s="1"/>
      <c r="HTQ88" s="1"/>
      <c r="HTR88" s="1"/>
      <c r="HTS88" s="1"/>
      <c r="HTT88" s="1"/>
      <c r="HTU88" s="1"/>
      <c r="HTV88" s="1"/>
      <c r="HTW88" s="1"/>
      <c r="HTX88" s="1"/>
      <c r="HTY88" s="1"/>
      <c r="HTZ88" s="1"/>
      <c r="HUA88" s="1"/>
      <c r="HUB88" s="1"/>
      <c r="HUC88" s="1"/>
      <c r="HUD88" s="1"/>
      <c r="HUE88" s="1"/>
      <c r="HUF88" s="1"/>
      <c r="HUG88" s="1"/>
      <c r="HUH88" s="1"/>
      <c r="HUI88" s="1"/>
      <c r="HUJ88" s="1"/>
      <c r="HUK88" s="1"/>
      <c r="HUL88" s="1"/>
      <c r="HUM88" s="1"/>
      <c r="HUN88" s="1"/>
      <c r="HUO88" s="1"/>
      <c r="HUP88" s="1"/>
      <c r="HUQ88" s="1"/>
      <c r="HUR88" s="1"/>
      <c r="HUS88" s="1"/>
      <c r="HUT88" s="1"/>
      <c r="HUU88" s="1"/>
      <c r="HUV88" s="1"/>
      <c r="HUW88" s="1"/>
      <c r="HUX88" s="1"/>
      <c r="HUY88" s="1"/>
      <c r="HUZ88" s="1"/>
      <c r="HVA88" s="1"/>
      <c r="HVB88" s="1"/>
      <c r="HVC88" s="1"/>
      <c r="HVD88" s="1"/>
      <c r="HVE88" s="1"/>
      <c r="HVF88" s="1"/>
      <c r="HVG88" s="1"/>
      <c r="HVH88" s="1"/>
      <c r="HVI88" s="1"/>
      <c r="HVJ88" s="1"/>
      <c r="HVK88" s="1"/>
      <c r="HVL88" s="1"/>
      <c r="HVM88" s="1"/>
      <c r="HVN88" s="1"/>
      <c r="HVO88" s="1"/>
      <c r="HVP88" s="1"/>
      <c r="HVQ88" s="1"/>
      <c r="HVR88" s="1"/>
      <c r="HVS88" s="1"/>
      <c r="HVT88" s="1"/>
      <c r="HVU88" s="1"/>
      <c r="HVV88" s="1"/>
      <c r="HVW88" s="1"/>
      <c r="HVX88" s="1"/>
      <c r="HVY88" s="1"/>
      <c r="HVZ88" s="1"/>
      <c r="HWA88" s="1"/>
      <c r="HWB88" s="1"/>
      <c r="HWC88" s="1"/>
      <c r="HWD88" s="1"/>
      <c r="HWE88" s="1"/>
      <c r="HWF88" s="1"/>
      <c r="HWG88" s="1"/>
      <c r="HWH88" s="1"/>
      <c r="HWI88" s="1"/>
      <c r="HWJ88" s="1"/>
      <c r="HWK88" s="1"/>
      <c r="HWL88" s="1"/>
      <c r="HWM88" s="1"/>
      <c r="HWN88" s="1"/>
      <c r="HWO88" s="1"/>
      <c r="HWP88" s="1"/>
      <c r="HWQ88" s="1"/>
      <c r="HWR88" s="1"/>
      <c r="HWS88" s="1"/>
      <c r="HWT88" s="1"/>
      <c r="HWU88" s="1"/>
      <c r="HWV88" s="1"/>
      <c r="HWW88" s="1"/>
      <c r="HWX88" s="1"/>
      <c r="HWY88" s="1"/>
      <c r="HWZ88" s="1"/>
      <c r="HXA88" s="1"/>
      <c r="HXB88" s="1"/>
      <c r="HXC88" s="1"/>
      <c r="HXD88" s="1"/>
      <c r="HXE88" s="1"/>
      <c r="HXF88" s="1"/>
      <c r="HXG88" s="1"/>
      <c r="HXH88" s="1"/>
      <c r="HXI88" s="1"/>
      <c r="HXJ88" s="1"/>
      <c r="HXK88" s="1"/>
      <c r="HXL88" s="1"/>
      <c r="HXM88" s="1"/>
      <c r="HXN88" s="1"/>
      <c r="HXO88" s="1"/>
      <c r="HXP88" s="1"/>
      <c r="HXQ88" s="1"/>
      <c r="HXR88" s="1"/>
      <c r="HXS88" s="1"/>
      <c r="HXT88" s="1"/>
      <c r="HXU88" s="1"/>
      <c r="HXV88" s="1"/>
      <c r="HXW88" s="1"/>
      <c r="HXX88" s="1"/>
      <c r="HXY88" s="1"/>
      <c r="HXZ88" s="1"/>
      <c r="HYA88" s="1"/>
      <c r="HYB88" s="1"/>
      <c r="HYC88" s="1"/>
      <c r="HYD88" s="1"/>
      <c r="HYE88" s="1"/>
      <c r="HYF88" s="1"/>
      <c r="HYG88" s="1"/>
      <c r="HYH88" s="1"/>
      <c r="HYI88" s="1"/>
      <c r="HYJ88" s="1"/>
      <c r="HYK88" s="1"/>
      <c r="HYL88" s="1"/>
      <c r="HYM88" s="1"/>
      <c r="HYN88" s="1"/>
      <c r="HYO88" s="1"/>
      <c r="HYP88" s="1"/>
      <c r="HYQ88" s="1"/>
      <c r="HYR88" s="1"/>
      <c r="HYS88" s="1"/>
      <c r="HYT88" s="1"/>
      <c r="HYU88" s="1"/>
      <c r="HYV88" s="1"/>
      <c r="HYW88" s="1"/>
      <c r="HYX88" s="1"/>
      <c r="HYY88" s="1"/>
      <c r="HYZ88" s="1"/>
      <c r="HZA88" s="1"/>
      <c r="HZB88" s="1"/>
      <c r="HZC88" s="1"/>
      <c r="HZD88" s="1"/>
      <c r="HZE88" s="1"/>
      <c r="HZF88" s="1"/>
      <c r="HZG88" s="1"/>
      <c r="HZH88" s="1"/>
      <c r="HZI88" s="1"/>
      <c r="HZJ88" s="1"/>
      <c r="HZK88" s="1"/>
      <c r="HZL88" s="1"/>
      <c r="HZM88" s="1"/>
      <c r="HZN88" s="1"/>
      <c r="HZO88" s="1"/>
      <c r="HZP88" s="1"/>
      <c r="HZQ88" s="1"/>
      <c r="HZR88" s="1"/>
      <c r="HZS88" s="1"/>
      <c r="HZT88" s="1"/>
      <c r="HZU88" s="1"/>
      <c r="HZV88" s="1"/>
      <c r="HZW88" s="1"/>
      <c r="HZX88" s="1"/>
      <c r="HZY88" s="1"/>
      <c r="HZZ88" s="1"/>
      <c r="IAA88" s="1"/>
      <c r="IAB88" s="1"/>
      <c r="IAC88" s="1"/>
      <c r="IAD88" s="1"/>
      <c r="IAE88" s="1"/>
      <c r="IAF88" s="1"/>
      <c r="IAG88" s="1"/>
      <c r="IAH88" s="1"/>
      <c r="IAI88" s="1"/>
      <c r="IAJ88" s="1"/>
      <c r="IAK88" s="1"/>
      <c r="IAL88" s="1"/>
      <c r="IAM88" s="1"/>
      <c r="IAN88" s="1"/>
      <c r="IAO88" s="1"/>
      <c r="IAP88" s="1"/>
      <c r="IAQ88" s="1"/>
      <c r="IAR88" s="1"/>
      <c r="IAS88" s="1"/>
      <c r="IAT88" s="1"/>
      <c r="IAU88" s="1"/>
      <c r="IAV88" s="1"/>
      <c r="IAW88" s="1"/>
      <c r="IAX88" s="1"/>
      <c r="IAY88" s="1"/>
      <c r="IAZ88" s="1"/>
      <c r="IBA88" s="1"/>
      <c r="IBB88" s="1"/>
      <c r="IBC88" s="1"/>
      <c r="IBD88" s="1"/>
      <c r="IBE88" s="1"/>
      <c r="IBF88" s="1"/>
      <c r="IBG88" s="1"/>
      <c r="IBH88" s="1"/>
      <c r="IBI88" s="1"/>
      <c r="IBJ88" s="1"/>
      <c r="IBK88" s="1"/>
      <c r="IBL88" s="1"/>
      <c r="IBM88" s="1"/>
      <c r="IBN88" s="1"/>
      <c r="IBO88" s="1"/>
      <c r="IBP88" s="1"/>
      <c r="IBQ88" s="1"/>
      <c r="IBR88" s="1"/>
      <c r="IBS88" s="1"/>
      <c r="IBT88" s="1"/>
      <c r="IBU88" s="1"/>
      <c r="IBV88" s="1"/>
      <c r="IBW88" s="1"/>
      <c r="IBX88" s="1"/>
      <c r="IBY88" s="1"/>
      <c r="IBZ88" s="1"/>
      <c r="ICA88" s="1"/>
      <c r="ICB88" s="1"/>
      <c r="ICC88" s="1"/>
      <c r="ICD88" s="1"/>
      <c r="ICE88" s="1"/>
      <c r="ICF88" s="1"/>
      <c r="ICG88" s="1"/>
      <c r="ICH88" s="1"/>
      <c r="ICI88" s="1"/>
      <c r="ICJ88" s="1"/>
      <c r="ICK88" s="1"/>
      <c r="ICL88" s="1"/>
      <c r="ICM88" s="1"/>
      <c r="ICN88" s="1"/>
      <c r="ICO88" s="1"/>
      <c r="ICP88" s="1"/>
      <c r="ICQ88" s="1"/>
      <c r="ICR88" s="1"/>
      <c r="ICS88" s="1"/>
      <c r="ICT88" s="1"/>
      <c r="ICU88" s="1"/>
      <c r="ICV88" s="1"/>
      <c r="ICW88" s="1"/>
      <c r="ICX88" s="1"/>
      <c r="ICY88" s="1"/>
      <c r="ICZ88" s="1"/>
      <c r="IDA88" s="1"/>
      <c r="IDB88" s="1"/>
      <c r="IDC88" s="1"/>
      <c r="IDD88" s="1"/>
      <c r="IDE88" s="1"/>
      <c r="IDF88" s="1"/>
      <c r="IDG88" s="1"/>
      <c r="IDH88" s="1"/>
      <c r="IDI88" s="1"/>
      <c r="IDJ88" s="1"/>
      <c r="IDK88" s="1"/>
      <c r="IDL88" s="1"/>
      <c r="IDM88" s="1"/>
      <c r="IDN88" s="1"/>
      <c r="IDO88" s="1"/>
      <c r="IDP88" s="1"/>
      <c r="IDQ88" s="1"/>
      <c r="IDR88" s="1"/>
      <c r="IDS88" s="1"/>
      <c r="IDT88" s="1"/>
      <c r="IDU88" s="1"/>
      <c r="IDV88" s="1"/>
      <c r="IDW88" s="1"/>
      <c r="IDX88" s="1"/>
      <c r="IDY88" s="1"/>
      <c r="IDZ88" s="1"/>
      <c r="IEA88" s="1"/>
      <c r="IEB88" s="1"/>
      <c r="IEC88" s="1"/>
      <c r="IED88" s="1"/>
      <c r="IEE88" s="1"/>
      <c r="IEF88" s="1"/>
      <c r="IEG88" s="1"/>
      <c r="IEH88" s="1"/>
      <c r="IEI88" s="1"/>
      <c r="IEJ88" s="1"/>
      <c r="IEK88" s="1"/>
      <c r="IEL88" s="1"/>
      <c r="IEM88" s="1"/>
      <c r="IEN88" s="1"/>
      <c r="IEO88" s="1"/>
      <c r="IEP88" s="1"/>
      <c r="IEQ88" s="1"/>
      <c r="IER88" s="1"/>
      <c r="IES88" s="1"/>
      <c r="IET88" s="1"/>
      <c r="IEU88" s="1"/>
      <c r="IEV88" s="1"/>
      <c r="IEW88" s="1"/>
      <c r="IEX88" s="1"/>
      <c r="IEY88" s="1"/>
      <c r="IEZ88" s="1"/>
      <c r="IFA88" s="1"/>
      <c r="IFB88" s="1"/>
      <c r="IFC88" s="1"/>
      <c r="IFD88" s="1"/>
      <c r="IFE88" s="1"/>
      <c r="IFF88" s="1"/>
      <c r="IFG88" s="1"/>
      <c r="IFH88" s="1"/>
      <c r="IFI88" s="1"/>
      <c r="IFJ88" s="1"/>
      <c r="IFK88" s="1"/>
      <c r="IFL88" s="1"/>
      <c r="IFM88" s="1"/>
      <c r="IFN88" s="1"/>
      <c r="IFO88" s="1"/>
      <c r="IFP88" s="1"/>
      <c r="IFQ88" s="1"/>
      <c r="IFR88" s="1"/>
      <c r="IFS88" s="1"/>
      <c r="IFT88" s="1"/>
      <c r="IFU88" s="1"/>
      <c r="IFV88" s="1"/>
      <c r="IFW88" s="1"/>
      <c r="IFX88" s="1"/>
      <c r="IFY88" s="1"/>
      <c r="IFZ88" s="1"/>
      <c r="IGA88" s="1"/>
      <c r="IGB88" s="1"/>
      <c r="IGC88" s="1"/>
      <c r="IGD88" s="1"/>
      <c r="IGE88" s="1"/>
      <c r="IGF88" s="1"/>
      <c r="IGG88" s="1"/>
      <c r="IGH88" s="1"/>
      <c r="IGI88" s="1"/>
      <c r="IGJ88" s="1"/>
      <c r="IGK88" s="1"/>
      <c r="IGL88" s="1"/>
      <c r="IGM88" s="1"/>
      <c r="IGN88" s="1"/>
      <c r="IGO88" s="1"/>
      <c r="IGP88" s="1"/>
      <c r="IGQ88" s="1"/>
      <c r="IGR88" s="1"/>
      <c r="IGS88" s="1"/>
      <c r="IGT88" s="1"/>
      <c r="IGU88" s="1"/>
      <c r="IGV88" s="1"/>
      <c r="IGW88" s="1"/>
      <c r="IGX88" s="1"/>
      <c r="IGY88" s="1"/>
      <c r="IGZ88" s="1"/>
      <c r="IHA88" s="1"/>
      <c r="IHB88" s="1"/>
      <c r="IHC88" s="1"/>
      <c r="IHD88" s="1"/>
      <c r="IHE88" s="1"/>
      <c r="IHF88" s="1"/>
      <c r="IHG88" s="1"/>
      <c r="IHH88" s="1"/>
      <c r="IHI88" s="1"/>
      <c r="IHJ88" s="1"/>
      <c r="IHK88" s="1"/>
      <c r="IHL88" s="1"/>
      <c r="IHM88" s="1"/>
      <c r="IHN88" s="1"/>
      <c r="IHO88" s="1"/>
      <c r="IHP88" s="1"/>
      <c r="IHQ88" s="1"/>
      <c r="IHR88" s="1"/>
      <c r="IHS88" s="1"/>
      <c r="IHT88" s="1"/>
      <c r="IHU88" s="1"/>
      <c r="IHV88" s="1"/>
      <c r="IHW88" s="1"/>
      <c r="IHX88" s="1"/>
      <c r="IHY88" s="1"/>
      <c r="IHZ88" s="1"/>
      <c r="IIA88" s="1"/>
      <c r="IIB88" s="1"/>
      <c r="IIC88" s="1"/>
      <c r="IID88" s="1"/>
      <c r="IIE88" s="1"/>
      <c r="IIF88" s="1"/>
      <c r="IIG88" s="1"/>
      <c r="IIH88" s="1"/>
      <c r="III88" s="1"/>
      <c r="IIJ88" s="1"/>
      <c r="IIK88" s="1"/>
      <c r="IIL88" s="1"/>
      <c r="IIM88" s="1"/>
      <c r="IIN88" s="1"/>
      <c r="IIO88" s="1"/>
      <c r="IIP88" s="1"/>
      <c r="IIQ88" s="1"/>
      <c r="IIR88" s="1"/>
      <c r="IIS88" s="1"/>
      <c r="IIT88" s="1"/>
      <c r="IIU88" s="1"/>
      <c r="IIV88" s="1"/>
      <c r="IIW88" s="1"/>
      <c r="IIX88" s="1"/>
      <c r="IIY88" s="1"/>
      <c r="IIZ88" s="1"/>
      <c r="IJA88" s="1"/>
      <c r="IJB88" s="1"/>
      <c r="IJC88" s="1"/>
      <c r="IJD88" s="1"/>
      <c r="IJE88" s="1"/>
      <c r="IJF88" s="1"/>
      <c r="IJG88" s="1"/>
      <c r="IJH88" s="1"/>
      <c r="IJI88" s="1"/>
      <c r="IJJ88" s="1"/>
      <c r="IJK88" s="1"/>
      <c r="IJL88" s="1"/>
      <c r="IJM88" s="1"/>
      <c r="IJN88" s="1"/>
      <c r="IJO88" s="1"/>
      <c r="IJP88" s="1"/>
      <c r="IJQ88" s="1"/>
      <c r="IJR88" s="1"/>
      <c r="IJS88" s="1"/>
      <c r="IJT88" s="1"/>
      <c r="IJU88" s="1"/>
      <c r="IJV88" s="1"/>
      <c r="IJW88" s="1"/>
      <c r="IJX88" s="1"/>
      <c r="IJY88" s="1"/>
      <c r="IJZ88" s="1"/>
      <c r="IKA88" s="1"/>
      <c r="IKB88" s="1"/>
      <c r="IKC88" s="1"/>
      <c r="IKD88" s="1"/>
      <c r="IKE88" s="1"/>
      <c r="IKF88" s="1"/>
      <c r="IKG88" s="1"/>
      <c r="IKH88" s="1"/>
      <c r="IKI88" s="1"/>
      <c r="IKJ88" s="1"/>
      <c r="IKK88" s="1"/>
      <c r="IKL88" s="1"/>
      <c r="IKM88" s="1"/>
      <c r="IKN88" s="1"/>
      <c r="IKO88" s="1"/>
      <c r="IKP88" s="1"/>
      <c r="IKQ88" s="1"/>
      <c r="IKR88" s="1"/>
      <c r="IKS88" s="1"/>
      <c r="IKT88" s="1"/>
      <c r="IKU88" s="1"/>
      <c r="IKV88" s="1"/>
      <c r="IKW88" s="1"/>
      <c r="IKX88" s="1"/>
      <c r="IKY88" s="1"/>
      <c r="IKZ88" s="1"/>
      <c r="ILA88" s="1"/>
      <c r="ILB88" s="1"/>
      <c r="ILC88" s="1"/>
      <c r="ILD88" s="1"/>
      <c r="ILE88" s="1"/>
      <c r="ILF88" s="1"/>
      <c r="ILG88" s="1"/>
      <c r="ILH88" s="1"/>
      <c r="ILI88" s="1"/>
      <c r="ILJ88" s="1"/>
      <c r="ILK88" s="1"/>
      <c r="ILL88" s="1"/>
      <c r="ILM88" s="1"/>
      <c r="ILN88" s="1"/>
      <c r="ILO88" s="1"/>
      <c r="ILP88" s="1"/>
      <c r="ILQ88" s="1"/>
      <c r="ILR88" s="1"/>
      <c r="ILS88" s="1"/>
      <c r="ILT88" s="1"/>
      <c r="ILU88" s="1"/>
      <c r="ILV88" s="1"/>
      <c r="ILW88" s="1"/>
      <c r="ILX88" s="1"/>
      <c r="ILY88" s="1"/>
      <c r="ILZ88" s="1"/>
      <c r="IMA88" s="1"/>
      <c r="IMB88" s="1"/>
      <c r="IMC88" s="1"/>
      <c r="IMD88" s="1"/>
      <c r="IME88" s="1"/>
      <c r="IMF88" s="1"/>
      <c r="IMG88" s="1"/>
      <c r="IMH88" s="1"/>
      <c r="IMI88" s="1"/>
      <c r="IMJ88" s="1"/>
      <c r="IMK88" s="1"/>
      <c r="IML88" s="1"/>
      <c r="IMM88" s="1"/>
      <c r="IMN88" s="1"/>
      <c r="IMO88" s="1"/>
      <c r="IMP88" s="1"/>
      <c r="IMQ88" s="1"/>
      <c r="IMR88" s="1"/>
      <c r="IMS88" s="1"/>
      <c r="IMT88" s="1"/>
      <c r="IMU88" s="1"/>
      <c r="IMV88" s="1"/>
      <c r="IMW88" s="1"/>
      <c r="IMX88" s="1"/>
      <c r="IMY88" s="1"/>
      <c r="IMZ88" s="1"/>
      <c r="INA88" s="1"/>
      <c r="INB88" s="1"/>
      <c r="INC88" s="1"/>
      <c r="IND88" s="1"/>
      <c r="INE88" s="1"/>
      <c r="INF88" s="1"/>
      <c r="ING88" s="1"/>
      <c r="INH88" s="1"/>
      <c r="INI88" s="1"/>
      <c r="INJ88" s="1"/>
      <c r="INK88" s="1"/>
      <c r="INL88" s="1"/>
      <c r="INM88" s="1"/>
      <c r="INN88" s="1"/>
      <c r="INO88" s="1"/>
      <c r="INP88" s="1"/>
      <c r="INQ88" s="1"/>
      <c r="INR88" s="1"/>
      <c r="INS88" s="1"/>
      <c r="INT88" s="1"/>
      <c r="INU88" s="1"/>
      <c r="INV88" s="1"/>
      <c r="INW88" s="1"/>
      <c r="INX88" s="1"/>
      <c r="INY88" s="1"/>
      <c r="INZ88" s="1"/>
      <c r="IOA88" s="1"/>
      <c r="IOB88" s="1"/>
      <c r="IOC88" s="1"/>
      <c r="IOD88" s="1"/>
      <c r="IOE88" s="1"/>
      <c r="IOF88" s="1"/>
      <c r="IOG88" s="1"/>
      <c r="IOH88" s="1"/>
      <c r="IOI88" s="1"/>
      <c r="IOJ88" s="1"/>
      <c r="IOK88" s="1"/>
      <c r="IOL88" s="1"/>
      <c r="IOM88" s="1"/>
      <c r="ION88" s="1"/>
      <c r="IOO88" s="1"/>
      <c r="IOP88" s="1"/>
      <c r="IOQ88" s="1"/>
      <c r="IOR88" s="1"/>
      <c r="IOS88" s="1"/>
      <c r="IOT88" s="1"/>
      <c r="IOU88" s="1"/>
      <c r="IOV88" s="1"/>
      <c r="IOW88" s="1"/>
      <c r="IOX88" s="1"/>
      <c r="IOY88" s="1"/>
      <c r="IOZ88" s="1"/>
      <c r="IPA88" s="1"/>
      <c r="IPB88" s="1"/>
      <c r="IPC88" s="1"/>
      <c r="IPD88" s="1"/>
      <c r="IPE88" s="1"/>
      <c r="IPF88" s="1"/>
      <c r="IPG88" s="1"/>
      <c r="IPH88" s="1"/>
      <c r="IPI88" s="1"/>
      <c r="IPJ88" s="1"/>
      <c r="IPK88" s="1"/>
      <c r="IPL88" s="1"/>
      <c r="IPM88" s="1"/>
      <c r="IPN88" s="1"/>
      <c r="IPO88" s="1"/>
      <c r="IPP88" s="1"/>
      <c r="IPQ88" s="1"/>
      <c r="IPR88" s="1"/>
      <c r="IPS88" s="1"/>
      <c r="IPT88" s="1"/>
      <c r="IPU88" s="1"/>
      <c r="IPV88" s="1"/>
      <c r="IPW88" s="1"/>
      <c r="IPX88" s="1"/>
      <c r="IPY88" s="1"/>
      <c r="IPZ88" s="1"/>
      <c r="IQA88" s="1"/>
      <c r="IQB88" s="1"/>
      <c r="IQC88" s="1"/>
      <c r="IQD88" s="1"/>
      <c r="IQE88" s="1"/>
      <c r="IQF88" s="1"/>
      <c r="IQG88" s="1"/>
      <c r="IQH88" s="1"/>
      <c r="IQI88" s="1"/>
      <c r="IQJ88" s="1"/>
      <c r="IQK88" s="1"/>
      <c r="IQL88" s="1"/>
      <c r="IQM88" s="1"/>
      <c r="IQN88" s="1"/>
      <c r="IQO88" s="1"/>
      <c r="IQP88" s="1"/>
      <c r="IQQ88" s="1"/>
      <c r="IQR88" s="1"/>
      <c r="IQS88" s="1"/>
      <c r="IQT88" s="1"/>
      <c r="IQU88" s="1"/>
      <c r="IQV88" s="1"/>
      <c r="IQW88" s="1"/>
      <c r="IQX88" s="1"/>
      <c r="IQY88" s="1"/>
      <c r="IQZ88" s="1"/>
      <c r="IRA88" s="1"/>
      <c r="IRB88" s="1"/>
      <c r="IRC88" s="1"/>
      <c r="IRD88" s="1"/>
      <c r="IRE88" s="1"/>
      <c r="IRF88" s="1"/>
      <c r="IRG88" s="1"/>
      <c r="IRH88" s="1"/>
      <c r="IRI88" s="1"/>
      <c r="IRJ88" s="1"/>
      <c r="IRK88" s="1"/>
      <c r="IRL88" s="1"/>
      <c r="IRM88" s="1"/>
      <c r="IRN88" s="1"/>
      <c r="IRO88" s="1"/>
      <c r="IRP88" s="1"/>
      <c r="IRQ88" s="1"/>
      <c r="IRR88" s="1"/>
      <c r="IRS88" s="1"/>
      <c r="IRT88" s="1"/>
      <c r="IRU88" s="1"/>
      <c r="IRV88" s="1"/>
      <c r="IRW88" s="1"/>
      <c r="IRX88" s="1"/>
      <c r="IRY88" s="1"/>
      <c r="IRZ88" s="1"/>
      <c r="ISA88" s="1"/>
      <c r="ISB88" s="1"/>
      <c r="ISC88" s="1"/>
      <c r="ISD88" s="1"/>
      <c r="ISE88" s="1"/>
      <c r="ISF88" s="1"/>
      <c r="ISG88" s="1"/>
      <c r="ISH88" s="1"/>
      <c r="ISI88" s="1"/>
      <c r="ISJ88" s="1"/>
      <c r="ISK88" s="1"/>
      <c r="ISL88" s="1"/>
      <c r="ISM88" s="1"/>
      <c r="ISN88" s="1"/>
      <c r="ISO88" s="1"/>
      <c r="ISP88" s="1"/>
      <c r="ISQ88" s="1"/>
      <c r="ISR88" s="1"/>
      <c r="ISS88" s="1"/>
      <c r="IST88" s="1"/>
      <c r="ISU88" s="1"/>
      <c r="ISV88" s="1"/>
      <c r="ISW88" s="1"/>
      <c r="ISX88" s="1"/>
      <c r="ISY88" s="1"/>
      <c r="ISZ88" s="1"/>
      <c r="ITA88" s="1"/>
      <c r="ITB88" s="1"/>
      <c r="ITC88" s="1"/>
      <c r="ITD88" s="1"/>
      <c r="ITE88" s="1"/>
      <c r="ITF88" s="1"/>
      <c r="ITG88" s="1"/>
      <c r="ITH88" s="1"/>
      <c r="ITI88" s="1"/>
      <c r="ITJ88" s="1"/>
      <c r="ITK88" s="1"/>
      <c r="ITL88" s="1"/>
      <c r="ITM88" s="1"/>
      <c r="ITN88" s="1"/>
      <c r="ITO88" s="1"/>
      <c r="ITP88" s="1"/>
      <c r="ITQ88" s="1"/>
      <c r="ITR88" s="1"/>
      <c r="ITS88" s="1"/>
      <c r="ITT88" s="1"/>
      <c r="ITU88" s="1"/>
      <c r="ITV88" s="1"/>
      <c r="ITW88" s="1"/>
      <c r="ITX88" s="1"/>
      <c r="ITY88" s="1"/>
      <c r="ITZ88" s="1"/>
      <c r="IUA88" s="1"/>
      <c r="IUB88" s="1"/>
      <c r="IUC88" s="1"/>
      <c r="IUD88" s="1"/>
      <c r="IUE88" s="1"/>
      <c r="IUF88" s="1"/>
      <c r="IUG88" s="1"/>
      <c r="IUH88" s="1"/>
      <c r="IUI88" s="1"/>
      <c r="IUJ88" s="1"/>
      <c r="IUK88" s="1"/>
      <c r="IUL88" s="1"/>
      <c r="IUM88" s="1"/>
      <c r="IUN88" s="1"/>
      <c r="IUO88" s="1"/>
      <c r="IUP88" s="1"/>
      <c r="IUQ88" s="1"/>
      <c r="IUR88" s="1"/>
      <c r="IUS88" s="1"/>
      <c r="IUT88" s="1"/>
      <c r="IUU88" s="1"/>
      <c r="IUV88" s="1"/>
      <c r="IUW88" s="1"/>
      <c r="IUX88" s="1"/>
      <c r="IUY88" s="1"/>
      <c r="IUZ88" s="1"/>
      <c r="IVA88" s="1"/>
      <c r="IVB88" s="1"/>
      <c r="IVC88" s="1"/>
      <c r="IVD88" s="1"/>
      <c r="IVE88" s="1"/>
      <c r="IVF88" s="1"/>
      <c r="IVG88" s="1"/>
      <c r="IVH88" s="1"/>
      <c r="IVI88" s="1"/>
      <c r="IVJ88" s="1"/>
      <c r="IVK88" s="1"/>
      <c r="IVL88" s="1"/>
      <c r="IVM88" s="1"/>
      <c r="IVN88" s="1"/>
      <c r="IVO88" s="1"/>
      <c r="IVP88" s="1"/>
      <c r="IVQ88" s="1"/>
      <c r="IVR88" s="1"/>
      <c r="IVS88" s="1"/>
      <c r="IVT88" s="1"/>
      <c r="IVU88" s="1"/>
      <c r="IVV88" s="1"/>
      <c r="IVW88" s="1"/>
      <c r="IVX88" s="1"/>
      <c r="IVY88" s="1"/>
      <c r="IVZ88" s="1"/>
      <c r="IWA88" s="1"/>
      <c r="IWB88" s="1"/>
      <c r="IWC88" s="1"/>
      <c r="IWD88" s="1"/>
      <c r="IWE88" s="1"/>
      <c r="IWF88" s="1"/>
      <c r="IWG88" s="1"/>
      <c r="IWH88" s="1"/>
      <c r="IWI88" s="1"/>
      <c r="IWJ88" s="1"/>
      <c r="IWK88" s="1"/>
      <c r="IWL88" s="1"/>
      <c r="IWM88" s="1"/>
      <c r="IWN88" s="1"/>
      <c r="IWO88" s="1"/>
      <c r="IWP88" s="1"/>
      <c r="IWQ88" s="1"/>
      <c r="IWR88" s="1"/>
      <c r="IWS88" s="1"/>
      <c r="IWT88" s="1"/>
      <c r="IWU88" s="1"/>
      <c r="IWV88" s="1"/>
      <c r="IWW88" s="1"/>
      <c r="IWX88" s="1"/>
      <c r="IWY88" s="1"/>
      <c r="IWZ88" s="1"/>
      <c r="IXA88" s="1"/>
      <c r="IXB88" s="1"/>
      <c r="IXC88" s="1"/>
      <c r="IXD88" s="1"/>
      <c r="IXE88" s="1"/>
      <c r="IXF88" s="1"/>
      <c r="IXG88" s="1"/>
      <c r="IXH88" s="1"/>
      <c r="IXI88" s="1"/>
      <c r="IXJ88" s="1"/>
      <c r="IXK88" s="1"/>
      <c r="IXL88" s="1"/>
      <c r="IXM88" s="1"/>
      <c r="IXN88" s="1"/>
      <c r="IXO88" s="1"/>
      <c r="IXP88" s="1"/>
      <c r="IXQ88" s="1"/>
      <c r="IXR88" s="1"/>
      <c r="IXS88" s="1"/>
      <c r="IXT88" s="1"/>
      <c r="IXU88" s="1"/>
      <c r="IXV88" s="1"/>
      <c r="IXW88" s="1"/>
      <c r="IXX88" s="1"/>
      <c r="IXY88" s="1"/>
      <c r="IXZ88" s="1"/>
      <c r="IYA88" s="1"/>
      <c r="IYB88" s="1"/>
      <c r="IYC88" s="1"/>
      <c r="IYD88" s="1"/>
      <c r="IYE88" s="1"/>
      <c r="IYF88" s="1"/>
      <c r="IYG88" s="1"/>
      <c r="IYH88" s="1"/>
      <c r="IYI88" s="1"/>
      <c r="IYJ88" s="1"/>
      <c r="IYK88" s="1"/>
      <c r="IYL88" s="1"/>
      <c r="IYM88" s="1"/>
      <c r="IYN88" s="1"/>
      <c r="IYO88" s="1"/>
      <c r="IYP88" s="1"/>
      <c r="IYQ88" s="1"/>
      <c r="IYR88" s="1"/>
      <c r="IYS88" s="1"/>
      <c r="IYT88" s="1"/>
      <c r="IYU88" s="1"/>
      <c r="IYV88" s="1"/>
      <c r="IYW88" s="1"/>
      <c r="IYX88" s="1"/>
      <c r="IYY88" s="1"/>
      <c r="IYZ88" s="1"/>
      <c r="IZA88" s="1"/>
      <c r="IZB88" s="1"/>
      <c r="IZC88" s="1"/>
      <c r="IZD88" s="1"/>
      <c r="IZE88" s="1"/>
      <c r="IZF88" s="1"/>
      <c r="IZG88" s="1"/>
      <c r="IZH88" s="1"/>
      <c r="IZI88" s="1"/>
      <c r="IZJ88" s="1"/>
      <c r="IZK88" s="1"/>
      <c r="IZL88" s="1"/>
      <c r="IZM88" s="1"/>
      <c r="IZN88" s="1"/>
      <c r="IZO88" s="1"/>
      <c r="IZP88" s="1"/>
      <c r="IZQ88" s="1"/>
      <c r="IZR88" s="1"/>
      <c r="IZS88" s="1"/>
      <c r="IZT88" s="1"/>
      <c r="IZU88" s="1"/>
      <c r="IZV88" s="1"/>
      <c r="IZW88" s="1"/>
      <c r="IZX88" s="1"/>
      <c r="IZY88" s="1"/>
      <c r="IZZ88" s="1"/>
      <c r="JAA88" s="1"/>
      <c r="JAB88" s="1"/>
      <c r="JAC88" s="1"/>
      <c r="JAD88" s="1"/>
      <c r="JAE88" s="1"/>
      <c r="JAF88" s="1"/>
      <c r="JAG88" s="1"/>
      <c r="JAH88" s="1"/>
      <c r="JAI88" s="1"/>
      <c r="JAJ88" s="1"/>
      <c r="JAK88" s="1"/>
      <c r="JAL88" s="1"/>
      <c r="JAM88" s="1"/>
      <c r="JAN88" s="1"/>
      <c r="JAO88" s="1"/>
      <c r="JAP88" s="1"/>
      <c r="JAQ88" s="1"/>
      <c r="JAR88" s="1"/>
      <c r="JAS88" s="1"/>
      <c r="JAT88" s="1"/>
      <c r="JAU88" s="1"/>
      <c r="JAV88" s="1"/>
      <c r="JAW88" s="1"/>
      <c r="JAX88" s="1"/>
      <c r="JAY88" s="1"/>
      <c r="JAZ88" s="1"/>
      <c r="JBA88" s="1"/>
      <c r="JBB88" s="1"/>
      <c r="JBC88" s="1"/>
      <c r="JBD88" s="1"/>
      <c r="JBE88" s="1"/>
      <c r="JBF88" s="1"/>
      <c r="JBG88" s="1"/>
      <c r="JBH88" s="1"/>
      <c r="JBI88" s="1"/>
      <c r="JBJ88" s="1"/>
      <c r="JBK88" s="1"/>
      <c r="JBL88" s="1"/>
      <c r="JBM88" s="1"/>
      <c r="JBN88" s="1"/>
      <c r="JBO88" s="1"/>
      <c r="JBP88" s="1"/>
      <c r="JBQ88" s="1"/>
      <c r="JBR88" s="1"/>
      <c r="JBS88" s="1"/>
      <c r="JBT88" s="1"/>
      <c r="JBU88" s="1"/>
      <c r="JBV88" s="1"/>
      <c r="JBW88" s="1"/>
      <c r="JBX88" s="1"/>
      <c r="JBY88" s="1"/>
      <c r="JBZ88" s="1"/>
      <c r="JCA88" s="1"/>
      <c r="JCB88" s="1"/>
      <c r="JCC88" s="1"/>
      <c r="JCD88" s="1"/>
      <c r="JCE88" s="1"/>
      <c r="JCF88" s="1"/>
      <c r="JCG88" s="1"/>
      <c r="JCH88" s="1"/>
      <c r="JCI88" s="1"/>
      <c r="JCJ88" s="1"/>
      <c r="JCK88" s="1"/>
      <c r="JCL88" s="1"/>
      <c r="JCM88" s="1"/>
      <c r="JCN88" s="1"/>
      <c r="JCO88" s="1"/>
      <c r="JCP88" s="1"/>
      <c r="JCQ88" s="1"/>
      <c r="JCR88" s="1"/>
      <c r="JCS88" s="1"/>
      <c r="JCT88" s="1"/>
      <c r="JCU88" s="1"/>
      <c r="JCV88" s="1"/>
      <c r="JCW88" s="1"/>
      <c r="JCX88" s="1"/>
      <c r="JCY88" s="1"/>
      <c r="JCZ88" s="1"/>
      <c r="JDA88" s="1"/>
      <c r="JDB88" s="1"/>
      <c r="JDC88" s="1"/>
      <c r="JDD88" s="1"/>
      <c r="JDE88" s="1"/>
      <c r="JDF88" s="1"/>
      <c r="JDG88" s="1"/>
      <c r="JDH88" s="1"/>
      <c r="JDI88" s="1"/>
      <c r="JDJ88" s="1"/>
      <c r="JDK88" s="1"/>
      <c r="JDL88" s="1"/>
      <c r="JDM88" s="1"/>
      <c r="JDN88" s="1"/>
      <c r="JDO88" s="1"/>
      <c r="JDP88" s="1"/>
      <c r="JDQ88" s="1"/>
      <c r="JDR88" s="1"/>
      <c r="JDS88" s="1"/>
      <c r="JDT88" s="1"/>
      <c r="JDU88" s="1"/>
      <c r="JDV88" s="1"/>
      <c r="JDW88" s="1"/>
      <c r="JDX88" s="1"/>
      <c r="JDY88" s="1"/>
      <c r="JDZ88" s="1"/>
      <c r="JEA88" s="1"/>
      <c r="JEB88" s="1"/>
      <c r="JEC88" s="1"/>
      <c r="JED88" s="1"/>
      <c r="JEE88" s="1"/>
      <c r="JEF88" s="1"/>
      <c r="JEG88" s="1"/>
      <c r="JEH88" s="1"/>
      <c r="JEI88" s="1"/>
      <c r="JEJ88" s="1"/>
      <c r="JEK88" s="1"/>
      <c r="JEL88" s="1"/>
      <c r="JEM88" s="1"/>
      <c r="JEN88" s="1"/>
      <c r="JEO88" s="1"/>
      <c r="JEP88" s="1"/>
      <c r="JEQ88" s="1"/>
      <c r="JER88" s="1"/>
      <c r="JES88" s="1"/>
      <c r="JET88" s="1"/>
      <c r="JEU88" s="1"/>
      <c r="JEV88" s="1"/>
      <c r="JEW88" s="1"/>
      <c r="JEX88" s="1"/>
      <c r="JEY88" s="1"/>
      <c r="JEZ88" s="1"/>
      <c r="JFA88" s="1"/>
      <c r="JFB88" s="1"/>
      <c r="JFC88" s="1"/>
      <c r="JFD88" s="1"/>
      <c r="JFE88" s="1"/>
      <c r="JFF88" s="1"/>
      <c r="JFG88" s="1"/>
      <c r="JFH88" s="1"/>
      <c r="JFI88" s="1"/>
      <c r="JFJ88" s="1"/>
      <c r="JFK88" s="1"/>
      <c r="JFL88" s="1"/>
      <c r="JFM88" s="1"/>
      <c r="JFN88" s="1"/>
      <c r="JFO88" s="1"/>
      <c r="JFP88" s="1"/>
      <c r="JFQ88" s="1"/>
      <c r="JFR88" s="1"/>
      <c r="JFS88" s="1"/>
      <c r="JFT88" s="1"/>
      <c r="JFU88" s="1"/>
      <c r="JFV88" s="1"/>
      <c r="JFW88" s="1"/>
      <c r="JFX88" s="1"/>
      <c r="JFY88" s="1"/>
      <c r="JFZ88" s="1"/>
      <c r="JGA88" s="1"/>
      <c r="JGB88" s="1"/>
      <c r="JGC88" s="1"/>
      <c r="JGD88" s="1"/>
      <c r="JGE88" s="1"/>
      <c r="JGF88" s="1"/>
      <c r="JGG88" s="1"/>
      <c r="JGH88" s="1"/>
      <c r="JGI88" s="1"/>
      <c r="JGJ88" s="1"/>
      <c r="JGK88" s="1"/>
      <c r="JGL88" s="1"/>
      <c r="JGM88" s="1"/>
      <c r="JGN88" s="1"/>
      <c r="JGO88" s="1"/>
      <c r="JGP88" s="1"/>
      <c r="JGQ88" s="1"/>
      <c r="JGR88" s="1"/>
      <c r="JGS88" s="1"/>
      <c r="JGT88" s="1"/>
      <c r="JGU88" s="1"/>
      <c r="JGV88" s="1"/>
      <c r="JGW88" s="1"/>
      <c r="JGX88" s="1"/>
      <c r="JGY88" s="1"/>
      <c r="JGZ88" s="1"/>
      <c r="JHA88" s="1"/>
      <c r="JHB88" s="1"/>
      <c r="JHC88" s="1"/>
      <c r="JHD88" s="1"/>
      <c r="JHE88" s="1"/>
      <c r="JHF88" s="1"/>
      <c r="JHG88" s="1"/>
      <c r="JHH88" s="1"/>
      <c r="JHI88" s="1"/>
      <c r="JHJ88" s="1"/>
      <c r="JHK88" s="1"/>
      <c r="JHL88" s="1"/>
      <c r="JHM88" s="1"/>
      <c r="JHN88" s="1"/>
      <c r="JHO88" s="1"/>
      <c r="JHP88" s="1"/>
      <c r="JHQ88" s="1"/>
      <c r="JHR88" s="1"/>
      <c r="JHS88" s="1"/>
      <c r="JHT88" s="1"/>
      <c r="JHU88" s="1"/>
      <c r="JHV88" s="1"/>
      <c r="JHW88" s="1"/>
      <c r="JHX88" s="1"/>
      <c r="JHY88" s="1"/>
      <c r="JHZ88" s="1"/>
      <c r="JIA88" s="1"/>
      <c r="JIB88" s="1"/>
      <c r="JIC88" s="1"/>
      <c r="JID88" s="1"/>
      <c r="JIE88" s="1"/>
      <c r="JIF88" s="1"/>
      <c r="JIG88" s="1"/>
      <c r="JIH88" s="1"/>
      <c r="JII88" s="1"/>
      <c r="JIJ88" s="1"/>
      <c r="JIK88" s="1"/>
      <c r="JIL88" s="1"/>
      <c r="JIM88" s="1"/>
      <c r="JIN88" s="1"/>
      <c r="JIO88" s="1"/>
      <c r="JIP88" s="1"/>
      <c r="JIQ88" s="1"/>
      <c r="JIR88" s="1"/>
      <c r="JIS88" s="1"/>
      <c r="JIT88" s="1"/>
      <c r="JIU88" s="1"/>
      <c r="JIV88" s="1"/>
      <c r="JIW88" s="1"/>
      <c r="JIX88" s="1"/>
      <c r="JIY88" s="1"/>
      <c r="JIZ88" s="1"/>
      <c r="JJA88" s="1"/>
      <c r="JJB88" s="1"/>
      <c r="JJC88" s="1"/>
      <c r="JJD88" s="1"/>
      <c r="JJE88" s="1"/>
      <c r="JJF88" s="1"/>
      <c r="JJG88" s="1"/>
      <c r="JJH88" s="1"/>
      <c r="JJI88" s="1"/>
      <c r="JJJ88" s="1"/>
      <c r="JJK88" s="1"/>
      <c r="JJL88" s="1"/>
      <c r="JJM88" s="1"/>
      <c r="JJN88" s="1"/>
      <c r="JJO88" s="1"/>
      <c r="JJP88" s="1"/>
      <c r="JJQ88" s="1"/>
      <c r="JJR88" s="1"/>
      <c r="JJS88" s="1"/>
      <c r="JJT88" s="1"/>
      <c r="JJU88" s="1"/>
      <c r="JJV88" s="1"/>
      <c r="JJW88" s="1"/>
      <c r="JJX88" s="1"/>
      <c r="JJY88" s="1"/>
      <c r="JJZ88" s="1"/>
      <c r="JKA88" s="1"/>
      <c r="JKB88" s="1"/>
      <c r="JKC88" s="1"/>
      <c r="JKD88" s="1"/>
      <c r="JKE88" s="1"/>
      <c r="JKF88" s="1"/>
      <c r="JKG88" s="1"/>
      <c r="JKH88" s="1"/>
      <c r="JKI88" s="1"/>
      <c r="JKJ88" s="1"/>
      <c r="JKK88" s="1"/>
      <c r="JKL88" s="1"/>
      <c r="JKM88" s="1"/>
      <c r="JKN88" s="1"/>
      <c r="JKO88" s="1"/>
      <c r="JKP88" s="1"/>
      <c r="JKQ88" s="1"/>
      <c r="JKR88" s="1"/>
      <c r="JKS88" s="1"/>
      <c r="JKT88" s="1"/>
      <c r="JKU88" s="1"/>
      <c r="JKV88" s="1"/>
      <c r="JKW88" s="1"/>
      <c r="JKX88" s="1"/>
      <c r="JKY88" s="1"/>
      <c r="JKZ88" s="1"/>
      <c r="JLA88" s="1"/>
      <c r="JLB88" s="1"/>
      <c r="JLC88" s="1"/>
      <c r="JLD88" s="1"/>
      <c r="JLE88" s="1"/>
      <c r="JLF88" s="1"/>
      <c r="JLG88" s="1"/>
      <c r="JLH88" s="1"/>
      <c r="JLI88" s="1"/>
      <c r="JLJ88" s="1"/>
      <c r="JLK88" s="1"/>
      <c r="JLL88" s="1"/>
      <c r="JLM88" s="1"/>
      <c r="JLN88" s="1"/>
      <c r="JLO88" s="1"/>
      <c r="JLP88" s="1"/>
      <c r="JLQ88" s="1"/>
      <c r="JLR88" s="1"/>
      <c r="JLS88" s="1"/>
      <c r="JLT88" s="1"/>
      <c r="JLU88" s="1"/>
      <c r="JLV88" s="1"/>
      <c r="JLW88" s="1"/>
      <c r="JLX88" s="1"/>
      <c r="JLY88" s="1"/>
      <c r="JLZ88" s="1"/>
      <c r="JMA88" s="1"/>
      <c r="JMB88" s="1"/>
      <c r="JMC88" s="1"/>
      <c r="JMD88" s="1"/>
      <c r="JME88" s="1"/>
      <c r="JMF88" s="1"/>
      <c r="JMG88" s="1"/>
      <c r="JMH88" s="1"/>
      <c r="JMI88" s="1"/>
      <c r="JMJ88" s="1"/>
      <c r="JMK88" s="1"/>
      <c r="JML88" s="1"/>
      <c r="JMM88" s="1"/>
      <c r="JMN88" s="1"/>
      <c r="JMO88" s="1"/>
      <c r="JMP88" s="1"/>
      <c r="JMQ88" s="1"/>
      <c r="JMR88" s="1"/>
      <c r="JMS88" s="1"/>
      <c r="JMT88" s="1"/>
      <c r="JMU88" s="1"/>
      <c r="JMV88" s="1"/>
      <c r="JMW88" s="1"/>
      <c r="JMX88" s="1"/>
      <c r="JMY88" s="1"/>
      <c r="JMZ88" s="1"/>
      <c r="JNA88" s="1"/>
      <c r="JNB88" s="1"/>
      <c r="JNC88" s="1"/>
      <c r="JND88" s="1"/>
      <c r="JNE88" s="1"/>
      <c r="JNF88" s="1"/>
      <c r="JNG88" s="1"/>
      <c r="JNH88" s="1"/>
      <c r="JNI88" s="1"/>
      <c r="JNJ88" s="1"/>
      <c r="JNK88" s="1"/>
      <c r="JNL88" s="1"/>
      <c r="JNM88" s="1"/>
      <c r="JNN88" s="1"/>
      <c r="JNO88" s="1"/>
      <c r="JNP88" s="1"/>
      <c r="JNQ88" s="1"/>
      <c r="JNR88" s="1"/>
      <c r="JNS88" s="1"/>
      <c r="JNT88" s="1"/>
      <c r="JNU88" s="1"/>
      <c r="JNV88" s="1"/>
      <c r="JNW88" s="1"/>
      <c r="JNX88" s="1"/>
      <c r="JNY88" s="1"/>
      <c r="JNZ88" s="1"/>
      <c r="JOA88" s="1"/>
      <c r="JOB88" s="1"/>
      <c r="JOC88" s="1"/>
      <c r="JOD88" s="1"/>
      <c r="JOE88" s="1"/>
      <c r="JOF88" s="1"/>
      <c r="JOG88" s="1"/>
      <c r="JOH88" s="1"/>
      <c r="JOI88" s="1"/>
      <c r="JOJ88" s="1"/>
      <c r="JOK88" s="1"/>
      <c r="JOL88" s="1"/>
      <c r="JOM88" s="1"/>
      <c r="JON88" s="1"/>
      <c r="JOO88" s="1"/>
      <c r="JOP88" s="1"/>
      <c r="JOQ88" s="1"/>
      <c r="JOR88" s="1"/>
      <c r="JOS88" s="1"/>
      <c r="JOT88" s="1"/>
      <c r="JOU88" s="1"/>
      <c r="JOV88" s="1"/>
      <c r="JOW88" s="1"/>
      <c r="JOX88" s="1"/>
      <c r="JOY88" s="1"/>
      <c r="JOZ88" s="1"/>
      <c r="JPA88" s="1"/>
      <c r="JPB88" s="1"/>
      <c r="JPC88" s="1"/>
      <c r="JPD88" s="1"/>
      <c r="JPE88" s="1"/>
      <c r="JPF88" s="1"/>
      <c r="JPG88" s="1"/>
      <c r="JPH88" s="1"/>
      <c r="JPI88" s="1"/>
      <c r="JPJ88" s="1"/>
      <c r="JPK88" s="1"/>
      <c r="JPL88" s="1"/>
      <c r="JPM88" s="1"/>
      <c r="JPN88" s="1"/>
      <c r="JPO88" s="1"/>
      <c r="JPP88" s="1"/>
      <c r="JPQ88" s="1"/>
      <c r="JPR88" s="1"/>
      <c r="JPS88" s="1"/>
      <c r="JPT88" s="1"/>
      <c r="JPU88" s="1"/>
      <c r="JPV88" s="1"/>
      <c r="JPW88" s="1"/>
      <c r="JPX88" s="1"/>
      <c r="JPY88" s="1"/>
      <c r="JPZ88" s="1"/>
      <c r="JQA88" s="1"/>
      <c r="JQB88" s="1"/>
      <c r="JQC88" s="1"/>
      <c r="JQD88" s="1"/>
      <c r="JQE88" s="1"/>
      <c r="JQF88" s="1"/>
      <c r="JQG88" s="1"/>
      <c r="JQH88" s="1"/>
      <c r="JQI88" s="1"/>
      <c r="JQJ88" s="1"/>
      <c r="JQK88" s="1"/>
      <c r="JQL88" s="1"/>
      <c r="JQM88" s="1"/>
      <c r="JQN88" s="1"/>
      <c r="JQO88" s="1"/>
      <c r="JQP88" s="1"/>
      <c r="JQQ88" s="1"/>
      <c r="JQR88" s="1"/>
      <c r="JQS88" s="1"/>
      <c r="JQT88" s="1"/>
      <c r="JQU88" s="1"/>
      <c r="JQV88" s="1"/>
      <c r="JQW88" s="1"/>
      <c r="JQX88" s="1"/>
      <c r="JQY88" s="1"/>
      <c r="JQZ88" s="1"/>
      <c r="JRA88" s="1"/>
      <c r="JRB88" s="1"/>
      <c r="JRC88" s="1"/>
      <c r="JRD88" s="1"/>
      <c r="JRE88" s="1"/>
      <c r="JRF88" s="1"/>
      <c r="JRG88" s="1"/>
      <c r="JRH88" s="1"/>
      <c r="JRI88" s="1"/>
      <c r="JRJ88" s="1"/>
      <c r="JRK88" s="1"/>
      <c r="JRL88" s="1"/>
      <c r="JRM88" s="1"/>
      <c r="JRN88" s="1"/>
      <c r="JRO88" s="1"/>
      <c r="JRP88" s="1"/>
      <c r="JRQ88" s="1"/>
      <c r="JRR88" s="1"/>
      <c r="JRS88" s="1"/>
      <c r="JRT88" s="1"/>
      <c r="JRU88" s="1"/>
      <c r="JRV88" s="1"/>
      <c r="JRW88" s="1"/>
      <c r="JRX88" s="1"/>
      <c r="JRY88" s="1"/>
      <c r="JRZ88" s="1"/>
      <c r="JSA88" s="1"/>
      <c r="JSB88" s="1"/>
      <c r="JSC88" s="1"/>
      <c r="JSD88" s="1"/>
      <c r="JSE88" s="1"/>
      <c r="JSF88" s="1"/>
      <c r="JSG88" s="1"/>
      <c r="JSH88" s="1"/>
      <c r="JSI88" s="1"/>
      <c r="JSJ88" s="1"/>
      <c r="JSK88" s="1"/>
      <c r="JSL88" s="1"/>
      <c r="JSM88" s="1"/>
      <c r="JSN88" s="1"/>
      <c r="JSO88" s="1"/>
      <c r="JSP88" s="1"/>
      <c r="JSQ88" s="1"/>
      <c r="JSR88" s="1"/>
      <c r="JSS88" s="1"/>
      <c r="JST88" s="1"/>
      <c r="JSU88" s="1"/>
      <c r="JSV88" s="1"/>
      <c r="JSW88" s="1"/>
      <c r="JSX88" s="1"/>
      <c r="JSY88" s="1"/>
      <c r="JSZ88" s="1"/>
      <c r="JTA88" s="1"/>
      <c r="JTB88" s="1"/>
      <c r="JTC88" s="1"/>
      <c r="JTD88" s="1"/>
      <c r="JTE88" s="1"/>
      <c r="JTF88" s="1"/>
      <c r="JTG88" s="1"/>
      <c r="JTH88" s="1"/>
      <c r="JTI88" s="1"/>
      <c r="JTJ88" s="1"/>
      <c r="JTK88" s="1"/>
      <c r="JTL88" s="1"/>
      <c r="JTM88" s="1"/>
      <c r="JTN88" s="1"/>
      <c r="JTO88" s="1"/>
      <c r="JTP88" s="1"/>
      <c r="JTQ88" s="1"/>
      <c r="JTR88" s="1"/>
      <c r="JTS88" s="1"/>
      <c r="JTT88" s="1"/>
      <c r="JTU88" s="1"/>
      <c r="JTV88" s="1"/>
      <c r="JTW88" s="1"/>
      <c r="JTX88" s="1"/>
      <c r="JTY88" s="1"/>
      <c r="JTZ88" s="1"/>
      <c r="JUA88" s="1"/>
      <c r="JUB88" s="1"/>
      <c r="JUC88" s="1"/>
      <c r="JUD88" s="1"/>
      <c r="JUE88" s="1"/>
      <c r="JUF88" s="1"/>
      <c r="JUG88" s="1"/>
      <c r="JUH88" s="1"/>
      <c r="JUI88" s="1"/>
      <c r="JUJ88" s="1"/>
      <c r="JUK88" s="1"/>
      <c r="JUL88" s="1"/>
      <c r="JUM88" s="1"/>
      <c r="JUN88" s="1"/>
      <c r="JUO88" s="1"/>
      <c r="JUP88" s="1"/>
      <c r="JUQ88" s="1"/>
      <c r="JUR88" s="1"/>
      <c r="JUS88" s="1"/>
      <c r="JUT88" s="1"/>
      <c r="JUU88" s="1"/>
      <c r="JUV88" s="1"/>
      <c r="JUW88" s="1"/>
      <c r="JUX88" s="1"/>
      <c r="JUY88" s="1"/>
      <c r="JUZ88" s="1"/>
      <c r="JVA88" s="1"/>
      <c r="JVB88" s="1"/>
      <c r="JVC88" s="1"/>
      <c r="JVD88" s="1"/>
      <c r="JVE88" s="1"/>
      <c r="JVF88" s="1"/>
      <c r="JVG88" s="1"/>
      <c r="JVH88" s="1"/>
      <c r="JVI88" s="1"/>
      <c r="JVJ88" s="1"/>
      <c r="JVK88" s="1"/>
      <c r="JVL88" s="1"/>
      <c r="JVM88" s="1"/>
      <c r="JVN88" s="1"/>
      <c r="JVO88" s="1"/>
      <c r="JVP88" s="1"/>
      <c r="JVQ88" s="1"/>
      <c r="JVR88" s="1"/>
      <c r="JVS88" s="1"/>
      <c r="JVT88" s="1"/>
      <c r="JVU88" s="1"/>
      <c r="JVV88" s="1"/>
      <c r="JVW88" s="1"/>
      <c r="JVX88" s="1"/>
      <c r="JVY88" s="1"/>
      <c r="JVZ88" s="1"/>
      <c r="JWA88" s="1"/>
      <c r="JWB88" s="1"/>
      <c r="JWC88" s="1"/>
      <c r="JWD88" s="1"/>
      <c r="JWE88" s="1"/>
      <c r="JWF88" s="1"/>
      <c r="JWG88" s="1"/>
      <c r="JWH88" s="1"/>
      <c r="JWI88" s="1"/>
      <c r="JWJ88" s="1"/>
      <c r="JWK88" s="1"/>
      <c r="JWL88" s="1"/>
      <c r="JWM88" s="1"/>
      <c r="JWN88" s="1"/>
      <c r="JWO88" s="1"/>
      <c r="JWP88" s="1"/>
      <c r="JWQ88" s="1"/>
      <c r="JWR88" s="1"/>
      <c r="JWS88" s="1"/>
      <c r="JWT88" s="1"/>
      <c r="JWU88" s="1"/>
      <c r="JWV88" s="1"/>
      <c r="JWW88" s="1"/>
      <c r="JWX88" s="1"/>
      <c r="JWY88" s="1"/>
      <c r="JWZ88" s="1"/>
      <c r="JXA88" s="1"/>
      <c r="JXB88" s="1"/>
      <c r="JXC88" s="1"/>
      <c r="JXD88" s="1"/>
      <c r="JXE88" s="1"/>
      <c r="JXF88" s="1"/>
      <c r="JXG88" s="1"/>
      <c r="JXH88" s="1"/>
      <c r="JXI88" s="1"/>
      <c r="JXJ88" s="1"/>
      <c r="JXK88" s="1"/>
      <c r="JXL88" s="1"/>
      <c r="JXM88" s="1"/>
      <c r="JXN88" s="1"/>
      <c r="JXO88" s="1"/>
      <c r="JXP88" s="1"/>
      <c r="JXQ88" s="1"/>
      <c r="JXR88" s="1"/>
      <c r="JXS88" s="1"/>
      <c r="JXT88" s="1"/>
      <c r="JXU88" s="1"/>
      <c r="JXV88" s="1"/>
      <c r="JXW88" s="1"/>
      <c r="JXX88" s="1"/>
      <c r="JXY88" s="1"/>
      <c r="JXZ88" s="1"/>
      <c r="JYA88" s="1"/>
      <c r="JYB88" s="1"/>
      <c r="JYC88" s="1"/>
      <c r="JYD88" s="1"/>
      <c r="JYE88" s="1"/>
      <c r="JYF88" s="1"/>
      <c r="JYG88" s="1"/>
      <c r="JYH88" s="1"/>
      <c r="JYI88" s="1"/>
      <c r="JYJ88" s="1"/>
      <c r="JYK88" s="1"/>
      <c r="JYL88" s="1"/>
      <c r="JYM88" s="1"/>
      <c r="JYN88" s="1"/>
      <c r="JYO88" s="1"/>
      <c r="JYP88" s="1"/>
      <c r="JYQ88" s="1"/>
      <c r="JYR88" s="1"/>
      <c r="JYS88" s="1"/>
      <c r="JYT88" s="1"/>
      <c r="JYU88" s="1"/>
      <c r="JYV88" s="1"/>
      <c r="JYW88" s="1"/>
      <c r="JYX88" s="1"/>
      <c r="JYY88" s="1"/>
      <c r="JYZ88" s="1"/>
      <c r="JZA88" s="1"/>
      <c r="JZB88" s="1"/>
      <c r="JZC88" s="1"/>
      <c r="JZD88" s="1"/>
      <c r="JZE88" s="1"/>
      <c r="JZF88" s="1"/>
      <c r="JZG88" s="1"/>
      <c r="JZH88" s="1"/>
      <c r="JZI88" s="1"/>
      <c r="JZJ88" s="1"/>
      <c r="JZK88" s="1"/>
      <c r="JZL88" s="1"/>
      <c r="JZM88" s="1"/>
      <c r="JZN88" s="1"/>
      <c r="JZO88" s="1"/>
      <c r="JZP88" s="1"/>
      <c r="JZQ88" s="1"/>
      <c r="JZR88" s="1"/>
      <c r="JZS88" s="1"/>
      <c r="JZT88" s="1"/>
      <c r="JZU88" s="1"/>
      <c r="JZV88" s="1"/>
      <c r="JZW88" s="1"/>
      <c r="JZX88" s="1"/>
      <c r="JZY88" s="1"/>
      <c r="JZZ88" s="1"/>
      <c r="KAA88" s="1"/>
      <c r="KAB88" s="1"/>
      <c r="KAC88" s="1"/>
      <c r="KAD88" s="1"/>
      <c r="KAE88" s="1"/>
      <c r="KAF88" s="1"/>
      <c r="KAG88" s="1"/>
      <c r="KAH88" s="1"/>
      <c r="KAI88" s="1"/>
      <c r="KAJ88" s="1"/>
      <c r="KAK88" s="1"/>
      <c r="KAL88" s="1"/>
      <c r="KAM88" s="1"/>
      <c r="KAN88" s="1"/>
      <c r="KAO88" s="1"/>
      <c r="KAP88" s="1"/>
      <c r="KAQ88" s="1"/>
      <c r="KAR88" s="1"/>
      <c r="KAS88" s="1"/>
      <c r="KAT88" s="1"/>
      <c r="KAU88" s="1"/>
      <c r="KAV88" s="1"/>
      <c r="KAW88" s="1"/>
      <c r="KAX88" s="1"/>
      <c r="KAY88" s="1"/>
      <c r="KAZ88" s="1"/>
      <c r="KBA88" s="1"/>
      <c r="KBB88" s="1"/>
      <c r="KBC88" s="1"/>
      <c r="KBD88" s="1"/>
      <c r="KBE88" s="1"/>
      <c r="KBF88" s="1"/>
      <c r="KBG88" s="1"/>
      <c r="KBH88" s="1"/>
      <c r="KBI88" s="1"/>
      <c r="KBJ88" s="1"/>
      <c r="KBK88" s="1"/>
      <c r="KBL88" s="1"/>
      <c r="KBM88" s="1"/>
      <c r="KBN88" s="1"/>
      <c r="KBO88" s="1"/>
      <c r="KBP88" s="1"/>
      <c r="KBQ88" s="1"/>
      <c r="KBR88" s="1"/>
      <c r="KBS88" s="1"/>
      <c r="KBT88" s="1"/>
      <c r="KBU88" s="1"/>
      <c r="KBV88" s="1"/>
      <c r="KBW88" s="1"/>
      <c r="KBX88" s="1"/>
      <c r="KBY88" s="1"/>
      <c r="KBZ88" s="1"/>
      <c r="KCA88" s="1"/>
      <c r="KCB88" s="1"/>
      <c r="KCC88" s="1"/>
      <c r="KCD88" s="1"/>
      <c r="KCE88" s="1"/>
      <c r="KCF88" s="1"/>
      <c r="KCG88" s="1"/>
      <c r="KCH88" s="1"/>
      <c r="KCI88" s="1"/>
      <c r="KCJ88" s="1"/>
      <c r="KCK88" s="1"/>
      <c r="KCL88" s="1"/>
      <c r="KCM88" s="1"/>
      <c r="KCN88" s="1"/>
      <c r="KCO88" s="1"/>
      <c r="KCP88" s="1"/>
      <c r="KCQ88" s="1"/>
      <c r="KCR88" s="1"/>
      <c r="KCS88" s="1"/>
      <c r="KCT88" s="1"/>
      <c r="KCU88" s="1"/>
      <c r="KCV88" s="1"/>
      <c r="KCW88" s="1"/>
      <c r="KCX88" s="1"/>
      <c r="KCY88" s="1"/>
      <c r="KCZ88" s="1"/>
      <c r="KDA88" s="1"/>
      <c r="KDB88" s="1"/>
      <c r="KDC88" s="1"/>
      <c r="KDD88" s="1"/>
      <c r="KDE88" s="1"/>
      <c r="KDF88" s="1"/>
      <c r="KDG88" s="1"/>
      <c r="KDH88" s="1"/>
      <c r="KDI88" s="1"/>
      <c r="KDJ88" s="1"/>
      <c r="KDK88" s="1"/>
      <c r="KDL88" s="1"/>
      <c r="KDM88" s="1"/>
      <c r="KDN88" s="1"/>
      <c r="KDO88" s="1"/>
      <c r="KDP88" s="1"/>
      <c r="KDQ88" s="1"/>
      <c r="KDR88" s="1"/>
      <c r="KDS88" s="1"/>
      <c r="KDT88" s="1"/>
      <c r="KDU88" s="1"/>
      <c r="KDV88" s="1"/>
      <c r="KDW88" s="1"/>
      <c r="KDX88" s="1"/>
      <c r="KDY88" s="1"/>
      <c r="KDZ88" s="1"/>
      <c r="KEA88" s="1"/>
      <c r="KEB88" s="1"/>
      <c r="KEC88" s="1"/>
      <c r="KED88" s="1"/>
      <c r="KEE88" s="1"/>
      <c r="KEF88" s="1"/>
      <c r="KEG88" s="1"/>
      <c r="KEH88" s="1"/>
      <c r="KEI88" s="1"/>
      <c r="KEJ88" s="1"/>
      <c r="KEK88" s="1"/>
      <c r="KEL88" s="1"/>
      <c r="KEM88" s="1"/>
      <c r="KEN88" s="1"/>
      <c r="KEO88" s="1"/>
      <c r="KEP88" s="1"/>
      <c r="KEQ88" s="1"/>
      <c r="KER88" s="1"/>
      <c r="KES88" s="1"/>
      <c r="KET88" s="1"/>
      <c r="KEU88" s="1"/>
      <c r="KEV88" s="1"/>
      <c r="KEW88" s="1"/>
      <c r="KEX88" s="1"/>
      <c r="KEY88" s="1"/>
      <c r="KEZ88" s="1"/>
      <c r="KFA88" s="1"/>
      <c r="KFB88" s="1"/>
      <c r="KFC88" s="1"/>
      <c r="KFD88" s="1"/>
      <c r="KFE88" s="1"/>
      <c r="KFF88" s="1"/>
      <c r="KFG88" s="1"/>
      <c r="KFH88" s="1"/>
      <c r="KFI88" s="1"/>
      <c r="KFJ88" s="1"/>
      <c r="KFK88" s="1"/>
      <c r="KFL88" s="1"/>
      <c r="KFM88" s="1"/>
      <c r="KFN88" s="1"/>
      <c r="KFO88" s="1"/>
      <c r="KFP88" s="1"/>
      <c r="KFQ88" s="1"/>
      <c r="KFR88" s="1"/>
      <c r="KFS88" s="1"/>
      <c r="KFT88" s="1"/>
      <c r="KFU88" s="1"/>
      <c r="KFV88" s="1"/>
      <c r="KFW88" s="1"/>
      <c r="KFX88" s="1"/>
      <c r="KFY88" s="1"/>
      <c r="KFZ88" s="1"/>
      <c r="KGA88" s="1"/>
      <c r="KGB88" s="1"/>
      <c r="KGC88" s="1"/>
      <c r="KGD88" s="1"/>
      <c r="KGE88" s="1"/>
      <c r="KGF88" s="1"/>
      <c r="KGG88" s="1"/>
      <c r="KGH88" s="1"/>
      <c r="KGI88" s="1"/>
      <c r="KGJ88" s="1"/>
      <c r="KGK88" s="1"/>
      <c r="KGL88" s="1"/>
      <c r="KGM88" s="1"/>
      <c r="KGN88" s="1"/>
      <c r="KGO88" s="1"/>
      <c r="KGP88" s="1"/>
      <c r="KGQ88" s="1"/>
      <c r="KGR88" s="1"/>
      <c r="KGS88" s="1"/>
      <c r="KGT88" s="1"/>
      <c r="KGU88" s="1"/>
      <c r="KGV88" s="1"/>
      <c r="KGW88" s="1"/>
      <c r="KGX88" s="1"/>
      <c r="KGY88" s="1"/>
      <c r="KGZ88" s="1"/>
      <c r="KHA88" s="1"/>
      <c r="KHB88" s="1"/>
      <c r="KHC88" s="1"/>
      <c r="KHD88" s="1"/>
      <c r="KHE88" s="1"/>
      <c r="KHF88" s="1"/>
      <c r="KHG88" s="1"/>
      <c r="KHH88" s="1"/>
      <c r="KHI88" s="1"/>
      <c r="KHJ88" s="1"/>
      <c r="KHK88" s="1"/>
      <c r="KHL88" s="1"/>
      <c r="KHM88" s="1"/>
      <c r="KHN88" s="1"/>
      <c r="KHO88" s="1"/>
      <c r="KHP88" s="1"/>
      <c r="KHQ88" s="1"/>
      <c r="KHR88" s="1"/>
      <c r="KHS88" s="1"/>
      <c r="KHT88" s="1"/>
      <c r="KHU88" s="1"/>
      <c r="KHV88" s="1"/>
      <c r="KHW88" s="1"/>
      <c r="KHX88" s="1"/>
      <c r="KHY88" s="1"/>
      <c r="KHZ88" s="1"/>
      <c r="KIA88" s="1"/>
      <c r="KIB88" s="1"/>
      <c r="KIC88" s="1"/>
      <c r="KID88" s="1"/>
      <c r="KIE88" s="1"/>
      <c r="KIF88" s="1"/>
      <c r="KIG88" s="1"/>
      <c r="KIH88" s="1"/>
      <c r="KII88" s="1"/>
      <c r="KIJ88" s="1"/>
      <c r="KIK88" s="1"/>
      <c r="KIL88" s="1"/>
      <c r="KIM88" s="1"/>
      <c r="KIN88" s="1"/>
      <c r="KIO88" s="1"/>
      <c r="KIP88" s="1"/>
      <c r="KIQ88" s="1"/>
      <c r="KIR88" s="1"/>
      <c r="KIS88" s="1"/>
      <c r="KIT88" s="1"/>
      <c r="KIU88" s="1"/>
      <c r="KIV88" s="1"/>
      <c r="KIW88" s="1"/>
      <c r="KIX88" s="1"/>
      <c r="KIY88" s="1"/>
      <c r="KIZ88" s="1"/>
      <c r="KJA88" s="1"/>
      <c r="KJB88" s="1"/>
      <c r="KJC88" s="1"/>
      <c r="KJD88" s="1"/>
      <c r="KJE88" s="1"/>
      <c r="KJF88" s="1"/>
      <c r="KJG88" s="1"/>
      <c r="KJH88" s="1"/>
      <c r="KJI88" s="1"/>
      <c r="KJJ88" s="1"/>
      <c r="KJK88" s="1"/>
      <c r="KJL88" s="1"/>
      <c r="KJM88" s="1"/>
      <c r="KJN88" s="1"/>
      <c r="KJO88" s="1"/>
      <c r="KJP88" s="1"/>
      <c r="KJQ88" s="1"/>
      <c r="KJR88" s="1"/>
      <c r="KJS88" s="1"/>
      <c r="KJT88" s="1"/>
      <c r="KJU88" s="1"/>
      <c r="KJV88" s="1"/>
      <c r="KJW88" s="1"/>
      <c r="KJX88" s="1"/>
      <c r="KJY88" s="1"/>
      <c r="KJZ88" s="1"/>
      <c r="KKA88" s="1"/>
      <c r="KKB88" s="1"/>
      <c r="KKC88" s="1"/>
      <c r="KKD88" s="1"/>
      <c r="KKE88" s="1"/>
      <c r="KKF88" s="1"/>
      <c r="KKG88" s="1"/>
      <c r="KKH88" s="1"/>
      <c r="KKI88" s="1"/>
      <c r="KKJ88" s="1"/>
      <c r="KKK88" s="1"/>
      <c r="KKL88" s="1"/>
      <c r="KKM88" s="1"/>
      <c r="KKN88" s="1"/>
      <c r="KKO88" s="1"/>
      <c r="KKP88" s="1"/>
      <c r="KKQ88" s="1"/>
      <c r="KKR88" s="1"/>
      <c r="KKS88" s="1"/>
      <c r="KKT88" s="1"/>
      <c r="KKU88" s="1"/>
      <c r="KKV88" s="1"/>
      <c r="KKW88" s="1"/>
      <c r="KKX88" s="1"/>
      <c r="KKY88" s="1"/>
      <c r="KKZ88" s="1"/>
      <c r="KLA88" s="1"/>
      <c r="KLB88" s="1"/>
      <c r="KLC88" s="1"/>
      <c r="KLD88" s="1"/>
      <c r="KLE88" s="1"/>
      <c r="KLF88" s="1"/>
      <c r="KLG88" s="1"/>
      <c r="KLH88" s="1"/>
      <c r="KLI88" s="1"/>
      <c r="KLJ88" s="1"/>
      <c r="KLK88" s="1"/>
      <c r="KLL88" s="1"/>
      <c r="KLM88" s="1"/>
      <c r="KLN88" s="1"/>
      <c r="KLO88" s="1"/>
      <c r="KLP88" s="1"/>
      <c r="KLQ88" s="1"/>
      <c r="KLR88" s="1"/>
      <c r="KLS88" s="1"/>
      <c r="KLT88" s="1"/>
      <c r="KLU88" s="1"/>
      <c r="KLV88" s="1"/>
      <c r="KLW88" s="1"/>
      <c r="KLX88" s="1"/>
      <c r="KLY88" s="1"/>
      <c r="KLZ88" s="1"/>
      <c r="KMA88" s="1"/>
      <c r="KMB88" s="1"/>
      <c r="KMC88" s="1"/>
      <c r="KMD88" s="1"/>
      <c r="KME88" s="1"/>
      <c r="KMF88" s="1"/>
      <c r="KMG88" s="1"/>
      <c r="KMH88" s="1"/>
      <c r="KMI88" s="1"/>
      <c r="KMJ88" s="1"/>
      <c r="KMK88" s="1"/>
      <c r="KML88" s="1"/>
      <c r="KMM88" s="1"/>
      <c r="KMN88" s="1"/>
      <c r="KMO88" s="1"/>
      <c r="KMP88" s="1"/>
      <c r="KMQ88" s="1"/>
      <c r="KMR88" s="1"/>
      <c r="KMS88" s="1"/>
      <c r="KMT88" s="1"/>
      <c r="KMU88" s="1"/>
      <c r="KMV88" s="1"/>
      <c r="KMW88" s="1"/>
      <c r="KMX88" s="1"/>
      <c r="KMY88" s="1"/>
      <c r="KMZ88" s="1"/>
      <c r="KNA88" s="1"/>
      <c r="KNB88" s="1"/>
      <c r="KNC88" s="1"/>
      <c r="KND88" s="1"/>
      <c r="KNE88" s="1"/>
      <c r="KNF88" s="1"/>
      <c r="KNG88" s="1"/>
      <c r="KNH88" s="1"/>
      <c r="KNI88" s="1"/>
      <c r="KNJ88" s="1"/>
      <c r="KNK88" s="1"/>
      <c r="KNL88" s="1"/>
      <c r="KNM88" s="1"/>
      <c r="KNN88" s="1"/>
      <c r="KNO88" s="1"/>
      <c r="KNP88" s="1"/>
      <c r="KNQ88" s="1"/>
      <c r="KNR88" s="1"/>
      <c r="KNS88" s="1"/>
      <c r="KNT88" s="1"/>
      <c r="KNU88" s="1"/>
      <c r="KNV88" s="1"/>
      <c r="KNW88" s="1"/>
      <c r="KNX88" s="1"/>
      <c r="KNY88" s="1"/>
      <c r="KNZ88" s="1"/>
      <c r="KOA88" s="1"/>
      <c r="KOB88" s="1"/>
      <c r="KOC88" s="1"/>
      <c r="KOD88" s="1"/>
      <c r="KOE88" s="1"/>
      <c r="KOF88" s="1"/>
      <c r="KOG88" s="1"/>
      <c r="KOH88" s="1"/>
      <c r="KOI88" s="1"/>
      <c r="KOJ88" s="1"/>
      <c r="KOK88" s="1"/>
      <c r="KOL88" s="1"/>
      <c r="KOM88" s="1"/>
      <c r="KON88" s="1"/>
      <c r="KOO88" s="1"/>
      <c r="KOP88" s="1"/>
      <c r="KOQ88" s="1"/>
      <c r="KOR88" s="1"/>
      <c r="KOS88" s="1"/>
      <c r="KOT88" s="1"/>
      <c r="KOU88" s="1"/>
      <c r="KOV88" s="1"/>
      <c r="KOW88" s="1"/>
      <c r="KOX88" s="1"/>
      <c r="KOY88" s="1"/>
      <c r="KOZ88" s="1"/>
      <c r="KPA88" s="1"/>
      <c r="KPB88" s="1"/>
      <c r="KPC88" s="1"/>
      <c r="KPD88" s="1"/>
      <c r="KPE88" s="1"/>
      <c r="KPF88" s="1"/>
      <c r="KPG88" s="1"/>
      <c r="KPH88" s="1"/>
      <c r="KPI88" s="1"/>
      <c r="KPJ88" s="1"/>
      <c r="KPK88" s="1"/>
      <c r="KPL88" s="1"/>
      <c r="KPM88" s="1"/>
      <c r="KPN88" s="1"/>
      <c r="KPO88" s="1"/>
      <c r="KPP88" s="1"/>
      <c r="KPQ88" s="1"/>
      <c r="KPR88" s="1"/>
      <c r="KPS88" s="1"/>
      <c r="KPT88" s="1"/>
      <c r="KPU88" s="1"/>
      <c r="KPV88" s="1"/>
      <c r="KPW88" s="1"/>
      <c r="KPX88" s="1"/>
      <c r="KPY88" s="1"/>
      <c r="KPZ88" s="1"/>
      <c r="KQA88" s="1"/>
      <c r="KQB88" s="1"/>
      <c r="KQC88" s="1"/>
      <c r="KQD88" s="1"/>
      <c r="KQE88" s="1"/>
      <c r="KQF88" s="1"/>
      <c r="KQG88" s="1"/>
      <c r="KQH88" s="1"/>
      <c r="KQI88" s="1"/>
      <c r="KQJ88" s="1"/>
      <c r="KQK88" s="1"/>
      <c r="KQL88" s="1"/>
      <c r="KQM88" s="1"/>
      <c r="KQN88" s="1"/>
      <c r="KQO88" s="1"/>
      <c r="KQP88" s="1"/>
      <c r="KQQ88" s="1"/>
      <c r="KQR88" s="1"/>
      <c r="KQS88" s="1"/>
      <c r="KQT88" s="1"/>
      <c r="KQU88" s="1"/>
      <c r="KQV88" s="1"/>
      <c r="KQW88" s="1"/>
      <c r="KQX88" s="1"/>
      <c r="KQY88" s="1"/>
      <c r="KQZ88" s="1"/>
      <c r="KRA88" s="1"/>
      <c r="KRB88" s="1"/>
      <c r="KRC88" s="1"/>
      <c r="KRD88" s="1"/>
      <c r="KRE88" s="1"/>
      <c r="KRF88" s="1"/>
      <c r="KRG88" s="1"/>
      <c r="KRH88" s="1"/>
      <c r="KRI88" s="1"/>
      <c r="KRJ88" s="1"/>
      <c r="KRK88" s="1"/>
      <c r="KRL88" s="1"/>
      <c r="KRM88" s="1"/>
      <c r="KRN88" s="1"/>
      <c r="KRO88" s="1"/>
      <c r="KRP88" s="1"/>
      <c r="KRQ88" s="1"/>
      <c r="KRR88" s="1"/>
      <c r="KRS88" s="1"/>
      <c r="KRT88" s="1"/>
      <c r="KRU88" s="1"/>
      <c r="KRV88" s="1"/>
      <c r="KRW88" s="1"/>
      <c r="KRX88" s="1"/>
      <c r="KRY88" s="1"/>
      <c r="KRZ88" s="1"/>
      <c r="KSA88" s="1"/>
      <c r="KSB88" s="1"/>
      <c r="KSC88" s="1"/>
      <c r="KSD88" s="1"/>
      <c r="KSE88" s="1"/>
      <c r="KSF88" s="1"/>
      <c r="KSG88" s="1"/>
      <c r="KSH88" s="1"/>
      <c r="KSI88" s="1"/>
      <c r="KSJ88" s="1"/>
      <c r="KSK88" s="1"/>
      <c r="KSL88" s="1"/>
      <c r="KSM88" s="1"/>
      <c r="KSN88" s="1"/>
      <c r="KSO88" s="1"/>
      <c r="KSP88" s="1"/>
      <c r="KSQ88" s="1"/>
      <c r="KSR88" s="1"/>
      <c r="KSS88" s="1"/>
      <c r="KST88" s="1"/>
      <c r="KSU88" s="1"/>
      <c r="KSV88" s="1"/>
      <c r="KSW88" s="1"/>
      <c r="KSX88" s="1"/>
      <c r="KSY88" s="1"/>
      <c r="KSZ88" s="1"/>
      <c r="KTA88" s="1"/>
      <c r="KTB88" s="1"/>
      <c r="KTC88" s="1"/>
      <c r="KTD88" s="1"/>
      <c r="KTE88" s="1"/>
      <c r="KTF88" s="1"/>
      <c r="KTG88" s="1"/>
      <c r="KTH88" s="1"/>
      <c r="KTI88" s="1"/>
      <c r="KTJ88" s="1"/>
      <c r="KTK88" s="1"/>
      <c r="KTL88" s="1"/>
      <c r="KTM88" s="1"/>
      <c r="KTN88" s="1"/>
      <c r="KTO88" s="1"/>
      <c r="KTP88" s="1"/>
      <c r="KTQ88" s="1"/>
      <c r="KTR88" s="1"/>
      <c r="KTS88" s="1"/>
      <c r="KTT88" s="1"/>
      <c r="KTU88" s="1"/>
      <c r="KTV88" s="1"/>
      <c r="KTW88" s="1"/>
      <c r="KTX88" s="1"/>
      <c r="KTY88" s="1"/>
      <c r="KTZ88" s="1"/>
      <c r="KUA88" s="1"/>
      <c r="KUB88" s="1"/>
      <c r="KUC88" s="1"/>
      <c r="KUD88" s="1"/>
      <c r="KUE88" s="1"/>
      <c r="KUF88" s="1"/>
      <c r="KUG88" s="1"/>
      <c r="KUH88" s="1"/>
      <c r="KUI88" s="1"/>
      <c r="KUJ88" s="1"/>
      <c r="KUK88" s="1"/>
      <c r="KUL88" s="1"/>
      <c r="KUM88" s="1"/>
      <c r="KUN88" s="1"/>
      <c r="KUO88" s="1"/>
      <c r="KUP88" s="1"/>
      <c r="KUQ88" s="1"/>
      <c r="KUR88" s="1"/>
      <c r="KUS88" s="1"/>
      <c r="KUT88" s="1"/>
      <c r="KUU88" s="1"/>
      <c r="KUV88" s="1"/>
      <c r="KUW88" s="1"/>
      <c r="KUX88" s="1"/>
      <c r="KUY88" s="1"/>
      <c r="KUZ88" s="1"/>
      <c r="KVA88" s="1"/>
      <c r="KVB88" s="1"/>
      <c r="KVC88" s="1"/>
      <c r="KVD88" s="1"/>
      <c r="KVE88" s="1"/>
      <c r="KVF88" s="1"/>
      <c r="KVG88" s="1"/>
      <c r="KVH88" s="1"/>
      <c r="KVI88" s="1"/>
      <c r="KVJ88" s="1"/>
      <c r="KVK88" s="1"/>
      <c r="KVL88" s="1"/>
      <c r="KVM88" s="1"/>
      <c r="KVN88" s="1"/>
      <c r="KVO88" s="1"/>
      <c r="KVP88" s="1"/>
      <c r="KVQ88" s="1"/>
      <c r="KVR88" s="1"/>
      <c r="KVS88" s="1"/>
      <c r="KVT88" s="1"/>
      <c r="KVU88" s="1"/>
      <c r="KVV88" s="1"/>
      <c r="KVW88" s="1"/>
      <c r="KVX88" s="1"/>
      <c r="KVY88" s="1"/>
      <c r="KVZ88" s="1"/>
      <c r="KWA88" s="1"/>
      <c r="KWB88" s="1"/>
      <c r="KWC88" s="1"/>
      <c r="KWD88" s="1"/>
      <c r="KWE88" s="1"/>
      <c r="KWF88" s="1"/>
      <c r="KWG88" s="1"/>
      <c r="KWH88" s="1"/>
      <c r="KWI88" s="1"/>
      <c r="KWJ88" s="1"/>
      <c r="KWK88" s="1"/>
      <c r="KWL88" s="1"/>
      <c r="KWM88" s="1"/>
      <c r="KWN88" s="1"/>
      <c r="KWO88" s="1"/>
      <c r="KWP88" s="1"/>
      <c r="KWQ88" s="1"/>
      <c r="KWR88" s="1"/>
      <c r="KWS88" s="1"/>
      <c r="KWT88" s="1"/>
      <c r="KWU88" s="1"/>
      <c r="KWV88" s="1"/>
      <c r="KWW88" s="1"/>
      <c r="KWX88" s="1"/>
      <c r="KWY88" s="1"/>
      <c r="KWZ88" s="1"/>
      <c r="KXA88" s="1"/>
      <c r="KXB88" s="1"/>
      <c r="KXC88" s="1"/>
      <c r="KXD88" s="1"/>
      <c r="KXE88" s="1"/>
      <c r="KXF88" s="1"/>
      <c r="KXG88" s="1"/>
      <c r="KXH88" s="1"/>
      <c r="KXI88" s="1"/>
      <c r="KXJ88" s="1"/>
      <c r="KXK88" s="1"/>
      <c r="KXL88" s="1"/>
      <c r="KXM88" s="1"/>
      <c r="KXN88" s="1"/>
      <c r="KXO88" s="1"/>
      <c r="KXP88" s="1"/>
      <c r="KXQ88" s="1"/>
      <c r="KXR88" s="1"/>
      <c r="KXS88" s="1"/>
      <c r="KXT88" s="1"/>
      <c r="KXU88" s="1"/>
      <c r="KXV88" s="1"/>
      <c r="KXW88" s="1"/>
      <c r="KXX88" s="1"/>
      <c r="KXY88" s="1"/>
      <c r="KXZ88" s="1"/>
      <c r="KYA88" s="1"/>
      <c r="KYB88" s="1"/>
      <c r="KYC88" s="1"/>
      <c r="KYD88" s="1"/>
      <c r="KYE88" s="1"/>
      <c r="KYF88" s="1"/>
      <c r="KYG88" s="1"/>
      <c r="KYH88" s="1"/>
      <c r="KYI88" s="1"/>
      <c r="KYJ88" s="1"/>
      <c r="KYK88" s="1"/>
      <c r="KYL88" s="1"/>
      <c r="KYM88" s="1"/>
      <c r="KYN88" s="1"/>
      <c r="KYO88" s="1"/>
      <c r="KYP88" s="1"/>
      <c r="KYQ88" s="1"/>
      <c r="KYR88" s="1"/>
      <c r="KYS88" s="1"/>
      <c r="KYT88" s="1"/>
      <c r="KYU88" s="1"/>
      <c r="KYV88" s="1"/>
      <c r="KYW88" s="1"/>
      <c r="KYX88" s="1"/>
      <c r="KYY88" s="1"/>
      <c r="KYZ88" s="1"/>
      <c r="KZA88" s="1"/>
      <c r="KZB88" s="1"/>
      <c r="KZC88" s="1"/>
      <c r="KZD88" s="1"/>
      <c r="KZE88" s="1"/>
      <c r="KZF88" s="1"/>
      <c r="KZG88" s="1"/>
      <c r="KZH88" s="1"/>
      <c r="KZI88" s="1"/>
      <c r="KZJ88" s="1"/>
      <c r="KZK88" s="1"/>
      <c r="KZL88" s="1"/>
      <c r="KZM88" s="1"/>
      <c r="KZN88" s="1"/>
      <c r="KZO88" s="1"/>
      <c r="KZP88" s="1"/>
      <c r="KZQ88" s="1"/>
      <c r="KZR88" s="1"/>
      <c r="KZS88" s="1"/>
      <c r="KZT88" s="1"/>
      <c r="KZU88" s="1"/>
      <c r="KZV88" s="1"/>
      <c r="KZW88" s="1"/>
      <c r="KZX88" s="1"/>
      <c r="KZY88" s="1"/>
      <c r="KZZ88" s="1"/>
      <c r="LAA88" s="1"/>
      <c r="LAB88" s="1"/>
      <c r="LAC88" s="1"/>
      <c r="LAD88" s="1"/>
      <c r="LAE88" s="1"/>
      <c r="LAF88" s="1"/>
      <c r="LAG88" s="1"/>
      <c r="LAH88" s="1"/>
      <c r="LAI88" s="1"/>
      <c r="LAJ88" s="1"/>
      <c r="LAK88" s="1"/>
      <c r="LAL88" s="1"/>
      <c r="LAM88" s="1"/>
      <c r="LAN88" s="1"/>
      <c r="LAO88" s="1"/>
      <c r="LAP88" s="1"/>
      <c r="LAQ88" s="1"/>
      <c r="LAR88" s="1"/>
      <c r="LAS88" s="1"/>
      <c r="LAT88" s="1"/>
      <c r="LAU88" s="1"/>
      <c r="LAV88" s="1"/>
      <c r="LAW88" s="1"/>
      <c r="LAX88" s="1"/>
      <c r="LAY88" s="1"/>
      <c r="LAZ88" s="1"/>
      <c r="LBA88" s="1"/>
      <c r="LBB88" s="1"/>
      <c r="LBC88" s="1"/>
      <c r="LBD88" s="1"/>
      <c r="LBE88" s="1"/>
      <c r="LBF88" s="1"/>
      <c r="LBG88" s="1"/>
      <c r="LBH88" s="1"/>
      <c r="LBI88" s="1"/>
      <c r="LBJ88" s="1"/>
      <c r="LBK88" s="1"/>
      <c r="LBL88" s="1"/>
      <c r="LBM88" s="1"/>
      <c r="LBN88" s="1"/>
      <c r="LBO88" s="1"/>
      <c r="LBP88" s="1"/>
      <c r="LBQ88" s="1"/>
      <c r="LBR88" s="1"/>
      <c r="LBS88" s="1"/>
      <c r="LBT88" s="1"/>
      <c r="LBU88" s="1"/>
      <c r="LBV88" s="1"/>
      <c r="LBW88" s="1"/>
      <c r="LBX88" s="1"/>
      <c r="LBY88" s="1"/>
      <c r="LBZ88" s="1"/>
      <c r="LCA88" s="1"/>
      <c r="LCB88" s="1"/>
      <c r="LCC88" s="1"/>
      <c r="LCD88" s="1"/>
      <c r="LCE88" s="1"/>
      <c r="LCF88" s="1"/>
      <c r="LCG88" s="1"/>
      <c r="LCH88" s="1"/>
      <c r="LCI88" s="1"/>
      <c r="LCJ88" s="1"/>
      <c r="LCK88" s="1"/>
      <c r="LCL88" s="1"/>
      <c r="LCM88" s="1"/>
      <c r="LCN88" s="1"/>
      <c r="LCO88" s="1"/>
      <c r="LCP88" s="1"/>
      <c r="LCQ88" s="1"/>
      <c r="LCR88" s="1"/>
      <c r="LCS88" s="1"/>
      <c r="LCT88" s="1"/>
      <c r="LCU88" s="1"/>
      <c r="LCV88" s="1"/>
      <c r="LCW88" s="1"/>
      <c r="LCX88" s="1"/>
      <c r="LCY88" s="1"/>
      <c r="LCZ88" s="1"/>
      <c r="LDA88" s="1"/>
      <c r="LDB88" s="1"/>
      <c r="LDC88" s="1"/>
      <c r="LDD88" s="1"/>
      <c r="LDE88" s="1"/>
      <c r="LDF88" s="1"/>
      <c r="LDG88" s="1"/>
      <c r="LDH88" s="1"/>
      <c r="LDI88" s="1"/>
      <c r="LDJ88" s="1"/>
      <c r="LDK88" s="1"/>
      <c r="LDL88" s="1"/>
      <c r="LDM88" s="1"/>
      <c r="LDN88" s="1"/>
      <c r="LDO88" s="1"/>
      <c r="LDP88" s="1"/>
      <c r="LDQ88" s="1"/>
      <c r="LDR88" s="1"/>
      <c r="LDS88" s="1"/>
      <c r="LDT88" s="1"/>
      <c r="LDU88" s="1"/>
      <c r="LDV88" s="1"/>
      <c r="LDW88" s="1"/>
      <c r="LDX88" s="1"/>
      <c r="LDY88" s="1"/>
      <c r="LDZ88" s="1"/>
      <c r="LEA88" s="1"/>
      <c r="LEB88" s="1"/>
      <c r="LEC88" s="1"/>
      <c r="LED88" s="1"/>
      <c r="LEE88" s="1"/>
      <c r="LEF88" s="1"/>
      <c r="LEG88" s="1"/>
      <c r="LEH88" s="1"/>
      <c r="LEI88" s="1"/>
      <c r="LEJ88" s="1"/>
      <c r="LEK88" s="1"/>
      <c r="LEL88" s="1"/>
      <c r="LEM88" s="1"/>
      <c r="LEN88" s="1"/>
      <c r="LEO88" s="1"/>
      <c r="LEP88" s="1"/>
      <c r="LEQ88" s="1"/>
      <c r="LER88" s="1"/>
      <c r="LES88" s="1"/>
      <c r="LET88" s="1"/>
      <c r="LEU88" s="1"/>
      <c r="LEV88" s="1"/>
      <c r="LEW88" s="1"/>
      <c r="LEX88" s="1"/>
      <c r="LEY88" s="1"/>
      <c r="LEZ88" s="1"/>
      <c r="LFA88" s="1"/>
      <c r="LFB88" s="1"/>
      <c r="LFC88" s="1"/>
      <c r="LFD88" s="1"/>
      <c r="LFE88" s="1"/>
      <c r="LFF88" s="1"/>
      <c r="LFG88" s="1"/>
      <c r="LFH88" s="1"/>
      <c r="LFI88" s="1"/>
      <c r="LFJ88" s="1"/>
      <c r="LFK88" s="1"/>
      <c r="LFL88" s="1"/>
      <c r="LFM88" s="1"/>
      <c r="LFN88" s="1"/>
      <c r="LFO88" s="1"/>
      <c r="LFP88" s="1"/>
      <c r="LFQ88" s="1"/>
      <c r="LFR88" s="1"/>
      <c r="LFS88" s="1"/>
      <c r="LFT88" s="1"/>
      <c r="LFU88" s="1"/>
      <c r="LFV88" s="1"/>
      <c r="LFW88" s="1"/>
      <c r="LFX88" s="1"/>
      <c r="LFY88" s="1"/>
      <c r="LFZ88" s="1"/>
      <c r="LGA88" s="1"/>
      <c r="LGB88" s="1"/>
      <c r="LGC88" s="1"/>
      <c r="LGD88" s="1"/>
      <c r="LGE88" s="1"/>
      <c r="LGF88" s="1"/>
      <c r="LGG88" s="1"/>
      <c r="LGH88" s="1"/>
      <c r="LGI88" s="1"/>
      <c r="LGJ88" s="1"/>
      <c r="LGK88" s="1"/>
      <c r="LGL88" s="1"/>
      <c r="LGM88" s="1"/>
      <c r="LGN88" s="1"/>
      <c r="LGO88" s="1"/>
      <c r="LGP88" s="1"/>
      <c r="LGQ88" s="1"/>
      <c r="LGR88" s="1"/>
      <c r="LGS88" s="1"/>
      <c r="LGT88" s="1"/>
      <c r="LGU88" s="1"/>
      <c r="LGV88" s="1"/>
      <c r="LGW88" s="1"/>
      <c r="LGX88" s="1"/>
      <c r="LGY88" s="1"/>
      <c r="LGZ88" s="1"/>
      <c r="LHA88" s="1"/>
      <c r="LHB88" s="1"/>
      <c r="LHC88" s="1"/>
      <c r="LHD88" s="1"/>
      <c r="LHE88" s="1"/>
      <c r="LHF88" s="1"/>
      <c r="LHG88" s="1"/>
      <c r="LHH88" s="1"/>
      <c r="LHI88" s="1"/>
      <c r="LHJ88" s="1"/>
      <c r="LHK88" s="1"/>
      <c r="LHL88" s="1"/>
      <c r="LHM88" s="1"/>
      <c r="LHN88" s="1"/>
      <c r="LHO88" s="1"/>
      <c r="LHP88" s="1"/>
      <c r="LHQ88" s="1"/>
      <c r="LHR88" s="1"/>
      <c r="LHS88" s="1"/>
      <c r="LHT88" s="1"/>
      <c r="LHU88" s="1"/>
      <c r="LHV88" s="1"/>
      <c r="LHW88" s="1"/>
      <c r="LHX88" s="1"/>
      <c r="LHY88" s="1"/>
      <c r="LHZ88" s="1"/>
      <c r="LIA88" s="1"/>
      <c r="LIB88" s="1"/>
      <c r="LIC88" s="1"/>
      <c r="LID88" s="1"/>
      <c r="LIE88" s="1"/>
      <c r="LIF88" s="1"/>
      <c r="LIG88" s="1"/>
      <c r="LIH88" s="1"/>
      <c r="LII88" s="1"/>
      <c r="LIJ88" s="1"/>
      <c r="LIK88" s="1"/>
      <c r="LIL88" s="1"/>
      <c r="LIM88" s="1"/>
      <c r="LIN88" s="1"/>
      <c r="LIO88" s="1"/>
      <c r="LIP88" s="1"/>
      <c r="LIQ88" s="1"/>
      <c r="LIR88" s="1"/>
      <c r="LIS88" s="1"/>
      <c r="LIT88" s="1"/>
      <c r="LIU88" s="1"/>
      <c r="LIV88" s="1"/>
      <c r="LIW88" s="1"/>
      <c r="LIX88" s="1"/>
      <c r="LIY88" s="1"/>
      <c r="LIZ88" s="1"/>
      <c r="LJA88" s="1"/>
      <c r="LJB88" s="1"/>
      <c r="LJC88" s="1"/>
      <c r="LJD88" s="1"/>
      <c r="LJE88" s="1"/>
      <c r="LJF88" s="1"/>
      <c r="LJG88" s="1"/>
      <c r="LJH88" s="1"/>
      <c r="LJI88" s="1"/>
      <c r="LJJ88" s="1"/>
      <c r="LJK88" s="1"/>
      <c r="LJL88" s="1"/>
      <c r="LJM88" s="1"/>
      <c r="LJN88" s="1"/>
      <c r="LJO88" s="1"/>
      <c r="LJP88" s="1"/>
      <c r="LJQ88" s="1"/>
      <c r="LJR88" s="1"/>
      <c r="LJS88" s="1"/>
      <c r="LJT88" s="1"/>
      <c r="LJU88" s="1"/>
      <c r="LJV88" s="1"/>
      <c r="LJW88" s="1"/>
      <c r="LJX88" s="1"/>
      <c r="LJY88" s="1"/>
      <c r="LJZ88" s="1"/>
      <c r="LKA88" s="1"/>
      <c r="LKB88" s="1"/>
      <c r="LKC88" s="1"/>
      <c r="LKD88" s="1"/>
      <c r="LKE88" s="1"/>
      <c r="LKF88" s="1"/>
      <c r="LKG88" s="1"/>
      <c r="LKH88" s="1"/>
      <c r="LKI88" s="1"/>
      <c r="LKJ88" s="1"/>
      <c r="LKK88" s="1"/>
      <c r="LKL88" s="1"/>
      <c r="LKM88" s="1"/>
      <c r="LKN88" s="1"/>
      <c r="LKO88" s="1"/>
      <c r="LKP88" s="1"/>
      <c r="LKQ88" s="1"/>
      <c r="LKR88" s="1"/>
      <c r="LKS88" s="1"/>
      <c r="LKT88" s="1"/>
      <c r="LKU88" s="1"/>
      <c r="LKV88" s="1"/>
      <c r="LKW88" s="1"/>
      <c r="LKX88" s="1"/>
      <c r="LKY88" s="1"/>
      <c r="LKZ88" s="1"/>
      <c r="LLA88" s="1"/>
      <c r="LLB88" s="1"/>
      <c r="LLC88" s="1"/>
      <c r="LLD88" s="1"/>
      <c r="LLE88" s="1"/>
      <c r="LLF88" s="1"/>
      <c r="LLG88" s="1"/>
      <c r="LLH88" s="1"/>
      <c r="LLI88" s="1"/>
      <c r="LLJ88" s="1"/>
      <c r="LLK88" s="1"/>
      <c r="LLL88" s="1"/>
      <c r="LLM88" s="1"/>
      <c r="LLN88" s="1"/>
      <c r="LLO88" s="1"/>
      <c r="LLP88" s="1"/>
      <c r="LLQ88" s="1"/>
      <c r="LLR88" s="1"/>
      <c r="LLS88" s="1"/>
      <c r="LLT88" s="1"/>
      <c r="LLU88" s="1"/>
      <c r="LLV88" s="1"/>
      <c r="LLW88" s="1"/>
      <c r="LLX88" s="1"/>
      <c r="LLY88" s="1"/>
      <c r="LLZ88" s="1"/>
      <c r="LMA88" s="1"/>
      <c r="LMB88" s="1"/>
      <c r="LMC88" s="1"/>
      <c r="LMD88" s="1"/>
      <c r="LME88" s="1"/>
      <c r="LMF88" s="1"/>
      <c r="LMG88" s="1"/>
      <c r="LMH88" s="1"/>
      <c r="LMI88" s="1"/>
      <c r="LMJ88" s="1"/>
      <c r="LMK88" s="1"/>
      <c r="LML88" s="1"/>
      <c r="LMM88" s="1"/>
      <c r="LMN88" s="1"/>
      <c r="LMO88" s="1"/>
      <c r="LMP88" s="1"/>
      <c r="LMQ88" s="1"/>
      <c r="LMR88" s="1"/>
      <c r="LMS88" s="1"/>
      <c r="LMT88" s="1"/>
      <c r="LMU88" s="1"/>
      <c r="LMV88" s="1"/>
      <c r="LMW88" s="1"/>
      <c r="LMX88" s="1"/>
      <c r="LMY88" s="1"/>
      <c r="LMZ88" s="1"/>
      <c r="LNA88" s="1"/>
      <c r="LNB88" s="1"/>
      <c r="LNC88" s="1"/>
      <c r="LND88" s="1"/>
      <c r="LNE88" s="1"/>
      <c r="LNF88" s="1"/>
      <c r="LNG88" s="1"/>
      <c r="LNH88" s="1"/>
      <c r="LNI88" s="1"/>
      <c r="LNJ88" s="1"/>
      <c r="LNK88" s="1"/>
      <c r="LNL88" s="1"/>
      <c r="LNM88" s="1"/>
      <c r="LNN88" s="1"/>
      <c r="LNO88" s="1"/>
      <c r="LNP88" s="1"/>
      <c r="LNQ88" s="1"/>
      <c r="LNR88" s="1"/>
      <c r="LNS88" s="1"/>
      <c r="LNT88" s="1"/>
      <c r="LNU88" s="1"/>
      <c r="LNV88" s="1"/>
      <c r="LNW88" s="1"/>
      <c r="LNX88" s="1"/>
      <c r="LNY88" s="1"/>
      <c r="LNZ88" s="1"/>
      <c r="LOA88" s="1"/>
      <c r="LOB88" s="1"/>
      <c r="LOC88" s="1"/>
      <c r="LOD88" s="1"/>
      <c r="LOE88" s="1"/>
      <c r="LOF88" s="1"/>
      <c r="LOG88" s="1"/>
      <c r="LOH88" s="1"/>
      <c r="LOI88" s="1"/>
      <c r="LOJ88" s="1"/>
      <c r="LOK88" s="1"/>
      <c r="LOL88" s="1"/>
      <c r="LOM88" s="1"/>
      <c r="LON88" s="1"/>
      <c r="LOO88" s="1"/>
      <c r="LOP88" s="1"/>
      <c r="LOQ88" s="1"/>
      <c r="LOR88" s="1"/>
      <c r="LOS88" s="1"/>
      <c r="LOT88" s="1"/>
      <c r="LOU88" s="1"/>
      <c r="LOV88" s="1"/>
      <c r="LOW88" s="1"/>
      <c r="LOX88" s="1"/>
      <c r="LOY88" s="1"/>
      <c r="LOZ88" s="1"/>
      <c r="LPA88" s="1"/>
      <c r="LPB88" s="1"/>
      <c r="LPC88" s="1"/>
      <c r="LPD88" s="1"/>
      <c r="LPE88" s="1"/>
      <c r="LPF88" s="1"/>
      <c r="LPG88" s="1"/>
      <c r="LPH88" s="1"/>
      <c r="LPI88" s="1"/>
      <c r="LPJ88" s="1"/>
      <c r="LPK88" s="1"/>
      <c r="LPL88" s="1"/>
      <c r="LPM88" s="1"/>
      <c r="LPN88" s="1"/>
      <c r="LPO88" s="1"/>
      <c r="LPP88" s="1"/>
      <c r="LPQ88" s="1"/>
      <c r="LPR88" s="1"/>
      <c r="LPS88" s="1"/>
      <c r="LPT88" s="1"/>
      <c r="LPU88" s="1"/>
      <c r="LPV88" s="1"/>
      <c r="LPW88" s="1"/>
      <c r="LPX88" s="1"/>
      <c r="LPY88" s="1"/>
      <c r="LPZ88" s="1"/>
      <c r="LQA88" s="1"/>
      <c r="LQB88" s="1"/>
      <c r="LQC88" s="1"/>
      <c r="LQD88" s="1"/>
      <c r="LQE88" s="1"/>
      <c r="LQF88" s="1"/>
      <c r="LQG88" s="1"/>
      <c r="LQH88" s="1"/>
      <c r="LQI88" s="1"/>
      <c r="LQJ88" s="1"/>
      <c r="LQK88" s="1"/>
      <c r="LQL88" s="1"/>
      <c r="LQM88" s="1"/>
      <c r="LQN88" s="1"/>
      <c r="LQO88" s="1"/>
      <c r="LQP88" s="1"/>
      <c r="LQQ88" s="1"/>
      <c r="LQR88" s="1"/>
      <c r="LQS88" s="1"/>
      <c r="LQT88" s="1"/>
      <c r="LQU88" s="1"/>
      <c r="LQV88" s="1"/>
      <c r="LQW88" s="1"/>
      <c r="LQX88" s="1"/>
      <c r="LQY88" s="1"/>
      <c r="LQZ88" s="1"/>
      <c r="LRA88" s="1"/>
      <c r="LRB88" s="1"/>
      <c r="LRC88" s="1"/>
      <c r="LRD88" s="1"/>
      <c r="LRE88" s="1"/>
      <c r="LRF88" s="1"/>
      <c r="LRG88" s="1"/>
      <c r="LRH88" s="1"/>
      <c r="LRI88" s="1"/>
      <c r="LRJ88" s="1"/>
      <c r="LRK88" s="1"/>
      <c r="LRL88" s="1"/>
      <c r="LRM88" s="1"/>
      <c r="LRN88" s="1"/>
      <c r="LRO88" s="1"/>
      <c r="LRP88" s="1"/>
      <c r="LRQ88" s="1"/>
      <c r="LRR88" s="1"/>
      <c r="LRS88" s="1"/>
      <c r="LRT88" s="1"/>
      <c r="LRU88" s="1"/>
      <c r="LRV88" s="1"/>
      <c r="LRW88" s="1"/>
      <c r="LRX88" s="1"/>
      <c r="LRY88" s="1"/>
      <c r="LRZ88" s="1"/>
      <c r="LSA88" s="1"/>
      <c r="LSB88" s="1"/>
      <c r="LSC88" s="1"/>
      <c r="LSD88" s="1"/>
      <c r="LSE88" s="1"/>
      <c r="LSF88" s="1"/>
      <c r="LSG88" s="1"/>
      <c r="LSH88" s="1"/>
      <c r="LSI88" s="1"/>
      <c r="LSJ88" s="1"/>
      <c r="LSK88" s="1"/>
      <c r="LSL88" s="1"/>
      <c r="LSM88" s="1"/>
      <c r="LSN88" s="1"/>
      <c r="LSO88" s="1"/>
      <c r="LSP88" s="1"/>
      <c r="LSQ88" s="1"/>
      <c r="LSR88" s="1"/>
      <c r="LSS88" s="1"/>
      <c r="LST88" s="1"/>
      <c r="LSU88" s="1"/>
      <c r="LSV88" s="1"/>
      <c r="LSW88" s="1"/>
      <c r="LSX88" s="1"/>
      <c r="LSY88" s="1"/>
      <c r="LSZ88" s="1"/>
      <c r="LTA88" s="1"/>
      <c r="LTB88" s="1"/>
      <c r="LTC88" s="1"/>
      <c r="LTD88" s="1"/>
      <c r="LTE88" s="1"/>
      <c r="LTF88" s="1"/>
      <c r="LTG88" s="1"/>
      <c r="LTH88" s="1"/>
      <c r="LTI88" s="1"/>
      <c r="LTJ88" s="1"/>
      <c r="LTK88" s="1"/>
      <c r="LTL88" s="1"/>
      <c r="LTM88" s="1"/>
      <c r="LTN88" s="1"/>
      <c r="LTO88" s="1"/>
      <c r="LTP88" s="1"/>
      <c r="LTQ88" s="1"/>
      <c r="LTR88" s="1"/>
      <c r="LTS88" s="1"/>
      <c r="LTT88" s="1"/>
      <c r="LTU88" s="1"/>
      <c r="LTV88" s="1"/>
      <c r="LTW88" s="1"/>
      <c r="LTX88" s="1"/>
      <c r="LTY88" s="1"/>
      <c r="LTZ88" s="1"/>
      <c r="LUA88" s="1"/>
      <c r="LUB88" s="1"/>
      <c r="LUC88" s="1"/>
      <c r="LUD88" s="1"/>
      <c r="LUE88" s="1"/>
      <c r="LUF88" s="1"/>
      <c r="LUG88" s="1"/>
      <c r="LUH88" s="1"/>
      <c r="LUI88" s="1"/>
      <c r="LUJ88" s="1"/>
      <c r="LUK88" s="1"/>
      <c r="LUL88" s="1"/>
      <c r="LUM88" s="1"/>
      <c r="LUN88" s="1"/>
      <c r="LUO88" s="1"/>
      <c r="LUP88" s="1"/>
      <c r="LUQ88" s="1"/>
      <c r="LUR88" s="1"/>
      <c r="LUS88" s="1"/>
      <c r="LUT88" s="1"/>
      <c r="LUU88" s="1"/>
      <c r="LUV88" s="1"/>
      <c r="LUW88" s="1"/>
      <c r="LUX88" s="1"/>
      <c r="LUY88" s="1"/>
      <c r="LUZ88" s="1"/>
      <c r="LVA88" s="1"/>
      <c r="LVB88" s="1"/>
      <c r="LVC88" s="1"/>
      <c r="LVD88" s="1"/>
      <c r="LVE88" s="1"/>
      <c r="LVF88" s="1"/>
      <c r="LVG88" s="1"/>
      <c r="LVH88" s="1"/>
      <c r="LVI88" s="1"/>
      <c r="LVJ88" s="1"/>
      <c r="LVK88" s="1"/>
      <c r="LVL88" s="1"/>
      <c r="LVM88" s="1"/>
      <c r="LVN88" s="1"/>
      <c r="LVO88" s="1"/>
      <c r="LVP88" s="1"/>
      <c r="LVQ88" s="1"/>
      <c r="LVR88" s="1"/>
      <c r="LVS88" s="1"/>
      <c r="LVT88" s="1"/>
      <c r="LVU88" s="1"/>
      <c r="LVV88" s="1"/>
      <c r="LVW88" s="1"/>
      <c r="LVX88" s="1"/>
      <c r="LVY88" s="1"/>
      <c r="LVZ88" s="1"/>
      <c r="LWA88" s="1"/>
      <c r="LWB88" s="1"/>
      <c r="LWC88" s="1"/>
      <c r="LWD88" s="1"/>
      <c r="LWE88" s="1"/>
      <c r="LWF88" s="1"/>
      <c r="LWG88" s="1"/>
      <c r="LWH88" s="1"/>
      <c r="LWI88" s="1"/>
      <c r="LWJ88" s="1"/>
      <c r="LWK88" s="1"/>
      <c r="LWL88" s="1"/>
      <c r="LWM88" s="1"/>
      <c r="LWN88" s="1"/>
      <c r="LWO88" s="1"/>
      <c r="LWP88" s="1"/>
      <c r="LWQ88" s="1"/>
      <c r="LWR88" s="1"/>
      <c r="LWS88" s="1"/>
      <c r="LWT88" s="1"/>
      <c r="LWU88" s="1"/>
      <c r="LWV88" s="1"/>
      <c r="LWW88" s="1"/>
      <c r="LWX88" s="1"/>
      <c r="LWY88" s="1"/>
      <c r="LWZ88" s="1"/>
      <c r="LXA88" s="1"/>
      <c r="LXB88" s="1"/>
      <c r="LXC88" s="1"/>
      <c r="LXD88" s="1"/>
      <c r="LXE88" s="1"/>
      <c r="LXF88" s="1"/>
      <c r="LXG88" s="1"/>
      <c r="LXH88" s="1"/>
      <c r="LXI88" s="1"/>
      <c r="LXJ88" s="1"/>
      <c r="LXK88" s="1"/>
      <c r="LXL88" s="1"/>
      <c r="LXM88" s="1"/>
      <c r="LXN88" s="1"/>
      <c r="LXO88" s="1"/>
      <c r="LXP88" s="1"/>
      <c r="LXQ88" s="1"/>
      <c r="LXR88" s="1"/>
      <c r="LXS88" s="1"/>
      <c r="LXT88" s="1"/>
      <c r="LXU88" s="1"/>
      <c r="LXV88" s="1"/>
      <c r="LXW88" s="1"/>
      <c r="LXX88" s="1"/>
      <c r="LXY88" s="1"/>
      <c r="LXZ88" s="1"/>
      <c r="LYA88" s="1"/>
      <c r="LYB88" s="1"/>
      <c r="LYC88" s="1"/>
      <c r="LYD88" s="1"/>
      <c r="LYE88" s="1"/>
      <c r="LYF88" s="1"/>
      <c r="LYG88" s="1"/>
      <c r="LYH88" s="1"/>
      <c r="LYI88" s="1"/>
      <c r="LYJ88" s="1"/>
      <c r="LYK88" s="1"/>
      <c r="LYL88" s="1"/>
      <c r="LYM88" s="1"/>
      <c r="LYN88" s="1"/>
      <c r="LYO88" s="1"/>
      <c r="LYP88" s="1"/>
      <c r="LYQ88" s="1"/>
      <c r="LYR88" s="1"/>
      <c r="LYS88" s="1"/>
      <c r="LYT88" s="1"/>
      <c r="LYU88" s="1"/>
      <c r="LYV88" s="1"/>
      <c r="LYW88" s="1"/>
      <c r="LYX88" s="1"/>
      <c r="LYY88" s="1"/>
      <c r="LYZ88" s="1"/>
      <c r="LZA88" s="1"/>
      <c r="LZB88" s="1"/>
      <c r="LZC88" s="1"/>
      <c r="LZD88" s="1"/>
      <c r="LZE88" s="1"/>
      <c r="LZF88" s="1"/>
      <c r="LZG88" s="1"/>
      <c r="LZH88" s="1"/>
      <c r="LZI88" s="1"/>
      <c r="LZJ88" s="1"/>
      <c r="LZK88" s="1"/>
      <c r="LZL88" s="1"/>
      <c r="LZM88" s="1"/>
      <c r="LZN88" s="1"/>
      <c r="LZO88" s="1"/>
      <c r="LZP88" s="1"/>
      <c r="LZQ88" s="1"/>
      <c r="LZR88" s="1"/>
      <c r="LZS88" s="1"/>
      <c r="LZT88" s="1"/>
      <c r="LZU88" s="1"/>
      <c r="LZV88" s="1"/>
      <c r="LZW88" s="1"/>
      <c r="LZX88" s="1"/>
      <c r="LZY88" s="1"/>
      <c r="LZZ88" s="1"/>
      <c r="MAA88" s="1"/>
      <c r="MAB88" s="1"/>
      <c r="MAC88" s="1"/>
      <c r="MAD88" s="1"/>
      <c r="MAE88" s="1"/>
      <c r="MAF88" s="1"/>
      <c r="MAG88" s="1"/>
      <c r="MAH88" s="1"/>
      <c r="MAI88" s="1"/>
      <c r="MAJ88" s="1"/>
      <c r="MAK88" s="1"/>
      <c r="MAL88" s="1"/>
      <c r="MAM88" s="1"/>
      <c r="MAN88" s="1"/>
      <c r="MAO88" s="1"/>
      <c r="MAP88" s="1"/>
      <c r="MAQ88" s="1"/>
      <c r="MAR88" s="1"/>
      <c r="MAS88" s="1"/>
      <c r="MAT88" s="1"/>
      <c r="MAU88" s="1"/>
      <c r="MAV88" s="1"/>
      <c r="MAW88" s="1"/>
      <c r="MAX88" s="1"/>
      <c r="MAY88" s="1"/>
      <c r="MAZ88" s="1"/>
      <c r="MBA88" s="1"/>
      <c r="MBB88" s="1"/>
      <c r="MBC88" s="1"/>
      <c r="MBD88" s="1"/>
      <c r="MBE88" s="1"/>
      <c r="MBF88" s="1"/>
      <c r="MBG88" s="1"/>
      <c r="MBH88" s="1"/>
      <c r="MBI88" s="1"/>
      <c r="MBJ88" s="1"/>
      <c r="MBK88" s="1"/>
      <c r="MBL88" s="1"/>
      <c r="MBM88" s="1"/>
      <c r="MBN88" s="1"/>
      <c r="MBO88" s="1"/>
      <c r="MBP88" s="1"/>
      <c r="MBQ88" s="1"/>
      <c r="MBR88" s="1"/>
      <c r="MBS88" s="1"/>
      <c r="MBT88" s="1"/>
      <c r="MBU88" s="1"/>
      <c r="MBV88" s="1"/>
      <c r="MBW88" s="1"/>
      <c r="MBX88" s="1"/>
      <c r="MBY88" s="1"/>
      <c r="MBZ88" s="1"/>
      <c r="MCA88" s="1"/>
      <c r="MCB88" s="1"/>
      <c r="MCC88" s="1"/>
      <c r="MCD88" s="1"/>
      <c r="MCE88" s="1"/>
      <c r="MCF88" s="1"/>
      <c r="MCG88" s="1"/>
      <c r="MCH88" s="1"/>
      <c r="MCI88" s="1"/>
      <c r="MCJ88" s="1"/>
      <c r="MCK88" s="1"/>
      <c r="MCL88" s="1"/>
      <c r="MCM88" s="1"/>
      <c r="MCN88" s="1"/>
      <c r="MCO88" s="1"/>
      <c r="MCP88" s="1"/>
      <c r="MCQ88" s="1"/>
      <c r="MCR88" s="1"/>
      <c r="MCS88" s="1"/>
      <c r="MCT88" s="1"/>
      <c r="MCU88" s="1"/>
      <c r="MCV88" s="1"/>
      <c r="MCW88" s="1"/>
      <c r="MCX88" s="1"/>
      <c r="MCY88" s="1"/>
      <c r="MCZ88" s="1"/>
      <c r="MDA88" s="1"/>
      <c r="MDB88" s="1"/>
      <c r="MDC88" s="1"/>
      <c r="MDD88" s="1"/>
      <c r="MDE88" s="1"/>
      <c r="MDF88" s="1"/>
      <c r="MDG88" s="1"/>
      <c r="MDH88" s="1"/>
      <c r="MDI88" s="1"/>
      <c r="MDJ88" s="1"/>
      <c r="MDK88" s="1"/>
      <c r="MDL88" s="1"/>
      <c r="MDM88" s="1"/>
      <c r="MDN88" s="1"/>
      <c r="MDO88" s="1"/>
      <c r="MDP88" s="1"/>
      <c r="MDQ88" s="1"/>
      <c r="MDR88" s="1"/>
      <c r="MDS88" s="1"/>
      <c r="MDT88" s="1"/>
      <c r="MDU88" s="1"/>
      <c r="MDV88" s="1"/>
      <c r="MDW88" s="1"/>
      <c r="MDX88" s="1"/>
      <c r="MDY88" s="1"/>
      <c r="MDZ88" s="1"/>
      <c r="MEA88" s="1"/>
      <c r="MEB88" s="1"/>
      <c r="MEC88" s="1"/>
      <c r="MED88" s="1"/>
      <c r="MEE88" s="1"/>
      <c r="MEF88" s="1"/>
      <c r="MEG88" s="1"/>
      <c r="MEH88" s="1"/>
      <c r="MEI88" s="1"/>
      <c r="MEJ88" s="1"/>
      <c r="MEK88" s="1"/>
      <c r="MEL88" s="1"/>
      <c r="MEM88" s="1"/>
      <c r="MEN88" s="1"/>
      <c r="MEO88" s="1"/>
      <c r="MEP88" s="1"/>
      <c r="MEQ88" s="1"/>
      <c r="MER88" s="1"/>
      <c r="MES88" s="1"/>
      <c r="MET88" s="1"/>
      <c r="MEU88" s="1"/>
      <c r="MEV88" s="1"/>
      <c r="MEW88" s="1"/>
      <c r="MEX88" s="1"/>
      <c r="MEY88" s="1"/>
      <c r="MEZ88" s="1"/>
      <c r="MFA88" s="1"/>
      <c r="MFB88" s="1"/>
      <c r="MFC88" s="1"/>
      <c r="MFD88" s="1"/>
      <c r="MFE88" s="1"/>
      <c r="MFF88" s="1"/>
      <c r="MFG88" s="1"/>
      <c r="MFH88" s="1"/>
      <c r="MFI88" s="1"/>
      <c r="MFJ88" s="1"/>
      <c r="MFK88" s="1"/>
      <c r="MFL88" s="1"/>
      <c r="MFM88" s="1"/>
      <c r="MFN88" s="1"/>
      <c r="MFO88" s="1"/>
      <c r="MFP88" s="1"/>
      <c r="MFQ88" s="1"/>
      <c r="MFR88" s="1"/>
      <c r="MFS88" s="1"/>
      <c r="MFT88" s="1"/>
      <c r="MFU88" s="1"/>
      <c r="MFV88" s="1"/>
      <c r="MFW88" s="1"/>
      <c r="MFX88" s="1"/>
      <c r="MFY88" s="1"/>
      <c r="MFZ88" s="1"/>
      <c r="MGA88" s="1"/>
      <c r="MGB88" s="1"/>
      <c r="MGC88" s="1"/>
      <c r="MGD88" s="1"/>
      <c r="MGE88" s="1"/>
      <c r="MGF88" s="1"/>
      <c r="MGG88" s="1"/>
      <c r="MGH88" s="1"/>
      <c r="MGI88" s="1"/>
      <c r="MGJ88" s="1"/>
      <c r="MGK88" s="1"/>
      <c r="MGL88" s="1"/>
      <c r="MGM88" s="1"/>
      <c r="MGN88" s="1"/>
      <c r="MGO88" s="1"/>
      <c r="MGP88" s="1"/>
      <c r="MGQ88" s="1"/>
      <c r="MGR88" s="1"/>
      <c r="MGS88" s="1"/>
      <c r="MGT88" s="1"/>
      <c r="MGU88" s="1"/>
      <c r="MGV88" s="1"/>
      <c r="MGW88" s="1"/>
      <c r="MGX88" s="1"/>
      <c r="MGY88" s="1"/>
      <c r="MGZ88" s="1"/>
      <c r="MHA88" s="1"/>
      <c r="MHB88" s="1"/>
      <c r="MHC88" s="1"/>
      <c r="MHD88" s="1"/>
      <c r="MHE88" s="1"/>
      <c r="MHF88" s="1"/>
      <c r="MHG88" s="1"/>
      <c r="MHH88" s="1"/>
      <c r="MHI88" s="1"/>
      <c r="MHJ88" s="1"/>
      <c r="MHK88" s="1"/>
      <c r="MHL88" s="1"/>
      <c r="MHM88" s="1"/>
      <c r="MHN88" s="1"/>
      <c r="MHO88" s="1"/>
      <c r="MHP88" s="1"/>
      <c r="MHQ88" s="1"/>
      <c r="MHR88" s="1"/>
      <c r="MHS88" s="1"/>
      <c r="MHT88" s="1"/>
      <c r="MHU88" s="1"/>
      <c r="MHV88" s="1"/>
      <c r="MHW88" s="1"/>
      <c r="MHX88" s="1"/>
      <c r="MHY88" s="1"/>
      <c r="MHZ88" s="1"/>
      <c r="MIA88" s="1"/>
      <c r="MIB88" s="1"/>
      <c r="MIC88" s="1"/>
      <c r="MID88" s="1"/>
      <c r="MIE88" s="1"/>
      <c r="MIF88" s="1"/>
      <c r="MIG88" s="1"/>
      <c r="MIH88" s="1"/>
      <c r="MII88" s="1"/>
      <c r="MIJ88" s="1"/>
      <c r="MIK88" s="1"/>
      <c r="MIL88" s="1"/>
      <c r="MIM88" s="1"/>
      <c r="MIN88" s="1"/>
      <c r="MIO88" s="1"/>
      <c r="MIP88" s="1"/>
      <c r="MIQ88" s="1"/>
      <c r="MIR88" s="1"/>
      <c r="MIS88" s="1"/>
      <c r="MIT88" s="1"/>
      <c r="MIU88" s="1"/>
      <c r="MIV88" s="1"/>
      <c r="MIW88" s="1"/>
      <c r="MIX88" s="1"/>
      <c r="MIY88" s="1"/>
      <c r="MIZ88" s="1"/>
      <c r="MJA88" s="1"/>
      <c r="MJB88" s="1"/>
      <c r="MJC88" s="1"/>
      <c r="MJD88" s="1"/>
      <c r="MJE88" s="1"/>
      <c r="MJF88" s="1"/>
      <c r="MJG88" s="1"/>
      <c r="MJH88" s="1"/>
      <c r="MJI88" s="1"/>
      <c r="MJJ88" s="1"/>
      <c r="MJK88" s="1"/>
      <c r="MJL88" s="1"/>
      <c r="MJM88" s="1"/>
      <c r="MJN88" s="1"/>
      <c r="MJO88" s="1"/>
      <c r="MJP88" s="1"/>
      <c r="MJQ88" s="1"/>
      <c r="MJR88" s="1"/>
      <c r="MJS88" s="1"/>
      <c r="MJT88" s="1"/>
      <c r="MJU88" s="1"/>
      <c r="MJV88" s="1"/>
      <c r="MJW88" s="1"/>
      <c r="MJX88" s="1"/>
      <c r="MJY88" s="1"/>
      <c r="MJZ88" s="1"/>
      <c r="MKA88" s="1"/>
      <c r="MKB88" s="1"/>
      <c r="MKC88" s="1"/>
      <c r="MKD88" s="1"/>
      <c r="MKE88" s="1"/>
      <c r="MKF88" s="1"/>
      <c r="MKG88" s="1"/>
      <c r="MKH88" s="1"/>
      <c r="MKI88" s="1"/>
      <c r="MKJ88" s="1"/>
      <c r="MKK88" s="1"/>
      <c r="MKL88" s="1"/>
      <c r="MKM88" s="1"/>
      <c r="MKN88" s="1"/>
      <c r="MKO88" s="1"/>
      <c r="MKP88" s="1"/>
      <c r="MKQ88" s="1"/>
      <c r="MKR88" s="1"/>
      <c r="MKS88" s="1"/>
      <c r="MKT88" s="1"/>
      <c r="MKU88" s="1"/>
      <c r="MKV88" s="1"/>
      <c r="MKW88" s="1"/>
      <c r="MKX88" s="1"/>
      <c r="MKY88" s="1"/>
      <c r="MKZ88" s="1"/>
      <c r="MLA88" s="1"/>
      <c r="MLB88" s="1"/>
      <c r="MLC88" s="1"/>
      <c r="MLD88" s="1"/>
      <c r="MLE88" s="1"/>
      <c r="MLF88" s="1"/>
      <c r="MLG88" s="1"/>
      <c r="MLH88" s="1"/>
      <c r="MLI88" s="1"/>
      <c r="MLJ88" s="1"/>
      <c r="MLK88" s="1"/>
      <c r="MLL88" s="1"/>
      <c r="MLM88" s="1"/>
      <c r="MLN88" s="1"/>
      <c r="MLO88" s="1"/>
      <c r="MLP88" s="1"/>
      <c r="MLQ88" s="1"/>
      <c r="MLR88" s="1"/>
      <c r="MLS88" s="1"/>
      <c r="MLT88" s="1"/>
      <c r="MLU88" s="1"/>
      <c r="MLV88" s="1"/>
      <c r="MLW88" s="1"/>
      <c r="MLX88" s="1"/>
      <c r="MLY88" s="1"/>
      <c r="MLZ88" s="1"/>
      <c r="MMA88" s="1"/>
      <c r="MMB88" s="1"/>
      <c r="MMC88" s="1"/>
      <c r="MMD88" s="1"/>
      <c r="MME88" s="1"/>
      <c r="MMF88" s="1"/>
      <c r="MMG88" s="1"/>
      <c r="MMH88" s="1"/>
      <c r="MMI88" s="1"/>
      <c r="MMJ88" s="1"/>
      <c r="MMK88" s="1"/>
      <c r="MML88" s="1"/>
      <c r="MMM88" s="1"/>
      <c r="MMN88" s="1"/>
      <c r="MMO88" s="1"/>
      <c r="MMP88" s="1"/>
      <c r="MMQ88" s="1"/>
      <c r="MMR88" s="1"/>
      <c r="MMS88" s="1"/>
      <c r="MMT88" s="1"/>
      <c r="MMU88" s="1"/>
      <c r="MMV88" s="1"/>
      <c r="MMW88" s="1"/>
      <c r="MMX88" s="1"/>
      <c r="MMY88" s="1"/>
      <c r="MMZ88" s="1"/>
      <c r="MNA88" s="1"/>
      <c r="MNB88" s="1"/>
      <c r="MNC88" s="1"/>
      <c r="MND88" s="1"/>
      <c r="MNE88" s="1"/>
      <c r="MNF88" s="1"/>
      <c r="MNG88" s="1"/>
      <c r="MNH88" s="1"/>
      <c r="MNI88" s="1"/>
      <c r="MNJ88" s="1"/>
      <c r="MNK88" s="1"/>
      <c r="MNL88" s="1"/>
      <c r="MNM88" s="1"/>
      <c r="MNN88" s="1"/>
      <c r="MNO88" s="1"/>
      <c r="MNP88" s="1"/>
      <c r="MNQ88" s="1"/>
      <c r="MNR88" s="1"/>
      <c r="MNS88" s="1"/>
      <c r="MNT88" s="1"/>
      <c r="MNU88" s="1"/>
      <c r="MNV88" s="1"/>
      <c r="MNW88" s="1"/>
      <c r="MNX88" s="1"/>
      <c r="MNY88" s="1"/>
      <c r="MNZ88" s="1"/>
      <c r="MOA88" s="1"/>
      <c r="MOB88" s="1"/>
      <c r="MOC88" s="1"/>
      <c r="MOD88" s="1"/>
      <c r="MOE88" s="1"/>
      <c r="MOF88" s="1"/>
      <c r="MOG88" s="1"/>
      <c r="MOH88" s="1"/>
      <c r="MOI88" s="1"/>
      <c r="MOJ88" s="1"/>
      <c r="MOK88" s="1"/>
      <c r="MOL88" s="1"/>
      <c r="MOM88" s="1"/>
      <c r="MON88" s="1"/>
      <c r="MOO88" s="1"/>
      <c r="MOP88" s="1"/>
      <c r="MOQ88" s="1"/>
      <c r="MOR88" s="1"/>
      <c r="MOS88" s="1"/>
      <c r="MOT88" s="1"/>
      <c r="MOU88" s="1"/>
      <c r="MOV88" s="1"/>
      <c r="MOW88" s="1"/>
      <c r="MOX88" s="1"/>
      <c r="MOY88" s="1"/>
      <c r="MOZ88" s="1"/>
      <c r="MPA88" s="1"/>
      <c r="MPB88" s="1"/>
      <c r="MPC88" s="1"/>
      <c r="MPD88" s="1"/>
      <c r="MPE88" s="1"/>
      <c r="MPF88" s="1"/>
      <c r="MPG88" s="1"/>
      <c r="MPH88" s="1"/>
      <c r="MPI88" s="1"/>
      <c r="MPJ88" s="1"/>
      <c r="MPK88" s="1"/>
      <c r="MPL88" s="1"/>
      <c r="MPM88" s="1"/>
      <c r="MPN88" s="1"/>
      <c r="MPO88" s="1"/>
      <c r="MPP88" s="1"/>
      <c r="MPQ88" s="1"/>
      <c r="MPR88" s="1"/>
      <c r="MPS88" s="1"/>
      <c r="MPT88" s="1"/>
      <c r="MPU88" s="1"/>
      <c r="MPV88" s="1"/>
      <c r="MPW88" s="1"/>
      <c r="MPX88" s="1"/>
      <c r="MPY88" s="1"/>
      <c r="MPZ88" s="1"/>
      <c r="MQA88" s="1"/>
      <c r="MQB88" s="1"/>
      <c r="MQC88" s="1"/>
      <c r="MQD88" s="1"/>
      <c r="MQE88" s="1"/>
      <c r="MQF88" s="1"/>
      <c r="MQG88" s="1"/>
      <c r="MQH88" s="1"/>
      <c r="MQI88" s="1"/>
      <c r="MQJ88" s="1"/>
      <c r="MQK88" s="1"/>
      <c r="MQL88" s="1"/>
      <c r="MQM88" s="1"/>
      <c r="MQN88" s="1"/>
      <c r="MQO88" s="1"/>
      <c r="MQP88" s="1"/>
      <c r="MQQ88" s="1"/>
      <c r="MQR88" s="1"/>
      <c r="MQS88" s="1"/>
      <c r="MQT88" s="1"/>
      <c r="MQU88" s="1"/>
      <c r="MQV88" s="1"/>
      <c r="MQW88" s="1"/>
      <c r="MQX88" s="1"/>
      <c r="MQY88" s="1"/>
      <c r="MQZ88" s="1"/>
      <c r="MRA88" s="1"/>
      <c r="MRB88" s="1"/>
      <c r="MRC88" s="1"/>
      <c r="MRD88" s="1"/>
      <c r="MRE88" s="1"/>
      <c r="MRF88" s="1"/>
      <c r="MRG88" s="1"/>
      <c r="MRH88" s="1"/>
      <c r="MRI88" s="1"/>
      <c r="MRJ88" s="1"/>
      <c r="MRK88" s="1"/>
      <c r="MRL88" s="1"/>
      <c r="MRM88" s="1"/>
      <c r="MRN88" s="1"/>
      <c r="MRO88" s="1"/>
      <c r="MRP88" s="1"/>
      <c r="MRQ88" s="1"/>
      <c r="MRR88" s="1"/>
      <c r="MRS88" s="1"/>
      <c r="MRT88" s="1"/>
      <c r="MRU88" s="1"/>
      <c r="MRV88" s="1"/>
      <c r="MRW88" s="1"/>
      <c r="MRX88" s="1"/>
      <c r="MRY88" s="1"/>
      <c r="MRZ88" s="1"/>
      <c r="MSA88" s="1"/>
      <c r="MSB88" s="1"/>
      <c r="MSC88" s="1"/>
      <c r="MSD88" s="1"/>
      <c r="MSE88" s="1"/>
      <c r="MSF88" s="1"/>
      <c r="MSG88" s="1"/>
      <c r="MSH88" s="1"/>
      <c r="MSI88" s="1"/>
      <c r="MSJ88" s="1"/>
      <c r="MSK88" s="1"/>
      <c r="MSL88" s="1"/>
      <c r="MSM88" s="1"/>
      <c r="MSN88" s="1"/>
      <c r="MSO88" s="1"/>
      <c r="MSP88" s="1"/>
      <c r="MSQ88" s="1"/>
      <c r="MSR88" s="1"/>
      <c r="MSS88" s="1"/>
      <c r="MST88" s="1"/>
      <c r="MSU88" s="1"/>
      <c r="MSV88" s="1"/>
      <c r="MSW88" s="1"/>
      <c r="MSX88" s="1"/>
      <c r="MSY88" s="1"/>
      <c r="MSZ88" s="1"/>
      <c r="MTA88" s="1"/>
      <c r="MTB88" s="1"/>
      <c r="MTC88" s="1"/>
      <c r="MTD88" s="1"/>
      <c r="MTE88" s="1"/>
      <c r="MTF88" s="1"/>
      <c r="MTG88" s="1"/>
      <c r="MTH88" s="1"/>
      <c r="MTI88" s="1"/>
      <c r="MTJ88" s="1"/>
      <c r="MTK88" s="1"/>
      <c r="MTL88" s="1"/>
      <c r="MTM88" s="1"/>
      <c r="MTN88" s="1"/>
      <c r="MTO88" s="1"/>
      <c r="MTP88" s="1"/>
      <c r="MTQ88" s="1"/>
      <c r="MTR88" s="1"/>
      <c r="MTS88" s="1"/>
      <c r="MTT88" s="1"/>
      <c r="MTU88" s="1"/>
      <c r="MTV88" s="1"/>
      <c r="MTW88" s="1"/>
      <c r="MTX88" s="1"/>
      <c r="MTY88" s="1"/>
      <c r="MTZ88" s="1"/>
      <c r="MUA88" s="1"/>
      <c r="MUB88" s="1"/>
      <c r="MUC88" s="1"/>
      <c r="MUD88" s="1"/>
      <c r="MUE88" s="1"/>
      <c r="MUF88" s="1"/>
      <c r="MUG88" s="1"/>
      <c r="MUH88" s="1"/>
      <c r="MUI88" s="1"/>
      <c r="MUJ88" s="1"/>
      <c r="MUK88" s="1"/>
      <c r="MUL88" s="1"/>
      <c r="MUM88" s="1"/>
      <c r="MUN88" s="1"/>
      <c r="MUO88" s="1"/>
      <c r="MUP88" s="1"/>
      <c r="MUQ88" s="1"/>
      <c r="MUR88" s="1"/>
      <c r="MUS88" s="1"/>
      <c r="MUT88" s="1"/>
      <c r="MUU88" s="1"/>
      <c r="MUV88" s="1"/>
      <c r="MUW88" s="1"/>
      <c r="MUX88" s="1"/>
      <c r="MUY88" s="1"/>
      <c r="MUZ88" s="1"/>
      <c r="MVA88" s="1"/>
      <c r="MVB88" s="1"/>
      <c r="MVC88" s="1"/>
      <c r="MVD88" s="1"/>
      <c r="MVE88" s="1"/>
      <c r="MVF88" s="1"/>
      <c r="MVG88" s="1"/>
      <c r="MVH88" s="1"/>
      <c r="MVI88" s="1"/>
      <c r="MVJ88" s="1"/>
      <c r="MVK88" s="1"/>
      <c r="MVL88" s="1"/>
      <c r="MVM88" s="1"/>
      <c r="MVN88" s="1"/>
      <c r="MVO88" s="1"/>
      <c r="MVP88" s="1"/>
      <c r="MVQ88" s="1"/>
      <c r="MVR88" s="1"/>
      <c r="MVS88" s="1"/>
      <c r="MVT88" s="1"/>
      <c r="MVU88" s="1"/>
      <c r="MVV88" s="1"/>
      <c r="MVW88" s="1"/>
      <c r="MVX88" s="1"/>
      <c r="MVY88" s="1"/>
      <c r="MVZ88" s="1"/>
      <c r="MWA88" s="1"/>
      <c r="MWB88" s="1"/>
      <c r="MWC88" s="1"/>
      <c r="MWD88" s="1"/>
      <c r="MWE88" s="1"/>
      <c r="MWF88" s="1"/>
      <c r="MWG88" s="1"/>
      <c r="MWH88" s="1"/>
      <c r="MWI88" s="1"/>
      <c r="MWJ88" s="1"/>
      <c r="MWK88" s="1"/>
      <c r="MWL88" s="1"/>
      <c r="MWM88" s="1"/>
      <c r="MWN88" s="1"/>
      <c r="MWO88" s="1"/>
      <c r="MWP88" s="1"/>
      <c r="MWQ88" s="1"/>
      <c r="MWR88" s="1"/>
      <c r="MWS88" s="1"/>
      <c r="MWT88" s="1"/>
      <c r="MWU88" s="1"/>
      <c r="MWV88" s="1"/>
      <c r="MWW88" s="1"/>
      <c r="MWX88" s="1"/>
      <c r="MWY88" s="1"/>
      <c r="MWZ88" s="1"/>
      <c r="MXA88" s="1"/>
      <c r="MXB88" s="1"/>
      <c r="MXC88" s="1"/>
      <c r="MXD88" s="1"/>
      <c r="MXE88" s="1"/>
      <c r="MXF88" s="1"/>
      <c r="MXG88" s="1"/>
      <c r="MXH88" s="1"/>
      <c r="MXI88" s="1"/>
      <c r="MXJ88" s="1"/>
      <c r="MXK88" s="1"/>
      <c r="MXL88" s="1"/>
      <c r="MXM88" s="1"/>
      <c r="MXN88" s="1"/>
      <c r="MXO88" s="1"/>
      <c r="MXP88" s="1"/>
      <c r="MXQ88" s="1"/>
      <c r="MXR88" s="1"/>
      <c r="MXS88" s="1"/>
      <c r="MXT88" s="1"/>
      <c r="MXU88" s="1"/>
      <c r="MXV88" s="1"/>
      <c r="MXW88" s="1"/>
      <c r="MXX88" s="1"/>
      <c r="MXY88" s="1"/>
      <c r="MXZ88" s="1"/>
      <c r="MYA88" s="1"/>
      <c r="MYB88" s="1"/>
      <c r="MYC88" s="1"/>
      <c r="MYD88" s="1"/>
      <c r="MYE88" s="1"/>
      <c r="MYF88" s="1"/>
      <c r="MYG88" s="1"/>
      <c r="MYH88" s="1"/>
      <c r="MYI88" s="1"/>
      <c r="MYJ88" s="1"/>
      <c r="MYK88" s="1"/>
      <c r="MYL88" s="1"/>
      <c r="MYM88" s="1"/>
      <c r="MYN88" s="1"/>
      <c r="MYO88" s="1"/>
      <c r="MYP88" s="1"/>
      <c r="MYQ88" s="1"/>
      <c r="MYR88" s="1"/>
      <c r="MYS88" s="1"/>
      <c r="MYT88" s="1"/>
      <c r="MYU88" s="1"/>
      <c r="MYV88" s="1"/>
      <c r="MYW88" s="1"/>
      <c r="MYX88" s="1"/>
      <c r="MYY88" s="1"/>
      <c r="MYZ88" s="1"/>
      <c r="MZA88" s="1"/>
      <c r="MZB88" s="1"/>
      <c r="MZC88" s="1"/>
      <c r="MZD88" s="1"/>
      <c r="MZE88" s="1"/>
      <c r="MZF88" s="1"/>
      <c r="MZG88" s="1"/>
      <c r="MZH88" s="1"/>
      <c r="MZI88" s="1"/>
      <c r="MZJ88" s="1"/>
      <c r="MZK88" s="1"/>
      <c r="MZL88" s="1"/>
      <c r="MZM88" s="1"/>
      <c r="MZN88" s="1"/>
      <c r="MZO88" s="1"/>
      <c r="MZP88" s="1"/>
      <c r="MZQ88" s="1"/>
      <c r="MZR88" s="1"/>
      <c r="MZS88" s="1"/>
      <c r="MZT88" s="1"/>
      <c r="MZU88" s="1"/>
      <c r="MZV88" s="1"/>
      <c r="MZW88" s="1"/>
      <c r="MZX88" s="1"/>
      <c r="MZY88" s="1"/>
      <c r="MZZ88" s="1"/>
      <c r="NAA88" s="1"/>
      <c r="NAB88" s="1"/>
      <c r="NAC88" s="1"/>
      <c r="NAD88" s="1"/>
      <c r="NAE88" s="1"/>
      <c r="NAF88" s="1"/>
      <c r="NAG88" s="1"/>
      <c r="NAH88" s="1"/>
      <c r="NAI88" s="1"/>
      <c r="NAJ88" s="1"/>
      <c r="NAK88" s="1"/>
      <c r="NAL88" s="1"/>
      <c r="NAM88" s="1"/>
      <c r="NAN88" s="1"/>
      <c r="NAO88" s="1"/>
      <c r="NAP88" s="1"/>
      <c r="NAQ88" s="1"/>
      <c r="NAR88" s="1"/>
      <c r="NAS88" s="1"/>
      <c r="NAT88" s="1"/>
      <c r="NAU88" s="1"/>
      <c r="NAV88" s="1"/>
      <c r="NAW88" s="1"/>
      <c r="NAX88" s="1"/>
      <c r="NAY88" s="1"/>
      <c r="NAZ88" s="1"/>
      <c r="NBA88" s="1"/>
      <c r="NBB88" s="1"/>
      <c r="NBC88" s="1"/>
      <c r="NBD88" s="1"/>
      <c r="NBE88" s="1"/>
      <c r="NBF88" s="1"/>
      <c r="NBG88" s="1"/>
      <c r="NBH88" s="1"/>
      <c r="NBI88" s="1"/>
      <c r="NBJ88" s="1"/>
      <c r="NBK88" s="1"/>
      <c r="NBL88" s="1"/>
      <c r="NBM88" s="1"/>
      <c r="NBN88" s="1"/>
      <c r="NBO88" s="1"/>
      <c r="NBP88" s="1"/>
      <c r="NBQ88" s="1"/>
      <c r="NBR88" s="1"/>
      <c r="NBS88" s="1"/>
      <c r="NBT88" s="1"/>
      <c r="NBU88" s="1"/>
      <c r="NBV88" s="1"/>
      <c r="NBW88" s="1"/>
      <c r="NBX88" s="1"/>
      <c r="NBY88" s="1"/>
      <c r="NBZ88" s="1"/>
      <c r="NCA88" s="1"/>
      <c r="NCB88" s="1"/>
      <c r="NCC88" s="1"/>
      <c r="NCD88" s="1"/>
      <c r="NCE88" s="1"/>
      <c r="NCF88" s="1"/>
      <c r="NCG88" s="1"/>
      <c r="NCH88" s="1"/>
      <c r="NCI88" s="1"/>
      <c r="NCJ88" s="1"/>
      <c r="NCK88" s="1"/>
      <c r="NCL88" s="1"/>
      <c r="NCM88" s="1"/>
      <c r="NCN88" s="1"/>
      <c r="NCO88" s="1"/>
      <c r="NCP88" s="1"/>
      <c r="NCQ88" s="1"/>
      <c r="NCR88" s="1"/>
      <c r="NCS88" s="1"/>
      <c r="NCT88" s="1"/>
      <c r="NCU88" s="1"/>
      <c r="NCV88" s="1"/>
      <c r="NCW88" s="1"/>
      <c r="NCX88" s="1"/>
      <c r="NCY88" s="1"/>
      <c r="NCZ88" s="1"/>
      <c r="NDA88" s="1"/>
      <c r="NDB88" s="1"/>
      <c r="NDC88" s="1"/>
      <c r="NDD88" s="1"/>
      <c r="NDE88" s="1"/>
      <c r="NDF88" s="1"/>
      <c r="NDG88" s="1"/>
      <c r="NDH88" s="1"/>
      <c r="NDI88" s="1"/>
      <c r="NDJ88" s="1"/>
      <c r="NDK88" s="1"/>
      <c r="NDL88" s="1"/>
      <c r="NDM88" s="1"/>
      <c r="NDN88" s="1"/>
      <c r="NDO88" s="1"/>
      <c r="NDP88" s="1"/>
      <c r="NDQ88" s="1"/>
      <c r="NDR88" s="1"/>
      <c r="NDS88" s="1"/>
      <c r="NDT88" s="1"/>
      <c r="NDU88" s="1"/>
      <c r="NDV88" s="1"/>
      <c r="NDW88" s="1"/>
      <c r="NDX88" s="1"/>
      <c r="NDY88" s="1"/>
      <c r="NDZ88" s="1"/>
      <c r="NEA88" s="1"/>
      <c r="NEB88" s="1"/>
      <c r="NEC88" s="1"/>
      <c r="NED88" s="1"/>
      <c r="NEE88" s="1"/>
      <c r="NEF88" s="1"/>
      <c r="NEG88" s="1"/>
      <c r="NEH88" s="1"/>
      <c r="NEI88" s="1"/>
      <c r="NEJ88" s="1"/>
      <c r="NEK88" s="1"/>
      <c r="NEL88" s="1"/>
      <c r="NEM88" s="1"/>
      <c r="NEN88" s="1"/>
      <c r="NEO88" s="1"/>
      <c r="NEP88" s="1"/>
      <c r="NEQ88" s="1"/>
      <c r="NER88" s="1"/>
      <c r="NES88" s="1"/>
      <c r="NET88" s="1"/>
      <c r="NEU88" s="1"/>
      <c r="NEV88" s="1"/>
      <c r="NEW88" s="1"/>
      <c r="NEX88" s="1"/>
      <c r="NEY88" s="1"/>
      <c r="NEZ88" s="1"/>
      <c r="NFA88" s="1"/>
      <c r="NFB88" s="1"/>
      <c r="NFC88" s="1"/>
      <c r="NFD88" s="1"/>
      <c r="NFE88" s="1"/>
      <c r="NFF88" s="1"/>
      <c r="NFG88" s="1"/>
      <c r="NFH88" s="1"/>
      <c r="NFI88" s="1"/>
      <c r="NFJ88" s="1"/>
      <c r="NFK88" s="1"/>
      <c r="NFL88" s="1"/>
      <c r="NFM88" s="1"/>
      <c r="NFN88" s="1"/>
      <c r="NFO88" s="1"/>
      <c r="NFP88" s="1"/>
      <c r="NFQ88" s="1"/>
      <c r="NFR88" s="1"/>
      <c r="NFS88" s="1"/>
      <c r="NFT88" s="1"/>
      <c r="NFU88" s="1"/>
      <c r="NFV88" s="1"/>
      <c r="NFW88" s="1"/>
      <c r="NFX88" s="1"/>
      <c r="NFY88" s="1"/>
      <c r="NFZ88" s="1"/>
      <c r="NGA88" s="1"/>
      <c r="NGB88" s="1"/>
      <c r="NGC88" s="1"/>
      <c r="NGD88" s="1"/>
      <c r="NGE88" s="1"/>
      <c r="NGF88" s="1"/>
      <c r="NGG88" s="1"/>
      <c r="NGH88" s="1"/>
      <c r="NGI88" s="1"/>
      <c r="NGJ88" s="1"/>
      <c r="NGK88" s="1"/>
      <c r="NGL88" s="1"/>
      <c r="NGM88" s="1"/>
      <c r="NGN88" s="1"/>
      <c r="NGO88" s="1"/>
      <c r="NGP88" s="1"/>
      <c r="NGQ88" s="1"/>
      <c r="NGR88" s="1"/>
      <c r="NGS88" s="1"/>
      <c r="NGT88" s="1"/>
      <c r="NGU88" s="1"/>
      <c r="NGV88" s="1"/>
      <c r="NGW88" s="1"/>
      <c r="NGX88" s="1"/>
      <c r="NGY88" s="1"/>
      <c r="NGZ88" s="1"/>
      <c r="NHA88" s="1"/>
      <c r="NHB88" s="1"/>
      <c r="NHC88" s="1"/>
      <c r="NHD88" s="1"/>
      <c r="NHE88" s="1"/>
      <c r="NHF88" s="1"/>
      <c r="NHG88" s="1"/>
      <c r="NHH88" s="1"/>
      <c r="NHI88" s="1"/>
      <c r="NHJ88" s="1"/>
      <c r="NHK88" s="1"/>
      <c r="NHL88" s="1"/>
      <c r="NHM88" s="1"/>
      <c r="NHN88" s="1"/>
      <c r="NHO88" s="1"/>
      <c r="NHP88" s="1"/>
      <c r="NHQ88" s="1"/>
      <c r="NHR88" s="1"/>
      <c r="NHS88" s="1"/>
      <c r="NHT88" s="1"/>
      <c r="NHU88" s="1"/>
      <c r="NHV88" s="1"/>
      <c r="NHW88" s="1"/>
      <c r="NHX88" s="1"/>
      <c r="NHY88" s="1"/>
      <c r="NHZ88" s="1"/>
      <c r="NIA88" s="1"/>
      <c r="NIB88" s="1"/>
      <c r="NIC88" s="1"/>
      <c r="NID88" s="1"/>
      <c r="NIE88" s="1"/>
      <c r="NIF88" s="1"/>
      <c r="NIG88" s="1"/>
      <c r="NIH88" s="1"/>
      <c r="NII88" s="1"/>
      <c r="NIJ88" s="1"/>
      <c r="NIK88" s="1"/>
      <c r="NIL88" s="1"/>
      <c r="NIM88" s="1"/>
      <c r="NIN88" s="1"/>
      <c r="NIO88" s="1"/>
      <c r="NIP88" s="1"/>
      <c r="NIQ88" s="1"/>
      <c r="NIR88" s="1"/>
      <c r="NIS88" s="1"/>
      <c r="NIT88" s="1"/>
      <c r="NIU88" s="1"/>
      <c r="NIV88" s="1"/>
      <c r="NIW88" s="1"/>
      <c r="NIX88" s="1"/>
      <c r="NIY88" s="1"/>
      <c r="NIZ88" s="1"/>
      <c r="NJA88" s="1"/>
      <c r="NJB88" s="1"/>
      <c r="NJC88" s="1"/>
      <c r="NJD88" s="1"/>
      <c r="NJE88" s="1"/>
      <c r="NJF88" s="1"/>
      <c r="NJG88" s="1"/>
      <c r="NJH88" s="1"/>
      <c r="NJI88" s="1"/>
      <c r="NJJ88" s="1"/>
      <c r="NJK88" s="1"/>
      <c r="NJL88" s="1"/>
      <c r="NJM88" s="1"/>
      <c r="NJN88" s="1"/>
      <c r="NJO88" s="1"/>
      <c r="NJP88" s="1"/>
      <c r="NJQ88" s="1"/>
      <c r="NJR88" s="1"/>
      <c r="NJS88" s="1"/>
      <c r="NJT88" s="1"/>
      <c r="NJU88" s="1"/>
      <c r="NJV88" s="1"/>
      <c r="NJW88" s="1"/>
      <c r="NJX88" s="1"/>
      <c r="NJY88" s="1"/>
      <c r="NJZ88" s="1"/>
      <c r="NKA88" s="1"/>
      <c r="NKB88" s="1"/>
      <c r="NKC88" s="1"/>
      <c r="NKD88" s="1"/>
      <c r="NKE88" s="1"/>
      <c r="NKF88" s="1"/>
      <c r="NKG88" s="1"/>
      <c r="NKH88" s="1"/>
      <c r="NKI88" s="1"/>
      <c r="NKJ88" s="1"/>
      <c r="NKK88" s="1"/>
      <c r="NKL88" s="1"/>
      <c r="NKM88" s="1"/>
      <c r="NKN88" s="1"/>
      <c r="NKO88" s="1"/>
      <c r="NKP88" s="1"/>
      <c r="NKQ88" s="1"/>
      <c r="NKR88" s="1"/>
      <c r="NKS88" s="1"/>
      <c r="NKT88" s="1"/>
      <c r="NKU88" s="1"/>
      <c r="NKV88" s="1"/>
      <c r="NKW88" s="1"/>
      <c r="NKX88" s="1"/>
      <c r="NKY88" s="1"/>
      <c r="NKZ88" s="1"/>
      <c r="NLA88" s="1"/>
      <c r="NLB88" s="1"/>
      <c r="NLC88" s="1"/>
      <c r="NLD88" s="1"/>
      <c r="NLE88" s="1"/>
      <c r="NLF88" s="1"/>
      <c r="NLG88" s="1"/>
      <c r="NLH88" s="1"/>
      <c r="NLI88" s="1"/>
      <c r="NLJ88" s="1"/>
      <c r="NLK88" s="1"/>
      <c r="NLL88" s="1"/>
      <c r="NLM88" s="1"/>
      <c r="NLN88" s="1"/>
      <c r="NLO88" s="1"/>
      <c r="NLP88" s="1"/>
      <c r="NLQ88" s="1"/>
      <c r="NLR88" s="1"/>
      <c r="NLS88" s="1"/>
      <c r="NLT88" s="1"/>
      <c r="NLU88" s="1"/>
      <c r="NLV88" s="1"/>
      <c r="NLW88" s="1"/>
      <c r="NLX88" s="1"/>
      <c r="NLY88" s="1"/>
      <c r="NLZ88" s="1"/>
      <c r="NMA88" s="1"/>
      <c r="NMB88" s="1"/>
      <c r="NMC88" s="1"/>
      <c r="NMD88" s="1"/>
      <c r="NME88" s="1"/>
      <c r="NMF88" s="1"/>
      <c r="NMG88" s="1"/>
      <c r="NMH88" s="1"/>
      <c r="NMI88" s="1"/>
      <c r="NMJ88" s="1"/>
      <c r="NMK88" s="1"/>
      <c r="NML88" s="1"/>
      <c r="NMM88" s="1"/>
      <c r="NMN88" s="1"/>
      <c r="NMO88" s="1"/>
      <c r="NMP88" s="1"/>
      <c r="NMQ88" s="1"/>
      <c r="NMR88" s="1"/>
      <c r="NMS88" s="1"/>
      <c r="NMT88" s="1"/>
      <c r="NMU88" s="1"/>
      <c r="NMV88" s="1"/>
      <c r="NMW88" s="1"/>
      <c r="NMX88" s="1"/>
      <c r="NMY88" s="1"/>
      <c r="NMZ88" s="1"/>
      <c r="NNA88" s="1"/>
      <c r="NNB88" s="1"/>
      <c r="NNC88" s="1"/>
      <c r="NND88" s="1"/>
      <c r="NNE88" s="1"/>
      <c r="NNF88" s="1"/>
      <c r="NNG88" s="1"/>
      <c r="NNH88" s="1"/>
      <c r="NNI88" s="1"/>
      <c r="NNJ88" s="1"/>
      <c r="NNK88" s="1"/>
      <c r="NNL88" s="1"/>
      <c r="NNM88" s="1"/>
      <c r="NNN88" s="1"/>
      <c r="NNO88" s="1"/>
      <c r="NNP88" s="1"/>
      <c r="NNQ88" s="1"/>
      <c r="NNR88" s="1"/>
      <c r="NNS88" s="1"/>
      <c r="NNT88" s="1"/>
      <c r="NNU88" s="1"/>
      <c r="NNV88" s="1"/>
      <c r="NNW88" s="1"/>
      <c r="NNX88" s="1"/>
      <c r="NNY88" s="1"/>
      <c r="NNZ88" s="1"/>
      <c r="NOA88" s="1"/>
      <c r="NOB88" s="1"/>
      <c r="NOC88" s="1"/>
      <c r="NOD88" s="1"/>
      <c r="NOE88" s="1"/>
      <c r="NOF88" s="1"/>
      <c r="NOG88" s="1"/>
      <c r="NOH88" s="1"/>
      <c r="NOI88" s="1"/>
      <c r="NOJ88" s="1"/>
      <c r="NOK88" s="1"/>
      <c r="NOL88" s="1"/>
      <c r="NOM88" s="1"/>
      <c r="NON88" s="1"/>
      <c r="NOO88" s="1"/>
      <c r="NOP88" s="1"/>
      <c r="NOQ88" s="1"/>
      <c r="NOR88" s="1"/>
      <c r="NOS88" s="1"/>
      <c r="NOT88" s="1"/>
      <c r="NOU88" s="1"/>
      <c r="NOV88" s="1"/>
      <c r="NOW88" s="1"/>
      <c r="NOX88" s="1"/>
      <c r="NOY88" s="1"/>
      <c r="NOZ88" s="1"/>
      <c r="NPA88" s="1"/>
      <c r="NPB88" s="1"/>
      <c r="NPC88" s="1"/>
      <c r="NPD88" s="1"/>
      <c r="NPE88" s="1"/>
      <c r="NPF88" s="1"/>
      <c r="NPG88" s="1"/>
      <c r="NPH88" s="1"/>
      <c r="NPI88" s="1"/>
      <c r="NPJ88" s="1"/>
      <c r="NPK88" s="1"/>
      <c r="NPL88" s="1"/>
      <c r="NPM88" s="1"/>
      <c r="NPN88" s="1"/>
      <c r="NPO88" s="1"/>
      <c r="NPP88" s="1"/>
      <c r="NPQ88" s="1"/>
      <c r="NPR88" s="1"/>
      <c r="NPS88" s="1"/>
      <c r="NPT88" s="1"/>
      <c r="NPU88" s="1"/>
      <c r="NPV88" s="1"/>
      <c r="NPW88" s="1"/>
      <c r="NPX88" s="1"/>
      <c r="NPY88" s="1"/>
      <c r="NPZ88" s="1"/>
      <c r="NQA88" s="1"/>
      <c r="NQB88" s="1"/>
      <c r="NQC88" s="1"/>
      <c r="NQD88" s="1"/>
      <c r="NQE88" s="1"/>
      <c r="NQF88" s="1"/>
      <c r="NQG88" s="1"/>
      <c r="NQH88" s="1"/>
      <c r="NQI88" s="1"/>
      <c r="NQJ88" s="1"/>
      <c r="NQK88" s="1"/>
      <c r="NQL88" s="1"/>
      <c r="NQM88" s="1"/>
      <c r="NQN88" s="1"/>
      <c r="NQO88" s="1"/>
      <c r="NQP88" s="1"/>
      <c r="NQQ88" s="1"/>
      <c r="NQR88" s="1"/>
      <c r="NQS88" s="1"/>
      <c r="NQT88" s="1"/>
      <c r="NQU88" s="1"/>
      <c r="NQV88" s="1"/>
      <c r="NQW88" s="1"/>
      <c r="NQX88" s="1"/>
      <c r="NQY88" s="1"/>
      <c r="NQZ88" s="1"/>
      <c r="NRA88" s="1"/>
      <c r="NRB88" s="1"/>
      <c r="NRC88" s="1"/>
      <c r="NRD88" s="1"/>
      <c r="NRE88" s="1"/>
      <c r="NRF88" s="1"/>
      <c r="NRG88" s="1"/>
      <c r="NRH88" s="1"/>
      <c r="NRI88" s="1"/>
      <c r="NRJ88" s="1"/>
      <c r="NRK88" s="1"/>
      <c r="NRL88" s="1"/>
      <c r="NRM88" s="1"/>
      <c r="NRN88" s="1"/>
      <c r="NRO88" s="1"/>
      <c r="NRP88" s="1"/>
      <c r="NRQ88" s="1"/>
      <c r="NRR88" s="1"/>
      <c r="NRS88" s="1"/>
      <c r="NRT88" s="1"/>
      <c r="NRU88" s="1"/>
      <c r="NRV88" s="1"/>
      <c r="NRW88" s="1"/>
      <c r="NRX88" s="1"/>
      <c r="NRY88" s="1"/>
      <c r="NRZ88" s="1"/>
      <c r="NSA88" s="1"/>
      <c r="NSB88" s="1"/>
      <c r="NSC88" s="1"/>
      <c r="NSD88" s="1"/>
      <c r="NSE88" s="1"/>
      <c r="NSF88" s="1"/>
      <c r="NSG88" s="1"/>
      <c r="NSH88" s="1"/>
      <c r="NSI88" s="1"/>
      <c r="NSJ88" s="1"/>
      <c r="NSK88" s="1"/>
      <c r="NSL88" s="1"/>
      <c r="NSM88" s="1"/>
      <c r="NSN88" s="1"/>
      <c r="NSO88" s="1"/>
      <c r="NSP88" s="1"/>
      <c r="NSQ88" s="1"/>
      <c r="NSR88" s="1"/>
      <c r="NSS88" s="1"/>
      <c r="NST88" s="1"/>
      <c r="NSU88" s="1"/>
      <c r="NSV88" s="1"/>
      <c r="NSW88" s="1"/>
      <c r="NSX88" s="1"/>
      <c r="NSY88" s="1"/>
      <c r="NSZ88" s="1"/>
      <c r="NTA88" s="1"/>
      <c r="NTB88" s="1"/>
      <c r="NTC88" s="1"/>
      <c r="NTD88" s="1"/>
      <c r="NTE88" s="1"/>
      <c r="NTF88" s="1"/>
      <c r="NTG88" s="1"/>
      <c r="NTH88" s="1"/>
      <c r="NTI88" s="1"/>
      <c r="NTJ88" s="1"/>
      <c r="NTK88" s="1"/>
      <c r="NTL88" s="1"/>
      <c r="NTM88" s="1"/>
      <c r="NTN88" s="1"/>
      <c r="NTO88" s="1"/>
      <c r="NTP88" s="1"/>
      <c r="NTQ88" s="1"/>
      <c r="NTR88" s="1"/>
      <c r="NTS88" s="1"/>
      <c r="NTT88" s="1"/>
      <c r="NTU88" s="1"/>
      <c r="NTV88" s="1"/>
      <c r="NTW88" s="1"/>
      <c r="NTX88" s="1"/>
      <c r="NTY88" s="1"/>
      <c r="NTZ88" s="1"/>
      <c r="NUA88" s="1"/>
      <c r="NUB88" s="1"/>
      <c r="NUC88" s="1"/>
      <c r="NUD88" s="1"/>
      <c r="NUE88" s="1"/>
      <c r="NUF88" s="1"/>
      <c r="NUG88" s="1"/>
      <c r="NUH88" s="1"/>
      <c r="NUI88" s="1"/>
      <c r="NUJ88" s="1"/>
      <c r="NUK88" s="1"/>
      <c r="NUL88" s="1"/>
      <c r="NUM88" s="1"/>
      <c r="NUN88" s="1"/>
      <c r="NUO88" s="1"/>
      <c r="NUP88" s="1"/>
      <c r="NUQ88" s="1"/>
      <c r="NUR88" s="1"/>
      <c r="NUS88" s="1"/>
      <c r="NUT88" s="1"/>
      <c r="NUU88" s="1"/>
      <c r="NUV88" s="1"/>
      <c r="NUW88" s="1"/>
      <c r="NUX88" s="1"/>
      <c r="NUY88" s="1"/>
      <c r="NUZ88" s="1"/>
      <c r="NVA88" s="1"/>
      <c r="NVB88" s="1"/>
      <c r="NVC88" s="1"/>
      <c r="NVD88" s="1"/>
      <c r="NVE88" s="1"/>
      <c r="NVF88" s="1"/>
      <c r="NVG88" s="1"/>
      <c r="NVH88" s="1"/>
      <c r="NVI88" s="1"/>
      <c r="NVJ88" s="1"/>
      <c r="NVK88" s="1"/>
      <c r="NVL88" s="1"/>
      <c r="NVM88" s="1"/>
      <c r="NVN88" s="1"/>
      <c r="NVO88" s="1"/>
      <c r="NVP88" s="1"/>
      <c r="NVQ88" s="1"/>
      <c r="NVR88" s="1"/>
      <c r="NVS88" s="1"/>
      <c r="NVT88" s="1"/>
      <c r="NVU88" s="1"/>
      <c r="NVV88" s="1"/>
      <c r="NVW88" s="1"/>
      <c r="NVX88" s="1"/>
      <c r="NVY88" s="1"/>
      <c r="NVZ88" s="1"/>
      <c r="NWA88" s="1"/>
      <c r="NWB88" s="1"/>
      <c r="NWC88" s="1"/>
      <c r="NWD88" s="1"/>
      <c r="NWE88" s="1"/>
      <c r="NWF88" s="1"/>
      <c r="NWG88" s="1"/>
      <c r="NWH88" s="1"/>
      <c r="NWI88" s="1"/>
      <c r="NWJ88" s="1"/>
      <c r="NWK88" s="1"/>
      <c r="NWL88" s="1"/>
      <c r="NWM88" s="1"/>
      <c r="NWN88" s="1"/>
      <c r="NWO88" s="1"/>
      <c r="NWP88" s="1"/>
      <c r="NWQ88" s="1"/>
      <c r="NWR88" s="1"/>
      <c r="NWS88" s="1"/>
      <c r="NWT88" s="1"/>
      <c r="NWU88" s="1"/>
      <c r="NWV88" s="1"/>
      <c r="NWW88" s="1"/>
      <c r="NWX88" s="1"/>
      <c r="NWY88" s="1"/>
      <c r="NWZ88" s="1"/>
      <c r="NXA88" s="1"/>
      <c r="NXB88" s="1"/>
      <c r="NXC88" s="1"/>
      <c r="NXD88" s="1"/>
      <c r="NXE88" s="1"/>
      <c r="NXF88" s="1"/>
      <c r="NXG88" s="1"/>
      <c r="NXH88" s="1"/>
      <c r="NXI88" s="1"/>
      <c r="NXJ88" s="1"/>
      <c r="NXK88" s="1"/>
      <c r="NXL88" s="1"/>
      <c r="NXM88" s="1"/>
      <c r="NXN88" s="1"/>
      <c r="NXO88" s="1"/>
      <c r="NXP88" s="1"/>
      <c r="NXQ88" s="1"/>
      <c r="NXR88" s="1"/>
      <c r="NXS88" s="1"/>
      <c r="NXT88" s="1"/>
      <c r="NXU88" s="1"/>
      <c r="NXV88" s="1"/>
      <c r="NXW88" s="1"/>
      <c r="NXX88" s="1"/>
      <c r="NXY88" s="1"/>
      <c r="NXZ88" s="1"/>
      <c r="NYA88" s="1"/>
      <c r="NYB88" s="1"/>
      <c r="NYC88" s="1"/>
      <c r="NYD88" s="1"/>
      <c r="NYE88" s="1"/>
      <c r="NYF88" s="1"/>
      <c r="NYG88" s="1"/>
      <c r="NYH88" s="1"/>
      <c r="NYI88" s="1"/>
      <c r="NYJ88" s="1"/>
      <c r="NYK88" s="1"/>
      <c r="NYL88" s="1"/>
      <c r="NYM88" s="1"/>
      <c r="NYN88" s="1"/>
      <c r="NYO88" s="1"/>
      <c r="NYP88" s="1"/>
      <c r="NYQ88" s="1"/>
      <c r="NYR88" s="1"/>
      <c r="NYS88" s="1"/>
      <c r="NYT88" s="1"/>
      <c r="NYU88" s="1"/>
      <c r="NYV88" s="1"/>
      <c r="NYW88" s="1"/>
      <c r="NYX88" s="1"/>
      <c r="NYY88" s="1"/>
      <c r="NYZ88" s="1"/>
      <c r="NZA88" s="1"/>
      <c r="NZB88" s="1"/>
      <c r="NZC88" s="1"/>
      <c r="NZD88" s="1"/>
      <c r="NZE88" s="1"/>
      <c r="NZF88" s="1"/>
      <c r="NZG88" s="1"/>
      <c r="NZH88" s="1"/>
      <c r="NZI88" s="1"/>
      <c r="NZJ88" s="1"/>
      <c r="NZK88" s="1"/>
      <c r="NZL88" s="1"/>
      <c r="NZM88" s="1"/>
      <c r="NZN88" s="1"/>
      <c r="NZO88" s="1"/>
      <c r="NZP88" s="1"/>
      <c r="NZQ88" s="1"/>
      <c r="NZR88" s="1"/>
      <c r="NZS88" s="1"/>
      <c r="NZT88" s="1"/>
      <c r="NZU88" s="1"/>
      <c r="NZV88" s="1"/>
      <c r="NZW88" s="1"/>
      <c r="NZX88" s="1"/>
      <c r="NZY88" s="1"/>
      <c r="NZZ88" s="1"/>
      <c r="OAA88" s="1"/>
      <c r="OAB88" s="1"/>
      <c r="OAC88" s="1"/>
      <c r="OAD88" s="1"/>
      <c r="OAE88" s="1"/>
      <c r="OAF88" s="1"/>
      <c r="OAG88" s="1"/>
      <c r="OAH88" s="1"/>
      <c r="OAI88" s="1"/>
      <c r="OAJ88" s="1"/>
      <c r="OAK88" s="1"/>
      <c r="OAL88" s="1"/>
      <c r="OAM88" s="1"/>
      <c r="OAN88" s="1"/>
      <c r="OAO88" s="1"/>
      <c r="OAP88" s="1"/>
      <c r="OAQ88" s="1"/>
      <c r="OAR88" s="1"/>
      <c r="OAS88" s="1"/>
      <c r="OAT88" s="1"/>
      <c r="OAU88" s="1"/>
      <c r="OAV88" s="1"/>
      <c r="OAW88" s="1"/>
      <c r="OAX88" s="1"/>
      <c r="OAY88" s="1"/>
      <c r="OAZ88" s="1"/>
      <c r="OBA88" s="1"/>
      <c r="OBB88" s="1"/>
      <c r="OBC88" s="1"/>
      <c r="OBD88" s="1"/>
      <c r="OBE88" s="1"/>
      <c r="OBF88" s="1"/>
      <c r="OBG88" s="1"/>
      <c r="OBH88" s="1"/>
      <c r="OBI88" s="1"/>
      <c r="OBJ88" s="1"/>
      <c r="OBK88" s="1"/>
      <c r="OBL88" s="1"/>
      <c r="OBM88" s="1"/>
      <c r="OBN88" s="1"/>
      <c r="OBO88" s="1"/>
      <c r="OBP88" s="1"/>
      <c r="OBQ88" s="1"/>
      <c r="OBR88" s="1"/>
      <c r="OBS88" s="1"/>
      <c r="OBT88" s="1"/>
      <c r="OBU88" s="1"/>
      <c r="OBV88" s="1"/>
      <c r="OBW88" s="1"/>
      <c r="OBX88" s="1"/>
      <c r="OBY88" s="1"/>
      <c r="OBZ88" s="1"/>
      <c r="OCA88" s="1"/>
      <c r="OCB88" s="1"/>
      <c r="OCC88" s="1"/>
      <c r="OCD88" s="1"/>
      <c r="OCE88" s="1"/>
      <c r="OCF88" s="1"/>
      <c r="OCG88" s="1"/>
      <c r="OCH88" s="1"/>
      <c r="OCI88" s="1"/>
      <c r="OCJ88" s="1"/>
      <c r="OCK88" s="1"/>
      <c r="OCL88" s="1"/>
      <c r="OCM88" s="1"/>
      <c r="OCN88" s="1"/>
      <c r="OCO88" s="1"/>
      <c r="OCP88" s="1"/>
      <c r="OCQ88" s="1"/>
      <c r="OCR88" s="1"/>
      <c r="OCS88" s="1"/>
      <c r="OCT88" s="1"/>
      <c r="OCU88" s="1"/>
      <c r="OCV88" s="1"/>
      <c r="OCW88" s="1"/>
      <c r="OCX88" s="1"/>
      <c r="OCY88" s="1"/>
      <c r="OCZ88" s="1"/>
      <c r="ODA88" s="1"/>
      <c r="ODB88" s="1"/>
      <c r="ODC88" s="1"/>
      <c r="ODD88" s="1"/>
      <c r="ODE88" s="1"/>
      <c r="ODF88" s="1"/>
      <c r="ODG88" s="1"/>
      <c r="ODH88" s="1"/>
      <c r="ODI88" s="1"/>
      <c r="ODJ88" s="1"/>
      <c r="ODK88" s="1"/>
      <c r="ODL88" s="1"/>
      <c r="ODM88" s="1"/>
      <c r="ODN88" s="1"/>
      <c r="ODO88" s="1"/>
      <c r="ODP88" s="1"/>
      <c r="ODQ88" s="1"/>
      <c r="ODR88" s="1"/>
      <c r="ODS88" s="1"/>
      <c r="ODT88" s="1"/>
      <c r="ODU88" s="1"/>
      <c r="ODV88" s="1"/>
      <c r="ODW88" s="1"/>
      <c r="ODX88" s="1"/>
      <c r="ODY88" s="1"/>
      <c r="ODZ88" s="1"/>
      <c r="OEA88" s="1"/>
      <c r="OEB88" s="1"/>
      <c r="OEC88" s="1"/>
      <c r="OED88" s="1"/>
      <c r="OEE88" s="1"/>
      <c r="OEF88" s="1"/>
      <c r="OEG88" s="1"/>
      <c r="OEH88" s="1"/>
      <c r="OEI88" s="1"/>
      <c r="OEJ88" s="1"/>
      <c r="OEK88" s="1"/>
      <c r="OEL88" s="1"/>
      <c r="OEM88" s="1"/>
      <c r="OEN88" s="1"/>
      <c r="OEO88" s="1"/>
      <c r="OEP88" s="1"/>
      <c r="OEQ88" s="1"/>
      <c r="OER88" s="1"/>
      <c r="OES88" s="1"/>
      <c r="OET88" s="1"/>
      <c r="OEU88" s="1"/>
      <c r="OEV88" s="1"/>
      <c r="OEW88" s="1"/>
      <c r="OEX88" s="1"/>
      <c r="OEY88" s="1"/>
      <c r="OEZ88" s="1"/>
      <c r="OFA88" s="1"/>
      <c r="OFB88" s="1"/>
      <c r="OFC88" s="1"/>
      <c r="OFD88" s="1"/>
      <c r="OFE88" s="1"/>
      <c r="OFF88" s="1"/>
      <c r="OFG88" s="1"/>
      <c r="OFH88" s="1"/>
      <c r="OFI88" s="1"/>
      <c r="OFJ88" s="1"/>
      <c r="OFK88" s="1"/>
      <c r="OFL88" s="1"/>
      <c r="OFM88" s="1"/>
      <c r="OFN88" s="1"/>
      <c r="OFO88" s="1"/>
      <c r="OFP88" s="1"/>
      <c r="OFQ88" s="1"/>
      <c r="OFR88" s="1"/>
      <c r="OFS88" s="1"/>
      <c r="OFT88" s="1"/>
      <c r="OFU88" s="1"/>
      <c r="OFV88" s="1"/>
      <c r="OFW88" s="1"/>
      <c r="OFX88" s="1"/>
      <c r="OFY88" s="1"/>
      <c r="OFZ88" s="1"/>
      <c r="OGA88" s="1"/>
      <c r="OGB88" s="1"/>
      <c r="OGC88" s="1"/>
      <c r="OGD88" s="1"/>
      <c r="OGE88" s="1"/>
      <c r="OGF88" s="1"/>
      <c r="OGG88" s="1"/>
      <c r="OGH88" s="1"/>
      <c r="OGI88" s="1"/>
      <c r="OGJ88" s="1"/>
      <c r="OGK88" s="1"/>
      <c r="OGL88" s="1"/>
      <c r="OGM88" s="1"/>
      <c r="OGN88" s="1"/>
      <c r="OGO88" s="1"/>
      <c r="OGP88" s="1"/>
      <c r="OGQ88" s="1"/>
      <c r="OGR88" s="1"/>
      <c r="OGS88" s="1"/>
      <c r="OGT88" s="1"/>
      <c r="OGU88" s="1"/>
      <c r="OGV88" s="1"/>
      <c r="OGW88" s="1"/>
      <c r="OGX88" s="1"/>
      <c r="OGY88" s="1"/>
      <c r="OGZ88" s="1"/>
      <c r="OHA88" s="1"/>
      <c r="OHB88" s="1"/>
      <c r="OHC88" s="1"/>
      <c r="OHD88" s="1"/>
      <c r="OHE88" s="1"/>
      <c r="OHF88" s="1"/>
      <c r="OHG88" s="1"/>
      <c r="OHH88" s="1"/>
      <c r="OHI88" s="1"/>
      <c r="OHJ88" s="1"/>
      <c r="OHK88" s="1"/>
      <c r="OHL88" s="1"/>
      <c r="OHM88" s="1"/>
      <c r="OHN88" s="1"/>
      <c r="OHO88" s="1"/>
      <c r="OHP88" s="1"/>
      <c r="OHQ88" s="1"/>
      <c r="OHR88" s="1"/>
      <c r="OHS88" s="1"/>
      <c r="OHT88" s="1"/>
      <c r="OHU88" s="1"/>
      <c r="OHV88" s="1"/>
      <c r="OHW88" s="1"/>
      <c r="OHX88" s="1"/>
      <c r="OHY88" s="1"/>
      <c r="OHZ88" s="1"/>
      <c r="OIA88" s="1"/>
      <c r="OIB88" s="1"/>
      <c r="OIC88" s="1"/>
      <c r="OID88" s="1"/>
      <c r="OIE88" s="1"/>
      <c r="OIF88" s="1"/>
      <c r="OIG88" s="1"/>
      <c r="OIH88" s="1"/>
      <c r="OII88" s="1"/>
      <c r="OIJ88" s="1"/>
      <c r="OIK88" s="1"/>
      <c r="OIL88" s="1"/>
      <c r="OIM88" s="1"/>
      <c r="OIN88" s="1"/>
      <c r="OIO88" s="1"/>
      <c r="OIP88" s="1"/>
      <c r="OIQ88" s="1"/>
      <c r="OIR88" s="1"/>
      <c r="OIS88" s="1"/>
      <c r="OIT88" s="1"/>
      <c r="OIU88" s="1"/>
      <c r="OIV88" s="1"/>
      <c r="OIW88" s="1"/>
      <c r="OIX88" s="1"/>
      <c r="OIY88" s="1"/>
      <c r="OIZ88" s="1"/>
      <c r="OJA88" s="1"/>
      <c r="OJB88" s="1"/>
      <c r="OJC88" s="1"/>
      <c r="OJD88" s="1"/>
      <c r="OJE88" s="1"/>
      <c r="OJF88" s="1"/>
      <c r="OJG88" s="1"/>
      <c r="OJH88" s="1"/>
      <c r="OJI88" s="1"/>
      <c r="OJJ88" s="1"/>
      <c r="OJK88" s="1"/>
      <c r="OJL88" s="1"/>
      <c r="OJM88" s="1"/>
      <c r="OJN88" s="1"/>
      <c r="OJO88" s="1"/>
      <c r="OJP88" s="1"/>
      <c r="OJQ88" s="1"/>
      <c r="OJR88" s="1"/>
      <c r="OJS88" s="1"/>
      <c r="OJT88" s="1"/>
      <c r="OJU88" s="1"/>
      <c r="OJV88" s="1"/>
      <c r="OJW88" s="1"/>
      <c r="OJX88" s="1"/>
      <c r="OJY88" s="1"/>
      <c r="OJZ88" s="1"/>
      <c r="OKA88" s="1"/>
      <c r="OKB88" s="1"/>
      <c r="OKC88" s="1"/>
      <c r="OKD88" s="1"/>
      <c r="OKE88" s="1"/>
      <c r="OKF88" s="1"/>
      <c r="OKG88" s="1"/>
      <c r="OKH88" s="1"/>
      <c r="OKI88" s="1"/>
      <c r="OKJ88" s="1"/>
      <c r="OKK88" s="1"/>
      <c r="OKL88" s="1"/>
      <c r="OKM88" s="1"/>
      <c r="OKN88" s="1"/>
      <c r="OKO88" s="1"/>
      <c r="OKP88" s="1"/>
      <c r="OKQ88" s="1"/>
      <c r="OKR88" s="1"/>
      <c r="OKS88" s="1"/>
      <c r="OKT88" s="1"/>
      <c r="OKU88" s="1"/>
      <c r="OKV88" s="1"/>
      <c r="OKW88" s="1"/>
      <c r="OKX88" s="1"/>
      <c r="OKY88" s="1"/>
      <c r="OKZ88" s="1"/>
      <c r="OLA88" s="1"/>
      <c r="OLB88" s="1"/>
      <c r="OLC88" s="1"/>
      <c r="OLD88" s="1"/>
      <c r="OLE88" s="1"/>
      <c r="OLF88" s="1"/>
      <c r="OLG88" s="1"/>
      <c r="OLH88" s="1"/>
      <c r="OLI88" s="1"/>
      <c r="OLJ88" s="1"/>
      <c r="OLK88" s="1"/>
      <c r="OLL88" s="1"/>
      <c r="OLM88" s="1"/>
      <c r="OLN88" s="1"/>
      <c r="OLO88" s="1"/>
      <c r="OLP88" s="1"/>
      <c r="OLQ88" s="1"/>
      <c r="OLR88" s="1"/>
      <c r="OLS88" s="1"/>
      <c r="OLT88" s="1"/>
      <c r="OLU88" s="1"/>
      <c r="OLV88" s="1"/>
      <c r="OLW88" s="1"/>
      <c r="OLX88" s="1"/>
      <c r="OLY88" s="1"/>
      <c r="OLZ88" s="1"/>
      <c r="OMA88" s="1"/>
      <c r="OMB88" s="1"/>
      <c r="OMC88" s="1"/>
      <c r="OMD88" s="1"/>
      <c r="OME88" s="1"/>
      <c r="OMF88" s="1"/>
      <c r="OMG88" s="1"/>
      <c r="OMH88" s="1"/>
      <c r="OMI88" s="1"/>
      <c r="OMJ88" s="1"/>
      <c r="OMK88" s="1"/>
      <c r="OML88" s="1"/>
      <c r="OMM88" s="1"/>
      <c r="OMN88" s="1"/>
      <c r="OMO88" s="1"/>
      <c r="OMP88" s="1"/>
      <c r="OMQ88" s="1"/>
      <c r="OMR88" s="1"/>
      <c r="OMS88" s="1"/>
      <c r="OMT88" s="1"/>
      <c r="OMU88" s="1"/>
      <c r="OMV88" s="1"/>
      <c r="OMW88" s="1"/>
      <c r="OMX88" s="1"/>
      <c r="OMY88" s="1"/>
      <c r="OMZ88" s="1"/>
      <c r="ONA88" s="1"/>
      <c r="ONB88" s="1"/>
      <c r="ONC88" s="1"/>
      <c r="OND88" s="1"/>
      <c r="ONE88" s="1"/>
      <c r="ONF88" s="1"/>
      <c r="ONG88" s="1"/>
      <c r="ONH88" s="1"/>
      <c r="ONI88" s="1"/>
      <c r="ONJ88" s="1"/>
      <c r="ONK88" s="1"/>
      <c r="ONL88" s="1"/>
      <c r="ONM88" s="1"/>
      <c r="ONN88" s="1"/>
      <c r="ONO88" s="1"/>
      <c r="ONP88" s="1"/>
      <c r="ONQ88" s="1"/>
      <c r="ONR88" s="1"/>
      <c r="ONS88" s="1"/>
      <c r="ONT88" s="1"/>
      <c r="ONU88" s="1"/>
      <c r="ONV88" s="1"/>
      <c r="ONW88" s="1"/>
      <c r="ONX88" s="1"/>
      <c r="ONY88" s="1"/>
      <c r="ONZ88" s="1"/>
      <c r="OOA88" s="1"/>
      <c r="OOB88" s="1"/>
      <c r="OOC88" s="1"/>
      <c r="OOD88" s="1"/>
      <c r="OOE88" s="1"/>
      <c r="OOF88" s="1"/>
      <c r="OOG88" s="1"/>
      <c r="OOH88" s="1"/>
      <c r="OOI88" s="1"/>
      <c r="OOJ88" s="1"/>
      <c r="OOK88" s="1"/>
      <c r="OOL88" s="1"/>
      <c r="OOM88" s="1"/>
      <c r="OON88" s="1"/>
      <c r="OOO88" s="1"/>
      <c r="OOP88" s="1"/>
      <c r="OOQ88" s="1"/>
      <c r="OOR88" s="1"/>
      <c r="OOS88" s="1"/>
      <c r="OOT88" s="1"/>
      <c r="OOU88" s="1"/>
      <c r="OOV88" s="1"/>
      <c r="OOW88" s="1"/>
      <c r="OOX88" s="1"/>
      <c r="OOY88" s="1"/>
      <c r="OOZ88" s="1"/>
      <c r="OPA88" s="1"/>
      <c r="OPB88" s="1"/>
      <c r="OPC88" s="1"/>
      <c r="OPD88" s="1"/>
      <c r="OPE88" s="1"/>
      <c r="OPF88" s="1"/>
      <c r="OPG88" s="1"/>
      <c r="OPH88" s="1"/>
      <c r="OPI88" s="1"/>
      <c r="OPJ88" s="1"/>
      <c r="OPK88" s="1"/>
      <c r="OPL88" s="1"/>
      <c r="OPM88" s="1"/>
      <c r="OPN88" s="1"/>
      <c r="OPO88" s="1"/>
      <c r="OPP88" s="1"/>
      <c r="OPQ88" s="1"/>
      <c r="OPR88" s="1"/>
      <c r="OPS88" s="1"/>
      <c r="OPT88" s="1"/>
      <c r="OPU88" s="1"/>
      <c r="OPV88" s="1"/>
      <c r="OPW88" s="1"/>
      <c r="OPX88" s="1"/>
      <c r="OPY88" s="1"/>
      <c r="OPZ88" s="1"/>
      <c r="OQA88" s="1"/>
      <c r="OQB88" s="1"/>
      <c r="OQC88" s="1"/>
      <c r="OQD88" s="1"/>
      <c r="OQE88" s="1"/>
      <c r="OQF88" s="1"/>
      <c r="OQG88" s="1"/>
      <c r="OQH88" s="1"/>
      <c r="OQI88" s="1"/>
      <c r="OQJ88" s="1"/>
      <c r="OQK88" s="1"/>
      <c r="OQL88" s="1"/>
      <c r="OQM88" s="1"/>
      <c r="OQN88" s="1"/>
      <c r="OQO88" s="1"/>
      <c r="OQP88" s="1"/>
      <c r="OQQ88" s="1"/>
      <c r="OQR88" s="1"/>
      <c r="OQS88" s="1"/>
      <c r="OQT88" s="1"/>
      <c r="OQU88" s="1"/>
      <c r="OQV88" s="1"/>
      <c r="OQW88" s="1"/>
      <c r="OQX88" s="1"/>
      <c r="OQY88" s="1"/>
      <c r="OQZ88" s="1"/>
      <c r="ORA88" s="1"/>
      <c r="ORB88" s="1"/>
      <c r="ORC88" s="1"/>
      <c r="ORD88" s="1"/>
      <c r="ORE88" s="1"/>
      <c r="ORF88" s="1"/>
      <c r="ORG88" s="1"/>
      <c r="ORH88" s="1"/>
      <c r="ORI88" s="1"/>
      <c r="ORJ88" s="1"/>
      <c r="ORK88" s="1"/>
      <c r="ORL88" s="1"/>
      <c r="ORM88" s="1"/>
      <c r="ORN88" s="1"/>
      <c r="ORO88" s="1"/>
      <c r="ORP88" s="1"/>
      <c r="ORQ88" s="1"/>
      <c r="ORR88" s="1"/>
      <c r="ORS88" s="1"/>
      <c r="ORT88" s="1"/>
      <c r="ORU88" s="1"/>
      <c r="ORV88" s="1"/>
      <c r="ORW88" s="1"/>
      <c r="ORX88" s="1"/>
      <c r="ORY88" s="1"/>
      <c r="ORZ88" s="1"/>
      <c r="OSA88" s="1"/>
      <c r="OSB88" s="1"/>
      <c r="OSC88" s="1"/>
      <c r="OSD88" s="1"/>
      <c r="OSE88" s="1"/>
      <c r="OSF88" s="1"/>
      <c r="OSG88" s="1"/>
      <c r="OSH88" s="1"/>
      <c r="OSI88" s="1"/>
      <c r="OSJ88" s="1"/>
      <c r="OSK88" s="1"/>
      <c r="OSL88" s="1"/>
      <c r="OSM88" s="1"/>
      <c r="OSN88" s="1"/>
      <c r="OSO88" s="1"/>
      <c r="OSP88" s="1"/>
      <c r="OSQ88" s="1"/>
      <c r="OSR88" s="1"/>
      <c r="OSS88" s="1"/>
      <c r="OST88" s="1"/>
      <c r="OSU88" s="1"/>
      <c r="OSV88" s="1"/>
      <c r="OSW88" s="1"/>
      <c r="OSX88" s="1"/>
      <c r="OSY88" s="1"/>
      <c r="OSZ88" s="1"/>
      <c r="OTA88" s="1"/>
      <c r="OTB88" s="1"/>
      <c r="OTC88" s="1"/>
      <c r="OTD88" s="1"/>
      <c r="OTE88" s="1"/>
      <c r="OTF88" s="1"/>
      <c r="OTG88" s="1"/>
      <c r="OTH88" s="1"/>
      <c r="OTI88" s="1"/>
      <c r="OTJ88" s="1"/>
      <c r="OTK88" s="1"/>
      <c r="OTL88" s="1"/>
      <c r="OTM88" s="1"/>
      <c r="OTN88" s="1"/>
      <c r="OTO88" s="1"/>
      <c r="OTP88" s="1"/>
      <c r="OTQ88" s="1"/>
      <c r="OTR88" s="1"/>
      <c r="OTS88" s="1"/>
      <c r="OTT88" s="1"/>
      <c r="OTU88" s="1"/>
      <c r="OTV88" s="1"/>
      <c r="OTW88" s="1"/>
      <c r="OTX88" s="1"/>
      <c r="OTY88" s="1"/>
      <c r="OTZ88" s="1"/>
      <c r="OUA88" s="1"/>
      <c r="OUB88" s="1"/>
      <c r="OUC88" s="1"/>
      <c r="OUD88" s="1"/>
      <c r="OUE88" s="1"/>
      <c r="OUF88" s="1"/>
      <c r="OUG88" s="1"/>
      <c r="OUH88" s="1"/>
      <c r="OUI88" s="1"/>
      <c r="OUJ88" s="1"/>
      <c r="OUK88" s="1"/>
      <c r="OUL88" s="1"/>
      <c r="OUM88" s="1"/>
      <c r="OUN88" s="1"/>
      <c r="OUO88" s="1"/>
      <c r="OUP88" s="1"/>
      <c r="OUQ88" s="1"/>
      <c r="OUR88" s="1"/>
      <c r="OUS88" s="1"/>
      <c r="OUT88" s="1"/>
      <c r="OUU88" s="1"/>
      <c r="OUV88" s="1"/>
      <c r="OUW88" s="1"/>
      <c r="OUX88" s="1"/>
      <c r="OUY88" s="1"/>
      <c r="OUZ88" s="1"/>
      <c r="OVA88" s="1"/>
      <c r="OVB88" s="1"/>
      <c r="OVC88" s="1"/>
      <c r="OVD88" s="1"/>
      <c r="OVE88" s="1"/>
      <c r="OVF88" s="1"/>
      <c r="OVG88" s="1"/>
      <c r="OVH88" s="1"/>
      <c r="OVI88" s="1"/>
      <c r="OVJ88" s="1"/>
      <c r="OVK88" s="1"/>
      <c r="OVL88" s="1"/>
      <c r="OVM88" s="1"/>
      <c r="OVN88" s="1"/>
      <c r="OVO88" s="1"/>
      <c r="OVP88" s="1"/>
      <c r="OVQ88" s="1"/>
      <c r="OVR88" s="1"/>
      <c r="OVS88" s="1"/>
      <c r="OVT88" s="1"/>
      <c r="OVU88" s="1"/>
      <c r="OVV88" s="1"/>
      <c r="OVW88" s="1"/>
      <c r="OVX88" s="1"/>
      <c r="OVY88" s="1"/>
      <c r="OVZ88" s="1"/>
      <c r="OWA88" s="1"/>
      <c r="OWB88" s="1"/>
      <c r="OWC88" s="1"/>
      <c r="OWD88" s="1"/>
      <c r="OWE88" s="1"/>
      <c r="OWF88" s="1"/>
      <c r="OWG88" s="1"/>
      <c r="OWH88" s="1"/>
      <c r="OWI88" s="1"/>
      <c r="OWJ88" s="1"/>
      <c r="OWK88" s="1"/>
      <c r="OWL88" s="1"/>
      <c r="OWM88" s="1"/>
      <c r="OWN88" s="1"/>
      <c r="OWO88" s="1"/>
      <c r="OWP88" s="1"/>
      <c r="OWQ88" s="1"/>
      <c r="OWR88" s="1"/>
      <c r="OWS88" s="1"/>
      <c r="OWT88" s="1"/>
      <c r="OWU88" s="1"/>
      <c r="OWV88" s="1"/>
      <c r="OWW88" s="1"/>
      <c r="OWX88" s="1"/>
      <c r="OWY88" s="1"/>
      <c r="OWZ88" s="1"/>
      <c r="OXA88" s="1"/>
      <c r="OXB88" s="1"/>
      <c r="OXC88" s="1"/>
      <c r="OXD88" s="1"/>
      <c r="OXE88" s="1"/>
      <c r="OXF88" s="1"/>
      <c r="OXG88" s="1"/>
      <c r="OXH88" s="1"/>
      <c r="OXI88" s="1"/>
      <c r="OXJ88" s="1"/>
      <c r="OXK88" s="1"/>
      <c r="OXL88" s="1"/>
      <c r="OXM88" s="1"/>
      <c r="OXN88" s="1"/>
      <c r="OXO88" s="1"/>
      <c r="OXP88" s="1"/>
      <c r="OXQ88" s="1"/>
      <c r="OXR88" s="1"/>
      <c r="OXS88" s="1"/>
      <c r="OXT88" s="1"/>
      <c r="OXU88" s="1"/>
      <c r="OXV88" s="1"/>
      <c r="OXW88" s="1"/>
      <c r="OXX88" s="1"/>
      <c r="OXY88" s="1"/>
      <c r="OXZ88" s="1"/>
      <c r="OYA88" s="1"/>
      <c r="OYB88" s="1"/>
      <c r="OYC88" s="1"/>
      <c r="OYD88" s="1"/>
      <c r="OYE88" s="1"/>
      <c r="OYF88" s="1"/>
      <c r="OYG88" s="1"/>
      <c r="OYH88" s="1"/>
      <c r="OYI88" s="1"/>
      <c r="OYJ88" s="1"/>
      <c r="OYK88" s="1"/>
      <c r="OYL88" s="1"/>
      <c r="OYM88" s="1"/>
      <c r="OYN88" s="1"/>
      <c r="OYO88" s="1"/>
      <c r="OYP88" s="1"/>
      <c r="OYQ88" s="1"/>
      <c r="OYR88" s="1"/>
      <c r="OYS88" s="1"/>
      <c r="OYT88" s="1"/>
      <c r="OYU88" s="1"/>
      <c r="OYV88" s="1"/>
      <c r="OYW88" s="1"/>
      <c r="OYX88" s="1"/>
      <c r="OYY88" s="1"/>
      <c r="OYZ88" s="1"/>
      <c r="OZA88" s="1"/>
      <c r="OZB88" s="1"/>
      <c r="OZC88" s="1"/>
      <c r="OZD88" s="1"/>
      <c r="OZE88" s="1"/>
      <c r="OZF88" s="1"/>
      <c r="OZG88" s="1"/>
      <c r="OZH88" s="1"/>
      <c r="OZI88" s="1"/>
      <c r="OZJ88" s="1"/>
      <c r="OZK88" s="1"/>
      <c r="OZL88" s="1"/>
      <c r="OZM88" s="1"/>
      <c r="OZN88" s="1"/>
      <c r="OZO88" s="1"/>
      <c r="OZP88" s="1"/>
      <c r="OZQ88" s="1"/>
      <c r="OZR88" s="1"/>
      <c r="OZS88" s="1"/>
      <c r="OZT88" s="1"/>
      <c r="OZU88" s="1"/>
      <c r="OZV88" s="1"/>
      <c r="OZW88" s="1"/>
      <c r="OZX88" s="1"/>
      <c r="OZY88" s="1"/>
      <c r="OZZ88" s="1"/>
      <c r="PAA88" s="1"/>
      <c r="PAB88" s="1"/>
      <c r="PAC88" s="1"/>
      <c r="PAD88" s="1"/>
      <c r="PAE88" s="1"/>
      <c r="PAF88" s="1"/>
      <c r="PAG88" s="1"/>
      <c r="PAH88" s="1"/>
      <c r="PAI88" s="1"/>
      <c r="PAJ88" s="1"/>
      <c r="PAK88" s="1"/>
      <c r="PAL88" s="1"/>
      <c r="PAM88" s="1"/>
      <c r="PAN88" s="1"/>
      <c r="PAO88" s="1"/>
      <c r="PAP88" s="1"/>
      <c r="PAQ88" s="1"/>
      <c r="PAR88" s="1"/>
      <c r="PAS88" s="1"/>
      <c r="PAT88" s="1"/>
      <c r="PAU88" s="1"/>
      <c r="PAV88" s="1"/>
      <c r="PAW88" s="1"/>
      <c r="PAX88" s="1"/>
      <c r="PAY88" s="1"/>
      <c r="PAZ88" s="1"/>
      <c r="PBA88" s="1"/>
      <c r="PBB88" s="1"/>
      <c r="PBC88" s="1"/>
      <c r="PBD88" s="1"/>
      <c r="PBE88" s="1"/>
      <c r="PBF88" s="1"/>
      <c r="PBG88" s="1"/>
      <c r="PBH88" s="1"/>
      <c r="PBI88" s="1"/>
      <c r="PBJ88" s="1"/>
      <c r="PBK88" s="1"/>
      <c r="PBL88" s="1"/>
      <c r="PBM88" s="1"/>
      <c r="PBN88" s="1"/>
      <c r="PBO88" s="1"/>
      <c r="PBP88" s="1"/>
      <c r="PBQ88" s="1"/>
      <c r="PBR88" s="1"/>
      <c r="PBS88" s="1"/>
      <c r="PBT88" s="1"/>
      <c r="PBU88" s="1"/>
      <c r="PBV88" s="1"/>
      <c r="PBW88" s="1"/>
      <c r="PBX88" s="1"/>
      <c r="PBY88" s="1"/>
      <c r="PBZ88" s="1"/>
      <c r="PCA88" s="1"/>
      <c r="PCB88" s="1"/>
      <c r="PCC88" s="1"/>
      <c r="PCD88" s="1"/>
      <c r="PCE88" s="1"/>
      <c r="PCF88" s="1"/>
      <c r="PCG88" s="1"/>
      <c r="PCH88" s="1"/>
      <c r="PCI88" s="1"/>
      <c r="PCJ88" s="1"/>
      <c r="PCK88" s="1"/>
      <c r="PCL88" s="1"/>
      <c r="PCM88" s="1"/>
      <c r="PCN88" s="1"/>
      <c r="PCO88" s="1"/>
      <c r="PCP88" s="1"/>
      <c r="PCQ88" s="1"/>
      <c r="PCR88" s="1"/>
      <c r="PCS88" s="1"/>
      <c r="PCT88" s="1"/>
      <c r="PCU88" s="1"/>
      <c r="PCV88" s="1"/>
      <c r="PCW88" s="1"/>
      <c r="PCX88" s="1"/>
      <c r="PCY88" s="1"/>
      <c r="PCZ88" s="1"/>
      <c r="PDA88" s="1"/>
      <c r="PDB88" s="1"/>
      <c r="PDC88" s="1"/>
      <c r="PDD88" s="1"/>
      <c r="PDE88" s="1"/>
      <c r="PDF88" s="1"/>
      <c r="PDG88" s="1"/>
      <c r="PDH88" s="1"/>
      <c r="PDI88" s="1"/>
      <c r="PDJ88" s="1"/>
      <c r="PDK88" s="1"/>
      <c r="PDL88" s="1"/>
      <c r="PDM88" s="1"/>
      <c r="PDN88" s="1"/>
      <c r="PDO88" s="1"/>
      <c r="PDP88" s="1"/>
      <c r="PDQ88" s="1"/>
      <c r="PDR88" s="1"/>
      <c r="PDS88" s="1"/>
      <c r="PDT88" s="1"/>
      <c r="PDU88" s="1"/>
      <c r="PDV88" s="1"/>
      <c r="PDW88" s="1"/>
      <c r="PDX88" s="1"/>
      <c r="PDY88" s="1"/>
      <c r="PDZ88" s="1"/>
      <c r="PEA88" s="1"/>
      <c r="PEB88" s="1"/>
      <c r="PEC88" s="1"/>
      <c r="PED88" s="1"/>
      <c r="PEE88" s="1"/>
      <c r="PEF88" s="1"/>
      <c r="PEG88" s="1"/>
      <c r="PEH88" s="1"/>
      <c r="PEI88" s="1"/>
      <c r="PEJ88" s="1"/>
      <c r="PEK88" s="1"/>
      <c r="PEL88" s="1"/>
      <c r="PEM88" s="1"/>
      <c r="PEN88" s="1"/>
      <c r="PEO88" s="1"/>
      <c r="PEP88" s="1"/>
      <c r="PEQ88" s="1"/>
      <c r="PER88" s="1"/>
      <c r="PES88" s="1"/>
      <c r="PET88" s="1"/>
      <c r="PEU88" s="1"/>
      <c r="PEV88" s="1"/>
      <c r="PEW88" s="1"/>
      <c r="PEX88" s="1"/>
      <c r="PEY88" s="1"/>
      <c r="PEZ88" s="1"/>
      <c r="PFA88" s="1"/>
      <c r="PFB88" s="1"/>
      <c r="PFC88" s="1"/>
      <c r="PFD88" s="1"/>
      <c r="PFE88" s="1"/>
      <c r="PFF88" s="1"/>
      <c r="PFG88" s="1"/>
      <c r="PFH88" s="1"/>
      <c r="PFI88" s="1"/>
      <c r="PFJ88" s="1"/>
      <c r="PFK88" s="1"/>
      <c r="PFL88" s="1"/>
      <c r="PFM88" s="1"/>
      <c r="PFN88" s="1"/>
      <c r="PFO88" s="1"/>
      <c r="PFP88" s="1"/>
      <c r="PFQ88" s="1"/>
      <c r="PFR88" s="1"/>
      <c r="PFS88" s="1"/>
      <c r="PFT88" s="1"/>
      <c r="PFU88" s="1"/>
      <c r="PFV88" s="1"/>
      <c r="PFW88" s="1"/>
      <c r="PFX88" s="1"/>
      <c r="PFY88" s="1"/>
      <c r="PFZ88" s="1"/>
      <c r="PGA88" s="1"/>
      <c r="PGB88" s="1"/>
      <c r="PGC88" s="1"/>
      <c r="PGD88" s="1"/>
      <c r="PGE88" s="1"/>
      <c r="PGF88" s="1"/>
      <c r="PGG88" s="1"/>
      <c r="PGH88" s="1"/>
      <c r="PGI88" s="1"/>
      <c r="PGJ88" s="1"/>
      <c r="PGK88" s="1"/>
      <c r="PGL88" s="1"/>
      <c r="PGM88" s="1"/>
      <c r="PGN88" s="1"/>
      <c r="PGO88" s="1"/>
      <c r="PGP88" s="1"/>
      <c r="PGQ88" s="1"/>
      <c r="PGR88" s="1"/>
      <c r="PGS88" s="1"/>
      <c r="PGT88" s="1"/>
      <c r="PGU88" s="1"/>
      <c r="PGV88" s="1"/>
      <c r="PGW88" s="1"/>
      <c r="PGX88" s="1"/>
      <c r="PGY88" s="1"/>
      <c r="PGZ88" s="1"/>
      <c r="PHA88" s="1"/>
      <c r="PHB88" s="1"/>
      <c r="PHC88" s="1"/>
      <c r="PHD88" s="1"/>
      <c r="PHE88" s="1"/>
      <c r="PHF88" s="1"/>
      <c r="PHG88" s="1"/>
      <c r="PHH88" s="1"/>
      <c r="PHI88" s="1"/>
      <c r="PHJ88" s="1"/>
      <c r="PHK88" s="1"/>
      <c r="PHL88" s="1"/>
      <c r="PHM88" s="1"/>
      <c r="PHN88" s="1"/>
      <c r="PHO88" s="1"/>
      <c r="PHP88" s="1"/>
      <c r="PHQ88" s="1"/>
      <c r="PHR88" s="1"/>
      <c r="PHS88" s="1"/>
      <c r="PHT88" s="1"/>
      <c r="PHU88" s="1"/>
      <c r="PHV88" s="1"/>
      <c r="PHW88" s="1"/>
      <c r="PHX88" s="1"/>
      <c r="PHY88" s="1"/>
      <c r="PHZ88" s="1"/>
      <c r="PIA88" s="1"/>
      <c r="PIB88" s="1"/>
      <c r="PIC88" s="1"/>
      <c r="PID88" s="1"/>
      <c r="PIE88" s="1"/>
      <c r="PIF88" s="1"/>
      <c r="PIG88" s="1"/>
      <c r="PIH88" s="1"/>
      <c r="PII88" s="1"/>
      <c r="PIJ88" s="1"/>
      <c r="PIK88" s="1"/>
      <c r="PIL88" s="1"/>
      <c r="PIM88" s="1"/>
      <c r="PIN88" s="1"/>
      <c r="PIO88" s="1"/>
      <c r="PIP88" s="1"/>
      <c r="PIQ88" s="1"/>
      <c r="PIR88" s="1"/>
      <c r="PIS88" s="1"/>
      <c r="PIT88" s="1"/>
      <c r="PIU88" s="1"/>
      <c r="PIV88" s="1"/>
      <c r="PIW88" s="1"/>
      <c r="PIX88" s="1"/>
      <c r="PIY88" s="1"/>
      <c r="PIZ88" s="1"/>
      <c r="PJA88" s="1"/>
      <c r="PJB88" s="1"/>
      <c r="PJC88" s="1"/>
      <c r="PJD88" s="1"/>
      <c r="PJE88" s="1"/>
      <c r="PJF88" s="1"/>
      <c r="PJG88" s="1"/>
      <c r="PJH88" s="1"/>
      <c r="PJI88" s="1"/>
      <c r="PJJ88" s="1"/>
      <c r="PJK88" s="1"/>
      <c r="PJL88" s="1"/>
      <c r="PJM88" s="1"/>
      <c r="PJN88" s="1"/>
      <c r="PJO88" s="1"/>
      <c r="PJP88" s="1"/>
      <c r="PJQ88" s="1"/>
      <c r="PJR88" s="1"/>
      <c r="PJS88" s="1"/>
      <c r="PJT88" s="1"/>
      <c r="PJU88" s="1"/>
      <c r="PJV88" s="1"/>
      <c r="PJW88" s="1"/>
      <c r="PJX88" s="1"/>
      <c r="PJY88" s="1"/>
      <c r="PJZ88" s="1"/>
      <c r="PKA88" s="1"/>
      <c r="PKB88" s="1"/>
      <c r="PKC88" s="1"/>
      <c r="PKD88" s="1"/>
      <c r="PKE88" s="1"/>
      <c r="PKF88" s="1"/>
      <c r="PKG88" s="1"/>
      <c r="PKH88" s="1"/>
      <c r="PKI88" s="1"/>
      <c r="PKJ88" s="1"/>
      <c r="PKK88" s="1"/>
      <c r="PKL88" s="1"/>
      <c r="PKM88" s="1"/>
      <c r="PKN88" s="1"/>
      <c r="PKO88" s="1"/>
      <c r="PKP88" s="1"/>
      <c r="PKQ88" s="1"/>
      <c r="PKR88" s="1"/>
      <c r="PKS88" s="1"/>
      <c r="PKT88" s="1"/>
      <c r="PKU88" s="1"/>
      <c r="PKV88" s="1"/>
      <c r="PKW88" s="1"/>
      <c r="PKX88" s="1"/>
      <c r="PKY88" s="1"/>
      <c r="PKZ88" s="1"/>
      <c r="PLA88" s="1"/>
      <c r="PLB88" s="1"/>
      <c r="PLC88" s="1"/>
      <c r="PLD88" s="1"/>
      <c r="PLE88" s="1"/>
      <c r="PLF88" s="1"/>
      <c r="PLG88" s="1"/>
      <c r="PLH88" s="1"/>
      <c r="PLI88" s="1"/>
      <c r="PLJ88" s="1"/>
      <c r="PLK88" s="1"/>
      <c r="PLL88" s="1"/>
      <c r="PLM88" s="1"/>
      <c r="PLN88" s="1"/>
      <c r="PLO88" s="1"/>
      <c r="PLP88" s="1"/>
      <c r="PLQ88" s="1"/>
      <c r="PLR88" s="1"/>
      <c r="PLS88" s="1"/>
      <c r="PLT88" s="1"/>
      <c r="PLU88" s="1"/>
      <c r="PLV88" s="1"/>
      <c r="PLW88" s="1"/>
      <c r="PLX88" s="1"/>
      <c r="PLY88" s="1"/>
      <c r="PLZ88" s="1"/>
      <c r="PMA88" s="1"/>
      <c r="PMB88" s="1"/>
      <c r="PMC88" s="1"/>
      <c r="PMD88" s="1"/>
      <c r="PME88" s="1"/>
      <c r="PMF88" s="1"/>
      <c r="PMG88" s="1"/>
      <c r="PMH88" s="1"/>
      <c r="PMI88" s="1"/>
      <c r="PMJ88" s="1"/>
      <c r="PMK88" s="1"/>
      <c r="PML88" s="1"/>
      <c r="PMM88" s="1"/>
      <c r="PMN88" s="1"/>
      <c r="PMO88" s="1"/>
      <c r="PMP88" s="1"/>
      <c r="PMQ88" s="1"/>
      <c r="PMR88" s="1"/>
      <c r="PMS88" s="1"/>
      <c r="PMT88" s="1"/>
      <c r="PMU88" s="1"/>
      <c r="PMV88" s="1"/>
      <c r="PMW88" s="1"/>
      <c r="PMX88" s="1"/>
      <c r="PMY88" s="1"/>
      <c r="PMZ88" s="1"/>
      <c r="PNA88" s="1"/>
      <c r="PNB88" s="1"/>
      <c r="PNC88" s="1"/>
      <c r="PND88" s="1"/>
      <c r="PNE88" s="1"/>
      <c r="PNF88" s="1"/>
      <c r="PNG88" s="1"/>
      <c r="PNH88" s="1"/>
      <c r="PNI88" s="1"/>
      <c r="PNJ88" s="1"/>
      <c r="PNK88" s="1"/>
      <c r="PNL88" s="1"/>
      <c r="PNM88" s="1"/>
      <c r="PNN88" s="1"/>
      <c r="PNO88" s="1"/>
      <c r="PNP88" s="1"/>
      <c r="PNQ88" s="1"/>
      <c r="PNR88" s="1"/>
      <c r="PNS88" s="1"/>
      <c r="PNT88" s="1"/>
      <c r="PNU88" s="1"/>
      <c r="PNV88" s="1"/>
      <c r="PNW88" s="1"/>
      <c r="PNX88" s="1"/>
      <c r="PNY88" s="1"/>
      <c r="PNZ88" s="1"/>
      <c r="POA88" s="1"/>
      <c r="POB88" s="1"/>
      <c r="POC88" s="1"/>
      <c r="POD88" s="1"/>
      <c r="POE88" s="1"/>
      <c r="POF88" s="1"/>
      <c r="POG88" s="1"/>
      <c r="POH88" s="1"/>
      <c r="POI88" s="1"/>
      <c r="POJ88" s="1"/>
      <c r="POK88" s="1"/>
      <c r="POL88" s="1"/>
      <c r="POM88" s="1"/>
      <c r="PON88" s="1"/>
      <c r="POO88" s="1"/>
      <c r="POP88" s="1"/>
      <c r="POQ88" s="1"/>
      <c r="POR88" s="1"/>
      <c r="POS88" s="1"/>
      <c r="POT88" s="1"/>
      <c r="POU88" s="1"/>
      <c r="POV88" s="1"/>
      <c r="POW88" s="1"/>
      <c r="POX88" s="1"/>
      <c r="POY88" s="1"/>
      <c r="POZ88" s="1"/>
      <c r="PPA88" s="1"/>
      <c r="PPB88" s="1"/>
      <c r="PPC88" s="1"/>
      <c r="PPD88" s="1"/>
      <c r="PPE88" s="1"/>
      <c r="PPF88" s="1"/>
      <c r="PPG88" s="1"/>
      <c r="PPH88" s="1"/>
      <c r="PPI88" s="1"/>
      <c r="PPJ88" s="1"/>
      <c r="PPK88" s="1"/>
      <c r="PPL88" s="1"/>
      <c r="PPM88" s="1"/>
      <c r="PPN88" s="1"/>
      <c r="PPO88" s="1"/>
      <c r="PPP88" s="1"/>
      <c r="PPQ88" s="1"/>
      <c r="PPR88" s="1"/>
      <c r="PPS88" s="1"/>
      <c r="PPT88" s="1"/>
      <c r="PPU88" s="1"/>
      <c r="PPV88" s="1"/>
      <c r="PPW88" s="1"/>
      <c r="PPX88" s="1"/>
      <c r="PPY88" s="1"/>
      <c r="PPZ88" s="1"/>
      <c r="PQA88" s="1"/>
      <c r="PQB88" s="1"/>
      <c r="PQC88" s="1"/>
      <c r="PQD88" s="1"/>
      <c r="PQE88" s="1"/>
      <c r="PQF88" s="1"/>
      <c r="PQG88" s="1"/>
      <c r="PQH88" s="1"/>
      <c r="PQI88" s="1"/>
      <c r="PQJ88" s="1"/>
      <c r="PQK88" s="1"/>
      <c r="PQL88" s="1"/>
      <c r="PQM88" s="1"/>
      <c r="PQN88" s="1"/>
      <c r="PQO88" s="1"/>
      <c r="PQP88" s="1"/>
      <c r="PQQ88" s="1"/>
      <c r="PQR88" s="1"/>
      <c r="PQS88" s="1"/>
      <c r="PQT88" s="1"/>
      <c r="PQU88" s="1"/>
      <c r="PQV88" s="1"/>
      <c r="PQW88" s="1"/>
      <c r="PQX88" s="1"/>
      <c r="PQY88" s="1"/>
      <c r="PQZ88" s="1"/>
      <c r="PRA88" s="1"/>
      <c r="PRB88" s="1"/>
      <c r="PRC88" s="1"/>
      <c r="PRD88" s="1"/>
      <c r="PRE88" s="1"/>
      <c r="PRF88" s="1"/>
      <c r="PRG88" s="1"/>
      <c r="PRH88" s="1"/>
      <c r="PRI88" s="1"/>
      <c r="PRJ88" s="1"/>
      <c r="PRK88" s="1"/>
      <c r="PRL88" s="1"/>
      <c r="PRM88" s="1"/>
      <c r="PRN88" s="1"/>
      <c r="PRO88" s="1"/>
      <c r="PRP88" s="1"/>
      <c r="PRQ88" s="1"/>
      <c r="PRR88" s="1"/>
      <c r="PRS88" s="1"/>
      <c r="PRT88" s="1"/>
      <c r="PRU88" s="1"/>
      <c r="PRV88" s="1"/>
      <c r="PRW88" s="1"/>
      <c r="PRX88" s="1"/>
      <c r="PRY88" s="1"/>
      <c r="PRZ88" s="1"/>
      <c r="PSA88" s="1"/>
      <c r="PSB88" s="1"/>
      <c r="PSC88" s="1"/>
      <c r="PSD88" s="1"/>
      <c r="PSE88" s="1"/>
      <c r="PSF88" s="1"/>
      <c r="PSG88" s="1"/>
      <c r="PSH88" s="1"/>
      <c r="PSI88" s="1"/>
      <c r="PSJ88" s="1"/>
      <c r="PSK88" s="1"/>
      <c r="PSL88" s="1"/>
      <c r="PSM88" s="1"/>
      <c r="PSN88" s="1"/>
      <c r="PSO88" s="1"/>
      <c r="PSP88" s="1"/>
      <c r="PSQ88" s="1"/>
      <c r="PSR88" s="1"/>
      <c r="PSS88" s="1"/>
      <c r="PST88" s="1"/>
      <c r="PSU88" s="1"/>
      <c r="PSV88" s="1"/>
      <c r="PSW88" s="1"/>
      <c r="PSX88" s="1"/>
      <c r="PSY88" s="1"/>
      <c r="PSZ88" s="1"/>
      <c r="PTA88" s="1"/>
      <c r="PTB88" s="1"/>
      <c r="PTC88" s="1"/>
      <c r="PTD88" s="1"/>
      <c r="PTE88" s="1"/>
      <c r="PTF88" s="1"/>
      <c r="PTG88" s="1"/>
      <c r="PTH88" s="1"/>
      <c r="PTI88" s="1"/>
      <c r="PTJ88" s="1"/>
      <c r="PTK88" s="1"/>
      <c r="PTL88" s="1"/>
      <c r="PTM88" s="1"/>
      <c r="PTN88" s="1"/>
      <c r="PTO88" s="1"/>
      <c r="PTP88" s="1"/>
      <c r="PTQ88" s="1"/>
      <c r="PTR88" s="1"/>
      <c r="PTS88" s="1"/>
      <c r="PTT88" s="1"/>
      <c r="PTU88" s="1"/>
      <c r="PTV88" s="1"/>
      <c r="PTW88" s="1"/>
      <c r="PTX88" s="1"/>
      <c r="PTY88" s="1"/>
      <c r="PTZ88" s="1"/>
      <c r="PUA88" s="1"/>
      <c r="PUB88" s="1"/>
      <c r="PUC88" s="1"/>
      <c r="PUD88" s="1"/>
      <c r="PUE88" s="1"/>
      <c r="PUF88" s="1"/>
      <c r="PUG88" s="1"/>
      <c r="PUH88" s="1"/>
      <c r="PUI88" s="1"/>
      <c r="PUJ88" s="1"/>
      <c r="PUK88" s="1"/>
      <c r="PUL88" s="1"/>
      <c r="PUM88" s="1"/>
      <c r="PUN88" s="1"/>
      <c r="PUO88" s="1"/>
      <c r="PUP88" s="1"/>
      <c r="PUQ88" s="1"/>
      <c r="PUR88" s="1"/>
      <c r="PUS88" s="1"/>
      <c r="PUT88" s="1"/>
      <c r="PUU88" s="1"/>
      <c r="PUV88" s="1"/>
      <c r="PUW88" s="1"/>
      <c r="PUX88" s="1"/>
      <c r="PUY88" s="1"/>
      <c r="PUZ88" s="1"/>
      <c r="PVA88" s="1"/>
      <c r="PVB88" s="1"/>
      <c r="PVC88" s="1"/>
      <c r="PVD88" s="1"/>
      <c r="PVE88" s="1"/>
      <c r="PVF88" s="1"/>
      <c r="PVG88" s="1"/>
      <c r="PVH88" s="1"/>
      <c r="PVI88" s="1"/>
      <c r="PVJ88" s="1"/>
      <c r="PVK88" s="1"/>
      <c r="PVL88" s="1"/>
      <c r="PVM88" s="1"/>
      <c r="PVN88" s="1"/>
      <c r="PVO88" s="1"/>
      <c r="PVP88" s="1"/>
      <c r="PVQ88" s="1"/>
      <c r="PVR88" s="1"/>
      <c r="PVS88" s="1"/>
      <c r="PVT88" s="1"/>
      <c r="PVU88" s="1"/>
      <c r="PVV88" s="1"/>
      <c r="PVW88" s="1"/>
      <c r="PVX88" s="1"/>
      <c r="PVY88" s="1"/>
      <c r="PVZ88" s="1"/>
      <c r="PWA88" s="1"/>
      <c r="PWB88" s="1"/>
      <c r="PWC88" s="1"/>
      <c r="PWD88" s="1"/>
      <c r="PWE88" s="1"/>
      <c r="PWF88" s="1"/>
      <c r="PWG88" s="1"/>
      <c r="PWH88" s="1"/>
      <c r="PWI88" s="1"/>
      <c r="PWJ88" s="1"/>
      <c r="PWK88" s="1"/>
      <c r="PWL88" s="1"/>
      <c r="PWM88" s="1"/>
      <c r="PWN88" s="1"/>
      <c r="PWO88" s="1"/>
      <c r="PWP88" s="1"/>
      <c r="PWQ88" s="1"/>
      <c r="PWR88" s="1"/>
      <c r="PWS88" s="1"/>
      <c r="PWT88" s="1"/>
      <c r="PWU88" s="1"/>
      <c r="PWV88" s="1"/>
      <c r="PWW88" s="1"/>
      <c r="PWX88" s="1"/>
      <c r="PWY88" s="1"/>
      <c r="PWZ88" s="1"/>
      <c r="PXA88" s="1"/>
      <c r="PXB88" s="1"/>
      <c r="PXC88" s="1"/>
      <c r="PXD88" s="1"/>
      <c r="PXE88" s="1"/>
      <c r="PXF88" s="1"/>
      <c r="PXG88" s="1"/>
      <c r="PXH88" s="1"/>
      <c r="PXI88" s="1"/>
      <c r="PXJ88" s="1"/>
      <c r="PXK88" s="1"/>
      <c r="PXL88" s="1"/>
      <c r="PXM88" s="1"/>
      <c r="PXN88" s="1"/>
      <c r="PXO88" s="1"/>
      <c r="PXP88" s="1"/>
      <c r="PXQ88" s="1"/>
      <c r="PXR88" s="1"/>
      <c r="PXS88" s="1"/>
      <c r="PXT88" s="1"/>
      <c r="PXU88" s="1"/>
      <c r="PXV88" s="1"/>
      <c r="PXW88" s="1"/>
      <c r="PXX88" s="1"/>
      <c r="PXY88" s="1"/>
      <c r="PXZ88" s="1"/>
      <c r="PYA88" s="1"/>
      <c r="PYB88" s="1"/>
      <c r="PYC88" s="1"/>
      <c r="PYD88" s="1"/>
      <c r="PYE88" s="1"/>
      <c r="PYF88" s="1"/>
      <c r="PYG88" s="1"/>
      <c r="PYH88" s="1"/>
      <c r="PYI88" s="1"/>
      <c r="PYJ88" s="1"/>
      <c r="PYK88" s="1"/>
      <c r="PYL88" s="1"/>
      <c r="PYM88" s="1"/>
      <c r="PYN88" s="1"/>
      <c r="PYO88" s="1"/>
      <c r="PYP88" s="1"/>
      <c r="PYQ88" s="1"/>
      <c r="PYR88" s="1"/>
      <c r="PYS88" s="1"/>
      <c r="PYT88" s="1"/>
      <c r="PYU88" s="1"/>
      <c r="PYV88" s="1"/>
      <c r="PYW88" s="1"/>
      <c r="PYX88" s="1"/>
      <c r="PYY88" s="1"/>
      <c r="PYZ88" s="1"/>
      <c r="PZA88" s="1"/>
      <c r="PZB88" s="1"/>
      <c r="PZC88" s="1"/>
      <c r="PZD88" s="1"/>
      <c r="PZE88" s="1"/>
      <c r="PZF88" s="1"/>
      <c r="PZG88" s="1"/>
      <c r="PZH88" s="1"/>
      <c r="PZI88" s="1"/>
      <c r="PZJ88" s="1"/>
      <c r="PZK88" s="1"/>
      <c r="PZL88" s="1"/>
      <c r="PZM88" s="1"/>
      <c r="PZN88" s="1"/>
      <c r="PZO88" s="1"/>
      <c r="PZP88" s="1"/>
      <c r="PZQ88" s="1"/>
      <c r="PZR88" s="1"/>
      <c r="PZS88" s="1"/>
      <c r="PZT88" s="1"/>
      <c r="PZU88" s="1"/>
      <c r="PZV88" s="1"/>
      <c r="PZW88" s="1"/>
      <c r="PZX88" s="1"/>
      <c r="PZY88" s="1"/>
      <c r="PZZ88" s="1"/>
      <c r="QAA88" s="1"/>
      <c r="QAB88" s="1"/>
      <c r="QAC88" s="1"/>
      <c r="QAD88" s="1"/>
      <c r="QAE88" s="1"/>
      <c r="QAF88" s="1"/>
      <c r="QAG88" s="1"/>
      <c r="QAH88" s="1"/>
      <c r="QAI88" s="1"/>
      <c r="QAJ88" s="1"/>
      <c r="QAK88" s="1"/>
      <c r="QAL88" s="1"/>
      <c r="QAM88" s="1"/>
      <c r="QAN88" s="1"/>
      <c r="QAO88" s="1"/>
      <c r="QAP88" s="1"/>
      <c r="QAQ88" s="1"/>
      <c r="QAR88" s="1"/>
      <c r="QAS88" s="1"/>
      <c r="QAT88" s="1"/>
      <c r="QAU88" s="1"/>
      <c r="QAV88" s="1"/>
      <c r="QAW88" s="1"/>
      <c r="QAX88" s="1"/>
      <c r="QAY88" s="1"/>
      <c r="QAZ88" s="1"/>
      <c r="QBA88" s="1"/>
      <c r="QBB88" s="1"/>
      <c r="QBC88" s="1"/>
      <c r="QBD88" s="1"/>
      <c r="QBE88" s="1"/>
      <c r="QBF88" s="1"/>
      <c r="QBG88" s="1"/>
      <c r="QBH88" s="1"/>
      <c r="QBI88" s="1"/>
      <c r="QBJ88" s="1"/>
      <c r="QBK88" s="1"/>
      <c r="QBL88" s="1"/>
      <c r="QBM88" s="1"/>
      <c r="QBN88" s="1"/>
      <c r="QBO88" s="1"/>
      <c r="QBP88" s="1"/>
      <c r="QBQ88" s="1"/>
      <c r="QBR88" s="1"/>
      <c r="QBS88" s="1"/>
      <c r="QBT88" s="1"/>
      <c r="QBU88" s="1"/>
      <c r="QBV88" s="1"/>
      <c r="QBW88" s="1"/>
      <c r="QBX88" s="1"/>
      <c r="QBY88" s="1"/>
      <c r="QBZ88" s="1"/>
      <c r="QCA88" s="1"/>
      <c r="QCB88" s="1"/>
      <c r="QCC88" s="1"/>
      <c r="QCD88" s="1"/>
      <c r="QCE88" s="1"/>
      <c r="QCF88" s="1"/>
      <c r="QCG88" s="1"/>
      <c r="QCH88" s="1"/>
      <c r="QCI88" s="1"/>
      <c r="QCJ88" s="1"/>
      <c r="QCK88" s="1"/>
      <c r="QCL88" s="1"/>
      <c r="QCM88" s="1"/>
      <c r="QCN88" s="1"/>
      <c r="QCO88" s="1"/>
      <c r="QCP88" s="1"/>
      <c r="QCQ88" s="1"/>
      <c r="QCR88" s="1"/>
      <c r="QCS88" s="1"/>
      <c r="QCT88" s="1"/>
      <c r="QCU88" s="1"/>
      <c r="QCV88" s="1"/>
      <c r="QCW88" s="1"/>
      <c r="QCX88" s="1"/>
      <c r="QCY88" s="1"/>
      <c r="QCZ88" s="1"/>
      <c r="QDA88" s="1"/>
      <c r="QDB88" s="1"/>
      <c r="QDC88" s="1"/>
      <c r="QDD88" s="1"/>
      <c r="QDE88" s="1"/>
      <c r="QDF88" s="1"/>
      <c r="QDG88" s="1"/>
      <c r="QDH88" s="1"/>
      <c r="QDI88" s="1"/>
      <c r="QDJ88" s="1"/>
      <c r="QDK88" s="1"/>
      <c r="QDL88" s="1"/>
      <c r="QDM88" s="1"/>
      <c r="QDN88" s="1"/>
      <c r="QDO88" s="1"/>
      <c r="QDP88" s="1"/>
      <c r="QDQ88" s="1"/>
      <c r="QDR88" s="1"/>
      <c r="QDS88" s="1"/>
      <c r="QDT88" s="1"/>
      <c r="QDU88" s="1"/>
      <c r="QDV88" s="1"/>
      <c r="QDW88" s="1"/>
      <c r="QDX88" s="1"/>
      <c r="QDY88" s="1"/>
      <c r="QDZ88" s="1"/>
      <c r="QEA88" s="1"/>
      <c r="QEB88" s="1"/>
      <c r="QEC88" s="1"/>
      <c r="QED88" s="1"/>
      <c r="QEE88" s="1"/>
      <c r="QEF88" s="1"/>
      <c r="QEG88" s="1"/>
      <c r="QEH88" s="1"/>
      <c r="QEI88" s="1"/>
      <c r="QEJ88" s="1"/>
      <c r="QEK88" s="1"/>
      <c r="QEL88" s="1"/>
      <c r="QEM88" s="1"/>
      <c r="QEN88" s="1"/>
      <c r="QEO88" s="1"/>
      <c r="QEP88" s="1"/>
      <c r="QEQ88" s="1"/>
      <c r="QER88" s="1"/>
      <c r="QES88" s="1"/>
      <c r="QET88" s="1"/>
      <c r="QEU88" s="1"/>
      <c r="QEV88" s="1"/>
      <c r="QEW88" s="1"/>
      <c r="QEX88" s="1"/>
      <c r="QEY88" s="1"/>
      <c r="QEZ88" s="1"/>
      <c r="QFA88" s="1"/>
      <c r="QFB88" s="1"/>
      <c r="QFC88" s="1"/>
      <c r="QFD88" s="1"/>
      <c r="QFE88" s="1"/>
      <c r="QFF88" s="1"/>
      <c r="QFG88" s="1"/>
      <c r="QFH88" s="1"/>
      <c r="QFI88" s="1"/>
      <c r="QFJ88" s="1"/>
      <c r="QFK88" s="1"/>
      <c r="QFL88" s="1"/>
      <c r="QFM88" s="1"/>
      <c r="QFN88" s="1"/>
      <c r="QFO88" s="1"/>
      <c r="QFP88" s="1"/>
      <c r="QFQ88" s="1"/>
      <c r="QFR88" s="1"/>
      <c r="QFS88" s="1"/>
      <c r="QFT88" s="1"/>
      <c r="QFU88" s="1"/>
      <c r="QFV88" s="1"/>
      <c r="QFW88" s="1"/>
      <c r="QFX88" s="1"/>
      <c r="QFY88" s="1"/>
      <c r="QFZ88" s="1"/>
      <c r="QGA88" s="1"/>
      <c r="QGB88" s="1"/>
      <c r="QGC88" s="1"/>
      <c r="QGD88" s="1"/>
      <c r="QGE88" s="1"/>
      <c r="QGF88" s="1"/>
      <c r="QGG88" s="1"/>
      <c r="QGH88" s="1"/>
      <c r="QGI88" s="1"/>
      <c r="QGJ88" s="1"/>
      <c r="QGK88" s="1"/>
      <c r="QGL88" s="1"/>
      <c r="QGM88" s="1"/>
      <c r="QGN88" s="1"/>
      <c r="QGO88" s="1"/>
      <c r="QGP88" s="1"/>
      <c r="QGQ88" s="1"/>
      <c r="QGR88" s="1"/>
      <c r="QGS88" s="1"/>
      <c r="QGT88" s="1"/>
      <c r="QGU88" s="1"/>
      <c r="QGV88" s="1"/>
      <c r="QGW88" s="1"/>
      <c r="QGX88" s="1"/>
      <c r="QGY88" s="1"/>
      <c r="QGZ88" s="1"/>
      <c r="QHA88" s="1"/>
      <c r="QHB88" s="1"/>
      <c r="QHC88" s="1"/>
      <c r="QHD88" s="1"/>
      <c r="QHE88" s="1"/>
      <c r="QHF88" s="1"/>
      <c r="QHG88" s="1"/>
      <c r="QHH88" s="1"/>
      <c r="QHI88" s="1"/>
      <c r="QHJ88" s="1"/>
      <c r="QHK88" s="1"/>
      <c r="QHL88" s="1"/>
      <c r="QHM88" s="1"/>
      <c r="QHN88" s="1"/>
      <c r="QHO88" s="1"/>
      <c r="QHP88" s="1"/>
      <c r="QHQ88" s="1"/>
      <c r="QHR88" s="1"/>
      <c r="QHS88" s="1"/>
      <c r="QHT88" s="1"/>
      <c r="QHU88" s="1"/>
      <c r="QHV88" s="1"/>
      <c r="QHW88" s="1"/>
      <c r="QHX88" s="1"/>
      <c r="QHY88" s="1"/>
      <c r="QHZ88" s="1"/>
      <c r="QIA88" s="1"/>
      <c r="QIB88" s="1"/>
      <c r="QIC88" s="1"/>
      <c r="QID88" s="1"/>
      <c r="QIE88" s="1"/>
      <c r="QIF88" s="1"/>
      <c r="QIG88" s="1"/>
      <c r="QIH88" s="1"/>
      <c r="QII88" s="1"/>
      <c r="QIJ88" s="1"/>
      <c r="QIK88" s="1"/>
      <c r="QIL88" s="1"/>
      <c r="QIM88" s="1"/>
      <c r="QIN88" s="1"/>
      <c r="QIO88" s="1"/>
      <c r="QIP88" s="1"/>
      <c r="QIQ88" s="1"/>
      <c r="QIR88" s="1"/>
      <c r="QIS88" s="1"/>
      <c r="QIT88" s="1"/>
      <c r="QIU88" s="1"/>
      <c r="QIV88" s="1"/>
      <c r="QIW88" s="1"/>
      <c r="QIX88" s="1"/>
      <c r="QIY88" s="1"/>
      <c r="QIZ88" s="1"/>
      <c r="QJA88" s="1"/>
      <c r="QJB88" s="1"/>
      <c r="QJC88" s="1"/>
      <c r="QJD88" s="1"/>
      <c r="QJE88" s="1"/>
      <c r="QJF88" s="1"/>
      <c r="QJG88" s="1"/>
      <c r="QJH88" s="1"/>
      <c r="QJI88" s="1"/>
      <c r="QJJ88" s="1"/>
      <c r="QJK88" s="1"/>
      <c r="QJL88" s="1"/>
      <c r="QJM88" s="1"/>
      <c r="QJN88" s="1"/>
      <c r="QJO88" s="1"/>
      <c r="QJP88" s="1"/>
      <c r="QJQ88" s="1"/>
      <c r="QJR88" s="1"/>
      <c r="QJS88" s="1"/>
      <c r="QJT88" s="1"/>
      <c r="QJU88" s="1"/>
      <c r="QJV88" s="1"/>
      <c r="QJW88" s="1"/>
      <c r="QJX88" s="1"/>
      <c r="QJY88" s="1"/>
      <c r="QJZ88" s="1"/>
      <c r="QKA88" s="1"/>
      <c r="QKB88" s="1"/>
      <c r="QKC88" s="1"/>
      <c r="QKD88" s="1"/>
      <c r="QKE88" s="1"/>
      <c r="QKF88" s="1"/>
      <c r="QKG88" s="1"/>
      <c r="QKH88" s="1"/>
      <c r="QKI88" s="1"/>
      <c r="QKJ88" s="1"/>
      <c r="QKK88" s="1"/>
      <c r="QKL88" s="1"/>
      <c r="QKM88" s="1"/>
      <c r="QKN88" s="1"/>
      <c r="QKO88" s="1"/>
      <c r="QKP88" s="1"/>
      <c r="QKQ88" s="1"/>
      <c r="QKR88" s="1"/>
      <c r="QKS88" s="1"/>
      <c r="QKT88" s="1"/>
      <c r="QKU88" s="1"/>
      <c r="QKV88" s="1"/>
      <c r="QKW88" s="1"/>
      <c r="QKX88" s="1"/>
      <c r="QKY88" s="1"/>
      <c r="QKZ88" s="1"/>
      <c r="QLA88" s="1"/>
      <c r="QLB88" s="1"/>
      <c r="QLC88" s="1"/>
      <c r="QLD88" s="1"/>
      <c r="QLE88" s="1"/>
      <c r="QLF88" s="1"/>
      <c r="QLG88" s="1"/>
      <c r="QLH88" s="1"/>
      <c r="QLI88" s="1"/>
      <c r="QLJ88" s="1"/>
      <c r="QLK88" s="1"/>
      <c r="QLL88" s="1"/>
      <c r="QLM88" s="1"/>
      <c r="QLN88" s="1"/>
      <c r="QLO88" s="1"/>
      <c r="QLP88" s="1"/>
      <c r="QLQ88" s="1"/>
      <c r="QLR88" s="1"/>
      <c r="QLS88" s="1"/>
      <c r="QLT88" s="1"/>
      <c r="QLU88" s="1"/>
      <c r="QLV88" s="1"/>
      <c r="QLW88" s="1"/>
      <c r="QLX88" s="1"/>
      <c r="QLY88" s="1"/>
      <c r="QLZ88" s="1"/>
      <c r="QMA88" s="1"/>
      <c r="QMB88" s="1"/>
      <c r="QMC88" s="1"/>
      <c r="QMD88" s="1"/>
      <c r="QME88" s="1"/>
      <c r="QMF88" s="1"/>
      <c r="QMG88" s="1"/>
      <c r="QMH88" s="1"/>
      <c r="QMI88" s="1"/>
      <c r="QMJ88" s="1"/>
      <c r="QMK88" s="1"/>
      <c r="QML88" s="1"/>
      <c r="QMM88" s="1"/>
      <c r="QMN88" s="1"/>
      <c r="QMO88" s="1"/>
      <c r="QMP88" s="1"/>
      <c r="QMQ88" s="1"/>
      <c r="QMR88" s="1"/>
      <c r="QMS88" s="1"/>
      <c r="QMT88" s="1"/>
      <c r="QMU88" s="1"/>
      <c r="QMV88" s="1"/>
      <c r="QMW88" s="1"/>
      <c r="QMX88" s="1"/>
      <c r="QMY88" s="1"/>
      <c r="QMZ88" s="1"/>
      <c r="QNA88" s="1"/>
      <c r="QNB88" s="1"/>
      <c r="QNC88" s="1"/>
      <c r="QND88" s="1"/>
      <c r="QNE88" s="1"/>
      <c r="QNF88" s="1"/>
      <c r="QNG88" s="1"/>
      <c r="QNH88" s="1"/>
      <c r="QNI88" s="1"/>
      <c r="QNJ88" s="1"/>
      <c r="QNK88" s="1"/>
      <c r="QNL88" s="1"/>
      <c r="QNM88" s="1"/>
      <c r="QNN88" s="1"/>
      <c r="QNO88" s="1"/>
      <c r="QNP88" s="1"/>
      <c r="QNQ88" s="1"/>
      <c r="QNR88" s="1"/>
      <c r="QNS88" s="1"/>
      <c r="QNT88" s="1"/>
      <c r="QNU88" s="1"/>
      <c r="QNV88" s="1"/>
      <c r="QNW88" s="1"/>
      <c r="QNX88" s="1"/>
      <c r="QNY88" s="1"/>
      <c r="QNZ88" s="1"/>
      <c r="QOA88" s="1"/>
      <c r="QOB88" s="1"/>
      <c r="QOC88" s="1"/>
      <c r="QOD88" s="1"/>
      <c r="QOE88" s="1"/>
      <c r="QOF88" s="1"/>
      <c r="QOG88" s="1"/>
      <c r="QOH88" s="1"/>
      <c r="QOI88" s="1"/>
      <c r="QOJ88" s="1"/>
      <c r="QOK88" s="1"/>
      <c r="QOL88" s="1"/>
      <c r="QOM88" s="1"/>
      <c r="QON88" s="1"/>
      <c r="QOO88" s="1"/>
      <c r="QOP88" s="1"/>
      <c r="QOQ88" s="1"/>
      <c r="QOR88" s="1"/>
      <c r="QOS88" s="1"/>
      <c r="QOT88" s="1"/>
      <c r="QOU88" s="1"/>
      <c r="QOV88" s="1"/>
      <c r="QOW88" s="1"/>
      <c r="QOX88" s="1"/>
      <c r="QOY88" s="1"/>
      <c r="QOZ88" s="1"/>
      <c r="QPA88" s="1"/>
      <c r="QPB88" s="1"/>
      <c r="QPC88" s="1"/>
      <c r="QPD88" s="1"/>
      <c r="QPE88" s="1"/>
      <c r="QPF88" s="1"/>
      <c r="QPG88" s="1"/>
      <c r="QPH88" s="1"/>
      <c r="QPI88" s="1"/>
      <c r="QPJ88" s="1"/>
      <c r="QPK88" s="1"/>
      <c r="QPL88" s="1"/>
      <c r="QPM88" s="1"/>
      <c r="QPN88" s="1"/>
      <c r="QPO88" s="1"/>
      <c r="QPP88" s="1"/>
      <c r="QPQ88" s="1"/>
      <c r="QPR88" s="1"/>
      <c r="QPS88" s="1"/>
      <c r="QPT88" s="1"/>
      <c r="QPU88" s="1"/>
      <c r="QPV88" s="1"/>
      <c r="QPW88" s="1"/>
      <c r="QPX88" s="1"/>
      <c r="QPY88" s="1"/>
      <c r="QPZ88" s="1"/>
      <c r="QQA88" s="1"/>
      <c r="QQB88" s="1"/>
      <c r="QQC88" s="1"/>
      <c r="QQD88" s="1"/>
      <c r="QQE88" s="1"/>
      <c r="QQF88" s="1"/>
      <c r="QQG88" s="1"/>
      <c r="QQH88" s="1"/>
      <c r="QQI88" s="1"/>
      <c r="QQJ88" s="1"/>
      <c r="QQK88" s="1"/>
      <c r="QQL88" s="1"/>
      <c r="QQM88" s="1"/>
      <c r="QQN88" s="1"/>
      <c r="QQO88" s="1"/>
      <c r="QQP88" s="1"/>
      <c r="QQQ88" s="1"/>
      <c r="QQR88" s="1"/>
      <c r="QQS88" s="1"/>
      <c r="QQT88" s="1"/>
      <c r="QQU88" s="1"/>
      <c r="QQV88" s="1"/>
      <c r="QQW88" s="1"/>
      <c r="QQX88" s="1"/>
      <c r="QQY88" s="1"/>
      <c r="QQZ88" s="1"/>
      <c r="QRA88" s="1"/>
      <c r="QRB88" s="1"/>
      <c r="QRC88" s="1"/>
      <c r="QRD88" s="1"/>
      <c r="QRE88" s="1"/>
      <c r="QRF88" s="1"/>
      <c r="QRG88" s="1"/>
      <c r="QRH88" s="1"/>
      <c r="QRI88" s="1"/>
      <c r="QRJ88" s="1"/>
      <c r="QRK88" s="1"/>
      <c r="QRL88" s="1"/>
      <c r="QRM88" s="1"/>
      <c r="QRN88" s="1"/>
      <c r="QRO88" s="1"/>
      <c r="QRP88" s="1"/>
      <c r="QRQ88" s="1"/>
      <c r="QRR88" s="1"/>
      <c r="QRS88" s="1"/>
      <c r="QRT88" s="1"/>
      <c r="QRU88" s="1"/>
      <c r="QRV88" s="1"/>
      <c r="QRW88" s="1"/>
      <c r="QRX88" s="1"/>
      <c r="QRY88" s="1"/>
      <c r="QRZ88" s="1"/>
      <c r="QSA88" s="1"/>
      <c r="QSB88" s="1"/>
      <c r="QSC88" s="1"/>
      <c r="QSD88" s="1"/>
      <c r="QSE88" s="1"/>
      <c r="QSF88" s="1"/>
      <c r="QSG88" s="1"/>
      <c r="QSH88" s="1"/>
      <c r="QSI88" s="1"/>
      <c r="QSJ88" s="1"/>
      <c r="QSK88" s="1"/>
      <c r="QSL88" s="1"/>
      <c r="QSM88" s="1"/>
      <c r="QSN88" s="1"/>
      <c r="QSO88" s="1"/>
      <c r="QSP88" s="1"/>
      <c r="QSQ88" s="1"/>
      <c r="QSR88" s="1"/>
      <c r="QSS88" s="1"/>
      <c r="QST88" s="1"/>
      <c r="QSU88" s="1"/>
      <c r="QSV88" s="1"/>
      <c r="QSW88" s="1"/>
      <c r="QSX88" s="1"/>
      <c r="QSY88" s="1"/>
      <c r="QSZ88" s="1"/>
      <c r="QTA88" s="1"/>
      <c r="QTB88" s="1"/>
      <c r="QTC88" s="1"/>
      <c r="QTD88" s="1"/>
      <c r="QTE88" s="1"/>
      <c r="QTF88" s="1"/>
      <c r="QTG88" s="1"/>
      <c r="QTH88" s="1"/>
      <c r="QTI88" s="1"/>
      <c r="QTJ88" s="1"/>
      <c r="QTK88" s="1"/>
      <c r="QTL88" s="1"/>
      <c r="QTM88" s="1"/>
      <c r="QTN88" s="1"/>
      <c r="QTO88" s="1"/>
      <c r="QTP88" s="1"/>
      <c r="QTQ88" s="1"/>
      <c r="QTR88" s="1"/>
      <c r="QTS88" s="1"/>
      <c r="QTT88" s="1"/>
      <c r="QTU88" s="1"/>
      <c r="QTV88" s="1"/>
      <c r="QTW88" s="1"/>
      <c r="QTX88" s="1"/>
      <c r="QTY88" s="1"/>
      <c r="QTZ88" s="1"/>
      <c r="QUA88" s="1"/>
      <c r="QUB88" s="1"/>
      <c r="QUC88" s="1"/>
      <c r="QUD88" s="1"/>
      <c r="QUE88" s="1"/>
      <c r="QUF88" s="1"/>
      <c r="QUG88" s="1"/>
      <c r="QUH88" s="1"/>
      <c r="QUI88" s="1"/>
      <c r="QUJ88" s="1"/>
      <c r="QUK88" s="1"/>
      <c r="QUL88" s="1"/>
      <c r="QUM88" s="1"/>
      <c r="QUN88" s="1"/>
      <c r="QUO88" s="1"/>
      <c r="QUP88" s="1"/>
      <c r="QUQ88" s="1"/>
      <c r="QUR88" s="1"/>
      <c r="QUS88" s="1"/>
      <c r="QUT88" s="1"/>
      <c r="QUU88" s="1"/>
      <c r="QUV88" s="1"/>
      <c r="QUW88" s="1"/>
      <c r="QUX88" s="1"/>
      <c r="QUY88" s="1"/>
      <c r="QUZ88" s="1"/>
      <c r="QVA88" s="1"/>
      <c r="QVB88" s="1"/>
      <c r="QVC88" s="1"/>
      <c r="QVD88" s="1"/>
      <c r="QVE88" s="1"/>
      <c r="QVF88" s="1"/>
      <c r="QVG88" s="1"/>
      <c r="QVH88" s="1"/>
      <c r="QVI88" s="1"/>
      <c r="QVJ88" s="1"/>
      <c r="QVK88" s="1"/>
      <c r="QVL88" s="1"/>
      <c r="QVM88" s="1"/>
      <c r="QVN88" s="1"/>
      <c r="QVO88" s="1"/>
      <c r="QVP88" s="1"/>
      <c r="QVQ88" s="1"/>
      <c r="QVR88" s="1"/>
      <c r="QVS88" s="1"/>
      <c r="QVT88" s="1"/>
      <c r="QVU88" s="1"/>
      <c r="QVV88" s="1"/>
      <c r="QVW88" s="1"/>
      <c r="QVX88" s="1"/>
      <c r="QVY88" s="1"/>
      <c r="QVZ88" s="1"/>
      <c r="QWA88" s="1"/>
      <c r="QWB88" s="1"/>
      <c r="QWC88" s="1"/>
      <c r="QWD88" s="1"/>
      <c r="QWE88" s="1"/>
      <c r="QWF88" s="1"/>
      <c r="QWG88" s="1"/>
      <c r="QWH88" s="1"/>
      <c r="QWI88" s="1"/>
      <c r="QWJ88" s="1"/>
      <c r="QWK88" s="1"/>
      <c r="QWL88" s="1"/>
      <c r="QWM88" s="1"/>
      <c r="QWN88" s="1"/>
      <c r="QWO88" s="1"/>
      <c r="QWP88" s="1"/>
      <c r="QWQ88" s="1"/>
      <c r="QWR88" s="1"/>
      <c r="QWS88" s="1"/>
      <c r="QWT88" s="1"/>
      <c r="QWU88" s="1"/>
      <c r="QWV88" s="1"/>
      <c r="QWW88" s="1"/>
      <c r="QWX88" s="1"/>
      <c r="QWY88" s="1"/>
      <c r="QWZ88" s="1"/>
      <c r="QXA88" s="1"/>
      <c r="QXB88" s="1"/>
      <c r="QXC88" s="1"/>
      <c r="QXD88" s="1"/>
      <c r="QXE88" s="1"/>
      <c r="QXF88" s="1"/>
      <c r="QXG88" s="1"/>
      <c r="QXH88" s="1"/>
      <c r="QXI88" s="1"/>
      <c r="QXJ88" s="1"/>
      <c r="QXK88" s="1"/>
      <c r="QXL88" s="1"/>
      <c r="QXM88" s="1"/>
      <c r="QXN88" s="1"/>
      <c r="QXO88" s="1"/>
      <c r="QXP88" s="1"/>
      <c r="QXQ88" s="1"/>
      <c r="QXR88" s="1"/>
      <c r="QXS88" s="1"/>
      <c r="QXT88" s="1"/>
      <c r="QXU88" s="1"/>
      <c r="QXV88" s="1"/>
      <c r="QXW88" s="1"/>
      <c r="QXX88" s="1"/>
      <c r="QXY88" s="1"/>
      <c r="QXZ88" s="1"/>
      <c r="QYA88" s="1"/>
      <c r="QYB88" s="1"/>
      <c r="QYC88" s="1"/>
      <c r="QYD88" s="1"/>
      <c r="QYE88" s="1"/>
      <c r="QYF88" s="1"/>
      <c r="QYG88" s="1"/>
      <c r="QYH88" s="1"/>
      <c r="QYI88" s="1"/>
      <c r="QYJ88" s="1"/>
      <c r="QYK88" s="1"/>
      <c r="QYL88" s="1"/>
      <c r="QYM88" s="1"/>
      <c r="QYN88" s="1"/>
      <c r="QYO88" s="1"/>
      <c r="QYP88" s="1"/>
      <c r="QYQ88" s="1"/>
      <c r="QYR88" s="1"/>
      <c r="QYS88" s="1"/>
      <c r="QYT88" s="1"/>
      <c r="QYU88" s="1"/>
      <c r="QYV88" s="1"/>
      <c r="QYW88" s="1"/>
      <c r="QYX88" s="1"/>
      <c r="QYY88" s="1"/>
      <c r="QYZ88" s="1"/>
      <c r="QZA88" s="1"/>
      <c r="QZB88" s="1"/>
      <c r="QZC88" s="1"/>
      <c r="QZD88" s="1"/>
      <c r="QZE88" s="1"/>
      <c r="QZF88" s="1"/>
      <c r="QZG88" s="1"/>
      <c r="QZH88" s="1"/>
      <c r="QZI88" s="1"/>
      <c r="QZJ88" s="1"/>
      <c r="QZK88" s="1"/>
      <c r="QZL88" s="1"/>
      <c r="QZM88" s="1"/>
      <c r="QZN88" s="1"/>
      <c r="QZO88" s="1"/>
      <c r="QZP88" s="1"/>
      <c r="QZQ88" s="1"/>
      <c r="QZR88" s="1"/>
      <c r="QZS88" s="1"/>
      <c r="QZT88" s="1"/>
      <c r="QZU88" s="1"/>
      <c r="QZV88" s="1"/>
      <c r="QZW88" s="1"/>
      <c r="QZX88" s="1"/>
      <c r="QZY88" s="1"/>
      <c r="QZZ88" s="1"/>
      <c r="RAA88" s="1"/>
      <c r="RAB88" s="1"/>
      <c r="RAC88" s="1"/>
      <c r="RAD88" s="1"/>
      <c r="RAE88" s="1"/>
      <c r="RAF88" s="1"/>
      <c r="RAG88" s="1"/>
      <c r="RAH88" s="1"/>
      <c r="RAI88" s="1"/>
      <c r="RAJ88" s="1"/>
      <c r="RAK88" s="1"/>
      <c r="RAL88" s="1"/>
      <c r="RAM88" s="1"/>
      <c r="RAN88" s="1"/>
      <c r="RAO88" s="1"/>
      <c r="RAP88" s="1"/>
      <c r="RAQ88" s="1"/>
      <c r="RAR88" s="1"/>
      <c r="RAS88" s="1"/>
      <c r="RAT88" s="1"/>
      <c r="RAU88" s="1"/>
      <c r="RAV88" s="1"/>
      <c r="RAW88" s="1"/>
      <c r="RAX88" s="1"/>
      <c r="RAY88" s="1"/>
      <c r="RAZ88" s="1"/>
      <c r="RBA88" s="1"/>
      <c r="RBB88" s="1"/>
      <c r="RBC88" s="1"/>
      <c r="RBD88" s="1"/>
      <c r="RBE88" s="1"/>
      <c r="RBF88" s="1"/>
      <c r="RBG88" s="1"/>
      <c r="RBH88" s="1"/>
      <c r="RBI88" s="1"/>
      <c r="RBJ88" s="1"/>
      <c r="RBK88" s="1"/>
      <c r="RBL88" s="1"/>
      <c r="RBM88" s="1"/>
      <c r="RBN88" s="1"/>
      <c r="RBO88" s="1"/>
      <c r="RBP88" s="1"/>
      <c r="RBQ88" s="1"/>
      <c r="RBR88" s="1"/>
      <c r="RBS88" s="1"/>
      <c r="RBT88" s="1"/>
      <c r="RBU88" s="1"/>
      <c r="RBV88" s="1"/>
      <c r="RBW88" s="1"/>
      <c r="RBX88" s="1"/>
      <c r="RBY88" s="1"/>
      <c r="RBZ88" s="1"/>
      <c r="RCA88" s="1"/>
      <c r="RCB88" s="1"/>
      <c r="RCC88" s="1"/>
      <c r="RCD88" s="1"/>
      <c r="RCE88" s="1"/>
      <c r="RCF88" s="1"/>
      <c r="RCG88" s="1"/>
      <c r="RCH88" s="1"/>
      <c r="RCI88" s="1"/>
      <c r="RCJ88" s="1"/>
      <c r="RCK88" s="1"/>
      <c r="RCL88" s="1"/>
      <c r="RCM88" s="1"/>
      <c r="RCN88" s="1"/>
      <c r="RCO88" s="1"/>
      <c r="RCP88" s="1"/>
      <c r="RCQ88" s="1"/>
      <c r="RCR88" s="1"/>
      <c r="RCS88" s="1"/>
      <c r="RCT88" s="1"/>
      <c r="RCU88" s="1"/>
      <c r="RCV88" s="1"/>
      <c r="RCW88" s="1"/>
      <c r="RCX88" s="1"/>
      <c r="RCY88" s="1"/>
      <c r="RCZ88" s="1"/>
      <c r="RDA88" s="1"/>
      <c r="RDB88" s="1"/>
      <c r="RDC88" s="1"/>
      <c r="RDD88" s="1"/>
      <c r="RDE88" s="1"/>
      <c r="RDF88" s="1"/>
      <c r="RDG88" s="1"/>
      <c r="RDH88" s="1"/>
      <c r="RDI88" s="1"/>
      <c r="RDJ88" s="1"/>
      <c r="RDK88" s="1"/>
      <c r="RDL88" s="1"/>
      <c r="RDM88" s="1"/>
      <c r="RDN88" s="1"/>
      <c r="RDO88" s="1"/>
      <c r="RDP88" s="1"/>
      <c r="RDQ88" s="1"/>
      <c r="RDR88" s="1"/>
      <c r="RDS88" s="1"/>
      <c r="RDT88" s="1"/>
      <c r="RDU88" s="1"/>
      <c r="RDV88" s="1"/>
      <c r="RDW88" s="1"/>
      <c r="RDX88" s="1"/>
      <c r="RDY88" s="1"/>
      <c r="RDZ88" s="1"/>
      <c r="REA88" s="1"/>
      <c r="REB88" s="1"/>
      <c r="REC88" s="1"/>
      <c r="RED88" s="1"/>
      <c r="REE88" s="1"/>
      <c r="REF88" s="1"/>
      <c r="REG88" s="1"/>
      <c r="REH88" s="1"/>
      <c r="REI88" s="1"/>
      <c r="REJ88" s="1"/>
      <c r="REK88" s="1"/>
      <c r="REL88" s="1"/>
      <c r="REM88" s="1"/>
      <c r="REN88" s="1"/>
      <c r="REO88" s="1"/>
      <c r="REP88" s="1"/>
      <c r="REQ88" s="1"/>
      <c r="RER88" s="1"/>
      <c r="RES88" s="1"/>
      <c r="RET88" s="1"/>
      <c r="REU88" s="1"/>
      <c r="REV88" s="1"/>
      <c r="REW88" s="1"/>
      <c r="REX88" s="1"/>
      <c r="REY88" s="1"/>
      <c r="REZ88" s="1"/>
      <c r="RFA88" s="1"/>
      <c r="RFB88" s="1"/>
      <c r="RFC88" s="1"/>
      <c r="RFD88" s="1"/>
      <c r="RFE88" s="1"/>
      <c r="RFF88" s="1"/>
      <c r="RFG88" s="1"/>
      <c r="RFH88" s="1"/>
      <c r="RFI88" s="1"/>
      <c r="RFJ88" s="1"/>
      <c r="RFK88" s="1"/>
      <c r="RFL88" s="1"/>
      <c r="RFM88" s="1"/>
      <c r="RFN88" s="1"/>
      <c r="RFO88" s="1"/>
      <c r="RFP88" s="1"/>
      <c r="RFQ88" s="1"/>
      <c r="RFR88" s="1"/>
      <c r="RFS88" s="1"/>
      <c r="RFT88" s="1"/>
      <c r="RFU88" s="1"/>
      <c r="RFV88" s="1"/>
      <c r="RFW88" s="1"/>
      <c r="RFX88" s="1"/>
      <c r="RFY88" s="1"/>
      <c r="RFZ88" s="1"/>
      <c r="RGA88" s="1"/>
      <c r="RGB88" s="1"/>
      <c r="RGC88" s="1"/>
      <c r="RGD88" s="1"/>
      <c r="RGE88" s="1"/>
      <c r="RGF88" s="1"/>
      <c r="RGG88" s="1"/>
      <c r="RGH88" s="1"/>
      <c r="RGI88" s="1"/>
      <c r="RGJ88" s="1"/>
      <c r="RGK88" s="1"/>
      <c r="RGL88" s="1"/>
      <c r="RGM88" s="1"/>
      <c r="RGN88" s="1"/>
      <c r="RGO88" s="1"/>
      <c r="RGP88" s="1"/>
      <c r="RGQ88" s="1"/>
      <c r="RGR88" s="1"/>
      <c r="RGS88" s="1"/>
      <c r="RGT88" s="1"/>
      <c r="RGU88" s="1"/>
      <c r="RGV88" s="1"/>
      <c r="RGW88" s="1"/>
      <c r="RGX88" s="1"/>
      <c r="RGY88" s="1"/>
      <c r="RGZ88" s="1"/>
      <c r="RHA88" s="1"/>
      <c r="RHB88" s="1"/>
      <c r="RHC88" s="1"/>
      <c r="RHD88" s="1"/>
      <c r="RHE88" s="1"/>
      <c r="RHF88" s="1"/>
      <c r="RHG88" s="1"/>
      <c r="RHH88" s="1"/>
      <c r="RHI88" s="1"/>
      <c r="RHJ88" s="1"/>
      <c r="RHK88" s="1"/>
      <c r="RHL88" s="1"/>
      <c r="RHM88" s="1"/>
      <c r="RHN88" s="1"/>
      <c r="RHO88" s="1"/>
      <c r="RHP88" s="1"/>
      <c r="RHQ88" s="1"/>
      <c r="RHR88" s="1"/>
      <c r="RHS88" s="1"/>
      <c r="RHT88" s="1"/>
      <c r="RHU88" s="1"/>
      <c r="RHV88" s="1"/>
      <c r="RHW88" s="1"/>
      <c r="RHX88" s="1"/>
      <c r="RHY88" s="1"/>
      <c r="RHZ88" s="1"/>
      <c r="RIA88" s="1"/>
      <c r="RIB88" s="1"/>
      <c r="RIC88" s="1"/>
      <c r="RID88" s="1"/>
      <c r="RIE88" s="1"/>
      <c r="RIF88" s="1"/>
      <c r="RIG88" s="1"/>
      <c r="RIH88" s="1"/>
      <c r="RII88" s="1"/>
      <c r="RIJ88" s="1"/>
      <c r="RIK88" s="1"/>
      <c r="RIL88" s="1"/>
      <c r="RIM88" s="1"/>
      <c r="RIN88" s="1"/>
      <c r="RIO88" s="1"/>
      <c r="RIP88" s="1"/>
      <c r="RIQ88" s="1"/>
      <c r="RIR88" s="1"/>
      <c r="RIS88" s="1"/>
      <c r="RIT88" s="1"/>
      <c r="RIU88" s="1"/>
      <c r="RIV88" s="1"/>
      <c r="RIW88" s="1"/>
      <c r="RIX88" s="1"/>
      <c r="RIY88" s="1"/>
      <c r="RIZ88" s="1"/>
      <c r="RJA88" s="1"/>
      <c r="RJB88" s="1"/>
      <c r="RJC88" s="1"/>
      <c r="RJD88" s="1"/>
      <c r="RJE88" s="1"/>
      <c r="RJF88" s="1"/>
      <c r="RJG88" s="1"/>
      <c r="RJH88" s="1"/>
      <c r="RJI88" s="1"/>
      <c r="RJJ88" s="1"/>
      <c r="RJK88" s="1"/>
      <c r="RJL88" s="1"/>
      <c r="RJM88" s="1"/>
      <c r="RJN88" s="1"/>
      <c r="RJO88" s="1"/>
      <c r="RJP88" s="1"/>
      <c r="RJQ88" s="1"/>
      <c r="RJR88" s="1"/>
      <c r="RJS88" s="1"/>
      <c r="RJT88" s="1"/>
      <c r="RJU88" s="1"/>
      <c r="RJV88" s="1"/>
      <c r="RJW88" s="1"/>
      <c r="RJX88" s="1"/>
      <c r="RJY88" s="1"/>
      <c r="RJZ88" s="1"/>
      <c r="RKA88" s="1"/>
      <c r="RKB88" s="1"/>
      <c r="RKC88" s="1"/>
      <c r="RKD88" s="1"/>
      <c r="RKE88" s="1"/>
      <c r="RKF88" s="1"/>
      <c r="RKG88" s="1"/>
      <c r="RKH88" s="1"/>
      <c r="RKI88" s="1"/>
      <c r="RKJ88" s="1"/>
      <c r="RKK88" s="1"/>
      <c r="RKL88" s="1"/>
      <c r="RKM88" s="1"/>
      <c r="RKN88" s="1"/>
      <c r="RKO88" s="1"/>
      <c r="RKP88" s="1"/>
      <c r="RKQ88" s="1"/>
      <c r="RKR88" s="1"/>
      <c r="RKS88" s="1"/>
      <c r="RKT88" s="1"/>
      <c r="RKU88" s="1"/>
      <c r="RKV88" s="1"/>
      <c r="RKW88" s="1"/>
      <c r="RKX88" s="1"/>
      <c r="RKY88" s="1"/>
      <c r="RKZ88" s="1"/>
      <c r="RLA88" s="1"/>
      <c r="RLB88" s="1"/>
      <c r="RLC88" s="1"/>
      <c r="RLD88" s="1"/>
      <c r="RLE88" s="1"/>
      <c r="RLF88" s="1"/>
      <c r="RLG88" s="1"/>
      <c r="RLH88" s="1"/>
      <c r="RLI88" s="1"/>
      <c r="RLJ88" s="1"/>
      <c r="RLK88" s="1"/>
      <c r="RLL88" s="1"/>
      <c r="RLM88" s="1"/>
      <c r="RLN88" s="1"/>
      <c r="RLO88" s="1"/>
      <c r="RLP88" s="1"/>
      <c r="RLQ88" s="1"/>
      <c r="RLR88" s="1"/>
      <c r="RLS88" s="1"/>
      <c r="RLT88" s="1"/>
      <c r="RLU88" s="1"/>
      <c r="RLV88" s="1"/>
      <c r="RLW88" s="1"/>
      <c r="RLX88" s="1"/>
      <c r="RLY88" s="1"/>
      <c r="RLZ88" s="1"/>
      <c r="RMA88" s="1"/>
      <c r="RMB88" s="1"/>
      <c r="RMC88" s="1"/>
      <c r="RMD88" s="1"/>
      <c r="RME88" s="1"/>
      <c r="RMF88" s="1"/>
      <c r="RMG88" s="1"/>
      <c r="RMH88" s="1"/>
      <c r="RMI88" s="1"/>
      <c r="RMJ88" s="1"/>
      <c r="RMK88" s="1"/>
      <c r="RML88" s="1"/>
      <c r="RMM88" s="1"/>
      <c r="RMN88" s="1"/>
      <c r="RMO88" s="1"/>
      <c r="RMP88" s="1"/>
      <c r="RMQ88" s="1"/>
      <c r="RMR88" s="1"/>
      <c r="RMS88" s="1"/>
      <c r="RMT88" s="1"/>
      <c r="RMU88" s="1"/>
      <c r="RMV88" s="1"/>
      <c r="RMW88" s="1"/>
      <c r="RMX88" s="1"/>
      <c r="RMY88" s="1"/>
      <c r="RMZ88" s="1"/>
      <c r="RNA88" s="1"/>
      <c r="RNB88" s="1"/>
      <c r="RNC88" s="1"/>
      <c r="RND88" s="1"/>
      <c r="RNE88" s="1"/>
      <c r="RNF88" s="1"/>
      <c r="RNG88" s="1"/>
      <c r="RNH88" s="1"/>
      <c r="RNI88" s="1"/>
      <c r="RNJ88" s="1"/>
      <c r="RNK88" s="1"/>
      <c r="RNL88" s="1"/>
      <c r="RNM88" s="1"/>
      <c r="RNN88" s="1"/>
      <c r="RNO88" s="1"/>
      <c r="RNP88" s="1"/>
      <c r="RNQ88" s="1"/>
      <c r="RNR88" s="1"/>
      <c r="RNS88" s="1"/>
      <c r="RNT88" s="1"/>
      <c r="RNU88" s="1"/>
      <c r="RNV88" s="1"/>
      <c r="RNW88" s="1"/>
      <c r="RNX88" s="1"/>
      <c r="RNY88" s="1"/>
      <c r="RNZ88" s="1"/>
      <c r="ROA88" s="1"/>
      <c r="ROB88" s="1"/>
      <c r="ROC88" s="1"/>
      <c r="ROD88" s="1"/>
      <c r="ROE88" s="1"/>
      <c r="ROF88" s="1"/>
      <c r="ROG88" s="1"/>
      <c r="ROH88" s="1"/>
      <c r="ROI88" s="1"/>
      <c r="ROJ88" s="1"/>
      <c r="ROK88" s="1"/>
      <c r="ROL88" s="1"/>
      <c r="ROM88" s="1"/>
      <c r="RON88" s="1"/>
      <c r="ROO88" s="1"/>
      <c r="ROP88" s="1"/>
      <c r="ROQ88" s="1"/>
      <c r="ROR88" s="1"/>
      <c r="ROS88" s="1"/>
      <c r="ROT88" s="1"/>
      <c r="ROU88" s="1"/>
      <c r="ROV88" s="1"/>
      <c r="ROW88" s="1"/>
      <c r="ROX88" s="1"/>
      <c r="ROY88" s="1"/>
      <c r="ROZ88" s="1"/>
      <c r="RPA88" s="1"/>
      <c r="RPB88" s="1"/>
      <c r="RPC88" s="1"/>
      <c r="RPD88" s="1"/>
      <c r="RPE88" s="1"/>
      <c r="RPF88" s="1"/>
      <c r="RPG88" s="1"/>
      <c r="RPH88" s="1"/>
      <c r="RPI88" s="1"/>
      <c r="RPJ88" s="1"/>
      <c r="RPK88" s="1"/>
      <c r="RPL88" s="1"/>
      <c r="RPM88" s="1"/>
      <c r="RPN88" s="1"/>
      <c r="RPO88" s="1"/>
      <c r="RPP88" s="1"/>
      <c r="RPQ88" s="1"/>
      <c r="RPR88" s="1"/>
      <c r="RPS88" s="1"/>
      <c r="RPT88" s="1"/>
      <c r="RPU88" s="1"/>
      <c r="RPV88" s="1"/>
      <c r="RPW88" s="1"/>
      <c r="RPX88" s="1"/>
      <c r="RPY88" s="1"/>
      <c r="RPZ88" s="1"/>
      <c r="RQA88" s="1"/>
      <c r="RQB88" s="1"/>
      <c r="RQC88" s="1"/>
      <c r="RQD88" s="1"/>
      <c r="RQE88" s="1"/>
      <c r="RQF88" s="1"/>
      <c r="RQG88" s="1"/>
      <c r="RQH88" s="1"/>
      <c r="RQI88" s="1"/>
      <c r="RQJ88" s="1"/>
      <c r="RQK88" s="1"/>
      <c r="RQL88" s="1"/>
      <c r="RQM88" s="1"/>
      <c r="RQN88" s="1"/>
      <c r="RQO88" s="1"/>
      <c r="RQP88" s="1"/>
      <c r="RQQ88" s="1"/>
      <c r="RQR88" s="1"/>
      <c r="RQS88" s="1"/>
      <c r="RQT88" s="1"/>
      <c r="RQU88" s="1"/>
      <c r="RQV88" s="1"/>
      <c r="RQW88" s="1"/>
      <c r="RQX88" s="1"/>
      <c r="RQY88" s="1"/>
      <c r="RQZ88" s="1"/>
      <c r="RRA88" s="1"/>
      <c r="RRB88" s="1"/>
      <c r="RRC88" s="1"/>
      <c r="RRD88" s="1"/>
      <c r="RRE88" s="1"/>
      <c r="RRF88" s="1"/>
      <c r="RRG88" s="1"/>
      <c r="RRH88" s="1"/>
      <c r="RRI88" s="1"/>
      <c r="RRJ88" s="1"/>
      <c r="RRK88" s="1"/>
      <c r="RRL88" s="1"/>
      <c r="RRM88" s="1"/>
      <c r="RRN88" s="1"/>
      <c r="RRO88" s="1"/>
      <c r="RRP88" s="1"/>
      <c r="RRQ88" s="1"/>
      <c r="RRR88" s="1"/>
      <c r="RRS88" s="1"/>
      <c r="RRT88" s="1"/>
      <c r="RRU88" s="1"/>
      <c r="RRV88" s="1"/>
      <c r="RRW88" s="1"/>
      <c r="RRX88" s="1"/>
      <c r="RRY88" s="1"/>
      <c r="RRZ88" s="1"/>
      <c r="RSA88" s="1"/>
      <c r="RSB88" s="1"/>
      <c r="RSC88" s="1"/>
      <c r="RSD88" s="1"/>
      <c r="RSE88" s="1"/>
      <c r="RSF88" s="1"/>
      <c r="RSG88" s="1"/>
      <c r="RSH88" s="1"/>
      <c r="RSI88" s="1"/>
      <c r="RSJ88" s="1"/>
      <c r="RSK88" s="1"/>
      <c r="RSL88" s="1"/>
      <c r="RSM88" s="1"/>
      <c r="RSN88" s="1"/>
      <c r="RSO88" s="1"/>
      <c r="RSP88" s="1"/>
      <c r="RSQ88" s="1"/>
      <c r="RSR88" s="1"/>
      <c r="RSS88" s="1"/>
      <c r="RST88" s="1"/>
      <c r="RSU88" s="1"/>
      <c r="RSV88" s="1"/>
      <c r="RSW88" s="1"/>
      <c r="RSX88" s="1"/>
      <c r="RSY88" s="1"/>
      <c r="RSZ88" s="1"/>
      <c r="RTA88" s="1"/>
      <c r="RTB88" s="1"/>
      <c r="RTC88" s="1"/>
      <c r="RTD88" s="1"/>
      <c r="RTE88" s="1"/>
      <c r="RTF88" s="1"/>
      <c r="RTG88" s="1"/>
      <c r="RTH88" s="1"/>
      <c r="RTI88" s="1"/>
      <c r="RTJ88" s="1"/>
      <c r="RTK88" s="1"/>
      <c r="RTL88" s="1"/>
      <c r="RTM88" s="1"/>
      <c r="RTN88" s="1"/>
      <c r="RTO88" s="1"/>
      <c r="RTP88" s="1"/>
      <c r="RTQ88" s="1"/>
      <c r="RTR88" s="1"/>
      <c r="RTS88" s="1"/>
      <c r="RTT88" s="1"/>
      <c r="RTU88" s="1"/>
      <c r="RTV88" s="1"/>
      <c r="RTW88" s="1"/>
      <c r="RTX88" s="1"/>
      <c r="RTY88" s="1"/>
      <c r="RTZ88" s="1"/>
      <c r="RUA88" s="1"/>
      <c r="RUB88" s="1"/>
      <c r="RUC88" s="1"/>
      <c r="RUD88" s="1"/>
      <c r="RUE88" s="1"/>
      <c r="RUF88" s="1"/>
      <c r="RUG88" s="1"/>
      <c r="RUH88" s="1"/>
      <c r="RUI88" s="1"/>
      <c r="RUJ88" s="1"/>
      <c r="RUK88" s="1"/>
      <c r="RUL88" s="1"/>
      <c r="RUM88" s="1"/>
      <c r="RUN88" s="1"/>
      <c r="RUO88" s="1"/>
      <c r="RUP88" s="1"/>
      <c r="RUQ88" s="1"/>
      <c r="RUR88" s="1"/>
      <c r="RUS88" s="1"/>
      <c r="RUT88" s="1"/>
      <c r="RUU88" s="1"/>
      <c r="RUV88" s="1"/>
      <c r="RUW88" s="1"/>
      <c r="RUX88" s="1"/>
      <c r="RUY88" s="1"/>
      <c r="RUZ88" s="1"/>
      <c r="RVA88" s="1"/>
      <c r="RVB88" s="1"/>
      <c r="RVC88" s="1"/>
      <c r="RVD88" s="1"/>
      <c r="RVE88" s="1"/>
      <c r="RVF88" s="1"/>
      <c r="RVG88" s="1"/>
      <c r="RVH88" s="1"/>
      <c r="RVI88" s="1"/>
      <c r="RVJ88" s="1"/>
      <c r="RVK88" s="1"/>
      <c r="RVL88" s="1"/>
      <c r="RVM88" s="1"/>
      <c r="RVN88" s="1"/>
      <c r="RVO88" s="1"/>
      <c r="RVP88" s="1"/>
      <c r="RVQ88" s="1"/>
      <c r="RVR88" s="1"/>
      <c r="RVS88" s="1"/>
      <c r="RVT88" s="1"/>
      <c r="RVU88" s="1"/>
      <c r="RVV88" s="1"/>
      <c r="RVW88" s="1"/>
      <c r="RVX88" s="1"/>
      <c r="RVY88" s="1"/>
      <c r="RVZ88" s="1"/>
      <c r="RWA88" s="1"/>
      <c r="RWB88" s="1"/>
      <c r="RWC88" s="1"/>
      <c r="RWD88" s="1"/>
      <c r="RWE88" s="1"/>
      <c r="RWF88" s="1"/>
      <c r="RWG88" s="1"/>
      <c r="RWH88" s="1"/>
      <c r="RWI88" s="1"/>
      <c r="RWJ88" s="1"/>
      <c r="RWK88" s="1"/>
      <c r="RWL88" s="1"/>
      <c r="RWM88" s="1"/>
      <c r="RWN88" s="1"/>
      <c r="RWO88" s="1"/>
      <c r="RWP88" s="1"/>
      <c r="RWQ88" s="1"/>
      <c r="RWR88" s="1"/>
      <c r="RWS88" s="1"/>
      <c r="RWT88" s="1"/>
      <c r="RWU88" s="1"/>
      <c r="RWV88" s="1"/>
      <c r="RWW88" s="1"/>
      <c r="RWX88" s="1"/>
      <c r="RWY88" s="1"/>
      <c r="RWZ88" s="1"/>
      <c r="RXA88" s="1"/>
      <c r="RXB88" s="1"/>
      <c r="RXC88" s="1"/>
      <c r="RXD88" s="1"/>
      <c r="RXE88" s="1"/>
      <c r="RXF88" s="1"/>
      <c r="RXG88" s="1"/>
      <c r="RXH88" s="1"/>
      <c r="RXI88" s="1"/>
      <c r="RXJ88" s="1"/>
      <c r="RXK88" s="1"/>
      <c r="RXL88" s="1"/>
      <c r="RXM88" s="1"/>
      <c r="RXN88" s="1"/>
      <c r="RXO88" s="1"/>
      <c r="RXP88" s="1"/>
      <c r="RXQ88" s="1"/>
      <c r="RXR88" s="1"/>
      <c r="RXS88" s="1"/>
      <c r="RXT88" s="1"/>
      <c r="RXU88" s="1"/>
      <c r="RXV88" s="1"/>
      <c r="RXW88" s="1"/>
      <c r="RXX88" s="1"/>
      <c r="RXY88" s="1"/>
      <c r="RXZ88" s="1"/>
      <c r="RYA88" s="1"/>
      <c r="RYB88" s="1"/>
      <c r="RYC88" s="1"/>
      <c r="RYD88" s="1"/>
      <c r="RYE88" s="1"/>
      <c r="RYF88" s="1"/>
      <c r="RYG88" s="1"/>
      <c r="RYH88" s="1"/>
      <c r="RYI88" s="1"/>
      <c r="RYJ88" s="1"/>
      <c r="RYK88" s="1"/>
      <c r="RYL88" s="1"/>
      <c r="RYM88" s="1"/>
      <c r="RYN88" s="1"/>
      <c r="RYO88" s="1"/>
      <c r="RYP88" s="1"/>
      <c r="RYQ88" s="1"/>
      <c r="RYR88" s="1"/>
      <c r="RYS88" s="1"/>
      <c r="RYT88" s="1"/>
      <c r="RYU88" s="1"/>
      <c r="RYV88" s="1"/>
      <c r="RYW88" s="1"/>
      <c r="RYX88" s="1"/>
      <c r="RYY88" s="1"/>
      <c r="RYZ88" s="1"/>
      <c r="RZA88" s="1"/>
      <c r="RZB88" s="1"/>
      <c r="RZC88" s="1"/>
      <c r="RZD88" s="1"/>
      <c r="RZE88" s="1"/>
      <c r="RZF88" s="1"/>
      <c r="RZG88" s="1"/>
      <c r="RZH88" s="1"/>
      <c r="RZI88" s="1"/>
      <c r="RZJ88" s="1"/>
      <c r="RZK88" s="1"/>
      <c r="RZL88" s="1"/>
      <c r="RZM88" s="1"/>
      <c r="RZN88" s="1"/>
      <c r="RZO88" s="1"/>
      <c r="RZP88" s="1"/>
      <c r="RZQ88" s="1"/>
      <c r="RZR88" s="1"/>
      <c r="RZS88" s="1"/>
      <c r="RZT88" s="1"/>
      <c r="RZU88" s="1"/>
      <c r="RZV88" s="1"/>
      <c r="RZW88" s="1"/>
      <c r="RZX88" s="1"/>
      <c r="RZY88" s="1"/>
      <c r="RZZ88" s="1"/>
      <c r="SAA88" s="1"/>
      <c r="SAB88" s="1"/>
      <c r="SAC88" s="1"/>
      <c r="SAD88" s="1"/>
      <c r="SAE88" s="1"/>
      <c r="SAF88" s="1"/>
      <c r="SAG88" s="1"/>
      <c r="SAH88" s="1"/>
      <c r="SAI88" s="1"/>
      <c r="SAJ88" s="1"/>
      <c r="SAK88" s="1"/>
      <c r="SAL88" s="1"/>
      <c r="SAM88" s="1"/>
      <c r="SAN88" s="1"/>
      <c r="SAO88" s="1"/>
      <c r="SAP88" s="1"/>
      <c r="SAQ88" s="1"/>
      <c r="SAR88" s="1"/>
      <c r="SAS88" s="1"/>
      <c r="SAT88" s="1"/>
      <c r="SAU88" s="1"/>
      <c r="SAV88" s="1"/>
      <c r="SAW88" s="1"/>
      <c r="SAX88" s="1"/>
      <c r="SAY88" s="1"/>
      <c r="SAZ88" s="1"/>
      <c r="SBA88" s="1"/>
      <c r="SBB88" s="1"/>
      <c r="SBC88" s="1"/>
      <c r="SBD88" s="1"/>
      <c r="SBE88" s="1"/>
      <c r="SBF88" s="1"/>
      <c r="SBG88" s="1"/>
      <c r="SBH88" s="1"/>
      <c r="SBI88" s="1"/>
      <c r="SBJ88" s="1"/>
      <c r="SBK88" s="1"/>
      <c r="SBL88" s="1"/>
      <c r="SBM88" s="1"/>
      <c r="SBN88" s="1"/>
      <c r="SBO88" s="1"/>
      <c r="SBP88" s="1"/>
      <c r="SBQ88" s="1"/>
      <c r="SBR88" s="1"/>
      <c r="SBS88" s="1"/>
      <c r="SBT88" s="1"/>
      <c r="SBU88" s="1"/>
      <c r="SBV88" s="1"/>
      <c r="SBW88" s="1"/>
      <c r="SBX88" s="1"/>
      <c r="SBY88" s="1"/>
      <c r="SBZ88" s="1"/>
      <c r="SCA88" s="1"/>
      <c r="SCB88" s="1"/>
      <c r="SCC88" s="1"/>
      <c r="SCD88" s="1"/>
      <c r="SCE88" s="1"/>
      <c r="SCF88" s="1"/>
      <c r="SCG88" s="1"/>
      <c r="SCH88" s="1"/>
      <c r="SCI88" s="1"/>
      <c r="SCJ88" s="1"/>
      <c r="SCK88" s="1"/>
      <c r="SCL88" s="1"/>
      <c r="SCM88" s="1"/>
      <c r="SCN88" s="1"/>
      <c r="SCO88" s="1"/>
      <c r="SCP88" s="1"/>
      <c r="SCQ88" s="1"/>
      <c r="SCR88" s="1"/>
      <c r="SCS88" s="1"/>
      <c r="SCT88" s="1"/>
      <c r="SCU88" s="1"/>
      <c r="SCV88" s="1"/>
      <c r="SCW88" s="1"/>
      <c r="SCX88" s="1"/>
      <c r="SCY88" s="1"/>
      <c r="SCZ88" s="1"/>
      <c r="SDA88" s="1"/>
      <c r="SDB88" s="1"/>
      <c r="SDC88" s="1"/>
      <c r="SDD88" s="1"/>
      <c r="SDE88" s="1"/>
      <c r="SDF88" s="1"/>
      <c r="SDG88" s="1"/>
      <c r="SDH88" s="1"/>
      <c r="SDI88" s="1"/>
      <c r="SDJ88" s="1"/>
      <c r="SDK88" s="1"/>
      <c r="SDL88" s="1"/>
      <c r="SDM88" s="1"/>
      <c r="SDN88" s="1"/>
      <c r="SDO88" s="1"/>
      <c r="SDP88" s="1"/>
      <c r="SDQ88" s="1"/>
      <c r="SDR88" s="1"/>
      <c r="SDS88" s="1"/>
      <c r="SDT88" s="1"/>
      <c r="SDU88" s="1"/>
      <c r="SDV88" s="1"/>
      <c r="SDW88" s="1"/>
      <c r="SDX88" s="1"/>
      <c r="SDY88" s="1"/>
      <c r="SDZ88" s="1"/>
      <c r="SEA88" s="1"/>
      <c r="SEB88" s="1"/>
      <c r="SEC88" s="1"/>
      <c r="SED88" s="1"/>
      <c r="SEE88" s="1"/>
      <c r="SEF88" s="1"/>
      <c r="SEG88" s="1"/>
      <c r="SEH88" s="1"/>
      <c r="SEI88" s="1"/>
      <c r="SEJ88" s="1"/>
      <c r="SEK88" s="1"/>
      <c r="SEL88" s="1"/>
      <c r="SEM88" s="1"/>
      <c r="SEN88" s="1"/>
      <c r="SEO88" s="1"/>
      <c r="SEP88" s="1"/>
      <c r="SEQ88" s="1"/>
      <c r="SER88" s="1"/>
      <c r="SES88" s="1"/>
      <c r="SET88" s="1"/>
      <c r="SEU88" s="1"/>
      <c r="SEV88" s="1"/>
      <c r="SEW88" s="1"/>
      <c r="SEX88" s="1"/>
      <c r="SEY88" s="1"/>
      <c r="SEZ88" s="1"/>
      <c r="SFA88" s="1"/>
      <c r="SFB88" s="1"/>
      <c r="SFC88" s="1"/>
      <c r="SFD88" s="1"/>
      <c r="SFE88" s="1"/>
      <c r="SFF88" s="1"/>
      <c r="SFG88" s="1"/>
      <c r="SFH88" s="1"/>
      <c r="SFI88" s="1"/>
      <c r="SFJ88" s="1"/>
      <c r="SFK88" s="1"/>
      <c r="SFL88" s="1"/>
      <c r="SFM88" s="1"/>
      <c r="SFN88" s="1"/>
      <c r="SFO88" s="1"/>
      <c r="SFP88" s="1"/>
      <c r="SFQ88" s="1"/>
      <c r="SFR88" s="1"/>
      <c r="SFS88" s="1"/>
      <c r="SFT88" s="1"/>
      <c r="SFU88" s="1"/>
      <c r="SFV88" s="1"/>
      <c r="SFW88" s="1"/>
      <c r="SFX88" s="1"/>
      <c r="SFY88" s="1"/>
      <c r="SFZ88" s="1"/>
      <c r="SGA88" s="1"/>
      <c r="SGB88" s="1"/>
      <c r="SGC88" s="1"/>
      <c r="SGD88" s="1"/>
      <c r="SGE88" s="1"/>
      <c r="SGF88" s="1"/>
      <c r="SGG88" s="1"/>
      <c r="SGH88" s="1"/>
      <c r="SGI88" s="1"/>
      <c r="SGJ88" s="1"/>
      <c r="SGK88" s="1"/>
      <c r="SGL88" s="1"/>
      <c r="SGM88" s="1"/>
      <c r="SGN88" s="1"/>
      <c r="SGO88" s="1"/>
      <c r="SGP88" s="1"/>
      <c r="SGQ88" s="1"/>
      <c r="SGR88" s="1"/>
      <c r="SGS88" s="1"/>
      <c r="SGT88" s="1"/>
      <c r="SGU88" s="1"/>
      <c r="SGV88" s="1"/>
      <c r="SGW88" s="1"/>
      <c r="SGX88" s="1"/>
      <c r="SGY88" s="1"/>
      <c r="SGZ88" s="1"/>
      <c r="SHA88" s="1"/>
      <c r="SHB88" s="1"/>
      <c r="SHC88" s="1"/>
      <c r="SHD88" s="1"/>
      <c r="SHE88" s="1"/>
      <c r="SHF88" s="1"/>
      <c r="SHG88" s="1"/>
      <c r="SHH88" s="1"/>
      <c r="SHI88" s="1"/>
      <c r="SHJ88" s="1"/>
      <c r="SHK88" s="1"/>
      <c r="SHL88" s="1"/>
      <c r="SHM88" s="1"/>
      <c r="SHN88" s="1"/>
      <c r="SHO88" s="1"/>
      <c r="SHP88" s="1"/>
      <c r="SHQ88" s="1"/>
      <c r="SHR88" s="1"/>
      <c r="SHS88" s="1"/>
      <c r="SHT88" s="1"/>
      <c r="SHU88" s="1"/>
      <c r="SHV88" s="1"/>
      <c r="SHW88" s="1"/>
      <c r="SHX88" s="1"/>
      <c r="SHY88" s="1"/>
      <c r="SHZ88" s="1"/>
      <c r="SIA88" s="1"/>
      <c r="SIB88" s="1"/>
      <c r="SIC88" s="1"/>
      <c r="SID88" s="1"/>
      <c r="SIE88" s="1"/>
      <c r="SIF88" s="1"/>
      <c r="SIG88" s="1"/>
      <c r="SIH88" s="1"/>
      <c r="SII88" s="1"/>
      <c r="SIJ88" s="1"/>
      <c r="SIK88" s="1"/>
      <c r="SIL88" s="1"/>
      <c r="SIM88" s="1"/>
      <c r="SIN88" s="1"/>
      <c r="SIO88" s="1"/>
      <c r="SIP88" s="1"/>
      <c r="SIQ88" s="1"/>
      <c r="SIR88" s="1"/>
      <c r="SIS88" s="1"/>
      <c r="SIT88" s="1"/>
      <c r="SIU88" s="1"/>
      <c r="SIV88" s="1"/>
      <c r="SIW88" s="1"/>
      <c r="SIX88" s="1"/>
      <c r="SIY88" s="1"/>
      <c r="SIZ88" s="1"/>
      <c r="SJA88" s="1"/>
      <c r="SJB88" s="1"/>
      <c r="SJC88" s="1"/>
      <c r="SJD88" s="1"/>
      <c r="SJE88" s="1"/>
      <c r="SJF88" s="1"/>
      <c r="SJG88" s="1"/>
      <c r="SJH88" s="1"/>
      <c r="SJI88" s="1"/>
      <c r="SJJ88" s="1"/>
      <c r="SJK88" s="1"/>
      <c r="SJL88" s="1"/>
      <c r="SJM88" s="1"/>
      <c r="SJN88" s="1"/>
      <c r="SJO88" s="1"/>
      <c r="SJP88" s="1"/>
      <c r="SJQ88" s="1"/>
      <c r="SJR88" s="1"/>
      <c r="SJS88" s="1"/>
      <c r="SJT88" s="1"/>
      <c r="SJU88" s="1"/>
      <c r="SJV88" s="1"/>
      <c r="SJW88" s="1"/>
      <c r="SJX88" s="1"/>
      <c r="SJY88" s="1"/>
      <c r="SJZ88" s="1"/>
      <c r="SKA88" s="1"/>
      <c r="SKB88" s="1"/>
      <c r="SKC88" s="1"/>
      <c r="SKD88" s="1"/>
      <c r="SKE88" s="1"/>
      <c r="SKF88" s="1"/>
      <c r="SKG88" s="1"/>
      <c r="SKH88" s="1"/>
      <c r="SKI88" s="1"/>
      <c r="SKJ88" s="1"/>
      <c r="SKK88" s="1"/>
      <c r="SKL88" s="1"/>
      <c r="SKM88" s="1"/>
      <c r="SKN88" s="1"/>
      <c r="SKO88" s="1"/>
      <c r="SKP88" s="1"/>
      <c r="SKQ88" s="1"/>
      <c r="SKR88" s="1"/>
      <c r="SKS88" s="1"/>
      <c r="SKT88" s="1"/>
      <c r="SKU88" s="1"/>
      <c r="SKV88" s="1"/>
      <c r="SKW88" s="1"/>
      <c r="SKX88" s="1"/>
      <c r="SKY88" s="1"/>
      <c r="SKZ88" s="1"/>
      <c r="SLA88" s="1"/>
      <c r="SLB88" s="1"/>
      <c r="SLC88" s="1"/>
      <c r="SLD88" s="1"/>
      <c r="SLE88" s="1"/>
      <c r="SLF88" s="1"/>
      <c r="SLG88" s="1"/>
      <c r="SLH88" s="1"/>
      <c r="SLI88" s="1"/>
      <c r="SLJ88" s="1"/>
      <c r="SLK88" s="1"/>
      <c r="SLL88" s="1"/>
      <c r="SLM88" s="1"/>
      <c r="SLN88" s="1"/>
      <c r="SLO88" s="1"/>
      <c r="SLP88" s="1"/>
      <c r="SLQ88" s="1"/>
      <c r="SLR88" s="1"/>
      <c r="SLS88" s="1"/>
      <c r="SLT88" s="1"/>
      <c r="SLU88" s="1"/>
      <c r="SLV88" s="1"/>
      <c r="SLW88" s="1"/>
      <c r="SLX88" s="1"/>
      <c r="SLY88" s="1"/>
      <c r="SLZ88" s="1"/>
      <c r="SMA88" s="1"/>
      <c r="SMB88" s="1"/>
      <c r="SMC88" s="1"/>
      <c r="SMD88" s="1"/>
      <c r="SME88" s="1"/>
      <c r="SMF88" s="1"/>
      <c r="SMG88" s="1"/>
      <c r="SMH88" s="1"/>
      <c r="SMI88" s="1"/>
      <c r="SMJ88" s="1"/>
      <c r="SMK88" s="1"/>
      <c r="SML88" s="1"/>
      <c r="SMM88" s="1"/>
      <c r="SMN88" s="1"/>
      <c r="SMO88" s="1"/>
      <c r="SMP88" s="1"/>
      <c r="SMQ88" s="1"/>
      <c r="SMR88" s="1"/>
      <c r="SMS88" s="1"/>
      <c r="SMT88" s="1"/>
      <c r="SMU88" s="1"/>
      <c r="SMV88" s="1"/>
      <c r="SMW88" s="1"/>
      <c r="SMX88" s="1"/>
      <c r="SMY88" s="1"/>
      <c r="SMZ88" s="1"/>
      <c r="SNA88" s="1"/>
      <c r="SNB88" s="1"/>
      <c r="SNC88" s="1"/>
      <c r="SND88" s="1"/>
      <c r="SNE88" s="1"/>
      <c r="SNF88" s="1"/>
      <c r="SNG88" s="1"/>
      <c r="SNH88" s="1"/>
      <c r="SNI88" s="1"/>
      <c r="SNJ88" s="1"/>
      <c r="SNK88" s="1"/>
      <c r="SNL88" s="1"/>
      <c r="SNM88" s="1"/>
      <c r="SNN88" s="1"/>
      <c r="SNO88" s="1"/>
      <c r="SNP88" s="1"/>
      <c r="SNQ88" s="1"/>
      <c r="SNR88" s="1"/>
      <c r="SNS88" s="1"/>
      <c r="SNT88" s="1"/>
      <c r="SNU88" s="1"/>
      <c r="SNV88" s="1"/>
      <c r="SNW88" s="1"/>
      <c r="SNX88" s="1"/>
      <c r="SNY88" s="1"/>
      <c r="SNZ88" s="1"/>
      <c r="SOA88" s="1"/>
      <c r="SOB88" s="1"/>
      <c r="SOC88" s="1"/>
      <c r="SOD88" s="1"/>
      <c r="SOE88" s="1"/>
      <c r="SOF88" s="1"/>
      <c r="SOG88" s="1"/>
      <c r="SOH88" s="1"/>
      <c r="SOI88" s="1"/>
      <c r="SOJ88" s="1"/>
      <c r="SOK88" s="1"/>
      <c r="SOL88" s="1"/>
      <c r="SOM88" s="1"/>
      <c r="SON88" s="1"/>
      <c r="SOO88" s="1"/>
      <c r="SOP88" s="1"/>
      <c r="SOQ88" s="1"/>
      <c r="SOR88" s="1"/>
      <c r="SOS88" s="1"/>
      <c r="SOT88" s="1"/>
      <c r="SOU88" s="1"/>
      <c r="SOV88" s="1"/>
      <c r="SOW88" s="1"/>
      <c r="SOX88" s="1"/>
      <c r="SOY88" s="1"/>
      <c r="SOZ88" s="1"/>
      <c r="SPA88" s="1"/>
      <c r="SPB88" s="1"/>
      <c r="SPC88" s="1"/>
      <c r="SPD88" s="1"/>
      <c r="SPE88" s="1"/>
      <c r="SPF88" s="1"/>
      <c r="SPG88" s="1"/>
      <c r="SPH88" s="1"/>
      <c r="SPI88" s="1"/>
      <c r="SPJ88" s="1"/>
      <c r="SPK88" s="1"/>
      <c r="SPL88" s="1"/>
      <c r="SPM88" s="1"/>
      <c r="SPN88" s="1"/>
      <c r="SPO88" s="1"/>
      <c r="SPP88" s="1"/>
      <c r="SPQ88" s="1"/>
      <c r="SPR88" s="1"/>
      <c r="SPS88" s="1"/>
      <c r="SPT88" s="1"/>
      <c r="SPU88" s="1"/>
      <c r="SPV88" s="1"/>
      <c r="SPW88" s="1"/>
      <c r="SPX88" s="1"/>
      <c r="SPY88" s="1"/>
      <c r="SPZ88" s="1"/>
      <c r="SQA88" s="1"/>
      <c r="SQB88" s="1"/>
      <c r="SQC88" s="1"/>
      <c r="SQD88" s="1"/>
      <c r="SQE88" s="1"/>
      <c r="SQF88" s="1"/>
      <c r="SQG88" s="1"/>
      <c r="SQH88" s="1"/>
      <c r="SQI88" s="1"/>
      <c r="SQJ88" s="1"/>
      <c r="SQK88" s="1"/>
      <c r="SQL88" s="1"/>
      <c r="SQM88" s="1"/>
      <c r="SQN88" s="1"/>
      <c r="SQO88" s="1"/>
      <c r="SQP88" s="1"/>
      <c r="SQQ88" s="1"/>
      <c r="SQR88" s="1"/>
      <c r="SQS88" s="1"/>
      <c r="SQT88" s="1"/>
      <c r="SQU88" s="1"/>
      <c r="SQV88" s="1"/>
      <c r="SQW88" s="1"/>
      <c r="SQX88" s="1"/>
      <c r="SQY88" s="1"/>
      <c r="SQZ88" s="1"/>
      <c r="SRA88" s="1"/>
      <c r="SRB88" s="1"/>
      <c r="SRC88" s="1"/>
      <c r="SRD88" s="1"/>
      <c r="SRE88" s="1"/>
      <c r="SRF88" s="1"/>
      <c r="SRG88" s="1"/>
      <c r="SRH88" s="1"/>
      <c r="SRI88" s="1"/>
      <c r="SRJ88" s="1"/>
      <c r="SRK88" s="1"/>
      <c r="SRL88" s="1"/>
      <c r="SRM88" s="1"/>
      <c r="SRN88" s="1"/>
      <c r="SRO88" s="1"/>
      <c r="SRP88" s="1"/>
      <c r="SRQ88" s="1"/>
      <c r="SRR88" s="1"/>
      <c r="SRS88" s="1"/>
      <c r="SRT88" s="1"/>
      <c r="SRU88" s="1"/>
      <c r="SRV88" s="1"/>
      <c r="SRW88" s="1"/>
      <c r="SRX88" s="1"/>
      <c r="SRY88" s="1"/>
      <c r="SRZ88" s="1"/>
      <c r="SSA88" s="1"/>
      <c r="SSB88" s="1"/>
      <c r="SSC88" s="1"/>
      <c r="SSD88" s="1"/>
      <c r="SSE88" s="1"/>
      <c r="SSF88" s="1"/>
      <c r="SSG88" s="1"/>
      <c r="SSH88" s="1"/>
      <c r="SSI88" s="1"/>
      <c r="SSJ88" s="1"/>
      <c r="SSK88" s="1"/>
      <c r="SSL88" s="1"/>
      <c r="SSM88" s="1"/>
      <c r="SSN88" s="1"/>
      <c r="SSO88" s="1"/>
      <c r="SSP88" s="1"/>
      <c r="SSQ88" s="1"/>
      <c r="SSR88" s="1"/>
      <c r="SSS88" s="1"/>
      <c r="SST88" s="1"/>
      <c r="SSU88" s="1"/>
      <c r="SSV88" s="1"/>
      <c r="SSW88" s="1"/>
      <c r="SSX88" s="1"/>
      <c r="SSY88" s="1"/>
      <c r="SSZ88" s="1"/>
      <c r="STA88" s="1"/>
      <c r="STB88" s="1"/>
      <c r="STC88" s="1"/>
      <c r="STD88" s="1"/>
      <c r="STE88" s="1"/>
      <c r="STF88" s="1"/>
      <c r="STG88" s="1"/>
      <c r="STH88" s="1"/>
      <c r="STI88" s="1"/>
      <c r="STJ88" s="1"/>
      <c r="STK88" s="1"/>
      <c r="STL88" s="1"/>
      <c r="STM88" s="1"/>
      <c r="STN88" s="1"/>
      <c r="STO88" s="1"/>
      <c r="STP88" s="1"/>
      <c r="STQ88" s="1"/>
      <c r="STR88" s="1"/>
      <c r="STS88" s="1"/>
      <c r="STT88" s="1"/>
      <c r="STU88" s="1"/>
      <c r="STV88" s="1"/>
      <c r="STW88" s="1"/>
      <c r="STX88" s="1"/>
      <c r="STY88" s="1"/>
      <c r="STZ88" s="1"/>
      <c r="SUA88" s="1"/>
      <c r="SUB88" s="1"/>
      <c r="SUC88" s="1"/>
      <c r="SUD88" s="1"/>
      <c r="SUE88" s="1"/>
      <c r="SUF88" s="1"/>
      <c r="SUG88" s="1"/>
      <c r="SUH88" s="1"/>
      <c r="SUI88" s="1"/>
      <c r="SUJ88" s="1"/>
      <c r="SUK88" s="1"/>
      <c r="SUL88" s="1"/>
      <c r="SUM88" s="1"/>
      <c r="SUN88" s="1"/>
      <c r="SUO88" s="1"/>
      <c r="SUP88" s="1"/>
      <c r="SUQ88" s="1"/>
      <c r="SUR88" s="1"/>
      <c r="SUS88" s="1"/>
      <c r="SUT88" s="1"/>
      <c r="SUU88" s="1"/>
      <c r="SUV88" s="1"/>
      <c r="SUW88" s="1"/>
      <c r="SUX88" s="1"/>
      <c r="SUY88" s="1"/>
      <c r="SUZ88" s="1"/>
      <c r="SVA88" s="1"/>
      <c r="SVB88" s="1"/>
      <c r="SVC88" s="1"/>
      <c r="SVD88" s="1"/>
      <c r="SVE88" s="1"/>
      <c r="SVF88" s="1"/>
      <c r="SVG88" s="1"/>
      <c r="SVH88" s="1"/>
      <c r="SVI88" s="1"/>
      <c r="SVJ88" s="1"/>
      <c r="SVK88" s="1"/>
      <c r="SVL88" s="1"/>
      <c r="SVM88" s="1"/>
      <c r="SVN88" s="1"/>
      <c r="SVO88" s="1"/>
      <c r="SVP88" s="1"/>
      <c r="SVQ88" s="1"/>
      <c r="SVR88" s="1"/>
      <c r="SVS88" s="1"/>
      <c r="SVT88" s="1"/>
      <c r="SVU88" s="1"/>
      <c r="SVV88" s="1"/>
      <c r="SVW88" s="1"/>
      <c r="SVX88" s="1"/>
      <c r="SVY88" s="1"/>
      <c r="SVZ88" s="1"/>
      <c r="SWA88" s="1"/>
      <c r="SWB88" s="1"/>
      <c r="SWC88" s="1"/>
      <c r="SWD88" s="1"/>
      <c r="SWE88" s="1"/>
      <c r="SWF88" s="1"/>
      <c r="SWG88" s="1"/>
      <c r="SWH88" s="1"/>
      <c r="SWI88" s="1"/>
      <c r="SWJ88" s="1"/>
      <c r="SWK88" s="1"/>
      <c r="SWL88" s="1"/>
      <c r="SWM88" s="1"/>
      <c r="SWN88" s="1"/>
      <c r="SWO88" s="1"/>
      <c r="SWP88" s="1"/>
      <c r="SWQ88" s="1"/>
      <c r="SWR88" s="1"/>
      <c r="SWS88" s="1"/>
      <c r="SWT88" s="1"/>
      <c r="SWU88" s="1"/>
      <c r="SWV88" s="1"/>
      <c r="SWW88" s="1"/>
      <c r="SWX88" s="1"/>
      <c r="SWY88" s="1"/>
      <c r="SWZ88" s="1"/>
      <c r="SXA88" s="1"/>
      <c r="SXB88" s="1"/>
      <c r="SXC88" s="1"/>
      <c r="SXD88" s="1"/>
      <c r="SXE88" s="1"/>
      <c r="SXF88" s="1"/>
      <c r="SXG88" s="1"/>
      <c r="SXH88" s="1"/>
      <c r="SXI88" s="1"/>
      <c r="SXJ88" s="1"/>
      <c r="SXK88" s="1"/>
      <c r="SXL88" s="1"/>
      <c r="SXM88" s="1"/>
      <c r="SXN88" s="1"/>
      <c r="SXO88" s="1"/>
      <c r="SXP88" s="1"/>
      <c r="SXQ88" s="1"/>
      <c r="SXR88" s="1"/>
      <c r="SXS88" s="1"/>
      <c r="SXT88" s="1"/>
      <c r="SXU88" s="1"/>
      <c r="SXV88" s="1"/>
      <c r="SXW88" s="1"/>
      <c r="SXX88" s="1"/>
      <c r="SXY88" s="1"/>
      <c r="SXZ88" s="1"/>
      <c r="SYA88" s="1"/>
      <c r="SYB88" s="1"/>
      <c r="SYC88" s="1"/>
      <c r="SYD88" s="1"/>
      <c r="SYE88" s="1"/>
      <c r="SYF88" s="1"/>
      <c r="SYG88" s="1"/>
      <c r="SYH88" s="1"/>
      <c r="SYI88" s="1"/>
      <c r="SYJ88" s="1"/>
      <c r="SYK88" s="1"/>
      <c r="SYL88" s="1"/>
      <c r="SYM88" s="1"/>
      <c r="SYN88" s="1"/>
      <c r="SYO88" s="1"/>
      <c r="SYP88" s="1"/>
      <c r="SYQ88" s="1"/>
      <c r="SYR88" s="1"/>
      <c r="SYS88" s="1"/>
      <c r="SYT88" s="1"/>
      <c r="SYU88" s="1"/>
      <c r="SYV88" s="1"/>
      <c r="SYW88" s="1"/>
      <c r="SYX88" s="1"/>
      <c r="SYY88" s="1"/>
      <c r="SYZ88" s="1"/>
      <c r="SZA88" s="1"/>
      <c r="SZB88" s="1"/>
      <c r="SZC88" s="1"/>
      <c r="SZD88" s="1"/>
      <c r="SZE88" s="1"/>
      <c r="SZF88" s="1"/>
      <c r="SZG88" s="1"/>
      <c r="SZH88" s="1"/>
      <c r="SZI88" s="1"/>
      <c r="SZJ88" s="1"/>
      <c r="SZK88" s="1"/>
      <c r="SZL88" s="1"/>
      <c r="SZM88" s="1"/>
      <c r="SZN88" s="1"/>
      <c r="SZO88" s="1"/>
      <c r="SZP88" s="1"/>
      <c r="SZQ88" s="1"/>
      <c r="SZR88" s="1"/>
      <c r="SZS88" s="1"/>
      <c r="SZT88" s="1"/>
      <c r="SZU88" s="1"/>
      <c r="SZV88" s="1"/>
      <c r="SZW88" s="1"/>
      <c r="SZX88" s="1"/>
      <c r="SZY88" s="1"/>
      <c r="SZZ88" s="1"/>
      <c r="TAA88" s="1"/>
      <c r="TAB88" s="1"/>
      <c r="TAC88" s="1"/>
      <c r="TAD88" s="1"/>
      <c r="TAE88" s="1"/>
      <c r="TAF88" s="1"/>
      <c r="TAG88" s="1"/>
      <c r="TAH88" s="1"/>
      <c r="TAI88" s="1"/>
      <c r="TAJ88" s="1"/>
      <c r="TAK88" s="1"/>
      <c r="TAL88" s="1"/>
      <c r="TAM88" s="1"/>
      <c r="TAN88" s="1"/>
      <c r="TAO88" s="1"/>
      <c r="TAP88" s="1"/>
      <c r="TAQ88" s="1"/>
      <c r="TAR88" s="1"/>
      <c r="TAS88" s="1"/>
      <c r="TAT88" s="1"/>
      <c r="TAU88" s="1"/>
      <c r="TAV88" s="1"/>
      <c r="TAW88" s="1"/>
      <c r="TAX88" s="1"/>
      <c r="TAY88" s="1"/>
      <c r="TAZ88" s="1"/>
      <c r="TBA88" s="1"/>
      <c r="TBB88" s="1"/>
      <c r="TBC88" s="1"/>
      <c r="TBD88" s="1"/>
      <c r="TBE88" s="1"/>
      <c r="TBF88" s="1"/>
      <c r="TBG88" s="1"/>
      <c r="TBH88" s="1"/>
      <c r="TBI88" s="1"/>
      <c r="TBJ88" s="1"/>
      <c r="TBK88" s="1"/>
      <c r="TBL88" s="1"/>
      <c r="TBM88" s="1"/>
      <c r="TBN88" s="1"/>
      <c r="TBO88" s="1"/>
      <c r="TBP88" s="1"/>
      <c r="TBQ88" s="1"/>
      <c r="TBR88" s="1"/>
      <c r="TBS88" s="1"/>
      <c r="TBT88" s="1"/>
      <c r="TBU88" s="1"/>
      <c r="TBV88" s="1"/>
      <c r="TBW88" s="1"/>
      <c r="TBX88" s="1"/>
      <c r="TBY88" s="1"/>
      <c r="TBZ88" s="1"/>
      <c r="TCA88" s="1"/>
      <c r="TCB88" s="1"/>
      <c r="TCC88" s="1"/>
      <c r="TCD88" s="1"/>
      <c r="TCE88" s="1"/>
      <c r="TCF88" s="1"/>
      <c r="TCG88" s="1"/>
      <c r="TCH88" s="1"/>
      <c r="TCI88" s="1"/>
      <c r="TCJ88" s="1"/>
      <c r="TCK88" s="1"/>
      <c r="TCL88" s="1"/>
      <c r="TCM88" s="1"/>
      <c r="TCN88" s="1"/>
      <c r="TCO88" s="1"/>
      <c r="TCP88" s="1"/>
      <c r="TCQ88" s="1"/>
      <c r="TCR88" s="1"/>
      <c r="TCS88" s="1"/>
      <c r="TCT88" s="1"/>
      <c r="TCU88" s="1"/>
      <c r="TCV88" s="1"/>
      <c r="TCW88" s="1"/>
      <c r="TCX88" s="1"/>
      <c r="TCY88" s="1"/>
      <c r="TCZ88" s="1"/>
      <c r="TDA88" s="1"/>
      <c r="TDB88" s="1"/>
      <c r="TDC88" s="1"/>
      <c r="TDD88" s="1"/>
      <c r="TDE88" s="1"/>
      <c r="TDF88" s="1"/>
      <c r="TDG88" s="1"/>
      <c r="TDH88" s="1"/>
      <c r="TDI88" s="1"/>
      <c r="TDJ88" s="1"/>
      <c r="TDK88" s="1"/>
      <c r="TDL88" s="1"/>
      <c r="TDM88" s="1"/>
      <c r="TDN88" s="1"/>
      <c r="TDO88" s="1"/>
      <c r="TDP88" s="1"/>
      <c r="TDQ88" s="1"/>
      <c r="TDR88" s="1"/>
      <c r="TDS88" s="1"/>
      <c r="TDT88" s="1"/>
      <c r="TDU88" s="1"/>
      <c r="TDV88" s="1"/>
      <c r="TDW88" s="1"/>
      <c r="TDX88" s="1"/>
      <c r="TDY88" s="1"/>
      <c r="TDZ88" s="1"/>
      <c r="TEA88" s="1"/>
      <c r="TEB88" s="1"/>
      <c r="TEC88" s="1"/>
      <c r="TED88" s="1"/>
      <c r="TEE88" s="1"/>
      <c r="TEF88" s="1"/>
      <c r="TEG88" s="1"/>
      <c r="TEH88" s="1"/>
      <c r="TEI88" s="1"/>
      <c r="TEJ88" s="1"/>
      <c r="TEK88" s="1"/>
      <c r="TEL88" s="1"/>
      <c r="TEM88" s="1"/>
      <c r="TEN88" s="1"/>
      <c r="TEO88" s="1"/>
      <c r="TEP88" s="1"/>
      <c r="TEQ88" s="1"/>
      <c r="TER88" s="1"/>
      <c r="TES88" s="1"/>
      <c r="TET88" s="1"/>
      <c r="TEU88" s="1"/>
      <c r="TEV88" s="1"/>
      <c r="TEW88" s="1"/>
      <c r="TEX88" s="1"/>
      <c r="TEY88" s="1"/>
      <c r="TEZ88" s="1"/>
      <c r="TFA88" s="1"/>
      <c r="TFB88" s="1"/>
      <c r="TFC88" s="1"/>
      <c r="TFD88" s="1"/>
      <c r="TFE88" s="1"/>
      <c r="TFF88" s="1"/>
      <c r="TFG88" s="1"/>
      <c r="TFH88" s="1"/>
      <c r="TFI88" s="1"/>
      <c r="TFJ88" s="1"/>
      <c r="TFK88" s="1"/>
      <c r="TFL88" s="1"/>
      <c r="TFM88" s="1"/>
      <c r="TFN88" s="1"/>
      <c r="TFO88" s="1"/>
      <c r="TFP88" s="1"/>
      <c r="TFQ88" s="1"/>
      <c r="TFR88" s="1"/>
      <c r="TFS88" s="1"/>
      <c r="TFT88" s="1"/>
      <c r="TFU88" s="1"/>
      <c r="TFV88" s="1"/>
      <c r="TFW88" s="1"/>
      <c r="TFX88" s="1"/>
      <c r="TFY88" s="1"/>
      <c r="TFZ88" s="1"/>
      <c r="TGA88" s="1"/>
      <c r="TGB88" s="1"/>
      <c r="TGC88" s="1"/>
      <c r="TGD88" s="1"/>
      <c r="TGE88" s="1"/>
      <c r="TGF88" s="1"/>
      <c r="TGG88" s="1"/>
      <c r="TGH88" s="1"/>
      <c r="TGI88" s="1"/>
      <c r="TGJ88" s="1"/>
      <c r="TGK88" s="1"/>
      <c r="TGL88" s="1"/>
      <c r="TGM88" s="1"/>
      <c r="TGN88" s="1"/>
      <c r="TGO88" s="1"/>
      <c r="TGP88" s="1"/>
      <c r="TGQ88" s="1"/>
      <c r="TGR88" s="1"/>
      <c r="TGS88" s="1"/>
      <c r="TGT88" s="1"/>
      <c r="TGU88" s="1"/>
      <c r="TGV88" s="1"/>
      <c r="TGW88" s="1"/>
      <c r="TGX88" s="1"/>
      <c r="TGY88" s="1"/>
      <c r="TGZ88" s="1"/>
      <c r="THA88" s="1"/>
      <c r="THB88" s="1"/>
      <c r="THC88" s="1"/>
      <c r="THD88" s="1"/>
      <c r="THE88" s="1"/>
      <c r="THF88" s="1"/>
      <c r="THG88" s="1"/>
      <c r="THH88" s="1"/>
      <c r="THI88" s="1"/>
      <c r="THJ88" s="1"/>
      <c r="THK88" s="1"/>
      <c r="THL88" s="1"/>
      <c r="THM88" s="1"/>
      <c r="THN88" s="1"/>
      <c r="THO88" s="1"/>
      <c r="THP88" s="1"/>
      <c r="THQ88" s="1"/>
      <c r="THR88" s="1"/>
      <c r="THS88" s="1"/>
      <c r="THT88" s="1"/>
      <c r="THU88" s="1"/>
      <c r="THV88" s="1"/>
      <c r="THW88" s="1"/>
      <c r="THX88" s="1"/>
      <c r="THY88" s="1"/>
      <c r="THZ88" s="1"/>
      <c r="TIA88" s="1"/>
      <c r="TIB88" s="1"/>
      <c r="TIC88" s="1"/>
      <c r="TID88" s="1"/>
      <c r="TIE88" s="1"/>
      <c r="TIF88" s="1"/>
      <c r="TIG88" s="1"/>
      <c r="TIH88" s="1"/>
      <c r="TII88" s="1"/>
      <c r="TIJ88" s="1"/>
      <c r="TIK88" s="1"/>
      <c r="TIL88" s="1"/>
      <c r="TIM88" s="1"/>
      <c r="TIN88" s="1"/>
      <c r="TIO88" s="1"/>
      <c r="TIP88" s="1"/>
      <c r="TIQ88" s="1"/>
      <c r="TIR88" s="1"/>
      <c r="TIS88" s="1"/>
      <c r="TIT88" s="1"/>
      <c r="TIU88" s="1"/>
      <c r="TIV88" s="1"/>
      <c r="TIW88" s="1"/>
      <c r="TIX88" s="1"/>
      <c r="TIY88" s="1"/>
      <c r="TIZ88" s="1"/>
      <c r="TJA88" s="1"/>
      <c r="TJB88" s="1"/>
      <c r="TJC88" s="1"/>
      <c r="TJD88" s="1"/>
      <c r="TJE88" s="1"/>
      <c r="TJF88" s="1"/>
      <c r="TJG88" s="1"/>
      <c r="TJH88" s="1"/>
      <c r="TJI88" s="1"/>
      <c r="TJJ88" s="1"/>
      <c r="TJK88" s="1"/>
      <c r="TJL88" s="1"/>
      <c r="TJM88" s="1"/>
      <c r="TJN88" s="1"/>
      <c r="TJO88" s="1"/>
      <c r="TJP88" s="1"/>
      <c r="TJQ88" s="1"/>
      <c r="TJR88" s="1"/>
      <c r="TJS88" s="1"/>
      <c r="TJT88" s="1"/>
      <c r="TJU88" s="1"/>
      <c r="TJV88" s="1"/>
      <c r="TJW88" s="1"/>
      <c r="TJX88" s="1"/>
      <c r="TJY88" s="1"/>
      <c r="TJZ88" s="1"/>
      <c r="TKA88" s="1"/>
      <c r="TKB88" s="1"/>
      <c r="TKC88" s="1"/>
      <c r="TKD88" s="1"/>
      <c r="TKE88" s="1"/>
      <c r="TKF88" s="1"/>
      <c r="TKG88" s="1"/>
      <c r="TKH88" s="1"/>
      <c r="TKI88" s="1"/>
      <c r="TKJ88" s="1"/>
      <c r="TKK88" s="1"/>
      <c r="TKL88" s="1"/>
      <c r="TKM88" s="1"/>
      <c r="TKN88" s="1"/>
      <c r="TKO88" s="1"/>
      <c r="TKP88" s="1"/>
      <c r="TKQ88" s="1"/>
      <c r="TKR88" s="1"/>
      <c r="TKS88" s="1"/>
      <c r="TKT88" s="1"/>
      <c r="TKU88" s="1"/>
      <c r="TKV88" s="1"/>
      <c r="TKW88" s="1"/>
      <c r="TKX88" s="1"/>
      <c r="TKY88" s="1"/>
      <c r="TKZ88" s="1"/>
      <c r="TLA88" s="1"/>
      <c r="TLB88" s="1"/>
      <c r="TLC88" s="1"/>
      <c r="TLD88" s="1"/>
      <c r="TLE88" s="1"/>
      <c r="TLF88" s="1"/>
      <c r="TLG88" s="1"/>
      <c r="TLH88" s="1"/>
      <c r="TLI88" s="1"/>
      <c r="TLJ88" s="1"/>
      <c r="TLK88" s="1"/>
      <c r="TLL88" s="1"/>
      <c r="TLM88" s="1"/>
      <c r="TLN88" s="1"/>
      <c r="TLO88" s="1"/>
      <c r="TLP88" s="1"/>
      <c r="TLQ88" s="1"/>
      <c r="TLR88" s="1"/>
      <c r="TLS88" s="1"/>
      <c r="TLT88" s="1"/>
      <c r="TLU88" s="1"/>
      <c r="TLV88" s="1"/>
      <c r="TLW88" s="1"/>
      <c r="TLX88" s="1"/>
      <c r="TLY88" s="1"/>
      <c r="TLZ88" s="1"/>
      <c r="TMA88" s="1"/>
      <c r="TMB88" s="1"/>
      <c r="TMC88" s="1"/>
      <c r="TMD88" s="1"/>
      <c r="TME88" s="1"/>
      <c r="TMF88" s="1"/>
      <c r="TMG88" s="1"/>
      <c r="TMH88" s="1"/>
      <c r="TMI88" s="1"/>
      <c r="TMJ88" s="1"/>
      <c r="TMK88" s="1"/>
      <c r="TML88" s="1"/>
      <c r="TMM88" s="1"/>
      <c r="TMN88" s="1"/>
      <c r="TMO88" s="1"/>
      <c r="TMP88" s="1"/>
      <c r="TMQ88" s="1"/>
      <c r="TMR88" s="1"/>
      <c r="TMS88" s="1"/>
      <c r="TMT88" s="1"/>
      <c r="TMU88" s="1"/>
      <c r="TMV88" s="1"/>
      <c r="TMW88" s="1"/>
      <c r="TMX88" s="1"/>
      <c r="TMY88" s="1"/>
      <c r="TMZ88" s="1"/>
      <c r="TNA88" s="1"/>
      <c r="TNB88" s="1"/>
      <c r="TNC88" s="1"/>
      <c r="TND88" s="1"/>
      <c r="TNE88" s="1"/>
      <c r="TNF88" s="1"/>
      <c r="TNG88" s="1"/>
      <c r="TNH88" s="1"/>
      <c r="TNI88" s="1"/>
      <c r="TNJ88" s="1"/>
      <c r="TNK88" s="1"/>
      <c r="TNL88" s="1"/>
      <c r="TNM88" s="1"/>
      <c r="TNN88" s="1"/>
      <c r="TNO88" s="1"/>
      <c r="TNP88" s="1"/>
      <c r="TNQ88" s="1"/>
      <c r="TNR88" s="1"/>
      <c r="TNS88" s="1"/>
      <c r="TNT88" s="1"/>
      <c r="TNU88" s="1"/>
      <c r="TNV88" s="1"/>
      <c r="TNW88" s="1"/>
      <c r="TNX88" s="1"/>
      <c r="TNY88" s="1"/>
      <c r="TNZ88" s="1"/>
      <c r="TOA88" s="1"/>
      <c r="TOB88" s="1"/>
      <c r="TOC88" s="1"/>
      <c r="TOD88" s="1"/>
      <c r="TOE88" s="1"/>
      <c r="TOF88" s="1"/>
      <c r="TOG88" s="1"/>
      <c r="TOH88" s="1"/>
      <c r="TOI88" s="1"/>
      <c r="TOJ88" s="1"/>
      <c r="TOK88" s="1"/>
      <c r="TOL88" s="1"/>
      <c r="TOM88" s="1"/>
      <c r="TON88" s="1"/>
      <c r="TOO88" s="1"/>
      <c r="TOP88" s="1"/>
      <c r="TOQ88" s="1"/>
      <c r="TOR88" s="1"/>
      <c r="TOS88" s="1"/>
      <c r="TOT88" s="1"/>
      <c r="TOU88" s="1"/>
      <c r="TOV88" s="1"/>
      <c r="TOW88" s="1"/>
      <c r="TOX88" s="1"/>
      <c r="TOY88" s="1"/>
      <c r="TOZ88" s="1"/>
      <c r="TPA88" s="1"/>
      <c r="TPB88" s="1"/>
      <c r="TPC88" s="1"/>
      <c r="TPD88" s="1"/>
      <c r="TPE88" s="1"/>
      <c r="TPF88" s="1"/>
      <c r="TPG88" s="1"/>
      <c r="TPH88" s="1"/>
      <c r="TPI88" s="1"/>
      <c r="TPJ88" s="1"/>
      <c r="TPK88" s="1"/>
      <c r="TPL88" s="1"/>
      <c r="TPM88" s="1"/>
      <c r="TPN88" s="1"/>
      <c r="TPO88" s="1"/>
      <c r="TPP88" s="1"/>
      <c r="TPQ88" s="1"/>
      <c r="TPR88" s="1"/>
      <c r="TPS88" s="1"/>
      <c r="TPT88" s="1"/>
      <c r="TPU88" s="1"/>
      <c r="TPV88" s="1"/>
      <c r="TPW88" s="1"/>
      <c r="TPX88" s="1"/>
      <c r="TPY88" s="1"/>
      <c r="TPZ88" s="1"/>
      <c r="TQA88" s="1"/>
      <c r="TQB88" s="1"/>
      <c r="TQC88" s="1"/>
      <c r="TQD88" s="1"/>
      <c r="TQE88" s="1"/>
      <c r="TQF88" s="1"/>
      <c r="TQG88" s="1"/>
      <c r="TQH88" s="1"/>
      <c r="TQI88" s="1"/>
      <c r="TQJ88" s="1"/>
      <c r="TQK88" s="1"/>
      <c r="TQL88" s="1"/>
      <c r="TQM88" s="1"/>
      <c r="TQN88" s="1"/>
      <c r="TQO88" s="1"/>
      <c r="TQP88" s="1"/>
      <c r="TQQ88" s="1"/>
      <c r="TQR88" s="1"/>
      <c r="TQS88" s="1"/>
      <c r="TQT88" s="1"/>
      <c r="TQU88" s="1"/>
      <c r="TQV88" s="1"/>
      <c r="TQW88" s="1"/>
      <c r="TQX88" s="1"/>
      <c r="TQY88" s="1"/>
      <c r="TQZ88" s="1"/>
      <c r="TRA88" s="1"/>
      <c r="TRB88" s="1"/>
      <c r="TRC88" s="1"/>
      <c r="TRD88" s="1"/>
      <c r="TRE88" s="1"/>
      <c r="TRF88" s="1"/>
      <c r="TRG88" s="1"/>
      <c r="TRH88" s="1"/>
      <c r="TRI88" s="1"/>
      <c r="TRJ88" s="1"/>
      <c r="TRK88" s="1"/>
      <c r="TRL88" s="1"/>
      <c r="TRM88" s="1"/>
      <c r="TRN88" s="1"/>
      <c r="TRO88" s="1"/>
      <c r="TRP88" s="1"/>
      <c r="TRQ88" s="1"/>
      <c r="TRR88" s="1"/>
      <c r="TRS88" s="1"/>
      <c r="TRT88" s="1"/>
      <c r="TRU88" s="1"/>
      <c r="TRV88" s="1"/>
      <c r="TRW88" s="1"/>
      <c r="TRX88" s="1"/>
      <c r="TRY88" s="1"/>
      <c r="TRZ88" s="1"/>
      <c r="TSA88" s="1"/>
      <c r="TSB88" s="1"/>
      <c r="TSC88" s="1"/>
      <c r="TSD88" s="1"/>
      <c r="TSE88" s="1"/>
      <c r="TSF88" s="1"/>
      <c r="TSG88" s="1"/>
      <c r="TSH88" s="1"/>
      <c r="TSI88" s="1"/>
      <c r="TSJ88" s="1"/>
      <c r="TSK88" s="1"/>
      <c r="TSL88" s="1"/>
      <c r="TSM88" s="1"/>
      <c r="TSN88" s="1"/>
      <c r="TSO88" s="1"/>
      <c r="TSP88" s="1"/>
      <c r="TSQ88" s="1"/>
      <c r="TSR88" s="1"/>
      <c r="TSS88" s="1"/>
      <c r="TST88" s="1"/>
      <c r="TSU88" s="1"/>
      <c r="TSV88" s="1"/>
      <c r="TSW88" s="1"/>
      <c r="TSX88" s="1"/>
      <c r="TSY88" s="1"/>
      <c r="TSZ88" s="1"/>
      <c r="TTA88" s="1"/>
      <c r="TTB88" s="1"/>
      <c r="TTC88" s="1"/>
      <c r="TTD88" s="1"/>
      <c r="TTE88" s="1"/>
      <c r="TTF88" s="1"/>
      <c r="TTG88" s="1"/>
      <c r="TTH88" s="1"/>
      <c r="TTI88" s="1"/>
      <c r="TTJ88" s="1"/>
      <c r="TTK88" s="1"/>
      <c r="TTL88" s="1"/>
      <c r="TTM88" s="1"/>
      <c r="TTN88" s="1"/>
      <c r="TTO88" s="1"/>
      <c r="TTP88" s="1"/>
      <c r="TTQ88" s="1"/>
      <c r="TTR88" s="1"/>
      <c r="TTS88" s="1"/>
      <c r="TTT88" s="1"/>
      <c r="TTU88" s="1"/>
      <c r="TTV88" s="1"/>
      <c r="TTW88" s="1"/>
      <c r="TTX88" s="1"/>
      <c r="TTY88" s="1"/>
      <c r="TTZ88" s="1"/>
      <c r="TUA88" s="1"/>
      <c r="TUB88" s="1"/>
      <c r="TUC88" s="1"/>
      <c r="TUD88" s="1"/>
      <c r="TUE88" s="1"/>
      <c r="TUF88" s="1"/>
      <c r="TUG88" s="1"/>
      <c r="TUH88" s="1"/>
      <c r="TUI88" s="1"/>
      <c r="TUJ88" s="1"/>
      <c r="TUK88" s="1"/>
      <c r="TUL88" s="1"/>
      <c r="TUM88" s="1"/>
      <c r="TUN88" s="1"/>
      <c r="TUO88" s="1"/>
      <c r="TUP88" s="1"/>
      <c r="TUQ88" s="1"/>
      <c r="TUR88" s="1"/>
      <c r="TUS88" s="1"/>
      <c r="TUT88" s="1"/>
      <c r="TUU88" s="1"/>
      <c r="TUV88" s="1"/>
      <c r="TUW88" s="1"/>
      <c r="TUX88" s="1"/>
      <c r="TUY88" s="1"/>
      <c r="TUZ88" s="1"/>
      <c r="TVA88" s="1"/>
      <c r="TVB88" s="1"/>
      <c r="TVC88" s="1"/>
      <c r="TVD88" s="1"/>
      <c r="TVE88" s="1"/>
      <c r="TVF88" s="1"/>
      <c r="TVG88" s="1"/>
      <c r="TVH88" s="1"/>
      <c r="TVI88" s="1"/>
      <c r="TVJ88" s="1"/>
      <c r="TVK88" s="1"/>
      <c r="TVL88" s="1"/>
      <c r="TVM88" s="1"/>
      <c r="TVN88" s="1"/>
      <c r="TVO88" s="1"/>
      <c r="TVP88" s="1"/>
      <c r="TVQ88" s="1"/>
      <c r="TVR88" s="1"/>
      <c r="TVS88" s="1"/>
      <c r="TVT88" s="1"/>
      <c r="TVU88" s="1"/>
      <c r="TVV88" s="1"/>
      <c r="TVW88" s="1"/>
      <c r="TVX88" s="1"/>
      <c r="TVY88" s="1"/>
      <c r="TVZ88" s="1"/>
      <c r="TWA88" s="1"/>
      <c r="TWB88" s="1"/>
      <c r="TWC88" s="1"/>
      <c r="TWD88" s="1"/>
      <c r="TWE88" s="1"/>
      <c r="TWF88" s="1"/>
      <c r="TWG88" s="1"/>
      <c r="TWH88" s="1"/>
      <c r="TWI88" s="1"/>
      <c r="TWJ88" s="1"/>
      <c r="TWK88" s="1"/>
      <c r="TWL88" s="1"/>
      <c r="TWM88" s="1"/>
      <c r="TWN88" s="1"/>
      <c r="TWO88" s="1"/>
      <c r="TWP88" s="1"/>
      <c r="TWQ88" s="1"/>
      <c r="TWR88" s="1"/>
      <c r="TWS88" s="1"/>
      <c r="TWT88" s="1"/>
      <c r="TWU88" s="1"/>
      <c r="TWV88" s="1"/>
      <c r="TWW88" s="1"/>
      <c r="TWX88" s="1"/>
      <c r="TWY88" s="1"/>
      <c r="TWZ88" s="1"/>
      <c r="TXA88" s="1"/>
      <c r="TXB88" s="1"/>
      <c r="TXC88" s="1"/>
      <c r="TXD88" s="1"/>
      <c r="TXE88" s="1"/>
      <c r="TXF88" s="1"/>
      <c r="TXG88" s="1"/>
      <c r="TXH88" s="1"/>
      <c r="TXI88" s="1"/>
      <c r="TXJ88" s="1"/>
      <c r="TXK88" s="1"/>
      <c r="TXL88" s="1"/>
      <c r="TXM88" s="1"/>
      <c r="TXN88" s="1"/>
      <c r="TXO88" s="1"/>
      <c r="TXP88" s="1"/>
      <c r="TXQ88" s="1"/>
      <c r="TXR88" s="1"/>
      <c r="TXS88" s="1"/>
      <c r="TXT88" s="1"/>
      <c r="TXU88" s="1"/>
      <c r="TXV88" s="1"/>
      <c r="TXW88" s="1"/>
      <c r="TXX88" s="1"/>
      <c r="TXY88" s="1"/>
      <c r="TXZ88" s="1"/>
      <c r="TYA88" s="1"/>
      <c r="TYB88" s="1"/>
      <c r="TYC88" s="1"/>
      <c r="TYD88" s="1"/>
      <c r="TYE88" s="1"/>
      <c r="TYF88" s="1"/>
      <c r="TYG88" s="1"/>
      <c r="TYH88" s="1"/>
      <c r="TYI88" s="1"/>
      <c r="TYJ88" s="1"/>
      <c r="TYK88" s="1"/>
      <c r="TYL88" s="1"/>
      <c r="TYM88" s="1"/>
      <c r="TYN88" s="1"/>
      <c r="TYO88" s="1"/>
      <c r="TYP88" s="1"/>
      <c r="TYQ88" s="1"/>
      <c r="TYR88" s="1"/>
      <c r="TYS88" s="1"/>
      <c r="TYT88" s="1"/>
      <c r="TYU88" s="1"/>
      <c r="TYV88" s="1"/>
      <c r="TYW88" s="1"/>
      <c r="TYX88" s="1"/>
      <c r="TYY88" s="1"/>
      <c r="TYZ88" s="1"/>
      <c r="TZA88" s="1"/>
      <c r="TZB88" s="1"/>
      <c r="TZC88" s="1"/>
      <c r="TZD88" s="1"/>
      <c r="TZE88" s="1"/>
      <c r="TZF88" s="1"/>
      <c r="TZG88" s="1"/>
      <c r="TZH88" s="1"/>
      <c r="TZI88" s="1"/>
      <c r="TZJ88" s="1"/>
      <c r="TZK88" s="1"/>
      <c r="TZL88" s="1"/>
      <c r="TZM88" s="1"/>
      <c r="TZN88" s="1"/>
      <c r="TZO88" s="1"/>
      <c r="TZP88" s="1"/>
      <c r="TZQ88" s="1"/>
      <c r="TZR88" s="1"/>
      <c r="TZS88" s="1"/>
      <c r="TZT88" s="1"/>
      <c r="TZU88" s="1"/>
      <c r="TZV88" s="1"/>
      <c r="TZW88" s="1"/>
      <c r="TZX88" s="1"/>
      <c r="TZY88" s="1"/>
      <c r="TZZ88" s="1"/>
      <c r="UAA88" s="1"/>
      <c r="UAB88" s="1"/>
      <c r="UAC88" s="1"/>
      <c r="UAD88" s="1"/>
      <c r="UAE88" s="1"/>
      <c r="UAF88" s="1"/>
      <c r="UAG88" s="1"/>
      <c r="UAH88" s="1"/>
      <c r="UAI88" s="1"/>
      <c r="UAJ88" s="1"/>
      <c r="UAK88" s="1"/>
      <c r="UAL88" s="1"/>
      <c r="UAM88" s="1"/>
      <c r="UAN88" s="1"/>
      <c r="UAO88" s="1"/>
      <c r="UAP88" s="1"/>
      <c r="UAQ88" s="1"/>
      <c r="UAR88" s="1"/>
      <c r="UAS88" s="1"/>
      <c r="UAT88" s="1"/>
      <c r="UAU88" s="1"/>
      <c r="UAV88" s="1"/>
      <c r="UAW88" s="1"/>
      <c r="UAX88" s="1"/>
      <c r="UAY88" s="1"/>
      <c r="UAZ88" s="1"/>
      <c r="UBA88" s="1"/>
      <c r="UBB88" s="1"/>
      <c r="UBC88" s="1"/>
      <c r="UBD88" s="1"/>
      <c r="UBE88" s="1"/>
      <c r="UBF88" s="1"/>
      <c r="UBG88" s="1"/>
      <c r="UBH88" s="1"/>
      <c r="UBI88" s="1"/>
      <c r="UBJ88" s="1"/>
      <c r="UBK88" s="1"/>
      <c r="UBL88" s="1"/>
      <c r="UBM88" s="1"/>
      <c r="UBN88" s="1"/>
      <c r="UBO88" s="1"/>
      <c r="UBP88" s="1"/>
      <c r="UBQ88" s="1"/>
      <c r="UBR88" s="1"/>
      <c r="UBS88" s="1"/>
      <c r="UBT88" s="1"/>
      <c r="UBU88" s="1"/>
      <c r="UBV88" s="1"/>
      <c r="UBW88" s="1"/>
      <c r="UBX88" s="1"/>
      <c r="UBY88" s="1"/>
      <c r="UBZ88" s="1"/>
      <c r="UCA88" s="1"/>
      <c r="UCB88" s="1"/>
      <c r="UCC88" s="1"/>
      <c r="UCD88" s="1"/>
      <c r="UCE88" s="1"/>
      <c r="UCF88" s="1"/>
      <c r="UCG88" s="1"/>
      <c r="UCH88" s="1"/>
      <c r="UCI88" s="1"/>
      <c r="UCJ88" s="1"/>
      <c r="UCK88" s="1"/>
      <c r="UCL88" s="1"/>
      <c r="UCM88" s="1"/>
      <c r="UCN88" s="1"/>
      <c r="UCO88" s="1"/>
      <c r="UCP88" s="1"/>
      <c r="UCQ88" s="1"/>
      <c r="UCR88" s="1"/>
      <c r="UCS88" s="1"/>
      <c r="UCT88" s="1"/>
      <c r="UCU88" s="1"/>
      <c r="UCV88" s="1"/>
      <c r="UCW88" s="1"/>
      <c r="UCX88" s="1"/>
      <c r="UCY88" s="1"/>
      <c r="UCZ88" s="1"/>
      <c r="UDA88" s="1"/>
      <c r="UDB88" s="1"/>
      <c r="UDC88" s="1"/>
      <c r="UDD88" s="1"/>
      <c r="UDE88" s="1"/>
      <c r="UDF88" s="1"/>
      <c r="UDG88" s="1"/>
      <c r="UDH88" s="1"/>
      <c r="UDI88" s="1"/>
      <c r="UDJ88" s="1"/>
      <c r="UDK88" s="1"/>
      <c r="UDL88" s="1"/>
      <c r="UDM88" s="1"/>
      <c r="UDN88" s="1"/>
      <c r="UDO88" s="1"/>
      <c r="UDP88" s="1"/>
      <c r="UDQ88" s="1"/>
      <c r="UDR88" s="1"/>
      <c r="UDS88" s="1"/>
      <c r="UDT88" s="1"/>
      <c r="UDU88" s="1"/>
      <c r="UDV88" s="1"/>
      <c r="UDW88" s="1"/>
      <c r="UDX88" s="1"/>
      <c r="UDY88" s="1"/>
      <c r="UDZ88" s="1"/>
      <c r="UEA88" s="1"/>
      <c r="UEB88" s="1"/>
      <c r="UEC88" s="1"/>
      <c r="UED88" s="1"/>
      <c r="UEE88" s="1"/>
      <c r="UEF88" s="1"/>
      <c r="UEG88" s="1"/>
      <c r="UEH88" s="1"/>
      <c r="UEI88" s="1"/>
      <c r="UEJ88" s="1"/>
      <c r="UEK88" s="1"/>
      <c r="UEL88" s="1"/>
      <c r="UEM88" s="1"/>
      <c r="UEN88" s="1"/>
      <c r="UEO88" s="1"/>
      <c r="UEP88" s="1"/>
      <c r="UEQ88" s="1"/>
      <c r="UER88" s="1"/>
      <c r="UES88" s="1"/>
      <c r="UET88" s="1"/>
      <c r="UEU88" s="1"/>
      <c r="UEV88" s="1"/>
      <c r="UEW88" s="1"/>
      <c r="UEX88" s="1"/>
      <c r="UEY88" s="1"/>
      <c r="UEZ88" s="1"/>
      <c r="UFA88" s="1"/>
      <c r="UFB88" s="1"/>
      <c r="UFC88" s="1"/>
      <c r="UFD88" s="1"/>
      <c r="UFE88" s="1"/>
      <c r="UFF88" s="1"/>
      <c r="UFG88" s="1"/>
      <c r="UFH88" s="1"/>
      <c r="UFI88" s="1"/>
      <c r="UFJ88" s="1"/>
      <c r="UFK88" s="1"/>
      <c r="UFL88" s="1"/>
      <c r="UFM88" s="1"/>
      <c r="UFN88" s="1"/>
      <c r="UFO88" s="1"/>
      <c r="UFP88" s="1"/>
      <c r="UFQ88" s="1"/>
      <c r="UFR88" s="1"/>
      <c r="UFS88" s="1"/>
      <c r="UFT88" s="1"/>
      <c r="UFU88" s="1"/>
      <c r="UFV88" s="1"/>
      <c r="UFW88" s="1"/>
      <c r="UFX88" s="1"/>
      <c r="UFY88" s="1"/>
      <c r="UFZ88" s="1"/>
      <c r="UGA88" s="1"/>
      <c r="UGB88" s="1"/>
      <c r="UGC88" s="1"/>
      <c r="UGD88" s="1"/>
      <c r="UGE88" s="1"/>
      <c r="UGF88" s="1"/>
      <c r="UGG88" s="1"/>
      <c r="UGH88" s="1"/>
      <c r="UGI88" s="1"/>
      <c r="UGJ88" s="1"/>
      <c r="UGK88" s="1"/>
      <c r="UGL88" s="1"/>
      <c r="UGM88" s="1"/>
      <c r="UGN88" s="1"/>
      <c r="UGO88" s="1"/>
      <c r="UGP88" s="1"/>
      <c r="UGQ88" s="1"/>
      <c r="UGR88" s="1"/>
      <c r="UGS88" s="1"/>
      <c r="UGT88" s="1"/>
      <c r="UGU88" s="1"/>
      <c r="UGV88" s="1"/>
      <c r="UGW88" s="1"/>
      <c r="UGX88" s="1"/>
      <c r="UGY88" s="1"/>
      <c r="UGZ88" s="1"/>
      <c r="UHA88" s="1"/>
      <c r="UHB88" s="1"/>
      <c r="UHC88" s="1"/>
      <c r="UHD88" s="1"/>
      <c r="UHE88" s="1"/>
      <c r="UHF88" s="1"/>
      <c r="UHG88" s="1"/>
      <c r="UHH88" s="1"/>
      <c r="UHI88" s="1"/>
      <c r="UHJ88" s="1"/>
      <c r="UHK88" s="1"/>
      <c r="UHL88" s="1"/>
      <c r="UHM88" s="1"/>
      <c r="UHN88" s="1"/>
      <c r="UHO88" s="1"/>
      <c r="UHP88" s="1"/>
      <c r="UHQ88" s="1"/>
      <c r="UHR88" s="1"/>
      <c r="UHS88" s="1"/>
      <c r="UHT88" s="1"/>
      <c r="UHU88" s="1"/>
      <c r="UHV88" s="1"/>
      <c r="UHW88" s="1"/>
      <c r="UHX88" s="1"/>
      <c r="UHY88" s="1"/>
      <c r="UHZ88" s="1"/>
      <c r="UIA88" s="1"/>
      <c r="UIB88" s="1"/>
      <c r="UIC88" s="1"/>
      <c r="UID88" s="1"/>
      <c r="UIE88" s="1"/>
      <c r="UIF88" s="1"/>
      <c r="UIG88" s="1"/>
      <c r="UIH88" s="1"/>
      <c r="UII88" s="1"/>
      <c r="UIJ88" s="1"/>
      <c r="UIK88" s="1"/>
      <c r="UIL88" s="1"/>
      <c r="UIM88" s="1"/>
      <c r="UIN88" s="1"/>
      <c r="UIO88" s="1"/>
      <c r="UIP88" s="1"/>
      <c r="UIQ88" s="1"/>
      <c r="UIR88" s="1"/>
      <c r="UIS88" s="1"/>
      <c r="UIT88" s="1"/>
      <c r="UIU88" s="1"/>
      <c r="UIV88" s="1"/>
      <c r="UIW88" s="1"/>
      <c r="UIX88" s="1"/>
      <c r="UIY88" s="1"/>
      <c r="UIZ88" s="1"/>
      <c r="UJA88" s="1"/>
      <c r="UJB88" s="1"/>
      <c r="UJC88" s="1"/>
      <c r="UJD88" s="1"/>
      <c r="UJE88" s="1"/>
      <c r="UJF88" s="1"/>
      <c r="UJG88" s="1"/>
      <c r="UJH88" s="1"/>
      <c r="UJI88" s="1"/>
      <c r="UJJ88" s="1"/>
      <c r="UJK88" s="1"/>
      <c r="UJL88" s="1"/>
      <c r="UJM88" s="1"/>
      <c r="UJN88" s="1"/>
      <c r="UJO88" s="1"/>
      <c r="UJP88" s="1"/>
      <c r="UJQ88" s="1"/>
      <c r="UJR88" s="1"/>
      <c r="UJS88" s="1"/>
      <c r="UJT88" s="1"/>
      <c r="UJU88" s="1"/>
      <c r="UJV88" s="1"/>
      <c r="UJW88" s="1"/>
      <c r="UJX88" s="1"/>
      <c r="UJY88" s="1"/>
      <c r="UJZ88" s="1"/>
      <c r="UKA88" s="1"/>
      <c r="UKB88" s="1"/>
      <c r="UKC88" s="1"/>
      <c r="UKD88" s="1"/>
      <c r="UKE88" s="1"/>
      <c r="UKF88" s="1"/>
      <c r="UKG88" s="1"/>
      <c r="UKH88" s="1"/>
      <c r="UKI88" s="1"/>
      <c r="UKJ88" s="1"/>
      <c r="UKK88" s="1"/>
      <c r="UKL88" s="1"/>
      <c r="UKM88" s="1"/>
      <c r="UKN88" s="1"/>
      <c r="UKO88" s="1"/>
      <c r="UKP88" s="1"/>
      <c r="UKQ88" s="1"/>
      <c r="UKR88" s="1"/>
      <c r="UKS88" s="1"/>
      <c r="UKT88" s="1"/>
      <c r="UKU88" s="1"/>
      <c r="UKV88" s="1"/>
      <c r="UKW88" s="1"/>
      <c r="UKX88" s="1"/>
      <c r="UKY88" s="1"/>
      <c r="UKZ88" s="1"/>
      <c r="ULA88" s="1"/>
      <c r="ULB88" s="1"/>
      <c r="ULC88" s="1"/>
      <c r="ULD88" s="1"/>
      <c r="ULE88" s="1"/>
      <c r="ULF88" s="1"/>
      <c r="ULG88" s="1"/>
      <c r="ULH88" s="1"/>
      <c r="ULI88" s="1"/>
      <c r="ULJ88" s="1"/>
      <c r="ULK88" s="1"/>
      <c r="ULL88" s="1"/>
      <c r="ULM88" s="1"/>
      <c r="ULN88" s="1"/>
      <c r="ULO88" s="1"/>
      <c r="ULP88" s="1"/>
      <c r="ULQ88" s="1"/>
      <c r="ULR88" s="1"/>
      <c r="ULS88" s="1"/>
      <c r="ULT88" s="1"/>
      <c r="ULU88" s="1"/>
      <c r="ULV88" s="1"/>
      <c r="ULW88" s="1"/>
      <c r="ULX88" s="1"/>
      <c r="ULY88" s="1"/>
      <c r="ULZ88" s="1"/>
      <c r="UMA88" s="1"/>
      <c r="UMB88" s="1"/>
      <c r="UMC88" s="1"/>
      <c r="UMD88" s="1"/>
      <c r="UME88" s="1"/>
      <c r="UMF88" s="1"/>
      <c r="UMG88" s="1"/>
      <c r="UMH88" s="1"/>
      <c r="UMI88" s="1"/>
      <c r="UMJ88" s="1"/>
      <c r="UMK88" s="1"/>
      <c r="UML88" s="1"/>
      <c r="UMM88" s="1"/>
      <c r="UMN88" s="1"/>
      <c r="UMO88" s="1"/>
      <c r="UMP88" s="1"/>
      <c r="UMQ88" s="1"/>
      <c r="UMR88" s="1"/>
      <c r="UMS88" s="1"/>
      <c r="UMT88" s="1"/>
      <c r="UMU88" s="1"/>
      <c r="UMV88" s="1"/>
      <c r="UMW88" s="1"/>
      <c r="UMX88" s="1"/>
      <c r="UMY88" s="1"/>
      <c r="UMZ88" s="1"/>
      <c r="UNA88" s="1"/>
      <c r="UNB88" s="1"/>
      <c r="UNC88" s="1"/>
      <c r="UND88" s="1"/>
      <c r="UNE88" s="1"/>
      <c r="UNF88" s="1"/>
      <c r="UNG88" s="1"/>
      <c r="UNH88" s="1"/>
      <c r="UNI88" s="1"/>
      <c r="UNJ88" s="1"/>
      <c r="UNK88" s="1"/>
      <c r="UNL88" s="1"/>
      <c r="UNM88" s="1"/>
      <c r="UNN88" s="1"/>
      <c r="UNO88" s="1"/>
      <c r="UNP88" s="1"/>
      <c r="UNQ88" s="1"/>
      <c r="UNR88" s="1"/>
      <c r="UNS88" s="1"/>
      <c r="UNT88" s="1"/>
      <c r="UNU88" s="1"/>
      <c r="UNV88" s="1"/>
      <c r="UNW88" s="1"/>
      <c r="UNX88" s="1"/>
      <c r="UNY88" s="1"/>
      <c r="UNZ88" s="1"/>
      <c r="UOA88" s="1"/>
      <c r="UOB88" s="1"/>
      <c r="UOC88" s="1"/>
      <c r="UOD88" s="1"/>
      <c r="UOE88" s="1"/>
      <c r="UOF88" s="1"/>
      <c r="UOG88" s="1"/>
      <c r="UOH88" s="1"/>
      <c r="UOI88" s="1"/>
      <c r="UOJ88" s="1"/>
      <c r="UOK88" s="1"/>
      <c r="UOL88" s="1"/>
      <c r="UOM88" s="1"/>
      <c r="UON88" s="1"/>
      <c r="UOO88" s="1"/>
      <c r="UOP88" s="1"/>
      <c r="UOQ88" s="1"/>
      <c r="UOR88" s="1"/>
      <c r="UOS88" s="1"/>
      <c r="UOT88" s="1"/>
      <c r="UOU88" s="1"/>
      <c r="UOV88" s="1"/>
      <c r="UOW88" s="1"/>
      <c r="UOX88" s="1"/>
      <c r="UOY88" s="1"/>
      <c r="UOZ88" s="1"/>
      <c r="UPA88" s="1"/>
      <c r="UPB88" s="1"/>
      <c r="UPC88" s="1"/>
      <c r="UPD88" s="1"/>
      <c r="UPE88" s="1"/>
      <c r="UPF88" s="1"/>
      <c r="UPG88" s="1"/>
      <c r="UPH88" s="1"/>
      <c r="UPI88" s="1"/>
      <c r="UPJ88" s="1"/>
      <c r="UPK88" s="1"/>
      <c r="UPL88" s="1"/>
      <c r="UPM88" s="1"/>
      <c r="UPN88" s="1"/>
      <c r="UPO88" s="1"/>
      <c r="UPP88" s="1"/>
      <c r="UPQ88" s="1"/>
      <c r="UPR88" s="1"/>
      <c r="UPS88" s="1"/>
      <c r="UPT88" s="1"/>
      <c r="UPU88" s="1"/>
      <c r="UPV88" s="1"/>
      <c r="UPW88" s="1"/>
      <c r="UPX88" s="1"/>
      <c r="UPY88" s="1"/>
      <c r="UPZ88" s="1"/>
      <c r="UQA88" s="1"/>
      <c r="UQB88" s="1"/>
      <c r="UQC88" s="1"/>
      <c r="UQD88" s="1"/>
      <c r="UQE88" s="1"/>
      <c r="UQF88" s="1"/>
      <c r="UQG88" s="1"/>
      <c r="UQH88" s="1"/>
      <c r="UQI88" s="1"/>
      <c r="UQJ88" s="1"/>
      <c r="UQK88" s="1"/>
      <c r="UQL88" s="1"/>
      <c r="UQM88" s="1"/>
      <c r="UQN88" s="1"/>
      <c r="UQO88" s="1"/>
      <c r="UQP88" s="1"/>
      <c r="UQQ88" s="1"/>
      <c r="UQR88" s="1"/>
      <c r="UQS88" s="1"/>
      <c r="UQT88" s="1"/>
      <c r="UQU88" s="1"/>
      <c r="UQV88" s="1"/>
      <c r="UQW88" s="1"/>
      <c r="UQX88" s="1"/>
      <c r="UQY88" s="1"/>
      <c r="UQZ88" s="1"/>
      <c r="URA88" s="1"/>
      <c r="URB88" s="1"/>
      <c r="URC88" s="1"/>
      <c r="URD88" s="1"/>
      <c r="URE88" s="1"/>
      <c r="URF88" s="1"/>
      <c r="URG88" s="1"/>
      <c r="URH88" s="1"/>
      <c r="URI88" s="1"/>
      <c r="URJ88" s="1"/>
      <c r="URK88" s="1"/>
      <c r="URL88" s="1"/>
      <c r="URM88" s="1"/>
      <c r="URN88" s="1"/>
      <c r="URO88" s="1"/>
      <c r="URP88" s="1"/>
      <c r="URQ88" s="1"/>
      <c r="URR88" s="1"/>
      <c r="URS88" s="1"/>
      <c r="URT88" s="1"/>
      <c r="URU88" s="1"/>
      <c r="URV88" s="1"/>
      <c r="URW88" s="1"/>
      <c r="URX88" s="1"/>
      <c r="URY88" s="1"/>
      <c r="URZ88" s="1"/>
      <c r="USA88" s="1"/>
      <c r="USB88" s="1"/>
      <c r="USC88" s="1"/>
      <c r="USD88" s="1"/>
      <c r="USE88" s="1"/>
      <c r="USF88" s="1"/>
      <c r="USG88" s="1"/>
      <c r="USH88" s="1"/>
      <c r="USI88" s="1"/>
      <c r="USJ88" s="1"/>
      <c r="USK88" s="1"/>
      <c r="USL88" s="1"/>
      <c r="USM88" s="1"/>
      <c r="USN88" s="1"/>
      <c r="USO88" s="1"/>
      <c r="USP88" s="1"/>
      <c r="USQ88" s="1"/>
      <c r="USR88" s="1"/>
      <c r="USS88" s="1"/>
      <c r="UST88" s="1"/>
      <c r="USU88" s="1"/>
      <c r="USV88" s="1"/>
      <c r="USW88" s="1"/>
      <c r="USX88" s="1"/>
      <c r="USY88" s="1"/>
      <c r="USZ88" s="1"/>
      <c r="UTA88" s="1"/>
      <c r="UTB88" s="1"/>
      <c r="UTC88" s="1"/>
      <c r="UTD88" s="1"/>
      <c r="UTE88" s="1"/>
      <c r="UTF88" s="1"/>
      <c r="UTG88" s="1"/>
      <c r="UTH88" s="1"/>
      <c r="UTI88" s="1"/>
      <c r="UTJ88" s="1"/>
      <c r="UTK88" s="1"/>
      <c r="UTL88" s="1"/>
      <c r="UTM88" s="1"/>
      <c r="UTN88" s="1"/>
      <c r="UTO88" s="1"/>
      <c r="UTP88" s="1"/>
      <c r="UTQ88" s="1"/>
      <c r="UTR88" s="1"/>
      <c r="UTS88" s="1"/>
      <c r="UTT88" s="1"/>
      <c r="UTU88" s="1"/>
      <c r="UTV88" s="1"/>
      <c r="UTW88" s="1"/>
      <c r="UTX88" s="1"/>
      <c r="UTY88" s="1"/>
      <c r="UTZ88" s="1"/>
      <c r="UUA88" s="1"/>
      <c r="UUB88" s="1"/>
      <c r="UUC88" s="1"/>
      <c r="UUD88" s="1"/>
      <c r="UUE88" s="1"/>
      <c r="UUF88" s="1"/>
      <c r="UUG88" s="1"/>
      <c r="UUH88" s="1"/>
      <c r="UUI88" s="1"/>
      <c r="UUJ88" s="1"/>
      <c r="UUK88" s="1"/>
      <c r="UUL88" s="1"/>
      <c r="UUM88" s="1"/>
      <c r="UUN88" s="1"/>
      <c r="UUO88" s="1"/>
      <c r="UUP88" s="1"/>
      <c r="UUQ88" s="1"/>
      <c r="UUR88" s="1"/>
      <c r="UUS88" s="1"/>
      <c r="UUT88" s="1"/>
      <c r="UUU88" s="1"/>
      <c r="UUV88" s="1"/>
      <c r="UUW88" s="1"/>
      <c r="UUX88" s="1"/>
      <c r="UUY88" s="1"/>
      <c r="UUZ88" s="1"/>
      <c r="UVA88" s="1"/>
      <c r="UVB88" s="1"/>
      <c r="UVC88" s="1"/>
      <c r="UVD88" s="1"/>
      <c r="UVE88" s="1"/>
      <c r="UVF88" s="1"/>
      <c r="UVG88" s="1"/>
      <c r="UVH88" s="1"/>
      <c r="UVI88" s="1"/>
      <c r="UVJ88" s="1"/>
      <c r="UVK88" s="1"/>
      <c r="UVL88" s="1"/>
      <c r="UVM88" s="1"/>
      <c r="UVN88" s="1"/>
      <c r="UVO88" s="1"/>
      <c r="UVP88" s="1"/>
      <c r="UVQ88" s="1"/>
      <c r="UVR88" s="1"/>
      <c r="UVS88" s="1"/>
      <c r="UVT88" s="1"/>
      <c r="UVU88" s="1"/>
      <c r="UVV88" s="1"/>
      <c r="UVW88" s="1"/>
      <c r="UVX88" s="1"/>
      <c r="UVY88" s="1"/>
      <c r="UVZ88" s="1"/>
      <c r="UWA88" s="1"/>
      <c r="UWB88" s="1"/>
      <c r="UWC88" s="1"/>
      <c r="UWD88" s="1"/>
      <c r="UWE88" s="1"/>
      <c r="UWF88" s="1"/>
      <c r="UWG88" s="1"/>
      <c r="UWH88" s="1"/>
      <c r="UWI88" s="1"/>
      <c r="UWJ88" s="1"/>
      <c r="UWK88" s="1"/>
      <c r="UWL88" s="1"/>
      <c r="UWM88" s="1"/>
      <c r="UWN88" s="1"/>
      <c r="UWO88" s="1"/>
      <c r="UWP88" s="1"/>
      <c r="UWQ88" s="1"/>
      <c r="UWR88" s="1"/>
      <c r="UWS88" s="1"/>
      <c r="UWT88" s="1"/>
      <c r="UWU88" s="1"/>
      <c r="UWV88" s="1"/>
      <c r="UWW88" s="1"/>
      <c r="UWX88" s="1"/>
      <c r="UWY88" s="1"/>
      <c r="UWZ88" s="1"/>
      <c r="UXA88" s="1"/>
      <c r="UXB88" s="1"/>
      <c r="UXC88" s="1"/>
      <c r="UXD88" s="1"/>
      <c r="UXE88" s="1"/>
      <c r="UXF88" s="1"/>
      <c r="UXG88" s="1"/>
      <c r="UXH88" s="1"/>
      <c r="UXI88" s="1"/>
      <c r="UXJ88" s="1"/>
      <c r="UXK88" s="1"/>
      <c r="UXL88" s="1"/>
      <c r="UXM88" s="1"/>
      <c r="UXN88" s="1"/>
      <c r="UXO88" s="1"/>
      <c r="UXP88" s="1"/>
      <c r="UXQ88" s="1"/>
      <c r="UXR88" s="1"/>
      <c r="UXS88" s="1"/>
      <c r="UXT88" s="1"/>
      <c r="UXU88" s="1"/>
      <c r="UXV88" s="1"/>
      <c r="UXW88" s="1"/>
      <c r="UXX88" s="1"/>
      <c r="UXY88" s="1"/>
      <c r="UXZ88" s="1"/>
      <c r="UYA88" s="1"/>
      <c r="UYB88" s="1"/>
      <c r="UYC88" s="1"/>
      <c r="UYD88" s="1"/>
      <c r="UYE88" s="1"/>
      <c r="UYF88" s="1"/>
      <c r="UYG88" s="1"/>
      <c r="UYH88" s="1"/>
      <c r="UYI88" s="1"/>
      <c r="UYJ88" s="1"/>
      <c r="UYK88" s="1"/>
      <c r="UYL88" s="1"/>
      <c r="UYM88" s="1"/>
      <c r="UYN88" s="1"/>
      <c r="UYO88" s="1"/>
      <c r="UYP88" s="1"/>
      <c r="UYQ88" s="1"/>
      <c r="UYR88" s="1"/>
      <c r="UYS88" s="1"/>
      <c r="UYT88" s="1"/>
      <c r="UYU88" s="1"/>
      <c r="UYV88" s="1"/>
      <c r="UYW88" s="1"/>
      <c r="UYX88" s="1"/>
      <c r="UYY88" s="1"/>
      <c r="UYZ88" s="1"/>
      <c r="UZA88" s="1"/>
      <c r="UZB88" s="1"/>
      <c r="UZC88" s="1"/>
      <c r="UZD88" s="1"/>
      <c r="UZE88" s="1"/>
      <c r="UZF88" s="1"/>
      <c r="UZG88" s="1"/>
      <c r="UZH88" s="1"/>
      <c r="UZI88" s="1"/>
      <c r="UZJ88" s="1"/>
      <c r="UZK88" s="1"/>
      <c r="UZL88" s="1"/>
      <c r="UZM88" s="1"/>
      <c r="UZN88" s="1"/>
      <c r="UZO88" s="1"/>
      <c r="UZP88" s="1"/>
      <c r="UZQ88" s="1"/>
      <c r="UZR88" s="1"/>
      <c r="UZS88" s="1"/>
      <c r="UZT88" s="1"/>
      <c r="UZU88" s="1"/>
      <c r="UZV88" s="1"/>
      <c r="UZW88" s="1"/>
      <c r="UZX88" s="1"/>
      <c r="UZY88" s="1"/>
      <c r="UZZ88" s="1"/>
      <c r="VAA88" s="1"/>
      <c r="VAB88" s="1"/>
      <c r="VAC88" s="1"/>
      <c r="VAD88" s="1"/>
      <c r="VAE88" s="1"/>
      <c r="VAF88" s="1"/>
      <c r="VAG88" s="1"/>
      <c r="VAH88" s="1"/>
      <c r="VAI88" s="1"/>
      <c r="VAJ88" s="1"/>
      <c r="VAK88" s="1"/>
      <c r="VAL88" s="1"/>
      <c r="VAM88" s="1"/>
      <c r="VAN88" s="1"/>
      <c r="VAO88" s="1"/>
      <c r="VAP88" s="1"/>
      <c r="VAQ88" s="1"/>
      <c r="VAR88" s="1"/>
      <c r="VAS88" s="1"/>
      <c r="VAT88" s="1"/>
      <c r="VAU88" s="1"/>
      <c r="VAV88" s="1"/>
      <c r="VAW88" s="1"/>
      <c r="VAX88" s="1"/>
      <c r="VAY88" s="1"/>
      <c r="VAZ88" s="1"/>
      <c r="VBA88" s="1"/>
      <c r="VBB88" s="1"/>
      <c r="VBC88" s="1"/>
      <c r="VBD88" s="1"/>
      <c r="VBE88" s="1"/>
      <c r="VBF88" s="1"/>
      <c r="VBG88" s="1"/>
      <c r="VBH88" s="1"/>
      <c r="VBI88" s="1"/>
      <c r="VBJ88" s="1"/>
      <c r="VBK88" s="1"/>
      <c r="VBL88" s="1"/>
      <c r="VBM88" s="1"/>
      <c r="VBN88" s="1"/>
      <c r="VBO88" s="1"/>
      <c r="VBP88" s="1"/>
      <c r="VBQ88" s="1"/>
      <c r="VBR88" s="1"/>
      <c r="VBS88" s="1"/>
      <c r="VBT88" s="1"/>
      <c r="VBU88" s="1"/>
      <c r="VBV88" s="1"/>
      <c r="VBW88" s="1"/>
      <c r="VBX88" s="1"/>
      <c r="VBY88" s="1"/>
      <c r="VBZ88" s="1"/>
      <c r="VCA88" s="1"/>
      <c r="VCB88" s="1"/>
      <c r="VCC88" s="1"/>
      <c r="VCD88" s="1"/>
      <c r="VCE88" s="1"/>
      <c r="VCF88" s="1"/>
      <c r="VCG88" s="1"/>
      <c r="VCH88" s="1"/>
      <c r="VCI88" s="1"/>
      <c r="VCJ88" s="1"/>
      <c r="VCK88" s="1"/>
      <c r="VCL88" s="1"/>
      <c r="VCM88" s="1"/>
      <c r="VCN88" s="1"/>
      <c r="VCO88" s="1"/>
      <c r="VCP88" s="1"/>
      <c r="VCQ88" s="1"/>
      <c r="VCR88" s="1"/>
      <c r="VCS88" s="1"/>
      <c r="VCT88" s="1"/>
      <c r="VCU88" s="1"/>
      <c r="VCV88" s="1"/>
      <c r="VCW88" s="1"/>
      <c r="VCX88" s="1"/>
      <c r="VCY88" s="1"/>
      <c r="VCZ88" s="1"/>
      <c r="VDA88" s="1"/>
      <c r="VDB88" s="1"/>
      <c r="VDC88" s="1"/>
      <c r="VDD88" s="1"/>
      <c r="VDE88" s="1"/>
      <c r="VDF88" s="1"/>
      <c r="VDG88" s="1"/>
      <c r="VDH88" s="1"/>
      <c r="VDI88" s="1"/>
      <c r="VDJ88" s="1"/>
      <c r="VDK88" s="1"/>
      <c r="VDL88" s="1"/>
      <c r="VDM88" s="1"/>
      <c r="VDN88" s="1"/>
      <c r="VDO88" s="1"/>
      <c r="VDP88" s="1"/>
      <c r="VDQ88" s="1"/>
      <c r="VDR88" s="1"/>
      <c r="VDS88" s="1"/>
      <c r="VDT88" s="1"/>
      <c r="VDU88" s="1"/>
      <c r="VDV88" s="1"/>
      <c r="VDW88" s="1"/>
      <c r="VDX88" s="1"/>
      <c r="VDY88" s="1"/>
      <c r="VDZ88" s="1"/>
      <c r="VEA88" s="1"/>
      <c r="VEB88" s="1"/>
      <c r="VEC88" s="1"/>
      <c r="VED88" s="1"/>
      <c r="VEE88" s="1"/>
      <c r="VEF88" s="1"/>
      <c r="VEG88" s="1"/>
      <c r="VEH88" s="1"/>
      <c r="VEI88" s="1"/>
      <c r="VEJ88" s="1"/>
      <c r="VEK88" s="1"/>
      <c r="VEL88" s="1"/>
      <c r="VEM88" s="1"/>
      <c r="VEN88" s="1"/>
      <c r="VEO88" s="1"/>
      <c r="VEP88" s="1"/>
      <c r="VEQ88" s="1"/>
      <c r="VER88" s="1"/>
      <c r="VES88" s="1"/>
      <c r="VET88" s="1"/>
      <c r="VEU88" s="1"/>
      <c r="VEV88" s="1"/>
      <c r="VEW88" s="1"/>
      <c r="VEX88" s="1"/>
      <c r="VEY88" s="1"/>
      <c r="VEZ88" s="1"/>
      <c r="VFA88" s="1"/>
      <c r="VFB88" s="1"/>
      <c r="VFC88" s="1"/>
      <c r="VFD88" s="1"/>
      <c r="VFE88" s="1"/>
      <c r="VFF88" s="1"/>
      <c r="VFG88" s="1"/>
      <c r="VFH88" s="1"/>
      <c r="VFI88" s="1"/>
      <c r="VFJ88" s="1"/>
      <c r="VFK88" s="1"/>
      <c r="VFL88" s="1"/>
      <c r="VFM88" s="1"/>
      <c r="VFN88" s="1"/>
      <c r="VFO88" s="1"/>
      <c r="VFP88" s="1"/>
      <c r="VFQ88" s="1"/>
      <c r="VFR88" s="1"/>
      <c r="VFS88" s="1"/>
      <c r="VFT88" s="1"/>
      <c r="VFU88" s="1"/>
      <c r="VFV88" s="1"/>
      <c r="VFW88" s="1"/>
      <c r="VFX88" s="1"/>
      <c r="VFY88" s="1"/>
      <c r="VFZ88" s="1"/>
      <c r="VGA88" s="1"/>
      <c r="VGB88" s="1"/>
      <c r="VGC88" s="1"/>
      <c r="VGD88" s="1"/>
      <c r="VGE88" s="1"/>
      <c r="VGF88" s="1"/>
      <c r="VGG88" s="1"/>
      <c r="VGH88" s="1"/>
      <c r="VGI88" s="1"/>
      <c r="VGJ88" s="1"/>
      <c r="VGK88" s="1"/>
      <c r="VGL88" s="1"/>
      <c r="VGM88" s="1"/>
      <c r="VGN88" s="1"/>
      <c r="VGO88" s="1"/>
      <c r="VGP88" s="1"/>
      <c r="VGQ88" s="1"/>
      <c r="VGR88" s="1"/>
      <c r="VGS88" s="1"/>
      <c r="VGT88" s="1"/>
      <c r="VGU88" s="1"/>
      <c r="VGV88" s="1"/>
      <c r="VGW88" s="1"/>
      <c r="VGX88" s="1"/>
      <c r="VGY88" s="1"/>
      <c r="VGZ88" s="1"/>
      <c r="VHA88" s="1"/>
      <c r="VHB88" s="1"/>
      <c r="VHC88" s="1"/>
      <c r="VHD88" s="1"/>
      <c r="VHE88" s="1"/>
      <c r="VHF88" s="1"/>
      <c r="VHG88" s="1"/>
      <c r="VHH88" s="1"/>
      <c r="VHI88" s="1"/>
      <c r="VHJ88" s="1"/>
      <c r="VHK88" s="1"/>
      <c r="VHL88" s="1"/>
      <c r="VHM88" s="1"/>
      <c r="VHN88" s="1"/>
      <c r="VHO88" s="1"/>
      <c r="VHP88" s="1"/>
      <c r="VHQ88" s="1"/>
      <c r="VHR88" s="1"/>
      <c r="VHS88" s="1"/>
      <c r="VHT88" s="1"/>
      <c r="VHU88" s="1"/>
      <c r="VHV88" s="1"/>
      <c r="VHW88" s="1"/>
      <c r="VHX88" s="1"/>
      <c r="VHY88" s="1"/>
      <c r="VHZ88" s="1"/>
      <c r="VIA88" s="1"/>
      <c r="VIB88" s="1"/>
      <c r="VIC88" s="1"/>
      <c r="VID88" s="1"/>
      <c r="VIE88" s="1"/>
      <c r="VIF88" s="1"/>
      <c r="VIG88" s="1"/>
      <c r="VIH88" s="1"/>
      <c r="VII88" s="1"/>
      <c r="VIJ88" s="1"/>
      <c r="VIK88" s="1"/>
      <c r="VIL88" s="1"/>
      <c r="VIM88" s="1"/>
      <c r="VIN88" s="1"/>
      <c r="VIO88" s="1"/>
      <c r="VIP88" s="1"/>
      <c r="VIQ88" s="1"/>
      <c r="VIR88" s="1"/>
      <c r="VIS88" s="1"/>
      <c r="VIT88" s="1"/>
      <c r="VIU88" s="1"/>
      <c r="VIV88" s="1"/>
      <c r="VIW88" s="1"/>
      <c r="VIX88" s="1"/>
      <c r="VIY88" s="1"/>
      <c r="VIZ88" s="1"/>
      <c r="VJA88" s="1"/>
      <c r="VJB88" s="1"/>
      <c r="VJC88" s="1"/>
      <c r="VJD88" s="1"/>
      <c r="VJE88" s="1"/>
      <c r="VJF88" s="1"/>
      <c r="VJG88" s="1"/>
      <c r="VJH88" s="1"/>
      <c r="VJI88" s="1"/>
      <c r="VJJ88" s="1"/>
      <c r="VJK88" s="1"/>
      <c r="VJL88" s="1"/>
      <c r="VJM88" s="1"/>
      <c r="VJN88" s="1"/>
      <c r="VJO88" s="1"/>
      <c r="VJP88" s="1"/>
      <c r="VJQ88" s="1"/>
      <c r="VJR88" s="1"/>
      <c r="VJS88" s="1"/>
      <c r="VJT88" s="1"/>
      <c r="VJU88" s="1"/>
      <c r="VJV88" s="1"/>
      <c r="VJW88" s="1"/>
      <c r="VJX88" s="1"/>
      <c r="VJY88" s="1"/>
      <c r="VJZ88" s="1"/>
      <c r="VKA88" s="1"/>
      <c r="VKB88" s="1"/>
      <c r="VKC88" s="1"/>
      <c r="VKD88" s="1"/>
      <c r="VKE88" s="1"/>
      <c r="VKF88" s="1"/>
      <c r="VKG88" s="1"/>
      <c r="VKH88" s="1"/>
      <c r="VKI88" s="1"/>
      <c r="VKJ88" s="1"/>
      <c r="VKK88" s="1"/>
      <c r="VKL88" s="1"/>
      <c r="VKM88" s="1"/>
      <c r="VKN88" s="1"/>
      <c r="VKO88" s="1"/>
      <c r="VKP88" s="1"/>
      <c r="VKQ88" s="1"/>
      <c r="VKR88" s="1"/>
      <c r="VKS88" s="1"/>
      <c r="VKT88" s="1"/>
      <c r="VKU88" s="1"/>
      <c r="VKV88" s="1"/>
      <c r="VKW88" s="1"/>
      <c r="VKX88" s="1"/>
      <c r="VKY88" s="1"/>
      <c r="VKZ88" s="1"/>
      <c r="VLA88" s="1"/>
      <c r="VLB88" s="1"/>
      <c r="VLC88" s="1"/>
      <c r="VLD88" s="1"/>
      <c r="VLE88" s="1"/>
      <c r="VLF88" s="1"/>
      <c r="VLG88" s="1"/>
      <c r="VLH88" s="1"/>
      <c r="VLI88" s="1"/>
      <c r="VLJ88" s="1"/>
      <c r="VLK88" s="1"/>
      <c r="VLL88" s="1"/>
      <c r="VLM88" s="1"/>
      <c r="VLN88" s="1"/>
      <c r="VLO88" s="1"/>
      <c r="VLP88" s="1"/>
      <c r="VLQ88" s="1"/>
      <c r="VLR88" s="1"/>
      <c r="VLS88" s="1"/>
      <c r="VLT88" s="1"/>
      <c r="VLU88" s="1"/>
      <c r="VLV88" s="1"/>
      <c r="VLW88" s="1"/>
      <c r="VLX88" s="1"/>
      <c r="VLY88" s="1"/>
      <c r="VLZ88" s="1"/>
      <c r="VMA88" s="1"/>
      <c r="VMB88" s="1"/>
      <c r="VMC88" s="1"/>
      <c r="VMD88" s="1"/>
      <c r="VME88" s="1"/>
      <c r="VMF88" s="1"/>
      <c r="VMG88" s="1"/>
      <c r="VMH88" s="1"/>
      <c r="VMI88" s="1"/>
      <c r="VMJ88" s="1"/>
      <c r="VMK88" s="1"/>
      <c r="VML88" s="1"/>
      <c r="VMM88" s="1"/>
      <c r="VMN88" s="1"/>
      <c r="VMO88" s="1"/>
      <c r="VMP88" s="1"/>
      <c r="VMQ88" s="1"/>
      <c r="VMR88" s="1"/>
      <c r="VMS88" s="1"/>
      <c r="VMT88" s="1"/>
      <c r="VMU88" s="1"/>
      <c r="VMV88" s="1"/>
      <c r="VMW88" s="1"/>
      <c r="VMX88" s="1"/>
      <c r="VMY88" s="1"/>
      <c r="VMZ88" s="1"/>
      <c r="VNA88" s="1"/>
      <c r="VNB88" s="1"/>
      <c r="VNC88" s="1"/>
      <c r="VND88" s="1"/>
      <c r="VNE88" s="1"/>
      <c r="VNF88" s="1"/>
      <c r="VNG88" s="1"/>
      <c r="VNH88" s="1"/>
      <c r="VNI88" s="1"/>
      <c r="VNJ88" s="1"/>
      <c r="VNK88" s="1"/>
      <c r="VNL88" s="1"/>
      <c r="VNM88" s="1"/>
      <c r="VNN88" s="1"/>
      <c r="VNO88" s="1"/>
      <c r="VNP88" s="1"/>
      <c r="VNQ88" s="1"/>
      <c r="VNR88" s="1"/>
      <c r="VNS88" s="1"/>
      <c r="VNT88" s="1"/>
      <c r="VNU88" s="1"/>
      <c r="VNV88" s="1"/>
      <c r="VNW88" s="1"/>
      <c r="VNX88" s="1"/>
      <c r="VNY88" s="1"/>
      <c r="VNZ88" s="1"/>
      <c r="VOA88" s="1"/>
      <c r="VOB88" s="1"/>
      <c r="VOC88" s="1"/>
      <c r="VOD88" s="1"/>
      <c r="VOE88" s="1"/>
      <c r="VOF88" s="1"/>
      <c r="VOG88" s="1"/>
      <c r="VOH88" s="1"/>
      <c r="VOI88" s="1"/>
      <c r="VOJ88" s="1"/>
      <c r="VOK88" s="1"/>
      <c r="VOL88" s="1"/>
      <c r="VOM88" s="1"/>
      <c r="VON88" s="1"/>
      <c r="VOO88" s="1"/>
      <c r="VOP88" s="1"/>
      <c r="VOQ88" s="1"/>
      <c r="VOR88" s="1"/>
      <c r="VOS88" s="1"/>
      <c r="VOT88" s="1"/>
      <c r="VOU88" s="1"/>
      <c r="VOV88" s="1"/>
      <c r="VOW88" s="1"/>
      <c r="VOX88" s="1"/>
      <c r="VOY88" s="1"/>
      <c r="VOZ88" s="1"/>
      <c r="VPA88" s="1"/>
      <c r="VPB88" s="1"/>
      <c r="VPC88" s="1"/>
      <c r="VPD88" s="1"/>
      <c r="VPE88" s="1"/>
      <c r="VPF88" s="1"/>
      <c r="VPG88" s="1"/>
      <c r="VPH88" s="1"/>
      <c r="VPI88" s="1"/>
      <c r="VPJ88" s="1"/>
      <c r="VPK88" s="1"/>
      <c r="VPL88" s="1"/>
      <c r="VPM88" s="1"/>
      <c r="VPN88" s="1"/>
      <c r="VPO88" s="1"/>
      <c r="VPP88" s="1"/>
      <c r="VPQ88" s="1"/>
      <c r="VPR88" s="1"/>
      <c r="VPS88" s="1"/>
      <c r="VPT88" s="1"/>
      <c r="VPU88" s="1"/>
      <c r="VPV88" s="1"/>
      <c r="VPW88" s="1"/>
      <c r="VPX88" s="1"/>
      <c r="VPY88" s="1"/>
      <c r="VPZ88" s="1"/>
      <c r="VQA88" s="1"/>
      <c r="VQB88" s="1"/>
      <c r="VQC88" s="1"/>
      <c r="VQD88" s="1"/>
      <c r="VQE88" s="1"/>
      <c r="VQF88" s="1"/>
      <c r="VQG88" s="1"/>
      <c r="VQH88" s="1"/>
      <c r="VQI88" s="1"/>
      <c r="VQJ88" s="1"/>
      <c r="VQK88" s="1"/>
      <c r="VQL88" s="1"/>
      <c r="VQM88" s="1"/>
      <c r="VQN88" s="1"/>
      <c r="VQO88" s="1"/>
      <c r="VQP88" s="1"/>
      <c r="VQQ88" s="1"/>
      <c r="VQR88" s="1"/>
      <c r="VQS88" s="1"/>
      <c r="VQT88" s="1"/>
      <c r="VQU88" s="1"/>
      <c r="VQV88" s="1"/>
      <c r="VQW88" s="1"/>
      <c r="VQX88" s="1"/>
      <c r="VQY88" s="1"/>
      <c r="VQZ88" s="1"/>
      <c r="VRA88" s="1"/>
      <c r="VRB88" s="1"/>
      <c r="VRC88" s="1"/>
      <c r="VRD88" s="1"/>
      <c r="VRE88" s="1"/>
      <c r="VRF88" s="1"/>
      <c r="VRG88" s="1"/>
      <c r="VRH88" s="1"/>
      <c r="VRI88" s="1"/>
      <c r="VRJ88" s="1"/>
      <c r="VRK88" s="1"/>
      <c r="VRL88" s="1"/>
      <c r="VRM88" s="1"/>
      <c r="VRN88" s="1"/>
      <c r="VRO88" s="1"/>
      <c r="VRP88" s="1"/>
      <c r="VRQ88" s="1"/>
      <c r="VRR88" s="1"/>
      <c r="VRS88" s="1"/>
      <c r="VRT88" s="1"/>
      <c r="VRU88" s="1"/>
      <c r="VRV88" s="1"/>
      <c r="VRW88" s="1"/>
      <c r="VRX88" s="1"/>
      <c r="VRY88" s="1"/>
      <c r="VRZ88" s="1"/>
      <c r="VSA88" s="1"/>
      <c r="VSB88" s="1"/>
      <c r="VSC88" s="1"/>
      <c r="VSD88" s="1"/>
      <c r="VSE88" s="1"/>
      <c r="VSF88" s="1"/>
      <c r="VSG88" s="1"/>
      <c r="VSH88" s="1"/>
      <c r="VSI88" s="1"/>
      <c r="VSJ88" s="1"/>
      <c r="VSK88" s="1"/>
      <c r="VSL88" s="1"/>
      <c r="VSM88" s="1"/>
      <c r="VSN88" s="1"/>
      <c r="VSO88" s="1"/>
      <c r="VSP88" s="1"/>
      <c r="VSQ88" s="1"/>
      <c r="VSR88" s="1"/>
      <c r="VSS88" s="1"/>
      <c r="VST88" s="1"/>
      <c r="VSU88" s="1"/>
      <c r="VSV88" s="1"/>
      <c r="VSW88" s="1"/>
      <c r="VSX88" s="1"/>
      <c r="VSY88" s="1"/>
      <c r="VSZ88" s="1"/>
      <c r="VTA88" s="1"/>
      <c r="VTB88" s="1"/>
      <c r="VTC88" s="1"/>
      <c r="VTD88" s="1"/>
      <c r="VTE88" s="1"/>
      <c r="VTF88" s="1"/>
      <c r="VTG88" s="1"/>
      <c r="VTH88" s="1"/>
      <c r="VTI88" s="1"/>
      <c r="VTJ88" s="1"/>
      <c r="VTK88" s="1"/>
      <c r="VTL88" s="1"/>
      <c r="VTM88" s="1"/>
      <c r="VTN88" s="1"/>
      <c r="VTO88" s="1"/>
      <c r="VTP88" s="1"/>
      <c r="VTQ88" s="1"/>
      <c r="VTR88" s="1"/>
      <c r="VTS88" s="1"/>
      <c r="VTT88" s="1"/>
      <c r="VTU88" s="1"/>
      <c r="VTV88" s="1"/>
      <c r="VTW88" s="1"/>
      <c r="VTX88" s="1"/>
      <c r="VTY88" s="1"/>
      <c r="VTZ88" s="1"/>
      <c r="VUA88" s="1"/>
      <c r="VUB88" s="1"/>
      <c r="VUC88" s="1"/>
      <c r="VUD88" s="1"/>
      <c r="VUE88" s="1"/>
      <c r="VUF88" s="1"/>
      <c r="VUG88" s="1"/>
      <c r="VUH88" s="1"/>
      <c r="VUI88" s="1"/>
      <c r="VUJ88" s="1"/>
      <c r="VUK88" s="1"/>
      <c r="VUL88" s="1"/>
      <c r="VUM88" s="1"/>
      <c r="VUN88" s="1"/>
      <c r="VUO88" s="1"/>
      <c r="VUP88" s="1"/>
      <c r="VUQ88" s="1"/>
      <c r="VUR88" s="1"/>
      <c r="VUS88" s="1"/>
      <c r="VUT88" s="1"/>
      <c r="VUU88" s="1"/>
      <c r="VUV88" s="1"/>
      <c r="VUW88" s="1"/>
      <c r="VUX88" s="1"/>
      <c r="VUY88" s="1"/>
      <c r="VUZ88" s="1"/>
      <c r="VVA88" s="1"/>
      <c r="VVB88" s="1"/>
      <c r="VVC88" s="1"/>
      <c r="VVD88" s="1"/>
      <c r="VVE88" s="1"/>
      <c r="VVF88" s="1"/>
      <c r="VVG88" s="1"/>
      <c r="VVH88" s="1"/>
      <c r="VVI88" s="1"/>
      <c r="VVJ88" s="1"/>
      <c r="VVK88" s="1"/>
      <c r="VVL88" s="1"/>
      <c r="VVM88" s="1"/>
      <c r="VVN88" s="1"/>
      <c r="VVO88" s="1"/>
      <c r="VVP88" s="1"/>
      <c r="VVQ88" s="1"/>
      <c r="VVR88" s="1"/>
      <c r="VVS88" s="1"/>
      <c r="VVT88" s="1"/>
      <c r="VVU88" s="1"/>
      <c r="VVV88" s="1"/>
      <c r="VVW88" s="1"/>
      <c r="VVX88" s="1"/>
      <c r="VVY88" s="1"/>
      <c r="VVZ88" s="1"/>
      <c r="VWA88" s="1"/>
      <c r="VWB88" s="1"/>
      <c r="VWC88" s="1"/>
      <c r="VWD88" s="1"/>
      <c r="VWE88" s="1"/>
      <c r="VWF88" s="1"/>
      <c r="VWG88" s="1"/>
      <c r="VWH88" s="1"/>
      <c r="VWI88" s="1"/>
      <c r="VWJ88" s="1"/>
      <c r="VWK88" s="1"/>
      <c r="VWL88" s="1"/>
      <c r="VWM88" s="1"/>
      <c r="VWN88" s="1"/>
      <c r="VWO88" s="1"/>
      <c r="VWP88" s="1"/>
      <c r="VWQ88" s="1"/>
      <c r="VWR88" s="1"/>
      <c r="VWS88" s="1"/>
      <c r="VWT88" s="1"/>
      <c r="VWU88" s="1"/>
      <c r="VWV88" s="1"/>
      <c r="VWW88" s="1"/>
      <c r="VWX88" s="1"/>
      <c r="VWY88" s="1"/>
      <c r="VWZ88" s="1"/>
      <c r="VXA88" s="1"/>
      <c r="VXB88" s="1"/>
      <c r="VXC88" s="1"/>
      <c r="VXD88" s="1"/>
      <c r="VXE88" s="1"/>
      <c r="VXF88" s="1"/>
      <c r="VXG88" s="1"/>
      <c r="VXH88" s="1"/>
      <c r="VXI88" s="1"/>
      <c r="VXJ88" s="1"/>
      <c r="VXK88" s="1"/>
      <c r="VXL88" s="1"/>
      <c r="VXM88" s="1"/>
      <c r="VXN88" s="1"/>
      <c r="VXO88" s="1"/>
      <c r="VXP88" s="1"/>
      <c r="VXQ88" s="1"/>
      <c r="VXR88" s="1"/>
      <c r="VXS88" s="1"/>
      <c r="VXT88" s="1"/>
      <c r="VXU88" s="1"/>
      <c r="VXV88" s="1"/>
      <c r="VXW88" s="1"/>
      <c r="VXX88" s="1"/>
      <c r="VXY88" s="1"/>
      <c r="VXZ88" s="1"/>
      <c r="VYA88" s="1"/>
      <c r="VYB88" s="1"/>
      <c r="VYC88" s="1"/>
      <c r="VYD88" s="1"/>
      <c r="VYE88" s="1"/>
      <c r="VYF88" s="1"/>
      <c r="VYG88" s="1"/>
      <c r="VYH88" s="1"/>
      <c r="VYI88" s="1"/>
      <c r="VYJ88" s="1"/>
      <c r="VYK88" s="1"/>
      <c r="VYL88" s="1"/>
      <c r="VYM88" s="1"/>
      <c r="VYN88" s="1"/>
      <c r="VYO88" s="1"/>
      <c r="VYP88" s="1"/>
      <c r="VYQ88" s="1"/>
      <c r="VYR88" s="1"/>
      <c r="VYS88" s="1"/>
      <c r="VYT88" s="1"/>
      <c r="VYU88" s="1"/>
      <c r="VYV88" s="1"/>
      <c r="VYW88" s="1"/>
      <c r="VYX88" s="1"/>
      <c r="VYY88" s="1"/>
      <c r="VYZ88" s="1"/>
      <c r="VZA88" s="1"/>
      <c r="VZB88" s="1"/>
      <c r="VZC88" s="1"/>
      <c r="VZD88" s="1"/>
      <c r="VZE88" s="1"/>
      <c r="VZF88" s="1"/>
      <c r="VZG88" s="1"/>
      <c r="VZH88" s="1"/>
      <c r="VZI88" s="1"/>
      <c r="VZJ88" s="1"/>
      <c r="VZK88" s="1"/>
      <c r="VZL88" s="1"/>
      <c r="VZM88" s="1"/>
      <c r="VZN88" s="1"/>
      <c r="VZO88" s="1"/>
      <c r="VZP88" s="1"/>
      <c r="VZQ88" s="1"/>
      <c r="VZR88" s="1"/>
      <c r="VZS88" s="1"/>
      <c r="VZT88" s="1"/>
      <c r="VZU88" s="1"/>
      <c r="VZV88" s="1"/>
      <c r="VZW88" s="1"/>
      <c r="VZX88" s="1"/>
      <c r="VZY88" s="1"/>
      <c r="VZZ88" s="1"/>
      <c r="WAA88" s="1"/>
      <c r="WAB88" s="1"/>
      <c r="WAC88" s="1"/>
      <c r="WAD88" s="1"/>
      <c r="WAE88" s="1"/>
      <c r="WAF88" s="1"/>
      <c r="WAG88" s="1"/>
      <c r="WAH88" s="1"/>
      <c r="WAI88" s="1"/>
      <c r="WAJ88" s="1"/>
      <c r="WAK88" s="1"/>
      <c r="WAL88" s="1"/>
      <c r="WAM88" s="1"/>
      <c r="WAN88" s="1"/>
      <c r="WAO88" s="1"/>
      <c r="WAP88" s="1"/>
      <c r="WAQ88" s="1"/>
      <c r="WAR88" s="1"/>
      <c r="WAS88" s="1"/>
      <c r="WAT88" s="1"/>
      <c r="WAU88" s="1"/>
      <c r="WAV88" s="1"/>
      <c r="WAW88" s="1"/>
      <c r="WAX88" s="1"/>
      <c r="WAY88" s="1"/>
      <c r="WAZ88" s="1"/>
      <c r="WBA88" s="1"/>
      <c r="WBB88" s="1"/>
      <c r="WBC88" s="1"/>
      <c r="WBD88" s="1"/>
      <c r="WBE88" s="1"/>
      <c r="WBF88" s="1"/>
      <c r="WBG88" s="1"/>
      <c r="WBH88" s="1"/>
      <c r="WBI88" s="1"/>
      <c r="WBJ88" s="1"/>
      <c r="WBK88" s="1"/>
      <c r="WBL88" s="1"/>
      <c r="WBM88" s="1"/>
      <c r="WBN88" s="1"/>
      <c r="WBO88" s="1"/>
      <c r="WBP88" s="1"/>
      <c r="WBQ88" s="1"/>
      <c r="WBR88" s="1"/>
      <c r="WBS88" s="1"/>
      <c r="WBT88" s="1"/>
      <c r="WBU88" s="1"/>
      <c r="WBV88" s="1"/>
      <c r="WBW88" s="1"/>
      <c r="WBX88" s="1"/>
      <c r="WBY88" s="1"/>
      <c r="WBZ88" s="1"/>
      <c r="WCA88" s="1"/>
      <c r="WCB88" s="1"/>
      <c r="WCC88" s="1"/>
      <c r="WCD88" s="1"/>
      <c r="WCE88" s="1"/>
      <c r="WCF88" s="1"/>
      <c r="WCG88" s="1"/>
      <c r="WCH88" s="1"/>
      <c r="WCI88" s="1"/>
      <c r="WCJ88" s="1"/>
      <c r="WCK88" s="1"/>
      <c r="WCL88" s="1"/>
      <c r="WCM88" s="1"/>
      <c r="WCN88" s="1"/>
      <c r="WCO88" s="1"/>
      <c r="WCP88" s="1"/>
      <c r="WCQ88" s="1"/>
      <c r="WCR88" s="1"/>
      <c r="WCS88" s="1"/>
      <c r="WCT88" s="1"/>
      <c r="WCU88" s="1"/>
      <c r="WCV88" s="1"/>
      <c r="WCW88" s="1"/>
      <c r="WCX88" s="1"/>
      <c r="WCY88" s="1"/>
      <c r="WCZ88" s="1"/>
      <c r="WDA88" s="1"/>
      <c r="WDB88" s="1"/>
      <c r="WDC88" s="1"/>
      <c r="WDD88" s="1"/>
      <c r="WDE88" s="1"/>
      <c r="WDF88" s="1"/>
      <c r="WDG88" s="1"/>
      <c r="WDH88" s="1"/>
      <c r="WDI88" s="1"/>
      <c r="WDJ88" s="1"/>
      <c r="WDK88" s="1"/>
      <c r="WDL88" s="1"/>
      <c r="WDM88" s="1"/>
      <c r="WDN88" s="1"/>
      <c r="WDO88" s="1"/>
      <c r="WDP88" s="1"/>
      <c r="WDQ88" s="1"/>
      <c r="WDR88" s="1"/>
      <c r="WDS88" s="1"/>
      <c r="WDT88" s="1"/>
      <c r="WDU88" s="1"/>
      <c r="WDV88" s="1"/>
      <c r="WDW88" s="1"/>
      <c r="WDX88" s="1"/>
      <c r="WDY88" s="1"/>
      <c r="WDZ88" s="1"/>
      <c r="WEA88" s="1"/>
      <c r="WEB88" s="1"/>
      <c r="WEC88" s="1"/>
      <c r="WED88" s="1"/>
      <c r="WEE88" s="1"/>
      <c r="WEF88" s="1"/>
      <c r="WEG88" s="1"/>
      <c r="WEH88" s="1"/>
      <c r="WEI88" s="1"/>
      <c r="WEJ88" s="1"/>
      <c r="WEK88" s="1"/>
      <c r="WEL88" s="1"/>
      <c r="WEM88" s="1"/>
      <c r="WEN88" s="1"/>
      <c r="WEO88" s="1"/>
      <c r="WEP88" s="1"/>
      <c r="WEQ88" s="1"/>
      <c r="WER88" s="1"/>
      <c r="WES88" s="1"/>
      <c r="WET88" s="1"/>
      <c r="WEU88" s="1"/>
      <c r="WEV88" s="1"/>
      <c r="WEW88" s="1"/>
      <c r="WEX88" s="1"/>
      <c r="WEY88" s="1"/>
      <c r="WEZ88" s="1"/>
      <c r="WFA88" s="1"/>
      <c r="WFB88" s="1"/>
      <c r="WFC88" s="1"/>
      <c r="WFD88" s="1"/>
      <c r="WFE88" s="1"/>
      <c r="WFF88" s="1"/>
      <c r="WFG88" s="1"/>
      <c r="WFH88" s="1"/>
      <c r="WFI88" s="1"/>
      <c r="WFJ88" s="1"/>
      <c r="WFK88" s="1"/>
      <c r="WFL88" s="1"/>
      <c r="WFM88" s="1"/>
      <c r="WFN88" s="1"/>
      <c r="WFO88" s="1"/>
      <c r="WFP88" s="1"/>
      <c r="WFQ88" s="1"/>
      <c r="WFR88" s="1"/>
      <c r="WFS88" s="1"/>
      <c r="WFT88" s="1"/>
      <c r="WFU88" s="1"/>
      <c r="WFV88" s="1"/>
      <c r="WFW88" s="1"/>
      <c r="WFX88" s="1"/>
      <c r="WFY88" s="1"/>
      <c r="WFZ88" s="1"/>
      <c r="WGA88" s="1"/>
      <c r="WGB88" s="1"/>
      <c r="WGC88" s="1"/>
      <c r="WGD88" s="1"/>
      <c r="WGE88" s="1"/>
      <c r="WGF88" s="1"/>
      <c r="WGG88" s="1"/>
      <c r="WGH88" s="1"/>
      <c r="WGI88" s="1"/>
      <c r="WGJ88" s="1"/>
      <c r="WGK88" s="1"/>
      <c r="WGL88" s="1"/>
      <c r="WGM88" s="1"/>
      <c r="WGN88" s="1"/>
      <c r="WGO88" s="1"/>
      <c r="WGP88" s="1"/>
      <c r="WGQ88" s="1"/>
      <c r="WGR88" s="1"/>
      <c r="WGS88" s="1"/>
      <c r="WGT88" s="1"/>
      <c r="WGU88" s="1"/>
      <c r="WGV88" s="1"/>
      <c r="WGW88" s="1"/>
      <c r="WGX88" s="1"/>
      <c r="WGY88" s="1"/>
      <c r="WGZ88" s="1"/>
      <c r="WHA88" s="1"/>
      <c r="WHB88" s="1"/>
      <c r="WHC88" s="1"/>
      <c r="WHD88" s="1"/>
      <c r="WHE88" s="1"/>
      <c r="WHF88" s="1"/>
      <c r="WHG88" s="1"/>
      <c r="WHH88" s="1"/>
      <c r="WHI88" s="1"/>
      <c r="WHJ88" s="1"/>
      <c r="WHK88" s="1"/>
      <c r="WHL88" s="1"/>
      <c r="WHM88" s="1"/>
      <c r="WHN88" s="1"/>
      <c r="WHO88" s="1"/>
      <c r="WHP88" s="1"/>
      <c r="WHQ88" s="1"/>
      <c r="WHR88" s="1"/>
      <c r="WHS88" s="1"/>
      <c r="WHT88" s="1"/>
      <c r="WHU88" s="1"/>
      <c r="WHV88" s="1"/>
      <c r="WHW88" s="1"/>
      <c r="WHX88" s="1"/>
      <c r="WHY88" s="1"/>
      <c r="WHZ88" s="1"/>
      <c r="WIA88" s="1"/>
      <c r="WIB88" s="1"/>
      <c r="WIC88" s="1"/>
      <c r="WID88" s="1"/>
      <c r="WIE88" s="1"/>
      <c r="WIF88" s="1"/>
      <c r="WIG88" s="1"/>
      <c r="WIH88" s="1"/>
      <c r="WII88" s="1"/>
      <c r="WIJ88" s="1"/>
      <c r="WIK88" s="1"/>
      <c r="WIL88" s="1"/>
      <c r="WIM88" s="1"/>
      <c r="WIN88" s="1"/>
      <c r="WIO88" s="1"/>
      <c r="WIP88" s="1"/>
      <c r="WIQ88" s="1"/>
      <c r="WIR88" s="1"/>
      <c r="WIS88" s="1"/>
      <c r="WIT88" s="1"/>
      <c r="WIU88" s="1"/>
      <c r="WIV88" s="1"/>
      <c r="WIW88" s="1"/>
      <c r="WIX88" s="1"/>
      <c r="WIY88" s="1"/>
      <c r="WIZ88" s="1"/>
      <c r="WJA88" s="1"/>
      <c r="WJB88" s="1"/>
      <c r="WJC88" s="1"/>
      <c r="WJD88" s="1"/>
      <c r="WJE88" s="1"/>
      <c r="WJF88" s="1"/>
      <c r="WJG88" s="1"/>
      <c r="WJH88" s="1"/>
      <c r="WJI88" s="1"/>
      <c r="WJJ88" s="1"/>
      <c r="WJK88" s="1"/>
      <c r="WJL88" s="1"/>
      <c r="WJM88" s="1"/>
      <c r="WJN88" s="1"/>
      <c r="WJO88" s="1"/>
      <c r="WJP88" s="1"/>
      <c r="WJQ88" s="1"/>
      <c r="WJR88" s="1"/>
      <c r="WJS88" s="1"/>
      <c r="WJT88" s="1"/>
      <c r="WJU88" s="1"/>
      <c r="WJV88" s="1"/>
      <c r="WJW88" s="1"/>
      <c r="WJX88" s="1"/>
      <c r="WJY88" s="1"/>
      <c r="WJZ88" s="1"/>
      <c r="WKA88" s="1"/>
      <c r="WKB88" s="1"/>
      <c r="WKC88" s="1"/>
      <c r="WKD88" s="1"/>
      <c r="WKE88" s="1"/>
      <c r="WKF88" s="1"/>
      <c r="WKG88" s="1"/>
      <c r="WKH88" s="1"/>
      <c r="WKI88" s="1"/>
      <c r="WKJ88" s="1"/>
      <c r="WKK88" s="1"/>
      <c r="WKL88" s="1"/>
      <c r="WKM88" s="1"/>
      <c r="WKN88" s="1"/>
      <c r="WKO88" s="1"/>
      <c r="WKP88" s="1"/>
      <c r="WKQ88" s="1"/>
      <c r="WKR88" s="1"/>
      <c r="WKS88" s="1"/>
      <c r="WKT88" s="1"/>
      <c r="WKU88" s="1"/>
      <c r="WKV88" s="1"/>
      <c r="WKW88" s="1"/>
      <c r="WKX88" s="1"/>
      <c r="WKY88" s="1"/>
      <c r="WKZ88" s="1"/>
      <c r="WLA88" s="1"/>
      <c r="WLB88" s="1"/>
      <c r="WLC88" s="1"/>
      <c r="WLD88" s="1"/>
      <c r="WLE88" s="1"/>
      <c r="WLF88" s="1"/>
      <c r="WLG88" s="1"/>
      <c r="WLH88" s="1"/>
      <c r="WLI88" s="1"/>
      <c r="WLJ88" s="1"/>
      <c r="WLK88" s="1"/>
      <c r="WLL88" s="1"/>
      <c r="WLM88" s="1"/>
      <c r="WLN88" s="1"/>
      <c r="WLO88" s="1"/>
      <c r="WLP88" s="1"/>
      <c r="WLQ88" s="1"/>
      <c r="WLR88" s="1"/>
      <c r="WLS88" s="1"/>
      <c r="WLT88" s="1"/>
      <c r="WLU88" s="1"/>
      <c r="WLV88" s="1"/>
      <c r="WLW88" s="1"/>
      <c r="WLX88" s="1"/>
      <c r="WLY88" s="1"/>
      <c r="WLZ88" s="1"/>
      <c r="WMA88" s="1"/>
      <c r="WMB88" s="1"/>
      <c r="WMC88" s="1"/>
      <c r="WMD88" s="1"/>
      <c r="WME88" s="1"/>
      <c r="WMF88" s="1"/>
      <c r="WMG88" s="1"/>
      <c r="WMH88" s="1"/>
      <c r="WMI88" s="1"/>
      <c r="WMJ88" s="1"/>
      <c r="WMK88" s="1"/>
      <c r="WML88" s="1"/>
      <c r="WMM88" s="1"/>
      <c r="WMN88" s="1"/>
      <c r="WMO88" s="1"/>
      <c r="WMP88" s="1"/>
      <c r="WMQ88" s="1"/>
      <c r="WMR88" s="1"/>
      <c r="WMS88" s="1"/>
      <c r="WMT88" s="1"/>
      <c r="WMU88" s="1"/>
      <c r="WMV88" s="1"/>
      <c r="WMW88" s="1"/>
      <c r="WMX88" s="1"/>
      <c r="WMY88" s="1"/>
      <c r="WMZ88" s="1"/>
      <c r="WNA88" s="1"/>
      <c r="WNB88" s="1"/>
      <c r="WNC88" s="1"/>
      <c r="WND88" s="1"/>
      <c r="WNE88" s="1"/>
      <c r="WNF88" s="1"/>
      <c r="WNG88" s="1"/>
      <c r="WNH88" s="1"/>
      <c r="WNI88" s="1"/>
      <c r="WNJ88" s="1"/>
      <c r="WNK88" s="1"/>
      <c r="WNL88" s="1"/>
      <c r="WNM88" s="1"/>
      <c r="WNN88" s="1"/>
      <c r="WNO88" s="1"/>
      <c r="WNP88" s="1"/>
      <c r="WNQ88" s="1"/>
      <c r="WNR88" s="1"/>
      <c r="WNS88" s="1"/>
      <c r="WNT88" s="1"/>
      <c r="WNU88" s="1"/>
      <c r="WNV88" s="1"/>
      <c r="WNW88" s="1"/>
      <c r="WNX88" s="1"/>
      <c r="WNY88" s="1"/>
      <c r="WNZ88" s="1"/>
      <c r="WOA88" s="1"/>
      <c r="WOB88" s="1"/>
      <c r="WOC88" s="1"/>
      <c r="WOD88" s="1"/>
      <c r="WOE88" s="1"/>
      <c r="WOF88" s="1"/>
      <c r="WOG88" s="1"/>
      <c r="WOH88" s="1"/>
      <c r="WOI88" s="1"/>
      <c r="WOJ88" s="1"/>
      <c r="WOK88" s="1"/>
      <c r="WOL88" s="1"/>
      <c r="WOM88" s="1"/>
      <c r="WON88" s="1"/>
      <c r="WOO88" s="1"/>
      <c r="WOP88" s="1"/>
      <c r="WOQ88" s="1"/>
      <c r="WOR88" s="1"/>
      <c r="WOS88" s="1"/>
      <c r="WOT88" s="1"/>
      <c r="WOU88" s="1"/>
      <c r="WOV88" s="1"/>
      <c r="WOW88" s="1"/>
      <c r="WOX88" s="1"/>
      <c r="WOY88" s="1"/>
      <c r="WOZ88" s="1"/>
      <c r="WPA88" s="1"/>
      <c r="WPB88" s="1"/>
      <c r="WPC88" s="1"/>
      <c r="WPD88" s="1"/>
      <c r="WPE88" s="1"/>
      <c r="WPF88" s="1"/>
      <c r="WPG88" s="1"/>
      <c r="WPH88" s="1"/>
      <c r="WPI88" s="1"/>
      <c r="WPJ88" s="1"/>
      <c r="WPK88" s="1"/>
      <c r="WPL88" s="1"/>
      <c r="WPM88" s="1"/>
      <c r="WPN88" s="1"/>
      <c r="WPO88" s="1"/>
      <c r="WPP88" s="1"/>
      <c r="WPQ88" s="1"/>
      <c r="WPR88" s="1"/>
      <c r="WPS88" s="1"/>
      <c r="WPT88" s="1"/>
      <c r="WPU88" s="1"/>
      <c r="WPV88" s="1"/>
      <c r="WPW88" s="1"/>
      <c r="WPX88" s="1"/>
      <c r="WPY88" s="1"/>
      <c r="WPZ88" s="1"/>
      <c r="WQA88" s="1"/>
      <c r="WQB88" s="1"/>
      <c r="WQC88" s="1"/>
      <c r="WQD88" s="1"/>
      <c r="WQE88" s="1"/>
      <c r="WQF88" s="1"/>
      <c r="WQG88" s="1"/>
      <c r="WQH88" s="1"/>
      <c r="WQI88" s="1"/>
      <c r="WQJ88" s="1"/>
      <c r="WQK88" s="1"/>
      <c r="WQL88" s="1"/>
      <c r="WQM88" s="1"/>
      <c r="WQN88" s="1"/>
      <c r="WQO88" s="1"/>
      <c r="WQP88" s="1"/>
      <c r="WQQ88" s="1"/>
      <c r="WQR88" s="1"/>
      <c r="WQS88" s="1"/>
      <c r="WQT88" s="1"/>
      <c r="WQU88" s="1"/>
      <c r="WQV88" s="1"/>
      <c r="WQW88" s="1"/>
      <c r="WQX88" s="1"/>
      <c r="WQY88" s="1"/>
      <c r="WQZ88" s="1"/>
      <c r="WRA88" s="1"/>
      <c r="WRB88" s="1"/>
      <c r="WRC88" s="1"/>
      <c r="WRD88" s="1"/>
      <c r="WRE88" s="1"/>
      <c r="WRF88" s="1"/>
      <c r="WRG88" s="1"/>
      <c r="WRH88" s="1"/>
      <c r="WRI88" s="1"/>
      <c r="WRJ88" s="1"/>
      <c r="WRK88" s="1"/>
      <c r="WRL88" s="1"/>
      <c r="WRM88" s="1"/>
      <c r="WRN88" s="1"/>
      <c r="WRO88" s="1"/>
      <c r="WRP88" s="1"/>
      <c r="WRQ88" s="1"/>
      <c r="WRR88" s="1"/>
      <c r="WRS88" s="1"/>
      <c r="WRT88" s="1"/>
      <c r="WRU88" s="1"/>
      <c r="WRV88" s="1"/>
      <c r="WRW88" s="1"/>
      <c r="WRX88" s="1"/>
      <c r="WRY88" s="1"/>
      <c r="WRZ88" s="1"/>
      <c r="WSA88" s="1"/>
      <c r="WSB88" s="1"/>
      <c r="WSC88" s="1"/>
      <c r="WSD88" s="1"/>
      <c r="WSE88" s="1"/>
      <c r="WSF88" s="1"/>
      <c r="WSG88" s="1"/>
      <c r="WSH88" s="1"/>
      <c r="WSI88" s="1"/>
      <c r="WSJ88" s="1"/>
      <c r="WSK88" s="1"/>
      <c r="WSL88" s="1"/>
      <c r="WSM88" s="1"/>
      <c r="WSN88" s="1"/>
      <c r="WSO88" s="1"/>
      <c r="WSP88" s="1"/>
      <c r="WSQ88" s="1"/>
      <c r="WSR88" s="1"/>
      <c r="WSS88" s="1"/>
      <c r="WST88" s="1"/>
      <c r="WSU88" s="1"/>
      <c r="WSV88" s="1"/>
      <c r="WSW88" s="1"/>
      <c r="WSX88" s="1"/>
      <c r="WSY88" s="1"/>
      <c r="WSZ88" s="1"/>
      <c r="WTA88" s="1"/>
      <c r="WTB88" s="1"/>
      <c r="WTC88" s="1"/>
      <c r="WTD88" s="1"/>
      <c r="WTE88" s="1"/>
      <c r="WTF88" s="1"/>
      <c r="WTG88" s="1"/>
      <c r="WTH88" s="1"/>
      <c r="WTI88" s="1"/>
      <c r="WTJ88" s="1"/>
      <c r="WTK88" s="1"/>
      <c r="WTL88" s="1"/>
      <c r="WTM88" s="1"/>
      <c r="WTN88" s="1"/>
      <c r="WTO88" s="1"/>
      <c r="WTP88" s="1"/>
      <c r="WTQ88" s="1"/>
      <c r="WTR88" s="1"/>
      <c r="WTS88" s="1"/>
      <c r="WTT88" s="1"/>
      <c r="WTU88" s="1"/>
      <c r="WTV88" s="1"/>
      <c r="WTW88" s="1"/>
      <c r="WTX88" s="1"/>
      <c r="WTY88" s="1"/>
      <c r="WTZ88" s="1"/>
      <c r="WUA88" s="1"/>
      <c r="WUB88" s="1"/>
      <c r="WUC88" s="1"/>
      <c r="WUD88" s="1"/>
      <c r="WUE88" s="1"/>
      <c r="WUF88" s="1"/>
      <c r="WUG88" s="1"/>
      <c r="WUH88" s="1"/>
      <c r="WUI88" s="1"/>
      <c r="WUJ88" s="1"/>
      <c r="WUK88" s="1"/>
      <c r="WUL88" s="1"/>
      <c r="WUM88" s="1"/>
      <c r="WUN88" s="1"/>
      <c r="WUO88" s="1"/>
      <c r="WUP88" s="1"/>
      <c r="WUQ88" s="1"/>
      <c r="WUR88" s="1"/>
      <c r="WUS88" s="1"/>
      <c r="WUT88" s="1"/>
      <c r="WUU88" s="1"/>
      <c r="WUV88" s="1"/>
      <c r="WUW88" s="1"/>
      <c r="WUX88" s="1"/>
      <c r="WUY88" s="1"/>
      <c r="WUZ88" s="1"/>
      <c r="WVA88" s="1"/>
      <c r="WVB88" s="1"/>
      <c r="WVC88" s="1"/>
      <c r="WVD88" s="1"/>
      <c r="WVE88" s="1"/>
      <c r="WVF88" s="1"/>
      <c r="WVG88" s="1"/>
      <c r="WVH88" s="1"/>
      <c r="WVI88" s="1"/>
      <c r="WVJ88" s="1"/>
      <c r="WVK88" s="1"/>
      <c r="WVL88" s="1"/>
      <c r="WVM88" s="1"/>
      <c r="WVN88" s="1"/>
      <c r="WVO88" s="1"/>
      <c r="WVP88" s="1"/>
      <c r="WVQ88" s="1"/>
      <c r="WVR88" s="1"/>
      <c r="WVS88" s="1"/>
      <c r="WVT88" s="1"/>
      <c r="WVU88" s="1"/>
      <c r="WVV88" s="1"/>
      <c r="WVW88" s="1"/>
      <c r="WVX88" s="1"/>
      <c r="WVY88" s="1"/>
      <c r="WVZ88" s="1"/>
      <c r="WWA88" s="1"/>
      <c r="WWB88" s="1"/>
      <c r="WWC88" s="1"/>
      <c r="WWD88" s="1"/>
      <c r="WWE88" s="1"/>
      <c r="WWF88" s="1"/>
      <c r="WWG88" s="1"/>
      <c r="WWH88" s="1"/>
      <c r="WWI88" s="1"/>
      <c r="WWJ88" s="1"/>
      <c r="WWK88" s="1"/>
      <c r="WWL88" s="1"/>
      <c r="WWM88" s="1"/>
      <c r="WWN88" s="1"/>
      <c r="WWO88" s="1"/>
      <c r="WWP88" s="1"/>
      <c r="WWQ88" s="1"/>
      <c r="WWR88" s="1"/>
      <c r="WWS88" s="1"/>
      <c r="WWT88" s="1"/>
      <c r="WWU88" s="1"/>
      <c r="WWV88" s="1"/>
      <c r="WWW88" s="1"/>
      <c r="WWX88" s="1"/>
      <c r="WWY88" s="1"/>
      <c r="WWZ88" s="1"/>
      <c r="WXA88" s="1"/>
      <c r="WXB88" s="1"/>
      <c r="WXC88" s="1"/>
      <c r="WXD88" s="1"/>
      <c r="WXE88" s="1"/>
      <c r="WXF88" s="1"/>
      <c r="WXG88" s="1"/>
      <c r="WXH88" s="1"/>
      <c r="WXI88" s="1"/>
      <c r="WXJ88" s="1"/>
      <c r="WXK88" s="1"/>
      <c r="WXL88" s="1"/>
      <c r="WXM88" s="1"/>
      <c r="WXN88" s="1"/>
      <c r="WXO88" s="1"/>
      <c r="WXP88" s="1"/>
      <c r="WXQ88" s="1"/>
      <c r="WXR88" s="1"/>
      <c r="WXS88" s="1"/>
      <c r="WXT88" s="1"/>
      <c r="WXU88" s="1"/>
      <c r="WXV88" s="1"/>
      <c r="WXW88" s="1"/>
      <c r="WXX88" s="1"/>
      <c r="WXY88" s="1"/>
      <c r="WXZ88" s="1"/>
      <c r="WYA88" s="1"/>
      <c r="WYB88" s="1"/>
      <c r="WYC88" s="1"/>
      <c r="WYD88" s="1"/>
      <c r="WYE88" s="1"/>
      <c r="WYF88" s="1"/>
      <c r="WYG88" s="1"/>
      <c r="WYH88" s="1"/>
      <c r="WYI88" s="1"/>
      <c r="WYJ88" s="1"/>
      <c r="WYK88" s="1"/>
      <c r="WYL88" s="1"/>
      <c r="WYM88" s="1"/>
      <c r="WYN88" s="1"/>
      <c r="WYO88" s="1"/>
      <c r="WYP88" s="1"/>
      <c r="WYQ88" s="1"/>
      <c r="WYR88" s="1"/>
      <c r="WYS88" s="1"/>
      <c r="WYT88" s="1"/>
      <c r="WYU88" s="1"/>
      <c r="WYV88" s="1"/>
      <c r="WYW88" s="1"/>
      <c r="WYX88" s="1"/>
      <c r="WYY88" s="1"/>
      <c r="WYZ88" s="1"/>
      <c r="WZA88" s="1"/>
      <c r="WZB88" s="1"/>
      <c r="WZC88" s="1"/>
      <c r="WZD88" s="1"/>
      <c r="WZE88" s="1"/>
      <c r="WZF88" s="1"/>
      <c r="WZG88" s="1"/>
      <c r="WZH88" s="1"/>
      <c r="WZI88" s="1"/>
      <c r="WZJ88" s="1"/>
      <c r="WZK88" s="1"/>
      <c r="WZL88" s="1"/>
      <c r="WZM88" s="1"/>
      <c r="WZN88" s="1"/>
      <c r="WZO88" s="1"/>
      <c r="WZP88" s="1"/>
      <c r="WZQ88" s="1"/>
      <c r="WZR88" s="1"/>
      <c r="WZS88" s="1"/>
      <c r="WZT88" s="1"/>
      <c r="WZU88" s="1"/>
      <c r="WZV88" s="1"/>
      <c r="WZW88" s="1"/>
      <c r="WZX88" s="1"/>
      <c r="WZY88" s="1"/>
      <c r="WZZ88" s="1"/>
      <c r="XAA88" s="1"/>
      <c r="XAB88" s="1"/>
      <c r="XAC88" s="1"/>
      <c r="XAD88" s="1"/>
      <c r="XAE88" s="1"/>
      <c r="XAF88" s="1"/>
      <c r="XAG88" s="1"/>
      <c r="XAH88" s="1"/>
      <c r="XAI88" s="1"/>
      <c r="XAJ88" s="1"/>
      <c r="XAK88" s="1"/>
      <c r="XAL88" s="1"/>
      <c r="XAM88" s="1"/>
      <c r="XAN88" s="1"/>
      <c r="XAO88" s="1"/>
      <c r="XAP88" s="1"/>
      <c r="XAQ88" s="1"/>
      <c r="XAR88" s="1"/>
      <c r="XAS88" s="1"/>
      <c r="XAT88" s="1"/>
      <c r="XAU88" s="1"/>
      <c r="XAV88" s="1"/>
      <c r="XAW88" s="1"/>
      <c r="XAX88" s="1"/>
      <c r="XAY88" s="1"/>
      <c r="XAZ88" s="1"/>
      <c r="XBA88" s="1"/>
      <c r="XBB88" s="1"/>
      <c r="XBC88" s="1"/>
      <c r="XBD88" s="1"/>
      <c r="XBE88" s="1"/>
      <c r="XBF88" s="1"/>
      <c r="XBG88" s="1"/>
      <c r="XBH88" s="1"/>
      <c r="XBI88" s="1"/>
      <c r="XBJ88" s="1"/>
      <c r="XBK88" s="1"/>
      <c r="XBL88" s="1"/>
      <c r="XBM88" s="1"/>
      <c r="XBN88" s="1"/>
      <c r="XBO88" s="1"/>
      <c r="XBP88" s="1"/>
      <c r="XBQ88" s="1"/>
      <c r="XBR88" s="1"/>
      <c r="XBS88" s="1"/>
      <c r="XBT88" s="1"/>
      <c r="XBU88" s="1"/>
      <c r="XBV88" s="1"/>
      <c r="XBW88" s="1"/>
      <c r="XBX88" s="1"/>
      <c r="XBY88" s="1"/>
      <c r="XBZ88" s="1"/>
      <c r="XCA88" s="1"/>
      <c r="XCB88" s="1"/>
      <c r="XCC88" s="1"/>
      <c r="XCD88" s="1"/>
      <c r="XCE88" s="1"/>
      <c r="XCF88" s="1"/>
      <c r="XCG88" s="1"/>
      <c r="XCH88" s="1"/>
      <c r="XCI88" s="1"/>
      <c r="XCJ88" s="1"/>
      <c r="XCK88" s="1"/>
      <c r="XCL88" s="1"/>
      <c r="XCM88" s="1"/>
      <c r="XCN88" s="1"/>
      <c r="XCO88" s="1"/>
      <c r="XCP88" s="1"/>
      <c r="XCQ88" s="1"/>
      <c r="XCR88" s="1"/>
      <c r="XCS88" s="1"/>
      <c r="XCT88" s="1"/>
      <c r="XCU88" s="1"/>
      <c r="XCV88" s="1"/>
      <c r="XCW88" s="1"/>
      <c r="XCX88" s="1"/>
      <c r="XCY88" s="1"/>
      <c r="XCZ88" s="1"/>
      <c r="XDA88" s="1"/>
      <c r="XDB88" s="1"/>
      <c r="XDC88" s="1"/>
      <c r="XDD88" s="1"/>
      <c r="XDE88" s="1"/>
      <c r="XDF88" s="1"/>
      <c r="XDG88" s="1"/>
      <c r="XDH88" s="1"/>
      <c r="XDI88" s="1"/>
      <c r="XDJ88" s="1"/>
      <c r="XDK88" s="1"/>
      <c r="XDL88" s="1"/>
      <c r="XDM88" s="1"/>
      <c r="XDN88" s="1"/>
      <c r="XDO88" s="1"/>
      <c r="XDP88" s="1"/>
      <c r="XDQ88" s="1"/>
      <c r="XDR88" s="1"/>
      <c r="XDS88" s="1"/>
      <c r="XDT88" s="1"/>
      <c r="XDU88" s="1"/>
      <c r="XDV88" s="1"/>
      <c r="XDW88" s="1"/>
      <c r="XDX88" s="1"/>
      <c r="XDY88" s="1"/>
      <c r="XDZ88" s="1"/>
      <c r="XEA88" s="1"/>
      <c r="XEB88" s="1"/>
      <c r="XEC88" s="1"/>
      <c r="XED88" s="1"/>
      <c r="XEE88" s="1"/>
      <c r="XEF88" s="1"/>
      <c r="XEG88" s="1"/>
      <c r="XEH88" s="1"/>
      <c r="XEI88" s="1"/>
      <c r="XEJ88" s="1"/>
      <c r="XEK88" s="1"/>
      <c r="XEL88" s="1"/>
      <c r="XEM88" s="1"/>
      <c r="XEN88" s="1"/>
      <c r="XEO88" s="1"/>
      <c r="XEP88" s="1"/>
      <c r="XEQ88" s="1"/>
      <c r="XER88" s="1"/>
      <c r="XES88" s="1"/>
      <c r="XET88" s="1"/>
      <c r="XEU88" s="1"/>
      <c r="XEV88" s="1"/>
      <c r="XEW88" s="1"/>
      <c r="XEX88" s="1"/>
      <c r="XEY88" s="1"/>
      <c r="XEZ88" s="1"/>
      <c r="XFA88" s="1"/>
      <c r="XFB88" s="1"/>
      <c r="XFC88" s="1"/>
      <c r="XFD88" s="1"/>
    </row>
    <row r="89" spans="1:16384" ht="15" customHeight="1">
      <c r="E89" t="s">
        <v>986</v>
      </c>
      <c r="F89" s="1" t="s">
        <v>208</v>
      </c>
      <c r="G89" s="1" t="s">
        <v>987</v>
      </c>
      <c r="H89" s="73">
        <v>108.3</v>
      </c>
      <c r="I89" s="73">
        <v>102.6</v>
      </c>
      <c r="J89" s="73">
        <v>109</v>
      </c>
      <c r="K89" s="73">
        <v>113.9</v>
      </c>
      <c r="L89" s="73">
        <v>117.3</v>
      </c>
      <c r="M89" s="73">
        <v>117.1</v>
      </c>
      <c r="N89" s="73">
        <f>FORECAST(N81,H89:M89,H81:M81)</f>
        <v>121.05076094160327</v>
      </c>
      <c r="O89" s="73">
        <f>FORECAST(O81,I89:N89,I81:N81)</f>
        <v>123.74015861134382</v>
      </c>
      <c r="P89" s="73">
        <f>FORECAST(P81,J89:O89,J81:O81)</f>
        <v>127.72822824056757</v>
      </c>
      <c r="Q89" s="73">
        <f>FORECAST(Q81,K89:P89,K81:P81)</f>
        <v>131.71926407094517</v>
      </c>
    </row>
    <row r="90" spans="1:16384" s="58" customFormat="1" ht="15" customHeight="1">
      <c r="A90" s="1"/>
      <c r="B90" s="1"/>
      <c r="C90" s="1"/>
      <c r="D90" s="1"/>
      <c r="E90" s="1"/>
      <c r="F90" s="58" t="s">
        <v>184</v>
      </c>
      <c r="I90" s="59">
        <f t="shared" ref="I90:Q90" si="53">I89/H89-1</f>
        <v>-5.2631578947368474E-2</v>
      </c>
      <c r="J90" s="59">
        <f t="shared" si="53"/>
        <v>6.2378167641325533E-2</v>
      </c>
      <c r="K90" s="59">
        <f t="shared" si="53"/>
        <v>4.4954128440366947E-2</v>
      </c>
      <c r="L90" s="59">
        <f t="shared" si="53"/>
        <v>2.9850746268656581E-2</v>
      </c>
      <c r="M90" s="59">
        <f t="shared" si="53"/>
        <v>-1.7050298380222317E-3</v>
      </c>
      <c r="N90" s="59">
        <f t="shared" si="53"/>
        <v>3.3738351337346595E-2</v>
      </c>
      <c r="O90" s="59">
        <f t="shared" si="53"/>
        <v>2.221710668169985E-2</v>
      </c>
      <c r="P90" s="59">
        <f t="shared" si="53"/>
        <v>3.2229388373017365E-2</v>
      </c>
      <c r="Q90" s="59">
        <f t="shared" si="53"/>
        <v>3.1246310117609699E-2</v>
      </c>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c r="JD90" s="1"/>
      <c r="JE90" s="1"/>
      <c r="JF90" s="1"/>
      <c r="JG90" s="1"/>
      <c r="JH90" s="1"/>
      <c r="JI90" s="1"/>
      <c r="JJ90" s="1"/>
      <c r="JK90" s="1"/>
      <c r="JL90" s="1"/>
      <c r="JM90" s="1"/>
      <c r="JN90" s="1"/>
      <c r="JO90" s="1"/>
      <c r="JP90" s="1"/>
      <c r="JQ90" s="1"/>
      <c r="JR90" s="1"/>
      <c r="JS90" s="1"/>
      <c r="JT90" s="1"/>
      <c r="JU90" s="1"/>
      <c r="JV90" s="1"/>
      <c r="JW90" s="1"/>
      <c r="JX90" s="1"/>
      <c r="JY90" s="1"/>
      <c r="JZ90" s="1"/>
      <c r="KA90" s="1"/>
      <c r="KB90" s="1"/>
      <c r="KC90" s="1"/>
      <c r="KD90" s="1"/>
      <c r="KE90" s="1"/>
      <c r="KF90" s="1"/>
      <c r="KG90" s="1"/>
      <c r="KH90" s="1"/>
      <c r="KI90" s="1"/>
      <c r="KJ90" s="1"/>
      <c r="KK90" s="1"/>
      <c r="KL90" s="1"/>
      <c r="KM90" s="1"/>
      <c r="KN90" s="1"/>
      <c r="KO90" s="1"/>
      <c r="KP90" s="1"/>
      <c r="KQ90" s="1"/>
      <c r="KR90" s="1"/>
      <c r="KS90" s="1"/>
      <c r="KT90" s="1"/>
      <c r="KU90" s="1"/>
      <c r="KV90" s="1"/>
      <c r="KW90" s="1"/>
      <c r="KX90" s="1"/>
      <c r="KY90" s="1"/>
      <c r="KZ90" s="1"/>
      <c r="LA90" s="1"/>
      <c r="LB90" s="1"/>
      <c r="LC90" s="1"/>
      <c r="LD90" s="1"/>
      <c r="LE90" s="1"/>
      <c r="LF90" s="1"/>
      <c r="LG90" s="1"/>
      <c r="LH90" s="1"/>
      <c r="LI90" s="1"/>
      <c r="LJ90" s="1"/>
      <c r="LK90" s="1"/>
      <c r="LL90" s="1"/>
      <c r="LM90" s="1"/>
      <c r="LN90" s="1"/>
      <c r="LO90" s="1"/>
      <c r="LP90" s="1"/>
      <c r="LQ90" s="1"/>
      <c r="LR90" s="1"/>
      <c r="LS90" s="1"/>
      <c r="LT90" s="1"/>
      <c r="LU90" s="1"/>
      <c r="LV90" s="1"/>
      <c r="LW90" s="1"/>
      <c r="LX90" s="1"/>
      <c r="LY90" s="1"/>
      <c r="LZ90" s="1"/>
      <c r="MA90" s="1"/>
      <c r="MB90" s="1"/>
      <c r="MC90" s="1"/>
      <c r="MD90" s="1"/>
      <c r="ME90" s="1"/>
      <c r="MF90" s="1"/>
      <c r="MG90" s="1"/>
      <c r="MH90" s="1"/>
      <c r="MI90" s="1"/>
      <c r="MJ90" s="1"/>
      <c r="MK90" s="1"/>
      <c r="ML90" s="1"/>
      <c r="MM90" s="1"/>
      <c r="MN90" s="1"/>
      <c r="MO90" s="1"/>
      <c r="MP90" s="1"/>
      <c r="MQ90" s="1"/>
      <c r="MR90" s="1"/>
      <c r="MS90" s="1"/>
      <c r="MT90" s="1"/>
      <c r="MU90" s="1"/>
      <c r="MV90" s="1"/>
      <c r="MW90" s="1"/>
      <c r="MX90" s="1"/>
      <c r="MY90" s="1"/>
      <c r="MZ90" s="1"/>
      <c r="NA90" s="1"/>
      <c r="NB90" s="1"/>
      <c r="NC90" s="1"/>
      <c r="ND90" s="1"/>
      <c r="NE90" s="1"/>
      <c r="NF90" s="1"/>
      <c r="NG90" s="1"/>
      <c r="NH90" s="1"/>
      <c r="NI90" s="1"/>
      <c r="NJ90" s="1"/>
      <c r="NK90" s="1"/>
      <c r="NL90" s="1"/>
      <c r="NM90" s="1"/>
      <c r="NN90" s="1"/>
      <c r="NO90" s="1"/>
      <c r="NP90" s="1"/>
      <c r="NQ90" s="1"/>
      <c r="NR90" s="1"/>
      <c r="NS90" s="1"/>
      <c r="NT90" s="1"/>
      <c r="NU90" s="1"/>
      <c r="NV90" s="1"/>
      <c r="NW90" s="1"/>
      <c r="NX90" s="1"/>
      <c r="NY90" s="1"/>
      <c r="NZ90" s="1"/>
      <c r="OA90" s="1"/>
      <c r="OB90" s="1"/>
      <c r="OC90" s="1"/>
      <c r="OD90" s="1"/>
      <c r="OE90" s="1"/>
      <c r="OF90" s="1"/>
      <c r="OG90" s="1"/>
      <c r="OH90" s="1"/>
      <c r="OI90" s="1"/>
      <c r="OJ90" s="1"/>
      <c r="OK90" s="1"/>
      <c r="OL90" s="1"/>
      <c r="OM90" s="1"/>
      <c r="ON90" s="1"/>
      <c r="OO90" s="1"/>
      <c r="OP90" s="1"/>
      <c r="OQ90" s="1"/>
      <c r="OR90" s="1"/>
      <c r="OS90" s="1"/>
      <c r="OT90" s="1"/>
      <c r="OU90" s="1"/>
      <c r="OV90" s="1"/>
      <c r="OW90" s="1"/>
      <c r="OX90" s="1"/>
      <c r="OY90" s="1"/>
      <c r="OZ90" s="1"/>
      <c r="PA90" s="1"/>
      <c r="PB90" s="1"/>
      <c r="PC90" s="1"/>
      <c r="PD90" s="1"/>
      <c r="PE90" s="1"/>
      <c r="PF90" s="1"/>
      <c r="PG90" s="1"/>
      <c r="PH90" s="1"/>
      <c r="PI90" s="1"/>
      <c r="PJ90" s="1"/>
      <c r="PK90" s="1"/>
      <c r="PL90" s="1"/>
      <c r="PM90" s="1"/>
      <c r="PN90" s="1"/>
      <c r="PO90" s="1"/>
      <c r="PP90" s="1"/>
      <c r="PQ90" s="1"/>
      <c r="PR90" s="1"/>
      <c r="PS90" s="1"/>
      <c r="PT90" s="1"/>
      <c r="PU90" s="1"/>
      <c r="PV90" s="1"/>
      <c r="PW90" s="1"/>
      <c r="PX90" s="1"/>
      <c r="PY90" s="1"/>
      <c r="PZ90" s="1"/>
      <c r="QA90" s="1"/>
      <c r="QB90" s="1"/>
      <c r="QC90" s="1"/>
      <c r="QD90" s="1"/>
      <c r="QE90" s="1"/>
      <c r="QF90" s="1"/>
      <c r="QG90" s="1"/>
      <c r="QH90" s="1"/>
      <c r="QI90" s="1"/>
      <c r="QJ90" s="1"/>
      <c r="QK90" s="1"/>
      <c r="QL90" s="1"/>
      <c r="QM90" s="1"/>
      <c r="QN90" s="1"/>
      <c r="QO90" s="1"/>
      <c r="QP90" s="1"/>
      <c r="QQ90" s="1"/>
      <c r="QR90" s="1"/>
      <c r="QS90" s="1"/>
      <c r="QT90" s="1"/>
      <c r="QU90" s="1"/>
      <c r="QV90" s="1"/>
      <c r="QW90" s="1"/>
      <c r="QX90" s="1"/>
      <c r="QY90" s="1"/>
      <c r="QZ90" s="1"/>
      <c r="RA90" s="1"/>
      <c r="RB90" s="1"/>
      <c r="RC90" s="1"/>
      <c r="RD90" s="1"/>
      <c r="RE90" s="1"/>
      <c r="RF90" s="1"/>
      <c r="RG90" s="1"/>
      <c r="RH90" s="1"/>
      <c r="RI90" s="1"/>
      <c r="RJ90" s="1"/>
      <c r="RK90" s="1"/>
      <c r="RL90" s="1"/>
      <c r="RM90" s="1"/>
      <c r="RN90" s="1"/>
      <c r="RO90" s="1"/>
      <c r="RP90" s="1"/>
      <c r="RQ90" s="1"/>
      <c r="RR90" s="1"/>
      <c r="RS90" s="1"/>
      <c r="RT90" s="1"/>
      <c r="RU90" s="1"/>
      <c r="RV90" s="1"/>
      <c r="RW90" s="1"/>
      <c r="RX90" s="1"/>
      <c r="RY90" s="1"/>
      <c r="RZ90" s="1"/>
      <c r="SA90" s="1"/>
      <c r="SB90" s="1"/>
      <c r="SC90" s="1"/>
      <c r="SD90" s="1"/>
      <c r="SE90" s="1"/>
      <c r="SF90" s="1"/>
      <c r="SG90" s="1"/>
      <c r="SH90" s="1"/>
      <c r="SI90" s="1"/>
      <c r="SJ90" s="1"/>
      <c r="SK90" s="1"/>
      <c r="SL90" s="1"/>
      <c r="SM90" s="1"/>
      <c r="SN90" s="1"/>
      <c r="SO90" s="1"/>
      <c r="SP90" s="1"/>
      <c r="SQ90" s="1"/>
      <c r="SR90" s="1"/>
      <c r="SS90" s="1"/>
      <c r="ST90" s="1"/>
      <c r="SU90" s="1"/>
      <c r="SV90" s="1"/>
      <c r="SW90" s="1"/>
      <c r="SX90" s="1"/>
      <c r="SY90" s="1"/>
      <c r="SZ90" s="1"/>
      <c r="TA90" s="1"/>
      <c r="TB90" s="1"/>
      <c r="TC90" s="1"/>
      <c r="TD90" s="1"/>
      <c r="TE90" s="1"/>
      <c r="TF90" s="1"/>
      <c r="TG90" s="1"/>
      <c r="TH90" s="1"/>
      <c r="TI90" s="1"/>
      <c r="TJ90" s="1"/>
      <c r="TK90" s="1"/>
      <c r="TL90" s="1"/>
      <c r="TM90" s="1"/>
      <c r="TN90" s="1"/>
      <c r="TO90" s="1"/>
      <c r="TP90" s="1"/>
      <c r="TQ90" s="1"/>
      <c r="TR90" s="1"/>
      <c r="TS90" s="1"/>
      <c r="TT90" s="1"/>
      <c r="TU90" s="1"/>
      <c r="TV90" s="1"/>
      <c r="TW90" s="1"/>
      <c r="TX90" s="1"/>
      <c r="TY90" s="1"/>
      <c r="TZ90" s="1"/>
      <c r="UA90" s="1"/>
      <c r="UB90" s="1"/>
      <c r="UC90" s="1"/>
      <c r="UD90" s="1"/>
      <c r="UE90" s="1"/>
      <c r="UF90" s="1"/>
      <c r="UG90" s="1"/>
      <c r="UH90" s="1"/>
      <c r="UI90" s="1"/>
      <c r="UJ90" s="1"/>
      <c r="UK90" s="1"/>
      <c r="UL90" s="1"/>
      <c r="UM90" s="1"/>
      <c r="UN90" s="1"/>
      <c r="UO90" s="1"/>
      <c r="UP90" s="1"/>
      <c r="UQ90" s="1"/>
      <c r="UR90" s="1"/>
      <c r="US90" s="1"/>
      <c r="UT90" s="1"/>
      <c r="UU90" s="1"/>
      <c r="UV90" s="1"/>
      <c r="UW90" s="1"/>
      <c r="UX90" s="1"/>
      <c r="UY90" s="1"/>
      <c r="UZ90" s="1"/>
      <c r="VA90" s="1"/>
      <c r="VB90" s="1"/>
      <c r="VC90" s="1"/>
      <c r="VD90" s="1"/>
      <c r="VE90" s="1"/>
      <c r="VF90" s="1"/>
      <c r="VG90" s="1"/>
      <c r="VH90" s="1"/>
      <c r="VI90" s="1"/>
      <c r="VJ90" s="1"/>
      <c r="VK90" s="1"/>
      <c r="VL90" s="1"/>
      <c r="VM90" s="1"/>
      <c r="VN90" s="1"/>
      <c r="VO90" s="1"/>
      <c r="VP90" s="1"/>
      <c r="VQ90" s="1"/>
      <c r="VR90" s="1"/>
      <c r="VS90" s="1"/>
      <c r="VT90" s="1"/>
      <c r="VU90" s="1"/>
      <c r="VV90" s="1"/>
      <c r="VW90" s="1"/>
      <c r="VX90" s="1"/>
      <c r="VY90" s="1"/>
      <c r="VZ90" s="1"/>
      <c r="WA90" s="1"/>
      <c r="WB90" s="1"/>
      <c r="WC90" s="1"/>
      <c r="WD90" s="1"/>
      <c r="WE90" s="1"/>
      <c r="WF90" s="1"/>
      <c r="WG90" s="1"/>
      <c r="WH90" s="1"/>
      <c r="WI90" s="1"/>
      <c r="WJ90" s="1"/>
      <c r="WK90" s="1"/>
      <c r="WL90" s="1"/>
      <c r="WM90" s="1"/>
      <c r="WN90" s="1"/>
      <c r="WO90" s="1"/>
      <c r="WP90" s="1"/>
      <c r="WQ90" s="1"/>
      <c r="WR90" s="1"/>
      <c r="WS90" s="1"/>
      <c r="WT90" s="1"/>
      <c r="WU90" s="1"/>
      <c r="WV90" s="1"/>
      <c r="WW90" s="1"/>
      <c r="WX90" s="1"/>
      <c r="WY90" s="1"/>
      <c r="WZ90" s="1"/>
      <c r="XA90" s="1"/>
      <c r="XB90" s="1"/>
      <c r="XC90" s="1"/>
      <c r="XD90" s="1"/>
      <c r="XE90" s="1"/>
      <c r="XF90" s="1"/>
      <c r="XG90" s="1"/>
      <c r="XH90" s="1"/>
      <c r="XI90" s="1"/>
      <c r="XJ90" s="1"/>
      <c r="XK90" s="1"/>
      <c r="XL90" s="1"/>
      <c r="XM90" s="1"/>
      <c r="XN90" s="1"/>
      <c r="XO90" s="1"/>
      <c r="XP90" s="1"/>
      <c r="XQ90" s="1"/>
      <c r="XR90" s="1"/>
      <c r="XS90" s="1"/>
      <c r="XT90" s="1"/>
      <c r="XU90" s="1"/>
      <c r="XV90" s="1"/>
      <c r="XW90" s="1"/>
      <c r="XX90" s="1"/>
      <c r="XY90" s="1"/>
      <c r="XZ90" s="1"/>
      <c r="YA90" s="1"/>
      <c r="YB90" s="1"/>
      <c r="YC90" s="1"/>
      <c r="YD90" s="1"/>
      <c r="YE90" s="1"/>
      <c r="YF90" s="1"/>
      <c r="YG90" s="1"/>
      <c r="YH90" s="1"/>
      <c r="YI90" s="1"/>
      <c r="YJ90" s="1"/>
      <c r="YK90" s="1"/>
      <c r="YL90" s="1"/>
      <c r="YM90" s="1"/>
      <c r="YN90" s="1"/>
      <c r="YO90" s="1"/>
      <c r="YP90" s="1"/>
      <c r="YQ90" s="1"/>
      <c r="YR90" s="1"/>
      <c r="YS90" s="1"/>
      <c r="YT90" s="1"/>
      <c r="YU90" s="1"/>
      <c r="YV90" s="1"/>
      <c r="YW90" s="1"/>
      <c r="YX90" s="1"/>
      <c r="YY90" s="1"/>
      <c r="YZ90" s="1"/>
      <c r="ZA90" s="1"/>
      <c r="ZB90" s="1"/>
      <c r="ZC90" s="1"/>
      <c r="ZD90" s="1"/>
      <c r="ZE90" s="1"/>
      <c r="ZF90" s="1"/>
      <c r="ZG90" s="1"/>
      <c r="ZH90" s="1"/>
      <c r="ZI90" s="1"/>
      <c r="ZJ90" s="1"/>
      <c r="ZK90" s="1"/>
      <c r="ZL90" s="1"/>
      <c r="ZM90" s="1"/>
      <c r="ZN90" s="1"/>
      <c r="ZO90" s="1"/>
      <c r="ZP90" s="1"/>
      <c r="ZQ90" s="1"/>
      <c r="ZR90" s="1"/>
      <c r="ZS90" s="1"/>
      <c r="ZT90" s="1"/>
      <c r="ZU90" s="1"/>
      <c r="ZV90" s="1"/>
      <c r="ZW90" s="1"/>
      <c r="ZX90" s="1"/>
      <c r="ZY90" s="1"/>
      <c r="ZZ90" s="1"/>
      <c r="AAA90" s="1"/>
      <c r="AAB90" s="1"/>
      <c r="AAC90" s="1"/>
      <c r="AAD90" s="1"/>
      <c r="AAE90" s="1"/>
      <c r="AAF90" s="1"/>
      <c r="AAG90" s="1"/>
      <c r="AAH90" s="1"/>
      <c r="AAI90" s="1"/>
      <c r="AAJ90" s="1"/>
      <c r="AAK90" s="1"/>
      <c r="AAL90" s="1"/>
      <c r="AAM90" s="1"/>
      <c r="AAN90" s="1"/>
      <c r="AAO90" s="1"/>
      <c r="AAP90" s="1"/>
      <c r="AAQ90" s="1"/>
      <c r="AAR90" s="1"/>
      <c r="AAS90" s="1"/>
      <c r="AAT90" s="1"/>
      <c r="AAU90" s="1"/>
      <c r="AAV90" s="1"/>
      <c r="AAW90" s="1"/>
      <c r="AAX90" s="1"/>
      <c r="AAY90" s="1"/>
      <c r="AAZ90" s="1"/>
      <c r="ABA90" s="1"/>
      <c r="ABB90" s="1"/>
      <c r="ABC90" s="1"/>
      <c r="ABD90" s="1"/>
      <c r="ABE90" s="1"/>
      <c r="ABF90" s="1"/>
      <c r="ABG90" s="1"/>
      <c r="ABH90" s="1"/>
      <c r="ABI90" s="1"/>
      <c r="ABJ90" s="1"/>
      <c r="ABK90" s="1"/>
      <c r="ABL90" s="1"/>
      <c r="ABM90" s="1"/>
      <c r="ABN90" s="1"/>
      <c r="ABO90" s="1"/>
      <c r="ABP90" s="1"/>
      <c r="ABQ90" s="1"/>
      <c r="ABR90" s="1"/>
      <c r="ABS90" s="1"/>
      <c r="ABT90" s="1"/>
      <c r="ABU90" s="1"/>
      <c r="ABV90" s="1"/>
      <c r="ABW90" s="1"/>
      <c r="ABX90" s="1"/>
      <c r="ABY90" s="1"/>
      <c r="ABZ90" s="1"/>
      <c r="ACA90" s="1"/>
      <c r="ACB90" s="1"/>
      <c r="ACC90" s="1"/>
      <c r="ACD90" s="1"/>
      <c r="ACE90" s="1"/>
      <c r="ACF90" s="1"/>
      <c r="ACG90" s="1"/>
      <c r="ACH90" s="1"/>
      <c r="ACI90" s="1"/>
      <c r="ACJ90" s="1"/>
      <c r="ACK90" s="1"/>
      <c r="ACL90" s="1"/>
      <c r="ACM90" s="1"/>
      <c r="ACN90" s="1"/>
      <c r="ACO90" s="1"/>
      <c r="ACP90" s="1"/>
      <c r="ACQ90" s="1"/>
      <c r="ACR90" s="1"/>
      <c r="ACS90" s="1"/>
      <c r="ACT90" s="1"/>
      <c r="ACU90" s="1"/>
      <c r="ACV90" s="1"/>
      <c r="ACW90" s="1"/>
      <c r="ACX90" s="1"/>
      <c r="ACY90" s="1"/>
      <c r="ACZ90" s="1"/>
      <c r="ADA90" s="1"/>
      <c r="ADB90" s="1"/>
      <c r="ADC90" s="1"/>
      <c r="ADD90" s="1"/>
      <c r="ADE90" s="1"/>
      <c r="ADF90" s="1"/>
      <c r="ADG90" s="1"/>
      <c r="ADH90" s="1"/>
      <c r="ADI90" s="1"/>
      <c r="ADJ90" s="1"/>
      <c r="ADK90" s="1"/>
      <c r="ADL90" s="1"/>
      <c r="ADM90" s="1"/>
      <c r="ADN90" s="1"/>
      <c r="ADO90" s="1"/>
      <c r="ADP90" s="1"/>
      <c r="ADQ90" s="1"/>
      <c r="ADR90" s="1"/>
      <c r="ADS90" s="1"/>
      <c r="ADT90" s="1"/>
      <c r="ADU90" s="1"/>
      <c r="ADV90" s="1"/>
      <c r="ADW90" s="1"/>
      <c r="ADX90" s="1"/>
      <c r="ADY90" s="1"/>
      <c r="ADZ90" s="1"/>
      <c r="AEA90" s="1"/>
      <c r="AEB90" s="1"/>
      <c r="AEC90" s="1"/>
      <c r="AED90" s="1"/>
      <c r="AEE90" s="1"/>
      <c r="AEF90" s="1"/>
      <c r="AEG90" s="1"/>
      <c r="AEH90" s="1"/>
      <c r="AEI90" s="1"/>
      <c r="AEJ90" s="1"/>
      <c r="AEK90" s="1"/>
      <c r="AEL90" s="1"/>
      <c r="AEM90" s="1"/>
      <c r="AEN90" s="1"/>
      <c r="AEO90" s="1"/>
      <c r="AEP90" s="1"/>
      <c r="AEQ90" s="1"/>
      <c r="AER90" s="1"/>
      <c r="AES90" s="1"/>
      <c r="AET90" s="1"/>
      <c r="AEU90" s="1"/>
      <c r="AEV90" s="1"/>
      <c r="AEW90" s="1"/>
      <c r="AEX90" s="1"/>
      <c r="AEY90" s="1"/>
      <c r="AEZ90" s="1"/>
      <c r="AFA90" s="1"/>
      <c r="AFB90" s="1"/>
      <c r="AFC90" s="1"/>
      <c r="AFD90" s="1"/>
      <c r="AFE90" s="1"/>
      <c r="AFF90" s="1"/>
      <c r="AFG90" s="1"/>
      <c r="AFH90" s="1"/>
      <c r="AFI90" s="1"/>
      <c r="AFJ90" s="1"/>
      <c r="AFK90" s="1"/>
      <c r="AFL90" s="1"/>
      <c r="AFM90" s="1"/>
      <c r="AFN90" s="1"/>
      <c r="AFO90" s="1"/>
      <c r="AFP90" s="1"/>
      <c r="AFQ90" s="1"/>
      <c r="AFR90" s="1"/>
      <c r="AFS90" s="1"/>
      <c r="AFT90" s="1"/>
      <c r="AFU90" s="1"/>
      <c r="AFV90" s="1"/>
      <c r="AFW90" s="1"/>
      <c r="AFX90" s="1"/>
      <c r="AFY90" s="1"/>
      <c r="AFZ90" s="1"/>
      <c r="AGA90" s="1"/>
      <c r="AGB90" s="1"/>
      <c r="AGC90" s="1"/>
      <c r="AGD90" s="1"/>
      <c r="AGE90" s="1"/>
      <c r="AGF90" s="1"/>
      <c r="AGG90" s="1"/>
      <c r="AGH90" s="1"/>
      <c r="AGI90" s="1"/>
      <c r="AGJ90" s="1"/>
      <c r="AGK90" s="1"/>
      <c r="AGL90" s="1"/>
      <c r="AGM90" s="1"/>
      <c r="AGN90" s="1"/>
      <c r="AGO90" s="1"/>
      <c r="AGP90" s="1"/>
      <c r="AGQ90" s="1"/>
      <c r="AGR90" s="1"/>
      <c r="AGS90" s="1"/>
      <c r="AGT90" s="1"/>
      <c r="AGU90" s="1"/>
      <c r="AGV90" s="1"/>
      <c r="AGW90" s="1"/>
      <c r="AGX90" s="1"/>
      <c r="AGY90" s="1"/>
      <c r="AGZ90" s="1"/>
      <c r="AHA90" s="1"/>
      <c r="AHB90" s="1"/>
      <c r="AHC90" s="1"/>
      <c r="AHD90" s="1"/>
      <c r="AHE90" s="1"/>
      <c r="AHF90" s="1"/>
      <c r="AHG90" s="1"/>
      <c r="AHH90" s="1"/>
      <c r="AHI90" s="1"/>
      <c r="AHJ90" s="1"/>
      <c r="AHK90" s="1"/>
      <c r="AHL90" s="1"/>
      <c r="AHM90" s="1"/>
      <c r="AHN90" s="1"/>
      <c r="AHO90" s="1"/>
      <c r="AHP90" s="1"/>
      <c r="AHQ90" s="1"/>
      <c r="AHR90" s="1"/>
      <c r="AHS90" s="1"/>
      <c r="AHT90" s="1"/>
      <c r="AHU90" s="1"/>
      <c r="AHV90" s="1"/>
      <c r="AHW90" s="1"/>
      <c r="AHX90" s="1"/>
      <c r="AHY90" s="1"/>
      <c r="AHZ90" s="1"/>
      <c r="AIA90" s="1"/>
      <c r="AIB90" s="1"/>
      <c r="AIC90" s="1"/>
      <c r="AID90" s="1"/>
      <c r="AIE90" s="1"/>
      <c r="AIF90" s="1"/>
      <c r="AIG90" s="1"/>
      <c r="AIH90" s="1"/>
      <c r="AII90" s="1"/>
      <c r="AIJ90" s="1"/>
      <c r="AIK90" s="1"/>
      <c r="AIL90" s="1"/>
      <c r="AIM90" s="1"/>
      <c r="AIN90" s="1"/>
      <c r="AIO90" s="1"/>
      <c r="AIP90" s="1"/>
      <c r="AIQ90" s="1"/>
      <c r="AIR90" s="1"/>
      <c r="AIS90" s="1"/>
      <c r="AIT90" s="1"/>
      <c r="AIU90" s="1"/>
      <c r="AIV90" s="1"/>
      <c r="AIW90" s="1"/>
      <c r="AIX90" s="1"/>
      <c r="AIY90" s="1"/>
      <c r="AIZ90" s="1"/>
      <c r="AJA90" s="1"/>
      <c r="AJB90" s="1"/>
      <c r="AJC90" s="1"/>
      <c r="AJD90" s="1"/>
      <c r="AJE90" s="1"/>
      <c r="AJF90" s="1"/>
      <c r="AJG90" s="1"/>
      <c r="AJH90" s="1"/>
      <c r="AJI90" s="1"/>
      <c r="AJJ90" s="1"/>
      <c r="AJK90" s="1"/>
      <c r="AJL90" s="1"/>
      <c r="AJM90" s="1"/>
      <c r="AJN90" s="1"/>
      <c r="AJO90" s="1"/>
      <c r="AJP90" s="1"/>
      <c r="AJQ90" s="1"/>
      <c r="AJR90" s="1"/>
      <c r="AJS90" s="1"/>
      <c r="AJT90" s="1"/>
      <c r="AJU90" s="1"/>
      <c r="AJV90" s="1"/>
      <c r="AJW90" s="1"/>
      <c r="AJX90" s="1"/>
      <c r="AJY90" s="1"/>
      <c r="AJZ90" s="1"/>
      <c r="AKA90" s="1"/>
      <c r="AKB90" s="1"/>
      <c r="AKC90" s="1"/>
      <c r="AKD90" s="1"/>
      <c r="AKE90" s="1"/>
      <c r="AKF90" s="1"/>
      <c r="AKG90" s="1"/>
      <c r="AKH90" s="1"/>
      <c r="AKI90" s="1"/>
      <c r="AKJ90" s="1"/>
      <c r="AKK90" s="1"/>
      <c r="AKL90" s="1"/>
      <c r="AKM90" s="1"/>
      <c r="AKN90" s="1"/>
      <c r="AKO90" s="1"/>
      <c r="AKP90" s="1"/>
      <c r="AKQ90" s="1"/>
      <c r="AKR90" s="1"/>
      <c r="AKS90" s="1"/>
      <c r="AKT90" s="1"/>
      <c r="AKU90" s="1"/>
      <c r="AKV90" s="1"/>
      <c r="AKW90" s="1"/>
      <c r="AKX90" s="1"/>
      <c r="AKY90" s="1"/>
      <c r="AKZ90" s="1"/>
      <c r="ALA90" s="1"/>
      <c r="ALB90" s="1"/>
      <c r="ALC90" s="1"/>
      <c r="ALD90" s="1"/>
      <c r="ALE90" s="1"/>
      <c r="ALF90" s="1"/>
      <c r="ALG90" s="1"/>
      <c r="ALH90" s="1"/>
      <c r="ALI90" s="1"/>
      <c r="ALJ90" s="1"/>
      <c r="ALK90" s="1"/>
      <c r="ALL90" s="1"/>
      <c r="ALM90" s="1"/>
      <c r="ALN90" s="1"/>
      <c r="ALO90" s="1"/>
      <c r="ALP90" s="1"/>
      <c r="ALQ90" s="1"/>
      <c r="ALR90" s="1"/>
      <c r="ALS90" s="1"/>
      <c r="ALT90" s="1"/>
      <c r="ALU90" s="1"/>
      <c r="ALV90" s="1"/>
      <c r="ALW90" s="1"/>
      <c r="ALX90" s="1"/>
      <c r="ALY90" s="1"/>
      <c r="ALZ90" s="1"/>
      <c r="AMA90" s="1"/>
      <c r="AMB90" s="1"/>
      <c r="AMC90" s="1"/>
      <c r="AMD90" s="1"/>
      <c r="AME90" s="1"/>
      <c r="AMF90" s="1"/>
      <c r="AMG90" s="1"/>
      <c r="AMH90" s="1"/>
      <c r="AMI90" s="1"/>
      <c r="AMJ90" s="1"/>
      <c r="AMK90" s="1"/>
      <c r="AML90" s="1"/>
      <c r="AMM90" s="1"/>
      <c r="AMN90" s="1"/>
      <c r="AMO90" s="1"/>
      <c r="AMP90" s="1"/>
      <c r="AMQ90" s="1"/>
      <c r="AMR90" s="1"/>
      <c r="AMS90" s="1"/>
      <c r="AMT90" s="1"/>
      <c r="AMU90" s="1"/>
      <c r="AMV90" s="1"/>
      <c r="AMW90" s="1"/>
      <c r="AMX90" s="1"/>
      <c r="AMY90" s="1"/>
      <c r="AMZ90" s="1"/>
      <c r="ANA90" s="1"/>
      <c r="ANB90" s="1"/>
      <c r="ANC90" s="1"/>
      <c r="AND90" s="1"/>
      <c r="ANE90" s="1"/>
      <c r="ANF90" s="1"/>
      <c r="ANG90" s="1"/>
      <c r="ANH90" s="1"/>
      <c r="ANI90" s="1"/>
      <c r="ANJ90" s="1"/>
      <c r="ANK90" s="1"/>
      <c r="ANL90" s="1"/>
      <c r="ANM90" s="1"/>
      <c r="ANN90" s="1"/>
      <c r="ANO90" s="1"/>
      <c r="ANP90" s="1"/>
      <c r="ANQ90" s="1"/>
      <c r="ANR90" s="1"/>
      <c r="ANS90" s="1"/>
      <c r="ANT90" s="1"/>
      <c r="ANU90" s="1"/>
      <c r="ANV90" s="1"/>
      <c r="ANW90" s="1"/>
      <c r="ANX90" s="1"/>
      <c r="ANY90" s="1"/>
      <c r="ANZ90" s="1"/>
      <c r="AOA90" s="1"/>
      <c r="AOB90" s="1"/>
      <c r="AOC90" s="1"/>
      <c r="AOD90" s="1"/>
      <c r="AOE90" s="1"/>
      <c r="AOF90" s="1"/>
      <c r="AOG90" s="1"/>
      <c r="AOH90" s="1"/>
      <c r="AOI90" s="1"/>
      <c r="AOJ90" s="1"/>
      <c r="AOK90" s="1"/>
      <c r="AOL90" s="1"/>
      <c r="AOM90" s="1"/>
      <c r="AON90" s="1"/>
      <c r="AOO90" s="1"/>
      <c r="AOP90" s="1"/>
      <c r="AOQ90" s="1"/>
      <c r="AOR90" s="1"/>
      <c r="AOS90" s="1"/>
      <c r="AOT90" s="1"/>
      <c r="AOU90" s="1"/>
      <c r="AOV90" s="1"/>
      <c r="AOW90" s="1"/>
      <c r="AOX90" s="1"/>
      <c r="AOY90" s="1"/>
      <c r="AOZ90" s="1"/>
      <c r="APA90" s="1"/>
      <c r="APB90" s="1"/>
      <c r="APC90" s="1"/>
      <c r="APD90" s="1"/>
      <c r="APE90" s="1"/>
      <c r="APF90" s="1"/>
      <c r="APG90" s="1"/>
      <c r="APH90" s="1"/>
      <c r="API90" s="1"/>
      <c r="APJ90" s="1"/>
      <c r="APK90" s="1"/>
      <c r="APL90" s="1"/>
      <c r="APM90" s="1"/>
      <c r="APN90" s="1"/>
      <c r="APO90" s="1"/>
      <c r="APP90" s="1"/>
      <c r="APQ90" s="1"/>
      <c r="APR90" s="1"/>
      <c r="APS90" s="1"/>
      <c r="APT90" s="1"/>
      <c r="APU90" s="1"/>
      <c r="APV90" s="1"/>
      <c r="APW90" s="1"/>
      <c r="APX90" s="1"/>
      <c r="APY90" s="1"/>
      <c r="APZ90" s="1"/>
      <c r="AQA90" s="1"/>
      <c r="AQB90" s="1"/>
      <c r="AQC90" s="1"/>
      <c r="AQD90" s="1"/>
      <c r="AQE90" s="1"/>
      <c r="AQF90" s="1"/>
      <c r="AQG90" s="1"/>
      <c r="AQH90" s="1"/>
      <c r="AQI90" s="1"/>
      <c r="AQJ90" s="1"/>
      <c r="AQK90" s="1"/>
      <c r="AQL90" s="1"/>
      <c r="AQM90" s="1"/>
      <c r="AQN90" s="1"/>
      <c r="AQO90" s="1"/>
      <c r="AQP90" s="1"/>
      <c r="AQQ90" s="1"/>
      <c r="AQR90" s="1"/>
      <c r="AQS90" s="1"/>
      <c r="AQT90" s="1"/>
      <c r="AQU90" s="1"/>
      <c r="AQV90" s="1"/>
      <c r="AQW90" s="1"/>
      <c r="AQX90" s="1"/>
      <c r="AQY90" s="1"/>
      <c r="AQZ90" s="1"/>
      <c r="ARA90" s="1"/>
      <c r="ARB90" s="1"/>
      <c r="ARC90" s="1"/>
      <c r="ARD90" s="1"/>
      <c r="ARE90" s="1"/>
      <c r="ARF90" s="1"/>
      <c r="ARG90" s="1"/>
      <c r="ARH90" s="1"/>
      <c r="ARI90" s="1"/>
      <c r="ARJ90" s="1"/>
      <c r="ARK90" s="1"/>
      <c r="ARL90" s="1"/>
      <c r="ARM90" s="1"/>
      <c r="ARN90" s="1"/>
      <c r="ARO90" s="1"/>
      <c r="ARP90" s="1"/>
      <c r="ARQ90" s="1"/>
      <c r="ARR90" s="1"/>
      <c r="ARS90" s="1"/>
      <c r="ART90" s="1"/>
      <c r="ARU90" s="1"/>
      <c r="ARV90" s="1"/>
      <c r="ARW90" s="1"/>
      <c r="ARX90" s="1"/>
      <c r="ARY90" s="1"/>
      <c r="ARZ90" s="1"/>
      <c r="ASA90" s="1"/>
      <c r="ASB90" s="1"/>
      <c r="ASC90" s="1"/>
      <c r="ASD90" s="1"/>
      <c r="ASE90" s="1"/>
      <c r="ASF90" s="1"/>
      <c r="ASG90" s="1"/>
      <c r="ASH90" s="1"/>
      <c r="ASI90" s="1"/>
      <c r="ASJ90" s="1"/>
      <c r="ASK90" s="1"/>
      <c r="ASL90" s="1"/>
      <c r="ASM90" s="1"/>
      <c r="ASN90" s="1"/>
      <c r="ASO90" s="1"/>
      <c r="ASP90" s="1"/>
      <c r="ASQ90" s="1"/>
      <c r="ASR90" s="1"/>
      <c r="ASS90" s="1"/>
      <c r="AST90" s="1"/>
      <c r="ASU90" s="1"/>
      <c r="ASV90" s="1"/>
      <c r="ASW90" s="1"/>
      <c r="ASX90" s="1"/>
      <c r="ASY90" s="1"/>
      <c r="ASZ90" s="1"/>
      <c r="ATA90" s="1"/>
      <c r="ATB90" s="1"/>
      <c r="ATC90" s="1"/>
      <c r="ATD90" s="1"/>
      <c r="ATE90" s="1"/>
      <c r="ATF90" s="1"/>
      <c r="ATG90" s="1"/>
      <c r="ATH90" s="1"/>
      <c r="ATI90" s="1"/>
      <c r="ATJ90" s="1"/>
      <c r="ATK90" s="1"/>
      <c r="ATL90" s="1"/>
      <c r="ATM90" s="1"/>
      <c r="ATN90" s="1"/>
      <c r="ATO90" s="1"/>
      <c r="ATP90" s="1"/>
      <c r="ATQ90" s="1"/>
      <c r="ATR90" s="1"/>
      <c r="ATS90" s="1"/>
      <c r="ATT90" s="1"/>
      <c r="ATU90" s="1"/>
      <c r="ATV90" s="1"/>
      <c r="ATW90" s="1"/>
      <c r="ATX90" s="1"/>
      <c r="ATY90" s="1"/>
      <c r="ATZ90" s="1"/>
      <c r="AUA90" s="1"/>
      <c r="AUB90" s="1"/>
      <c r="AUC90" s="1"/>
      <c r="AUD90" s="1"/>
      <c r="AUE90" s="1"/>
      <c r="AUF90" s="1"/>
      <c r="AUG90" s="1"/>
      <c r="AUH90" s="1"/>
      <c r="AUI90" s="1"/>
      <c r="AUJ90" s="1"/>
      <c r="AUK90" s="1"/>
      <c r="AUL90" s="1"/>
      <c r="AUM90" s="1"/>
      <c r="AUN90" s="1"/>
      <c r="AUO90" s="1"/>
      <c r="AUP90" s="1"/>
      <c r="AUQ90" s="1"/>
      <c r="AUR90" s="1"/>
      <c r="AUS90" s="1"/>
      <c r="AUT90" s="1"/>
      <c r="AUU90" s="1"/>
      <c r="AUV90" s="1"/>
      <c r="AUW90" s="1"/>
      <c r="AUX90" s="1"/>
      <c r="AUY90" s="1"/>
      <c r="AUZ90" s="1"/>
      <c r="AVA90" s="1"/>
      <c r="AVB90" s="1"/>
      <c r="AVC90" s="1"/>
      <c r="AVD90" s="1"/>
      <c r="AVE90" s="1"/>
      <c r="AVF90" s="1"/>
      <c r="AVG90" s="1"/>
      <c r="AVH90" s="1"/>
      <c r="AVI90" s="1"/>
      <c r="AVJ90" s="1"/>
      <c r="AVK90" s="1"/>
      <c r="AVL90" s="1"/>
      <c r="AVM90" s="1"/>
      <c r="AVN90" s="1"/>
      <c r="AVO90" s="1"/>
      <c r="AVP90" s="1"/>
      <c r="AVQ90" s="1"/>
      <c r="AVR90" s="1"/>
      <c r="AVS90" s="1"/>
      <c r="AVT90" s="1"/>
      <c r="AVU90" s="1"/>
      <c r="AVV90" s="1"/>
      <c r="AVW90" s="1"/>
      <c r="AVX90" s="1"/>
      <c r="AVY90" s="1"/>
      <c r="AVZ90" s="1"/>
      <c r="AWA90" s="1"/>
      <c r="AWB90" s="1"/>
      <c r="AWC90" s="1"/>
      <c r="AWD90" s="1"/>
      <c r="AWE90" s="1"/>
      <c r="AWF90" s="1"/>
      <c r="AWG90" s="1"/>
      <c r="AWH90" s="1"/>
      <c r="AWI90" s="1"/>
      <c r="AWJ90" s="1"/>
      <c r="AWK90" s="1"/>
      <c r="AWL90" s="1"/>
      <c r="AWM90" s="1"/>
      <c r="AWN90" s="1"/>
      <c r="AWO90" s="1"/>
      <c r="AWP90" s="1"/>
      <c r="AWQ90" s="1"/>
      <c r="AWR90" s="1"/>
      <c r="AWS90" s="1"/>
      <c r="AWT90" s="1"/>
      <c r="AWU90" s="1"/>
      <c r="AWV90" s="1"/>
      <c r="AWW90" s="1"/>
      <c r="AWX90" s="1"/>
      <c r="AWY90" s="1"/>
      <c r="AWZ90" s="1"/>
      <c r="AXA90" s="1"/>
      <c r="AXB90" s="1"/>
      <c r="AXC90" s="1"/>
      <c r="AXD90" s="1"/>
      <c r="AXE90" s="1"/>
      <c r="AXF90" s="1"/>
      <c r="AXG90" s="1"/>
      <c r="AXH90" s="1"/>
      <c r="AXI90" s="1"/>
      <c r="AXJ90" s="1"/>
      <c r="AXK90" s="1"/>
      <c r="AXL90" s="1"/>
      <c r="AXM90" s="1"/>
      <c r="AXN90" s="1"/>
      <c r="AXO90" s="1"/>
      <c r="AXP90" s="1"/>
      <c r="AXQ90" s="1"/>
      <c r="AXR90" s="1"/>
      <c r="AXS90" s="1"/>
      <c r="AXT90" s="1"/>
      <c r="AXU90" s="1"/>
      <c r="AXV90" s="1"/>
      <c r="AXW90" s="1"/>
      <c r="AXX90" s="1"/>
      <c r="AXY90" s="1"/>
      <c r="AXZ90" s="1"/>
      <c r="AYA90" s="1"/>
      <c r="AYB90" s="1"/>
      <c r="AYC90" s="1"/>
      <c r="AYD90" s="1"/>
      <c r="AYE90" s="1"/>
      <c r="AYF90" s="1"/>
      <c r="AYG90" s="1"/>
      <c r="AYH90" s="1"/>
      <c r="AYI90" s="1"/>
      <c r="AYJ90" s="1"/>
      <c r="AYK90" s="1"/>
      <c r="AYL90" s="1"/>
      <c r="AYM90" s="1"/>
      <c r="AYN90" s="1"/>
      <c r="AYO90" s="1"/>
      <c r="AYP90" s="1"/>
      <c r="AYQ90" s="1"/>
      <c r="AYR90" s="1"/>
      <c r="AYS90" s="1"/>
      <c r="AYT90" s="1"/>
      <c r="AYU90" s="1"/>
      <c r="AYV90" s="1"/>
      <c r="AYW90" s="1"/>
      <c r="AYX90" s="1"/>
      <c r="AYY90" s="1"/>
      <c r="AYZ90" s="1"/>
      <c r="AZA90" s="1"/>
      <c r="AZB90" s="1"/>
      <c r="AZC90" s="1"/>
      <c r="AZD90" s="1"/>
      <c r="AZE90" s="1"/>
      <c r="AZF90" s="1"/>
      <c r="AZG90" s="1"/>
      <c r="AZH90" s="1"/>
      <c r="AZI90" s="1"/>
      <c r="AZJ90" s="1"/>
      <c r="AZK90" s="1"/>
      <c r="AZL90" s="1"/>
      <c r="AZM90" s="1"/>
      <c r="AZN90" s="1"/>
      <c r="AZO90" s="1"/>
      <c r="AZP90" s="1"/>
      <c r="AZQ90" s="1"/>
      <c r="AZR90" s="1"/>
      <c r="AZS90" s="1"/>
      <c r="AZT90" s="1"/>
      <c r="AZU90" s="1"/>
      <c r="AZV90" s="1"/>
      <c r="AZW90" s="1"/>
      <c r="AZX90" s="1"/>
      <c r="AZY90" s="1"/>
      <c r="AZZ90" s="1"/>
      <c r="BAA90" s="1"/>
      <c r="BAB90" s="1"/>
      <c r="BAC90" s="1"/>
      <c r="BAD90" s="1"/>
      <c r="BAE90" s="1"/>
      <c r="BAF90" s="1"/>
      <c r="BAG90" s="1"/>
      <c r="BAH90" s="1"/>
      <c r="BAI90" s="1"/>
      <c r="BAJ90" s="1"/>
      <c r="BAK90" s="1"/>
      <c r="BAL90" s="1"/>
      <c r="BAM90" s="1"/>
      <c r="BAN90" s="1"/>
      <c r="BAO90" s="1"/>
      <c r="BAP90" s="1"/>
      <c r="BAQ90" s="1"/>
      <c r="BAR90" s="1"/>
      <c r="BAS90" s="1"/>
      <c r="BAT90" s="1"/>
      <c r="BAU90" s="1"/>
      <c r="BAV90" s="1"/>
      <c r="BAW90" s="1"/>
      <c r="BAX90" s="1"/>
      <c r="BAY90" s="1"/>
      <c r="BAZ90" s="1"/>
      <c r="BBA90" s="1"/>
      <c r="BBB90" s="1"/>
      <c r="BBC90" s="1"/>
      <c r="BBD90" s="1"/>
      <c r="BBE90" s="1"/>
      <c r="BBF90" s="1"/>
      <c r="BBG90" s="1"/>
      <c r="BBH90" s="1"/>
      <c r="BBI90" s="1"/>
      <c r="BBJ90" s="1"/>
      <c r="BBK90" s="1"/>
      <c r="BBL90" s="1"/>
      <c r="BBM90" s="1"/>
      <c r="BBN90" s="1"/>
      <c r="BBO90" s="1"/>
      <c r="BBP90" s="1"/>
      <c r="BBQ90" s="1"/>
      <c r="BBR90" s="1"/>
      <c r="BBS90" s="1"/>
      <c r="BBT90" s="1"/>
      <c r="BBU90" s="1"/>
      <c r="BBV90" s="1"/>
      <c r="BBW90" s="1"/>
      <c r="BBX90" s="1"/>
      <c r="BBY90" s="1"/>
      <c r="BBZ90" s="1"/>
      <c r="BCA90" s="1"/>
      <c r="BCB90" s="1"/>
      <c r="BCC90" s="1"/>
      <c r="BCD90" s="1"/>
      <c r="BCE90" s="1"/>
      <c r="BCF90" s="1"/>
      <c r="BCG90" s="1"/>
      <c r="BCH90" s="1"/>
      <c r="BCI90" s="1"/>
      <c r="BCJ90" s="1"/>
      <c r="BCK90" s="1"/>
      <c r="BCL90" s="1"/>
      <c r="BCM90" s="1"/>
      <c r="BCN90" s="1"/>
      <c r="BCO90" s="1"/>
      <c r="BCP90" s="1"/>
      <c r="BCQ90" s="1"/>
      <c r="BCR90" s="1"/>
      <c r="BCS90" s="1"/>
      <c r="BCT90" s="1"/>
      <c r="BCU90" s="1"/>
      <c r="BCV90" s="1"/>
      <c r="BCW90" s="1"/>
      <c r="BCX90" s="1"/>
      <c r="BCY90" s="1"/>
      <c r="BCZ90" s="1"/>
      <c r="BDA90" s="1"/>
      <c r="BDB90" s="1"/>
      <c r="BDC90" s="1"/>
      <c r="BDD90" s="1"/>
      <c r="BDE90" s="1"/>
      <c r="BDF90" s="1"/>
      <c r="BDG90" s="1"/>
      <c r="BDH90" s="1"/>
      <c r="BDI90" s="1"/>
      <c r="BDJ90" s="1"/>
      <c r="BDK90" s="1"/>
      <c r="BDL90" s="1"/>
      <c r="BDM90" s="1"/>
      <c r="BDN90" s="1"/>
      <c r="BDO90" s="1"/>
      <c r="BDP90" s="1"/>
      <c r="BDQ90" s="1"/>
      <c r="BDR90" s="1"/>
      <c r="BDS90" s="1"/>
      <c r="BDT90" s="1"/>
      <c r="BDU90" s="1"/>
      <c r="BDV90" s="1"/>
      <c r="BDW90" s="1"/>
      <c r="BDX90" s="1"/>
      <c r="BDY90" s="1"/>
      <c r="BDZ90" s="1"/>
      <c r="BEA90" s="1"/>
      <c r="BEB90" s="1"/>
      <c r="BEC90" s="1"/>
      <c r="BED90" s="1"/>
      <c r="BEE90" s="1"/>
      <c r="BEF90" s="1"/>
      <c r="BEG90" s="1"/>
      <c r="BEH90" s="1"/>
      <c r="BEI90" s="1"/>
      <c r="BEJ90" s="1"/>
      <c r="BEK90" s="1"/>
      <c r="BEL90" s="1"/>
      <c r="BEM90" s="1"/>
      <c r="BEN90" s="1"/>
      <c r="BEO90" s="1"/>
      <c r="BEP90" s="1"/>
      <c r="BEQ90" s="1"/>
      <c r="BER90" s="1"/>
      <c r="BES90" s="1"/>
      <c r="BET90" s="1"/>
      <c r="BEU90" s="1"/>
      <c r="BEV90" s="1"/>
      <c r="BEW90" s="1"/>
      <c r="BEX90" s="1"/>
      <c r="BEY90" s="1"/>
      <c r="BEZ90" s="1"/>
      <c r="BFA90" s="1"/>
      <c r="BFB90" s="1"/>
      <c r="BFC90" s="1"/>
      <c r="BFD90" s="1"/>
      <c r="BFE90" s="1"/>
      <c r="BFF90" s="1"/>
      <c r="BFG90" s="1"/>
      <c r="BFH90" s="1"/>
      <c r="BFI90" s="1"/>
      <c r="BFJ90" s="1"/>
      <c r="BFK90" s="1"/>
      <c r="BFL90" s="1"/>
      <c r="BFM90" s="1"/>
      <c r="BFN90" s="1"/>
      <c r="BFO90" s="1"/>
      <c r="BFP90" s="1"/>
      <c r="BFQ90" s="1"/>
      <c r="BFR90" s="1"/>
      <c r="BFS90" s="1"/>
      <c r="BFT90" s="1"/>
      <c r="BFU90" s="1"/>
      <c r="BFV90" s="1"/>
      <c r="BFW90" s="1"/>
      <c r="BFX90" s="1"/>
      <c r="BFY90" s="1"/>
      <c r="BFZ90" s="1"/>
      <c r="BGA90" s="1"/>
      <c r="BGB90" s="1"/>
      <c r="BGC90" s="1"/>
      <c r="BGD90" s="1"/>
      <c r="BGE90" s="1"/>
      <c r="BGF90" s="1"/>
      <c r="BGG90" s="1"/>
      <c r="BGH90" s="1"/>
      <c r="BGI90" s="1"/>
      <c r="BGJ90" s="1"/>
      <c r="BGK90" s="1"/>
      <c r="BGL90" s="1"/>
      <c r="BGM90" s="1"/>
      <c r="BGN90" s="1"/>
      <c r="BGO90" s="1"/>
      <c r="BGP90" s="1"/>
      <c r="BGQ90" s="1"/>
      <c r="BGR90" s="1"/>
      <c r="BGS90" s="1"/>
      <c r="BGT90" s="1"/>
      <c r="BGU90" s="1"/>
      <c r="BGV90" s="1"/>
      <c r="BGW90" s="1"/>
      <c r="BGX90" s="1"/>
      <c r="BGY90" s="1"/>
      <c r="BGZ90" s="1"/>
      <c r="BHA90" s="1"/>
      <c r="BHB90" s="1"/>
      <c r="BHC90" s="1"/>
      <c r="BHD90" s="1"/>
      <c r="BHE90" s="1"/>
      <c r="BHF90" s="1"/>
      <c r="BHG90" s="1"/>
      <c r="BHH90" s="1"/>
      <c r="BHI90" s="1"/>
      <c r="BHJ90" s="1"/>
      <c r="BHK90" s="1"/>
      <c r="BHL90" s="1"/>
      <c r="BHM90" s="1"/>
      <c r="BHN90" s="1"/>
      <c r="BHO90" s="1"/>
      <c r="BHP90" s="1"/>
      <c r="BHQ90" s="1"/>
      <c r="BHR90" s="1"/>
      <c r="BHS90" s="1"/>
      <c r="BHT90" s="1"/>
      <c r="BHU90" s="1"/>
      <c r="BHV90" s="1"/>
      <c r="BHW90" s="1"/>
      <c r="BHX90" s="1"/>
      <c r="BHY90" s="1"/>
      <c r="BHZ90" s="1"/>
      <c r="BIA90" s="1"/>
      <c r="BIB90" s="1"/>
      <c r="BIC90" s="1"/>
      <c r="BID90" s="1"/>
      <c r="BIE90" s="1"/>
      <c r="BIF90" s="1"/>
      <c r="BIG90" s="1"/>
      <c r="BIH90" s="1"/>
      <c r="BII90" s="1"/>
      <c r="BIJ90" s="1"/>
      <c r="BIK90" s="1"/>
      <c r="BIL90" s="1"/>
      <c r="BIM90" s="1"/>
      <c r="BIN90" s="1"/>
      <c r="BIO90" s="1"/>
      <c r="BIP90" s="1"/>
      <c r="BIQ90" s="1"/>
      <c r="BIR90" s="1"/>
      <c r="BIS90" s="1"/>
      <c r="BIT90" s="1"/>
      <c r="BIU90" s="1"/>
      <c r="BIV90" s="1"/>
      <c r="BIW90" s="1"/>
      <c r="BIX90" s="1"/>
      <c r="BIY90" s="1"/>
      <c r="BIZ90" s="1"/>
      <c r="BJA90" s="1"/>
      <c r="BJB90" s="1"/>
      <c r="BJC90" s="1"/>
      <c r="BJD90" s="1"/>
      <c r="BJE90" s="1"/>
      <c r="BJF90" s="1"/>
      <c r="BJG90" s="1"/>
      <c r="BJH90" s="1"/>
      <c r="BJI90" s="1"/>
      <c r="BJJ90" s="1"/>
      <c r="BJK90" s="1"/>
      <c r="BJL90" s="1"/>
      <c r="BJM90" s="1"/>
      <c r="BJN90" s="1"/>
      <c r="BJO90" s="1"/>
      <c r="BJP90" s="1"/>
      <c r="BJQ90" s="1"/>
      <c r="BJR90" s="1"/>
      <c r="BJS90" s="1"/>
      <c r="BJT90" s="1"/>
      <c r="BJU90" s="1"/>
      <c r="BJV90" s="1"/>
      <c r="BJW90" s="1"/>
      <c r="BJX90" s="1"/>
      <c r="BJY90" s="1"/>
      <c r="BJZ90" s="1"/>
      <c r="BKA90" s="1"/>
      <c r="BKB90" s="1"/>
      <c r="BKC90" s="1"/>
      <c r="BKD90" s="1"/>
      <c r="BKE90" s="1"/>
      <c r="BKF90" s="1"/>
      <c r="BKG90" s="1"/>
      <c r="BKH90" s="1"/>
      <c r="BKI90" s="1"/>
      <c r="BKJ90" s="1"/>
      <c r="BKK90" s="1"/>
      <c r="BKL90" s="1"/>
      <c r="BKM90" s="1"/>
      <c r="BKN90" s="1"/>
      <c r="BKO90" s="1"/>
      <c r="BKP90" s="1"/>
      <c r="BKQ90" s="1"/>
      <c r="BKR90" s="1"/>
      <c r="BKS90" s="1"/>
      <c r="BKT90" s="1"/>
      <c r="BKU90" s="1"/>
      <c r="BKV90" s="1"/>
      <c r="BKW90" s="1"/>
      <c r="BKX90" s="1"/>
      <c r="BKY90" s="1"/>
      <c r="BKZ90" s="1"/>
      <c r="BLA90" s="1"/>
      <c r="BLB90" s="1"/>
      <c r="BLC90" s="1"/>
      <c r="BLD90" s="1"/>
      <c r="BLE90" s="1"/>
      <c r="BLF90" s="1"/>
      <c r="BLG90" s="1"/>
      <c r="BLH90" s="1"/>
      <c r="BLI90" s="1"/>
      <c r="BLJ90" s="1"/>
      <c r="BLK90" s="1"/>
      <c r="BLL90" s="1"/>
      <c r="BLM90" s="1"/>
      <c r="BLN90" s="1"/>
      <c r="BLO90" s="1"/>
      <c r="BLP90" s="1"/>
      <c r="BLQ90" s="1"/>
      <c r="BLR90" s="1"/>
      <c r="BLS90" s="1"/>
      <c r="BLT90" s="1"/>
      <c r="BLU90" s="1"/>
      <c r="BLV90" s="1"/>
      <c r="BLW90" s="1"/>
      <c r="BLX90" s="1"/>
      <c r="BLY90" s="1"/>
      <c r="BLZ90" s="1"/>
      <c r="BMA90" s="1"/>
      <c r="BMB90" s="1"/>
      <c r="BMC90" s="1"/>
      <c r="BMD90" s="1"/>
      <c r="BME90" s="1"/>
      <c r="BMF90" s="1"/>
      <c r="BMG90" s="1"/>
      <c r="BMH90" s="1"/>
      <c r="BMI90" s="1"/>
      <c r="BMJ90" s="1"/>
      <c r="BMK90" s="1"/>
      <c r="BML90" s="1"/>
      <c r="BMM90" s="1"/>
      <c r="BMN90" s="1"/>
      <c r="BMO90" s="1"/>
      <c r="BMP90" s="1"/>
      <c r="BMQ90" s="1"/>
      <c r="BMR90" s="1"/>
      <c r="BMS90" s="1"/>
      <c r="BMT90" s="1"/>
      <c r="BMU90" s="1"/>
      <c r="BMV90" s="1"/>
      <c r="BMW90" s="1"/>
      <c r="BMX90" s="1"/>
      <c r="BMY90" s="1"/>
      <c r="BMZ90" s="1"/>
      <c r="BNA90" s="1"/>
      <c r="BNB90" s="1"/>
      <c r="BNC90" s="1"/>
      <c r="BND90" s="1"/>
      <c r="BNE90" s="1"/>
      <c r="BNF90" s="1"/>
      <c r="BNG90" s="1"/>
      <c r="BNH90" s="1"/>
      <c r="BNI90" s="1"/>
      <c r="BNJ90" s="1"/>
      <c r="BNK90" s="1"/>
      <c r="BNL90" s="1"/>
      <c r="BNM90" s="1"/>
      <c r="BNN90" s="1"/>
      <c r="BNO90" s="1"/>
      <c r="BNP90" s="1"/>
      <c r="BNQ90" s="1"/>
      <c r="BNR90" s="1"/>
      <c r="BNS90" s="1"/>
      <c r="BNT90" s="1"/>
      <c r="BNU90" s="1"/>
      <c r="BNV90" s="1"/>
      <c r="BNW90" s="1"/>
      <c r="BNX90" s="1"/>
      <c r="BNY90" s="1"/>
      <c r="BNZ90" s="1"/>
      <c r="BOA90" s="1"/>
      <c r="BOB90" s="1"/>
      <c r="BOC90" s="1"/>
      <c r="BOD90" s="1"/>
      <c r="BOE90" s="1"/>
      <c r="BOF90" s="1"/>
      <c r="BOG90" s="1"/>
      <c r="BOH90" s="1"/>
      <c r="BOI90" s="1"/>
      <c r="BOJ90" s="1"/>
      <c r="BOK90" s="1"/>
      <c r="BOL90" s="1"/>
      <c r="BOM90" s="1"/>
      <c r="BON90" s="1"/>
      <c r="BOO90" s="1"/>
      <c r="BOP90" s="1"/>
      <c r="BOQ90" s="1"/>
      <c r="BOR90" s="1"/>
      <c r="BOS90" s="1"/>
      <c r="BOT90" s="1"/>
      <c r="BOU90" s="1"/>
      <c r="BOV90" s="1"/>
      <c r="BOW90" s="1"/>
      <c r="BOX90" s="1"/>
      <c r="BOY90" s="1"/>
      <c r="BOZ90" s="1"/>
      <c r="BPA90" s="1"/>
      <c r="BPB90" s="1"/>
      <c r="BPC90" s="1"/>
      <c r="BPD90" s="1"/>
      <c r="BPE90" s="1"/>
      <c r="BPF90" s="1"/>
      <c r="BPG90" s="1"/>
      <c r="BPH90" s="1"/>
      <c r="BPI90" s="1"/>
      <c r="BPJ90" s="1"/>
      <c r="BPK90" s="1"/>
      <c r="BPL90" s="1"/>
      <c r="BPM90" s="1"/>
      <c r="BPN90" s="1"/>
      <c r="BPO90" s="1"/>
      <c r="BPP90" s="1"/>
      <c r="BPQ90" s="1"/>
      <c r="BPR90" s="1"/>
      <c r="BPS90" s="1"/>
      <c r="BPT90" s="1"/>
      <c r="BPU90" s="1"/>
      <c r="BPV90" s="1"/>
      <c r="BPW90" s="1"/>
      <c r="BPX90" s="1"/>
      <c r="BPY90" s="1"/>
      <c r="BPZ90" s="1"/>
      <c r="BQA90" s="1"/>
      <c r="BQB90" s="1"/>
      <c r="BQC90" s="1"/>
      <c r="BQD90" s="1"/>
      <c r="BQE90" s="1"/>
      <c r="BQF90" s="1"/>
      <c r="BQG90" s="1"/>
      <c r="BQH90" s="1"/>
      <c r="BQI90" s="1"/>
      <c r="BQJ90" s="1"/>
      <c r="BQK90" s="1"/>
      <c r="BQL90" s="1"/>
      <c r="BQM90" s="1"/>
      <c r="BQN90" s="1"/>
      <c r="BQO90" s="1"/>
      <c r="BQP90" s="1"/>
      <c r="BQQ90" s="1"/>
      <c r="BQR90" s="1"/>
      <c r="BQS90" s="1"/>
      <c r="BQT90" s="1"/>
      <c r="BQU90" s="1"/>
      <c r="BQV90" s="1"/>
      <c r="BQW90" s="1"/>
      <c r="BQX90" s="1"/>
      <c r="BQY90" s="1"/>
      <c r="BQZ90" s="1"/>
      <c r="BRA90" s="1"/>
      <c r="BRB90" s="1"/>
      <c r="BRC90" s="1"/>
      <c r="BRD90" s="1"/>
      <c r="BRE90" s="1"/>
      <c r="BRF90" s="1"/>
      <c r="BRG90" s="1"/>
      <c r="BRH90" s="1"/>
      <c r="BRI90" s="1"/>
      <c r="BRJ90" s="1"/>
      <c r="BRK90" s="1"/>
      <c r="BRL90" s="1"/>
      <c r="BRM90" s="1"/>
      <c r="BRN90" s="1"/>
      <c r="BRO90" s="1"/>
      <c r="BRP90" s="1"/>
      <c r="BRQ90" s="1"/>
      <c r="BRR90" s="1"/>
      <c r="BRS90" s="1"/>
      <c r="BRT90" s="1"/>
      <c r="BRU90" s="1"/>
      <c r="BRV90" s="1"/>
      <c r="BRW90" s="1"/>
      <c r="BRX90" s="1"/>
      <c r="BRY90" s="1"/>
      <c r="BRZ90" s="1"/>
      <c r="BSA90" s="1"/>
      <c r="BSB90" s="1"/>
      <c r="BSC90" s="1"/>
      <c r="BSD90" s="1"/>
      <c r="BSE90" s="1"/>
      <c r="BSF90" s="1"/>
      <c r="BSG90" s="1"/>
      <c r="BSH90" s="1"/>
      <c r="BSI90" s="1"/>
      <c r="BSJ90" s="1"/>
      <c r="BSK90" s="1"/>
      <c r="BSL90" s="1"/>
      <c r="BSM90" s="1"/>
      <c r="BSN90" s="1"/>
      <c r="BSO90" s="1"/>
      <c r="BSP90" s="1"/>
      <c r="BSQ90" s="1"/>
      <c r="BSR90" s="1"/>
      <c r="BSS90" s="1"/>
      <c r="BST90" s="1"/>
      <c r="BSU90" s="1"/>
      <c r="BSV90" s="1"/>
      <c r="BSW90" s="1"/>
      <c r="BSX90" s="1"/>
      <c r="BSY90" s="1"/>
      <c r="BSZ90" s="1"/>
      <c r="BTA90" s="1"/>
      <c r="BTB90" s="1"/>
      <c r="BTC90" s="1"/>
      <c r="BTD90" s="1"/>
      <c r="BTE90" s="1"/>
      <c r="BTF90" s="1"/>
      <c r="BTG90" s="1"/>
      <c r="BTH90" s="1"/>
      <c r="BTI90" s="1"/>
      <c r="BTJ90" s="1"/>
      <c r="BTK90" s="1"/>
      <c r="BTL90" s="1"/>
      <c r="BTM90" s="1"/>
      <c r="BTN90" s="1"/>
      <c r="BTO90" s="1"/>
      <c r="BTP90" s="1"/>
      <c r="BTQ90" s="1"/>
      <c r="BTR90" s="1"/>
      <c r="BTS90" s="1"/>
      <c r="BTT90" s="1"/>
      <c r="BTU90" s="1"/>
      <c r="BTV90" s="1"/>
      <c r="BTW90" s="1"/>
      <c r="BTX90" s="1"/>
      <c r="BTY90" s="1"/>
      <c r="BTZ90" s="1"/>
      <c r="BUA90" s="1"/>
      <c r="BUB90" s="1"/>
      <c r="BUC90" s="1"/>
      <c r="BUD90" s="1"/>
      <c r="BUE90" s="1"/>
      <c r="BUF90" s="1"/>
      <c r="BUG90" s="1"/>
      <c r="BUH90" s="1"/>
      <c r="BUI90" s="1"/>
      <c r="BUJ90" s="1"/>
      <c r="BUK90" s="1"/>
      <c r="BUL90" s="1"/>
      <c r="BUM90" s="1"/>
      <c r="BUN90" s="1"/>
      <c r="BUO90" s="1"/>
      <c r="BUP90" s="1"/>
      <c r="BUQ90" s="1"/>
      <c r="BUR90" s="1"/>
      <c r="BUS90" s="1"/>
      <c r="BUT90" s="1"/>
      <c r="BUU90" s="1"/>
      <c r="BUV90" s="1"/>
      <c r="BUW90" s="1"/>
      <c r="BUX90" s="1"/>
      <c r="BUY90" s="1"/>
      <c r="BUZ90" s="1"/>
      <c r="BVA90" s="1"/>
      <c r="BVB90" s="1"/>
      <c r="BVC90" s="1"/>
      <c r="BVD90" s="1"/>
      <c r="BVE90" s="1"/>
      <c r="BVF90" s="1"/>
      <c r="BVG90" s="1"/>
      <c r="BVH90" s="1"/>
      <c r="BVI90" s="1"/>
      <c r="BVJ90" s="1"/>
      <c r="BVK90" s="1"/>
      <c r="BVL90" s="1"/>
      <c r="BVM90" s="1"/>
      <c r="BVN90" s="1"/>
      <c r="BVO90" s="1"/>
      <c r="BVP90" s="1"/>
      <c r="BVQ90" s="1"/>
      <c r="BVR90" s="1"/>
      <c r="BVS90" s="1"/>
      <c r="BVT90" s="1"/>
      <c r="BVU90" s="1"/>
      <c r="BVV90" s="1"/>
      <c r="BVW90" s="1"/>
      <c r="BVX90" s="1"/>
      <c r="BVY90" s="1"/>
      <c r="BVZ90" s="1"/>
      <c r="BWA90" s="1"/>
      <c r="BWB90" s="1"/>
      <c r="BWC90" s="1"/>
      <c r="BWD90" s="1"/>
      <c r="BWE90" s="1"/>
      <c r="BWF90" s="1"/>
      <c r="BWG90" s="1"/>
      <c r="BWH90" s="1"/>
      <c r="BWI90" s="1"/>
      <c r="BWJ90" s="1"/>
      <c r="BWK90" s="1"/>
      <c r="BWL90" s="1"/>
      <c r="BWM90" s="1"/>
      <c r="BWN90" s="1"/>
      <c r="BWO90" s="1"/>
      <c r="BWP90" s="1"/>
      <c r="BWQ90" s="1"/>
      <c r="BWR90" s="1"/>
      <c r="BWS90" s="1"/>
      <c r="BWT90" s="1"/>
      <c r="BWU90" s="1"/>
      <c r="BWV90" s="1"/>
      <c r="BWW90" s="1"/>
      <c r="BWX90" s="1"/>
      <c r="BWY90" s="1"/>
      <c r="BWZ90" s="1"/>
      <c r="BXA90" s="1"/>
      <c r="BXB90" s="1"/>
      <c r="BXC90" s="1"/>
      <c r="BXD90" s="1"/>
      <c r="BXE90" s="1"/>
      <c r="BXF90" s="1"/>
      <c r="BXG90" s="1"/>
      <c r="BXH90" s="1"/>
      <c r="BXI90" s="1"/>
      <c r="BXJ90" s="1"/>
      <c r="BXK90" s="1"/>
      <c r="BXL90" s="1"/>
      <c r="BXM90" s="1"/>
      <c r="BXN90" s="1"/>
      <c r="BXO90" s="1"/>
      <c r="BXP90" s="1"/>
      <c r="BXQ90" s="1"/>
      <c r="BXR90" s="1"/>
      <c r="BXS90" s="1"/>
      <c r="BXT90" s="1"/>
      <c r="BXU90" s="1"/>
      <c r="BXV90" s="1"/>
      <c r="BXW90" s="1"/>
      <c r="BXX90" s="1"/>
      <c r="BXY90" s="1"/>
      <c r="BXZ90" s="1"/>
      <c r="BYA90" s="1"/>
      <c r="BYB90" s="1"/>
      <c r="BYC90" s="1"/>
      <c r="BYD90" s="1"/>
      <c r="BYE90" s="1"/>
      <c r="BYF90" s="1"/>
      <c r="BYG90" s="1"/>
      <c r="BYH90" s="1"/>
      <c r="BYI90" s="1"/>
      <c r="BYJ90" s="1"/>
      <c r="BYK90" s="1"/>
      <c r="BYL90" s="1"/>
      <c r="BYM90" s="1"/>
      <c r="BYN90" s="1"/>
      <c r="BYO90" s="1"/>
      <c r="BYP90" s="1"/>
      <c r="BYQ90" s="1"/>
      <c r="BYR90" s="1"/>
      <c r="BYS90" s="1"/>
      <c r="BYT90" s="1"/>
      <c r="BYU90" s="1"/>
      <c r="BYV90" s="1"/>
      <c r="BYW90" s="1"/>
      <c r="BYX90" s="1"/>
      <c r="BYY90" s="1"/>
      <c r="BYZ90" s="1"/>
      <c r="BZA90" s="1"/>
      <c r="BZB90" s="1"/>
      <c r="BZC90" s="1"/>
      <c r="BZD90" s="1"/>
      <c r="BZE90" s="1"/>
      <c r="BZF90" s="1"/>
      <c r="BZG90" s="1"/>
      <c r="BZH90" s="1"/>
      <c r="BZI90" s="1"/>
      <c r="BZJ90" s="1"/>
      <c r="BZK90" s="1"/>
      <c r="BZL90" s="1"/>
      <c r="BZM90" s="1"/>
      <c r="BZN90" s="1"/>
      <c r="BZO90" s="1"/>
      <c r="BZP90" s="1"/>
      <c r="BZQ90" s="1"/>
      <c r="BZR90" s="1"/>
      <c r="BZS90" s="1"/>
      <c r="BZT90" s="1"/>
      <c r="BZU90" s="1"/>
      <c r="BZV90" s="1"/>
      <c r="BZW90" s="1"/>
      <c r="BZX90" s="1"/>
      <c r="BZY90" s="1"/>
      <c r="BZZ90" s="1"/>
      <c r="CAA90" s="1"/>
      <c r="CAB90" s="1"/>
      <c r="CAC90" s="1"/>
      <c r="CAD90" s="1"/>
      <c r="CAE90" s="1"/>
      <c r="CAF90" s="1"/>
      <c r="CAG90" s="1"/>
      <c r="CAH90" s="1"/>
      <c r="CAI90" s="1"/>
      <c r="CAJ90" s="1"/>
      <c r="CAK90" s="1"/>
      <c r="CAL90" s="1"/>
      <c r="CAM90" s="1"/>
      <c r="CAN90" s="1"/>
      <c r="CAO90" s="1"/>
      <c r="CAP90" s="1"/>
      <c r="CAQ90" s="1"/>
      <c r="CAR90" s="1"/>
      <c r="CAS90" s="1"/>
      <c r="CAT90" s="1"/>
      <c r="CAU90" s="1"/>
      <c r="CAV90" s="1"/>
      <c r="CAW90" s="1"/>
      <c r="CAX90" s="1"/>
      <c r="CAY90" s="1"/>
      <c r="CAZ90" s="1"/>
      <c r="CBA90" s="1"/>
      <c r="CBB90" s="1"/>
      <c r="CBC90" s="1"/>
      <c r="CBD90" s="1"/>
      <c r="CBE90" s="1"/>
      <c r="CBF90" s="1"/>
      <c r="CBG90" s="1"/>
      <c r="CBH90" s="1"/>
      <c r="CBI90" s="1"/>
      <c r="CBJ90" s="1"/>
      <c r="CBK90" s="1"/>
      <c r="CBL90" s="1"/>
      <c r="CBM90" s="1"/>
      <c r="CBN90" s="1"/>
      <c r="CBO90" s="1"/>
      <c r="CBP90" s="1"/>
      <c r="CBQ90" s="1"/>
      <c r="CBR90" s="1"/>
      <c r="CBS90" s="1"/>
      <c r="CBT90" s="1"/>
      <c r="CBU90" s="1"/>
      <c r="CBV90" s="1"/>
      <c r="CBW90" s="1"/>
      <c r="CBX90" s="1"/>
      <c r="CBY90" s="1"/>
      <c r="CBZ90" s="1"/>
      <c r="CCA90" s="1"/>
      <c r="CCB90" s="1"/>
      <c r="CCC90" s="1"/>
      <c r="CCD90" s="1"/>
      <c r="CCE90" s="1"/>
      <c r="CCF90" s="1"/>
      <c r="CCG90" s="1"/>
      <c r="CCH90" s="1"/>
      <c r="CCI90" s="1"/>
      <c r="CCJ90" s="1"/>
      <c r="CCK90" s="1"/>
      <c r="CCL90" s="1"/>
      <c r="CCM90" s="1"/>
      <c r="CCN90" s="1"/>
      <c r="CCO90" s="1"/>
      <c r="CCP90" s="1"/>
      <c r="CCQ90" s="1"/>
      <c r="CCR90" s="1"/>
      <c r="CCS90" s="1"/>
      <c r="CCT90" s="1"/>
      <c r="CCU90" s="1"/>
      <c r="CCV90" s="1"/>
      <c r="CCW90" s="1"/>
      <c r="CCX90" s="1"/>
      <c r="CCY90" s="1"/>
      <c r="CCZ90" s="1"/>
      <c r="CDA90" s="1"/>
      <c r="CDB90" s="1"/>
      <c r="CDC90" s="1"/>
      <c r="CDD90" s="1"/>
      <c r="CDE90" s="1"/>
      <c r="CDF90" s="1"/>
      <c r="CDG90" s="1"/>
      <c r="CDH90" s="1"/>
      <c r="CDI90" s="1"/>
      <c r="CDJ90" s="1"/>
      <c r="CDK90" s="1"/>
      <c r="CDL90" s="1"/>
      <c r="CDM90" s="1"/>
      <c r="CDN90" s="1"/>
      <c r="CDO90" s="1"/>
      <c r="CDP90" s="1"/>
      <c r="CDQ90" s="1"/>
      <c r="CDR90" s="1"/>
      <c r="CDS90" s="1"/>
      <c r="CDT90" s="1"/>
      <c r="CDU90" s="1"/>
      <c r="CDV90" s="1"/>
      <c r="CDW90" s="1"/>
      <c r="CDX90" s="1"/>
      <c r="CDY90" s="1"/>
      <c r="CDZ90" s="1"/>
      <c r="CEA90" s="1"/>
      <c r="CEB90" s="1"/>
      <c r="CEC90" s="1"/>
      <c r="CED90" s="1"/>
      <c r="CEE90" s="1"/>
      <c r="CEF90" s="1"/>
      <c r="CEG90" s="1"/>
      <c r="CEH90" s="1"/>
      <c r="CEI90" s="1"/>
      <c r="CEJ90" s="1"/>
      <c r="CEK90" s="1"/>
      <c r="CEL90" s="1"/>
      <c r="CEM90" s="1"/>
      <c r="CEN90" s="1"/>
      <c r="CEO90" s="1"/>
      <c r="CEP90" s="1"/>
      <c r="CEQ90" s="1"/>
      <c r="CER90" s="1"/>
      <c r="CES90" s="1"/>
      <c r="CET90" s="1"/>
      <c r="CEU90" s="1"/>
      <c r="CEV90" s="1"/>
      <c r="CEW90" s="1"/>
      <c r="CEX90" s="1"/>
      <c r="CEY90" s="1"/>
      <c r="CEZ90" s="1"/>
      <c r="CFA90" s="1"/>
      <c r="CFB90" s="1"/>
      <c r="CFC90" s="1"/>
      <c r="CFD90" s="1"/>
      <c r="CFE90" s="1"/>
      <c r="CFF90" s="1"/>
      <c r="CFG90" s="1"/>
      <c r="CFH90" s="1"/>
      <c r="CFI90" s="1"/>
      <c r="CFJ90" s="1"/>
      <c r="CFK90" s="1"/>
      <c r="CFL90" s="1"/>
      <c r="CFM90" s="1"/>
      <c r="CFN90" s="1"/>
      <c r="CFO90" s="1"/>
      <c r="CFP90" s="1"/>
      <c r="CFQ90" s="1"/>
      <c r="CFR90" s="1"/>
      <c r="CFS90" s="1"/>
      <c r="CFT90" s="1"/>
      <c r="CFU90" s="1"/>
      <c r="CFV90" s="1"/>
      <c r="CFW90" s="1"/>
      <c r="CFX90" s="1"/>
      <c r="CFY90" s="1"/>
      <c r="CFZ90" s="1"/>
      <c r="CGA90" s="1"/>
      <c r="CGB90" s="1"/>
      <c r="CGC90" s="1"/>
      <c r="CGD90" s="1"/>
      <c r="CGE90" s="1"/>
      <c r="CGF90" s="1"/>
      <c r="CGG90" s="1"/>
      <c r="CGH90" s="1"/>
      <c r="CGI90" s="1"/>
      <c r="CGJ90" s="1"/>
      <c r="CGK90" s="1"/>
      <c r="CGL90" s="1"/>
      <c r="CGM90" s="1"/>
      <c r="CGN90" s="1"/>
      <c r="CGO90" s="1"/>
      <c r="CGP90" s="1"/>
      <c r="CGQ90" s="1"/>
      <c r="CGR90" s="1"/>
      <c r="CGS90" s="1"/>
      <c r="CGT90" s="1"/>
      <c r="CGU90" s="1"/>
      <c r="CGV90" s="1"/>
      <c r="CGW90" s="1"/>
      <c r="CGX90" s="1"/>
      <c r="CGY90" s="1"/>
      <c r="CGZ90" s="1"/>
      <c r="CHA90" s="1"/>
      <c r="CHB90" s="1"/>
      <c r="CHC90" s="1"/>
      <c r="CHD90" s="1"/>
      <c r="CHE90" s="1"/>
      <c r="CHF90" s="1"/>
      <c r="CHG90" s="1"/>
      <c r="CHH90" s="1"/>
      <c r="CHI90" s="1"/>
      <c r="CHJ90" s="1"/>
      <c r="CHK90" s="1"/>
      <c r="CHL90" s="1"/>
      <c r="CHM90" s="1"/>
      <c r="CHN90" s="1"/>
      <c r="CHO90" s="1"/>
      <c r="CHP90" s="1"/>
      <c r="CHQ90" s="1"/>
      <c r="CHR90" s="1"/>
      <c r="CHS90" s="1"/>
      <c r="CHT90" s="1"/>
      <c r="CHU90" s="1"/>
      <c r="CHV90" s="1"/>
      <c r="CHW90" s="1"/>
      <c r="CHX90" s="1"/>
      <c r="CHY90" s="1"/>
      <c r="CHZ90" s="1"/>
      <c r="CIA90" s="1"/>
      <c r="CIB90" s="1"/>
      <c r="CIC90" s="1"/>
      <c r="CID90" s="1"/>
      <c r="CIE90" s="1"/>
      <c r="CIF90" s="1"/>
      <c r="CIG90" s="1"/>
      <c r="CIH90" s="1"/>
      <c r="CII90" s="1"/>
      <c r="CIJ90" s="1"/>
      <c r="CIK90" s="1"/>
      <c r="CIL90" s="1"/>
      <c r="CIM90" s="1"/>
      <c r="CIN90" s="1"/>
      <c r="CIO90" s="1"/>
      <c r="CIP90" s="1"/>
      <c r="CIQ90" s="1"/>
      <c r="CIR90" s="1"/>
      <c r="CIS90" s="1"/>
      <c r="CIT90" s="1"/>
      <c r="CIU90" s="1"/>
      <c r="CIV90" s="1"/>
      <c r="CIW90" s="1"/>
      <c r="CIX90" s="1"/>
      <c r="CIY90" s="1"/>
      <c r="CIZ90" s="1"/>
      <c r="CJA90" s="1"/>
      <c r="CJB90" s="1"/>
      <c r="CJC90" s="1"/>
      <c r="CJD90" s="1"/>
      <c r="CJE90" s="1"/>
      <c r="CJF90" s="1"/>
      <c r="CJG90" s="1"/>
      <c r="CJH90" s="1"/>
      <c r="CJI90" s="1"/>
      <c r="CJJ90" s="1"/>
      <c r="CJK90" s="1"/>
      <c r="CJL90" s="1"/>
      <c r="CJM90" s="1"/>
      <c r="CJN90" s="1"/>
      <c r="CJO90" s="1"/>
      <c r="CJP90" s="1"/>
      <c r="CJQ90" s="1"/>
      <c r="CJR90" s="1"/>
      <c r="CJS90" s="1"/>
      <c r="CJT90" s="1"/>
      <c r="CJU90" s="1"/>
      <c r="CJV90" s="1"/>
      <c r="CJW90" s="1"/>
      <c r="CJX90" s="1"/>
      <c r="CJY90" s="1"/>
      <c r="CJZ90" s="1"/>
      <c r="CKA90" s="1"/>
      <c r="CKB90" s="1"/>
      <c r="CKC90" s="1"/>
      <c r="CKD90" s="1"/>
      <c r="CKE90" s="1"/>
      <c r="CKF90" s="1"/>
      <c r="CKG90" s="1"/>
      <c r="CKH90" s="1"/>
      <c r="CKI90" s="1"/>
      <c r="CKJ90" s="1"/>
      <c r="CKK90" s="1"/>
      <c r="CKL90" s="1"/>
      <c r="CKM90" s="1"/>
      <c r="CKN90" s="1"/>
      <c r="CKO90" s="1"/>
      <c r="CKP90" s="1"/>
      <c r="CKQ90" s="1"/>
      <c r="CKR90" s="1"/>
      <c r="CKS90" s="1"/>
      <c r="CKT90" s="1"/>
      <c r="CKU90" s="1"/>
      <c r="CKV90" s="1"/>
      <c r="CKW90" s="1"/>
      <c r="CKX90" s="1"/>
      <c r="CKY90" s="1"/>
      <c r="CKZ90" s="1"/>
      <c r="CLA90" s="1"/>
      <c r="CLB90" s="1"/>
      <c r="CLC90" s="1"/>
      <c r="CLD90" s="1"/>
      <c r="CLE90" s="1"/>
      <c r="CLF90" s="1"/>
      <c r="CLG90" s="1"/>
      <c r="CLH90" s="1"/>
      <c r="CLI90" s="1"/>
      <c r="CLJ90" s="1"/>
      <c r="CLK90" s="1"/>
      <c r="CLL90" s="1"/>
      <c r="CLM90" s="1"/>
      <c r="CLN90" s="1"/>
      <c r="CLO90" s="1"/>
      <c r="CLP90" s="1"/>
      <c r="CLQ90" s="1"/>
      <c r="CLR90" s="1"/>
      <c r="CLS90" s="1"/>
      <c r="CLT90" s="1"/>
      <c r="CLU90" s="1"/>
      <c r="CLV90" s="1"/>
      <c r="CLW90" s="1"/>
      <c r="CLX90" s="1"/>
      <c r="CLY90" s="1"/>
      <c r="CLZ90" s="1"/>
      <c r="CMA90" s="1"/>
      <c r="CMB90" s="1"/>
      <c r="CMC90" s="1"/>
      <c r="CMD90" s="1"/>
      <c r="CME90" s="1"/>
      <c r="CMF90" s="1"/>
      <c r="CMG90" s="1"/>
      <c r="CMH90" s="1"/>
      <c r="CMI90" s="1"/>
      <c r="CMJ90" s="1"/>
      <c r="CMK90" s="1"/>
      <c r="CML90" s="1"/>
      <c r="CMM90" s="1"/>
      <c r="CMN90" s="1"/>
      <c r="CMO90" s="1"/>
      <c r="CMP90" s="1"/>
      <c r="CMQ90" s="1"/>
      <c r="CMR90" s="1"/>
      <c r="CMS90" s="1"/>
      <c r="CMT90" s="1"/>
      <c r="CMU90" s="1"/>
      <c r="CMV90" s="1"/>
      <c r="CMW90" s="1"/>
      <c r="CMX90" s="1"/>
      <c r="CMY90" s="1"/>
      <c r="CMZ90" s="1"/>
      <c r="CNA90" s="1"/>
      <c r="CNB90" s="1"/>
      <c r="CNC90" s="1"/>
      <c r="CND90" s="1"/>
      <c r="CNE90" s="1"/>
      <c r="CNF90" s="1"/>
      <c r="CNG90" s="1"/>
      <c r="CNH90" s="1"/>
      <c r="CNI90" s="1"/>
      <c r="CNJ90" s="1"/>
      <c r="CNK90" s="1"/>
      <c r="CNL90" s="1"/>
      <c r="CNM90" s="1"/>
      <c r="CNN90" s="1"/>
      <c r="CNO90" s="1"/>
      <c r="CNP90" s="1"/>
      <c r="CNQ90" s="1"/>
      <c r="CNR90" s="1"/>
      <c r="CNS90" s="1"/>
      <c r="CNT90" s="1"/>
      <c r="CNU90" s="1"/>
      <c r="CNV90" s="1"/>
      <c r="CNW90" s="1"/>
      <c r="CNX90" s="1"/>
      <c r="CNY90" s="1"/>
      <c r="CNZ90" s="1"/>
      <c r="COA90" s="1"/>
      <c r="COB90" s="1"/>
      <c r="COC90" s="1"/>
      <c r="COD90" s="1"/>
      <c r="COE90" s="1"/>
      <c r="COF90" s="1"/>
      <c r="COG90" s="1"/>
      <c r="COH90" s="1"/>
      <c r="COI90" s="1"/>
      <c r="COJ90" s="1"/>
      <c r="COK90" s="1"/>
      <c r="COL90" s="1"/>
      <c r="COM90" s="1"/>
      <c r="CON90" s="1"/>
      <c r="COO90" s="1"/>
      <c r="COP90" s="1"/>
      <c r="COQ90" s="1"/>
      <c r="COR90" s="1"/>
      <c r="COS90" s="1"/>
      <c r="COT90" s="1"/>
      <c r="COU90" s="1"/>
      <c r="COV90" s="1"/>
      <c r="COW90" s="1"/>
      <c r="COX90" s="1"/>
      <c r="COY90" s="1"/>
      <c r="COZ90" s="1"/>
      <c r="CPA90" s="1"/>
      <c r="CPB90" s="1"/>
      <c r="CPC90" s="1"/>
      <c r="CPD90" s="1"/>
      <c r="CPE90" s="1"/>
      <c r="CPF90" s="1"/>
      <c r="CPG90" s="1"/>
      <c r="CPH90" s="1"/>
      <c r="CPI90" s="1"/>
      <c r="CPJ90" s="1"/>
      <c r="CPK90" s="1"/>
      <c r="CPL90" s="1"/>
      <c r="CPM90" s="1"/>
      <c r="CPN90" s="1"/>
      <c r="CPO90" s="1"/>
      <c r="CPP90" s="1"/>
      <c r="CPQ90" s="1"/>
      <c r="CPR90" s="1"/>
      <c r="CPS90" s="1"/>
      <c r="CPT90" s="1"/>
      <c r="CPU90" s="1"/>
      <c r="CPV90" s="1"/>
      <c r="CPW90" s="1"/>
      <c r="CPX90" s="1"/>
      <c r="CPY90" s="1"/>
      <c r="CPZ90" s="1"/>
      <c r="CQA90" s="1"/>
      <c r="CQB90" s="1"/>
      <c r="CQC90" s="1"/>
      <c r="CQD90" s="1"/>
      <c r="CQE90" s="1"/>
      <c r="CQF90" s="1"/>
      <c r="CQG90" s="1"/>
      <c r="CQH90" s="1"/>
      <c r="CQI90" s="1"/>
      <c r="CQJ90" s="1"/>
      <c r="CQK90" s="1"/>
      <c r="CQL90" s="1"/>
      <c r="CQM90" s="1"/>
      <c r="CQN90" s="1"/>
      <c r="CQO90" s="1"/>
      <c r="CQP90" s="1"/>
      <c r="CQQ90" s="1"/>
      <c r="CQR90" s="1"/>
      <c r="CQS90" s="1"/>
      <c r="CQT90" s="1"/>
      <c r="CQU90" s="1"/>
      <c r="CQV90" s="1"/>
      <c r="CQW90" s="1"/>
      <c r="CQX90" s="1"/>
      <c r="CQY90" s="1"/>
      <c r="CQZ90" s="1"/>
      <c r="CRA90" s="1"/>
      <c r="CRB90" s="1"/>
      <c r="CRC90" s="1"/>
      <c r="CRD90" s="1"/>
      <c r="CRE90" s="1"/>
      <c r="CRF90" s="1"/>
      <c r="CRG90" s="1"/>
      <c r="CRH90" s="1"/>
      <c r="CRI90" s="1"/>
      <c r="CRJ90" s="1"/>
      <c r="CRK90" s="1"/>
      <c r="CRL90" s="1"/>
      <c r="CRM90" s="1"/>
      <c r="CRN90" s="1"/>
      <c r="CRO90" s="1"/>
      <c r="CRP90" s="1"/>
      <c r="CRQ90" s="1"/>
      <c r="CRR90" s="1"/>
      <c r="CRS90" s="1"/>
      <c r="CRT90" s="1"/>
      <c r="CRU90" s="1"/>
      <c r="CRV90" s="1"/>
      <c r="CRW90" s="1"/>
      <c r="CRX90" s="1"/>
      <c r="CRY90" s="1"/>
      <c r="CRZ90" s="1"/>
      <c r="CSA90" s="1"/>
      <c r="CSB90" s="1"/>
      <c r="CSC90" s="1"/>
      <c r="CSD90" s="1"/>
      <c r="CSE90" s="1"/>
      <c r="CSF90" s="1"/>
      <c r="CSG90" s="1"/>
      <c r="CSH90" s="1"/>
      <c r="CSI90" s="1"/>
      <c r="CSJ90" s="1"/>
      <c r="CSK90" s="1"/>
      <c r="CSL90" s="1"/>
      <c r="CSM90" s="1"/>
      <c r="CSN90" s="1"/>
      <c r="CSO90" s="1"/>
      <c r="CSP90" s="1"/>
      <c r="CSQ90" s="1"/>
      <c r="CSR90" s="1"/>
      <c r="CSS90" s="1"/>
      <c r="CST90" s="1"/>
      <c r="CSU90" s="1"/>
      <c r="CSV90" s="1"/>
      <c r="CSW90" s="1"/>
      <c r="CSX90" s="1"/>
      <c r="CSY90" s="1"/>
      <c r="CSZ90" s="1"/>
      <c r="CTA90" s="1"/>
      <c r="CTB90" s="1"/>
      <c r="CTC90" s="1"/>
      <c r="CTD90" s="1"/>
      <c r="CTE90" s="1"/>
      <c r="CTF90" s="1"/>
      <c r="CTG90" s="1"/>
      <c r="CTH90" s="1"/>
      <c r="CTI90" s="1"/>
      <c r="CTJ90" s="1"/>
      <c r="CTK90" s="1"/>
      <c r="CTL90" s="1"/>
      <c r="CTM90" s="1"/>
      <c r="CTN90" s="1"/>
      <c r="CTO90" s="1"/>
      <c r="CTP90" s="1"/>
      <c r="CTQ90" s="1"/>
      <c r="CTR90" s="1"/>
      <c r="CTS90" s="1"/>
      <c r="CTT90" s="1"/>
      <c r="CTU90" s="1"/>
      <c r="CTV90" s="1"/>
      <c r="CTW90" s="1"/>
      <c r="CTX90" s="1"/>
      <c r="CTY90" s="1"/>
      <c r="CTZ90" s="1"/>
      <c r="CUA90" s="1"/>
      <c r="CUB90" s="1"/>
      <c r="CUC90" s="1"/>
      <c r="CUD90" s="1"/>
      <c r="CUE90" s="1"/>
      <c r="CUF90" s="1"/>
      <c r="CUG90" s="1"/>
      <c r="CUH90" s="1"/>
      <c r="CUI90" s="1"/>
      <c r="CUJ90" s="1"/>
      <c r="CUK90" s="1"/>
      <c r="CUL90" s="1"/>
      <c r="CUM90" s="1"/>
      <c r="CUN90" s="1"/>
      <c r="CUO90" s="1"/>
      <c r="CUP90" s="1"/>
      <c r="CUQ90" s="1"/>
      <c r="CUR90" s="1"/>
      <c r="CUS90" s="1"/>
      <c r="CUT90" s="1"/>
      <c r="CUU90" s="1"/>
      <c r="CUV90" s="1"/>
      <c r="CUW90" s="1"/>
      <c r="CUX90" s="1"/>
      <c r="CUY90" s="1"/>
      <c r="CUZ90" s="1"/>
      <c r="CVA90" s="1"/>
      <c r="CVB90" s="1"/>
      <c r="CVC90" s="1"/>
      <c r="CVD90" s="1"/>
      <c r="CVE90" s="1"/>
      <c r="CVF90" s="1"/>
      <c r="CVG90" s="1"/>
      <c r="CVH90" s="1"/>
      <c r="CVI90" s="1"/>
      <c r="CVJ90" s="1"/>
      <c r="CVK90" s="1"/>
      <c r="CVL90" s="1"/>
      <c r="CVM90" s="1"/>
      <c r="CVN90" s="1"/>
      <c r="CVO90" s="1"/>
      <c r="CVP90" s="1"/>
      <c r="CVQ90" s="1"/>
      <c r="CVR90" s="1"/>
      <c r="CVS90" s="1"/>
      <c r="CVT90" s="1"/>
      <c r="CVU90" s="1"/>
      <c r="CVV90" s="1"/>
      <c r="CVW90" s="1"/>
      <c r="CVX90" s="1"/>
      <c r="CVY90" s="1"/>
      <c r="CVZ90" s="1"/>
      <c r="CWA90" s="1"/>
      <c r="CWB90" s="1"/>
      <c r="CWC90" s="1"/>
      <c r="CWD90" s="1"/>
      <c r="CWE90" s="1"/>
      <c r="CWF90" s="1"/>
      <c r="CWG90" s="1"/>
      <c r="CWH90" s="1"/>
      <c r="CWI90" s="1"/>
      <c r="CWJ90" s="1"/>
      <c r="CWK90" s="1"/>
      <c r="CWL90" s="1"/>
      <c r="CWM90" s="1"/>
      <c r="CWN90" s="1"/>
      <c r="CWO90" s="1"/>
      <c r="CWP90" s="1"/>
      <c r="CWQ90" s="1"/>
      <c r="CWR90" s="1"/>
      <c r="CWS90" s="1"/>
      <c r="CWT90" s="1"/>
      <c r="CWU90" s="1"/>
      <c r="CWV90" s="1"/>
      <c r="CWW90" s="1"/>
      <c r="CWX90" s="1"/>
      <c r="CWY90" s="1"/>
      <c r="CWZ90" s="1"/>
      <c r="CXA90" s="1"/>
      <c r="CXB90" s="1"/>
      <c r="CXC90" s="1"/>
      <c r="CXD90" s="1"/>
      <c r="CXE90" s="1"/>
      <c r="CXF90" s="1"/>
      <c r="CXG90" s="1"/>
      <c r="CXH90" s="1"/>
      <c r="CXI90" s="1"/>
      <c r="CXJ90" s="1"/>
      <c r="CXK90" s="1"/>
      <c r="CXL90" s="1"/>
      <c r="CXM90" s="1"/>
      <c r="CXN90" s="1"/>
      <c r="CXO90" s="1"/>
      <c r="CXP90" s="1"/>
      <c r="CXQ90" s="1"/>
      <c r="CXR90" s="1"/>
      <c r="CXS90" s="1"/>
      <c r="CXT90" s="1"/>
      <c r="CXU90" s="1"/>
      <c r="CXV90" s="1"/>
      <c r="CXW90" s="1"/>
      <c r="CXX90" s="1"/>
      <c r="CXY90" s="1"/>
      <c r="CXZ90" s="1"/>
      <c r="CYA90" s="1"/>
      <c r="CYB90" s="1"/>
      <c r="CYC90" s="1"/>
      <c r="CYD90" s="1"/>
      <c r="CYE90" s="1"/>
      <c r="CYF90" s="1"/>
      <c r="CYG90" s="1"/>
      <c r="CYH90" s="1"/>
      <c r="CYI90" s="1"/>
      <c r="CYJ90" s="1"/>
      <c r="CYK90" s="1"/>
      <c r="CYL90" s="1"/>
      <c r="CYM90" s="1"/>
      <c r="CYN90" s="1"/>
      <c r="CYO90" s="1"/>
      <c r="CYP90" s="1"/>
      <c r="CYQ90" s="1"/>
      <c r="CYR90" s="1"/>
      <c r="CYS90" s="1"/>
      <c r="CYT90" s="1"/>
      <c r="CYU90" s="1"/>
      <c r="CYV90" s="1"/>
      <c r="CYW90" s="1"/>
      <c r="CYX90" s="1"/>
      <c r="CYY90" s="1"/>
      <c r="CYZ90" s="1"/>
      <c r="CZA90" s="1"/>
      <c r="CZB90" s="1"/>
      <c r="CZC90" s="1"/>
      <c r="CZD90" s="1"/>
      <c r="CZE90" s="1"/>
      <c r="CZF90" s="1"/>
      <c r="CZG90" s="1"/>
      <c r="CZH90" s="1"/>
      <c r="CZI90" s="1"/>
      <c r="CZJ90" s="1"/>
      <c r="CZK90" s="1"/>
      <c r="CZL90" s="1"/>
      <c r="CZM90" s="1"/>
      <c r="CZN90" s="1"/>
      <c r="CZO90" s="1"/>
      <c r="CZP90" s="1"/>
      <c r="CZQ90" s="1"/>
      <c r="CZR90" s="1"/>
      <c r="CZS90" s="1"/>
      <c r="CZT90" s="1"/>
      <c r="CZU90" s="1"/>
      <c r="CZV90" s="1"/>
      <c r="CZW90" s="1"/>
      <c r="CZX90" s="1"/>
      <c r="CZY90" s="1"/>
      <c r="CZZ90" s="1"/>
      <c r="DAA90" s="1"/>
      <c r="DAB90" s="1"/>
      <c r="DAC90" s="1"/>
      <c r="DAD90" s="1"/>
      <c r="DAE90" s="1"/>
      <c r="DAF90" s="1"/>
      <c r="DAG90" s="1"/>
      <c r="DAH90" s="1"/>
      <c r="DAI90" s="1"/>
      <c r="DAJ90" s="1"/>
      <c r="DAK90" s="1"/>
      <c r="DAL90" s="1"/>
      <c r="DAM90" s="1"/>
      <c r="DAN90" s="1"/>
      <c r="DAO90" s="1"/>
      <c r="DAP90" s="1"/>
      <c r="DAQ90" s="1"/>
      <c r="DAR90" s="1"/>
      <c r="DAS90" s="1"/>
      <c r="DAT90" s="1"/>
      <c r="DAU90" s="1"/>
      <c r="DAV90" s="1"/>
      <c r="DAW90" s="1"/>
      <c r="DAX90" s="1"/>
      <c r="DAY90" s="1"/>
      <c r="DAZ90" s="1"/>
      <c r="DBA90" s="1"/>
      <c r="DBB90" s="1"/>
      <c r="DBC90" s="1"/>
      <c r="DBD90" s="1"/>
      <c r="DBE90" s="1"/>
      <c r="DBF90" s="1"/>
      <c r="DBG90" s="1"/>
      <c r="DBH90" s="1"/>
      <c r="DBI90" s="1"/>
      <c r="DBJ90" s="1"/>
      <c r="DBK90" s="1"/>
      <c r="DBL90" s="1"/>
      <c r="DBM90" s="1"/>
      <c r="DBN90" s="1"/>
      <c r="DBO90" s="1"/>
      <c r="DBP90" s="1"/>
      <c r="DBQ90" s="1"/>
      <c r="DBR90" s="1"/>
      <c r="DBS90" s="1"/>
      <c r="DBT90" s="1"/>
      <c r="DBU90" s="1"/>
      <c r="DBV90" s="1"/>
      <c r="DBW90" s="1"/>
      <c r="DBX90" s="1"/>
      <c r="DBY90" s="1"/>
      <c r="DBZ90" s="1"/>
      <c r="DCA90" s="1"/>
      <c r="DCB90" s="1"/>
      <c r="DCC90" s="1"/>
      <c r="DCD90" s="1"/>
      <c r="DCE90" s="1"/>
      <c r="DCF90" s="1"/>
      <c r="DCG90" s="1"/>
      <c r="DCH90" s="1"/>
      <c r="DCI90" s="1"/>
      <c r="DCJ90" s="1"/>
      <c r="DCK90" s="1"/>
      <c r="DCL90" s="1"/>
      <c r="DCM90" s="1"/>
      <c r="DCN90" s="1"/>
      <c r="DCO90" s="1"/>
      <c r="DCP90" s="1"/>
      <c r="DCQ90" s="1"/>
      <c r="DCR90" s="1"/>
      <c r="DCS90" s="1"/>
      <c r="DCT90" s="1"/>
      <c r="DCU90" s="1"/>
      <c r="DCV90" s="1"/>
      <c r="DCW90" s="1"/>
      <c r="DCX90" s="1"/>
      <c r="DCY90" s="1"/>
      <c r="DCZ90" s="1"/>
      <c r="DDA90" s="1"/>
      <c r="DDB90" s="1"/>
      <c r="DDC90" s="1"/>
      <c r="DDD90" s="1"/>
      <c r="DDE90" s="1"/>
      <c r="DDF90" s="1"/>
      <c r="DDG90" s="1"/>
      <c r="DDH90" s="1"/>
      <c r="DDI90" s="1"/>
      <c r="DDJ90" s="1"/>
      <c r="DDK90" s="1"/>
      <c r="DDL90" s="1"/>
      <c r="DDM90" s="1"/>
      <c r="DDN90" s="1"/>
      <c r="DDO90" s="1"/>
      <c r="DDP90" s="1"/>
      <c r="DDQ90" s="1"/>
      <c r="DDR90" s="1"/>
      <c r="DDS90" s="1"/>
      <c r="DDT90" s="1"/>
      <c r="DDU90" s="1"/>
      <c r="DDV90" s="1"/>
      <c r="DDW90" s="1"/>
      <c r="DDX90" s="1"/>
      <c r="DDY90" s="1"/>
      <c r="DDZ90" s="1"/>
      <c r="DEA90" s="1"/>
      <c r="DEB90" s="1"/>
      <c r="DEC90" s="1"/>
      <c r="DED90" s="1"/>
      <c r="DEE90" s="1"/>
      <c r="DEF90" s="1"/>
      <c r="DEG90" s="1"/>
      <c r="DEH90" s="1"/>
      <c r="DEI90" s="1"/>
      <c r="DEJ90" s="1"/>
      <c r="DEK90" s="1"/>
      <c r="DEL90" s="1"/>
      <c r="DEM90" s="1"/>
      <c r="DEN90" s="1"/>
      <c r="DEO90" s="1"/>
      <c r="DEP90" s="1"/>
      <c r="DEQ90" s="1"/>
      <c r="DER90" s="1"/>
      <c r="DES90" s="1"/>
      <c r="DET90" s="1"/>
      <c r="DEU90" s="1"/>
      <c r="DEV90" s="1"/>
      <c r="DEW90" s="1"/>
      <c r="DEX90" s="1"/>
      <c r="DEY90" s="1"/>
      <c r="DEZ90" s="1"/>
      <c r="DFA90" s="1"/>
      <c r="DFB90" s="1"/>
      <c r="DFC90" s="1"/>
      <c r="DFD90" s="1"/>
      <c r="DFE90" s="1"/>
      <c r="DFF90" s="1"/>
      <c r="DFG90" s="1"/>
      <c r="DFH90" s="1"/>
      <c r="DFI90" s="1"/>
      <c r="DFJ90" s="1"/>
      <c r="DFK90" s="1"/>
      <c r="DFL90" s="1"/>
      <c r="DFM90" s="1"/>
      <c r="DFN90" s="1"/>
      <c r="DFO90" s="1"/>
      <c r="DFP90" s="1"/>
      <c r="DFQ90" s="1"/>
      <c r="DFR90" s="1"/>
      <c r="DFS90" s="1"/>
      <c r="DFT90" s="1"/>
      <c r="DFU90" s="1"/>
      <c r="DFV90" s="1"/>
      <c r="DFW90" s="1"/>
      <c r="DFX90" s="1"/>
      <c r="DFY90" s="1"/>
      <c r="DFZ90" s="1"/>
      <c r="DGA90" s="1"/>
      <c r="DGB90" s="1"/>
      <c r="DGC90" s="1"/>
      <c r="DGD90" s="1"/>
      <c r="DGE90" s="1"/>
      <c r="DGF90" s="1"/>
      <c r="DGG90" s="1"/>
      <c r="DGH90" s="1"/>
      <c r="DGI90" s="1"/>
      <c r="DGJ90" s="1"/>
      <c r="DGK90" s="1"/>
      <c r="DGL90" s="1"/>
      <c r="DGM90" s="1"/>
      <c r="DGN90" s="1"/>
      <c r="DGO90" s="1"/>
      <c r="DGP90" s="1"/>
      <c r="DGQ90" s="1"/>
      <c r="DGR90" s="1"/>
      <c r="DGS90" s="1"/>
      <c r="DGT90" s="1"/>
      <c r="DGU90" s="1"/>
      <c r="DGV90" s="1"/>
      <c r="DGW90" s="1"/>
      <c r="DGX90" s="1"/>
      <c r="DGY90" s="1"/>
      <c r="DGZ90" s="1"/>
      <c r="DHA90" s="1"/>
      <c r="DHB90" s="1"/>
      <c r="DHC90" s="1"/>
      <c r="DHD90" s="1"/>
      <c r="DHE90" s="1"/>
      <c r="DHF90" s="1"/>
      <c r="DHG90" s="1"/>
      <c r="DHH90" s="1"/>
      <c r="DHI90" s="1"/>
      <c r="DHJ90" s="1"/>
      <c r="DHK90" s="1"/>
      <c r="DHL90" s="1"/>
      <c r="DHM90" s="1"/>
      <c r="DHN90" s="1"/>
      <c r="DHO90" s="1"/>
      <c r="DHP90" s="1"/>
      <c r="DHQ90" s="1"/>
      <c r="DHR90" s="1"/>
      <c r="DHS90" s="1"/>
      <c r="DHT90" s="1"/>
      <c r="DHU90" s="1"/>
      <c r="DHV90" s="1"/>
      <c r="DHW90" s="1"/>
      <c r="DHX90" s="1"/>
      <c r="DHY90" s="1"/>
      <c r="DHZ90" s="1"/>
      <c r="DIA90" s="1"/>
      <c r="DIB90" s="1"/>
      <c r="DIC90" s="1"/>
      <c r="DID90" s="1"/>
      <c r="DIE90" s="1"/>
      <c r="DIF90" s="1"/>
      <c r="DIG90" s="1"/>
      <c r="DIH90" s="1"/>
      <c r="DII90" s="1"/>
      <c r="DIJ90" s="1"/>
      <c r="DIK90" s="1"/>
      <c r="DIL90" s="1"/>
      <c r="DIM90" s="1"/>
      <c r="DIN90" s="1"/>
      <c r="DIO90" s="1"/>
      <c r="DIP90" s="1"/>
      <c r="DIQ90" s="1"/>
      <c r="DIR90" s="1"/>
      <c r="DIS90" s="1"/>
      <c r="DIT90" s="1"/>
      <c r="DIU90" s="1"/>
      <c r="DIV90" s="1"/>
      <c r="DIW90" s="1"/>
      <c r="DIX90" s="1"/>
      <c r="DIY90" s="1"/>
      <c r="DIZ90" s="1"/>
      <c r="DJA90" s="1"/>
      <c r="DJB90" s="1"/>
      <c r="DJC90" s="1"/>
      <c r="DJD90" s="1"/>
      <c r="DJE90" s="1"/>
      <c r="DJF90" s="1"/>
      <c r="DJG90" s="1"/>
      <c r="DJH90" s="1"/>
      <c r="DJI90" s="1"/>
      <c r="DJJ90" s="1"/>
      <c r="DJK90" s="1"/>
      <c r="DJL90" s="1"/>
      <c r="DJM90" s="1"/>
      <c r="DJN90" s="1"/>
      <c r="DJO90" s="1"/>
      <c r="DJP90" s="1"/>
      <c r="DJQ90" s="1"/>
      <c r="DJR90" s="1"/>
      <c r="DJS90" s="1"/>
      <c r="DJT90" s="1"/>
      <c r="DJU90" s="1"/>
      <c r="DJV90" s="1"/>
      <c r="DJW90" s="1"/>
      <c r="DJX90" s="1"/>
      <c r="DJY90" s="1"/>
      <c r="DJZ90" s="1"/>
      <c r="DKA90" s="1"/>
      <c r="DKB90" s="1"/>
      <c r="DKC90" s="1"/>
      <c r="DKD90" s="1"/>
      <c r="DKE90" s="1"/>
      <c r="DKF90" s="1"/>
      <c r="DKG90" s="1"/>
      <c r="DKH90" s="1"/>
      <c r="DKI90" s="1"/>
      <c r="DKJ90" s="1"/>
      <c r="DKK90" s="1"/>
      <c r="DKL90" s="1"/>
      <c r="DKM90" s="1"/>
      <c r="DKN90" s="1"/>
      <c r="DKO90" s="1"/>
      <c r="DKP90" s="1"/>
      <c r="DKQ90" s="1"/>
      <c r="DKR90" s="1"/>
      <c r="DKS90" s="1"/>
      <c r="DKT90" s="1"/>
      <c r="DKU90" s="1"/>
      <c r="DKV90" s="1"/>
      <c r="DKW90" s="1"/>
      <c r="DKX90" s="1"/>
      <c r="DKY90" s="1"/>
      <c r="DKZ90" s="1"/>
      <c r="DLA90" s="1"/>
      <c r="DLB90" s="1"/>
      <c r="DLC90" s="1"/>
      <c r="DLD90" s="1"/>
      <c r="DLE90" s="1"/>
      <c r="DLF90" s="1"/>
      <c r="DLG90" s="1"/>
      <c r="DLH90" s="1"/>
      <c r="DLI90" s="1"/>
      <c r="DLJ90" s="1"/>
      <c r="DLK90" s="1"/>
      <c r="DLL90" s="1"/>
      <c r="DLM90" s="1"/>
      <c r="DLN90" s="1"/>
      <c r="DLO90" s="1"/>
      <c r="DLP90" s="1"/>
      <c r="DLQ90" s="1"/>
      <c r="DLR90" s="1"/>
      <c r="DLS90" s="1"/>
      <c r="DLT90" s="1"/>
      <c r="DLU90" s="1"/>
      <c r="DLV90" s="1"/>
      <c r="DLW90" s="1"/>
      <c r="DLX90" s="1"/>
      <c r="DLY90" s="1"/>
      <c r="DLZ90" s="1"/>
      <c r="DMA90" s="1"/>
      <c r="DMB90" s="1"/>
      <c r="DMC90" s="1"/>
      <c r="DMD90" s="1"/>
      <c r="DME90" s="1"/>
      <c r="DMF90" s="1"/>
      <c r="DMG90" s="1"/>
      <c r="DMH90" s="1"/>
      <c r="DMI90" s="1"/>
      <c r="DMJ90" s="1"/>
      <c r="DMK90" s="1"/>
      <c r="DML90" s="1"/>
      <c r="DMM90" s="1"/>
      <c r="DMN90" s="1"/>
      <c r="DMO90" s="1"/>
      <c r="DMP90" s="1"/>
      <c r="DMQ90" s="1"/>
      <c r="DMR90" s="1"/>
      <c r="DMS90" s="1"/>
      <c r="DMT90" s="1"/>
      <c r="DMU90" s="1"/>
      <c r="DMV90" s="1"/>
      <c r="DMW90" s="1"/>
      <c r="DMX90" s="1"/>
      <c r="DMY90" s="1"/>
      <c r="DMZ90" s="1"/>
      <c r="DNA90" s="1"/>
      <c r="DNB90" s="1"/>
      <c r="DNC90" s="1"/>
      <c r="DND90" s="1"/>
      <c r="DNE90" s="1"/>
      <c r="DNF90" s="1"/>
      <c r="DNG90" s="1"/>
      <c r="DNH90" s="1"/>
      <c r="DNI90" s="1"/>
      <c r="DNJ90" s="1"/>
      <c r="DNK90" s="1"/>
      <c r="DNL90" s="1"/>
      <c r="DNM90" s="1"/>
      <c r="DNN90" s="1"/>
      <c r="DNO90" s="1"/>
      <c r="DNP90" s="1"/>
      <c r="DNQ90" s="1"/>
      <c r="DNR90" s="1"/>
      <c r="DNS90" s="1"/>
      <c r="DNT90" s="1"/>
      <c r="DNU90" s="1"/>
      <c r="DNV90" s="1"/>
      <c r="DNW90" s="1"/>
      <c r="DNX90" s="1"/>
      <c r="DNY90" s="1"/>
      <c r="DNZ90" s="1"/>
      <c r="DOA90" s="1"/>
      <c r="DOB90" s="1"/>
      <c r="DOC90" s="1"/>
      <c r="DOD90" s="1"/>
      <c r="DOE90" s="1"/>
      <c r="DOF90" s="1"/>
      <c r="DOG90" s="1"/>
      <c r="DOH90" s="1"/>
      <c r="DOI90" s="1"/>
      <c r="DOJ90" s="1"/>
      <c r="DOK90" s="1"/>
      <c r="DOL90" s="1"/>
      <c r="DOM90" s="1"/>
      <c r="DON90" s="1"/>
      <c r="DOO90" s="1"/>
      <c r="DOP90" s="1"/>
      <c r="DOQ90" s="1"/>
      <c r="DOR90" s="1"/>
      <c r="DOS90" s="1"/>
      <c r="DOT90" s="1"/>
      <c r="DOU90" s="1"/>
      <c r="DOV90" s="1"/>
      <c r="DOW90" s="1"/>
      <c r="DOX90" s="1"/>
      <c r="DOY90" s="1"/>
      <c r="DOZ90" s="1"/>
      <c r="DPA90" s="1"/>
      <c r="DPB90" s="1"/>
      <c r="DPC90" s="1"/>
      <c r="DPD90" s="1"/>
      <c r="DPE90" s="1"/>
      <c r="DPF90" s="1"/>
      <c r="DPG90" s="1"/>
      <c r="DPH90" s="1"/>
      <c r="DPI90" s="1"/>
      <c r="DPJ90" s="1"/>
      <c r="DPK90" s="1"/>
      <c r="DPL90" s="1"/>
      <c r="DPM90" s="1"/>
      <c r="DPN90" s="1"/>
      <c r="DPO90" s="1"/>
      <c r="DPP90" s="1"/>
      <c r="DPQ90" s="1"/>
      <c r="DPR90" s="1"/>
      <c r="DPS90" s="1"/>
      <c r="DPT90" s="1"/>
      <c r="DPU90" s="1"/>
      <c r="DPV90" s="1"/>
      <c r="DPW90" s="1"/>
      <c r="DPX90" s="1"/>
      <c r="DPY90" s="1"/>
      <c r="DPZ90" s="1"/>
      <c r="DQA90" s="1"/>
      <c r="DQB90" s="1"/>
      <c r="DQC90" s="1"/>
      <c r="DQD90" s="1"/>
      <c r="DQE90" s="1"/>
      <c r="DQF90" s="1"/>
      <c r="DQG90" s="1"/>
      <c r="DQH90" s="1"/>
      <c r="DQI90" s="1"/>
      <c r="DQJ90" s="1"/>
      <c r="DQK90" s="1"/>
      <c r="DQL90" s="1"/>
      <c r="DQM90" s="1"/>
      <c r="DQN90" s="1"/>
      <c r="DQO90" s="1"/>
      <c r="DQP90" s="1"/>
      <c r="DQQ90" s="1"/>
      <c r="DQR90" s="1"/>
      <c r="DQS90" s="1"/>
      <c r="DQT90" s="1"/>
      <c r="DQU90" s="1"/>
      <c r="DQV90" s="1"/>
      <c r="DQW90" s="1"/>
      <c r="DQX90" s="1"/>
      <c r="DQY90" s="1"/>
      <c r="DQZ90" s="1"/>
      <c r="DRA90" s="1"/>
      <c r="DRB90" s="1"/>
      <c r="DRC90" s="1"/>
      <c r="DRD90" s="1"/>
      <c r="DRE90" s="1"/>
      <c r="DRF90" s="1"/>
      <c r="DRG90" s="1"/>
      <c r="DRH90" s="1"/>
      <c r="DRI90" s="1"/>
      <c r="DRJ90" s="1"/>
      <c r="DRK90" s="1"/>
      <c r="DRL90" s="1"/>
      <c r="DRM90" s="1"/>
      <c r="DRN90" s="1"/>
      <c r="DRO90" s="1"/>
      <c r="DRP90" s="1"/>
      <c r="DRQ90" s="1"/>
      <c r="DRR90" s="1"/>
      <c r="DRS90" s="1"/>
      <c r="DRT90" s="1"/>
      <c r="DRU90" s="1"/>
      <c r="DRV90" s="1"/>
      <c r="DRW90" s="1"/>
      <c r="DRX90" s="1"/>
      <c r="DRY90" s="1"/>
      <c r="DRZ90" s="1"/>
      <c r="DSA90" s="1"/>
      <c r="DSB90" s="1"/>
      <c r="DSC90" s="1"/>
      <c r="DSD90" s="1"/>
      <c r="DSE90" s="1"/>
      <c r="DSF90" s="1"/>
      <c r="DSG90" s="1"/>
      <c r="DSH90" s="1"/>
      <c r="DSI90" s="1"/>
      <c r="DSJ90" s="1"/>
      <c r="DSK90" s="1"/>
      <c r="DSL90" s="1"/>
      <c r="DSM90" s="1"/>
      <c r="DSN90" s="1"/>
      <c r="DSO90" s="1"/>
      <c r="DSP90" s="1"/>
      <c r="DSQ90" s="1"/>
      <c r="DSR90" s="1"/>
      <c r="DSS90" s="1"/>
      <c r="DST90" s="1"/>
      <c r="DSU90" s="1"/>
      <c r="DSV90" s="1"/>
      <c r="DSW90" s="1"/>
      <c r="DSX90" s="1"/>
      <c r="DSY90" s="1"/>
      <c r="DSZ90" s="1"/>
      <c r="DTA90" s="1"/>
      <c r="DTB90" s="1"/>
      <c r="DTC90" s="1"/>
      <c r="DTD90" s="1"/>
      <c r="DTE90" s="1"/>
      <c r="DTF90" s="1"/>
      <c r="DTG90" s="1"/>
      <c r="DTH90" s="1"/>
      <c r="DTI90" s="1"/>
      <c r="DTJ90" s="1"/>
      <c r="DTK90" s="1"/>
      <c r="DTL90" s="1"/>
      <c r="DTM90" s="1"/>
      <c r="DTN90" s="1"/>
      <c r="DTO90" s="1"/>
      <c r="DTP90" s="1"/>
      <c r="DTQ90" s="1"/>
      <c r="DTR90" s="1"/>
      <c r="DTS90" s="1"/>
      <c r="DTT90" s="1"/>
      <c r="DTU90" s="1"/>
      <c r="DTV90" s="1"/>
      <c r="DTW90" s="1"/>
      <c r="DTX90" s="1"/>
      <c r="DTY90" s="1"/>
      <c r="DTZ90" s="1"/>
      <c r="DUA90" s="1"/>
      <c r="DUB90" s="1"/>
      <c r="DUC90" s="1"/>
      <c r="DUD90" s="1"/>
      <c r="DUE90" s="1"/>
      <c r="DUF90" s="1"/>
      <c r="DUG90" s="1"/>
      <c r="DUH90" s="1"/>
      <c r="DUI90" s="1"/>
      <c r="DUJ90" s="1"/>
      <c r="DUK90" s="1"/>
      <c r="DUL90" s="1"/>
      <c r="DUM90" s="1"/>
      <c r="DUN90" s="1"/>
      <c r="DUO90" s="1"/>
      <c r="DUP90" s="1"/>
      <c r="DUQ90" s="1"/>
      <c r="DUR90" s="1"/>
      <c r="DUS90" s="1"/>
      <c r="DUT90" s="1"/>
      <c r="DUU90" s="1"/>
      <c r="DUV90" s="1"/>
      <c r="DUW90" s="1"/>
      <c r="DUX90" s="1"/>
      <c r="DUY90" s="1"/>
      <c r="DUZ90" s="1"/>
      <c r="DVA90" s="1"/>
      <c r="DVB90" s="1"/>
      <c r="DVC90" s="1"/>
      <c r="DVD90" s="1"/>
      <c r="DVE90" s="1"/>
      <c r="DVF90" s="1"/>
      <c r="DVG90" s="1"/>
      <c r="DVH90" s="1"/>
      <c r="DVI90" s="1"/>
      <c r="DVJ90" s="1"/>
      <c r="DVK90" s="1"/>
      <c r="DVL90" s="1"/>
      <c r="DVM90" s="1"/>
      <c r="DVN90" s="1"/>
      <c r="DVO90" s="1"/>
      <c r="DVP90" s="1"/>
      <c r="DVQ90" s="1"/>
      <c r="DVR90" s="1"/>
      <c r="DVS90" s="1"/>
      <c r="DVT90" s="1"/>
      <c r="DVU90" s="1"/>
      <c r="DVV90" s="1"/>
      <c r="DVW90" s="1"/>
      <c r="DVX90" s="1"/>
      <c r="DVY90" s="1"/>
      <c r="DVZ90" s="1"/>
      <c r="DWA90" s="1"/>
      <c r="DWB90" s="1"/>
      <c r="DWC90" s="1"/>
      <c r="DWD90" s="1"/>
      <c r="DWE90" s="1"/>
      <c r="DWF90" s="1"/>
      <c r="DWG90" s="1"/>
      <c r="DWH90" s="1"/>
      <c r="DWI90" s="1"/>
      <c r="DWJ90" s="1"/>
      <c r="DWK90" s="1"/>
      <c r="DWL90" s="1"/>
      <c r="DWM90" s="1"/>
      <c r="DWN90" s="1"/>
      <c r="DWO90" s="1"/>
      <c r="DWP90" s="1"/>
      <c r="DWQ90" s="1"/>
      <c r="DWR90" s="1"/>
      <c r="DWS90" s="1"/>
      <c r="DWT90" s="1"/>
      <c r="DWU90" s="1"/>
      <c r="DWV90" s="1"/>
      <c r="DWW90" s="1"/>
      <c r="DWX90" s="1"/>
      <c r="DWY90" s="1"/>
      <c r="DWZ90" s="1"/>
      <c r="DXA90" s="1"/>
      <c r="DXB90" s="1"/>
      <c r="DXC90" s="1"/>
      <c r="DXD90" s="1"/>
      <c r="DXE90" s="1"/>
      <c r="DXF90" s="1"/>
      <c r="DXG90" s="1"/>
      <c r="DXH90" s="1"/>
      <c r="DXI90" s="1"/>
      <c r="DXJ90" s="1"/>
      <c r="DXK90" s="1"/>
      <c r="DXL90" s="1"/>
      <c r="DXM90" s="1"/>
      <c r="DXN90" s="1"/>
      <c r="DXO90" s="1"/>
      <c r="DXP90" s="1"/>
      <c r="DXQ90" s="1"/>
      <c r="DXR90" s="1"/>
      <c r="DXS90" s="1"/>
      <c r="DXT90" s="1"/>
      <c r="DXU90" s="1"/>
      <c r="DXV90" s="1"/>
      <c r="DXW90" s="1"/>
      <c r="DXX90" s="1"/>
      <c r="DXY90" s="1"/>
      <c r="DXZ90" s="1"/>
      <c r="DYA90" s="1"/>
      <c r="DYB90" s="1"/>
      <c r="DYC90" s="1"/>
      <c r="DYD90" s="1"/>
      <c r="DYE90" s="1"/>
      <c r="DYF90" s="1"/>
      <c r="DYG90" s="1"/>
      <c r="DYH90" s="1"/>
      <c r="DYI90" s="1"/>
      <c r="DYJ90" s="1"/>
      <c r="DYK90" s="1"/>
      <c r="DYL90" s="1"/>
      <c r="DYM90" s="1"/>
      <c r="DYN90" s="1"/>
      <c r="DYO90" s="1"/>
      <c r="DYP90" s="1"/>
      <c r="DYQ90" s="1"/>
      <c r="DYR90" s="1"/>
      <c r="DYS90" s="1"/>
      <c r="DYT90" s="1"/>
      <c r="DYU90" s="1"/>
      <c r="DYV90" s="1"/>
      <c r="DYW90" s="1"/>
      <c r="DYX90" s="1"/>
      <c r="DYY90" s="1"/>
      <c r="DYZ90" s="1"/>
      <c r="DZA90" s="1"/>
      <c r="DZB90" s="1"/>
      <c r="DZC90" s="1"/>
      <c r="DZD90" s="1"/>
      <c r="DZE90" s="1"/>
      <c r="DZF90" s="1"/>
      <c r="DZG90" s="1"/>
      <c r="DZH90" s="1"/>
      <c r="DZI90" s="1"/>
      <c r="DZJ90" s="1"/>
      <c r="DZK90" s="1"/>
      <c r="DZL90" s="1"/>
      <c r="DZM90" s="1"/>
      <c r="DZN90" s="1"/>
      <c r="DZO90" s="1"/>
      <c r="DZP90" s="1"/>
      <c r="DZQ90" s="1"/>
      <c r="DZR90" s="1"/>
      <c r="DZS90" s="1"/>
      <c r="DZT90" s="1"/>
      <c r="DZU90" s="1"/>
      <c r="DZV90" s="1"/>
      <c r="DZW90" s="1"/>
      <c r="DZX90" s="1"/>
      <c r="DZY90" s="1"/>
      <c r="DZZ90" s="1"/>
      <c r="EAA90" s="1"/>
      <c r="EAB90" s="1"/>
      <c r="EAC90" s="1"/>
      <c r="EAD90" s="1"/>
      <c r="EAE90" s="1"/>
      <c r="EAF90" s="1"/>
      <c r="EAG90" s="1"/>
      <c r="EAH90" s="1"/>
      <c r="EAI90" s="1"/>
      <c r="EAJ90" s="1"/>
      <c r="EAK90" s="1"/>
      <c r="EAL90" s="1"/>
      <c r="EAM90" s="1"/>
      <c r="EAN90" s="1"/>
      <c r="EAO90" s="1"/>
      <c r="EAP90" s="1"/>
      <c r="EAQ90" s="1"/>
      <c r="EAR90" s="1"/>
      <c r="EAS90" s="1"/>
      <c r="EAT90" s="1"/>
      <c r="EAU90" s="1"/>
      <c r="EAV90" s="1"/>
      <c r="EAW90" s="1"/>
      <c r="EAX90" s="1"/>
      <c r="EAY90" s="1"/>
      <c r="EAZ90" s="1"/>
      <c r="EBA90" s="1"/>
      <c r="EBB90" s="1"/>
      <c r="EBC90" s="1"/>
      <c r="EBD90" s="1"/>
      <c r="EBE90" s="1"/>
      <c r="EBF90" s="1"/>
      <c r="EBG90" s="1"/>
      <c r="EBH90" s="1"/>
      <c r="EBI90" s="1"/>
      <c r="EBJ90" s="1"/>
      <c r="EBK90" s="1"/>
      <c r="EBL90" s="1"/>
      <c r="EBM90" s="1"/>
      <c r="EBN90" s="1"/>
      <c r="EBO90" s="1"/>
      <c r="EBP90" s="1"/>
      <c r="EBQ90" s="1"/>
      <c r="EBR90" s="1"/>
      <c r="EBS90" s="1"/>
      <c r="EBT90" s="1"/>
      <c r="EBU90" s="1"/>
      <c r="EBV90" s="1"/>
      <c r="EBW90" s="1"/>
      <c r="EBX90" s="1"/>
      <c r="EBY90" s="1"/>
      <c r="EBZ90" s="1"/>
      <c r="ECA90" s="1"/>
      <c r="ECB90" s="1"/>
      <c r="ECC90" s="1"/>
      <c r="ECD90" s="1"/>
      <c r="ECE90" s="1"/>
      <c r="ECF90" s="1"/>
      <c r="ECG90" s="1"/>
      <c r="ECH90" s="1"/>
      <c r="ECI90" s="1"/>
      <c r="ECJ90" s="1"/>
      <c r="ECK90" s="1"/>
      <c r="ECL90" s="1"/>
      <c r="ECM90" s="1"/>
      <c r="ECN90" s="1"/>
      <c r="ECO90" s="1"/>
      <c r="ECP90" s="1"/>
      <c r="ECQ90" s="1"/>
      <c r="ECR90" s="1"/>
      <c r="ECS90" s="1"/>
      <c r="ECT90" s="1"/>
      <c r="ECU90" s="1"/>
      <c r="ECV90" s="1"/>
      <c r="ECW90" s="1"/>
      <c r="ECX90" s="1"/>
      <c r="ECY90" s="1"/>
      <c r="ECZ90" s="1"/>
      <c r="EDA90" s="1"/>
      <c r="EDB90" s="1"/>
      <c r="EDC90" s="1"/>
      <c r="EDD90" s="1"/>
      <c r="EDE90" s="1"/>
      <c r="EDF90" s="1"/>
      <c r="EDG90" s="1"/>
      <c r="EDH90" s="1"/>
      <c r="EDI90" s="1"/>
      <c r="EDJ90" s="1"/>
      <c r="EDK90" s="1"/>
      <c r="EDL90" s="1"/>
      <c r="EDM90" s="1"/>
      <c r="EDN90" s="1"/>
      <c r="EDO90" s="1"/>
      <c r="EDP90" s="1"/>
      <c r="EDQ90" s="1"/>
      <c r="EDR90" s="1"/>
      <c r="EDS90" s="1"/>
      <c r="EDT90" s="1"/>
      <c r="EDU90" s="1"/>
      <c r="EDV90" s="1"/>
      <c r="EDW90" s="1"/>
      <c r="EDX90" s="1"/>
      <c r="EDY90" s="1"/>
      <c r="EDZ90" s="1"/>
      <c r="EEA90" s="1"/>
      <c r="EEB90" s="1"/>
      <c r="EEC90" s="1"/>
      <c r="EED90" s="1"/>
      <c r="EEE90" s="1"/>
      <c r="EEF90" s="1"/>
      <c r="EEG90" s="1"/>
      <c r="EEH90" s="1"/>
      <c r="EEI90" s="1"/>
      <c r="EEJ90" s="1"/>
      <c r="EEK90" s="1"/>
      <c r="EEL90" s="1"/>
      <c r="EEM90" s="1"/>
      <c r="EEN90" s="1"/>
      <c r="EEO90" s="1"/>
      <c r="EEP90" s="1"/>
      <c r="EEQ90" s="1"/>
      <c r="EER90" s="1"/>
      <c r="EES90" s="1"/>
      <c r="EET90" s="1"/>
      <c r="EEU90" s="1"/>
      <c r="EEV90" s="1"/>
      <c r="EEW90" s="1"/>
      <c r="EEX90" s="1"/>
      <c r="EEY90" s="1"/>
      <c r="EEZ90" s="1"/>
      <c r="EFA90" s="1"/>
      <c r="EFB90" s="1"/>
      <c r="EFC90" s="1"/>
      <c r="EFD90" s="1"/>
      <c r="EFE90" s="1"/>
      <c r="EFF90" s="1"/>
      <c r="EFG90" s="1"/>
      <c r="EFH90" s="1"/>
      <c r="EFI90" s="1"/>
      <c r="EFJ90" s="1"/>
      <c r="EFK90" s="1"/>
      <c r="EFL90" s="1"/>
      <c r="EFM90" s="1"/>
      <c r="EFN90" s="1"/>
      <c r="EFO90" s="1"/>
      <c r="EFP90" s="1"/>
      <c r="EFQ90" s="1"/>
      <c r="EFR90" s="1"/>
      <c r="EFS90" s="1"/>
      <c r="EFT90" s="1"/>
      <c r="EFU90" s="1"/>
      <c r="EFV90" s="1"/>
      <c r="EFW90" s="1"/>
      <c r="EFX90" s="1"/>
      <c r="EFY90" s="1"/>
      <c r="EFZ90" s="1"/>
      <c r="EGA90" s="1"/>
      <c r="EGB90" s="1"/>
      <c r="EGC90" s="1"/>
      <c r="EGD90" s="1"/>
      <c r="EGE90" s="1"/>
      <c r="EGF90" s="1"/>
      <c r="EGG90" s="1"/>
      <c r="EGH90" s="1"/>
      <c r="EGI90" s="1"/>
      <c r="EGJ90" s="1"/>
      <c r="EGK90" s="1"/>
      <c r="EGL90" s="1"/>
      <c r="EGM90" s="1"/>
      <c r="EGN90" s="1"/>
      <c r="EGO90" s="1"/>
      <c r="EGP90" s="1"/>
      <c r="EGQ90" s="1"/>
      <c r="EGR90" s="1"/>
      <c r="EGS90" s="1"/>
      <c r="EGT90" s="1"/>
      <c r="EGU90" s="1"/>
      <c r="EGV90" s="1"/>
      <c r="EGW90" s="1"/>
      <c r="EGX90" s="1"/>
      <c r="EGY90" s="1"/>
      <c r="EGZ90" s="1"/>
      <c r="EHA90" s="1"/>
      <c r="EHB90" s="1"/>
      <c r="EHC90" s="1"/>
      <c r="EHD90" s="1"/>
      <c r="EHE90" s="1"/>
      <c r="EHF90" s="1"/>
      <c r="EHG90" s="1"/>
      <c r="EHH90" s="1"/>
      <c r="EHI90" s="1"/>
      <c r="EHJ90" s="1"/>
      <c r="EHK90" s="1"/>
      <c r="EHL90" s="1"/>
      <c r="EHM90" s="1"/>
      <c r="EHN90" s="1"/>
      <c r="EHO90" s="1"/>
      <c r="EHP90" s="1"/>
      <c r="EHQ90" s="1"/>
      <c r="EHR90" s="1"/>
      <c r="EHS90" s="1"/>
      <c r="EHT90" s="1"/>
      <c r="EHU90" s="1"/>
      <c r="EHV90" s="1"/>
      <c r="EHW90" s="1"/>
      <c r="EHX90" s="1"/>
      <c r="EHY90" s="1"/>
      <c r="EHZ90" s="1"/>
      <c r="EIA90" s="1"/>
      <c r="EIB90" s="1"/>
      <c r="EIC90" s="1"/>
      <c r="EID90" s="1"/>
      <c r="EIE90" s="1"/>
      <c r="EIF90" s="1"/>
      <c r="EIG90" s="1"/>
      <c r="EIH90" s="1"/>
      <c r="EII90" s="1"/>
      <c r="EIJ90" s="1"/>
      <c r="EIK90" s="1"/>
      <c r="EIL90" s="1"/>
      <c r="EIM90" s="1"/>
      <c r="EIN90" s="1"/>
      <c r="EIO90" s="1"/>
      <c r="EIP90" s="1"/>
      <c r="EIQ90" s="1"/>
      <c r="EIR90" s="1"/>
      <c r="EIS90" s="1"/>
      <c r="EIT90" s="1"/>
      <c r="EIU90" s="1"/>
      <c r="EIV90" s="1"/>
      <c r="EIW90" s="1"/>
      <c r="EIX90" s="1"/>
      <c r="EIY90" s="1"/>
      <c r="EIZ90" s="1"/>
      <c r="EJA90" s="1"/>
      <c r="EJB90" s="1"/>
      <c r="EJC90" s="1"/>
      <c r="EJD90" s="1"/>
      <c r="EJE90" s="1"/>
      <c r="EJF90" s="1"/>
      <c r="EJG90" s="1"/>
      <c r="EJH90" s="1"/>
      <c r="EJI90" s="1"/>
      <c r="EJJ90" s="1"/>
      <c r="EJK90" s="1"/>
      <c r="EJL90" s="1"/>
      <c r="EJM90" s="1"/>
      <c r="EJN90" s="1"/>
      <c r="EJO90" s="1"/>
      <c r="EJP90" s="1"/>
      <c r="EJQ90" s="1"/>
      <c r="EJR90" s="1"/>
      <c r="EJS90" s="1"/>
      <c r="EJT90" s="1"/>
      <c r="EJU90" s="1"/>
      <c r="EJV90" s="1"/>
      <c r="EJW90" s="1"/>
      <c r="EJX90" s="1"/>
      <c r="EJY90" s="1"/>
      <c r="EJZ90" s="1"/>
      <c r="EKA90" s="1"/>
      <c r="EKB90" s="1"/>
      <c r="EKC90" s="1"/>
      <c r="EKD90" s="1"/>
      <c r="EKE90" s="1"/>
      <c r="EKF90" s="1"/>
      <c r="EKG90" s="1"/>
      <c r="EKH90" s="1"/>
      <c r="EKI90" s="1"/>
      <c r="EKJ90" s="1"/>
      <c r="EKK90" s="1"/>
      <c r="EKL90" s="1"/>
      <c r="EKM90" s="1"/>
      <c r="EKN90" s="1"/>
      <c r="EKO90" s="1"/>
      <c r="EKP90" s="1"/>
      <c r="EKQ90" s="1"/>
      <c r="EKR90" s="1"/>
      <c r="EKS90" s="1"/>
      <c r="EKT90" s="1"/>
      <c r="EKU90" s="1"/>
      <c r="EKV90" s="1"/>
      <c r="EKW90" s="1"/>
      <c r="EKX90" s="1"/>
      <c r="EKY90" s="1"/>
      <c r="EKZ90" s="1"/>
      <c r="ELA90" s="1"/>
      <c r="ELB90" s="1"/>
      <c r="ELC90" s="1"/>
      <c r="ELD90" s="1"/>
      <c r="ELE90" s="1"/>
      <c r="ELF90" s="1"/>
      <c r="ELG90" s="1"/>
      <c r="ELH90" s="1"/>
      <c r="ELI90" s="1"/>
      <c r="ELJ90" s="1"/>
      <c r="ELK90" s="1"/>
      <c r="ELL90" s="1"/>
      <c r="ELM90" s="1"/>
      <c r="ELN90" s="1"/>
      <c r="ELO90" s="1"/>
      <c r="ELP90" s="1"/>
      <c r="ELQ90" s="1"/>
      <c r="ELR90" s="1"/>
      <c r="ELS90" s="1"/>
      <c r="ELT90" s="1"/>
      <c r="ELU90" s="1"/>
      <c r="ELV90" s="1"/>
      <c r="ELW90" s="1"/>
      <c r="ELX90" s="1"/>
      <c r="ELY90" s="1"/>
      <c r="ELZ90" s="1"/>
      <c r="EMA90" s="1"/>
      <c r="EMB90" s="1"/>
      <c r="EMC90" s="1"/>
      <c r="EMD90" s="1"/>
      <c r="EME90" s="1"/>
      <c r="EMF90" s="1"/>
      <c r="EMG90" s="1"/>
      <c r="EMH90" s="1"/>
      <c r="EMI90" s="1"/>
      <c r="EMJ90" s="1"/>
      <c r="EMK90" s="1"/>
      <c r="EML90" s="1"/>
      <c r="EMM90" s="1"/>
      <c r="EMN90" s="1"/>
      <c r="EMO90" s="1"/>
      <c r="EMP90" s="1"/>
      <c r="EMQ90" s="1"/>
      <c r="EMR90" s="1"/>
      <c r="EMS90" s="1"/>
      <c r="EMT90" s="1"/>
      <c r="EMU90" s="1"/>
      <c r="EMV90" s="1"/>
      <c r="EMW90" s="1"/>
      <c r="EMX90" s="1"/>
      <c r="EMY90" s="1"/>
      <c r="EMZ90" s="1"/>
      <c r="ENA90" s="1"/>
      <c r="ENB90" s="1"/>
      <c r="ENC90" s="1"/>
      <c r="END90" s="1"/>
      <c r="ENE90" s="1"/>
      <c r="ENF90" s="1"/>
      <c r="ENG90" s="1"/>
      <c r="ENH90" s="1"/>
      <c r="ENI90" s="1"/>
      <c r="ENJ90" s="1"/>
      <c r="ENK90" s="1"/>
      <c r="ENL90" s="1"/>
      <c r="ENM90" s="1"/>
      <c r="ENN90" s="1"/>
      <c r="ENO90" s="1"/>
      <c r="ENP90" s="1"/>
      <c r="ENQ90" s="1"/>
      <c r="ENR90" s="1"/>
      <c r="ENS90" s="1"/>
      <c r="ENT90" s="1"/>
      <c r="ENU90" s="1"/>
      <c r="ENV90" s="1"/>
      <c r="ENW90" s="1"/>
      <c r="ENX90" s="1"/>
      <c r="ENY90" s="1"/>
      <c r="ENZ90" s="1"/>
      <c r="EOA90" s="1"/>
      <c r="EOB90" s="1"/>
      <c r="EOC90" s="1"/>
      <c r="EOD90" s="1"/>
      <c r="EOE90" s="1"/>
      <c r="EOF90" s="1"/>
      <c r="EOG90" s="1"/>
      <c r="EOH90" s="1"/>
      <c r="EOI90" s="1"/>
      <c r="EOJ90" s="1"/>
      <c r="EOK90" s="1"/>
      <c r="EOL90" s="1"/>
      <c r="EOM90" s="1"/>
      <c r="EON90" s="1"/>
      <c r="EOO90" s="1"/>
      <c r="EOP90" s="1"/>
      <c r="EOQ90" s="1"/>
      <c r="EOR90" s="1"/>
      <c r="EOS90" s="1"/>
      <c r="EOT90" s="1"/>
      <c r="EOU90" s="1"/>
      <c r="EOV90" s="1"/>
      <c r="EOW90" s="1"/>
      <c r="EOX90" s="1"/>
      <c r="EOY90" s="1"/>
      <c r="EOZ90" s="1"/>
      <c r="EPA90" s="1"/>
      <c r="EPB90" s="1"/>
      <c r="EPC90" s="1"/>
      <c r="EPD90" s="1"/>
      <c r="EPE90" s="1"/>
      <c r="EPF90" s="1"/>
      <c r="EPG90" s="1"/>
      <c r="EPH90" s="1"/>
      <c r="EPI90" s="1"/>
      <c r="EPJ90" s="1"/>
      <c r="EPK90" s="1"/>
      <c r="EPL90" s="1"/>
      <c r="EPM90" s="1"/>
      <c r="EPN90" s="1"/>
      <c r="EPO90" s="1"/>
      <c r="EPP90" s="1"/>
      <c r="EPQ90" s="1"/>
      <c r="EPR90" s="1"/>
      <c r="EPS90" s="1"/>
      <c r="EPT90" s="1"/>
      <c r="EPU90" s="1"/>
      <c r="EPV90" s="1"/>
      <c r="EPW90" s="1"/>
      <c r="EPX90" s="1"/>
      <c r="EPY90" s="1"/>
      <c r="EPZ90" s="1"/>
      <c r="EQA90" s="1"/>
      <c r="EQB90" s="1"/>
      <c r="EQC90" s="1"/>
      <c r="EQD90" s="1"/>
      <c r="EQE90" s="1"/>
      <c r="EQF90" s="1"/>
      <c r="EQG90" s="1"/>
      <c r="EQH90" s="1"/>
      <c r="EQI90" s="1"/>
      <c r="EQJ90" s="1"/>
      <c r="EQK90" s="1"/>
      <c r="EQL90" s="1"/>
      <c r="EQM90" s="1"/>
      <c r="EQN90" s="1"/>
      <c r="EQO90" s="1"/>
      <c r="EQP90" s="1"/>
      <c r="EQQ90" s="1"/>
      <c r="EQR90" s="1"/>
      <c r="EQS90" s="1"/>
      <c r="EQT90" s="1"/>
      <c r="EQU90" s="1"/>
      <c r="EQV90" s="1"/>
      <c r="EQW90" s="1"/>
      <c r="EQX90" s="1"/>
      <c r="EQY90" s="1"/>
      <c r="EQZ90" s="1"/>
      <c r="ERA90" s="1"/>
      <c r="ERB90" s="1"/>
      <c r="ERC90" s="1"/>
      <c r="ERD90" s="1"/>
      <c r="ERE90" s="1"/>
      <c r="ERF90" s="1"/>
      <c r="ERG90" s="1"/>
      <c r="ERH90" s="1"/>
      <c r="ERI90" s="1"/>
      <c r="ERJ90" s="1"/>
      <c r="ERK90" s="1"/>
      <c r="ERL90" s="1"/>
      <c r="ERM90" s="1"/>
      <c r="ERN90" s="1"/>
      <c r="ERO90" s="1"/>
      <c r="ERP90" s="1"/>
      <c r="ERQ90" s="1"/>
      <c r="ERR90" s="1"/>
      <c r="ERS90" s="1"/>
      <c r="ERT90" s="1"/>
      <c r="ERU90" s="1"/>
      <c r="ERV90" s="1"/>
      <c r="ERW90" s="1"/>
      <c r="ERX90" s="1"/>
      <c r="ERY90" s="1"/>
      <c r="ERZ90" s="1"/>
      <c r="ESA90" s="1"/>
      <c r="ESB90" s="1"/>
      <c r="ESC90" s="1"/>
      <c r="ESD90" s="1"/>
      <c r="ESE90" s="1"/>
      <c r="ESF90" s="1"/>
      <c r="ESG90" s="1"/>
      <c r="ESH90" s="1"/>
      <c r="ESI90" s="1"/>
      <c r="ESJ90" s="1"/>
      <c r="ESK90" s="1"/>
      <c r="ESL90" s="1"/>
      <c r="ESM90" s="1"/>
      <c r="ESN90" s="1"/>
      <c r="ESO90" s="1"/>
      <c r="ESP90" s="1"/>
      <c r="ESQ90" s="1"/>
      <c r="ESR90" s="1"/>
      <c r="ESS90" s="1"/>
      <c r="EST90" s="1"/>
      <c r="ESU90" s="1"/>
      <c r="ESV90" s="1"/>
      <c r="ESW90" s="1"/>
      <c r="ESX90" s="1"/>
      <c r="ESY90" s="1"/>
      <c r="ESZ90" s="1"/>
      <c r="ETA90" s="1"/>
      <c r="ETB90" s="1"/>
      <c r="ETC90" s="1"/>
      <c r="ETD90" s="1"/>
      <c r="ETE90" s="1"/>
      <c r="ETF90" s="1"/>
      <c r="ETG90" s="1"/>
      <c r="ETH90" s="1"/>
      <c r="ETI90" s="1"/>
      <c r="ETJ90" s="1"/>
      <c r="ETK90" s="1"/>
      <c r="ETL90" s="1"/>
      <c r="ETM90" s="1"/>
      <c r="ETN90" s="1"/>
      <c r="ETO90" s="1"/>
      <c r="ETP90" s="1"/>
      <c r="ETQ90" s="1"/>
      <c r="ETR90" s="1"/>
      <c r="ETS90" s="1"/>
      <c r="ETT90" s="1"/>
      <c r="ETU90" s="1"/>
      <c r="ETV90" s="1"/>
      <c r="ETW90" s="1"/>
      <c r="ETX90" s="1"/>
      <c r="ETY90" s="1"/>
      <c r="ETZ90" s="1"/>
      <c r="EUA90" s="1"/>
      <c r="EUB90" s="1"/>
      <c r="EUC90" s="1"/>
      <c r="EUD90" s="1"/>
      <c r="EUE90" s="1"/>
      <c r="EUF90" s="1"/>
      <c r="EUG90" s="1"/>
      <c r="EUH90" s="1"/>
      <c r="EUI90" s="1"/>
      <c r="EUJ90" s="1"/>
      <c r="EUK90" s="1"/>
      <c r="EUL90" s="1"/>
      <c r="EUM90" s="1"/>
      <c r="EUN90" s="1"/>
      <c r="EUO90" s="1"/>
      <c r="EUP90" s="1"/>
      <c r="EUQ90" s="1"/>
      <c r="EUR90" s="1"/>
      <c r="EUS90" s="1"/>
      <c r="EUT90" s="1"/>
      <c r="EUU90" s="1"/>
      <c r="EUV90" s="1"/>
      <c r="EUW90" s="1"/>
      <c r="EUX90" s="1"/>
      <c r="EUY90" s="1"/>
      <c r="EUZ90" s="1"/>
      <c r="EVA90" s="1"/>
      <c r="EVB90" s="1"/>
      <c r="EVC90" s="1"/>
      <c r="EVD90" s="1"/>
      <c r="EVE90" s="1"/>
      <c r="EVF90" s="1"/>
      <c r="EVG90" s="1"/>
      <c r="EVH90" s="1"/>
      <c r="EVI90" s="1"/>
      <c r="EVJ90" s="1"/>
      <c r="EVK90" s="1"/>
      <c r="EVL90" s="1"/>
      <c r="EVM90" s="1"/>
      <c r="EVN90" s="1"/>
      <c r="EVO90" s="1"/>
      <c r="EVP90" s="1"/>
      <c r="EVQ90" s="1"/>
      <c r="EVR90" s="1"/>
      <c r="EVS90" s="1"/>
      <c r="EVT90" s="1"/>
      <c r="EVU90" s="1"/>
      <c r="EVV90" s="1"/>
      <c r="EVW90" s="1"/>
      <c r="EVX90" s="1"/>
      <c r="EVY90" s="1"/>
      <c r="EVZ90" s="1"/>
      <c r="EWA90" s="1"/>
      <c r="EWB90" s="1"/>
      <c r="EWC90" s="1"/>
      <c r="EWD90" s="1"/>
      <c r="EWE90" s="1"/>
      <c r="EWF90" s="1"/>
      <c r="EWG90" s="1"/>
      <c r="EWH90" s="1"/>
      <c r="EWI90" s="1"/>
      <c r="EWJ90" s="1"/>
      <c r="EWK90" s="1"/>
      <c r="EWL90" s="1"/>
      <c r="EWM90" s="1"/>
      <c r="EWN90" s="1"/>
      <c r="EWO90" s="1"/>
      <c r="EWP90" s="1"/>
      <c r="EWQ90" s="1"/>
      <c r="EWR90" s="1"/>
      <c r="EWS90" s="1"/>
      <c r="EWT90" s="1"/>
      <c r="EWU90" s="1"/>
      <c r="EWV90" s="1"/>
      <c r="EWW90" s="1"/>
      <c r="EWX90" s="1"/>
      <c r="EWY90" s="1"/>
      <c r="EWZ90" s="1"/>
      <c r="EXA90" s="1"/>
      <c r="EXB90" s="1"/>
      <c r="EXC90" s="1"/>
      <c r="EXD90" s="1"/>
      <c r="EXE90" s="1"/>
      <c r="EXF90" s="1"/>
      <c r="EXG90" s="1"/>
      <c r="EXH90" s="1"/>
      <c r="EXI90" s="1"/>
      <c r="EXJ90" s="1"/>
      <c r="EXK90" s="1"/>
      <c r="EXL90" s="1"/>
      <c r="EXM90" s="1"/>
      <c r="EXN90" s="1"/>
      <c r="EXO90" s="1"/>
      <c r="EXP90" s="1"/>
      <c r="EXQ90" s="1"/>
      <c r="EXR90" s="1"/>
      <c r="EXS90" s="1"/>
      <c r="EXT90" s="1"/>
      <c r="EXU90" s="1"/>
      <c r="EXV90" s="1"/>
      <c r="EXW90" s="1"/>
      <c r="EXX90" s="1"/>
      <c r="EXY90" s="1"/>
      <c r="EXZ90" s="1"/>
      <c r="EYA90" s="1"/>
      <c r="EYB90" s="1"/>
      <c r="EYC90" s="1"/>
      <c r="EYD90" s="1"/>
      <c r="EYE90" s="1"/>
      <c r="EYF90" s="1"/>
      <c r="EYG90" s="1"/>
      <c r="EYH90" s="1"/>
      <c r="EYI90" s="1"/>
      <c r="EYJ90" s="1"/>
      <c r="EYK90" s="1"/>
      <c r="EYL90" s="1"/>
      <c r="EYM90" s="1"/>
      <c r="EYN90" s="1"/>
      <c r="EYO90" s="1"/>
      <c r="EYP90" s="1"/>
      <c r="EYQ90" s="1"/>
      <c r="EYR90" s="1"/>
      <c r="EYS90" s="1"/>
      <c r="EYT90" s="1"/>
      <c r="EYU90" s="1"/>
      <c r="EYV90" s="1"/>
      <c r="EYW90" s="1"/>
      <c r="EYX90" s="1"/>
      <c r="EYY90" s="1"/>
      <c r="EYZ90" s="1"/>
      <c r="EZA90" s="1"/>
      <c r="EZB90" s="1"/>
      <c r="EZC90" s="1"/>
      <c r="EZD90" s="1"/>
      <c r="EZE90" s="1"/>
      <c r="EZF90" s="1"/>
      <c r="EZG90" s="1"/>
      <c r="EZH90" s="1"/>
      <c r="EZI90" s="1"/>
      <c r="EZJ90" s="1"/>
      <c r="EZK90" s="1"/>
      <c r="EZL90" s="1"/>
      <c r="EZM90" s="1"/>
      <c r="EZN90" s="1"/>
      <c r="EZO90" s="1"/>
      <c r="EZP90" s="1"/>
      <c r="EZQ90" s="1"/>
      <c r="EZR90" s="1"/>
      <c r="EZS90" s="1"/>
      <c r="EZT90" s="1"/>
      <c r="EZU90" s="1"/>
      <c r="EZV90" s="1"/>
      <c r="EZW90" s="1"/>
      <c r="EZX90" s="1"/>
      <c r="EZY90" s="1"/>
      <c r="EZZ90" s="1"/>
      <c r="FAA90" s="1"/>
      <c r="FAB90" s="1"/>
      <c r="FAC90" s="1"/>
      <c r="FAD90" s="1"/>
      <c r="FAE90" s="1"/>
      <c r="FAF90" s="1"/>
      <c r="FAG90" s="1"/>
      <c r="FAH90" s="1"/>
      <c r="FAI90" s="1"/>
      <c r="FAJ90" s="1"/>
      <c r="FAK90" s="1"/>
      <c r="FAL90" s="1"/>
      <c r="FAM90" s="1"/>
      <c r="FAN90" s="1"/>
      <c r="FAO90" s="1"/>
      <c r="FAP90" s="1"/>
      <c r="FAQ90" s="1"/>
      <c r="FAR90" s="1"/>
      <c r="FAS90" s="1"/>
      <c r="FAT90" s="1"/>
      <c r="FAU90" s="1"/>
      <c r="FAV90" s="1"/>
      <c r="FAW90" s="1"/>
      <c r="FAX90" s="1"/>
      <c r="FAY90" s="1"/>
      <c r="FAZ90" s="1"/>
      <c r="FBA90" s="1"/>
      <c r="FBB90" s="1"/>
      <c r="FBC90" s="1"/>
      <c r="FBD90" s="1"/>
      <c r="FBE90" s="1"/>
      <c r="FBF90" s="1"/>
      <c r="FBG90" s="1"/>
      <c r="FBH90" s="1"/>
      <c r="FBI90" s="1"/>
      <c r="FBJ90" s="1"/>
      <c r="FBK90" s="1"/>
      <c r="FBL90" s="1"/>
      <c r="FBM90" s="1"/>
      <c r="FBN90" s="1"/>
      <c r="FBO90" s="1"/>
      <c r="FBP90" s="1"/>
      <c r="FBQ90" s="1"/>
      <c r="FBR90" s="1"/>
      <c r="FBS90" s="1"/>
      <c r="FBT90" s="1"/>
      <c r="FBU90" s="1"/>
      <c r="FBV90" s="1"/>
      <c r="FBW90" s="1"/>
      <c r="FBX90" s="1"/>
      <c r="FBY90" s="1"/>
      <c r="FBZ90" s="1"/>
      <c r="FCA90" s="1"/>
      <c r="FCB90" s="1"/>
      <c r="FCC90" s="1"/>
      <c r="FCD90" s="1"/>
      <c r="FCE90" s="1"/>
      <c r="FCF90" s="1"/>
      <c r="FCG90" s="1"/>
      <c r="FCH90" s="1"/>
      <c r="FCI90" s="1"/>
      <c r="FCJ90" s="1"/>
      <c r="FCK90" s="1"/>
      <c r="FCL90" s="1"/>
      <c r="FCM90" s="1"/>
      <c r="FCN90" s="1"/>
      <c r="FCO90" s="1"/>
      <c r="FCP90" s="1"/>
      <c r="FCQ90" s="1"/>
      <c r="FCR90" s="1"/>
      <c r="FCS90" s="1"/>
      <c r="FCT90" s="1"/>
      <c r="FCU90" s="1"/>
      <c r="FCV90" s="1"/>
      <c r="FCW90" s="1"/>
      <c r="FCX90" s="1"/>
      <c r="FCY90" s="1"/>
      <c r="FCZ90" s="1"/>
      <c r="FDA90" s="1"/>
      <c r="FDB90" s="1"/>
      <c r="FDC90" s="1"/>
      <c r="FDD90" s="1"/>
      <c r="FDE90" s="1"/>
      <c r="FDF90" s="1"/>
      <c r="FDG90" s="1"/>
      <c r="FDH90" s="1"/>
      <c r="FDI90" s="1"/>
      <c r="FDJ90" s="1"/>
      <c r="FDK90" s="1"/>
      <c r="FDL90" s="1"/>
      <c r="FDM90" s="1"/>
      <c r="FDN90" s="1"/>
      <c r="FDO90" s="1"/>
      <c r="FDP90" s="1"/>
      <c r="FDQ90" s="1"/>
      <c r="FDR90" s="1"/>
      <c r="FDS90" s="1"/>
      <c r="FDT90" s="1"/>
      <c r="FDU90" s="1"/>
      <c r="FDV90" s="1"/>
      <c r="FDW90" s="1"/>
      <c r="FDX90" s="1"/>
      <c r="FDY90" s="1"/>
      <c r="FDZ90" s="1"/>
      <c r="FEA90" s="1"/>
      <c r="FEB90" s="1"/>
      <c r="FEC90" s="1"/>
      <c r="FED90" s="1"/>
      <c r="FEE90" s="1"/>
      <c r="FEF90" s="1"/>
      <c r="FEG90" s="1"/>
      <c r="FEH90" s="1"/>
      <c r="FEI90" s="1"/>
      <c r="FEJ90" s="1"/>
      <c r="FEK90" s="1"/>
      <c r="FEL90" s="1"/>
      <c r="FEM90" s="1"/>
      <c r="FEN90" s="1"/>
      <c r="FEO90" s="1"/>
      <c r="FEP90" s="1"/>
      <c r="FEQ90" s="1"/>
      <c r="FER90" s="1"/>
      <c r="FES90" s="1"/>
      <c r="FET90" s="1"/>
      <c r="FEU90" s="1"/>
      <c r="FEV90" s="1"/>
      <c r="FEW90" s="1"/>
      <c r="FEX90" s="1"/>
      <c r="FEY90" s="1"/>
      <c r="FEZ90" s="1"/>
      <c r="FFA90" s="1"/>
      <c r="FFB90" s="1"/>
      <c r="FFC90" s="1"/>
      <c r="FFD90" s="1"/>
      <c r="FFE90" s="1"/>
      <c r="FFF90" s="1"/>
      <c r="FFG90" s="1"/>
      <c r="FFH90" s="1"/>
      <c r="FFI90" s="1"/>
      <c r="FFJ90" s="1"/>
      <c r="FFK90" s="1"/>
      <c r="FFL90" s="1"/>
      <c r="FFM90" s="1"/>
      <c r="FFN90" s="1"/>
      <c r="FFO90" s="1"/>
      <c r="FFP90" s="1"/>
      <c r="FFQ90" s="1"/>
      <c r="FFR90" s="1"/>
      <c r="FFS90" s="1"/>
      <c r="FFT90" s="1"/>
      <c r="FFU90" s="1"/>
      <c r="FFV90" s="1"/>
      <c r="FFW90" s="1"/>
      <c r="FFX90" s="1"/>
      <c r="FFY90" s="1"/>
      <c r="FFZ90" s="1"/>
      <c r="FGA90" s="1"/>
      <c r="FGB90" s="1"/>
      <c r="FGC90" s="1"/>
      <c r="FGD90" s="1"/>
      <c r="FGE90" s="1"/>
      <c r="FGF90" s="1"/>
      <c r="FGG90" s="1"/>
      <c r="FGH90" s="1"/>
      <c r="FGI90" s="1"/>
      <c r="FGJ90" s="1"/>
      <c r="FGK90" s="1"/>
      <c r="FGL90" s="1"/>
      <c r="FGM90" s="1"/>
      <c r="FGN90" s="1"/>
      <c r="FGO90" s="1"/>
      <c r="FGP90" s="1"/>
      <c r="FGQ90" s="1"/>
      <c r="FGR90" s="1"/>
      <c r="FGS90" s="1"/>
      <c r="FGT90" s="1"/>
      <c r="FGU90" s="1"/>
      <c r="FGV90" s="1"/>
      <c r="FGW90" s="1"/>
      <c r="FGX90" s="1"/>
      <c r="FGY90" s="1"/>
      <c r="FGZ90" s="1"/>
      <c r="FHA90" s="1"/>
      <c r="FHB90" s="1"/>
      <c r="FHC90" s="1"/>
      <c r="FHD90" s="1"/>
      <c r="FHE90" s="1"/>
      <c r="FHF90" s="1"/>
      <c r="FHG90" s="1"/>
      <c r="FHH90" s="1"/>
      <c r="FHI90" s="1"/>
      <c r="FHJ90" s="1"/>
      <c r="FHK90" s="1"/>
      <c r="FHL90" s="1"/>
      <c r="FHM90" s="1"/>
      <c r="FHN90" s="1"/>
      <c r="FHO90" s="1"/>
      <c r="FHP90" s="1"/>
      <c r="FHQ90" s="1"/>
      <c r="FHR90" s="1"/>
      <c r="FHS90" s="1"/>
      <c r="FHT90" s="1"/>
      <c r="FHU90" s="1"/>
      <c r="FHV90" s="1"/>
      <c r="FHW90" s="1"/>
      <c r="FHX90" s="1"/>
      <c r="FHY90" s="1"/>
      <c r="FHZ90" s="1"/>
      <c r="FIA90" s="1"/>
      <c r="FIB90" s="1"/>
      <c r="FIC90" s="1"/>
      <c r="FID90" s="1"/>
      <c r="FIE90" s="1"/>
      <c r="FIF90" s="1"/>
      <c r="FIG90" s="1"/>
      <c r="FIH90" s="1"/>
      <c r="FII90" s="1"/>
      <c r="FIJ90" s="1"/>
      <c r="FIK90" s="1"/>
      <c r="FIL90" s="1"/>
      <c r="FIM90" s="1"/>
      <c r="FIN90" s="1"/>
      <c r="FIO90" s="1"/>
      <c r="FIP90" s="1"/>
      <c r="FIQ90" s="1"/>
      <c r="FIR90" s="1"/>
      <c r="FIS90" s="1"/>
      <c r="FIT90" s="1"/>
      <c r="FIU90" s="1"/>
      <c r="FIV90" s="1"/>
      <c r="FIW90" s="1"/>
      <c r="FIX90" s="1"/>
      <c r="FIY90" s="1"/>
      <c r="FIZ90" s="1"/>
      <c r="FJA90" s="1"/>
      <c r="FJB90" s="1"/>
      <c r="FJC90" s="1"/>
      <c r="FJD90" s="1"/>
      <c r="FJE90" s="1"/>
      <c r="FJF90" s="1"/>
      <c r="FJG90" s="1"/>
      <c r="FJH90" s="1"/>
      <c r="FJI90" s="1"/>
      <c r="FJJ90" s="1"/>
      <c r="FJK90" s="1"/>
      <c r="FJL90" s="1"/>
      <c r="FJM90" s="1"/>
      <c r="FJN90" s="1"/>
      <c r="FJO90" s="1"/>
      <c r="FJP90" s="1"/>
      <c r="FJQ90" s="1"/>
      <c r="FJR90" s="1"/>
      <c r="FJS90" s="1"/>
      <c r="FJT90" s="1"/>
      <c r="FJU90" s="1"/>
      <c r="FJV90" s="1"/>
      <c r="FJW90" s="1"/>
      <c r="FJX90" s="1"/>
      <c r="FJY90" s="1"/>
      <c r="FJZ90" s="1"/>
      <c r="FKA90" s="1"/>
      <c r="FKB90" s="1"/>
      <c r="FKC90" s="1"/>
      <c r="FKD90" s="1"/>
      <c r="FKE90" s="1"/>
      <c r="FKF90" s="1"/>
      <c r="FKG90" s="1"/>
      <c r="FKH90" s="1"/>
      <c r="FKI90" s="1"/>
      <c r="FKJ90" s="1"/>
      <c r="FKK90" s="1"/>
      <c r="FKL90" s="1"/>
      <c r="FKM90" s="1"/>
      <c r="FKN90" s="1"/>
      <c r="FKO90" s="1"/>
      <c r="FKP90" s="1"/>
      <c r="FKQ90" s="1"/>
      <c r="FKR90" s="1"/>
      <c r="FKS90" s="1"/>
      <c r="FKT90" s="1"/>
      <c r="FKU90" s="1"/>
      <c r="FKV90" s="1"/>
      <c r="FKW90" s="1"/>
      <c r="FKX90" s="1"/>
      <c r="FKY90" s="1"/>
      <c r="FKZ90" s="1"/>
      <c r="FLA90" s="1"/>
      <c r="FLB90" s="1"/>
      <c r="FLC90" s="1"/>
      <c r="FLD90" s="1"/>
      <c r="FLE90" s="1"/>
      <c r="FLF90" s="1"/>
      <c r="FLG90" s="1"/>
      <c r="FLH90" s="1"/>
      <c r="FLI90" s="1"/>
      <c r="FLJ90" s="1"/>
      <c r="FLK90" s="1"/>
      <c r="FLL90" s="1"/>
      <c r="FLM90" s="1"/>
      <c r="FLN90" s="1"/>
      <c r="FLO90" s="1"/>
      <c r="FLP90" s="1"/>
      <c r="FLQ90" s="1"/>
      <c r="FLR90" s="1"/>
      <c r="FLS90" s="1"/>
      <c r="FLT90" s="1"/>
      <c r="FLU90" s="1"/>
      <c r="FLV90" s="1"/>
      <c r="FLW90" s="1"/>
      <c r="FLX90" s="1"/>
      <c r="FLY90" s="1"/>
      <c r="FLZ90" s="1"/>
      <c r="FMA90" s="1"/>
      <c r="FMB90" s="1"/>
      <c r="FMC90" s="1"/>
      <c r="FMD90" s="1"/>
      <c r="FME90" s="1"/>
      <c r="FMF90" s="1"/>
      <c r="FMG90" s="1"/>
      <c r="FMH90" s="1"/>
      <c r="FMI90" s="1"/>
      <c r="FMJ90" s="1"/>
      <c r="FMK90" s="1"/>
      <c r="FML90" s="1"/>
      <c r="FMM90" s="1"/>
      <c r="FMN90" s="1"/>
      <c r="FMO90" s="1"/>
      <c r="FMP90" s="1"/>
      <c r="FMQ90" s="1"/>
      <c r="FMR90" s="1"/>
      <c r="FMS90" s="1"/>
      <c r="FMT90" s="1"/>
      <c r="FMU90" s="1"/>
      <c r="FMV90" s="1"/>
      <c r="FMW90" s="1"/>
      <c r="FMX90" s="1"/>
      <c r="FMY90" s="1"/>
      <c r="FMZ90" s="1"/>
      <c r="FNA90" s="1"/>
      <c r="FNB90" s="1"/>
      <c r="FNC90" s="1"/>
      <c r="FND90" s="1"/>
      <c r="FNE90" s="1"/>
      <c r="FNF90" s="1"/>
      <c r="FNG90" s="1"/>
      <c r="FNH90" s="1"/>
      <c r="FNI90" s="1"/>
      <c r="FNJ90" s="1"/>
      <c r="FNK90" s="1"/>
      <c r="FNL90" s="1"/>
      <c r="FNM90" s="1"/>
      <c r="FNN90" s="1"/>
      <c r="FNO90" s="1"/>
      <c r="FNP90" s="1"/>
      <c r="FNQ90" s="1"/>
      <c r="FNR90" s="1"/>
      <c r="FNS90" s="1"/>
      <c r="FNT90" s="1"/>
      <c r="FNU90" s="1"/>
      <c r="FNV90" s="1"/>
      <c r="FNW90" s="1"/>
      <c r="FNX90" s="1"/>
      <c r="FNY90" s="1"/>
      <c r="FNZ90" s="1"/>
      <c r="FOA90" s="1"/>
      <c r="FOB90" s="1"/>
      <c r="FOC90" s="1"/>
      <c r="FOD90" s="1"/>
      <c r="FOE90" s="1"/>
      <c r="FOF90" s="1"/>
      <c r="FOG90" s="1"/>
      <c r="FOH90" s="1"/>
      <c r="FOI90" s="1"/>
      <c r="FOJ90" s="1"/>
      <c r="FOK90" s="1"/>
      <c r="FOL90" s="1"/>
      <c r="FOM90" s="1"/>
      <c r="FON90" s="1"/>
      <c r="FOO90" s="1"/>
      <c r="FOP90" s="1"/>
      <c r="FOQ90" s="1"/>
      <c r="FOR90" s="1"/>
      <c r="FOS90" s="1"/>
      <c r="FOT90" s="1"/>
      <c r="FOU90" s="1"/>
      <c r="FOV90" s="1"/>
      <c r="FOW90" s="1"/>
      <c r="FOX90" s="1"/>
      <c r="FOY90" s="1"/>
      <c r="FOZ90" s="1"/>
      <c r="FPA90" s="1"/>
      <c r="FPB90" s="1"/>
      <c r="FPC90" s="1"/>
      <c r="FPD90" s="1"/>
      <c r="FPE90" s="1"/>
      <c r="FPF90" s="1"/>
      <c r="FPG90" s="1"/>
      <c r="FPH90" s="1"/>
      <c r="FPI90" s="1"/>
      <c r="FPJ90" s="1"/>
      <c r="FPK90" s="1"/>
      <c r="FPL90" s="1"/>
      <c r="FPM90" s="1"/>
      <c r="FPN90" s="1"/>
      <c r="FPO90" s="1"/>
      <c r="FPP90" s="1"/>
      <c r="FPQ90" s="1"/>
      <c r="FPR90" s="1"/>
      <c r="FPS90" s="1"/>
      <c r="FPT90" s="1"/>
      <c r="FPU90" s="1"/>
      <c r="FPV90" s="1"/>
      <c r="FPW90" s="1"/>
      <c r="FPX90" s="1"/>
      <c r="FPY90" s="1"/>
      <c r="FPZ90" s="1"/>
      <c r="FQA90" s="1"/>
      <c r="FQB90" s="1"/>
      <c r="FQC90" s="1"/>
      <c r="FQD90" s="1"/>
      <c r="FQE90" s="1"/>
      <c r="FQF90" s="1"/>
      <c r="FQG90" s="1"/>
      <c r="FQH90" s="1"/>
      <c r="FQI90" s="1"/>
      <c r="FQJ90" s="1"/>
      <c r="FQK90" s="1"/>
      <c r="FQL90" s="1"/>
      <c r="FQM90" s="1"/>
      <c r="FQN90" s="1"/>
      <c r="FQO90" s="1"/>
      <c r="FQP90" s="1"/>
      <c r="FQQ90" s="1"/>
      <c r="FQR90" s="1"/>
      <c r="FQS90" s="1"/>
      <c r="FQT90" s="1"/>
      <c r="FQU90" s="1"/>
      <c r="FQV90" s="1"/>
      <c r="FQW90" s="1"/>
      <c r="FQX90" s="1"/>
      <c r="FQY90" s="1"/>
      <c r="FQZ90" s="1"/>
      <c r="FRA90" s="1"/>
      <c r="FRB90" s="1"/>
      <c r="FRC90" s="1"/>
      <c r="FRD90" s="1"/>
      <c r="FRE90" s="1"/>
      <c r="FRF90" s="1"/>
      <c r="FRG90" s="1"/>
      <c r="FRH90" s="1"/>
      <c r="FRI90" s="1"/>
      <c r="FRJ90" s="1"/>
      <c r="FRK90" s="1"/>
      <c r="FRL90" s="1"/>
      <c r="FRM90" s="1"/>
      <c r="FRN90" s="1"/>
      <c r="FRO90" s="1"/>
      <c r="FRP90" s="1"/>
      <c r="FRQ90" s="1"/>
      <c r="FRR90" s="1"/>
      <c r="FRS90" s="1"/>
      <c r="FRT90" s="1"/>
      <c r="FRU90" s="1"/>
      <c r="FRV90" s="1"/>
      <c r="FRW90" s="1"/>
      <c r="FRX90" s="1"/>
      <c r="FRY90" s="1"/>
      <c r="FRZ90" s="1"/>
      <c r="FSA90" s="1"/>
      <c r="FSB90" s="1"/>
      <c r="FSC90" s="1"/>
      <c r="FSD90" s="1"/>
      <c r="FSE90" s="1"/>
      <c r="FSF90" s="1"/>
      <c r="FSG90" s="1"/>
      <c r="FSH90" s="1"/>
      <c r="FSI90" s="1"/>
      <c r="FSJ90" s="1"/>
      <c r="FSK90" s="1"/>
      <c r="FSL90" s="1"/>
      <c r="FSM90" s="1"/>
      <c r="FSN90" s="1"/>
      <c r="FSO90" s="1"/>
      <c r="FSP90" s="1"/>
      <c r="FSQ90" s="1"/>
      <c r="FSR90" s="1"/>
      <c r="FSS90" s="1"/>
      <c r="FST90" s="1"/>
      <c r="FSU90" s="1"/>
      <c r="FSV90" s="1"/>
      <c r="FSW90" s="1"/>
      <c r="FSX90" s="1"/>
      <c r="FSY90" s="1"/>
      <c r="FSZ90" s="1"/>
      <c r="FTA90" s="1"/>
      <c r="FTB90" s="1"/>
      <c r="FTC90" s="1"/>
      <c r="FTD90" s="1"/>
      <c r="FTE90" s="1"/>
      <c r="FTF90" s="1"/>
      <c r="FTG90" s="1"/>
      <c r="FTH90" s="1"/>
      <c r="FTI90" s="1"/>
      <c r="FTJ90" s="1"/>
      <c r="FTK90" s="1"/>
      <c r="FTL90" s="1"/>
      <c r="FTM90" s="1"/>
      <c r="FTN90" s="1"/>
      <c r="FTO90" s="1"/>
      <c r="FTP90" s="1"/>
      <c r="FTQ90" s="1"/>
      <c r="FTR90" s="1"/>
      <c r="FTS90" s="1"/>
      <c r="FTT90" s="1"/>
      <c r="FTU90" s="1"/>
      <c r="FTV90" s="1"/>
      <c r="FTW90" s="1"/>
      <c r="FTX90" s="1"/>
      <c r="FTY90" s="1"/>
      <c r="FTZ90" s="1"/>
      <c r="FUA90" s="1"/>
      <c r="FUB90" s="1"/>
      <c r="FUC90" s="1"/>
      <c r="FUD90" s="1"/>
      <c r="FUE90" s="1"/>
      <c r="FUF90" s="1"/>
      <c r="FUG90" s="1"/>
      <c r="FUH90" s="1"/>
      <c r="FUI90" s="1"/>
      <c r="FUJ90" s="1"/>
      <c r="FUK90" s="1"/>
      <c r="FUL90" s="1"/>
      <c r="FUM90" s="1"/>
      <c r="FUN90" s="1"/>
      <c r="FUO90" s="1"/>
      <c r="FUP90" s="1"/>
      <c r="FUQ90" s="1"/>
      <c r="FUR90" s="1"/>
      <c r="FUS90" s="1"/>
      <c r="FUT90" s="1"/>
      <c r="FUU90" s="1"/>
      <c r="FUV90" s="1"/>
      <c r="FUW90" s="1"/>
      <c r="FUX90" s="1"/>
      <c r="FUY90" s="1"/>
      <c r="FUZ90" s="1"/>
      <c r="FVA90" s="1"/>
      <c r="FVB90" s="1"/>
      <c r="FVC90" s="1"/>
      <c r="FVD90" s="1"/>
      <c r="FVE90" s="1"/>
      <c r="FVF90" s="1"/>
      <c r="FVG90" s="1"/>
      <c r="FVH90" s="1"/>
      <c r="FVI90" s="1"/>
      <c r="FVJ90" s="1"/>
      <c r="FVK90" s="1"/>
      <c r="FVL90" s="1"/>
      <c r="FVM90" s="1"/>
      <c r="FVN90" s="1"/>
      <c r="FVO90" s="1"/>
      <c r="FVP90" s="1"/>
      <c r="FVQ90" s="1"/>
      <c r="FVR90" s="1"/>
      <c r="FVS90" s="1"/>
      <c r="FVT90" s="1"/>
      <c r="FVU90" s="1"/>
      <c r="FVV90" s="1"/>
      <c r="FVW90" s="1"/>
      <c r="FVX90" s="1"/>
      <c r="FVY90" s="1"/>
      <c r="FVZ90" s="1"/>
      <c r="FWA90" s="1"/>
      <c r="FWB90" s="1"/>
      <c r="FWC90" s="1"/>
      <c r="FWD90" s="1"/>
      <c r="FWE90" s="1"/>
      <c r="FWF90" s="1"/>
      <c r="FWG90" s="1"/>
      <c r="FWH90" s="1"/>
      <c r="FWI90" s="1"/>
      <c r="FWJ90" s="1"/>
      <c r="FWK90" s="1"/>
      <c r="FWL90" s="1"/>
      <c r="FWM90" s="1"/>
      <c r="FWN90" s="1"/>
      <c r="FWO90" s="1"/>
      <c r="FWP90" s="1"/>
      <c r="FWQ90" s="1"/>
      <c r="FWR90" s="1"/>
      <c r="FWS90" s="1"/>
      <c r="FWT90" s="1"/>
      <c r="FWU90" s="1"/>
      <c r="FWV90" s="1"/>
      <c r="FWW90" s="1"/>
      <c r="FWX90" s="1"/>
      <c r="FWY90" s="1"/>
      <c r="FWZ90" s="1"/>
      <c r="FXA90" s="1"/>
      <c r="FXB90" s="1"/>
      <c r="FXC90" s="1"/>
      <c r="FXD90" s="1"/>
      <c r="FXE90" s="1"/>
      <c r="FXF90" s="1"/>
      <c r="FXG90" s="1"/>
      <c r="FXH90" s="1"/>
      <c r="FXI90" s="1"/>
      <c r="FXJ90" s="1"/>
      <c r="FXK90" s="1"/>
      <c r="FXL90" s="1"/>
      <c r="FXM90" s="1"/>
      <c r="FXN90" s="1"/>
      <c r="FXO90" s="1"/>
      <c r="FXP90" s="1"/>
      <c r="FXQ90" s="1"/>
      <c r="FXR90" s="1"/>
      <c r="FXS90" s="1"/>
      <c r="FXT90" s="1"/>
      <c r="FXU90" s="1"/>
      <c r="FXV90" s="1"/>
      <c r="FXW90" s="1"/>
      <c r="FXX90" s="1"/>
      <c r="FXY90" s="1"/>
      <c r="FXZ90" s="1"/>
      <c r="FYA90" s="1"/>
      <c r="FYB90" s="1"/>
      <c r="FYC90" s="1"/>
      <c r="FYD90" s="1"/>
      <c r="FYE90" s="1"/>
      <c r="FYF90" s="1"/>
      <c r="FYG90" s="1"/>
      <c r="FYH90" s="1"/>
      <c r="FYI90" s="1"/>
      <c r="FYJ90" s="1"/>
      <c r="FYK90" s="1"/>
      <c r="FYL90" s="1"/>
      <c r="FYM90" s="1"/>
      <c r="FYN90" s="1"/>
      <c r="FYO90" s="1"/>
      <c r="FYP90" s="1"/>
      <c r="FYQ90" s="1"/>
      <c r="FYR90" s="1"/>
      <c r="FYS90" s="1"/>
      <c r="FYT90" s="1"/>
      <c r="FYU90" s="1"/>
      <c r="FYV90" s="1"/>
      <c r="FYW90" s="1"/>
      <c r="FYX90" s="1"/>
      <c r="FYY90" s="1"/>
      <c r="FYZ90" s="1"/>
      <c r="FZA90" s="1"/>
      <c r="FZB90" s="1"/>
      <c r="FZC90" s="1"/>
      <c r="FZD90" s="1"/>
      <c r="FZE90" s="1"/>
      <c r="FZF90" s="1"/>
      <c r="FZG90" s="1"/>
      <c r="FZH90" s="1"/>
      <c r="FZI90" s="1"/>
      <c r="FZJ90" s="1"/>
      <c r="FZK90" s="1"/>
      <c r="FZL90" s="1"/>
      <c r="FZM90" s="1"/>
      <c r="FZN90" s="1"/>
      <c r="FZO90" s="1"/>
      <c r="FZP90" s="1"/>
      <c r="FZQ90" s="1"/>
      <c r="FZR90" s="1"/>
      <c r="FZS90" s="1"/>
      <c r="FZT90" s="1"/>
      <c r="FZU90" s="1"/>
      <c r="FZV90" s="1"/>
      <c r="FZW90" s="1"/>
      <c r="FZX90" s="1"/>
      <c r="FZY90" s="1"/>
      <c r="FZZ90" s="1"/>
      <c r="GAA90" s="1"/>
      <c r="GAB90" s="1"/>
      <c r="GAC90" s="1"/>
      <c r="GAD90" s="1"/>
      <c r="GAE90" s="1"/>
      <c r="GAF90" s="1"/>
      <c r="GAG90" s="1"/>
      <c r="GAH90" s="1"/>
      <c r="GAI90" s="1"/>
      <c r="GAJ90" s="1"/>
      <c r="GAK90" s="1"/>
      <c r="GAL90" s="1"/>
      <c r="GAM90" s="1"/>
      <c r="GAN90" s="1"/>
      <c r="GAO90" s="1"/>
      <c r="GAP90" s="1"/>
      <c r="GAQ90" s="1"/>
      <c r="GAR90" s="1"/>
      <c r="GAS90" s="1"/>
      <c r="GAT90" s="1"/>
      <c r="GAU90" s="1"/>
      <c r="GAV90" s="1"/>
      <c r="GAW90" s="1"/>
      <c r="GAX90" s="1"/>
      <c r="GAY90" s="1"/>
      <c r="GAZ90" s="1"/>
      <c r="GBA90" s="1"/>
      <c r="GBB90" s="1"/>
      <c r="GBC90" s="1"/>
      <c r="GBD90" s="1"/>
      <c r="GBE90" s="1"/>
      <c r="GBF90" s="1"/>
      <c r="GBG90" s="1"/>
      <c r="GBH90" s="1"/>
      <c r="GBI90" s="1"/>
      <c r="GBJ90" s="1"/>
      <c r="GBK90" s="1"/>
      <c r="GBL90" s="1"/>
      <c r="GBM90" s="1"/>
      <c r="GBN90" s="1"/>
      <c r="GBO90" s="1"/>
      <c r="GBP90" s="1"/>
      <c r="GBQ90" s="1"/>
      <c r="GBR90" s="1"/>
      <c r="GBS90" s="1"/>
      <c r="GBT90" s="1"/>
      <c r="GBU90" s="1"/>
      <c r="GBV90" s="1"/>
      <c r="GBW90" s="1"/>
      <c r="GBX90" s="1"/>
      <c r="GBY90" s="1"/>
      <c r="GBZ90" s="1"/>
      <c r="GCA90" s="1"/>
      <c r="GCB90" s="1"/>
      <c r="GCC90" s="1"/>
      <c r="GCD90" s="1"/>
      <c r="GCE90" s="1"/>
      <c r="GCF90" s="1"/>
      <c r="GCG90" s="1"/>
      <c r="GCH90" s="1"/>
      <c r="GCI90" s="1"/>
      <c r="GCJ90" s="1"/>
      <c r="GCK90" s="1"/>
      <c r="GCL90" s="1"/>
      <c r="GCM90" s="1"/>
      <c r="GCN90" s="1"/>
      <c r="GCO90" s="1"/>
      <c r="GCP90" s="1"/>
      <c r="GCQ90" s="1"/>
      <c r="GCR90" s="1"/>
      <c r="GCS90" s="1"/>
      <c r="GCT90" s="1"/>
      <c r="GCU90" s="1"/>
      <c r="GCV90" s="1"/>
      <c r="GCW90" s="1"/>
      <c r="GCX90" s="1"/>
      <c r="GCY90" s="1"/>
      <c r="GCZ90" s="1"/>
      <c r="GDA90" s="1"/>
      <c r="GDB90" s="1"/>
      <c r="GDC90" s="1"/>
      <c r="GDD90" s="1"/>
      <c r="GDE90" s="1"/>
      <c r="GDF90" s="1"/>
      <c r="GDG90" s="1"/>
      <c r="GDH90" s="1"/>
      <c r="GDI90" s="1"/>
      <c r="GDJ90" s="1"/>
      <c r="GDK90" s="1"/>
      <c r="GDL90" s="1"/>
      <c r="GDM90" s="1"/>
      <c r="GDN90" s="1"/>
      <c r="GDO90" s="1"/>
      <c r="GDP90" s="1"/>
      <c r="GDQ90" s="1"/>
      <c r="GDR90" s="1"/>
      <c r="GDS90" s="1"/>
      <c r="GDT90" s="1"/>
      <c r="GDU90" s="1"/>
      <c r="GDV90" s="1"/>
      <c r="GDW90" s="1"/>
      <c r="GDX90" s="1"/>
      <c r="GDY90" s="1"/>
      <c r="GDZ90" s="1"/>
      <c r="GEA90" s="1"/>
      <c r="GEB90" s="1"/>
      <c r="GEC90" s="1"/>
      <c r="GED90" s="1"/>
      <c r="GEE90" s="1"/>
      <c r="GEF90" s="1"/>
      <c r="GEG90" s="1"/>
      <c r="GEH90" s="1"/>
      <c r="GEI90" s="1"/>
      <c r="GEJ90" s="1"/>
      <c r="GEK90" s="1"/>
      <c r="GEL90" s="1"/>
      <c r="GEM90" s="1"/>
      <c r="GEN90" s="1"/>
      <c r="GEO90" s="1"/>
      <c r="GEP90" s="1"/>
      <c r="GEQ90" s="1"/>
      <c r="GER90" s="1"/>
      <c r="GES90" s="1"/>
      <c r="GET90" s="1"/>
      <c r="GEU90" s="1"/>
      <c r="GEV90" s="1"/>
      <c r="GEW90" s="1"/>
      <c r="GEX90" s="1"/>
      <c r="GEY90" s="1"/>
      <c r="GEZ90" s="1"/>
      <c r="GFA90" s="1"/>
      <c r="GFB90" s="1"/>
      <c r="GFC90" s="1"/>
      <c r="GFD90" s="1"/>
      <c r="GFE90" s="1"/>
      <c r="GFF90" s="1"/>
      <c r="GFG90" s="1"/>
      <c r="GFH90" s="1"/>
      <c r="GFI90" s="1"/>
      <c r="GFJ90" s="1"/>
      <c r="GFK90" s="1"/>
      <c r="GFL90" s="1"/>
      <c r="GFM90" s="1"/>
      <c r="GFN90" s="1"/>
      <c r="GFO90" s="1"/>
      <c r="GFP90" s="1"/>
      <c r="GFQ90" s="1"/>
      <c r="GFR90" s="1"/>
      <c r="GFS90" s="1"/>
      <c r="GFT90" s="1"/>
      <c r="GFU90" s="1"/>
      <c r="GFV90" s="1"/>
      <c r="GFW90" s="1"/>
      <c r="GFX90" s="1"/>
      <c r="GFY90" s="1"/>
      <c r="GFZ90" s="1"/>
      <c r="GGA90" s="1"/>
      <c r="GGB90" s="1"/>
      <c r="GGC90" s="1"/>
      <c r="GGD90" s="1"/>
      <c r="GGE90" s="1"/>
      <c r="GGF90" s="1"/>
      <c r="GGG90" s="1"/>
      <c r="GGH90" s="1"/>
      <c r="GGI90" s="1"/>
      <c r="GGJ90" s="1"/>
      <c r="GGK90" s="1"/>
      <c r="GGL90" s="1"/>
      <c r="GGM90" s="1"/>
      <c r="GGN90" s="1"/>
      <c r="GGO90" s="1"/>
      <c r="GGP90" s="1"/>
      <c r="GGQ90" s="1"/>
      <c r="GGR90" s="1"/>
      <c r="GGS90" s="1"/>
      <c r="GGT90" s="1"/>
      <c r="GGU90" s="1"/>
      <c r="GGV90" s="1"/>
      <c r="GGW90" s="1"/>
      <c r="GGX90" s="1"/>
      <c r="GGY90" s="1"/>
      <c r="GGZ90" s="1"/>
      <c r="GHA90" s="1"/>
      <c r="GHB90" s="1"/>
      <c r="GHC90" s="1"/>
      <c r="GHD90" s="1"/>
      <c r="GHE90" s="1"/>
      <c r="GHF90" s="1"/>
      <c r="GHG90" s="1"/>
      <c r="GHH90" s="1"/>
      <c r="GHI90" s="1"/>
      <c r="GHJ90" s="1"/>
      <c r="GHK90" s="1"/>
      <c r="GHL90" s="1"/>
      <c r="GHM90" s="1"/>
      <c r="GHN90" s="1"/>
      <c r="GHO90" s="1"/>
      <c r="GHP90" s="1"/>
      <c r="GHQ90" s="1"/>
      <c r="GHR90" s="1"/>
      <c r="GHS90" s="1"/>
      <c r="GHT90" s="1"/>
      <c r="GHU90" s="1"/>
      <c r="GHV90" s="1"/>
      <c r="GHW90" s="1"/>
      <c r="GHX90" s="1"/>
      <c r="GHY90" s="1"/>
      <c r="GHZ90" s="1"/>
      <c r="GIA90" s="1"/>
      <c r="GIB90" s="1"/>
      <c r="GIC90" s="1"/>
      <c r="GID90" s="1"/>
      <c r="GIE90" s="1"/>
      <c r="GIF90" s="1"/>
      <c r="GIG90" s="1"/>
      <c r="GIH90" s="1"/>
      <c r="GII90" s="1"/>
      <c r="GIJ90" s="1"/>
      <c r="GIK90" s="1"/>
      <c r="GIL90" s="1"/>
      <c r="GIM90" s="1"/>
      <c r="GIN90" s="1"/>
      <c r="GIO90" s="1"/>
      <c r="GIP90" s="1"/>
      <c r="GIQ90" s="1"/>
      <c r="GIR90" s="1"/>
      <c r="GIS90" s="1"/>
      <c r="GIT90" s="1"/>
      <c r="GIU90" s="1"/>
      <c r="GIV90" s="1"/>
      <c r="GIW90" s="1"/>
      <c r="GIX90" s="1"/>
      <c r="GIY90" s="1"/>
      <c r="GIZ90" s="1"/>
      <c r="GJA90" s="1"/>
      <c r="GJB90" s="1"/>
      <c r="GJC90" s="1"/>
      <c r="GJD90" s="1"/>
      <c r="GJE90" s="1"/>
      <c r="GJF90" s="1"/>
      <c r="GJG90" s="1"/>
      <c r="GJH90" s="1"/>
      <c r="GJI90" s="1"/>
      <c r="GJJ90" s="1"/>
      <c r="GJK90" s="1"/>
      <c r="GJL90" s="1"/>
      <c r="GJM90" s="1"/>
      <c r="GJN90" s="1"/>
      <c r="GJO90" s="1"/>
      <c r="GJP90" s="1"/>
      <c r="GJQ90" s="1"/>
      <c r="GJR90" s="1"/>
      <c r="GJS90" s="1"/>
      <c r="GJT90" s="1"/>
      <c r="GJU90" s="1"/>
      <c r="GJV90" s="1"/>
      <c r="GJW90" s="1"/>
      <c r="GJX90" s="1"/>
      <c r="GJY90" s="1"/>
      <c r="GJZ90" s="1"/>
      <c r="GKA90" s="1"/>
      <c r="GKB90" s="1"/>
      <c r="GKC90" s="1"/>
      <c r="GKD90" s="1"/>
      <c r="GKE90" s="1"/>
      <c r="GKF90" s="1"/>
      <c r="GKG90" s="1"/>
      <c r="GKH90" s="1"/>
      <c r="GKI90" s="1"/>
      <c r="GKJ90" s="1"/>
      <c r="GKK90" s="1"/>
      <c r="GKL90" s="1"/>
      <c r="GKM90" s="1"/>
      <c r="GKN90" s="1"/>
      <c r="GKO90" s="1"/>
      <c r="GKP90" s="1"/>
      <c r="GKQ90" s="1"/>
      <c r="GKR90" s="1"/>
      <c r="GKS90" s="1"/>
      <c r="GKT90" s="1"/>
      <c r="GKU90" s="1"/>
      <c r="GKV90" s="1"/>
      <c r="GKW90" s="1"/>
      <c r="GKX90" s="1"/>
      <c r="GKY90" s="1"/>
      <c r="GKZ90" s="1"/>
      <c r="GLA90" s="1"/>
      <c r="GLB90" s="1"/>
      <c r="GLC90" s="1"/>
      <c r="GLD90" s="1"/>
      <c r="GLE90" s="1"/>
      <c r="GLF90" s="1"/>
      <c r="GLG90" s="1"/>
      <c r="GLH90" s="1"/>
      <c r="GLI90" s="1"/>
      <c r="GLJ90" s="1"/>
      <c r="GLK90" s="1"/>
      <c r="GLL90" s="1"/>
      <c r="GLM90" s="1"/>
      <c r="GLN90" s="1"/>
      <c r="GLO90" s="1"/>
      <c r="GLP90" s="1"/>
      <c r="GLQ90" s="1"/>
      <c r="GLR90" s="1"/>
      <c r="GLS90" s="1"/>
      <c r="GLT90" s="1"/>
      <c r="GLU90" s="1"/>
      <c r="GLV90" s="1"/>
      <c r="GLW90" s="1"/>
      <c r="GLX90" s="1"/>
      <c r="GLY90" s="1"/>
      <c r="GLZ90" s="1"/>
      <c r="GMA90" s="1"/>
      <c r="GMB90" s="1"/>
      <c r="GMC90" s="1"/>
      <c r="GMD90" s="1"/>
      <c r="GME90" s="1"/>
      <c r="GMF90" s="1"/>
      <c r="GMG90" s="1"/>
      <c r="GMH90" s="1"/>
      <c r="GMI90" s="1"/>
      <c r="GMJ90" s="1"/>
      <c r="GMK90" s="1"/>
      <c r="GML90" s="1"/>
      <c r="GMM90" s="1"/>
      <c r="GMN90" s="1"/>
      <c r="GMO90" s="1"/>
      <c r="GMP90" s="1"/>
      <c r="GMQ90" s="1"/>
      <c r="GMR90" s="1"/>
      <c r="GMS90" s="1"/>
      <c r="GMT90" s="1"/>
      <c r="GMU90" s="1"/>
      <c r="GMV90" s="1"/>
      <c r="GMW90" s="1"/>
      <c r="GMX90" s="1"/>
      <c r="GMY90" s="1"/>
      <c r="GMZ90" s="1"/>
      <c r="GNA90" s="1"/>
      <c r="GNB90" s="1"/>
      <c r="GNC90" s="1"/>
      <c r="GND90" s="1"/>
      <c r="GNE90" s="1"/>
      <c r="GNF90" s="1"/>
      <c r="GNG90" s="1"/>
      <c r="GNH90" s="1"/>
      <c r="GNI90" s="1"/>
      <c r="GNJ90" s="1"/>
      <c r="GNK90" s="1"/>
      <c r="GNL90" s="1"/>
      <c r="GNM90" s="1"/>
      <c r="GNN90" s="1"/>
      <c r="GNO90" s="1"/>
      <c r="GNP90" s="1"/>
      <c r="GNQ90" s="1"/>
      <c r="GNR90" s="1"/>
      <c r="GNS90" s="1"/>
      <c r="GNT90" s="1"/>
      <c r="GNU90" s="1"/>
      <c r="GNV90" s="1"/>
      <c r="GNW90" s="1"/>
      <c r="GNX90" s="1"/>
      <c r="GNY90" s="1"/>
      <c r="GNZ90" s="1"/>
      <c r="GOA90" s="1"/>
      <c r="GOB90" s="1"/>
      <c r="GOC90" s="1"/>
      <c r="GOD90" s="1"/>
      <c r="GOE90" s="1"/>
      <c r="GOF90" s="1"/>
      <c r="GOG90" s="1"/>
      <c r="GOH90" s="1"/>
      <c r="GOI90" s="1"/>
      <c r="GOJ90" s="1"/>
      <c r="GOK90" s="1"/>
      <c r="GOL90" s="1"/>
      <c r="GOM90" s="1"/>
      <c r="GON90" s="1"/>
      <c r="GOO90" s="1"/>
      <c r="GOP90" s="1"/>
      <c r="GOQ90" s="1"/>
      <c r="GOR90" s="1"/>
      <c r="GOS90" s="1"/>
      <c r="GOT90" s="1"/>
      <c r="GOU90" s="1"/>
      <c r="GOV90" s="1"/>
      <c r="GOW90" s="1"/>
      <c r="GOX90" s="1"/>
      <c r="GOY90" s="1"/>
      <c r="GOZ90" s="1"/>
      <c r="GPA90" s="1"/>
      <c r="GPB90" s="1"/>
      <c r="GPC90" s="1"/>
      <c r="GPD90" s="1"/>
      <c r="GPE90" s="1"/>
      <c r="GPF90" s="1"/>
      <c r="GPG90" s="1"/>
      <c r="GPH90" s="1"/>
      <c r="GPI90" s="1"/>
      <c r="GPJ90" s="1"/>
      <c r="GPK90" s="1"/>
      <c r="GPL90" s="1"/>
      <c r="GPM90" s="1"/>
      <c r="GPN90" s="1"/>
      <c r="GPO90" s="1"/>
      <c r="GPP90" s="1"/>
      <c r="GPQ90" s="1"/>
      <c r="GPR90" s="1"/>
      <c r="GPS90" s="1"/>
      <c r="GPT90" s="1"/>
      <c r="GPU90" s="1"/>
      <c r="GPV90" s="1"/>
      <c r="GPW90" s="1"/>
      <c r="GPX90" s="1"/>
      <c r="GPY90" s="1"/>
      <c r="GPZ90" s="1"/>
      <c r="GQA90" s="1"/>
      <c r="GQB90" s="1"/>
      <c r="GQC90" s="1"/>
      <c r="GQD90" s="1"/>
      <c r="GQE90" s="1"/>
      <c r="GQF90" s="1"/>
      <c r="GQG90" s="1"/>
      <c r="GQH90" s="1"/>
      <c r="GQI90" s="1"/>
      <c r="GQJ90" s="1"/>
      <c r="GQK90" s="1"/>
      <c r="GQL90" s="1"/>
      <c r="GQM90" s="1"/>
      <c r="GQN90" s="1"/>
      <c r="GQO90" s="1"/>
      <c r="GQP90" s="1"/>
      <c r="GQQ90" s="1"/>
      <c r="GQR90" s="1"/>
      <c r="GQS90" s="1"/>
      <c r="GQT90" s="1"/>
      <c r="GQU90" s="1"/>
      <c r="GQV90" s="1"/>
      <c r="GQW90" s="1"/>
      <c r="GQX90" s="1"/>
      <c r="GQY90" s="1"/>
      <c r="GQZ90" s="1"/>
      <c r="GRA90" s="1"/>
      <c r="GRB90" s="1"/>
      <c r="GRC90" s="1"/>
      <c r="GRD90" s="1"/>
      <c r="GRE90" s="1"/>
      <c r="GRF90" s="1"/>
      <c r="GRG90" s="1"/>
      <c r="GRH90" s="1"/>
      <c r="GRI90" s="1"/>
      <c r="GRJ90" s="1"/>
      <c r="GRK90" s="1"/>
      <c r="GRL90" s="1"/>
      <c r="GRM90" s="1"/>
      <c r="GRN90" s="1"/>
      <c r="GRO90" s="1"/>
      <c r="GRP90" s="1"/>
      <c r="GRQ90" s="1"/>
      <c r="GRR90" s="1"/>
      <c r="GRS90" s="1"/>
      <c r="GRT90" s="1"/>
      <c r="GRU90" s="1"/>
      <c r="GRV90" s="1"/>
      <c r="GRW90" s="1"/>
      <c r="GRX90" s="1"/>
      <c r="GRY90" s="1"/>
      <c r="GRZ90" s="1"/>
      <c r="GSA90" s="1"/>
      <c r="GSB90" s="1"/>
      <c r="GSC90" s="1"/>
      <c r="GSD90" s="1"/>
      <c r="GSE90" s="1"/>
      <c r="GSF90" s="1"/>
      <c r="GSG90" s="1"/>
      <c r="GSH90" s="1"/>
      <c r="GSI90" s="1"/>
      <c r="GSJ90" s="1"/>
      <c r="GSK90" s="1"/>
      <c r="GSL90" s="1"/>
      <c r="GSM90" s="1"/>
      <c r="GSN90" s="1"/>
      <c r="GSO90" s="1"/>
      <c r="GSP90" s="1"/>
      <c r="GSQ90" s="1"/>
      <c r="GSR90" s="1"/>
      <c r="GSS90" s="1"/>
      <c r="GST90" s="1"/>
      <c r="GSU90" s="1"/>
      <c r="GSV90" s="1"/>
      <c r="GSW90" s="1"/>
      <c r="GSX90" s="1"/>
      <c r="GSY90" s="1"/>
      <c r="GSZ90" s="1"/>
      <c r="GTA90" s="1"/>
      <c r="GTB90" s="1"/>
      <c r="GTC90" s="1"/>
      <c r="GTD90" s="1"/>
      <c r="GTE90" s="1"/>
      <c r="GTF90" s="1"/>
      <c r="GTG90" s="1"/>
      <c r="GTH90" s="1"/>
      <c r="GTI90" s="1"/>
      <c r="GTJ90" s="1"/>
      <c r="GTK90" s="1"/>
      <c r="GTL90" s="1"/>
      <c r="GTM90" s="1"/>
      <c r="GTN90" s="1"/>
      <c r="GTO90" s="1"/>
      <c r="GTP90" s="1"/>
      <c r="GTQ90" s="1"/>
      <c r="GTR90" s="1"/>
      <c r="GTS90" s="1"/>
      <c r="GTT90" s="1"/>
      <c r="GTU90" s="1"/>
      <c r="GTV90" s="1"/>
      <c r="GTW90" s="1"/>
      <c r="GTX90" s="1"/>
      <c r="GTY90" s="1"/>
      <c r="GTZ90" s="1"/>
      <c r="GUA90" s="1"/>
      <c r="GUB90" s="1"/>
      <c r="GUC90" s="1"/>
      <c r="GUD90" s="1"/>
      <c r="GUE90" s="1"/>
      <c r="GUF90" s="1"/>
      <c r="GUG90" s="1"/>
      <c r="GUH90" s="1"/>
      <c r="GUI90" s="1"/>
      <c r="GUJ90" s="1"/>
      <c r="GUK90" s="1"/>
      <c r="GUL90" s="1"/>
      <c r="GUM90" s="1"/>
      <c r="GUN90" s="1"/>
      <c r="GUO90" s="1"/>
      <c r="GUP90" s="1"/>
      <c r="GUQ90" s="1"/>
      <c r="GUR90" s="1"/>
      <c r="GUS90" s="1"/>
      <c r="GUT90" s="1"/>
      <c r="GUU90" s="1"/>
      <c r="GUV90" s="1"/>
      <c r="GUW90" s="1"/>
      <c r="GUX90" s="1"/>
      <c r="GUY90" s="1"/>
      <c r="GUZ90" s="1"/>
      <c r="GVA90" s="1"/>
      <c r="GVB90" s="1"/>
      <c r="GVC90" s="1"/>
      <c r="GVD90" s="1"/>
      <c r="GVE90" s="1"/>
      <c r="GVF90" s="1"/>
      <c r="GVG90" s="1"/>
      <c r="GVH90" s="1"/>
      <c r="GVI90" s="1"/>
      <c r="GVJ90" s="1"/>
      <c r="GVK90" s="1"/>
      <c r="GVL90" s="1"/>
      <c r="GVM90" s="1"/>
      <c r="GVN90" s="1"/>
      <c r="GVO90" s="1"/>
      <c r="GVP90" s="1"/>
      <c r="GVQ90" s="1"/>
      <c r="GVR90" s="1"/>
      <c r="GVS90" s="1"/>
      <c r="GVT90" s="1"/>
      <c r="GVU90" s="1"/>
      <c r="GVV90" s="1"/>
      <c r="GVW90" s="1"/>
      <c r="GVX90" s="1"/>
      <c r="GVY90" s="1"/>
      <c r="GVZ90" s="1"/>
      <c r="GWA90" s="1"/>
      <c r="GWB90" s="1"/>
      <c r="GWC90" s="1"/>
      <c r="GWD90" s="1"/>
      <c r="GWE90" s="1"/>
      <c r="GWF90" s="1"/>
      <c r="GWG90" s="1"/>
      <c r="GWH90" s="1"/>
      <c r="GWI90" s="1"/>
      <c r="GWJ90" s="1"/>
      <c r="GWK90" s="1"/>
      <c r="GWL90" s="1"/>
      <c r="GWM90" s="1"/>
      <c r="GWN90" s="1"/>
      <c r="GWO90" s="1"/>
      <c r="GWP90" s="1"/>
      <c r="GWQ90" s="1"/>
      <c r="GWR90" s="1"/>
      <c r="GWS90" s="1"/>
      <c r="GWT90" s="1"/>
      <c r="GWU90" s="1"/>
      <c r="GWV90" s="1"/>
      <c r="GWW90" s="1"/>
      <c r="GWX90" s="1"/>
      <c r="GWY90" s="1"/>
      <c r="GWZ90" s="1"/>
      <c r="GXA90" s="1"/>
      <c r="GXB90" s="1"/>
      <c r="GXC90" s="1"/>
      <c r="GXD90" s="1"/>
      <c r="GXE90" s="1"/>
      <c r="GXF90" s="1"/>
      <c r="GXG90" s="1"/>
      <c r="GXH90" s="1"/>
      <c r="GXI90" s="1"/>
      <c r="GXJ90" s="1"/>
      <c r="GXK90" s="1"/>
      <c r="GXL90" s="1"/>
      <c r="GXM90" s="1"/>
      <c r="GXN90" s="1"/>
      <c r="GXO90" s="1"/>
      <c r="GXP90" s="1"/>
      <c r="GXQ90" s="1"/>
      <c r="GXR90" s="1"/>
      <c r="GXS90" s="1"/>
      <c r="GXT90" s="1"/>
      <c r="GXU90" s="1"/>
      <c r="GXV90" s="1"/>
      <c r="GXW90" s="1"/>
      <c r="GXX90" s="1"/>
      <c r="GXY90" s="1"/>
      <c r="GXZ90" s="1"/>
      <c r="GYA90" s="1"/>
      <c r="GYB90" s="1"/>
      <c r="GYC90" s="1"/>
      <c r="GYD90" s="1"/>
      <c r="GYE90" s="1"/>
      <c r="GYF90" s="1"/>
      <c r="GYG90" s="1"/>
      <c r="GYH90" s="1"/>
      <c r="GYI90" s="1"/>
      <c r="GYJ90" s="1"/>
      <c r="GYK90" s="1"/>
      <c r="GYL90" s="1"/>
      <c r="GYM90" s="1"/>
      <c r="GYN90" s="1"/>
      <c r="GYO90" s="1"/>
      <c r="GYP90" s="1"/>
      <c r="GYQ90" s="1"/>
      <c r="GYR90" s="1"/>
      <c r="GYS90" s="1"/>
      <c r="GYT90" s="1"/>
      <c r="GYU90" s="1"/>
      <c r="GYV90" s="1"/>
      <c r="GYW90" s="1"/>
      <c r="GYX90" s="1"/>
      <c r="GYY90" s="1"/>
      <c r="GYZ90" s="1"/>
      <c r="GZA90" s="1"/>
      <c r="GZB90" s="1"/>
      <c r="GZC90" s="1"/>
      <c r="GZD90" s="1"/>
      <c r="GZE90" s="1"/>
      <c r="GZF90" s="1"/>
      <c r="GZG90" s="1"/>
      <c r="GZH90" s="1"/>
      <c r="GZI90" s="1"/>
      <c r="GZJ90" s="1"/>
      <c r="GZK90" s="1"/>
      <c r="GZL90" s="1"/>
      <c r="GZM90" s="1"/>
      <c r="GZN90" s="1"/>
      <c r="GZO90" s="1"/>
      <c r="GZP90" s="1"/>
      <c r="GZQ90" s="1"/>
      <c r="GZR90" s="1"/>
      <c r="GZS90" s="1"/>
      <c r="GZT90" s="1"/>
      <c r="GZU90" s="1"/>
      <c r="GZV90" s="1"/>
      <c r="GZW90" s="1"/>
      <c r="GZX90" s="1"/>
      <c r="GZY90" s="1"/>
      <c r="GZZ90" s="1"/>
      <c r="HAA90" s="1"/>
      <c r="HAB90" s="1"/>
      <c r="HAC90" s="1"/>
      <c r="HAD90" s="1"/>
      <c r="HAE90" s="1"/>
      <c r="HAF90" s="1"/>
      <c r="HAG90" s="1"/>
      <c r="HAH90" s="1"/>
      <c r="HAI90" s="1"/>
      <c r="HAJ90" s="1"/>
      <c r="HAK90" s="1"/>
      <c r="HAL90" s="1"/>
      <c r="HAM90" s="1"/>
      <c r="HAN90" s="1"/>
      <c r="HAO90" s="1"/>
      <c r="HAP90" s="1"/>
      <c r="HAQ90" s="1"/>
      <c r="HAR90" s="1"/>
      <c r="HAS90" s="1"/>
      <c r="HAT90" s="1"/>
      <c r="HAU90" s="1"/>
      <c r="HAV90" s="1"/>
      <c r="HAW90" s="1"/>
      <c r="HAX90" s="1"/>
      <c r="HAY90" s="1"/>
      <c r="HAZ90" s="1"/>
      <c r="HBA90" s="1"/>
      <c r="HBB90" s="1"/>
      <c r="HBC90" s="1"/>
      <c r="HBD90" s="1"/>
      <c r="HBE90" s="1"/>
      <c r="HBF90" s="1"/>
      <c r="HBG90" s="1"/>
      <c r="HBH90" s="1"/>
      <c r="HBI90" s="1"/>
      <c r="HBJ90" s="1"/>
      <c r="HBK90" s="1"/>
      <c r="HBL90" s="1"/>
      <c r="HBM90" s="1"/>
      <c r="HBN90" s="1"/>
      <c r="HBO90" s="1"/>
      <c r="HBP90" s="1"/>
      <c r="HBQ90" s="1"/>
      <c r="HBR90" s="1"/>
      <c r="HBS90" s="1"/>
      <c r="HBT90" s="1"/>
      <c r="HBU90" s="1"/>
      <c r="HBV90" s="1"/>
      <c r="HBW90" s="1"/>
      <c r="HBX90" s="1"/>
      <c r="HBY90" s="1"/>
      <c r="HBZ90" s="1"/>
      <c r="HCA90" s="1"/>
      <c r="HCB90" s="1"/>
      <c r="HCC90" s="1"/>
      <c r="HCD90" s="1"/>
      <c r="HCE90" s="1"/>
      <c r="HCF90" s="1"/>
      <c r="HCG90" s="1"/>
      <c r="HCH90" s="1"/>
      <c r="HCI90" s="1"/>
      <c r="HCJ90" s="1"/>
      <c r="HCK90" s="1"/>
      <c r="HCL90" s="1"/>
      <c r="HCM90" s="1"/>
      <c r="HCN90" s="1"/>
      <c r="HCO90" s="1"/>
      <c r="HCP90" s="1"/>
      <c r="HCQ90" s="1"/>
      <c r="HCR90" s="1"/>
      <c r="HCS90" s="1"/>
      <c r="HCT90" s="1"/>
      <c r="HCU90" s="1"/>
      <c r="HCV90" s="1"/>
      <c r="HCW90" s="1"/>
      <c r="HCX90" s="1"/>
      <c r="HCY90" s="1"/>
      <c r="HCZ90" s="1"/>
      <c r="HDA90" s="1"/>
      <c r="HDB90" s="1"/>
      <c r="HDC90" s="1"/>
      <c r="HDD90" s="1"/>
      <c r="HDE90" s="1"/>
      <c r="HDF90" s="1"/>
      <c r="HDG90" s="1"/>
      <c r="HDH90" s="1"/>
      <c r="HDI90" s="1"/>
      <c r="HDJ90" s="1"/>
      <c r="HDK90" s="1"/>
      <c r="HDL90" s="1"/>
      <c r="HDM90" s="1"/>
      <c r="HDN90" s="1"/>
      <c r="HDO90" s="1"/>
      <c r="HDP90" s="1"/>
      <c r="HDQ90" s="1"/>
      <c r="HDR90" s="1"/>
      <c r="HDS90" s="1"/>
      <c r="HDT90" s="1"/>
      <c r="HDU90" s="1"/>
      <c r="HDV90" s="1"/>
      <c r="HDW90" s="1"/>
      <c r="HDX90" s="1"/>
      <c r="HDY90" s="1"/>
      <c r="HDZ90" s="1"/>
      <c r="HEA90" s="1"/>
      <c r="HEB90" s="1"/>
      <c r="HEC90" s="1"/>
      <c r="HED90" s="1"/>
      <c r="HEE90" s="1"/>
      <c r="HEF90" s="1"/>
      <c r="HEG90" s="1"/>
      <c r="HEH90" s="1"/>
      <c r="HEI90" s="1"/>
      <c r="HEJ90" s="1"/>
      <c r="HEK90" s="1"/>
      <c r="HEL90" s="1"/>
      <c r="HEM90" s="1"/>
      <c r="HEN90" s="1"/>
      <c r="HEO90" s="1"/>
      <c r="HEP90" s="1"/>
      <c r="HEQ90" s="1"/>
      <c r="HER90" s="1"/>
      <c r="HES90" s="1"/>
      <c r="HET90" s="1"/>
      <c r="HEU90" s="1"/>
      <c r="HEV90" s="1"/>
      <c r="HEW90" s="1"/>
      <c r="HEX90" s="1"/>
      <c r="HEY90" s="1"/>
      <c r="HEZ90" s="1"/>
      <c r="HFA90" s="1"/>
      <c r="HFB90" s="1"/>
      <c r="HFC90" s="1"/>
      <c r="HFD90" s="1"/>
      <c r="HFE90" s="1"/>
      <c r="HFF90" s="1"/>
      <c r="HFG90" s="1"/>
      <c r="HFH90" s="1"/>
      <c r="HFI90" s="1"/>
      <c r="HFJ90" s="1"/>
      <c r="HFK90" s="1"/>
      <c r="HFL90" s="1"/>
      <c r="HFM90" s="1"/>
      <c r="HFN90" s="1"/>
      <c r="HFO90" s="1"/>
      <c r="HFP90" s="1"/>
      <c r="HFQ90" s="1"/>
      <c r="HFR90" s="1"/>
      <c r="HFS90" s="1"/>
      <c r="HFT90" s="1"/>
      <c r="HFU90" s="1"/>
      <c r="HFV90" s="1"/>
      <c r="HFW90" s="1"/>
      <c r="HFX90" s="1"/>
      <c r="HFY90" s="1"/>
      <c r="HFZ90" s="1"/>
      <c r="HGA90" s="1"/>
      <c r="HGB90" s="1"/>
      <c r="HGC90" s="1"/>
      <c r="HGD90" s="1"/>
      <c r="HGE90" s="1"/>
      <c r="HGF90" s="1"/>
      <c r="HGG90" s="1"/>
      <c r="HGH90" s="1"/>
      <c r="HGI90" s="1"/>
      <c r="HGJ90" s="1"/>
      <c r="HGK90" s="1"/>
      <c r="HGL90" s="1"/>
      <c r="HGM90" s="1"/>
      <c r="HGN90" s="1"/>
      <c r="HGO90" s="1"/>
      <c r="HGP90" s="1"/>
      <c r="HGQ90" s="1"/>
      <c r="HGR90" s="1"/>
      <c r="HGS90" s="1"/>
      <c r="HGT90" s="1"/>
      <c r="HGU90" s="1"/>
      <c r="HGV90" s="1"/>
      <c r="HGW90" s="1"/>
      <c r="HGX90" s="1"/>
      <c r="HGY90" s="1"/>
      <c r="HGZ90" s="1"/>
      <c r="HHA90" s="1"/>
      <c r="HHB90" s="1"/>
      <c r="HHC90" s="1"/>
      <c r="HHD90" s="1"/>
      <c r="HHE90" s="1"/>
      <c r="HHF90" s="1"/>
      <c r="HHG90" s="1"/>
      <c r="HHH90" s="1"/>
      <c r="HHI90" s="1"/>
      <c r="HHJ90" s="1"/>
      <c r="HHK90" s="1"/>
      <c r="HHL90" s="1"/>
      <c r="HHM90" s="1"/>
      <c r="HHN90" s="1"/>
      <c r="HHO90" s="1"/>
      <c r="HHP90" s="1"/>
      <c r="HHQ90" s="1"/>
      <c r="HHR90" s="1"/>
      <c r="HHS90" s="1"/>
      <c r="HHT90" s="1"/>
      <c r="HHU90" s="1"/>
      <c r="HHV90" s="1"/>
      <c r="HHW90" s="1"/>
      <c r="HHX90" s="1"/>
      <c r="HHY90" s="1"/>
      <c r="HHZ90" s="1"/>
      <c r="HIA90" s="1"/>
      <c r="HIB90" s="1"/>
      <c r="HIC90" s="1"/>
      <c r="HID90" s="1"/>
      <c r="HIE90" s="1"/>
      <c r="HIF90" s="1"/>
      <c r="HIG90" s="1"/>
      <c r="HIH90" s="1"/>
      <c r="HII90" s="1"/>
      <c r="HIJ90" s="1"/>
      <c r="HIK90" s="1"/>
      <c r="HIL90" s="1"/>
      <c r="HIM90" s="1"/>
      <c r="HIN90" s="1"/>
      <c r="HIO90" s="1"/>
      <c r="HIP90" s="1"/>
      <c r="HIQ90" s="1"/>
      <c r="HIR90" s="1"/>
      <c r="HIS90" s="1"/>
      <c r="HIT90" s="1"/>
      <c r="HIU90" s="1"/>
      <c r="HIV90" s="1"/>
      <c r="HIW90" s="1"/>
      <c r="HIX90" s="1"/>
      <c r="HIY90" s="1"/>
      <c r="HIZ90" s="1"/>
      <c r="HJA90" s="1"/>
      <c r="HJB90" s="1"/>
      <c r="HJC90" s="1"/>
      <c r="HJD90" s="1"/>
      <c r="HJE90" s="1"/>
      <c r="HJF90" s="1"/>
      <c r="HJG90" s="1"/>
      <c r="HJH90" s="1"/>
      <c r="HJI90" s="1"/>
      <c r="HJJ90" s="1"/>
      <c r="HJK90" s="1"/>
      <c r="HJL90" s="1"/>
      <c r="HJM90" s="1"/>
      <c r="HJN90" s="1"/>
      <c r="HJO90" s="1"/>
      <c r="HJP90" s="1"/>
      <c r="HJQ90" s="1"/>
      <c r="HJR90" s="1"/>
      <c r="HJS90" s="1"/>
      <c r="HJT90" s="1"/>
      <c r="HJU90" s="1"/>
      <c r="HJV90" s="1"/>
      <c r="HJW90" s="1"/>
      <c r="HJX90" s="1"/>
      <c r="HJY90" s="1"/>
      <c r="HJZ90" s="1"/>
      <c r="HKA90" s="1"/>
      <c r="HKB90" s="1"/>
      <c r="HKC90" s="1"/>
      <c r="HKD90" s="1"/>
      <c r="HKE90" s="1"/>
      <c r="HKF90" s="1"/>
      <c r="HKG90" s="1"/>
      <c r="HKH90" s="1"/>
      <c r="HKI90" s="1"/>
      <c r="HKJ90" s="1"/>
      <c r="HKK90" s="1"/>
      <c r="HKL90" s="1"/>
      <c r="HKM90" s="1"/>
      <c r="HKN90" s="1"/>
      <c r="HKO90" s="1"/>
      <c r="HKP90" s="1"/>
      <c r="HKQ90" s="1"/>
      <c r="HKR90" s="1"/>
      <c r="HKS90" s="1"/>
      <c r="HKT90" s="1"/>
      <c r="HKU90" s="1"/>
      <c r="HKV90" s="1"/>
      <c r="HKW90" s="1"/>
      <c r="HKX90" s="1"/>
      <c r="HKY90" s="1"/>
      <c r="HKZ90" s="1"/>
      <c r="HLA90" s="1"/>
      <c r="HLB90" s="1"/>
      <c r="HLC90" s="1"/>
      <c r="HLD90" s="1"/>
      <c r="HLE90" s="1"/>
      <c r="HLF90" s="1"/>
      <c r="HLG90" s="1"/>
      <c r="HLH90" s="1"/>
      <c r="HLI90" s="1"/>
      <c r="HLJ90" s="1"/>
      <c r="HLK90" s="1"/>
      <c r="HLL90" s="1"/>
      <c r="HLM90" s="1"/>
      <c r="HLN90" s="1"/>
      <c r="HLO90" s="1"/>
      <c r="HLP90" s="1"/>
      <c r="HLQ90" s="1"/>
      <c r="HLR90" s="1"/>
      <c r="HLS90" s="1"/>
      <c r="HLT90" s="1"/>
      <c r="HLU90" s="1"/>
      <c r="HLV90" s="1"/>
      <c r="HLW90" s="1"/>
      <c r="HLX90" s="1"/>
      <c r="HLY90" s="1"/>
      <c r="HLZ90" s="1"/>
      <c r="HMA90" s="1"/>
      <c r="HMB90" s="1"/>
      <c r="HMC90" s="1"/>
      <c r="HMD90" s="1"/>
      <c r="HME90" s="1"/>
      <c r="HMF90" s="1"/>
      <c r="HMG90" s="1"/>
      <c r="HMH90" s="1"/>
      <c r="HMI90" s="1"/>
      <c r="HMJ90" s="1"/>
      <c r="HMK90" s="1"/>
      <c r="HML90" s="1"/>
      <c r="HMM90" s="1"/>
      <c r="HMN90" s="1"/>
      <c r="HMO90" s="1"/>
      <c r="HMP90" s="1"/>
      <c r="HMQ90" s="1"/>
      <c r="HMR90" s="1"/>
      <c r="HMS90" s="1"/>
      <c r="HMT90" s="1"/>
      <c r="HMU90" s="1"/>
      <c r="HMV90" s="1"/>
      <c r="HMW90" s="1"/>
      <c r="HMX90" s="1"/>
      <c r="HMY90" s="1"/>
      <c r="HMZ90" s="1"/>
      <c r="HNA90" s="1"/>
      <c r="HNB90" s="1"/>
      <c r="HNC90" s="1"/>
      <c r="HND90" s="1"/>
      <c r="HNE90" s="1"/>
      <c r="HNF90" s="1"/>
      <c r="HNG90" s="1"/>
      <c r="HNH90" s="1"/>
      <c r="HNI90" s="1"/>
      <c r="HNJ90" s="1"/>
      <c r="HNK90" s="1"/>
      <c r="HNL90" s="1"/>
      <c r="HNM90" s="1"/>
      <c r="HNN90" s="1"/>
      <c r="HNO90" s="1"/>
      <c r="HNP90" s="1"/>
      <c r="HNQ90" s="1"/>
      <c r="HNR90" s="1"/>
      <c r="HNS90" s="1"/>
      <c r="HNT90" s="1"/>
      <c r="HNU90" s="1"/>
      <c r="HNV90" s="1"/>
      <c r="HNW90" s="1"/>
      <c r="HNX90" s="1"/>
      <c r="HNY90" s="1"/>
      <c r="HNZ90" s="1"/>
      <c r="HOA90" s="1"/>
      <c r="HOB90" s="1"/>
      <c r="HOC90" s="1"/>
      <c r="HOD90" s="1"/>
      <c r="HOE90" s="1"/>
      <c r="HOF90" s="1"/>
      <c r="HOG90" s="1"/>
      <c r="HOH90" s="1"/>
      <c r="HOI90" s="1"/>
      <c r="HOJ90" s="1"/>
      <c r="HOK90" s="1"/>
      <c r="HOL90" s="1"/>
      <c r="HOM90" s="1"/>
      <c r="HON90" s="1"/>
      <c r="HOO90" s="1"/>
      <c r="HOP90" s="1"/>
      <c r="HOQ90" s="1"/>
      <c r="HOR90" s="1"/>
      <c r="HOS90" s="1"/>
      <c r="HOT90" s="1"/>
      <c r="HOU90" s="1"/>
      <c r="HOV90" s="1"/>
      <c r="HOW90" s="1"/>
      <c r="HOX90" s="1"/>
      <c r="HOY90" s="1"/>
      <c r="HOZ90" s="1"/>
      <c r="HPA90" s="1"/>
      <c r="HPB90" s="1"/>
      <c r="HPC90" s="1"/>
      <c r="HPD90" s="1"/>
      <c r="HPE90" s="1"/>
      <c r="HPF90" s="1"/>
      <c r="HPG90" s="1"/>
      <c r="HPH90" s="1"/>
      <c r="HPI90" s="1"/>
      <c r="HPJ90" s="1"/>
      <c r="HPK90" s="1"/>
      <c r="HPL90" s="1"/>
      <c r="HPM90" s="1"/>
      <c r="HPN90" s="1"/>
      <c r="HPO90" s="1"/>
      <c r="HPP90" s="1"/>
      <c r="HPQ90" s="1"/>
      <c r="HPR90" s="1"/>
      <c r="HPS90" s="1"/>
      <c r="HPT90" s="1"/>
      <c r="HPU90" s="1"/>
      <c r="HPV90" s="1"/>
      <c r="HPW90" s="1"/>
      <c r="HPX90" s="1"/>
      <c r="HPY90" s="1"/>
      <c r="HPZ90" s="1"/>
      <c r="HQA90" s="1"/>
      <c r="HQB90" s="1"/>
      <c r="HQC90" s="1"/>
      <c r="HQD90" s="1"/>
      <c r="HQE90" s="1"/>
      <c r="HQF90" s="1"/>
      <c r="HQG90" s="1"/>
      <c r="HQH90" s="1"/>
      <c r="HQI90" s="1"/>
      <c r="HQJ90" s="1"/>
      <c r="HQK90" s="1"/>
      <c r="HQL90" s="1"/>
      <c r="HQM90" s="1"/>
      <c r="HQN90" s="1"/>
      <c r="HQO90" s="1"/>
      <c r="HQP90" s="1"/>
      <c r="HQQ90" s="1"/>
      <c r="HQR90" s="1"/>
      <c r="HQS90" s="1"/>
      <c r="HQT90" s="1"/>
      <c r="HQU90" s="1"/>
      <c r="HQV90" s="1"/>
      <c r="HQW90" s="1"/>
      <c r="HQX90" s="1"/>
      <c r="HQY90" s="1"/>
      <c r="HQZ90" s="1"/>
      <c r="HRA90" s="1"/>
      <c r="HRB90" s="1"/>
      <c r="HRC90" s="1"/>
      <c r="HRD90" s="1"/>
      <c r="HRE90" s="1"/>
      <c r="HRF90" s="1"/>
      <c r="HRG90" s="1"/>
      <c r="HRH90" s="1"/>
      <c r="HRI90" s="1"/>
      <c r="HRJ90" s="1"/>
      <c r="HRK90" s="1"/>
      <c r="HRL90" s="1"/>
      <c r="HRM90" s="1"/>
      <c r="HRN90" s="1"/>
      <c r="HRO90" s="1"/>
      <c r="HRP90" s="1"/>
      <c r="HRQ90" s="1"/>
      <c r="HRR90" s="1"/>
      <c r="HRS90" s="1"/>
      <c r="HRT90" s="1"/>
      <c r="HRU90" s="1"/>
      <c r="HRV90" s="1"/>
      <c r="HRW90" s="1"/>
      <c r="HRX90" s="1"/>
      <c r="HRY90" s="1"/>
      <c r="HRZ90" s="1"/>
      <c r="HSA90" s="1"/>
      <c r="HSB90" s="1"/>
      <c r="HSC90" s="1"/>
      <c r="HSD90" s="1"/>
      <c r="HSE90" s="1"/>
      <c r="HSF90" s="1"/>
      <c r="HSG90" s="1"/>
      <c r="HSH90" s="1"/>
      <c r="HSI90" s="1"/>
      <c r="HSJ90" s="1"/>
      <c r="HSK90" s="1"/>
      <c r="HSL90" s="1"/>
      <c r="HSM90" s="1"/>
      <c r="HSN90" s="1"/>
      <c r="HSO90" s="1"/>
      <c r="HSP90" s="1"/>
      <c r="HSQ90" s="1"/>
      <c r="HSR90" s="1"/>
      <c r="HSS90" s="1"/>
      <c r="HST90" s="1"/>
      <c r="HSU90" s="1"/>
      <c r="HSV90" s="1"/>
      <c r="HSW90" s="1"/>
      <c r="HSX90" s="1"/>
      <c r="HSY90" s="1"/>
      <c r="HSZ90" s="1"/>
      <c r="HTA90" s="1"/>
      <c r="HTB90" s="1"/>
      <c r="HTC90" s="1"/>
      <c r="HTD90" s="1"/>
      <c r="HTE90" s="1"/>
      <c r="HTF90" s="1"/>
      <c r="HTG90" s="1"/>
      <c r="HTH90" s="1"/>
      <c r="HTI90" s="1"/>
      <c r="HTJ90" s="1"/>
      <c r="HTK90" s="1"/>
      <c r="HTL90" s="1"/>
      <c r="HTM90" s="1"/>
      <c r="HTN90" s="1"/>
      <c r="HTO90" s="1"/>
      <c r="HTP90" s="1"/>
      <c r="HTQ90" s="1"/>
      <c r="HTR90" s="1"/>
      <c r="HTS90" s="1"/>
      <c r="HTT90" s="1"/>
      <c r="HTU90" s="1"/>
      <c r="HTV90" s="1"/>
      <c r="HTW90" s="1"/>
      <c r="HTX90" s="1"/>
      <c r="HTY90" s="1"/>
      <c r="HTZ90" s="1"/>
      <c r="HUA90" s="1"/>
      <c r="HUB90" s="1"/>
      <c r="HUC90" s="1"/>
      <c r="HUD90" s="1"/>
      <c r="HUE90" s="1"/>
      <c r="HUF90" s="1"/>
      <c r="HUG90" s="1"/>
      <c r="HUH90" s="1"/>
      <c r="HUI90" s="1"/>
      <c r="HUJ90" s="1"/>
      <c r="HUK90" s="1"/>
      <c r="HUL90" s="1"/>
      <c r="HUM90" s="1"/>
      <c r="HUN90" s="1"/>
      <c r="HUO90" s="1"/>
      <c r="HUP90" s="1"/>
      <c r="HUQ90" s="1"/>
      <c r="HUR90" s="1"/>
      <c r="HUS90" s="1"/>
      <c r="HUT90" s="1"/>
      <c r="HUU90" s="1"/>
      <c r="HUV90" s="1"/>
      <c r="HUW90" s="1"/>
      <c r="HUX90" s="1"/>
      <c r="HUY90" s="1"/>
      <c r="HUZ90" s="1"/>
      <c r="HVA90" s="1"/>
      <c r="HVB90" s="1"/>
      <c r="HVC90" s="1"/>
      <c r="HVD90" s="1"/>
      <c r="HVE90" s="1"/>
      <c r="HVF90" s="1"/>
      <c r="HVG90" s="1"/>
      <c r="HVH90" s="1"/>
      <c r="HVI90" s="1"/>
      <c r="HVJ90" s="1"/>
      <c r="HVK90" s="1"/>
      <c r="HVL90" s="1"/>
      <c r="HVM90" s="1"/>
      <c r="HVN90" s="1"/>
      <c r="HVO90" s="1"/>
      <c r="HVP90" s="1"/>
      <c r="HVQ90" s="1"/>
      <c r="HVR90" s="1"/>
      <c r="HVS90" s="1"/>
      <c r="HVT90" s="1"/>
      <c r="HVU90" s="1"/>
      <c r="HVV90" s="1"/>
      <c r="HVW90" s="1"/>
      <c r="HVX90" s="1"/>
      <c r="HVY90" s="1"/>
      <c r="HVZ90" s="1"/>
      <c r="HWA90" s="1"/>
      <c r="HWB90" s="1"/>
      <c r="HWC90" s="1"/>
      <c r="HWD90" s="1"/>
      <c r="HWE90" s="1"/>
      <c r="HWF90" s="1"/>
      <c r="HWG90" s="1"/>
      <c r="HWH90" s="1"/>
      <c r="HWI90" s="1"/>
      <c r="HWJ90" s="1"/>
      <c r="HWK90" s="1"/>
      <c r="HWL90" s="1"/>
      <c r="HWM90" s="1"/>
      <c r="HWN90" s="1"/>
      <c r="HWO90" s="1"/>
      <c r="HWP90" s="1"/>
      <c r="HWQ90" s="1"/>
      <c r="HWR90" s="1"/>
      <c r="HWS90" s="1"/>
      <c r="HWT90" s="1"/>
      <c r="HWU90" s="1"/>
      <c r="HWV90" s="1"/>
      <c r="HWW90" s="1"/>
      <c r="HWX90" s="1"/>
      <c r="HWY90" s="1"/>
      <c r="HWZ90" s="1"/>
      <c r="HXA90" s="1"/>
      <c r="HXB90" s="1"/>
      <c r="HXC90" s="1"/>
      <c r="HXD90" s="1"/>
      <c r="HXE90" s="1"/>
      <c r="HXF90" s="1"/>
      <c r="HXG90" s="1"/>
      <c r="HXH90" s="1"/>
      <c r="HXI90" s="1"/>
      <c r="HXJ90" s="1"/>
      <c r="HXK90" s="1"/>
      <c r="HXL90" s="1"/>
      <c r="HXM90" s="1"/>
      <c r="HXN90" s="1"/>
      <c r="HXO90" s="1"/>
      <c r="HXP90" s="1"/>
      <c r="HXQ90" s="1"/>
      <c r="HXR90" s="1"/>
      <c r="HXS90" s="1"/>
      <c r="HXT90" s="1"/>
      <c r="HXU90" s="1"/>
      <c r="HXV90" s="1"/>
      <c r="HXW90" s="1"/>
      <c r="HXX90" s="1"/>
      <c r="HXY90" s="1"/>
      <c r="HXZ90" s="1"/>
      <c r="HYA90" s="1"/>
      <c r="HYB90" s="1"/>
      <c r="HYC90" s="1"/>
      <c r="HYD90" s="1"/>
      <c r="HYE90" s="1"/>
      <c r="HYF90" s="1"/>
      <c r="HYG90" s="1"/>
      <c r="HYH90" s="1"/>
      <c r="HYI90" s="1"/>
      <c r="HYJ90" s="1"/>
      <c r="HYK90" s="1"/>
      <c r="HYL90" s="1"/>
      <c r="HYM90" s="1"/>
      <c r="HYN90" s="1"/>
      <c r="HYO90" s="1"/>
      <c r="HYP90" s="1"/>
      <c r="HYQ90" s="1"/>
      <c r="HYR90" s="1"/>
      <c r="HYS90" s="1"/>
      <c r="HYT90" s="1"/>
      <c r="HYU90" s="1"/>
      <c r="HYV90" s="1"/>
      <c r="HYW90" s="1"/>
      <c r="HYX90" s="1"/>
      <c r="HYY90" s="1"/>
      <c r="HYZ90" s="1"/>
      <c r="HZA90" s="1"/>
      <c r="HZB90" s="1"/>
      <c r="HZC90" s="1"/>
      <c r="HZD90" s="1"/>
      <c r="HZE90" s="1"/>
      <c r="HZF90" s="1"/>
      <c r="HZG90" s="1"/>
      <c r="HZH90" s="1"/>
      <c r="HZI90" s="1"/>
      <c r="HZJ90" s="1"/>
      <c r="HZK90" s="1"/>
      <c r="HZL90" s="1"/>
      <c r="HZM90" s="1"/>
      <c r="HZN90" s="1"/>
      <c r="HZO90" s="1"/>
      <c r="HZP90" s="1"/>
      <c r="HZQ90" s="1"/>
      <c r="HZR90" s="1"/>
      <c r="HZS90" s="1"/>
      <c r="HZT90" s="1"/>
      <c r="HZU90" s="1"/>
      <c r="HZV90" s="1"/>
      <c r="HZW90" s="1"/>
      <c r="HZX90" s="1"/>
      <c r="HZY90" s="1"/>
      <c r="HZZ90" s="1"/>
      <c r="IAA90" s="1"/>
      <c r="IAB90" s="1"/>
      <c r="IAC90" s="1"/>
      <c r="IAD90" s="1"/>
      <c r="IAE90" s="1"/>
      <c r="IAF90" s="1"/>
      <c r="IAG90" s="1"/>
      <c r="IAH90" s="1"/>
      <c r="IAI90" s="1"/>
      <c r="IAJ90" s="1"/>
      <c r="IAK90" s="1"/>
      <c r="IAL90" s="1"/>
      <c r="IAM90" s="1"/>
      <c r="IAN90" s="1"/>
      <c r="IAO90" s="1"/>
      <c r="IAP90" s="1"/>
      <c r="IAQ90" s="1"/>
      <c r="IAR90" s="1"/>
      <c r="IAS90" s="1"/>
      <c r="IAT90" s="1"/>
      <c r="IAU90" s="1"/>
      <c r="IAV90" s="1"/>
      <c r="IAW90" s="1"/>
      <c r="IAX90" s="1"/>
      <c r="IAY90" s="1"/>
      <c r="IAZ90" s="1"/>
      <c r="IBA90" s="1"/>
      <c r="IBB90" s="1"/>
      <c r="IBC90" s="1"/>
      <c r="IBD90" s="1"/>
      <c r="IBE90" s="1"/>
      <c r="IBF90" s="1"/>
      <c r="IBG90" s="1"/>
      <c r="IBH90" s="1"/>
      <c r="IBI90" s="1"/>
      <c r="IBJ90" s="1"/>
      <c r="IBK90" s="1"/>
      <c r="IBL90" s="1"/>
      <c r="IBM90" s="1"/>
      <c r="IBN90" s="1"/>
      <c r="IBO90" s="1"/>
      <c r="IBP90" s="1"/>
      <c r="IBQ90" s="1"/>
      <c r="IBR90" s="1"/>
      <c r="IBS90" s="1"/>
      <c r="IBT90" s="1"/>
      <c r="IBU90" s="1"/>
      <c r="IBV90" s="1"/>
      <c r="IBW90" s="1"/>
      <c r="IBX90" s="1"/>
      <c r="IBY90" s="1"/>
      <c r="IBZ90" s="1"/>
      <c r="ICA90" s="1"/>
      <c r="ICB90" s="1"/>
      <c r="ICC90" s="1"/>
      <c r="ICD90" s="1"/>
      <c r="ICE90" s="1"/>
      <c r="ICF90" s="1"/>
      <c r="ICG90" s="1"/>
      <c r="ICH90" s="1"/>
      <c r="ICI90" s="1"/>
      <c r="ICJ90" s="1"/>
      <c r="ICK90" s="1"/>
      <c r="ICL90" s="1"/>
      <c r="ICM90" s="1"/>
      <c r="ICN90" s="1"/>
      <c r="ICO90" s="1"/>
      <c r="ICP90" s="1"/>
      <c r="ICQ90" s="1"/>
      <c r="ICR90" s="1"/>
      <c r="ICS90" s="1"/>
      <c r="ICT90" s="1"/>
      <c r="ICU90" s="1"/>
      <c r="ICV90" s="1"/>
      <c r="ICW90" s="1"/>
      <c r="ICX90" s="1"/>
      <c r="ICY90" s="1"/>
      <c r="ICZ90" s="1"/>
      <c r="IDA90" s="1"/>
      <c r="IDB90" s="1"/>
      <c r="IDC90" s="1"/>
      <c r="IDD90" s="1"/>
      <c r="IDE90" s="1"/>
      <c r="IDF90" s="1"/>
      <c r="IDG90" s="1"/>
      <c r="IDH90" s="1"/>
      <c r="IDI90" s="1"/>
      <c r="IDJ90" s="1"/>
      <c r="IDK90" s="1"/>
      <c r="IDL90" s="1"/>
      <c r="IDM90" s="1"/>
      <c r="IDN90" s="1"/>
      <c r="IDO90" s="1"/>
      <c r="IDP90" s="1"/>
      <c r="IDQ90" s="1"/>
      <c r="IDR90" s="1"/>
      <c r="IDS90" s="1"/>
      <c r="IDT90" s="1"/>
      <c r="IDU90" s="1"/>
      <c r="IDV90" s="1"/>
      <c r="IDW90" s="1"/>
      <c r="IDX90" s="1"/>
      <c r="IDY90" s="1"/>
      <c r="IDZ90" s="1"/>
      <c r="IEA90" s="1"/>
      <c r="IEB90" s="1"/>
      <c r="IEC90" s="1"/>
      <c r="IED90" s="1"/>
      <c r="IEE90" s="1"/>
      <c r="IEF90" s="1"/>
      <c r="IEG90" s="1"/>
      <c r="IEH90" s="1"/>
      <c r="IEI90" s="1"/>
      <c r="IEJ90" s="1"/>
      <c r="IEK90" s="1"/>
      <c r="IEL90" s="1"/>
      <c r="IEM90" s="1"/>
      <c r="IEN90" s="1"/>
      <c r="IEO90" s="1"/>
      <c r="IEP90" s="1"/>
      <c r="IEQ90" s="1"/>
      <c r="IER90" s="1"/>
      <c r="IES90" s="1"/>
      <c r="IET90" s="1"/>
      <c r="IEU90" s="1"/>
      <c r="IEV90" s="1"/>
      <c r="IEW90" s="1"/>
      <c r="IEX90" s="1"/>
      <c r="IEY90" s="1"/>
      <c r="IEZ90" s="1"/>
      <c r="IFA90" s="1"/>
      <c r="IFB90" s="1"/>
      <c r="IFC90" s="1"/>
      <c r="IFD90" s="1"/>
      <c r="IFE90" s="1"/>
      <c r="IFF90" s="1"/>
      <c r="IFG90" s="1"/>
      <c r="IFH90" s="1"/>
      <c r="IFI90" s="1"/>
      <c r="IFJ90" s="1"/>
      <c r="IFK90" s="1"/>
      <c r="IFL90" s="1"/>
      <c r="IFM90" s="1"/>
      <c r="IFN90" s="1"/>
      <c r="IFO90" s="1"/>
      <c r="IFP90" s="1"/>
      <c r="IFQ90" s="1"/>
      <c r="IFR90" s="1"/>
      <c r="IFS90" s="1"/>
      <c r="IFT90" s="1"/>
      <c r="IFU90" s="1"/>
      <c r="IFV90" s="1"/>
      <c r="IFW90" s="1"/>
      <c r="IFX90" s="1"/>
      <c r="IFY90" s="1"/>
      <c r="IFZ90" s="1"/>
      <c r="IGA90" s="1"/>
      <c r="IGB90" s="1"/>
      <c r="IGC90" s="1"/>
      <c r="IGD90" s="1"/>
      <c r="IGE90" s="1"/>
      <c r="IGF90" s="1"/>
      <c r="IGG90" s="1"/>
      <c r="IGH90" s="1"/>
      <c r="IGI90" s="1"/>
      <c r="IGJ90" s="1"/>
      <c r="IGK90" s="1"/>
      <c r="IGL90" s="1"/>
      <c r="IGM90" s="1"/>
      <c r="IGN90" s="1"/>
      <c r="IGO90" s="1"/>
      <c r="IGP90" s="1"/>
      <c r="IGQ90" s="1"/>
      <c r="IGR90" s="1"/>
      <c r="IGS90" s="1"/>
      <c r="IGT90" s="1"/>
      <c r="IGU90" s="1"/>
      <c r="IGV90" s="1"/>
      <c r="IGW90" s="1"/>
      <c r="IGX90" s="1"/>
      <c r="IGY90" s="1"/>
      <c r="IGZ90" s="1"/>
      <c r="IHA90" s="1"/>
      <c r="IHB90" s="1"/>
      <c r="IHC90" s="1"/>
      <c r="IHD90" s="1"/>
      <c r="IHE90" s="1"/>
      <c r="IHF90" s="1"/>
      <c r="IHG90" s="1"/>
      <c r="IHH90" s="1"/>
      <c r="IHI90" s="1"/>
      <c r="IHJ90" s="1"/>
      <c r="IHK90" s="1"/>
      <c r="IHL90" s="1"/>
      <c r="IHM90" s="1"/>
      <c r="IHN90" s="1"/>
      <c r="IHO90" s="1"/>
      <c r="IHP90" s="1"/>
      <c r="IHQ90" s="1"/>
      <c r="IHR90" s="1"/>
      <c r="IHS90" s="1"/>
      <c r="IHT90" s="1"/>
      <c r="IHU90" s="1"/>
      <c r="IHV90" s="1"/>
      <c r="IHW90" s="1"/>
      <c r="IHX90" s="1"/>
      <c r="IHY90" s="1"/>
      <c r="IHZ90" s="1"/>
      <c r="IIA90" s="1"/>
      <c r="IIB90" s="1"/>
      <c r="IIC90" s="1"/>
      <c r="IID90" s="1"/>
      <c r="IIE90" s="1"/>
      <c r="IIF90" s="1"/>
      <c r="IIG90" s="1"/>
      <c r="IIH90" s="1"/>
      <c r="III90" s="1"/>
      <c r="IIJ90" s="1"/>
      <c r="IIK90" s="1"/>
      <c r="IIL90" s="1"/>
      <c r="IIM90" s="1"/>
      <c r="IIN90" s="1"/>
      <c r="IIO90" s="1"/>
      <c r="IIP90" s="1"/>
      <c r="IIQ90" s="1"/>
      <c r="IIR90" s="1"/>
      <c r="IIS90" s="1"/>
      <c r="IIT90" s="1"/>
      <c r="IIU90" s="1"/>
      <c r="IIV90" s="1"/>
      <c r="IIW90" s="1"/>
      <c r="IIX90" s="1"/>
      <c r="IIY90" s="1"/>
      <c r="IIZ90" s="1"/>
      <c r="IJA90" s="1"/>
      <c r="IJB90" s="1"/>
      <c r="IJC90" s="1"/>
      <c r="IJD90" s="1"/>
      <c r="IJE90" s="1"/>
      <c r="IJF90" s="1"/>
      <c r="IJG90" s="1"/>
      <c r="IJH90" s="1"/>
      <c r="IJI90" s="1"/>
      <c r="IJJ90" s="1"/>
      <c r="IJK90" s="1"/>
      <c r="IJL90" s="1"/>
      <c r="IJM90" s="1"/>
      <c r="IJN90" s="1"/>
      <c r="IJO90" s="1"/>
      <c r="IJP90" s="1"/>
      <c r="IJQ90" s="1"/>
      <c r="IJR90" s="1"/>
      <c r="IJS90" s="1"/>
      <c r="IJT90" s="1"/>
      <c r="IJU90" s="1"/>
      <c r="IJV90" s="1"/>
      <c r="IJW90" s="1"/>
      <c r="IJX90" s="1"/>
      <c r="IJY90" s="1"/>
      <c r="IJZ90" s="1"/>
      <c r="IKA90" s="1"/>
      <c r="IKB90" s="1"/>
      <c r="IKC90" s="1"/>
      <c r="IKD90" s="1"/>
      <c r="IKE90" s="1"/>
      <c r="IKF90" s="1"/>
      <c r="IKG90" s="1"/>
      <c r="IKH90" s="1"/>
      <c r="IKI90" s="1"/>
      <c r="IKJ90" s="1"/>
      <c r="IKK90" s="1"/>
      <c r="IKL90" s="1"/>
      <c r="IKM90" s="1"/>
      <c r="IKN90" s="1"/>
      <c r="IKO90" s="1"/>
      <c r="IKP90" s="1"/>
      <c r="IKQ90" s="1"/>
      <c r="IKR90" s="1"/>
      <c r="IKS90" s="1"/>
      <c r="IKT90" s="1"/>
      <c r="IKU90" s="1"/>
      <c r="IKV90" s="1"/>
      <c r="IKW90" s="1"/>
      <c r="IKX90" s="1"/>
      <c r="IKY90" s="1"/>
      <c r="IKZ90" s="1"/>
      <c r="ILA90" s="1"/>
      <c r="ILB90" s="1"/>
      <c r="ILC90" s="1"/>
      <c r="ILD90" s="1"/>
      <c r="ILE90" s="1"/>
      <c r="ILF90" s="1"/>
      <c r="ILG90" s="1"/>
      <c r="ILH90" s="1"/>
      <c r="ILI90" s="1"/>
      <c r="ILJ90" s="1"/>
      <c r="ILK90" s="1"/>
      <c r="ILL90" s="1"/>
      <c r="ILM90" s="1"/>
      <c r="ILN90" s="1"/>
      <c r="ILO90" s="1"/>
      <c r="ILP90" s="1"/>
      <c r="ILQ90" s="1"/>
      <c r="ILR90" s="1"/>
      <c r="ILS90" s="1"/>
      <c r="ILT90" s="1"/>
      <c r="ILU90" s="1"/>
      <c r="ILV90" s="1"/>
      <c r="ILW90" s="1"/>
      <c r="ILX90" s="1"/>
      <c r="ILY90" s="1"/>
      <c r="ILZ90" s="1"/>
      <c r="IMA90" s="1"/>
      <c r="IMB90" s="1"/>
      <c r="IMC90" s="1"/>
      <c r="IMD90" s="1"/>
      <c r="IME90" s="1"/>
      <c r="IMF90" s="1"/>
      <c r="IMG90" s="1"/>
      <c r="IMH90" s="1"/>
      <c r="IMI90" s="1"/>
      <c r="IMJ90" s="1"/>
      <c r="IMK90" s="1"/>
      <c r="IML90" s="1"/>
      <c r="IMM90" s="1"/>
      <c r="IMN90" s="1"/>
      <c r="IMO90" s="1"/>
      <c r="IMP90" s="1"/>
      <c r="IMQ90" s="1"/>
      <c r="IMR90" s="1"/>
      <c r="IMS90" s="1"/>
      <c r="IMT90" s="1"/>
      <c r="IMU90" s="1"/>
      <c r="IMV90" s="1"/>
      <c r="IMW90" s="1"/>
      <c r="IMX90" s="1"/>
      <c r="IMY90" s="1"/>
      <c r="IMZ90" s="1"/>
      <c r="INA90" s="1"/>
      <c r="INB90" s="1"/>
      <c r="INC90" s="1"/>
      <c r="IND90" s="1"/>
      <c r="INE90" s="1"/>
      <c r="INF90" s="1"/>
      <c r="ING90" s="1"/>
      <c r="INH90" s="1"/>
      <c r="INI90" s="1"/>
      <c r="INJ90" s="1"/>
      <c r="INK90" s="1"/>
      <c r="INL90" s="1"/>
      <c r="INM90" s="1"/>
      <c r="INN90" s="1"/>
      <c r="INO90" s="1"/>
      <c r="INP90" s="1"/>
      <c r="INQ90" s="1"/>
      <c r="INR90" s="1"/>
      <c r="INS90" s="1"/>
      <c r="INT90" s="1"/>
      <c r="INU90" s="1"/>
      <c r="INV90" s="1"/>
      <c r="INW90" s="1"/>
      <c r="INX90" s="1"/>
      <c r="INY90" s="1"/>
      <c r="INZ90" s="1"/>
      <c r="IOA90" s="1"/>
      <c r="IOB90" s="1"/>
      <c r="IOC90" s="1"/>
      <c r="IOD90" s="1"/>
      <c r="IOE90" s="1"/>
      <c r="IOF90" s="1"/>
      <c r="IOG90" s="1"/>
      <c r="IOH90" s="1"/>
      <c r="IOI90" s="1"/>
      <c r="IOJ90" s="1"/>
      <c r="IOK90" s="1"/>
      <c r="IOL90" s="1"/>
      <c r="IOM90" s="1"/>
      <c r="ION90" s="1"/>
      <c r="IOO90" s="1"/>
      <c r="IOP90" s="1"/>
      <c r="IOQ90" s="1"/>
      <c r="IOR90" s="1"/>
      <c r="IOS90" s="1"/>
      <c r="IOT90" s="1"/>
      <c r="IOU90" s="1"/>
      <c r="IOV90" s="1"/>
      <c r="IOW90" s="1"/>
      <c r="IOX90" s="1"/>
      <c r="IOY90" s="1"/>
      <c r="IOZ90" s="1"/>
      <c r="IPA90" s="1"/>
      <c r="IPB90" s="1"/>
      <c r="IPC90" s="1"/>
      <c r="IPD90" s="1"/>
      <c r="IPE90" s="1"/>
      <c r="IPF90" s="1"/>
      <c r="IPG90" s="1"/>
      <c r="IPH90" s="1"/>
      <c r="IPI90" s="1"/>
      <c r="IPJ90" s="1"/>
      <c r="IPK90" s="1"/>
      <c r="IPL90" s="1"/>
      <c r="IPM90" s="1"/>
      <c r="IPN90" s="1"/>
      <c r="IPO90" s="1"/>
      <c r="IPP90" s="1"/>
      <c r="IPQ90" s="1"/>
      <c r="IPR90" s="1"/>
      <c r="IPS90" s="1"/>
      <c r="IPT90" s="1"/>
      <c r="IPU90" s="1"/>
      <c r="IPV90" s="1"/>
      <c r="IPW90" s="1"/>
      <c r="IPX90" s="1"/>
      <c r="IPY90" s="1"/>
      <c r="IPZ90" s="1"/>
      <c r="IQA90" s="1"/>
      <c r="IQB90" s="1"/>
      <c r="IQC90" s="1"/>
      <c r="IQD90" s="1"/>
      <c r="IQE90" s="1"/>
      <c r="IQF90" s="1"/>
      <c r="IQG90" s="1"/>
      <c r="IQH90" s="1"/>
      <c r="IQI90" s="1"/>
      <c r="IQJ90" s="1"/>
      <c r="IQK90" s="1"/>
      <c r="IQL90" s="1"/>
      <c r="IQM90" s="1"/>
      <c r="IQN90" s="1"/>
      <c r="IQO90" s="1"/>
      <c r="IQP90" s="1"/>
      <c r="IQQ90" s="1"/>
      <c r="IQR90" s="1"/>
      <c r="IQS90" s="1"/>
      <c r="IQT90" s="1"/>
      <c r="IQU90" s="1"/>
      <c r="IQV90" s="1"/>
      <c r="IQW90" s="1"/>
      <c r="IQX90" s="1"/>
      <c r="IQY90" s="1"/>
      <c r="IQZ90" s="1"/>
      <c r="IRA90" s="1"/>
      <c r="IRB90" s="1"/>
      <c r="IRC90" s="1"/>
      <c r="IRD90" s="1"/>
      <c r="IRE90" s="1"/>
      <c r="IRF90" s="1"/>
      <c r="IRG90" s="1"/>
      <c r="IRH90" s="1"/>
      <c r="IRI90" s="1"/>
      <c r="IRJ90" s="1"/>
      <c r="IRK90" s="1"/>
      <c r="IRL90" s="1"/>
      <c r="IRM90" s="1"/>
      <c r="IRN90" s="1"/>
      <c r="IRO90" s="1"/>
      <c r="IRP90" s="1"/>
      <c r="IRQ90" s="1"/>
      <c r="IRR90" s="1"/>
      <c r="IRS90" s="1"/>
      <c r="IRT90" s="1"/>
      <c r="IRU90" s="1"/>
      <c r="IRV90" s="1"/>
      <c r="IRW90" s="1"/>
      <c r="IRX90" s="1"/>
      <c r="IRY90" s="1"/>
      <c r="IRZ90" s="1"/>
      <c r="ISA90" s="1"/>
      <c r="ISB90" s="1"/>
      <c r="ISC90" s="1"/>
      <c r="ISD90" s="1"/>
      <c r="ISE90" s="1"/>
      <c r="ISF90" s="1"/>
      <c r="ISG90" s="1"/>
      <c r="ISH90" s="1"/>
      <c r="ISI90" s="1"/>
      <c r="ISJ90" s="1"/>
      <c r="ISK90" s="1"/>
      <c r="ISL90" s="1"/>
      <c r="ISM90" s="1"/>
      <c r="ISN90" s="1"/>
      <c r="ISO90" s="1"/>
      <c r="ISP90" s="1"/>
      <c r="ISQ90" s="1"/>
      <c r="ISR90" s="1"/>
      <c r="ISS90" s="1"/>
      <c r="IST90" s="1"/>
      <c r="ISU90" s="1"/>
      <c r="ISV90" s="1"/>
      <c r="ISW90" s="1"/>
      <c r="ISX90" s="1"/>
      <c r="ISY90" s="1"/>
      <c r="ISZ90" s="1"/>
      <c r="ITA90" s="1"/>
      <c r="ITB90" s="1"/>
      <c r="ITC90" s="1"/>
      <c r="ITD90" s="1"/>
      <c r="ITE90" s="1"/>
      <c r="ITF90" s="1"/>
      <c r="ITG90" s="1"/>
      <c r="ITH90" s="1"/>
      <c r="ITI90" s="1"/>
      <c r="ITJ90" s="1"/>
      <c r="ITK90" s="1"/>
      <c r="ITL90" s="1"/>
      <c r="ITM90" s="1"/>
      <c r="ITN90" s="1"/>
      <c r="ITO90" s="1"/>
      <c r="ITP90" s="1"/>
      <c r="ITQ90" s="1"/>
      <c r="ITR90" s="1"/>
      <c r="ITS90" s="1"/>
      <c r="ITT90" s="1"/>
      <c r="ITU90" s="1"/>
      <c r="ITV90" s="1"/>
      <c r="ITW90" s="1"/>
      <c r="ITX90" s="1"/>
      <c r="ITY90" s="1"/>
      <c r="ITZ90" s="1"/>
      <c r="IUA90" s="1"/>
      <c r="IUB90" s="1"/>
      <c r="IUC90" s="1"/>
      <c r="IUD90" s="1"/>
      <c r="IUE90" s="1"/>
      <c r="IUF90" s="1"/>
      <c r="IUG90" s="1"/>
      <c r="IUH90" s="1"/>
      <c r="IUI90" s="1"/>
      <c r="IUJ90" s="1"/>
      <c r="IUK90" s="1"/>
      <c r="IUL90" s="1"/>
      <c r="IUM90" s="1"/>
      <c r="IUN90" s="1"/>
      <c r="IUO90" s="1"/>
      <c r="IUP90" s="1"/>
      <c r="IUQ90" s="1"/>
      <c r="IUR90" s="1"/>
      <c r="IUS90" s="1"/>
      <c r="IUT90" s="1"/>
      <c r="IUU90" s="1"/>
      <c r="IUV90" s="1"/>
      <c r="IUW90" s="1"/>
      <c r="IUX90" s="1"/>
      <c r="IUY90" s="1"/>
      <c r="IUZ90" s="1"/>
      <c r="IVA90" s="1"/>
      <c r="IVB90" s="1"/>
      <c r="IVC90" s="1"/>
      <c r="IVD90" s="1"/>
      <c r="IVE90" s="1"/>
      <c r="IVF90" s="1"/>
      <c r="IVG90" s="1"/>
      <c r="IVH90" s="1"/>
      <c r="IVI90" s="1"/>
      <c r="IVJ90" s="1"/>
      <c r="IVK90" s="1"/>
      <c r="IVL90" s="1"/>
      <c r="IVM90" s="1"/>
      <c r="IVN90" s="1"/>
      <c r="IVO90" s="1"/>
      <c r="IVP90" s="1"/>
      <c r="IVQ90" s="1"/>
      <c r="IVR90" s="1"/>
      <c r="IVS90" s="1"/>
      <c r="IVT90" s="1"/>
      <c r="IVU90" s="1"/>
      <c r="IVV90" s="1"/>
      <c r="IVW90" s="1"/>
      <c r="IVX90" s="1"/>
      <c r="IVY90" s="1"/>
      <c r="IVZ90" s="1"/>
      <c r="IWA90" s="1"/>
      <c r="IWB90" s="1"/>
      <c r="IWC90" s="1"/>
      <c r="IWD90" s="1"/>
      <c r="IWE90" s="1"/>
      <c r="IWF90" s="1"/>
      <c r="IWG90" s="1"/>
      <c r="IWH90" s="1"/>
      <c r="IWI90" s="1"/>
      <c r="IWJ90" s="1"/>
      <c r="IWK90" s="1"/>
      <c r="IWL90" s="1"/>
      <c r="IWM90" s="1"/>
      <c r="IWN90" s="1"/>
      <c r="IWO90" s="1"/>
      <c r="IWP90" s="1"/>
      <c r="IWQ90" s="1"/>
      <c r="IWR90" s="1"/>
      <c r="IWS90" s="1"/>
      <c r="IWT90" s="1"/>
      <c r="IWU90" s="1"/>
      <c r="IWV90" s="1"/>
      <c r="IWW90" s="1"/>
      <c r="IWX90" s="1"/>
      <c r="IWY90" s="1"/>
      <c r="IWZ90" s="1"/>
      <c r="IXA90" s="1"/>
      <c r="IXB90" s="1"/>
      <c r="IXC90" s="1"/>
      <c r="IXD90" s="1"/>
      <c r="IXE90" s="1"/>
      <c r="IXF90" s="1"/>
      <c r="IXG90" s="1"/>
      <c r="IXH90" s="1"/>
      <c r="IXI90" s="1"/>
      <c r="IXJ90" s="1"/>
      <c r="IXK90" s="1"/>
      <c r="IXL90" s="1"/>
      <c r="IXM90" s="1"/>
      <c r="IXN90" s="1"/>
      <c r="IXO90" s="1"/>
      <c r="IXP90" s="1"/>
      <c r="IXQ90" s="1"/>
      <c r="IXR90" s="1"/>
      <c r="IXS90" s="1"/>
      <c r="IXT90" s="1"/>
      <c r="IXU90" s="1"/>
      <c r="IXV90" s="1"/>
      <c r="IXW90" s="1"/>
      <c r="IXX90" s="1"/>
      <c r="IXY90" s="1"/>
      <c r="IXZ90" s="1"/>
      <c r="IYA90" s="1"/>
      <c r="IYB90" s="1"/>
      <c r="IYC90" s="1"/>
      <c r="IYD90" s="1"/>
      <c r="IYE90" s="1"/>
      <c r="IYF90" s="1"/>
      <c r="IYG90" s="1"/>
      <c r="IYH90" s="1"/>
      <c r="IYI90" s="1"/>
      <c r="IYJ90" s="1"/>
      <c r="IYK90" s="1"/>
      <c r="IYL90" s="1"/>
      <c r="IYM90" s="1"/>
      <c r="IYN90" s="1"/>
      <c r="IYO90" s="1"/>
      <c r="IYP90" s="1"/>
      <c r="IYQ90" s="1"/>
      <c r="IYR90" s="1"/>
      <c r="IYS90" s="1"/>
      <c r="IYT90" s="1"/>
      <c r="IYU90" s="1"/>
      <c r="IYV90" s="1"/>
      <c r="IYW90" s="1"/>
      <c r="IYX90" s="1"/>
      <c r="IYY90" s="1"/>
      <c r="IYZ90" s="1"/>
      <c r="IZA90" s="1"/>
      <c r="IZB90" s="1"/>
      <c r="IZC90" s="1"/>
      <c r="IZD90" s="1"/>
      <c r="IZE90" s="1"/>
      <c r="IZF90" s="1"/>
      <c r="IZG90" s="1"/>
      <c r="IZH90" s="1"/>
      <c r="IZI90" s="1"/>
      <c r="IZJ90" s="1"/>
      <c r="IZK90" s="1"/>
      <c r="IZL90" s="1"/>
      <c r="IZM90" s="1"/>
      <c r="IZN90" s="1"/>
      <c r="IZO90" s="1"/>
      <c r="IZP90" s="1"/>
      <c r="IZQ90" s="1"/>
      <c r="IZR90" s="1"/>
      <c r="IZS90" s="1"/>
      <c r="IZT90" s="1"/>
      <c r="IZU90" s="1"/>
      <c r="IZV90" s="1"/>
      <c r="IZW90" s="1"/>
      <c r="IZX90" s="1"/>
      <c r="IZY90" s="1"/>
      <c r="IZZ90" s="1"/>
      <c r="JAA90" s="1"/>
      <c r="JAB90" s="1"/>
      <c r="JAC90" s="1"/>
      <c r="JAD90" s="1"/>
      <c r="JAE90" s="1"/>
      <c r="JAF90" s="1"/>
      <c r="JAG90" s="1"/>
      <c r="JAH90" s="1"/>
      <c r="JAI90" s="1"/>
      <c r="JAJ90" s="1"/>
      <c r="JAK90" s="1"/>
      <c r="JAL90" s="1"/>
      <c r="JAM90" s="1"/>
      <c r="JAN90" s="1"/>
      <c r="JAO90" s="1"/>
      <c r="JAP90" s="1"/>
      <c r="JAQ90" s="1"/>
      <c r="JAR90" s="1"/>
      <c r="JAS90" s="1"/>
      <c r="JAT90" s="1"/>
      <c r="JAU90" s="1"/>
      <c r="JAV90" s="1"/>
      <c r="JAW90" s="1"/>
      <c r="JAX90" s="1"/>
      <c r="JAY90" s="1"/>
      <c r="JAZ90" s="1"/>
      <c r="JBA90" s="1"/>
      <c r="JBB90" s="1"/>
      <c r="JBC90" s="1"/>
      <c r="JBD90" s="1"/>
      <c r="JBE90" s="1"/>
      <c r="JBF90" s="1"/>
      <c r="JBG90" s="1"/>
      <c r="JBH90" s="1"/>
      <c r="JBI90" s="1"/>
      <c r="JBJ90" s="1"/>
      <c r="JBK90" s="1"/>
      <c r="JBL90" s="1"/>
      <c r="JBM90" s="1"/>
      <c r="JBN90" s="1"/>
      <c r="JBO90" s="1"/>
      <c r="JBP90" s="1"/>
      <c r="JBQ90" s="1"/>
      <c r="JBR90" s="1"/>
      <c r="JBS90" s="1"/>
      <c r="JBT90" s="1"/>
      <c r="JBU90" s="1"/>
      <c r="JBV90" s="1"/>
      <c r="JBW90" s="1"/>
      <c r="JBX90" s="1"/>
      <c r="JBY90" s="1"/>
      <c r="JBZ90" s="1"/>
      <c r="JCA90" s="1"/>
      <c r="JCB90" s="1"/>
      <c r="JCC90" s="1"/>
      <c r="JCD90" s="1"/>
      <c r="JCE90" s="1"/>
      <c r="JCF90" s="1"/>
      <c r="JCG90" s="1"/>
      <c r="JCH90" s="1"/>
      <c r="JCI90" s="1"/>
      <c r="JCJ90" s="1"/>
      <c r="JCK90" s="1"/>
      <c r="JCL90" s="1"/>
      <c r="JCM90" s="1"/>
      <c r="JCN90" s="1"/>
      <c r="JCO90" s="1"/>
      <c r="JCP90" s="1"/>
      <c r="JCQ90" s="1"/>
      <c r="JCR90" s="1"/>
      <c r="JCS90" s="1"/>
      <c r="JCT90" s="1"/>
      <c r="JCU90" s="1"/>
      <c r="JCV90" s="1"/>
      <c r="JCW90" s="1"/>
      <c r="JCX90" s="1"/>
      <c r="JCY90" s="1"/>
      <c r="JCZ90" s="1"/>
      <c r="JDA90" s="1"/>
      <c r="JDB90" s="1"/>
      <c r="JDC90" s="1"/>
      <c r="JDD90" s="1"/>
      <c r="JDE90" s="1"/>
      <c r="JDF90" s="1"/>
      <c r="JDG90" s="1"/>
      <c r="JDH90" s="1"/>
      <c r="JDI90" s="1"/>
      <c r="JDJ90" s="1"/>
      <c r="JDK90" s="1"/>
      <c r="JDL90" s="1"/>
      <c r="JDM90" s="1"/>
      <c r="JDN90" s="1"/>
      <c r="JDO90" s="1"/>
      <c r="JDP90" s="1"/>
      <c r="JDQ90" s="1"/>
      <c r="JDR90" s="1"/>
      <c r="JDS90" s="1"/>
      <c r="JDT90" s="1"/>
      <c r="JDU90" s="1"/>
      <c r="JDV90" s="1"/>
      <c r="JDW90" s="1"/>
      <c r="JDX90" s="1"/>
      <c r="JDY90" s="1"/>
      <c r="JDZ90" s="1"/>
      <c r="JEA90" s="1"/>
      <c r="JEB90" s="1"/>
      <c r="JEC90" s="1"/>
      <c r="JED90" s="1"/>
      <c r="JEE90" s="1"/>
      <c r="JEF90" s="1"/>
      <c r="JEG90" s="1"/>
      <c r="JEH90" s="1"/>
      <c r="JEI90" s="1"/>
      <c r="JEJ90" s="1"/>
      <c r="JEK90" s="1"/>
      <c r="JEL90" s="1"/>
      <c r="JEM90" s="1"/>
      <c r="JEN90" s="1"/>
      <c r="JEO90" s="1"/>
      <c r="JEP90" s="1"/>
      <c r="JEQ90" s="1"/>
      <c r="JER90" s="1"/>
      <c r="JES90" s="1"/>
      <c r="JET90" s="1"/>
      <c r="JEU90" s="1"/>
      <c r="JEV90" s="1"/>
      <c r="JEW90" s="1"/>
      <c r="JEX90" s="1"/>
      <c r="JEY90" s="1"/>
      <c r="JEZ90" s="1"/>
      <c r="JFA90" s="1"/>
      <c r="JFB90" s="1"/>
      <c r="JFC90" s="1"/>
      <c r="JFD90" s="1"/>
      <c r="JFE90" s="1"/>
      <c r="JFF90" s="1"/>
      <c r="JFG90" s="1"/>
      <c r="JFH90" s="1"/>
      <c r="JFI90" s="1"/>
      <c r="JFJ90" s="1"/>
      <c r="JFK90" s="1"/>
      <c r="JFL90" s="1"/>
      <c r="JFM90" s="1"/>
      <c r="JFN90" s="1"/>
      <c r="JFO90" s="1"/>
      <c r="JFP90" s="1"/>
      <c r="JFQ90" s="1"/>
      <c r="JFR90" s="1"/>
      <c r="JFS90" s="1"/>
      <c r="JFT90" s="1"/>
      <c r="JFU90" s="1"/>
      <c r="JFV90" s="1"/>
      <c r="JFW90" s="1"/>
      <c r="JFX90" s="1"/>
      <c r="JFY90" s="1"/>
      <c r="JFZ90" s="1"/>
      <c r="JGA90" s="1"/>
      <c r="JGB90" s="1"/>
      <c r="JGC90" s="1"/>
      <c r="JGD90" s="1"/>
      <c r="JGE90" s="1"/>
      <c r="JGF90" s="1"/>
      <c r="JGG90" s="1"/>
      <c r="JGH90" s="1"/>
      <c r="JGI90" s="1"/>
      <c r="JGJ90" s="1"/>
      <c r="JGK90" s="1"/>
      <c r="JGL90" s="1"/>
      <c r="JGM90" s="1"/>
      <c r="JGN90" s="1"/>
      <c r="JGO90" s="1"/>
      <c r="JGP90" s="1"/>
      <c r="JGQ90" s="1"/>
      <c r="JGR90" s="1"/>
      <c r="JGS90" s="1"/>
      <c r="JGT90" s="1"/>
      <c r="JGU90" s="1"/>
      <c r="JGV90" s="1"/>
      <c r="JGW90" s="1"/>
      <c r="JGX90" s="1"/>
      <c r="JGY90" s="1"/>
      <c r="JGZ90" s="1"/>
      <c r="JHA90" s="1"/>
      <c r="JHB90" s="1"/>
      <c r="JHC90" s="1"/>
      <c r="JHD90" s="1"/>
      <c r="JHE90" s="1"/>
      <c r="JHF90" s="1"/>
      <c r="JHG90" s="1"/>
      <c r="JHH90" s="1"/>
      <c r="JHI90" s="1"/>
      <c r="JHJ90" s="1"/>
      <c r="JHK90" s="1"/>
      <c r="JHL90" s="1"/>
      <c r="JHM90" s="1"/>
      <c r="JHN90" s="1"/>
      <c r="JHO90" s="1"/>
      <c r="JHP90" s="1"/>
      <c r="JHQ90" s="1"/>
      <c r="JHR90" s="1"/>
      <c r="JHS90" s="1"/>
      <c r="JHT90" s="1"/>
      <c r="JHU90" s="1"/>
      <c r="JHV90" s="1"/>
      <c r="JHW90" s="1"/>
      <c r="JHX90" s="1"/>
      <c r="JHY90" s="1"/>
      <c r="JHZ90" s="1"/>
      <c r="JIA90" s="1"/>
      <c r="JIB90" s="1"/>
      <c r="JIC90" s="1"/>
      <c r="JID90" s="1"/>
      <c r="JIE90" s="1"/>
      <c r="JIF90" s="1"/>
      <c r="JIG90" s="1"/>
      <c r="JIH90" s="1"/>
      <c r="JII90" s="1"/>
      <c r="JIJ90" s="1"/>
      <c r="JIK90" s="1"/>
      <c r="JIL90" s="1"/>
      <c r="JIM90" s="1"/>
      <c r="JIN90" s="1"/>
      <c r="JIO90" s="1"/>
      <c r="JIP90" s="1"/>
      <c r="JIQ90" s="1"/>
      <c r="JIR90" s="1"/>
      <c r="JIS90" s="1"/>
      <c r="JIT90" s="1"/>
      <c r="JIU90" s="1"/>
      <c r="JIV90" s="1"/>
      <c r="JIW90" s="1"/>
      <c r="JIX90" s="1"/>
      <c r="JIY90" s="1"/>
      <c r="JIZ90" s="1"/>
      <c r="JJA90" s="1"/>
      <c r="JJB90" s="1"/>
      <c r="JJC90" s="1"/>
      <c r="JJD90" s="1"/>
      <c r="JJE90" s="1"/>
      <c r="JJF90" s="1"/>
      <c r="JJG90" s="1"/>
      <c r="JJH90" s="1"/>
      <c r="JJI90" s="1"/>
      <c r="JJJ90" s="1"/>
      <c r="JJK90" s="1"/>
      <c r="JJL90" s="1"/>
      <c r="JJM90" s="1"/>
      <c r="JJN90" s="1"/>
      <c r="JJO90" s="1"/>
      <c r="JJP90" s="1"/>
      <c r="JJQ90" s="1"/>
      <c r="JJR90" s="1"/>
      <c r="JJS90" s="1"/>
      <c r="JJT90" s="1"/>
      <c r="JJU90" s="1"/>
      <c r="JJV90" s="1"/>
      <c r="JJW90" s="1"/>
      <c r="JJX90" s="1"/>
      <c r="JJY90" s="1"/>
      <c r="JJZ90" s="1"/>
      <c r="JKA90" s="1"/>
      <c r="JKB90" s="1"/>
      <c r="JKC90" s="1"/>
      <c r="JKD90" s="1"/>
      <c r="JKE90" s="1"/>
      <c r="JKF90" s="1"/>
      <c r="JKG90" s="1"/>
      <c r="JKH90" s="1"/>
      <c r="JKI90" s="1"/>
      <c r="JKJ90" s="1"/>
      <c r="JKK90" s="1"/>
      <c r="JKL90" s="1"/>
      <c r="JKM90" s="1"/>
      <c r="JKN90" s="1"/>
      <c r="JKO90" s="1"/>
      <c r="JKP90" s="1"/>
      <c r="JKQ90" s="1"/>
      <c r="JKR90" s="1"/>
      <c r="JKS90" s="1"/>
      <c r="JKT90" s="1"/>
      <c r="JKU90" s="1"/>
      <c r="JKV90" s="1"/>
      <c r="JKW90" s="1"/>
      <c r="JKX90" s="1"/>
      <c r="JKY90" s="1"/>
      <c r="JKZ90" s="1"/>
      <c r="JLA90" s="1"/>
      <c r="JLB90" s="1"/>
      <c r="JLC90" s="1"/>
      <c r="JLD90" s="1"/>
      <c r="JLE90" s="1"/>
      <c r="JLF90" s="1"/>
      <c r="JLG90" s="1"/>
      <c r="JLH90" s="1"/>
      <c r="JLI90" s="1"/>
      <c r="JLJ90" s="1"/>
      <c r="JLK90" s="1"/>
      <c r="JLL90" s="1"/>
      <c r="JLM90" s="1"/>
      <c r="JLN90" s="1"/>
      <c r="JLO90" s="1"/>
      <c r="JLP90" s="1"/>
      <c r="JLQ90" s="1"/>
      <c r="JLR90" s="1"/>
      <c r="JLS90" s="1"/>
      <c r="JLT90" s="1"/>
      <c r="JLU90" s="1"/>
      <c r="JLV90" s="1"/>
      <c r="JLW90" s="1"/>
      <c r="JLX90" s="1"/>
      <c r="JLY90" s="1"/>
      <c r="JLZ90" s="1"/>
      <c r="JMA90" s="1"/>
      <c r="JMB90" s="1"/>
      <c r="JMC90" s="1"/>
      <c r="JMD90" s="1"/>
      <c r="JME90" s="1"/>
      <c r="JMF90" s="1"/>
      <c r="JMG90" s="1"/>
      <c r="JMH90" s="1"/>
      <c r="JMI90" s="1"/>
      <c r="JMJ90" s="1"/>
      <c r="JMK90" s="1"/>
      <c r="JML90" s="1"/>
      <c r="JMM90" s="1"/>
      <c r="JMN90" s="1"/>
      <c r="JMO90" s="1"/>
      <c r="JMP90" s="1"/>
      <c r="JMQ90" s="1"/>
      <c r="JMR90" s="1"/>
      <c r="JMS90" s="1"/>
      <c r="JMT90" s="1"/>
      <c r="JMU90" s="1"/>
      <c r="JMV90" s="1"/>
      <c r="JMW90" s="1"/>
      <c r="JMX90" s="1"/>
      <c r="JMY90" s="1"/>
      <c r="JMZ90" s="1"/>
      <c r="JNA90" s="1"/>
      <c r="JNB90" s="1"/>
      <c r="JNC90" s="1"/>
      <c r="JND90" s="1"/>
      <c r="JNE90" s="1"/>
      <c r="JNF90" s="1"/>
      <c r="JNG90" s="1"/>
      <c r="JNH90" s="1"/>
      <c r="JNI90" s="1"/>
      <c r="JNJ90" s="1"/>
      <c r="JNK90" s="1"/>
      <c r="JNL90" s="1"/>
      <c r="JNM90" s="1"/>
      <c r="JNN90" s="1"/>
      <c r="JNO90" s="1"/>
      <c r="JNP90" s="1"/>
      <c r="JNQ90" s="1"/>
      <c r="JNR90" s="1"/>
      <c r="JNS90" s="1"/>
      <c r="JNT90" s="1"/>
      <c r="JNU90" s="1"/>
      <c r="JNV90" s="1"/>
      <c r="JNW90" s="1"/>
      <c r="JNX90" s="1"/>
      <c r="JNY90" s="1"/>
      <c r="JNZ90" s="1"/>
      <c r="JOA90" s="1"/>
      <c r="JOB90" s="1"/>
      <c r="JOC90" s="1"/>
      <c r="JOD90" s="1"/>
      <c r="JOE90" s="1"/>
      <c r="JOF90" s="1"/>
      <c r="JOG90" s="1"/>
      <c r="JOH90" s="1"/>
      <c r="JOI90" s="1"/>
      <c r="JOJ90" s="1"/>
      <c r="JOK90" s="1"/>
      <c r="JOL90" s="1"/>
      <c r="JOM90" s="1"/>
      <c r="JON90" s="1"/>
      <c r="JOO90" s="1"/>
      <c r="JOP90" s="1"/>
      <c r="JOQ90" s="1"/>
      <c r="JOR90" s="1"/>
      <c r="JOS90" s="1"/>
      <c r="JOT90" s="1"/>
      <c r="JOU90" s="1"/>
      <c r="JOV90" s="1"/>
      <c r="JOW90" s="1"/>
      <c r="JOX90" s="1"/>
      <c r="JOY90" s="1"/>
      <c r="JOZ90" s="1"/>
      <c r="JPA90" s="1"/>
      <c r="JPB90" s="1"/>
      <c r="JPC90" s="1"/>
      <c r="JPD90" s="1"/>
      <c r="JPE90" s="1"/>
      <c r="JPF90" s="1"/>
      <c r="JPG90" s="1"/>
      <c r="JPH90" s="1"/>
      <c r="JPI90" s="1"/>
      <c r="JPJ90" s="1"/>
      <c r="JPK90" s="1"/>
      <c r="JPL90" s="1"/>
      <c r="JPM90" s="1"/>
      <c r="JPN90" s="1"/>
      <c r="JPO90" s="1"/>
      <c r="JPP90" s="1"/>
      <c r="JPQ90" s="1"/>
      <c r="JPR90" s="1"/>
      <c r="JPS90" s="1"/>
      <c r="JPT90" s="1"/>
      <c r="JPU90" s="1"/>
      <c r="JPV90" s="1"/>
      <c r="JPW90" s="1"/>
      <c r="JPX90" s="1"/>
      <c r="JPY90" s="1"/>
      <c r="JPZ90" s="1"/>
      <c r="JQA90" s="1"/>
      <c r="JQB90" s="1"/>
      <c r="JQC90" s="1"/>
      <c r="JQD90" s="1"/>
      <c r="JQE90" s="1"/>
      <c r="JQF90" s="1"/>
      <c r="JQG90" s="1"/>
      <c r="JQH90" s="1"/>
      <c r="JQI90" s="1"/>
      <c r="JQJ90" s="1"/>
      <c r="JQK90" s="1"/>
      <c r="JQL90" s="1"/>
      <c r="JQM90" s="1"/>
      <c r="JQN90" s="1"/>
      <c r="JQO90" s="1"/>
      <c r="JQP90" s="1"/>
      <c r="JQQ90" s="1"/>
      <c r="JQR90" s="1"/>
      <c r="JQS90" s="1"/>
      <c r="JQT90" s="1"/>
      <c r="JQU90" s="1"/>
      <c r="JQV90" s="1"/>
      <c r="JQW90" s="1"/>
      <c r="JQX90" s="1"/>
      <c r="JQY90" s="1"/>
      <c r="JQZ90" s="1"/>
      <c r="JRA90" s="1"/>
      <c r="JRB90" s="1"/>
      <c r="JRC90" s="1"/>
      <c r="JRD90" s="1"/>
      <c r="JRE90" s="1"/>
      <c r="JRF90" s="1"/>
      <c r="JRG90" s="1"/>
      <c r="JRH90" s="1"/>
      <c r="JRI90" s="1"/>
      <c r="JRJ90" s="1"/>
      <c r="JRK90" s="1"/>
      <c r="JRL90" s="1"/>
      <c r="JRM90" s="1"/>
      <c r="JRN90" s="1"/>
      <c r="JRO90" s="1"/>
      <c r="JRP90" s="1"/>
      <c r="JRQ90" s="1"/>
      <c r="JRR90" s="1"/>
      <c r="JRS90" s="1"/>
      <c r="JRT90" s="1"/>
      <c r="JRU90" s="1"/>
      <c r="JRV90" s="1"/>
      <c r="JRW90" s="1"/>
      <c r="JRX90" s="1"/>
      <c r="JRY90" s="1"/>
      <c r="JRZ90" s="1"/>
      <c r="JSA90" s="1"/>
      <c r="JSB90" s="1"/>
      <c r="JSC90" s="1"/>
      <c r="JSD90" s="1"/>
      <c r="JSE90" s="1"/>
      <c r="JSF90" s="1"/>
      <c r="JSG90" s="1"/>
      <c r="JSH90" s="1"/>
      <c r="JSI90" s="1"/>
      <c r="JSJ90" s="1"/>
      <c r="JSK90" s="1"/>
      <c r="JSL90" s="1"/>
      <c r="JSM90" s="1"/>
      <c r="JSN90" s="1"/>
      <c r="JSO90" s="1"/>
      <c r="JSP90" s="1"/>
      <c r="JSQ90" s="1"/>
      <c r="JSR90" s="1"/>
      <c r="JSS90" s="1"/>
      <c r="JST90" s="1"/>
      <c r="JSU90" s="1"/>
      <c r="JSV90" s="1"/>
      <c r="JSW90" s="1"/>
      <c r="JSX90" s="1"/>
      <c r="JSY90" s="1"/>
      <c r="JSZ90" s="1"/>
      <c r="JTA90" s="1"/>
      <c r="JTB90" s="1"/>
      <c r="JTC90" s="1"/>
      <c r="JTD90" s="1"/>
      <c r="JTE90" s="1"/>
      <c r="JTF90" s="1"/>
      <c r="JTG90" s="1"/>
      <c r="JTH90" s="1"/>
      <c r="JTI90" s="1"/>
      <c r="JTJ90" s="1"/>
      <c r="JTK90" s="1"/>
      <c r="JTL90" s="1"/>
      <c r="JTM90" s="1"/>
      <c r="JTN90" s="1"/>
      <c r="JTO90" s="1"/>
      <c r="JTP90" s="1"/>
      <c r="JTQ90" s="1"/>
      <c r="JTR90" s="1"/>
      <c r="JTS90" s="1"/>
      <c r="JTT90" s="1"/>
      <c r="JTU90" s="1"/>
      <c r="JTV90" s="1"/>
      <c r="JTW90" s="1"/>
      <c r="JTX90" s="1"/>
      <c r="JTY90" s="1"/>
      <c r="JTZ90" s="1"/>
      <c r="JUA90" s="1"/>
      <c r="JUB90" s="1"/>
      <c r="JUC90" s="1"/>
      <c r="JUD90" s="1"/>
      <c r="JUE90" s="1"/>
      <c r="JUF90" s="1"/>
      <c r="JUG90" s="1"/>
      <c r="JUH90" s="1"/>
      <c r="JUI90" s="1"/>
      <c r="JUJ90" s="1"/>
      <c r="JUK90" s="1"/>
      <c r="JUL90" s="1"/>
      <c r="JUM90" s="1"/>
      <c r="JUN90" s="1"/>
      <c r="JUO90" s="1"/>
      <c r="JUP90" s="1"/>
      <c r="JUQ90" s="1"/>
      <c r="JUR90" s="1"/>
      <c r="JUS90" s="1"/>
      <c r="JUT90" s="1"/>
      <c r="JUU90" s="1"/>
      <c r="JUV90" s="1"/>
      <c r="JUW90" s="1"/>
      <c r="JUX90" s="1"/>
      <c r="JUY90" s="1"/>
      <c r="JUZ90" s="1"/>
      <c r="JVA90" s="1"/>
      <c r="JVB90" s="1"/>
      <c r="JVC90" s="1"/>
      <c r="JVD90" s="1"/>
      <c r="JVE90" s="1"/>
      <c r="JVF90" s="1"/>
      <c r="JVG90" s="1"/>
      <c r="JVH90" s="1"/>
      <c r="JVI90" s="1"/>
      <c r="JVJ90" s="1"/>
      <c r="JVK90" s="1"/>
      <c r="JVL90" s="1"/>
      <c r="JVM90" s="1"/>
      <c r="JVN90" s="1"/>
      <c r="JVO90" s="1"/>
      <c r="JVP90" s="1"/>
      <c r="JVQ90" s="1"/>
      <c r="JVR90" s="1"/>
      <c r="JVS90" s="1"/>
      <c r="JVT90" s="1"/>
      <c r="JVU90" s="1"/>
      <c r="JVV90" s="1"/>
      <c r="JVW90" s="1"/>
      <c r="JVX90" s="1"/>
      <c r="JVY90" s="1"/>
      <c r="JVZ90" s="1"/>
      <c r="JWA90" s="1"/>
      <c r="JWB90" s="1"/>
      <c r="JWC90" s="1"/>
      <c r="JWD90" s="1"/>
      <c r="JWE90" s="1"/>
      <c r="JWF90" s="1"/>
      <c r="JWG90" s="1"/>
      <c r="JWH90" s="1"/>
      <c r="JWI90" s="1"/>
      <c r="JWJ90" s="1"/>
      <c r="JWK90" s="1"/>
      <c r="JWL90" s="1"/>
      <c r="JWM90" s="1"/>
      <c r="JWN90" s="1"/>
      <c r="JWO90" s="1"/>
      <c r="JWP90" s="1"/>
      <c r="JWQ90" s="1"/>
      <c r="JWR90" s="1"/>
      <c r="JWS90" s="1"/>
      <c r="JWT90" s="1"/>
      <c r="JWU90" s="1"/>
      <c r="JWV90" s="1"/>
      <c r="JWW90" s="1"/>
      <c r="JWX90" s="1"/>
      <c r="JWY90" s="1"/>
      <c r="JWZ90" s="1"/>
      <c r="JXA90" s="1"/>
      <c r="JXB90" s="1"/>
      <c r="JXC90" s="1"/>
      <c r="JXD90" s="1"/>
      <c r="JXE90" s="1"/>
      <c r="JXF90" s="1"/>
      <c r="JXG90" s="1"/>
      <c r="JXH90" s="1"/>
      <c r="JXI90" s="1"/>
      <c r="JXJ90" s="1"/>
      <c r="JXK90" s="1"/>
      <c r="JXL90" s="1"/>
      <c r="JXM90" s="1"/>
      <c r="JXN90" s="1"/>
      <c r="JXO90" s="1"/>
      <c r="JXP90" s="1"/>
      <c r="JXQ90" s="1"/>
      <c r="JXR90" s="1"/>
      <c r="JXS90" s="1"/>
      <c r="JXT90" s="1"/>
      <c r="JXU90" s="1"/>
      <c r="JXV90" s="1"/>
      <c r="JXW90" s="1"/>
      <c r="JXX90" s="1"/>
      <c r="JXY90" s="1"/>
      <c r="JXZ90" s="1"/>
      <c r="JYA90" s="1"/>
      <c r="JYB90" s="1"/>
      <c r="JYC90" s="1"/>
      <c r="JYD90" s="1"/>
      <c r="JYE90" s="1"/>
      <c r="JYF90" s="1"/>
      <c r="JYG90" s="1"/>
      <c r="JYH90" s="1"/>
      <c r="JYI90" s="1"/>
      <c r="JYJ90" s="1"/>
      <c r="JYK90" s="1"/>
      <c r="JYL90" s="1"/>
      <c r="JYM90" s="1"/>
      <c r="JYN90" s="1"/>
      <c r="JYO90" s="1"/>
      <c r="JYP90" s="1"/>
      <c r="JYQ90" s="1"/>
      <c r="JYR90" s="1"/>
      <c r="JYS90" s="1"/>
      <c r="JYT90" s="1"/>
      <c r="JYU90" s="1"/>
      <c r="JYV90" s="1"/>
      <c r="JYW90" s="1"/>
      <c r="JYX90" s="1"/>
      <c r="JYY90" s="1"/>
      <c r="JYZ90" s="1"/>
      <c r="JZA90" s="1"/>
      <c r="JZB90" s="1"/>
      <c r="JZC90" s="1"/>
      <c r="JZD90" s="1"/>
      <c r="JZE90" s="1"/>
      <c r="JZF90" s="1"/>
      <c r="JZG90" s="1"/>
      <c r="JZH90" s="1"/>
      <c r="JZI90" s="1"/>
      <c r="JZJ90" s="1"/>
      <c r="JZK90" s="1"/>
      <c r="JZL90" s="1"/>
      <c r="JZM90" s="1"/>
      <c r="JZN90" s="1"/>
      <c r="JZO90" s="1"/>
      <c r="JZP90" s="1"/>
      <c r="JZQ90" s="1"/>
      <c r="JZR90" s="1"/>
      <c r="JZS90" s="1"/>
      <c r="JZT90" s="1"/>
      <c r="JZU90" s="1"/>
      <c r="JZV90" s="1"/>
      <c r="JZW90" s="1"/>
      <c r="JZX90" s="1"/>
      <c r="JZY90" s="1"/>
      <c r="JZZ90" s="1"/>
      <c r="KAA90" s="1"/>
      <c r="KAB90" s="1"/>
      <c r="KAC90" s="1"/>
      <c r="KAD90" s="1"/>
      <c r="KAE90" s="1"/>
      <c r="KAF90" s="1"/>
      <c r="KAG90" s="1"/>
      <c r="KAH90" s="1"/>
      <c r="KAI90" s="1"/>
      <c r="KAJ90" s="1"/>
      <c r="KAK90" s="1"/>
      <c r="KAL90" s="1"/>
      <c r="KAM90" s="1"/>
      <c r="KAN90" s="1"/>
      <c r="KAO90" s="1"/>
      <c r="KAP90" s="1"/>
      <c r="KAQ90" s="1"/>
      <c r="KAR90" s="1"/>
      <c r="KAS90" s="1"/>
      <c r="KAT90" s="1"/>
      <c r="KAU90" s="1"/>
      <c r="KAV90" s="1"/>
      <c r="KAW90" s="1"/>
      <c r="KAX90" s="1"/>
      <c r="KAY90" s="1"/>
      <c r="KAZ90" s="1"/>
      <c r="KBA90" s="1"/>
      <c r="KBB90" s="1"/>
      <c r="KBC90" s="1"/>
      <c r="KBD90" s="1"/>
      <c r="KBE90" s="1"/>
      <c r="KBF90" s="1"/>
      <c r="KBG90" s="1"/>
      <c r="KBH90" s="1"/>
      <c r="KBI90" s="1"/>
      <c r="KBJ90" s="1"/>
      <c r="KBK90" s="1"/>
      <c r="KBL90" s="1"/>
      <c r="KBM90" s="1"/>
      <c r="KBN90" s="1"/>
      <c r="KBO90" s="1"/>
      <c r="KBP90" s="1"/>
      <c r="KBQ90" s="1"/>
      <c r="KBR90" s="1"/>
      <c r="KBS90" s="1"/>
      <c r="KBT90" s="1"/>
      <c r="KBU90" s="1"/>
      <c r="KBV90" s="1"/>
      <c r="KBW90" s="1"/>
      <c r="KBX90" s="1"/>
      <c r="KBY90" s="1"/>
      <c r="KBZ90" s="1"/>
      <c r="KCA90" s="1"/>
      <c r="KCB90" s="1"/>
      <c r="KCC90" s="1"/>
      <c r="KCD90" s="1"/>
      <c r="KCE90" s="1"/>
      <c r="KCF90" s="1"/>
      <c r="KCG90" s="1"/>
      <c r="KCH90" s="1"/>
      <c r="KCI90" s="1"/>
      <c r="KCJ90" s="1"/>
      <c r="KCK90" s="1"/>
      <c r="KCL90" s="1"/>
      <c r="KCM90" s="1"/>
      <c r="KCN90" s="1"/>
      <c r="KCO90" s="1"/>
      <c r="KCP90" s="1"/>
      <c r="KCQ90" s="1"/>
      <c r="KCR90" s="1"/>
      <c r="KCS90" s="1"/>
      <c r="KCT90" s="1"/>
      <c r="KCU90" s="1"/>
      <c r="KCV90" s="1"/>
      <c r="KCW90" s="1"/>
      <c r="KCX90" s="1"/>
      <c r="KCY90" s="1"/>
      <c r="KCZ90" s="1"/>
      <c r="KDA90" s="1"/>
      <c r="KDB90" s="1"/>
      <c r="KDC90" s="1"/>
      <c r="KDD90" s="1"/>
      <c r="KDE90" s="1"/>
      <c r="KDF90" s="1"/>
      <c r="KDG90" s="1"/>
      <c r="KDH90" s="1"/>
      <c r="KDI90" s="1"/>
      <c r="KDJ90" s="1"/>
      <c r="KDK90" s="1"/>
      <c r="KDL90" s="1"/>
      <c r="KDM90" s="1"/>
      <c r="KDN90" s="1"/>
      <c r="KDO90" s="1"/>
      <c r="KDP90" s="1"/>
      <c r="KDQ90" s="1"/>
      <c r="KDR90" s="1"/>
      <c r="KDS90" s="1"/>
      <c r="KDT90" s="1"/>
      <c r="KDU90" s="1"/>
      <c r="KDV90" s="1"/>
      <c r="KDW90" s="1"/>
      <c r="KDX90" s="1"/>
      <c r="KDY90" s="1"/>
      <c r="KDZ90" s="1"/>
      <c r="KEA90" s="1"/>
      <c r="KEB90" s="1"/>
      <c r="KEC90" s="1"/>
      <c r="KED90" s="1"/>
      <c r="KEE90" s="1"/>
      <c r="KEF90" s="1"/>
      <c r="KEG90" s="1"/>
      <c r="KEH90" s="1"/>
      <c r="KEI90" s="1"/>
      <c r="KEJ90" s="1"/>
      <c r="KEK90" s="1"/>
      <c r="KEL90" s="1"/>
      <c r="KEM90" s="1"/>
      <c r="KEN90" s="1"/>
      <c r="KEO90" s="1"/>
      <c r="KEP90" s="1"/>
      <c r="KEQ90" s="1"/>
      <c r="KER90" s="1"/>
      <c r="KES90" s="1"/>
      <c r="KET90" s="1"/>
      <c r="KEU90" s="1"/>
      <c r="KEV90" s="1"/>
      <c r="KEW90" s="1"/>
      <c r="KEX90" s="1"/>
      <c r="KEY90" s="1"/>
      <c r="KEZ90" s="1"/>
      <c r="KFA90" s="1"/>
      <c r="KFB90" s="1"/>
      <c r="KFC90" s="1"/>
      <c r="KFD90" s="1"/>
      <c r="KFE90" s="1"/>
      <c r="KFF90" s="1"/>
      <c r="KFG90" s="1"/>
      <c r="KFH90" s="1"/>
      <c r="KFI90" s="1"/>
      <c r="KFJ90" s="1"/>
      <c r="KFK90" s="1"/>
      <c r="KFL90" s="1"/>
      <c r="KFM90" s="1"/>
      <c r="KFN90" s="1"/>
      <c r="KFO90" s="1"/>
      <c r="KFP90" s="1"/>
      <c r="KFQ90" s="1"/>
      <c r="KFR90" s="1"/>
      <c r="KFS90" s="1"/>
      <c r="KFT90" s="1"/>
      <c r="KFU90" s="1"/>
      <c r="KFV90" s="1"/>
      <c r="KFW90" s="1"/>
      <c r="KFX90" s="1"/>
      <c r="KFY90" s="1"/>
      <c r="KFZ90" s="1"/>
      <c r="KGA90" s="1"/>
      <c r="KGB90" s="1"/>
      <c r="KGC90" s="1"/>
      <c r="KGD90" s="1"/>
      <c r="KGE90" s="1"/>
      <c r="KGF90" s="1"/>
      <c r="KGG90" s="1"/>
      <c r="KGH90" s="1"/>
      <c r="KGI90" s="1"/>
      <c r="KGJ90" s="1"/>
      <c r="KGK90" s="1"/>
      <c r="KGL90" s="1"/>
      <c r="KGM90" s="1"/>
      <c r="KGN90" s="1"/>
      <c r="KGO90" s="1"/>
      <c r="KGP90" s="1"/>
      <c r="KGQ90" s="1"/>
      <c r="KGR90" s="1"/>
      <c r="KGS90" s="1"/>
      <c r="KGT90" s="1"/>
      <c r="KGU90" s="1"/>
      <c r="KGV90" s="1"/>
      <c r="KGW90" s="1"/>
      <c r="KGX90" s="1"/>
      <c r="KGY90" s="1"/>
      <c r="KGZ90" s="1"/>
      <c r="KHA90" s="1"/>
      <c r="KHB90" s="1"/>
      <c r="KHC90" s="1"/>
      <c r="KHD90" s="1"/>
      <c r="KHE90" s="1"/>
      <c r="KHF90" s="1"/>
      <c r="KHG90" s="1"/>
      <c r="KHH90" s="1"/>
      <c r="KHI90" s="1"/>
      <c r="KHJ90" s="1"/>
      <c r="KHK90" s="1"/>
      <c r="KHL90" s="1"/>
      <c r="KHM90" s="1"/>
      <c r="KHN90" s="1"/>
      <c r="KHO90" s="1"/>
      <c r="KHP90" s="1"/>
      <c r="KHQ90" s="1"/>
      <c r="KHR90" s="1"/>
      <c r="KHS90" s="1"/>
      <c r="KHT90" s="1"/>
      <c r="KHU90" s="1"/>
      <c r="KHV90" s="1"/>
      <c r="KHW90" s="1"/>
      <c r="KHX90" s="1"/>
      <c r="KHY90" s="1"/>
      <c r="KHZ90" s="1"/>
      <c r="KIA90" s="1"/>
      <c r="KIB90" s="1"/>
      <c r="KIC90" s="1"/>
      <c r="KID90" s="1"/>
      <c r="KIE90" s="1"/>
      <c r="KIF90" s="1"/>
      <c r="KIG90" s="1"/>
      <c r="KIH90" s="1"/>
      <c r="KII90" s="1"/>
      <c r="KIJ90" s="1"/>
      <c r="KIK90" s="1"/>
      <c r="KIL90" s="1"/>
      <c r="KIM90" s="1"/>
      <c r="KIN90" s="1"/>
      <c r="KIO90" s="1"/>
      <c r="KIP90" s="1"/>
      <c r="KIQ90" s="1"/>
      <c r="KIR90" s="1"/>
      <c r="KIS90" s="1"/>
      <c r="KIT90" s="1"/>
      <c r="KIU90" s="1"/>
      <c r="KIV90" s="1"/>
      <c r="KIW90" s="1"/>
      <c r="KIX90" s="1"/>
      <c r="KIY90" s="1"/>
      <c r="KIZ90" s="1"/>
      <c r="KJA90" s="1"/>
      <c r="KJB90" s="1"/>
      <c r="KJC90" s="1"/>
      <c r="KJD90" s="1"/>
      <c r="KJE90" s="1"/>
      <c r="KJF90" s="1"/>
      <c r="KJG90" s="1"/>
      <c r="KJH90" s="1"/>
      <c r="KJI90" s="1"/>
      <c r="KJJ90" s="1"/>
      <c r="KJK90" s="1"/>
      <c r="KJL90" s="1"/>
      <c r="KJM90" s="1"/>
      <c r="KJN90" s="1"/>
      <c r="KJO90" s="1"/>
      <c r="KJP90" s="1"/>
      <c r="KJQ90" s="1"/>
      <c r="KJR90" s="1"/>
      <c r="KJS90" s="1"/>
      <c r="KJT90" s="1"/>
      <c r="KJU90" s="1"/>
      <c r="KJV90" s="1"/>
      <c r="KJW90" s="1"/>
      <c r="KJX90" s="1"/>
      <c r="KJY90" s="1"/>
      <c r="KJZ90" s="1"/>
      <c r="KKA90" s="1"/>
      <c r="KKB90" s="1"/>
      <c r="KKC90" s="1"/>
      <c r="KKD90" s="1"/>
      <c r="KKE90" s="1"/>
      <c r="KKF90" s="1"/>
      <c r="KKG90" s="1"/>
      <c r="KKH90" s="1"/>
      <c r="KKI90" s="1"/>
      <c r="KKJ90" s="1"/>
      <c r="KKK90" s="1"/>
      <c r="KKL90" s="1"/>
      <c r="KKM90" s="1"/>
      <c r="KKN90" s="1"/>
      <c r="KKO90" s="1"/>
      <c r="KKP90" s="1"/>
      <c r="KKQ90" s="1"/>
      <c r="KKR90" s="1"/>
      <c r="KKS90" s="1"/>
      <c r="KKT90" s="1"/>
      <c r="KKU90" s="1"/>
      <c r="KKV90" s="1"/>
      <c r="KKW90" s="1"/>
      <c r="KKX90" s="1"/>
      <c r="KKY90" s="1"/>
      <c r="KKZ90" s="1"/>
      <c r="KLA90" s="1"/>
      <c r="KLB90" s="1"/>
      <c r="KLC90" s="1"/>
      <c r="KLD90" s="1"/>
      <c r="KLE90" s="1"/>
      <c r="KLF90" s="1"/>
      <c r="KLG90" s="1"/>
      <c r="KLH90" s="1"/>
      <c r="KLI90" s="1"/>
      <c r="KLJ90" s="1"/>
      <c r="KLK90" s="1"/>
      <c r="KLL90" s="1"/>
      <c r="KLM90" s="1"/>
      <c r="KLN90" s="1"/>
      <c r="KLO90" s="1"/>
      <c r="KLP90" s="1"/>
      <c r="KLQ90" s="1"/>
      <c r="KLR90" s="1"/>
      <c r="KLS90" s="1"/>
      <c r="KLT90" s="1"/>
      <c r="KLU90" s="1"/>
      <c r="KLV90" s="1"/>
      <c r="KLW90" s="1"/>
      <c r="KLX90" s="1"/>
      <c r="KLY90" s="1"/>
      <c r="KLZ90" s="1"/>
      <c r="KMA90" s="1"/>
      <c r="KMB90" s="1"/>
      <c r="KMC90" s="1"/>
      <c r="KMD90" s="1"/>
      <c r="KME90" s="1"/>
      <c r="KMF90" s="1"/>
      <c r="KMG90" s="1"/>
      <c r="KMH90" s="1"/>
      <c r="KMI90" s="1"/>
      <c r="KMJ90" s="1"/>
      <c r="KMK90" s="1"/>
      <c r="KML90" s="1"/>
      <c r="KMM90" s="1"/>
      <c r="KMN90" s="1"/>
      <c r="KMO90" s="1"/>
      <c r="KMP90" s="1"/>
      <c r="KMQ90" s="1"/>
      <c r="KMR90" s="1"/>
      <c r="KMS90" s="1"/>
      <c r="KMT90" s="1"/>
      <c r="KMU90" s="1"/>
      <c r="KMV90" s="1"/>
      <c r="KMW90" s="1"/>
      <c r="KMX90" s="1"/>
      <c r="KMY90" s="1"/>
      <c r="KMZ90" s="1"/>
      <c r="KNA90" s="1"/>
      <c r="KNB90" s="1"/>
      <c r="KNC90" s="1"/>
      <c r="KND90" s="1"/>
      <c r="KNE90" s="1"/>
      <c r="KNF90" s="1"/>
      <c r="KNG90" s="1"/>
      <c r="KNH90" s="1"/>
      <c r="KNI90" s="1"/>
      <c r="KNJ90" s="1"/>
      <c r="KNK90" s="1"/>
      <c r="KNL90" s="1"/>
      <c r="KNM90" s="1"/>
      <c r="KNN90" s="1"/>
      <c r="KNO90" s="1"/>
      <c r="KNP90" s="1"/>
      <c r="KNQ90" s="1"/>
      <c r="KNR90" s="1"/>
      <c r="KNS90" s="1"/>
      <c r="KNT90" s="1"/>
      <c r="KNU90" s="1"/>
      <c r="KNV90" s="1"/>
      <c r="KNW90" s="1"/>
      <c r="KNX90" s="1"/>
      <c r="KNY90" s="1"/>
      <c r="KNZ90" s="1"/>
      <c r="KOA90" s="1"/>
      <c r="KOB90" s="1"/>
      <c r="KOC90" s="1"/>
      <c r="KOD90" s="1"/>
      <c r="KOE90" s="1"/>
      <c r="KOF90" s="1"/>
      <c r="KOG90" s="1"/>
      <c r="KOH90" s="1"/>
      <c r="KOI90" s="1"/>
      <c r="KOJ90" s="1"/>
      <c r="KOK90" s="1"/>
      <c r="KOL90" s="1"/>
      <c r="KOM90" s="1"/>
      <c r="KON90" s="1"/>
      <c r="KOO90" s="1"/>
      <c r="KOP90" s="1"/>
      <c r="KOQ90" s="1"/>
      <c r="KOR90" s="1"/>
      <c r="KOS90" s="1"/>
      <c r="KOT90" s="1"/>
      <c r="KOU90" s="1"/>
      <c r="KOV90" s="1"/>
      <c r="KOW90" s="1"/>
      <c r="KOX90" s="1"/>
      <c r="KOY90" s="1"/>
      <c r="KOZ90" s="1"/>
      <c r="KPA90" s="1"/>
      <c r="KPB90" s="1"/>
      <c r="KPC90" s="1"/>
      <c r="KPD90" s="1"/>
      <c r="KPE90" s="1"/>
      <c r="KPF90" s="1"/>
      <c r="KPG90" s="1"/>
      <c r="KPH90" s="1"/>
      <c r="KPI90" s="1"/>
      <c r="KPJ90" s="1"/>
      <c r="KPK90" s="1"/>
      <c r="KPL90" s="1"/>
      <c r="KPM90" s="1"/>
      <c r="KPN90" s="1"/>
      <c r="KPO90" s="1"/>
      <c r="KPP90" s="1"/>
      <c r="KPQ90" s="1"/>
      <c r="KPR90" s="1"/>
      <c r="KPS90" s="1"/>
      <c r="KPT90" s="1"/>
      <c r="KPU90" s="1"/>
      <c r="KPV90" s="1"/>
      <c r="KPW90" s="1"/>
      <c r="KPX90" s="1"/>
      <c r="KPY90" s="1"/>
      <c r="KPZ90" s="1"/>
      <c r="KQA90" s="1"/>
      <c r="KQB90" s="1"/>
      <c r="KQC90" s="1"/>
      <c r="KQD90" s="1"/>
      <c r="KQE90" s="1"/>
      <c r="KQF90" s="1"/>
      <c r="KQG90" s="1"/>
      <c r="KQH90" s="1"/>
      <c r="KQI90" s="1"/>
      <c r="KQJ90" s="1"/>
      <c r="KQK90" s="1"/>
      <c r="KQL90" s="1"/>
      <c r="KQM90" s="1"/>
      <c r="KQN90" s="1"/>
      <c r="KQO90" s="1"/>
      <c r="KQP90" s="1"/>
      <c r="KQQ90" s="1"/>
      <c r="KQR90" s="1"/>
      <c r="KQS90" s="1"/>
      <c r="KQT90" s="1"/>
      <c r="KQU90" s="1"/>
      <c r="KQV90" s="1"/>
      <c r="KQW90" s="1"/>
      <c r="KQX90" s="1"/>
      <c r="KQY90" s="1"/>
      <c r="KQZ90" s="1"/>
      <c r="KRA90" s="1"/>
      <c r="KRB90" s="1"/>
      <c r="KRC90" s="1"/>
      <c r="KRD90" s="1"/>
      <c r="KRE90" s="1"/>
      <c r="KRF90" s="1"/>
      <c r="KRG90" s="1"/>
      <c r="KRH90" s="1"/>
      <c r="KRI90" s="1"/>
      <c r="KRJ90" s="1"/>
      <c r="KRK90" s="1"/>
      <c r="KRL90" s="1"/>
      <c r="KRM90" s="1"/>
      <c r="KRN90" s="1"/>
      <c r="KRO90" s="1"/>
      <c r="KRP90" s="1"/>
      <c r="KRQ90" s="1"/>
      <c r="KRR90" s="1"/>
      <c r="KRS90" s="1"/>
      <c r="KRT90" s="1"/>
      <c r="KRU90" s="1"/>
      <c r="KRV90" s="1"/>
      <c r="KRW90" s="1"/>
      <c r="KRX90" s="1"/>
      <c r="KRY90" s="1"/>
      <c r="KRZ90" s="1"/>
      <c r="KSA90" s="1"/>
      <c r="KSB90" s="1"/>
      <c r="KSC90" s="1"/>
      <c r="KSD90" s="1"/>
      <c r="KSE90" s="1"/>
      <c r="KSF90" s="1"/>
      <c r="KSG90" s="1"/>
      <c r="KSH90" s="1"/>
      <c r="KSI90" s="1"/>
      <c r="KSJ90" s="1"/>
      <c r="KSK90" s="1"/>
      <c r="KSL90" s="1"/>
      <c r="KSM90" s="1"/>
      <c r="KSN90" s="1"/>
      <c r="KSO90" s="1"/>
      <c r="KSP90" s="1"/>
      <c r="KSQ90" s="1"/>
      <c r="KSR90" s="1"/>
      <c r="KSS90" s="1"/>
      <c r="KST90" s="1"/>
      <c r="KSU90" s="1"/>
      <c r="KSV90" s="1"/>
      <c r="KSW90" s="1"/>
      <c r="KSX90" s="1"/>
      <c r="KSY90" s="1"/>
      <c r="KSZ90" s="1"/>
      <c r="KTA90" s="1"/>
      <c r="KTB90" s="1"/>
      <c r="KTC90" s="1"/>
      <c r="KTD90" s="1"/>
      <c r="KTE90" s="1"/>
      <c r="KTF90" s="1"/>
      <c r="KTG90" s="1"/>
      <c r="KTH90" s="1"/>
      <c r="KTI90" s="1"/>
      <c r="KTJ90" s="1"/>
      <c r="KTK90" s="1"/>
      <c r="KTL90" s="1"/>
      <c r="KTM90" s="1"/>
      <c r="KTN90" s="1"/>
      <c r="KTO90" s="1"/>
      <c r="KTP90" s="1"/>
      <c r="KTQ90" s="1"/>
      <c r="KTR90" s="1"/>
      <c r="KTS90" s="1"/>
      <c r="KTT90" s="1"/>
      <c r="KTU90" s="1"/>
      <c r="KTV90" s="1"/>
      <c r="KTW90" s="1"/>
      <c r="KTX90" s="1"/>
      <c r="KTY90" s="1"/>
      <c r="KTZ90" s="1"/>
      <c r="KUA90" s="1"/>
      <c r="KUB90" s="1"/>
      <c r="KUC90" s="1"/>
      <c r="KUD90" s="1"/>
      <c r="KUE90" s="1"/>
      <c r="KUF90" s="1"/>
      <c r="KUG90" s="1"/>
      <c r="KUH90" s="1"/>
      <c r="KUI90" s="1"/>
      <c r="KUJ90" s="1"/>
      <c r="KUK90" s="1"/>
      <c r="KUL90" s="1"/>
      <c r="KUM90" s="1"/>
      <c r="KUN90" s="1"/>
      <c r="KUO90" s="1"/>
      <c r="KUP90" s="1"/>
      <c r="KUQ90" s="1"/>
      <c r="KUR90" s="1"/>
      <c r="KUS90" s="1"/>
      <c r="KUT90" s="1"/>
      <c r="KUU90" s="1"/>
      <c r="KUV90" s="1"/>
      <c r="KUW90" s="1"/>
      <c r="KUX90" s="1"/>
      <c r="KUY90" s="1"/>
      <c r="KUZ90" s="1"/>
      <c r="KVA90" s="1"/>
      <c r="KVB90" s="1"/>
      <c r="KVC90" s="1"/>
      <c r="KVD90" s="1"/>
      <c r="KVE90" s="1"/>
      <c r="KVF90" s="1"/>
      <c r="KVG90" s="1"/>
      <c r="KVH90" s="1"/>
      <c r="KVI90" s="1"/>
      <c r="KVJ90" s="1"/>
      <c r="KVK90" s="1"/>
      <c r="KVL90" s="1"/>
      <c r="KVM90" s="1"/>
      <c r="KVN90" s="1"/>
      <c r="KVO90" s="1"/>
      <c r="KVP90" s="1"/>
      <c r="KVQ90" s="1"/>
      <c r="KVR90" s="1"/>
      <c r="KVS90" s="1"/>
      <c r="KVT90" s="1"/>
      <c r="KVU90" s="1"/>
      <c r="KVV90" s="1"/>
      <c r="KVW90" s="1"/>
      <c r="KVX90" s="1"/>
      <c r="KVY90" s="1"/>
      <c r="KVZ90" s="1"/>
      <c r="KWA90" s="1"/>
      <c r="KWB90" s="1"/>
      <c r="KWC90" s="1"/>
      <c r="KWD90" s="1"/>
      <c r="KWE90" s="1"/>
      <c r="KWF90" s="1"/>
      <c r="KWG90" s="1"/>
      <c r="KWH90" s="1"/>
      <c r="KWI90" s="1"/>
      <c r="KWJ90" s="1"/>
      <c r="KWK90" s="1"/>
      <c r="KWL90" s="1"/>
      <c r="KWM90" s="1"/>
      <c r="KWN90" s="1"/>
      <c r="KWO90" s="1"/>
      <c r="KWP90" s="1"/>
      <c r="KWQ90" s="1"/>
      <c r="KWR90" s="1"/>
      <c r="KWS90" s="1"/>
      <c r="KWT90" s="1"/>
      <c r="KWU90" s="1"/>
      <c r="KWV90" s="1"/>
      <c r="KWW90" s="1"/>
      <c r="KWX90" s="1"/>
      <c r="KWY90" s="1"/>
      <c r="KWZ90" s="1"/>
      <c r="KXA90" s="1"/>
      <c r="KXB90" s="1"/>
      <c r="KXC90" s="1"/>
      <c r="KXD90" s="1"/>
      <c r="KXE90" s="1"/>
      <c r="KXF90" s="1"/>
      <c r="KXG90" s="1"/>
      <c r="KXH90" s="1"/>
      <c r="KXI90" s="1"/>
      <c r="KXJ90" s="1"/>
      <c r="KXK90" s="1"/>
      <c r="KXL90" s="1"/>
      <c r="KXM90" s="1"/>
      <c r="KXN90" s="1"/>
      <c r="KXO90" s="1"/>
      <c r="KXP90" s="1"/>
      <c r="KXQ90" s="1"/>
      <c r="KXR90" s="1"/>
      <c r="KXS90" s="1"/>
      <c r="KXT90" s="1"/>
      <c r="KXU90" s="1"/>
      <c r="KXV90" s="1"/>
      <c r="KXW90" s="1"/>
      <c r="KXX90" s="1"/>
      <c r="KXY90" s="1"/>
      <c r="KXZ90" s="1"/>
      <c r="KYA90" s="1"/>
      <c r="KYB90" s="1"/>
      <c r="KYC90" s="1"/>
      <c r="KYD90" s="1"/>
      <c r="KYE90" s="1"/>
      <c r="KYF90" s="1"/>
      <c r="KYG90" s="1"/>
      <c r="KYH90" s="1"/>
      <c r="KYI90" s="1"/>
      <c r="KYJ90" s="1"/>
      <c r="KYK90" s="1"/>
      <c r="KYL90" s="1"/>
      <c r="KYM90" s="1"/>
      <c r="KYN90" s="1"/>
      <c r="KYO90" s="1"/>
      <c r="KYP90" s="1"/>
      <c r="KYQ90" s="1"/>
      <c r="KYR90" s="1"/>
      <c r="KYS90" s="1"/>
      <c r="KYT90" s="1"/>
      <c r="KYU90" s="1"/>
      <c r="KYV90" s="1"/>
      <c r="KYW90" s="1"/>
      <c r="KYX90" s="1"/>
      <c r="KYY90" s="1"/>
      <c r="KYZ90" s="1"/>
      <c r="KZA90" s="1"/>
      <c r="KZB90" s="1"/>
      <c r="KZC90" s="1"/>
      <c r="KZD90" s="1"/>
      <c r="KZE90" s="1"/>
      <c r="KZF90" s="1"/>
      <c r="KZG90" s="1"/>
      <c r="KZH90" s="1"/>
      <c r="KZI90" s="1"/>
      <c r="KZJ90" s="1"/>
      <c r="KZK90" s="1"/>
      <c r="KZL90" s="1"/>
      <c r="KZM90" s="1"/>
      <c r="KZN90" s="1"/>
      <c r="KZO90" s="1"/>
      <c r="KZP90" s="1"/>
      <c r="KZQ90" s="1"/>
      <c r="KZR90" s="1"/>
      <c r="KZS90" s="1"/>
      <c r="KZT90" s="1"/>
      <c r="KZU90" s="1"/>
      <c r="KZV90" s="1"/>
      <c r="KZW90" s="1"/>
      <c r="KZX90" s="1"/>
      <c r="KZY90" s="1"/>
      <c r="KZZ90" s="1"/>
      <c r="LAA90" s="1"/>
      <c r="LAB90" s="1"/>
      <c r="LAC90" s="1"/>
      <c r="LAD90" s="1"/>
      <c r="LAE90" s="1"/>
      <c r="LAF90" s="1"/>
      <c r="LAG90" s="1"/>
      <c r="LAH90" s="1"/>
      <c r="LAI90" s="1"/>
      <c r="LAJ90" s="1"/>
      <c r="LAK90" s="1"/>
      <c r="LAL90" s="1"/>
      <c r="LAM90" s="1"/>
      <c r="LAN90" s="1"/>
      <c r="LAO90" s="1"/>
      <c r="LAP90" s="1"/>
      <c r="LAQ90" s="1"/>
      <c r="LAR90" s="1"/>
      <c r="LAS90" s="1"/>
      <c r="LAT90" s="1"/>
      <c r="LAU90" s="1"/>
      <c r="LAV90" s="1"/>
      <c r="LAW90" s="1"/>
      <c r="LAX90" s="1"/>
      <c r="LAY90" s="1"/>
      <c r="LAZ90" s="1"/>
      <c r="LBA90" s="1"/>
      <c r="LBB90" s="1"/>
      <c r="LBC90" s="1"/>
      <c r="LBD90" s="1"/>
      <c r="LBE90" s="1"/>
      <c r="LBF90" s="1"/>
      <c r="LBG90" s="1"/>
      <c r="LBH90" s="1"/>
      <c r="LBI90" s="1"/>
      <c r="LBJ90" s="1"/>
      <c r="LBK90" s="1"/>
      <c r="LBL90" s="1"/>
      <c r="LBM90" s="1"/>
      <c r="LBN90" s="1"/>
      <c r="LBO90" s="1"/>
      <c r="LBP90" s="1"/>
      <c r="LBQ90" s="1"/>
      <c r="LBR90" s="1"/>
      <c r="LBS90" s="1"/>
      <c r="LBT90" s="1"/>
      <c r="LBU90" s="1"/>
      <c r="LBV90" s="1"/>
      <c r="LBW90" s="1"/>
      <c r="LBX90" s="1"/>
      <c r="LBY90" s="1"/>
      <c r="LBZ90" s="1"/>
      <c r="LCA90" s="1"/>
      <c r="LCB90" s="1"/>
      <c r="LCC90" s="1"/>
      <c r="LCD90" s="1"/>
      <c r="LCE90" s="1"/>
      <c r="LCF90" s="1"/>
      <c r="LCG90" s="1"/>
      <c r="LCH90" s="1"/>
      <c r="LCI90" s="1"/>
      <c r="LCJ90" s="1"/>
      <c r="LCK90" s="1"/>
      <c r="LCL90" s="1"/>
      <c r="LCM90" s="1"/>
      <c r="LCN90" s="1"/>
      <c r="LCO90" s="1"/>
      <c r="LCP90" s="1"/>
      <c r="LCQ90" s="1"/>
      <c r="LCR90" s="1"/>
      <c r="LCS90" s="1"/>
      <c r="LCT90" s="1"/>
      <c r="LCU90" s="1"/>
      <c r="LCV90" s="1"/>
      <c r="LCW90" s="1"/>
      <c r="LCX90" s="1"/>
      <c r="LCY90" s="1"/>
      <c r="LCZ90" s="1"/>
      <c r="LDA90" s="1"/>
      <c r="LDB90" s="1"/>
      <c r="LDC90" s="1"/>
      <c r="LDD90" s="1"/>
      <c r="LDE90" s="1"/>
      <c r="LDF90" s="1"/>
      <c r="LDG90" s="1"/>
      <c r="LDH90" s="1"/>
      <c r="LDI90" s="1"/>
      <c r="LDJ90" s="1"/>
      <c r="LDK90" s="1"/>
      <c r="LDL90" s="1"/>
      <c r="LDM90" s="1"/>
      <c r="LDN90" s="1"/>
      <c r="LDO90" s="1"/>
      <c r="LDP90" s="1"/>
      <c r="LDQ90" s="1"/>
      <c r="LDR90" s="1"/>
      <c r="LDS90" s="1"/>
      <c r="LDT90" s="1"/>
      <c r="LDU90" s="1"/>
      <c r="LDV90" s="1"/>
      <c r="LDW90" s="1"/>
      <c r="LDX90" s="1"/>
      <c r="LDY90" s="1"/>
      <c r="LDZ90" s="1"/>
      <c r="LEA90" s="1"/>
      <c r="LEB90" s="1"/>
      <c r="LEC90" s="1"/>
      <c r="LED90" s="1"/>
      <c r="LEE90" s="1"/>
      <c r="LEF90" s="1"/>
      <c r="LEG90" s="1"/>
      <c r="LEH90" s="1"/>
      <c r="LEI90" s="1"/>
      <c r="LEJ90" s="1"/>
      <c r="LEK90" s="1"/>
      <c r="LEL90" s="1"/>
      <c r="LEM90" s="1"/>
      <c r="LEN90" s="1"/>
      <c r="LEO90" s="1"/>
      <c r="LEP90" s="1"/>
      <c r="LEQ90" s="1"/>
      <c r="LER90" s="1"/>
      <c r="LES90" s="1"/>
      <c r="LET90" s="1"/>
      <c r="LEU90" s="1"/>
      <c r="LEV90" s="1"/>
      <c r="LEW90" s="1"/>
      <c r="LEX90" s="1"/>
      <c r="LEY90" s="1"/>
      <c r="LEZ90" s="1"/>
      <c r="LFA90" s="1"/>
      <c r="LFB90" s="1"/>
      <c r="LFC90" s="1"/>
      <c r="LFD90" s="1"/>
      <c r="LFE90" s="1"/>
      <c r="LFF90" s="1"/>
      <c r="LFG90" s="1"/>
      <c r="LFH90" s="1"/>
      <c r="LFI90" s="1"/>
      <c r="LFJ90" s="1"/>
      <c r="LFK90" s="1"/>
      <c r="LFL90" s="1"/>
      <c r="LFM90" s="1"/>
      <c r="LFN90" s="1"/>
      <c r="LFO90" s="1"/>
      <c r="LFP90" s="1"/>
      <c r="LFQ90" s="1"/>
      <c r="LFR90" s="1"/>
      <c r="LFS90" s="1"/>
      <c r="LFT90" s="1"/>
      <c r="LFU90" s="1"/>
      <c r="LFV90" s="1"/>
      <c r="LFW90" s="1"/>
      <c r="LFX90" s="1"/>
      <c r="LFY90" s="1"/>
      <c r="LFZ90" s="1"/>
      <c r="LGA90" s="1"/>
      <c r="LGB90" s="1"/>
      <c r="LGC90" s="1"/>
      <c r="LGD90" s="1"/>
      <c r="LGE90" s="1"/>
      <c r="LGF90" s="1"/>
      <c r="LGG90" s="1"/>
      <c r="LGH90" s="1"/>
      <c r="LGI90" s="1"/>
      <c r="LGJ90" s="1"/>
      <c r="LGK90" s="1"/>
      <c r="LGL90" s="1"/>
      <c r="LGM90" s="1"/>
      <c r="LGN90" s="1"/>
      <c r="LGO90" s="1"/>
      <c r="LGP90" s="1"/>
      <c r="LGQ90" s="1"/>
      <c r="LGR90" s="1"/>
      <c r="LGS90" s="1"/>
      <c r="LGT90" s="1"/>
      <c r="LGU90" s="1"/>
      <c r="LGV90" s="1"/>
      <c r="LGW90" s="1"/>
      <c r="LGX90" s="1"/>
      <c r="LGY90" s="1"/>
      <c r="LGZ90" s="1"/>
      <c r="LHA90" s="1"/>
      <c r="LHB90" s="1"/>
      <c r="LHC90" s="1"/>
      <c r="LHD90" s="1"/>
      <c r="LHE90" s="1"/>
      <c r="LHF90" s="1"/>
      <c r="LHG90" s="1"/>
      <c r="LHH90" s="1"/>
      <c r="LHI90" s="1"/>
      <c r="LHJ90" s="1"/>
      <c r="LHK90" s="1"/>
      <c r="LHL90" s="1"/>
      <c r="LHM90" s="1"/>
      <c r="LHN90" s="1"/>
      <c r="LHO90" s="1"/>
      <c r="LHP90" s="1"/>
      <c r="LHQ90" s="1"/>
      <c r="LHR90" s="1"/>
      <c r="LHS90" s="1"/>
      <c r="LHT90" s="1"/>
      <c r="LHU90" s="1"/>
      <c r="LHV90" s="1"/>
      <c r="LHW90" s="1"/>
      <c r="LHX90" s="1"/>
      <c r="LHY90" s="1"/>
      <c r="LHZ90" s="1"/>
      <c r="LIA90" s="1"/>
      <c r="LIB90" s="1"/>
      <c r="LIC90" s="1"/>
      <c r="LID90" s="1"/>
      <c r="LIE90" s="1"/>
      <c r="LIF90" s="1"/>
      <c r="LIG90" s="1"/>
      <c r="LIH90" s="1"/>
      <c r="LII90" s="1"/>
      <c r="LIJ90" s="1"/>
      <c r="LIK90" s="1"/>
      <c r="LIL90" s="1"/>
      <c r="LIM90" s="1"/>
      <c r="LIN90" s="1"/>
      <c r="LIO90" s="1"/>
      <c r="LIP90" s="1"/>
      <c r="LIQ90" s="1"/>
      <c r="LIR90" s="1"/>
      <c r="LIS90" s="1"/>
      <c r="LIT90" s="1"/>
      <c r="LIU90" s="1"/>
      <c r="LIV90" s="1"/>
      <c r="LIW90" s="1"/>
      <c r="LIX90" s="1"/>
      <c r="LIY90" s="1"/>
      <c r="LIZ90" s="1"/>
      <c r="LJA90" s="1"/>
      <c r="LJB90" s="1"/>
      <c r="LJC90" s="1"/>
      <c r="LJD90" s="1"/>
      <c r="LJE90" s="1"/>
      <c r="LJF90" s="1"/>
      <c r="LJG90" s="1"/>
      <c r="LJH90" s="1"/>
      <c r="LJI90" s="1"/>
      <c r="LJJ90" s="1"/>
      <c r="LJK90" s="1"/>
      <c r="LJL90" s="1"/>
      <c r="LJM90" s="1"/>
      <c r="LJN90" s="1"/>
      <c r="LJO90" s="1"/>
      <c r="LJP90" s="1"/>
      <c r="LJQ90" s="1"/>
      <c r="LJR90" s="1"/>
      <c r="LJS90" s="1"/>
      <c r="LJT90" s="1"/>
      <c r="LJU90" s="1"/>
      <c r="LJV90" s="1"/>
      <c r="LJW90" s="1"/>
      <c r="LJX90" s="1"/>
      <c r="LJY90" s="1"/>
      <c r="LJZ90" s="1"/>
      <c r="LKA90" s="1"/>
      <c r="LKB90" s="1"/>
      <c r="LKC90" s="1"/>
      <c r="LKD90" s="1"/>
      <c r="LKE90" s="1"/>
      <c r="LKF90" s="1"/>
      <c r="LKG90" s="1"/>
      <c r="LKH90" s="1"/>
      <c r="LKI90" s="1"/>
      <c r="LKJ90" s="1"/>
      <c r="LKK90" s="1"/>
      <c r="LKL90" s="1"/>
      <c r="LKM90" s="1"/>
      <c r="LKN90" s="1"/>
      <c r="LKO90" s="1"/>
      <c r="LKP90" s="1"/>
      <c r="LKQ90" s="1"/>
      <c r="LKR90" s="1"/>
      <c r="LKS90" s="1"/>
      <c r="LKT90" s="1"/>
      <c r="LKU90" s="1"/>
      <c r="LKV90" s="1"/>
      <c r="LKW90" s="1"/>
      <c r="LKX90" s="1"/>
      <c r="LKY90" s="1"/>
      <c r="LKZ90" s="1"/>
      <c r="LLA90" s="1"/>
      <c r="LLB90" s="1"/>
      <c r="LLC90" s="1"/>
      <c r="LLD90" s="1"/>
      <c r="LLE90" s="1"/>
      <c r="LLF90" s="1"/>
      <c r="LLG90" s="1"/>
      <c r="LLH90" s="1"/>
      <c r="LLI90" s="1"/>
      <c r="LLJ90" s="1"/>
      <c r="LLK90" s="1"/>
      <c r="LLL90" s="1"/>
      <c r="LLM90" s="1"/>
      <c r="LLN90" s="1"/>
      <c r="LLO90" s="1"/>
      <c r="LLP90" s="1"/>
      <c r="LLQ90" s="1"/>
      <c r="LLR90" s="1"/>
      <c r="LLS90" s="1"/>
      <c r="LLT90" s="1"/>
      <c r="LLU90" s="1"/>
      <c r="LLV90" s="1"/>
      <c r="LLW90" s="1"/>
      <c r="LLX90" s="1"/>
      <c r="LLY90" s="1"/>
      <c r="LLZ90" s="1"/>
      <c r="LMA90" s="1"/>
      <c r="LMB90" s="1"/>
      <c r="LMC90" s="1"/>
      <c r="LMD90" s="1"/>
      <c r="LME90" s="1"/>
      <c r="LMF90" s="1"/>
      <c r="LMG90" s="1"/>
      <c r="LMH90" s="1"/>
      <c r="LMI90" s="1"/>
      <c r="LMJ90" s="1"/>
      <c r="LMK90" s="1"/>
      <c r="LML90" s="1"/>
      <c r="LMM90" s="1"/>
      <c r="LMN90" s="1"/>
      <c r="LMO90" s="1"/>
      <c r="LMP90" s="1"/>
      <c r="LMQ90" s="1"/>
      <c r="LMR90" s="1"/>
      <c r="LMS90" s="1"/>
      <c r="LMT90" s="1"/>
      <c r="LMU90" s="1"/>
      <c r="LMV90" s="1"/>
      <c r="LMW90" s="1"/>
      <c r="LMX90" s="1"/>
      <c r="LMY90" s="1"/>
      <c r="LMZ90" s="1"/>
      <c r="LNA90" s="1"/>
      <c r="LNB90" s="1"/>
      <c r="LNC90" s="1"/>
      <c r="LND90" s="1"/>
      <c r="LNE90" s="1"/>
      <c r="LNF90" s="1"/>
      <c r="LNG90" s="1"/>
      <c r="LNH90" s="1"/>
      <c r="LNI90" s="1"/>
      <c r="LNJ90" s="1"/>
      <c r="LNK90" s="1"/>
      <c r="LNL90" s="1"/>
      <c r="LNM90" s="1"/>
      <c r="LNN90" s="1"/>
      <c r="LNO90" s="1"/>
      <c r="LNP90" s="1"/>
      <c r="LNQ90" s="1"/>
      <c r="LNR90" s="1"/>
      <c r="LNS90" s="1"/>
      <c r="LNT90" s="1"/>
      <c r="LNU90" s="1"/>
      <c r="LNV90" s="1"/>
      <c r="LNW90" s="1"/>
      <c r="LNX90" s="1"/>
      <c r="LNY90" s="1"/>
      <c r="LNZ90" s="1"/>
      <c r="LOA90" s="1"/>
      <c r="LOB90" s="1"/>
      <c r="LOC90" s="1"/>
      <c r="LOD90" s="1"/>
      <c r="LOE90" s="1"/>
      <c r="LOF90" s="1"/>
      <c r="LOG90" s="1"/>
      <c r="LOH90" s="1"/>
      <c r="LOI90" s="1"/>
      <c r="LOJ90" s="1"/>
      <c r="LOK90" s="1"/>
      <c r="LOL90" s="1"/>
      <c r="LOM90" s="1"/>
      <c r="LON90" s="1"/>
      <c r="LOO90" s="1"/>
      <c r="LOP90" s="1"/>
      <c r="LOQ90" s="1"/>
      <c r="LOR90" s="1"/>
      <c r="LOS90" s="1"/>
      <c r="LOT90" s="1"/>
      <c r="LOU90" s="1"/>
      <c r="LOV90" s="1"/>
      <c r="LOW90" s="1"/>
      <c r="LOX90" s="1"/>
      <c r="LOY90" s="1"/>
      <c r="LOZ90" s="1"/>
      <c r="LPA90" s="1"/>
      <c r="LPB90" s="1"/>
      <c r="LPC90" s="1"/>
      <c r="LPD90" s="1"/>
      <c r="LPE90" s="1"/>
      <c r="LPF90" s="1"/>
      <c r="LPG90" s="1"/>
      <c r="LPH90" s="1"/>
      <c r="LPI90" s="1"/>
      <c r="LPJ90" s="1"/>
      <c r="LPK90" s="1"/>
      <c r="LPL90" s="1"/>
      <c r="LPM90" s="1"/>
      <c r="LPN90" s="1"/>
      <c r="LPO90" s="1"/>
      <c r="LPP90" s="1"/>
      <c r="LPQ90" s="1"/>
      <c r="LPR90" s="1"/>
      <c r="LPS90" s="1"/>
      <c r="LPT90" s="1"/>
      <c r="LPU90" s="1"/>
      <c r="LPV90" s="1"/>
      <c r="LPW90" s="1"/>
      <c r="LPX90" s="1"/>
      <c r="LPY90" s="1"/>
      <c r="LPZ90" s="1"/>
      <c r="LQA90" s="1"/>
      <c r="LQB90" s="1"/>
      <c r="LQC90" s="1"/>
      <c r="LQD90" s="1"/>
      <c r="LQE90" s="1"/>
      <c r="LQF90" s="1"/>
      <c r="LQG90" s="1"/>
      <c r="LQH90" s="1"/>
      <c r="LQI90" s="1"/>
      <c r="LQJ90" s="1"/>
      <c r="LQK90" s="1"/>
      <c r="LQL90" s="1"/>
      <c r="LQM90" s="1"/>
      <c r="LQN90" s="1"/>
      <c r="LQO90" s="1"/>
      <c r="LQP90" s="1"/>
      <c r="LQQ90" s="1"/>
      <c r="LQR90" s="1"/>
      <c r="LQS90" s="1"/>
      <c r="LQT90" s="1"/>
      <c r="LQU90" s="1"/>
      <c r="LQV90" s="1"/>
      <c r="LQW90" s="1"/>
      <c r="LQX90" s="1"/>
      <c r="LQY90" s="1"/>
      <c r="LQZ90" s="1"/>
      <c r="LRA90" s="1"/>
      <c r="LRB90" s="1"/>
      <c r="LRC90" s="1"/>
      <c r="LRD90" s="1"/>
      <c r="LRE90" s="1"/>
      <c r="LRF90" s="1"/>
      <c r="LRG90" s="1"/>
      <c r="LRH90" s="1"/>
      <c r="LRI90" s="1"/>
      <c r="LRJ90" s="1"/>
      <c r="LRK90" s="1"/>
      <c r="LRL90" s="1"/>
      <c r="LRM90" s="1"/>
      <c r="LRN90" s="1"/>
      <c r="LRO90" s="1"/>
      <c r="LRP90" s="1"/>
      <c r="LRQ90" s="1"/>
      <c r="LRR90" s="1"/>
      <c r="LRS90" s="1"/>
      <c r="LRT90" s="1"/>
      <c r="LRU90" s="1"/>
      <c r="LRV90" s="1"/>
      <c r="LRW90" s="1"/>
      <c r="LRX90" s="1"/>
      <c r="LRY90" s="1"/>
      <c r="LRZ90" s="1"/>
      <c r="LSA90" s="1"/>
      <c r="LSB90" s="1"/>
      <c r="LSC90" s="1"/>
      <c r="LSD90" s="1"/>
      <c r="LSE90" s="1"/>
      <c r="LSF90" s="1"/>
      <c r="LSG90" s="1"/>
      <c r="LSH90" s="1"/>
      <c r="LSI90" s="1"/>
      <c r="LSJ90" s="1"/>
      <c r="LSK90" s="1"/>
      <c r="LSL90" s="1"/>
      <c r="LSM90" s="1"/>
      <c r="LSN90" s="1"/>
      <c r="LSO90" s="1"/>
      <c r="LSP90" s="1"/>
      <c r="LSQ90" s="1"/>
      <c r="LSR90" s="1"/>
      <c r="LSS90" s="1"/>
      <c r="LST90" s="1"/>
      <c r="LSU90" s="1"/>
      <c r="LSV90" s="1"/>
      <c r="LSW90" s="1"/>
      <c r="LSX90" s="1"/>
      <c r="LSY90" s="1"/>
      <c r="LSZ90" s="1"/>
      <c r="LTA90" s="1"/>
      <c r="LTB90" s="1"/>
      <c r="LTC90" s="1"/>
      <c r="LTD90" s="1"/>
      <c r="LTE90" s="1"/>
      <c r="LTF90" s="1"/>
      <c r="LTG90" s="1"/>
      <c r="LTH90" s="1"/>
      <c r="LTI90" s="1"/>
      <c r="LTJ90" s="1"/>
      <c r="LTK90" s="1"/>
      <c r="LTL90" s="1"/>
      <c r="LTM90" s="1"/>
      <c r="LTN90" s="1"/>
      <c r="LTO90" s="1"/>
      <c r="LTP90" s="1"/>
      <c r="LTQ90" s="1"/>
      <c r="LTR90" s="1"/>
      <c r="LTS90" s="1"/>
      <c r="LTT90" s="1"/>
      <c r="LTU90" s="1"/>
      <c r="LTV90" s="1"/>
      <c r="LTW90" s="1"/>
      <c r="LTX90" s="1"/>
      <c r="LTY90" s="1"/>
      <c r="LTZ90" s="1"/>
      <c r="LUA90" s="1"/>
      <c r="LUB90" s="1"/>
      <c r="LUC90" s="1"/>
      <c r="LUD90" s="1"/>
      <c r="LUE90" s="1"/>
      <c r="LUF90" s="1"/>
      <c r="LUG90" s="1"/>
      <c r="LUH90" s="1"/>
      <c r="LUI90" s="1"/>
      <c r="LUJ90" s="1"/>
      <c r="LUK90" s="1"/>
      <c r="LUL90" s="1"/>
      <c r="LUM90" s="1"/>
      <c r="LUN90" s="1"/>
      <c r="LUO90" s="1"/>
      <c r="LUP90" s="1"/>
      <c r="LUQ90" s="1"/>
      <c r="LUR90" s="1"/>
      <c r="LUS90" s="1"/>
      <c r="LUT90" s="1"/>
      <c r="LUU90" s="1"/>
      <c r="LUV90" s="1"/>
      <c r="LUW90" s="1"/>
      <c r="LUX90" s="1"/>
      <c r="LUY90" s="1"/>
      <c r="LUZ90" s="1"/>
      <c r="LVA90" s="1"/>
      <c r="LVB90" s="1"/>
      <c r="LVC90" s="1"/>
      <c r="LVD90" s="1"/>
      <c r="LVE90" s="1"/>
      <c r="LVF90" s="1"/>
      <c r="LVG90" s="1"/>
      <c r="LVH90" s="1"/>
      <c r="LVI90" s="1"/>
      <c r="LVJ90" s="1"/>
      <c r="LVK90" s="1"/>
      <c r="LVL90" s="1"/>
      <c r="LVM90" s="1"/>
      <c r="LVN90" s="1"/>
      <c r="LVO90" s="1"/>
      <c r="LVP90" s="1"/>
      <c r="LVQ90" s="1"/>
      <c r="LVR90" s="1"/>
      <c r="LVS90" s="1"/>
      <c r="LVT90" s="1"/>
      <c r="LVU90" s="1"/>
      <c r="LVV90" s="1"/>
      <c r="LVW90" s="1"/>
      <c r="LVX90" s="1"/>
      <c r="LVY90" s="1"/>
      <c r="LVZ90" s="1"/>
      <c r="LWA90" s="1"/>
      <c r="LWB90" s="1"/>
      <c r="LWC90" s="1"/>
      <c r="LWD90" s="1"/>
      <c r="LWE90" s="1"/>
      <c r="LWF90" s="1"/>
      <c r="LWG90" s="1"/>
      <c r="LWH90" s="1"/>
      <c r="LWI90" s="1"/>
      <c r="LWJ90" s="1"/>
      <c r="LWK90" s="1"/>
      <c r="LWL90" s="1"/>
      <c r="LWM90" s="1"/>
      <c r="LWN90" s="1"/>
      <c r="LWO90" s="1"/>
      <c r="LWP90" s="1"/>
      <c r="LWQ90" s="1"/>
      <c r="LWR90" s="1"/>
      <c r="LWS90" s="1"/>
      <c r="LWT90" s="1"/>
      <c r="LWU90" s="1"/>
      <c r="LWV90" s="1"/>
      <c r="LWW90" s="1"/>
      <c r="LWX90" s="1"/>
      <c r="LWY90" s="1"/>
      <c r="LWZ90" s="1"/>
      <c r="LXA90" s="1"/>
      <c r="LXB90" s="1"/>
      <c r="LXC90" s="1"/>
      <c r="LXD90" s="1"/>
      <c r="LXE90" s="1"/>
      <c r="LXF90" s="1"/>
      <c r="LXG90" s="1"/>
      <c r="LXH90" s="1"/>
      <c r="LXI90" s="1"/>
      <c r="LXJ90" s="1"/>
      <c r="LXK90" s="1"/>
      <c r="LXL90" s="1"/>
      <c r="LXM90" s="1"/>
      <c r="LXN90" s="1"/>
      <c r="LXO90" s="1"/>
      <c r="LXP90" s="1"/>
      <c r="LXQ90" s="1"/>
      <c r="LXR90" s="1"/>
      <c r="LXS90" s="1"/>
      <c r="LXT90" s="1"/>
      <c r="LXU90" s="1"/>
      <c r="LXV90" s="1"/>
      <c r="LXW90" s="1"/>
      <c r="LXX90" s="1"/>
      <c r="LXY90" s="1"/>
      <c r="LXZ90" s="1"/>
      <c r="LYA90" s="1"/>
      <c r="LYB90" s="1"/>
      <c r="LYC90" s="1"/>
      <c r="LYD90" s="1"/>
      <c r="LYE90" s="1"/>
      <c r="LYF90" s="1"/>
      <c r="LYG90" s="1"/>
      <c r="LYH90" s="1"/>
      <c r="LYI90" s="1"/>
      <c r="LYJ90" s="1"/>
      <c r="LYK90" s="1"/>
      <c r="LYL90" s="1"/>
      <c r="LYM90" s="1"/>
      <c r="LYN90" s="1"/>
      <c r="LYO90" s="1"/>
      <c r="LYP90" s="1"/>
      <c r="LYQ90" s="1"/>
      <c r="LYR90" s="1"/>
      <c r="LYS90" s="1"/>
      <c r="LYT90" s="1"/>
      <c r="LYU90" s="1"/>
      <c r="LYV90" s="1"/>
      <c r="LYW90" s="1"/>
      <c r="LYX90" s="1"/>
      <c r="LYY90" s="1"/>
      <c r="LYZ90" s="1"/>
      <c r="LZA90" s="1"/>
      <c r="LZB90" s="1"/>
      <c r="LZC90" s="1"/>
      <c r="LZD90" s="1"/>
      <c r="LZE90" s="1"/>
      <c r="LZF90" s="1"/>
      <c r="LZG90" s="1"/>
      <c r="LZH90" s="1"/>
      <c r="LZI90" s="1"/>
      <c r="LZJ90" s="1"/>
      <c r="LZK90" s="1"/>
      <c r="LZL90" s="1"/>
      <c r="LZM90" s="1"/>
      <c r="LZN90" s="1"/>
      <c r="LZO90" s="1"/>
      <c r="LZP90" s="1"/>
      <c r="LZQ90" s="1"/>
      <c r="LZR90" s="1"/>
      <c r="LZS90" s="1"/>
      <c r="LZT90" s="1"/>
      <c r="LZU90" s="1"/>
      <c r="LZV90" s="1"/>
      <c r="LZW90" s="1"/>
      <c r="LZX90" s="1"/>
      <c r="LZY90" s="1"/>
      <c r="LZZ90" s="1"/>
      <c r="MAA90" s="1"/>
      <c r="MAB90" s="1"/>
      <c r="MAC90" s="1"/>
      <c r="MAD90" s="1"/>
      <c r="MAE90" s="1"/>
      <c r="MAF90" s="1"/>
      <c r="MAG90" s="1"/>
      <c r="MAH90" s="1"/>
      <c r="MAI90" s="1"/>
      <c r="MAJ90" s="1"/>
      <c r="MAK90" s="1"/>
      <c r="MAL90" s="1"/>
      <c r="MAM90" s="1"/>
      <c r="MAN90" s="1"/>
      <c r="MAO90" s="1"/>
      <c r="MAP90" s="1"/>
      <c r="MAQ90" s="1"/>
      <c r="MAR90" s="1"/>
      <c r="MAS90" s="1"/>
      <c r="MAT90" s="1"/>
      <c r="MAU90" s="1"/>
      <c r="MAV90" s="1"/>
      <c r="MAW90" s="1"/>
      <c r="MAX90" s="1"/>
      <c r="MAY90" s="1"/>
      <c r="MAZ90" s="1"/>
      <c r="MBA90" s="1"/>
      <c r="MBB90" s="1"/>
      <c r="MBC90" s="1"/>
      <c r="MBD90" s="1"/>
      <c r="MBE90" s="1"/>
      <c r="MBF90" s="1"/>
      <c r="MBG90" s="1"/>
      <c r="MBH90" s="1"/>
      <c r="MBI90" s="1"/>
      <c r="MBJ90" s="1"/>
      <c r="MBK90" s="1"/>
      <c r="MBL90" s="1"/>
      <c r="MBM90" s="1"/>
      <c r="MBN90" s="1"/>
      <c r="MBO90" s="1"/>
      <c r="MBP90" s="1"/>
      <c r="MBQ90" s="1"/>
      <c r="MBR90" s="1"/>
      <c r="MBS90" s="1"/>
      <c r="MBT90" s="1"/>
      <c r="MBU90" s="1"/>
      <c r="MBV90" s="1"/>
      <c r="MBW90" s="1"/>
      <c r="MBX90" s="1"/>
      <c r="MBY90" s="1"/>
      <c r="MBZ90" s="1"/>
      <c r="MCA90" s="1"/>
      <c r="MCB90" s="1"/>
      <c r="MCC90" s="1"/>
      <c r="MCD90" s="1"/>
      <c r="MCE90" s="1"/>
      <c r="MCF90" s="1"/>
      <c r="MCG90" s="1"/>
      <c r="MCH90" s="1"/>
      <c r="MCI90" s="1"/>
      <c r="MCJ90" s="1"/>
      <c r="MCK90" s="1"/>
      <c r="MCL90" s="1"/>
      <c r="MCM90" s="1"/>
      <c r="MCN90" s="1"/>
      <c r="MCO90" s="1"/>
      <c r="MCP90" s="1"/>
      <c r="MCQ90" s="1"/>
      <c r="MCR90" s="1"/>
      <c r="MCS90" s="1"/>
      <c r="MCT90" s="1"/>
      <c r="MCU90" s="1"/>
      <c r="MCV90" s="1"/>
      <c r="MCW90" s="1"/>
      <c r="MCX90" s="1"/>
      <c r="MCY90" s="1"/>
      <c r="MCZ90" s="1"/>
      <c r="MDA90" s="1"/>
      <c r="MDB90" s="1"/>
      <c r="MDC90" s="1"/>
      <c r="MDD90" s="1"/>
      <c r="MDE90" s="1"/>
      <c r="MDF90" s="1"/>
      <c r="MDG90" s="1"/>
      <c r="MDH90" s="1"/>
      <c r="MDI90" s="1"/>
      <c r="MDJ90" s="1"/>
      <c r="MDK90" s="1"/>
      <c r="MDL90" s="1"/>
      <c r="MDM90" s="1"/>
      <c r="MDN90" s="1"/>
      <c r="MDO90" s="1"/>
      <c r="MDP90" s="1"/>
      <c r="MDQ90" s="1"/>
      <c r="MDR90" s="1"/>
      <c r="MDS90" s="1"/>
      <c r="MDT90" s="1"/>
      <c r="MDU90" s="1"/>
      <c r="MDV90" s="1"/>
      <c r="MDW90" s="1"/>
      <c r="MDX90" s="1"/>
      <c r="MDY90" s="1"/>
      <c r="MDZ90" s="1"/>
      <c r="MEA90" s="1"/>
      <c r="MEB90" s="1"/>
      <c r="MEC90" s="1"/>
      <c r="MED90" s="1"/>
      <c r="MEE90" s="1"/>
      <c r="MEF90" s="1"/>
      <c r="MEG90" s="1"/>
      <c r="MEH90" s="1"/>
      <c r="MEI90" s="1"/>
      <c r="MEJ90" s="1"/>
      <c r="MEK90" s="1"/>
      <c r="MEL90" s="1"/>
      <c r="MEM90" s="1"/>
      <c r="MEN90" s="1"/>
      <c r="MEO90" s="1"/>
      <c r="MEP90" s="1"/>
      <c r="MEQ90" s="1"/>
      <c r="MER90" s="1"/>
      <c r="MES90" s="1"/>
      <c r="MET90" s="1"/>
      <c r="MEU90" s="1"/>
      <c r="MEV90" s="1"/>
      <c r="MEW90" s="1"/>
      <c r="MEX90" s="1"/>
      <c r="MEY90" s="1"/>
      <c r="MEZ90" s="1"/>
      <c r="MFA90" s="1"/>
      <c r="MFB90" s="1"/>
      <c r="MFC90" s="1"/>
      <c r="MFD90" s="1"/>
      <c r="MFE90" s="1"/>
      <c r="MFF90" s="1"/>
      <c r="MFG90" s="1"/>
      <c r="MFH90" s="1"/>
      <c r="MFI90" s="1"/>
      <c r="MFJ90" s="1"/>
      <c r="MFK90" s="1"/>
      <c r="MFL90" s="1"/>
      <c r="MFM90" s="1"/>
      <c r="MFN90" s="1"/>
      <c r="MFO90" s="1"/>
      <c r="MFP90" s="1"/>
      <c r="MFQ90" s="1"/>
      <c r="MFR90" s="1"/>
      <c r="MFS90" s="1"/>
      <c r="MFT90" s="1"/>
      <c r="MFU90" s="1"/>
      <c r="MFV90" s="1"/>
      <c r="MFW90" s="1"/>
      <c r="MFX90" s="1"/>
      <c r="MFY90" s="1"/>
      <c r="MFZ90" s="1"/>
      <c r="MGA90" s="1"/>
      <c r="MGB90" s="1"/>
      <c r="MGC90" s="1"/>
      <c r="MGD90" s="1"/>
      <c r="MGE90" s="1"/>
      <c r="MGF90" s="1"/>
      <c r="MGG90" s="1"/>
      <c r="MGH90" s="1"/>
      <c r="MGI90" s="1"/>
      <c r="MGJ90" s="1"/>
      <c r="MGK90" s="1"/>
      <c r="MGL90" s="1"/>
      <c r="MGM90" s="1"/>
      <c r="MGN90" s="1"/>
      <c r="MGO90" s="1"/>
      <c r="MGP90" s="1"/>
      <c r="MGQ90" s="1"/>
      <c r="MGR90" s="1"/>
      <c r="MGS90" s="1"/>
      <c r="MGT90" s="1"/>
      <c r="MGU90" s="1"/>
      <c r="MGV90" s="1"/>
      <c r="MGW90" s="1"/>
      <c r="MGX90" s="1"/>
      <c r="MGY90" s="1"/>
      <c r="MGZ90" s="1"/>
      <c r="MHA90" s="1"/>
      <c r="MHB90" s="1"/>
      <c r="MHC90" s="1"/>
      <c r="MHD90" s="1"/>
      <c r="MHE90" s="1"/>
      <c r="MHF90" s="1"/>
      <c r="MHG90" s="1"/>
      <c r="MHH90" s="1"/>
      <c r="MHI90" s="1"/>
      <c r="MHJ90" s="1"/>
      <c r="MHK90" s="1"/>
      <c r="MHL90" s="1"/>
      <c r="MHM90" s="1"/>
      <c r="MHN90" s="1"/>
      <c r="MHO90" s="1"/>
      <c r="MHP90" s="1"/>
      <c r="MHQ90" s="1"/>
      <c r="MHR90" s="1"/>
      <c r="MHS90" s="1"/>
      <c r="MHT90" s="1"/>
      <c r="MHU90" s="1"/>
      <c r="MHV90" s="1"/>
      <c r="MHW90" s="1"/>
      <c r="MHX90" s="1"/>
      <c r="MHY90" s="1"/>
      <c r="MHZ90" s="1"/>
      <c r="MIA90" s="1"/>
      <c r="MIB90" s="1"/>
      <c r="MIC90" s="1"/>
      <c r="MID90" s="1"/>
      <c r="MIE90" s="1"/>
      <c r="MIF90" s="1"/>
      <c r="MIG90" s="1"/>
      <c r="MIH90" s="1"/>
      <c r="MII90" s="1"/>
      <c r="MIJ90" s="1"/>
      <c r="MIK90" s="1"/>
      <c r="MIL90" s="1"/>
      <c r="MIM90" s="1"/>
      <c r="MIN90" s="1"/>
      <c r="MIO90" s="1"/>
      <c r="MIP90" s="1"/>
      <c r="MIQ90" s="1"/>
      <c r="MIR90" s="1"/>
      <c r="MIS90" s="1"/>
      <c r="MIT90" s="1"/>
      <c r="MIU90" s="1"/>
      <c r="MIV90" s="1"/>
      <c r="MIW90" s="1"/>
      <c r="MIX90" s="1"/>
      <c r="MIY90" s="1"/>
      <c r="MIZ90" s="1"/>
      <c r="MJA90" s="1"/>
      <c r="MJB90" s="1"/>
      <c r="MJC90" s="1"/>
      <c r="MJD90" s="1"/>
      <c r="MJE90" s="1"/>
      <c r="MJF90" s="1"/>
      <c r="MJG90" s="1"/>
      <c r="MJH90" s="1"/>
      <c r="MJI90" s="1"/>
      <c r="MJJ90" s="1"/>
      <c r="MJK90" s="1"/>
      <c r="MJL90" s="1"/>
      <c r="MJM90" s="1"/>
      <c r="MJN90" s="1"/>
      <c r="MJO90" s="1"/>
      <c r="MJP90" s="1"/>
      <c r="MJQ90" s="1"/>
      <c r="MJR90" s="1"/>
      <c r="MJS90" s="1"/>
      <c r="MJT90" s="1"/>
      <c r="MJU90" s="1"/>
      <c r="MJV90" s="1"/>
      <c r="MJW90" s="1"/>
      <c r="MJX90" s="1"/>
      <c r="MJY90" s="1"/>
      <c r="MJZ90" s="1"/>
      <c r="MKA90" s="1"/>
      <c r="MKB90" s="1"/>
      <c r="MKC90" s="1"/>
      <c r="MKD90" s="1"/>
      <c r="MKE90" s="1"/>
      <c r="MKF90" s="1"/>
      <c r="MKG90" s="1"/>
      <c r="MKH90" s="1"/>
      <c r="MKI90" s="1"/>
      <c r="MKJ90" s="1"/>
      <c r="MKK90" s="1"/>
      <c r="MKL90" s="1"/>
      <c r="MKM90" s="1"/>
      <c r="MKN90" s="1"/>
      <c r="MKO90" s="1"/>
      <c r="MKP90" s="1"/>
      <c r="MKQ90" s="1"/>
      <c r="MKR90" s="1"/>
      <c r="MKS90" s="1"/>
      <c r="MKT90" s="1"/>
      <c r="MKU90" s="1"/>
      <c r="MKV90" s="1"/>
      <c r="MKW90" s="1"/>
      <c r="MKX90" s="1"/>
      <c r="MKY90" s="1"/>
      <c r="MKZ90" s="1"/>
      <c r="MLA90" s="1"/>
      <c r="MLB90" s="1"/>
      <c r="MLC90" s="1"/>
      <c r="MLD90" s="1"/>
      <c r="MLE90" s="1"/>
      <c r="MLF90" s="1"/>
      <c r="MLG90" s="1"/>
      <c r="MLH90" s="1"/>
      <c r="MLI90" s="1"/>
      <c r="MLJ90" s="1"/>
      <c r="MLK90" s="1"/>
      <c r="MLL90" s="1"/>
      <c r="MLM90" s="1"/>
      <c r="MLN90" s="1"/>
      <c r="MLO90" s="1"/>
      <c r="MLP90" s="1"/>
      <c r="MLQ90" s="1"/>
      <c r="MLR90" s="1"/>
      <c r="MLS90" s="1"/>
      <c r="MLT90" s="1"/>
      <c r="MLU90" s="1"/>
      <c r="MLV90" s="1"/>
      <c r="MLW90" s="1"/>
      <c r="MLX90" s="1"/>
      <c r="MLY90" s="1"/>
      <c r="MLZ90" s="1"/>
      <c r="MMA90" s="1"/>
      <c r="MMB90" s="1"/>
      <c r="MMC90" s="1"/>
      <c r="MMD90" s="1"/>
      <c r="MME90" s="1"/>
      <c r="MMF90" s="1"/>
      <c r="MMG90" s="1"/>
      <c r="MMH90" s="1"/>
      <c r="MMI90" s="1"/>
      <c r="MMJ90" s="1"/>
      <c r="MMK90" s="1"/>
      <c r="MML90" s="1"/>
      <c r="MMM90" s="1"/>
      <c r="MMN90" s="1"/>
      <c r="MMO90" s="1"/>
      <c r="MMP90" s="1"/>
      <c r="MMQ90" s="1"/>
      <c r="MMR90" s="1"/>
      <c r="MMS90" s="1"/>
      <c r="MMT90" s="1"/>
      <c r="MMU90" s="1"/>
      <c r="MMV90" s="1"/>
      <c r="MMW90" s="1"/>
      <c r="MMX90" s="1"/>
      <c r="MMY90" s="1"/>
      <c r="MMZ90" s="1"/>
      <c r="MNA90" s="1"/>
      <c r="MNB90" s="1"/>
      <c r="MNC90" s="1"/>
      <c r="MND90" s="1"/>
      <c r="MNE90" s="1"/>
      <c r="MNF90" s="1"/>
      <c r="MNG90" s="1"/>
      <c r="MNH90" s="1"/>
      <c r="MNI90" s="1"/>
      <c r="MNJ90" s="1"/>
      <c r="MNK90" s="1"/>
      <c r="MNL90" s="1"/>
      <c r="MNM90" s="1"/>
      <c r="MNN90" s="1"/>
      <c r="MNO90" s="1"/>
      <c r="MNP90" s="1"/>
      <c r="MNQ90" s="1"/>
      <c r="MNR90" s="1"/>
      <c r="MNS90" s="1"/>
      <c r="MNT90" s="1"/>
      <c r="MNU90" s="1"/>
      <c r="MNV90" s="1"/>
      <c r="MNW90" s="1"/>
      <c r="MNX90" s="1"/>
      <c r="MNY90" s="1"/>
      <c r="MNZ90" s="1"/>
      <c r="MOA90" s="1"/>
      <c r="MOB90" s="1"/>
      <c r="MOC90" s="1"/>
      <c r="MOD90" s="1"/>
      <c r="MOE90" s="1"/>
      <c r="MOF90" s="1"/>
      <c r="MOG90" s="1"/>
      <c r="MOH90" s="1"/>
      <c r="MOI90" s="1"/>
      <c r="MOJ90" s="1"/>
      <c r="MOK90" s="1"/>
      <c r="MOL90" s="1"/>
      <c r="MOM90" s="1"/>
      <c r="MON90" s="1"/>
      <c r="MOO90" s="1"/>
      <c r="MOP90" s="1"/>
      <c r="MOQ90" s="1"/>
      <c r="MOR90" s="1"/>
      <c r="MOS90" s="1"/>
      <c r="MOT90" s="1"/>
      <c r="MOU90" s="1"/>
      <c r="MOV90" s="1"/>
      <c r="MOW90" s="1"/>
      <c r="MOX90" s="1"/>
      <c r="MOY90" s="1"/>
      <c r="MOZ90" s="1"/>
      <c r="MPA90" s="1"/>
      <c r="MPB90" s="1"/>
      <c r="MPC90" s="1"/>
      <c r="MPD90" s="1"/>
      <c r="MPE90" s="1"/>
      <c r="MPF90" s="1"/>
      <c r="MPG90" s="1"/>
      <c r="MPH90" s="1"/>
      <c r="MPI90" s="1"/>
      <c r="MPJ90" s="1"/>
      <c r="MPK90" s="1"/>
      <c r="MPL90" s="1"/>
      <c r="MPM90" s="1"/>
      <c r="MPN90" s="1"/>
      <c r="MPO90" s="1"/>
      <c r="MPP90" s="1"/>
      <c r="MPQ90" s="1"/>
      <c r="MPR90" s="1"/>
      <c r="MPS90" s="1"/>
      <c r="MPT90" s="1"/>
      <c r="MPU90" s="1"/>
      <c r="MPV90" s="1"/>
      <c r="MPW90" s="1"/>
      <c r="MPX90" s="1"/>
      <c r="MPY90" s="1"/>
      <c r="MPZ90" s="1"/>
      <c r="MQA90" s="1"/>
      <c r="MQB90" s="1"/>
      <c r="MQC90" s="1"/>
      <c r="MQD90" s="1"/>
      <c r="MQE90" s="1"/>
      <c r="MQF90" s="1"/>
      <c r="MQG90" s="1"/>
      <c r="MQH90" s="1"/>
      <c r="MQI90" s="1"/>
      <c r="MQJ90" s="1"/>
      <c r="MQK90" s="1"/>
      <c r="MQL90" s="1"/>
      <c r="MQM90" s="1"/>
      <c r="MQN90" s="1"/>
      <c r="MQO90" s="1"/>
      <c r="MQP90" s="1"/>
      <c r="MQQ90" s="1"/>
      <c r="MQR90" s="1"/>
      <c r="MQS90" s="1"/>
      <c r="MQT90" s="1"/>
      <c r="MQU90" s="1"/>
      <c r="MQV90" s="1"/>
      <c r="MQW90" s="1"/>
      <c r="MQX90" s="1"/>
      <c r="MQY90" s="1"/>
      <c r="MQZ90" s="1"/>
      <c r="MRA90" s="1"/>
      <c r="MRB90" s="1"/>
      <c r="MRC90" s="1"/>
      <c r="MRD90" s="1"/>
      <c r="MRE90" s="1"/>
      <c r="MRF90" s="1"/>
      <c r="MRG90" s="1"/>
      <c r="MRH90" s="1"/>
      <c r="MRI90" s="1"/>
      <c r="MRJ90" s="1"/>
      <c r="MRK90" s="1"/>
      <c r="MRL90" s="1"/>
      <c r="MRM90" s="1"/>
      <c r="MRN90" s="1"/>
      <c r="MRO90" s="1"/>
      <c r="MRP90" s="1"/>
      <c r="MRQ90" s="1"/>
      <c r="MRR90" s="1"/>
      <c r="MRS90" s="1"/>
      <c r="MRT90" s="1"/>
      <c r="MRU90" s="1"/>
      <c r="MRV90" s="1"/>
      <c r="MRW90" s="1"/>
      <c r="MRX90" s="1"/>
      <c r="MRY90" s="1"/>
      <c r="MRZ90" s="1"/>
      <c r="MSA90" s="1"/>
      <c r="MSB90" s="1"/>
      <c r="MSC90" s="1"/>
      <c r="MSD90" s="1"/>
      <c r="MSE90" s="1"/>
      <c r="MSF90" s="1"/>
      <c r="MSG90" s="1"/>
      <c r="MSH90" s="1"/>
      <c r="MSI90" s="1"/>
      <c r="MSJ90" s="1"/>
      <c r="MSK90" s="1"/>
      <c r="MSL90" s="1"/>
      <c r="MSM90" s="1"/>
      <c r="MSN90" s="1"/>
      <c r="MSO90" s="1"/>
      <c r="MSP90" s="1"/>
      <c r="MSQ90" s="1"/>
      <c r="MSR90" s="1"/>
      <c r="MSS90" s="1"/>
      <c r="MST90" s="1"/>
      <c r="MSU90" s="1"/>
      <c r="MSV90" s="1"/>
      <c r="MSW90" s="1"/>
      <c r="MSX90" s="1"/>
      <c r="MSY90" s="1"/>
      <c r="MSZ90" s="1"/>
      <c r="MTA90" s="1"/>
      <c r="MTB90" s="1"/>
      <c r="MTC90" s="1"/>
      <c r="MTD90" s="1"/>
      <c r="MTE90" s="1"/>
      <c r="MTF90" s="1"/>
      <c r="MTG90" s="1"/>
      <c r="MTH90" s="1"/>
      <c r="MTI90" s="1"/>
      <c r="MTJ90" s="1"/>
      <c r="MTK90" s="1"/>
      <c r="MTL90" s="1"/>
      <c r="MTM90" s="1"/>
      <c r="MTN90" s="1"/>
      <c r="MTO90" s="1"/>
      <c r="MTP90" s="1"/>
      <c r="MTQ90" s="1"/>
      <c r="MTR90" s="1"/>
      <c r="MTS90" s="1"/>
      <c r="MTT90" s="1"/>
      <c r="MTU90" s="1"/>
      <c r="MTV90" s="1"/>
      <c r="MTW90" s="1"/>
      <c r="MTX90" s="1"/>
      <c r="MTY90" s="1"/>
      <c r="MTZ90" s="1"/>
      <c r="MUA90" s="1"/>
      <c r="MUB90" s="1"/>
      <c r="MUC90" s="1"/>
      <c r="MUD90" s="1"/>
      <c r="MUE90" s="1"/>
      <c r="MUF90" s="1"/>
      <c r="MUG90" s="1"/>
      <c r="MUH90" s="1"/>
      <c r="MUI90" s="1"/>
      <c r="MUJ90" s="1"/>
      <c r="MUK90" s="1"/>
      <c r="MUL90" s="1"/>
      <c r="MUM90" s="1"/>
      <c r="MUN90" s="1"/>
      <c r="MUO90" s="1"/>
      <c r="MUP90" s="1"/>
      <c r="MUQ90" s="1"/>
      <c r="MUR90" s="1"/>
      <c r="MUS90" s="1"/>
      <c r="MUT90" s="1"/>
      <c r="MUU90" s="1"/>
      <c r="MUV90" s="1"/>
      <c r="MUW90" s="1"/>
      <c r="MUX90" s="1"/>
      <c r="MUY90" s="1"/>
      <c r="MUZ90" s="1"/>
      <c r="MVA90" s="1"/>
      <c r="MVB90" s="1"/>
      <c r="MVC90" s="1"/>
      <c r="MVD90" s="1"/>
      <c r="MVE90" s="1"/>
      <c r="MVF90" s="1"/>
      <c r="MVG90" s="1"/>
      <c r="MVH90" s="1"/>
      <c r="MVI90" s="1"/>
      <c r="MVJ90" s="1"/>
      <c r="MVK90" s="1"/>
      <c r="MVL90" s="1"/>
      <c r="MVM90" s="1"/>
      <c r="MVN90" s="1"/>
      <c r="MVO90" s="1"/>
      <c r="MVP90" s="1"/>
      <c r="MVQ90" s="1"/>
      <c r="MVR90" s="1"/>
      <c r="MVS90" s="1"/>
      <c r="MVT90" s="1"/>
      <c r="MVU90" s="1"/>
      <c r="MVV90" s="1"/>
      <c r="MVW90" s="1"/>
      <c r="MVX90" s="1"/>
      <c r="MVY90" s="1"/>
      <c r="MVZ90" s="1"/>
      <c r="MWA90" s="1"/>
      <c r="MWB90" s="1"/>
      <c r="MWC90" s="1"/>
      <c r="MWD90" s="1"/>
      <c r="MWE90" s="1"/>
      <c r="MWF90" s="1"/>
      <c r="MWG90" s="1"/>
      <c r="MWH90" s="1"/>
      <c r="MWI90" s="1"/>
      <c r="MWJ90" s="1"/>
      <c r="MWK90" s="1"/>
      <c r="MWL90" s="1"/>
      <c r="MWM90" s="1"/>
      <c r="MWN90" s="1"/>
      <c r="MWO90" s="1"/>
      <c r="MWP90" s="1"/>
      <c r="MWQ90" s="1"/>
      <c r="MWR90" s="1"/>
      <c r="MWS90" s="1"/>
      <c r="MWT90" s="1"/>
      <c r="MWU90" s="1"/>
      <c r="MWV90" s="1"/>
      <c r="MWW90" s="1"/>
      <c r="MWX90" s="1"/>
      <c r="MWY90" s="1"/>
      <c r="MWZ90" s="1"/>
      <c r="MXA90" s="1"/>
      <c r="MXB90" s="1"/>
      <c r="MXC90" s="1"/>
      <c r="MXD90" s="1"/>
      <c r="MXE90" s="1"/>
      <c r="MXF90" s="1"/>
      <c r="MXG90" s="1"/>
      <c r="MXH90" s="1"/>
      <c r="MXI90" s="1"/>
      <c r="MXJ90" s="1"/>
      <c r="MXK90" s="1"/>
      <c r="MXL90" s="1"/>
      <c r="MXM90" s="1"/>
      <c r="MXN90" s="1"/>
      <c r="MXO90" s="1"/>
      <c r="MXP90" s="1"/>
      <c r="MXQ90" s="1"/>
      <c r="MXR90" s="1"/>
      <c r="MXS90" s="1"/>
      <c r="MXT90" s="1"/>
      <c r="MXU90" s="1"/>
      <c r="MXV90" s="1"/>
      <c r="MXW90" s="1"/>
      <c r="MXX90" s="1"/>
      <c r="MXY90" s="1"/>
      <c r="MXZ90" s="1"/>
      <c r="MYA90" s="1"/>
      <c r="MYB90" s="1"/>
      <c r="MYC90" s="1"/>
      <c r="MYD90" s="1"/>
      <c r="MYE90" s="1"/>
      <c r="MYF90" s="1"/>
      <c r="MYG90" s="1"/>
      <c r="MYH90" s="1"/>
      <c r="MYI90" s="1"/>
      <c r="MYJ90" s="1"/>
      <c r="MYK90" s="1"/>
      <c r="MYL90" s="1"/>
      <c r="MYM90" s="1"/>
      <c r="MYN90" s="1"/>
      <c r="MYO90" s="1"/>
      <c r="MYP90" s="1"/>
      <c r="MYQ90" s="1"/>
      <c r="MYR90" s="1"/>
      <c r="MYS90" s="1"/>
      <c r="MYT90" s="1"/>
      <c r="MYU90" s="1"/>
      <c r="MYV90" s="1"/>
      <c r="MYW90" s="1"/>
      <c r="MYX90" s="1"/>
      <c r="MYY90" s="1"/>
      <c r="MYZ90" s="1"/>
      <c r="MZA90" s="1"/>
      <c r="MZB90" s="1"/>
      <c r="MZC90" s="1"/>
      <c r="MZD90" s="1"/>
      <c r="MZE90" s="1"/>
      <c r="MZF90" s="1"/>
      <c r="MZG90" s="1"/>
      <c r="MZH90" s="1"/>
      <c r="MZI90" s="1"/>
      <c r="MZJ90" s="1"/>
      <c r="MZK90" s="1"/>
      <c r="MZL90" s="1"/>
      <c r="MZM90" s="1"/>
      <c r="MZN90" s="1"/>
      <c r="MZO90" s="1"/>
      <c r="MZP90" s="1"/>
      <c r="MZQ90" s="1"/>
      <c r="MZR90" s="1"/>
      <c r="MZS90" s="1"/>
      <c r="MZT90" s="1"/>
      <c r="MZU90" s="1"/>
      <c r="MZV90" s="1"/>
      <c r="MZW90" s="1"/>
      <c r="MZX90" s="1"/>
      <c r="MZY90" s="1"/>
      <c r="MZZ90" s="1"/>
      <c r="NAA90" s="1"/>
      <c r="NAB90" s="1"/>
      <c r="NAC90" s="1"/>
      <c r="NAD90" s="1"/>
      <c r="NAE90" s="1"/>
      <c r="NAF90" s="1"/>
      <c r="NAG90" s="1"/>
      <c r="NAH90" s="1"/>
      <c r="NAI90" s="1"/>
      <c r="NAJ90" s="1"/>
      <c r="NAK90" s="1"/>
      <c r="NAL90" s="1"/>
      <c r="NAM90" s="1"/>
      <c r="NAN90" s="1"/>
      <c r="NAO90" s="1"/>
      <c r="NAP90" s="1"/>
      <c r="NAQ90" s="1"/>
      <c r="NAR90" s="1"/>
      <c r="NAS90" s="1"/>
      <c r="NAT90" s="1"/>
      <c r="NAU90" s="1"/>
      <c r="NAV90" s="1"/>
      <c r="NAW90" s="1"/>
      <c r="NAX90" s="1"/>
      <c r="NAY90" s="1"/>
      <c r="NAZ90" s="1"/>
      <c r="NBA90" s="1"/>
      <c r="NBB90" s="1"/>
      <c r="NBC90" s="1"/>
      <c r="NBD90" s="1"/>
      <c r="NBE90" s="1"/>
      <c r="NBF90" s="1"/>
      <c r="NBG90" s="1"/>
      <c r="NBH90" s="1"/>
      <c r="NBI90" s="1"/>
      <c r="NBJ90" s="1"/>
      <c r="NBK90" s="1"/>
      <c r="NBL90" s="1"/>
      <c r="NBM90" s="1"/>
      <c r="NBN90" s="1"/>
      <c r="NBO90" s="1"/>
      <c r="NBP90" s="1"/>
      <c r="NBQ90" s="1"/>
      <c r="NBR90" s="1"/>
      <c r="NBS90" s="1"/>
      <c r="NBT90" s="1"/>
      <c r="NBU90" s="1"/>
      <c r="NBV90" s="1"/>
      <c r="NBW90" s="1"/>
      <c r="NBX90" s="1"/>
      <c r="NBY90" s="1"/>
      <c r="NBZ90" s="1"/>
      <c r="NCA90" s="1"/>
      <c r="NCB90" s="1"/>
      <c r="NCC90" s="1"/>
      <c r="NCD90" s="1"/>
      <c r="NCE90" s="1"/>
      <c r="NCF90" s="1"/>
      <c r="NCG90" s="1"/>
      <c r="NCH90" s="1"/>
      <c r="NCI90" s="1"/>
      <c r="NCJ90" s="1"/>
      <c r="NCK90" s="1"/>
      <c r="NCL90" s="1"/>
      <c r="NCM90" s="1"/>
      <c r="NCN90" s="1"/>
      <c r="NCO90" s="1"/>
      <c r="NCP90" s="1"/>
      <c r="NCQ90" s="1"/>
      <c r="NCR90" s="1"/>
      <c r="NCS90" s="1"/>
      <c r="NCT90" s="1"/>
      <c r="NCU90" s="1"/>
      <c r="NCV90" s="1"/>
      <c r="NCW90" s="1"/>
      <c r="NCX90" s="1"/>
      <c r="NCY90" s="1"/>
      <c r="NCZ90" s="1"/>
      <c r="NDA90" s="1"/>
      <c r="NDB90" s="1"/>
      <c r="NDC90" s="1"/>
      <c r="NDD90" s="1"/>
      <c r="NDE90" s="1"/>
      <c r="NDF90" s="1"/>
      <c r="NDG90" s="1"/>
      <c r="NDH90" s="1"/>
      <c r="NDI90" s="1"/>
      <c r="NDJ90" s="1"/>
      <c r="NDK90" s="1"/>
      <c r="NDL90" s="1"/>
      <c r="NDM90" s="1"/>
      <c r="NDN90" s="1"/>
      <c r="NDO90" s="1"/>
      <c r="NDP90" s="1"/>
      <c r="NDQ90" s="1"/>
      <c r="NDR90" s="1"/>
      <c r="NDS90" s="1"/>
      <c r="NDT90" s="1"/>
      <c r="NDU90" s="1"/>
      <c r="NDV90" s="1"/>
      <c r="NDW90" s="1"/>
      <c r="NDX90" s="1"/>
      <c r="NDY90" s="1"/>
      <c r="NDZ90" s="1"/>
      <c r="NEA90" s="1"/>
      <c r="NEB90" s="1"/>
      <c r="NEC90" s="1"/>
      <c r="NED90" s="1"/>
      <c r="NEE90" s="1"/>
      <c r="NEF90" s="1"/>
      <c r="NEG90" s="1"/>
      <c r="NEH90" s="1"/>
      <c r="NEI90" s="1"/>
      <c r="NEJ90" s="1"/>
      <c r="NEK90" s="1"/>
      <c r="NEL90" s="1"/>
      <c r="NEM90" s="1"/>
      <c r="NEN90" s="1"/>
      <c r="NEO90" s="1"/>
      <c r="NEP90" s="1"/>
      <c r="NEQ90" s="1"/>
      <c r="NER90" s="1"/>
      <c r="NES90" s="1"/>
      <c r="NET90" s="1"/>
      <c r="NEU90" s="1"/>
      <c r="NEV90" s="1"/>
      <c r="NEW90" s="1"/>
      <c r="NEX90" s="1"/>
      <c r="NEY90" s="1"/>
      <c r="NEZ90" s="1"/>
      <c r="NFA90" s="1"/>
      <c r="NFB90" s="1"/>
      <c r="NFC90" s="1"/>
      <c r="NFD90" s="1"/>
      <c r="NFE90" s="1"/>
      <c r="NFF90" s="1"/>
      <c r="NFG90" s="1"/>
      <c r="NFH90" s="1"/>
      <c r="NFI90" s="1"/>
      <c r="NFJ90" s="1"/>
      <c r="NFK90" s="1"/>
      <c r="NFL90" s="1"/>
      <c r="NFM90" s="1"/>
      <c r="NFN90" s="1"/>
      <c r="NFO90" s="1"/>
      <c r="NFP90" s="1"/>
      <c r="NFQ90" s="1"/>
      <c r="NFR90" s="1"/>
      <c r="NFS90" s="1"/>
      <c r="NFT90" s="1"/>
      <c r="NFU90" s="1"/>
      <c r="NFV90" s="1"/>
      <c r="NFW90" s="1"/>
      <c r="NFX90" s="1"/>
      <c r="NFY90" s="1"/>
      <c r="NFZ90" s="1"/>
      <c r="NGA90" s="1"/>
      <c r="NGB90" s="1"/>
      <c r="NGC90" s="1"/>
      <c r="NGD90" s="1"/>
      <c r="NGE90" s="1"/>
      <c r="NGF90" s="1"/>
      <c r="NGG90" s="1"/>
      <c r="NGH90" s="1"/>
      <c r="NGI90" s="1"/>
      <c r="NGJ90" s="1"/>
      <c r="NGK90" s="1"/>
      <c r="NGL90" s="1"/>
      <c r="NGM90" s="1"/>
      <c r="NGN90" s="1"/>
      <c r="NGO90" s="1"/>
      <c r="NGP90" s="1"/>
      <c r="NGQ90" s="1"/>
      <c r="NGR90" s="1"/>
      <c r="NGS90" s="1"/>
      <c r="NGT90" s="1"/>
      <c r="NGU90" s="1"/>
      <c r="NGV90" s="1"/>
      <c r="NGW90" s="1"/>
      <c r="NGX90" s="1"/>
      <c r="NGY90" s="1"/>
      <c r="NGZ90" s="1"/>
      <c r="NHA90" s="1"/>
      <c r="NHB90" s="1"/>
      <c r="NHC90" s="1"/>
      <c r="NHD90" s="1"/>
      <c r="NHE90" s="1"/>
      <c r="NHF90" s="1"/>
      <c r="NHG90" s="1"/>
      <c r="NHH90" s="1"/>
      <c r="NHI90" s="1"/>
      <c r="NHJ90" s="1"/>
      <c r="NHK90" s="1"/>
      <c r="NHL90" s="1"/>
      <c r="NHM90" s="1"/>
      <c r="NHN90" s="1"/>
      <c r="NHO90" s="1"/>
      <c r="NHP90" s="1"/>
      <c r="NHQ90" s="1"/>
      <c r="NHR90" s="1"/>
      <c r="NHS90" s="1"/>
      <c r="NHT90" s="1"/>
      <c r="NHU90" s="1"/>
      <c r="NHV90" s="1"/>
      <c r="NHW90" s="1"/>
      <c r="NHX90" s="1"/>
      <c r="NHY90" s="1"/>
      <c r="NHZ90" s="1"/>
      <c r="NIA90" s="1"/>
      <c r="NIB90" s="1"/>
      <c r="NIC90" s="1"/>
      <c r="NID90" s="1"/>
      <c r="NIE90" s="1"/>
      <c r="NIF90" s="1"/>
      <c r="NIG90" s="1"/>
      <c r="NIH90" s="1"/>
      <c r="NII90" s="1"/>
      <c r="NIJ90" s="1"/>
      <c r="NIK90" s="1"/>
      <c r="NIL90" s="1"/>
      <c r="NIM90" s="1"/>
      <c r="NIN90" s="1"/>
      <c r="NIO90" s="1"/>
      <c r="NIP90" s="1"/>
      <c r="NIQ90" s="1"/>
      <c r="NIR90" s="1"/>
      <c r="NIS90" s="1"/>
      <c r="NIT90" s="1"/>
      <c r="NIU90" s="1"/>
      <c r="NIV90" s="1"/>
      <c r="NIW90" s="1"/>
      <c r="NIX90" s="1"/>
      <c r="NIY90" s="1"/>
      <c r="NIZ90" s="1"/>
      <c r="NJA90" s="1"/>
      <c r="NJB90" s="1"/>
      <c r="NJC90" s="1"/>
      <c r="NJD90" s="1"/>
      <c r="NJE90" s="1"/>
      <c r="NJF90" s="1"/>
      <c r="NJG90" s="1"/>
      <c r="NJH90" s="1"/>
      <c r="NJI90" s="1"/>
      <c r="NJJ90" s="1"/>
      <c r="NJK90" s="1"/>
      <c r="NJL90" s="1"/>
      <c r="NJM90" s="1"/>
      <c r="NJN90" s="1"/>
      <c r="NJO90" s="1"/>
      <c r="NJP90" s="1"/>
      <c r="NJQ90" s="1"/>
      <c r="NJR90" s="1"/>
      <c r="NJS90" s="1"/>
      <c r="NJT90" s="1"/>
      <c r="NJU90" s="1"/>
      <c r="NJV90" s="1"/>
      <c r="NJW90" s="1"/>
      <c r="NJX90" s="1"/>
      <c r="NJY90" s="1"/>
      <c r="NJZ90" s="1"/>
      <c r="NKA90" s="1"/>
      <c r="NKB90" s="1"/>
      <c r="NKC90" s="1"/>
      <c r="NKD90" s="1"/>
      <c r="NKE90" s="1"/>
      <c r="NKF90" s="1"/>
      <c r="NKG90" s="1"/>
      <c r="NKH90" s="1"/>
      <c r="NKI90" s="1"/>
      <c r="NKJ90" s="1"/>
      <c r="NKK90" s="1"/>
      <c r="NKL90" s="1"/>
      <c r="NKM90" s="1"/>
      <c r="NKN90" s="1"/>
      <c r="NKO90" s="1"/>
      <c r="NKP90" s="1"/>
      <c r="NKQ90" s="1"/>
      <c r="NKR90" s="1"/>
      <c r="NKS90" s="1"/>
      <c r="NKT90" s="1"/>
      <c r="NKU90" s="1"/>
      <c r="NKV90" s="1"/>
      <c r="NKW90" s="1"/>
      <c r="NKX90" s="1"/>
      <c r="NKY90" s="1"/>
      <c r="NKZ90" s="1"/>
      <c r="NLA90" s="1"/>
      <c r="NLB90" s="1"/>
      <c r="NLC90" s="1"/>
      <c r="NLD90" s="1"/>
      <c r="NLE90" s="1"/>
      <c r="NLF90" s="1"/>
      <c r="NLG90" s="1"/>
      <c r="NLH90" s="1"/>
      <c r="NLI90" s="1"/>
      <c r="NLJ90" s="1"/>
      <c r="NLK90" s="1"/>
      <c r="NLL90" s="1"/>
      <c r="NLM90" s="1"/>
      <c r="NLN90" s="1"/>
      <c r="NLO90" s="1"/>
      <c r="NLP90" s="1"/>
      <c r="NLQ90" s="1"/>
      <c r="NLR90" s="1"/>
      <c r="NLS90" s="1"/>
      <c r="NLT90" s="1"/>
      <c r="NLU90" s="1"/>
      <c r="NLV90" s="1"/>
      <c r="NLW90" s="1"/>
      <c r="NLX90" s="1"/>
      <c r="NLY90" s="1"/>
      <c r="NLZ90" s="1"/>
      <c r="NMA90" s="1"/>
      <c r="NMB90" s="1"/>
      <c r="NMC90" s="1"/>
      <c r="NMD90" s="1"/>
      <c r="NME90" s="1"/>
      <c r="NMF90" s="1"/>
      <c r="NMG90" s="1"/>
      <c r="NMH90" s="1"/>
      <c r="NMI90" s="1"/>
      <c r="NMJ90" s="1"/>
      <c r="NMK90" s="1"/>
      <c r="NML90" s="1"/>
      <c r="NMM90" s="1"/>
      <c r="NMN90" s="1"/>
      <c r="NMO90" s="1"/>
      <c r="NMP90" s="1"/>
      <c r="NMQ90" s="1"/>
      <c r="NMR90" s="1"/>
      <c r="NMS90" s="1"/>
      <c r="NMT90" s="1"/>
      <c r="NMU90" s="1"/>
      <c r="NMV90" s="1"/>
      <c r="NMW90" s="1"/>
      <c r="NMX90" s="1"/>
      <c r="NMY90" s="1"/>
      <c r="NMZ90" s="1"/>
      <c r="NNA90" s="1"/>
      <c r="NNB90" s="1"/>
      <c r="NNC90" s="1"/>
      <c r="NND90" s="1"/>
      <c r="NNE90" s="1"/>
      <c r="NNF90" s="1"/>
      <c r="NNG90" s="1"/>
      <c r="NNH90" s="1"/>
      <c r="NNI90" s="1"/>
      <c r="NNJ90" s="1"/>
      <c r="NNK90" s="1"/>
      <c r="NNL90" s="1"/>
      <c r="NNM90" s="1"/>
      <c r="NNN90" s="1"/>
      <c r="NNO90" s="1"/>
      <c r="NNP90" s="1"/>
      <c r="NNQ90" s="1"/>
      <c r="NNR90" s="1"/>
      <c r="NNS90" s="1"/>
      <c r="NNT90" s="1"/>
      <c r="NNU90" s="1"/>
      <c r="NNV90" s="1"/>
      <c r="NNW90" s="1"/>
      <c r="NNX90" s="1"/>
      <c r="NNY90" s="1"/>
      <c r="NNZ90" s="1"/>
      <c r="NOA90" s="1"/>
      <c r="NOB90" s="1"/>
      <c r="NOC90" s="1"/>
      <c r="NOD90" s="1"/>
      <c r="NOE90" s="1"/>
      <c r="NOF90" s="1"/>
      <c r="NOG90" s="1"/>
      <c r="NOH90" s="1"/>
      <c r="NOI90" s="1"/>
      <c r="NOJ90" s="1"/>
      <c r="NOK90" s="1"/>
      <c r="NOL90" s="1"/>
      <c r="NOM90" s="1"/>
      <c r="NON90" s="1"/>
      <c r="NOO90" s="1"/>
      <c r="NOP90" s="1"/>
      <c r="NOQ90" s="1"/>
      <c r="NOR90" s="1"/>
      <c r="NOS90" s="1"/>
      <c r="NOT90" s="1"/>
      <c r="NOU90" s="1"/>
      <c r="NOV90" s="1"/>
      <c r="NOW90" s="1"/>
      <c r="NOX90" s="1"/>
      <c r="NOY90" s="1"/>
      <c r="NOZ90" s="1"/>
      <c r="NPA90" s="1"/>
      <c r="NPB90" s="1"/>
      <c r="NPC90" s="1"/>
      <c r="NPD90" s="1"/>
      <c r="NPE90" s="1"/>
      <c r="NPF90" s="1"/>
      <c r="NPG90" s="1"/>
      <c r="NPH90" s="1"/>
      <c r="NPI90" s="1"/>
      <c r="NPJ90" s="1"/>
      <c r="NPK90" s="1"/>
      <c r="NPL90" s="1"/>
      <c r="NPM90" s="1"/>
      <c r="NPN90" s="1"/>
      <c r="NPO90" s="1"/>
      <c r="NPP90" s="1"/>
      <c r="NPQ90" s="1"/>
      <c r="NPR90" s="1"/>
      <c r="NPS90" s="1"/>
      <c r="NPT90" s="1"/>
      <c r="NPU90" s="1"/>
      <c r="NPV90" s="1"/>
      <c r="NPW90" s="1"/>
      <c r="NPX90" s="1"/>
      <c r="NPY90" s="1"/>
      <c r="NPZ90" s="1"/>
      <c r="NQA90" s="1"/>
      <c r="NQB90" s="1"/>
      <c r="NQC90" s="1"/>
      <c r="NQD90" s="1"/>
      <c r="NQE90" s="1"/>
      <c r="NQF90" s="1"/>
      <c r="NQG90" s="1"/>
      <c r="NQH90" s="1"/>
      <c r="NQI90" s="1"/>
      <c r="NQJ90" s="1"/>
      <c r="NQK90" s="1"/>
      <c r="NQL90" s="1"/>
      <c r="NQM90" s="1"/>
      <c r="NQN90" s="1"/>
      <c r="NQO90" s="1"/>
      <c r="NQP90" s="1"/>
      <c r="NQQ90" s="1"/>
      <c r="NQR90" s="1"/>
      <c r="NQS90" s="1"/>
      <c r="NQT90" s="1"/>
      <c r="NQU90" s="1"/>
      <c r="NQV90" s="1"/>
      <c r="NQW90" s="1"/>
      <c r="NQX90" s="1"/>
      <c r="NQY90" s="1"/>
      <c r="NQZ90" s="1"/>
      <c r="NRA90" s="1"/>
      <c r="NRB90" s="1"/>
      <c r="NRC90" s="1"/>
      <c r="NRD90" s="1"/>
      <c r="NRE90" s="1"/>
      <c r="NRF90" s="1"/>
      <c r="NRG90" s="1"/>
      <c r="NRH90" s="1"/>
      <c r="NRI90" s="1"/>
      <c r="NRJ90" s="1"/>
      <c r="NRK90" s="1"/>
      <c r="NRL90" s="1"/>
      <c r="NRM90" s="1"/>
      <c r="NRN90" s="1"/>
      <c r="NRO90" s="1"/>
      <c r="NRP90" s="1"/>
      <c r="NRQ90" s="1"/>
      <c r="NRR90" s="1"/>
      <c r="NRS90" s="1"/>
      <c r="NRT90" s="1"/>
      <c r="NRU90" s="1"/>
      <c r="NRV90" s="1"/>
      <c r="NRW90" s="1"/>
      <c r="NRX90" s="1"/>
      <c r="NRY90" s="1"/>
      <c r="NRZ90" s="1"/>
      <c r="NSA90" s="1"/>
      <c r="NSB90" s="1"/>
      <c r="NSC90" s="1"/>
      <c r="NSD90" s="1"/>
      <c r="NSE90" s="1"/>
      <c r="NSF90" s="1"/>
      <c r="NSG90" s="1"/>
      <c r="NSH90" s="1"/>
      <c r="NSI90" s="1"/>
      <c r="NSJ90" s="1"/>
      <c r="NSK90" s="1"/>
      <c r="NSL90" s="1"/>
      <c r="NSM90" s="1"/>
      <c r="NSN90" s="1"/>
      <c r="NSO90" s="1"/>
      <c r="NSP90" s="1"/>
      <c r="NSQ90" s="1"/>
      <c r="NSR90" s="1"/>
      <c r="NSS90" s="1"/>
      <c r="NST90" s="1"/>
      <c r="NSU90" s="1"/>
      <c r="NSV90" s="1"/>
      <c r="NSW90" s="1"/>
      <c r="NSX90" s="1"/>
      <c r="NSY90" s="1"/>
      <c r="NSZ90" s="1"/>
      <c r="NTA90" s="1"/>
      <c r="NTB90" s="1"/>
      <c r="NTC90" s="1"/>
      <c r="NTD90" s="1"/>
      <c r="NTE90" s="1"/>
      <c r="NTF90" s="1"/>
      <c r="NTG90" s="1"/>
      <c r="NTH90" s="1"/>
      <c r="NTI90" s="1"/>
      <c r="NTJ90" s="1"/>
      <c r="NTK90" s="1"/>
      <c r="NTL90" s="1"/>
      <c r="NTM90" s="1"/>
      <c r="NTN90" s="1"/>
      <c r="NTO90" s="1"/>
      <c r="NTP90" s="1"/>
      <c r="NTQ90" s="1"/>
      <c r="NTR90" s="1"/>
      <c r="NTS90" s="1"/>
      <c r="NTT90" s="1"/>
      <c r="NTU90" s="1"/>
      <c r="NTV90" s="1"/>
      <c r="NTW90" s="1"/>
      <c r="NTX90" s="1"/>
      <c r="NTY90" s="1"/>
      <c r="NTZ90" s="1"/>
      <c r="NUA90" s="1"/>
      <c r="NUB90" s="1"/>
      <c r="NUC90" s="1"/>
      <c r="NUD90" s="1"/>
      <c r="NUE90" s="1"/>
      <c r="NUF90" s="1"/>
      <c r="NUG90" s="1"/>
      <c r="NUH90" s="1"/>
      <c r="NUI90" s="1"/>
      <c r="NUJ90" s="1"/>
      <c r="NUK90" s="1"/>
      <c r="NUL90" s="1"/>
      <c r="NUM90" s="1"/>
      <c r="NUN90" s="1"/>
      <c r="NUO90" s="1"/>
      <c r="NUP90" s="1"/>
      <c r="NUQ90" s="1"/>
      <c r="NUR90" s="1"/>
      <c r="NUS90" s="1"/>
      <c r="NUT90" s="1"/>
      <c r="NUU90" s="1"/>
      <c r="NUV90" s="1"/>
      <c r="NUW90" s="1"/>
      <c r="NUX90" s="1"/>
      <c r="NUY90" s="1"/>
      <c r="NUZ90" s="1"/>
      <c r="NVA90" s="1"/>
      <c r="NVB90" s="1"/>
      <c r="NVC90" s="1"/>
      <c r="NVD90" s="1"/>
      <c r="NVE90" s="1"/>
      <c r="NVF90" s="1"/>
      <c r="NVG90" s="1"/>
      <c r="NVH90" s="1"/>
      <c r="NVI90" s="1"/>
      <c r="NVJ90" s="1"/>
      <c r="NVK90" s="1"/>
      <c r="NVL90" s="1"/>
      <c r="NVM90" s="1"/>
      <c r="NVN90" s="1"/>
      <c r="NVO90" s="1"/>
      <c r="NVP90" s="1"/>
      <c r="NVQ90" s="1"/>
      <c r="NVR90" s="1"/>
      <c r="NVS90" s="1"/>
      <c r="NVT90" s="1"/>
      <c r="NVU90" s="1"/>
      <c r="NVV90" s="1"/>
      <c r="NVW90" s="1"/>
      <c r="NVX90" s="1"/>
      <c r="NVY90" s="1"/>
      <c r="NVZ90" s="1"/>
      <c r="NWA90" s="1"/>
      <c r="NWB90" s="1"/>
      <c r="NWC90" s="1"/>
      <c r="NWD90" s="1"/>
      <c r="NWE90" s="1"/>
      <c r="NWF90" s="1"/>
      <c r="NWG90" s="1"/>
      <c r="NWH90" s="1"/>
      <c r="NWI90" s="1"/>
      <c r="NWJ90" s="1"/>
      <c r="NWK90" s="1"/>
      <c r="NWL90" s="1"/>
      <c r="NWM90" s="1"/>
      <c r="NWN90" s="1"/>
      <c r="NWO90" s="1"/>
      <c r="NWP90" s="1"/>
      <c r="NWQ90" s="1"/>
      <c r="NWR90" s="1"/>
      <c r="NWS90" s="1"/>
      <c r="NWT90" s="1"/>
      <c r="NWU90" s="1"/>
      <c r="NWV90" s="1"/>
      <c r="NWW90" s="1"/>
      <c r="NWX90" s="1"/>
      <c r="NWY90" s="1"/>
      <c r="NWZ90" s="1"/>
      <c r="NXA90" s="1"/>
      <c r="NXB90" s="1"/>
      <c r="NXC90" s="1"/>
      <c r="NXD90" s="1"/>
      <c r="NXE90" s="1"/>
      <c r="NXF90" s="1"/>
      <c r="NXG90" s="1"/>
      <c r="NXH90" s="1"/>
      <c r="NXI90" s="1"/>
      <c r="NXJ90" s="1"/>
      <c r="NXK90" s="1"/>
      <c r="NXL90" s="1"/>
      <c r="NXM90" s="1"/>
      <c r="NXN90" s="1"/>
      <c r="NXO90" s="1"/>
      <c r="NXP90" s="1"/>
      <c r="NXQ90" s="1"/>
      <c r="NXR90" s="1"/>
      <c r="NXS90" s="1"/>
      <c r="NXT90" s="1"/>
      <c r="NXU90" s="1"/>
      <c r="NXV90" s="1"/>
      <c r="NXW90" s="1"/>
      <c r="NXX90" s="1"/>
      <c r="NXY90" s="1"/>
      <c r="NXZ90" s="1"/>
      <c r="NYA90" s="1"/>
      <c r="NYB90" s="1"/>
      <c r="NYC90" s="1"/>
      <c r="NYD90" s="1"/>
      <c r="NYE90" s="1"/>
      <c r="NYF90" s="1"/>
      <c r="NYG90" s="1"/>
      <c r="NYH90" s="1"/>
      <c r="NYI90" s="1"/>
      <c r="NYJ90" s="1"/>
      <c r="NYK90" s="1"/>
      <c r="NYL90" s="1"/>
      <c r="NYM90" s="1"/>
      <c r="NYN90" s="1"/>
      <c r="NYO90" s="1"/>
      <c r="NYP90" s="1"/>
      <c r="NYQ90" s="1"/>
      <c r="NYR90" s="1"/>
      <c r="NYS90" s="1"/>
      <c r="NYT90" s="1"/>
      <c r="NYU90" s="1"/>
      <c r="NYV90" s="1"/>
      <c r="NYW90" s="1"/>
      <c r="NYX90" s="1"/>
      <c r="NYY90" s="1"/>
      <c r="NYZ90" s="1"/>
      <c r="NZA90" s="1"/>
      <c r="NZB90" s="1"/>
      <c r="NZC90" s="1"/>
      <c r="NZD90" s="1"/>
      <c r="NZE90" s="1"/>
      <c r="NZF90" s="1"/>
      <c r="NZG90" s="1"/>
      <c r="NZH90" s="1"/>
      <c r="NZI90" s="1"/>
      <c r="NZJ90" s="1"/>
      <c r="NZK90" s="1"/>
      <c r="NZL90" s="1"/>
      <c r="NZM90" s="1"/>
      <c r="NZN90" s="1"/>
      <c r="NZO90" s="1"/>
      <c r="NZP90" s="1"/>
      <c r="NZQ90" s="1"/>
      <c r="NZR90" s="1"/>
      <c r="NZS90" s="1"/>
      <c r="NZT90" s="1"/>
      <c r="NZU90" s="1"/>
      <c r="NZV90" s="1"/>
      <c r="NZW90" s="1"/>
      <c r="NZX90" s="1"/>
      <c r="NZY90" s="1"/>
      <c r="NZZ90" s="1"/>
      <c r="OAA90" s="1"/>
      <c r="OAB90" s="1"/>
      <c r="OAC90" s="1"/>
      <c r="OAD90" s="1"/>
      <c r="OAE90" s="1"/>
      <c r="OAF90" s="1"/>
      <c r="OAG90" s="1"/>
      <c r="OAH90" s="1"/>
      <c r="OAI90" s="1"/>
      <c r="OAJ90" s="1"/>
      <c r="OAK90" s="1"/>
      <c r="OAL90" s="1"/>
      <c r="OAM90" s="1"/>
      <c r="OAN90" s="1"/>
      <c r="OAO90" s="1"/>
      <c r="OAP90" s="1"/>
      <c r="OAQ90" s="1"/>
      <c r="OAR90" s="1"/>
      <c r="OAS90" s="1"/>
      <c r="OAT90" s="1"/>
      <c r="OAU90" s="1"/>
      <c r="OAV90" s="1"/>
      <c r="OAW90" s="1"/>
      <c r="OAX90" s="1"/>
      <c r="OAY90" s="1"/>
      <c r="OAZ90" s="1"/>
      <c r="OBA90" s="1"/>
      <c r="OBB90" s="1"/>
      <c r="OBC90" s="1"/>
      <c r="OBD90" s="1"/>
      <c r="OBE90" s="1"/>
      <c r="OBF90" s="1"/>
      <c r="OBG90" s="1"/>
      <c r="OBH90" s="1"/>
      <c r="OBI90" s="1"/>
      <c r="OBJ90" s="1"/>
      <c r="OBK90" s="1"/>
      <c r="OBL90" s="1"/>
      <c r="OBM90" s="1"/>
      <c r="OBN90" s="1"/>
      <c r="OBO90" s="1"/>
      <c r="OBP90" s="1"/>
      <c r="OBQ90" s="1"/>
      <c r="OBR90" s="1"/>
      <c r="OBS90" s="1"/>
      <c r="OBT90" s="1"/>
      <c r="OBU90" s="1"/>
      <c r="OBV90" s="1"/>
      <c r="OBW90" s="1"/>
      <c r="OBX90" s="1"/>
      <c r="OBY90" s="1"/>
      <c r="OBZ90" s="1"/>
      <c r="OCA90" s="1"/>
      <c r="OCB90" s="1"/>
      <c r="OCC90" s="1"/>
      <c r="OCD90" s="1"/>
      <c r="OCE90" s="1"/>
      <c r="OCF90" s="1"/>
      <c r="OCG90" s="1"/>
      <c r="OCH90" s="1"/>
      <c r="OCI90" s="1"/>
      <c r="OCJ90" s="1"/>
      <c r="OCK90" s="1"/>
      <c r="OCL90" s="1"/>
      <c r="OCM90" s="1"/>
      <c r="OCN90" s="1"/>
      <c r="OCO90" s="1"/>
      <c r="OCP90" s="1"/>
      <c r="OCQ90" s="1"/>
      <c r="OCR90" s="1"/>
      <c r="OCS90" s="1"/>
      <c r="OCT90" s="1"/>
      <c r="OCU90" s="1"/>
      <c r="OCV90" s="1"/>
      <c r="OCW90" s="1"/>
      <c r="OCX90" s="1"/>
      <c r="OCY90" s="1"/>
      <c r="OCZ90" s="1"/>
      <c r="ODA90" s="1"/>
      <c r="ODB90" s="1"/>
      <c r="ODC90" s="1"/>
      <c r="ODD90" s="1"/>
      <c r="ODE90" s="1"/>
      <c r="ODF90" s="1"/>
      <c r="ODG90" s="1"/>
      <c r="ODH90" s="1"/>
      <c r="ODI90" s="1"/>
      <c r="ODJ90" s="1"/>
      <c r="ODK90" s="1"/>
      <c r="ODL90" s="1"/>
      <c r="ODM90" s="1"/>
      <c r="ODN90" s="1"/>
      <c r="ODO90" s="1"/>
      <c r="ODP90" s="1"/>
      <c r="ODQ90" s="1"/>
      <c r="ODR90" s="1"/>
      <c r="ODS90" s="1"/>
      <c r="ODT90" s="1"/>
      <c r="ODU90" s="1"/>
      <c r="ODV90" s="1"/>
      <c r="ODW90" s="1"/>
      <c r="ODX90" s="1"/>
      <c r="ODY90" s="1"/>
      <c r="ODZ90" s="1"/>
      <c r="OEA90" s="1"/>
      <c r="OEB90" s="1"/>
      <c r="OEC90" s="1"/>
      <c r="OED90" s="1"/>
      <c r="OEE90" s="1"/>
      <c r="OEF90" s="1"/>
      <c r="OEG90" s="1"/>
      <c r="OEH90" s="1"/>
      <c r="OEI90" s="1"/>
      <c r="OEJ90" s="1"/>
      <c r="OEK90" s="1"/>
      <c r="OEL90" s="1"/>
      <c r="OEM90" s="1"/>
      <c r="OEN90" s="1"/>
      <c r="OEO90" s="1"/>
      <c r="OEP90" s="1"/>
      <c r="OEQ90" s="1"/>
      <c r="OER90" s="1"/>
      <c r="OES90" s="1"/>
      <c r="OET90" s="1"/>
      <c r="OEU90" s="1"/>
      <c r="OEV90" s="1"/>
      <c r="OEW90" s="1"/>
      <c r="OEX90" s="1"/>
      <c r="OEY90" s="1"/>
      <c r="OEZ90" s="1"/>
      <c r="OFA90" s="1"/>
      <c r="OFB90" s="1"/>
      <c r="OFC90" s="1"/>
      <c r="OFD90" s="1"/>
      <c r="OFE90" s="1"/>
      <c r="OFF90" s="1"/>
      <c r="OFG90" s="1"/>
      <c r="OFH90" s="1"/>
      <c r="OFI90" s="1"/>
      <c r="OFJ90" s="1"/>
      <c r="OFK90" s="1"/>
      <c r="OFL90" s="1"/>
      <c r="OFM90" s="1"/>
      <c r="OFN90" s="1"/>
      <c r="OFO90" s="1"/>
      <c r="OFP90" s="1"/>
      <c r="OFQ90" s="1"/>
      <c r="OFR90" s="1"/>
      <c r="OFS90" s="1"/>
      <c r="OFT90" s="1"/>
      <c r="OFU90" s="1"/>
      <c r="OFV90" s="1"/>
      <c r="OFW90" s="1"/>
      <c r="OFX90" s="1"/>
      <c r="OFY90" s="1"/>
      <c r="OFZ90" s="1"/>
      <c r="OGA90" s="1"/>
      <c r="OGB90" s="1"/>
      <c r="OGC90" s="1"/>
      <c r="OGD90" s="1"/>
      <c r="OGE90" s="1"/>
      <c r="OGF90" s="1"/>
      <c r="OGG90" s="1"/>
      <c r="OGH90" s="1"/>
      <c r="OGI90" s="1"/>
      <c r="OGJ90" s="1"/>
      <c r="OGK90" s="1"/>
      <c r="OGL90" s="1"/>
      <c r="OGM90" s="1"/>
      <c r="OGN90" s="1"/>
      <c r="OGO90" s="1"/>
      <c r="OGP90" s="1"/>
      <c r="OGQ90" s="1"/>
      <c r="OGR90" s="1"/>
      <c r="OGS90" s="1"/>
      <c r="OGT90" s="1"/>
      <c r="OGU90" s="1"/>
      <c r="OGV90" s="1"/>
      <c r="OGW90" s="1"/>
      <c r="OGX90" s="1"/>
      <c r="OGY90" s="1"/>
      <c r="OGZ90" s="1"/>
      <c r="OHA90" s="1"/>
      <c r="OHB90" s="1"/>
      <c r="OHC90" s="1"/>
      <c r="OHD90" s="1"/>
      <c r="OHE90" s="1"/>
      <c r="OHF90" s="1"/>
      <c r="OHG90" s="1"/>
      <c r="OHH90" s="1"/>
      <c r="OHI90" s="1"/>
      <c r="OHJ90" s="1"/>
      <c r="OHK90" s="1"/>
      <c r="OHL90" s="1"/>
      <c r="OHM90" s="1"/>
      <c r="OHN90" s="1"/>
      <c r="OHO90" s="1"/>
      <c r="OHP90" s="1"/>
      <c r="OHQ90" s="1"/>
      <c r="OHR90" s="1"/>
      <c r="OHS90" s="1"/>
      <c r="OHT90" s="1"/>
      <c r="OHU90" s="1"/>
      <c r="OHV90" s="1"/>
      <c r="OHW90" s="1"/>
      <c r="OHX90" s="1"/>
      <c r="OHY90" s="1"/>
      <c r="OHZ90" s="1"/>
      <c r="OIA90" s="1"/>
      <c r="OIB90" s="1"/>
      <c r="OIC90" s="1"/>
      <c r="OID90" s="1"/>
      <c r="OIE90" s="1"/>
      <c r="OIF90" s="1"/>
      <c r="OIG90" s="1"/>
      <c r="OIH90" s="1"/>
      <c r="OII90" s="1"/>
      <c r="OIJ90" s="1"/>
      <c r="OIK90" s="1"/>
      <c r="OIL90" s="1"/>
      <c r="OIM90" s="1"/>
      <c r="OIN90" s="1"/>
      <c r="OIO90" s="1"/>
      <c r="OIP90" s="1"/>
      <c r="OIQ90" s="1"/>
      <c r="OIR90" s="1"/>
      <c r="OIS90" s="1"/>
      <c r="OIT90" s="1"/>
      <c r="OIU90" s="1"/>
      <c r="OIV90" s="1"/>
      <c r="OIW90" s="1"/>
      <c r="OIX90" s="1"/>
      <c r="OIY90" s="1"/>
      <c r="OIZ90" s="1"/>
      <c r="OJA90" s="1"/>
      <c r="OJB90" s="1"/>
      <c r="OJC90" s="1"/>
      <c r="OJD90" s="1"/>
      <c r="OJE90" s="1"/>
      <c r="OJF90" s="1"/>
      <c r="OJG90" s="1"/>
      <c r="OJH90" s="1"/>
      <c r="OJI90" s="1"/>
      <c r="OJJ90" s="1"/>
      <c r="OJK90" s="1"/>
      <c r="OJL90" s="1"/>
      <c r="OJM90" s="1"/>
      <c r="OJN90" s="1"/>
      <c r="OJO90" s="1"/>
      <c r="OJP90" s="1"/>
      <c r="OJQ90" s="1"/>
      <c r="OJR90" s="1"/>
      <c r="OJS90" s="1"/>
      <c r="OJT90" s="1"/>
      <c r="OJU90" s="1"/>
      <c r="OJV90" s="1"/>
      <c r="OJW90" s="1"/>
      <c r="OJX90" s="1"/>
      <c r="OJY90" s="1"/>
      <c r="OJZ90" s="1"/>
      <c r="OKA90" s="1"/>
      <c r="OKB90" s="1"/>
      <c r="OKC90" s="1"/>
      <c r="OKD90" s="1"/>
      <c r="OKE90" s="1"/>
      <c r="OKF90" s="1"/>
      <c r="OKG90" s="1"/>
      <c r="OKH90" s="1"/>
      <c r="OKI90" s="1"/>
      <c r="OKJ90" s="1"/>
      <c r="OKK90" s="1"/>
      <c r="OKL90" s="1"/>
      <c r="OKM90" s="1"/>
      <c r="OKN90" s="1"/>
      <c r="OKO90" s="1"/>
      <c r="OKP90" s="1"/>
      <c r="OKQ90" s="1"/>
      <c r="OKR90" s="1"/>
      <c r="OKS90" s="1"/>
      <c r="OKT90" s="1"/>
      <c r="OKU90" s="1"/>
      <c r="OKV90" s="1"/>
      <c r="OKW90" s="1"/>
      <c r="OKX90" s="1"/>
      <c r="OKY90" s="1"/>
      <c r="OKZ90" s="1"/>
      <c r="OLA90" s="1"/>
      <c r="OLB90" s="1"/>
      <c r="OLC90" s="1"/>
      <c r="OLD90" s="1"/>
      <c r="OLE90" s="1"/>
      <c r="OLF90" s="1"/>
      <c r="OLG90" s="1"/>
      <c r="OLH90" s="1"/>
      <c r="OLI90" s="1"/>
      <c r="OLJ90" s="1"/>
      <c r="OLK90" s="1"/>
      <c r="OLL90" s="1"/>
      <c r="OLM90" s="1"/>
      <c r="OLN90" s="1"/>
      <c r="OLO90" s="1"/>
      <c r="OLP90" s="1"/>
      <c r="OLQ90" s="1"/>
      <c r="OLR90" s="1"/>
      <c r="OLS90" s="1"/>
      <c r="OLT90" s="1"/>
      <c r="OLU90" s="1"/>
      <c r="OLV90" s="1"/>
      <c r="OLW90" s="1"/>
      <c r="OLX90" s="1"/>
      <c r="OLY90" s="1"/>
      <c r="OLZ90" s="1"/>
      <c r="OMA90" s="1"/>
      <c r="OMB90" s="1"/>
      <c r="OMC90" s="1"/>
      <c r="OMD90" s="1"/>
      <c r="OME90" s="1"/>
      <c r="OMF90" s="1"/>
      <c r="OMG90" s="1"/>
      <c r="OMH90" s="1"/>
      <c r="OMI90" s="1"/>
      <c r="OMJ90" s="1"/>
      <c r="OMK90" s="1"/>
      <c r="OML90" s="1"/>
      <c r="OMM90" s="1"/>
      <c r="OMN90" s="1"/>
      <c r="OMO90" s="1"/>
      <c r="OMP90" s="1"/>
      <c r="OMQ90" s="1"/>
      <c r="OMR90" s="1"/>
      <c r="OMS90" s="1"/>
      <c r="OMT90" s="1"/>
      <c r="OMU90" s="1"/>
      <c r="OMV90" s="1"/>
      <c r="OMW90" s="1"/>
      <c r="OMX90" s="1"/>
      <c r="OMY90" s="1"/>
      <c r="OMZ90" s="1"/>
      <c r="ONA90" s="1"/>
      <c r="ONB90" s="1"/>
      <c r="ONC90" s="1"/>
      <c r="OND90" s="1"/>
      <c r="ONE90" s="1"/>
      <c r="ONF90" s="1"/>
      <c r="ONG90" s="1"/>
      <c r="ONH90" s="1"/>
      <c r="ONI90" s="1"/>
      <c r="ONJ90" s="1"/>
      <c r="ONK90" s="1"/>
      <c r="ONL90" s="1"/>
      <c r="ONM90" s="1"/>
      <c r="ONN90" s="1"/>
      <c r="ONO90" s="1"/>
      <c r="ONP90" s="1"/>
      <c r="ONQ90" s="1"/>
      <c r="ONR90" s="1"/>
      <c r="ONS90" s="1"/>
      <c r="ONT90" s="1"/>
      <c r="ONU90" s="1"/>
      <c r="ONV90" s="1"/>
      <c r="ONW90" s="1"/>
      <c r="ONX90" s="1"/>
      <c r="ONY90" s="1"/>
      <c r="ONZ90" s="1"/>
      <c r="OOA90" s="1"/>
      <c r="OOB90" s="1"/>
      <c r="OOC90" s="1"/>
      <c r="OOD90" s="1"/>
      <c r="OOE90" s="1"/>
      <c r="OOF90" s="1"/>
      <c r="OOG90" s="1"/>
      <c r="OOH90" s="1"/>
      <c r="OOI90" s="1"/>
      <c r="OOJ90" s="1"/>
      <c r="OOK90" s="1"/>
      <c r="OOL90" s="1"/>
      <c r="OOM90" s="1"/>
      <c r="OON90" s="1"/>
      <c r="OOO90" s="1"/>
      <c r="OOP90" s="1"/>
      <c r="OOQ90" s="1"/>
      <c r="OOR90" s="1"/>
      <c r="OOS90" s="1"/>
      <c r="OOT90" s="1"/>
      <c r="OOU90" s="1"/>
      <c r="OOV90" s="1"/>
      <c r="OOW90" s="1"/>
      <c r="OOX90" s="1"/>
      <c r="OOY90" s="1"/>
      <c r="OOZ90" s="1"/>
      <c r="OPA90" s="1"/>
      <c r="OPB90" s="1"/>
      <c r="OPC90" s="1"/>
      <c r="OPD90" s="1"/>
      <c r="OPE90" s="1"/>
      <c r="OPF90" s="1"/>
      <c r="OPG90" s="1"/>
      <c r="OPH90" s="1"/>
      <c r="OPI90" s="1"/>
      <c r="OPJ90" s="1"/>
      <c r="OPK90" s="1"/>
      <c r="OPL90" s="1"/>
      <c r="OPM90" s="1"/>
      <c r="OPN90" s="1"/>
      <c r="OPO90" s="1"/>
      <c r="OPP90" s="1"/>
      <c r="OPQ90" s="1"/>
      <c r="OPR90" s="1"/>
      <c r="OPS90" s="1"/>
      <c r="OPT90" s="1"/>
      <c r="OPU90" s="1"/>
      <c r="OPV90" s="1"/>
      <c r="OPW90" s="1"/>
      <c r="OPX90" s="1"/>
      <c r="OPY90" s="1"/>
      <c r="OPZ90" s="1"/>
      <c r="OQA90" s="1"/>
      <c r="OQB90" s="1"/>
      <c r="OQC90" s="1"/>
      <c r="OQD90" s="1"/>
      <c r="OQE90" s="1"/>
      <c r="OQF90" s="1"/>
      <c r="OQG90" s="1"/>
      <c r="OQH90" s="1"/>
      <c r="OQI90" s="1"/>
      <c r="OQJ90" s="1"/>
      <c r="OQK90" s="1"/>
      <c r="OQL90" s="1"/>
      <c r="OQM90" s="1"/>
      <c r="OQN90" s="1"/>
      <c r="OQO90" s="1"/>
      <c r="OQP90" s="1"/>
      <c r="OQQ90" s="1"/>
      <c r="OQR90" s="1"/>
      <c r="OQS90" s="1"/>
      <c r="OQT90" s="1"/>
      <c r="OQU90" s="1"/>
      <c r="OQV90" s="1"/>
      <c r="OQW90" s="1"/>
      <c r="OQX90" s="1"/>
      <c r="OQY90" s="1"/>
      <c r="OQZ90" s="1"/>
      <c r="ORA90" s="1"/>
      <c r="ORB90" s="1"/>
      <c r="ORC90" s="1"/>
      <c r="ORD90" s="1"/>
      <c r="ORE90" s="1"/>
      <c r="ORF90" s="1"/>
      <c r="ORG90" s="1"/>
      <c r="ORH90" s="1"/>
      <c r="ORI90" s="1"/>
      <c r="ORJ90" s="1"/>
      <c r="ORK90" s="1"/>
      <c r="ORL90" s="1"/>
      <c r="ORM90" s="1"/>
      <c r="ORN90" s="1"/>
      <c r="ORO90" s="1"/>
      <c r="ORP90" s="1"/>
      <c r="ORQ90" s="1"/>
      <c r="ORR90" s="1"/>
      <c r="ORS90" s="1"/>
      <c r="ORT90" s="1"/>
      <c r="ORU90" s="1"/>
      <c r="ORV90" s="1"/>
      <c r="ORW90" s="1"/>
      <c r="ORX90" s="1"/>
      <c r="ORY90" s="1"/>
      <c r="ORZ90" s="1"/>
      <c r="OSA90" s="1"/>
      <c r="OSB90" s="1"/>
      <c r="OSC90" s="1"/>
      <c r="OSD90" s="1"/>
      <c r="OSE90" s="1"/>
      <c r="OSF90" s="1"/>
      <c r="OSG90" s="1"/>
      <c r="OSH90" s="1"/>
      <c r="OSI90" s="1"/>
      <c r="OSJ90" s="1"/>
      <c r="OSK90" s="1"/>
      <c r="OSL90" s="1"/>
      <c r="OSM90" s="1"/>
      <c r="OSN90" s="1"/>
      <c r="OSO90" s="1"/>
      <c r="OSP90" s="1"/>
      <c r="OSQ90" s="1"/>
      <c r="OSR90" s="1"/>
      <c r="OSS90" s="1"/>
      <c r="OST90" s="1"/>
      <c r="OSU90" s="1"/>
      <c r="OSV90" s="1"/>
      <c r="OSW90" s="1"/>
      <c r="OSX90" s="1"/>
      <c r="OSY90" s="1"/>
      <c r="OSZ90" s="1"/>
      <c r="OTA90" s="1"/>
      <c r="OTB90" s="1"/>
      <c r="OTC90" s="1"/>
      <c r="OTD90" s="1"/>
      <c r="OTE90" s="1"/>
      <c r="OTF90" s="1"/>
      <c r="OTG90" s="1"/>
      <c r="OTH90" s="1"/>
      <c r="OTI90" s="1"/>
      <c r="OTJ90" s="1"/>
      <c r="OTK90" s="1"/>
      <c r="OTL90" s="1"/>
      <c r="OTM90" s="1"/>
      <c r="OTN90" s="1"/>
      <c r="OTO90" s="1"/>
      <c r="OTP90" s="1"/>
      <c r="OTQ90" s="1"/>
      <c r="OTR90" s="1"/>
      <c r="OTS90" s="1"/>
      <c r="OTT90" s="1"/>
      <c r="OTU90" s="1"/>
      <c r="OTV90" s="1"/>
      <c r="OTW90" s="1"/>
      <c r="OTX90" s="1"/>
      <c r="OTY90" s="1"/>
      <c r="OTZ90" s="1"/>
      <c r="OUA90" s="1"/>
      <c r="OUB90" s="1"/>
      <c r="OUC90" s="1"/>
      <c r="OUD90" s="1"/>
      <c r="OUE90" s="1"/>
      <c r="OUF90" s="1"/>
      <c r="OUG90" s="1"/>
      <c r="OUH90" s="1"/>
      <c r="OUI90" s="1"/>
      <c r="OUJ90" s="1"/>
      <c r="OUK90" s="1"/>
      <c r="OUL90" s="1"/>
      <c r="OUM90" s="1"/>
      <c r="OUN90" s="1"/>
      <c r="OUO90" s="1"/>
      <c r="OUP90" s="1"/>
      <c r="OUQ90" s="1"/>
      <c r="OUR90" s="1"/>
      <c r="OUS90" s="1"/>
      <c r="OUT90" s="1"/>
      <c r="OUU90" s="1"/>
      <c r="OUV90" s="1"/>
      <c r="OUW90" s="1"/>
      <c r="OUX90" s="1"/>
      <c r="OUY90" s="1"/>
      <c r="OUZ90" s="1"/>
      <c r="OVA90" s="1"/>
      <c r="OVB90" s="1"/>
      <c r="OVC90" s="1"/>
      <c r="OVD90" s="1"/>
      <c r="OVE90" s="1"/>
      <c r="OVF90" s="1"/>
      <c r="OVG90" s="1"/>
      <c r="OVH90" s="1"/>
      <c r="OVI90" s="1"/>
      <c r="OVJ90" s="1"/>
      <c r="OVK90" s="1"/>
      <c r="OVL90" s="1"/>
      <c r="OVM90" s="1"/>
      <c r="OVN90" s="1"/>
      <c r="OVO90" s="1"/>
      <c r="OVP90" s="1"/>
      <c r="OVQ90" s="1"/>
      <c r="OVR90" s="1"/>
      <c r="OVS90" s="1"/>
      <c r="OVT90" s="1"/>
      <c r="OVU90" s="1"/>
      <c r="OVV90" s="1"/>
      <c r="OVW90" s="1"/>
      <c r="OVX90" s="1"/>
      <c r="OVY90" s="1"/>
      <c r="OVZ90" s="1"/>
      <c r="OWA90" s="1"/>
      <c r="OWB90" s="1"/>
      <c r="OWC90" s="1"/>
      <c r="OWD90" s="1"/>
      <c r="OWE90" s="1"/>
      <c r="OWF90" s="1"/>
      <c r="OWG90" s="1"/>
      <c r="OWH90" s="1"/>
      <c r="OWI90" s="1"/>
      <c r="OWJ90" s="1"/>
      <c r="OWK90" s="1"/>
      <c r="OWL90" s="1"/>
      <c r="OWM90" s="1"/>
      <c r="OWN90" s="1"/>
      <c r="OWO90" s="1"/>
      <c r="OWP90" s="1"/>
      <c r="OWQ90" s="1"/>
      <c r="OWR90" s="1"/>
      <c r="OWS90" s="1"/>
      <c r="OWT90" s="1"/>
      <c r="OWU90" s="1"/>
      <c r="OWV90" s="1"/>
      <c r="OWW90" s="1"/>
      <c r="OWX90" s="1"/>
      <c r="OWY90" s="1"/>
      <c r="OWZ90" s="1"/>
      <c r="OXA90" s="1"/>
      <c r="OXB90" s="1"/>
      <c r="OXC90" s="1"/>
      <c r="OXD90" s="1"/>
      <c r="OXE90" s="1"/>
      <c r="OXF90" s="1"/>
      <c r="OXG90" s="1"/>
      <c r="OXH90" s="1"/>
      <c r="OXI90" s="1"/>
      <c r="OXJ90" s="1"/>
      <c r="OXK90" s="1"/>
      <c r="OXL90" s="1"/>
      <c r="OXM90" s="1"/>
      <c r="OXN90" s="1"/>
      <c r="OXO90" s="1"/>
      <c r="OXP90" s="1"/>
      <c r="OXQ90" s="1"/>
      <c r="OXR90" s="1"/>
      <c r="OXS90" s="1"/>
      <c r="OXT90" s="1"/>
      <c r="OXU90" s="1"/>
      <c r="OXV90" s="1"/>
      <c r="OXW90" s="1"/>
      <c r="OXX90" s="1"/>
      <c r="OXY90" s="1"/>
      <c r="OXZ90" s="1"/>
      <c r="OYA90" s="1"/>
      <c r="OYB90" s="1"/>
      <c r="OYC90" s="1"/>
      <c r="OYD90" s="1"/>
      <c r="OYE90" s="1"/>
      <c r="OYF90" s="1"/>
      <c r="OYG90" s="1"/>
      <c r="OYH90" s="1"/>
      <c r="OYI90" s="1"/>
      <c r="OYJ90" s="1"/>
      <c r="OYK90" s="1"/>
      <c r="OYL90" s="1"/>
      <c r="OYM90" s="1"/>
      <c r="OYN90" s="1"/>
      <c r="OYO90" s="1"/>
      <c r="OYP90" s="1"/>
      <c r="OYQ90" s="1"/>
      <c r="OYR90" s="1"/>
      <c r="OYS90" s="1"/>
      <c r="OYT90" s="1"/>
      <c r="OYU90" s="1"/>
      <c r="OYV90" s="1"/>
      <c r="OYW90" s="1"/>
      <c r="OYX90" s="1"/>
      <c r="OYY90" s="1"/>
      <c r="OYZ90" s="1"/>
      <c r="OZA90" s="1"/>
      <c r="OZB90" s="1"/>
      <c r="OZC90" s="1"/>
      <c r="OZD90" s="1"/>
      <c r="OZE90" s="1"/>
      <c r="OZF90" s="1"/>
      <c r="OZG90" s="1"/>
      <c r="OZH90" s="1"/>
      <c r="OZI90" s="1"/>
      <c r="OZJ90" s="1"/>
      <c r="OZK90" s="1"/>
      <c r="OZL90" s="1"/>
      <c r="OZM90" s="1"/>
      <c r="OZN90" s="1"/>
      <c r="OZO90" s="1"/>
      <c r="OZP90" s="1"/>
      <c r="OZQ90" s="1"/>
      <c r="OZR90" s="1"/>
      <c r="OZS90" s="1"/>
      <c r="OZT90" s="1"/>
      <c r="OZU90" s="1"/>
      <c r="OZV90" s="1"/>
      <c r="OZW90" s="1"/>
      <c r="OZX90" s="1"/>
      <c r="OZY90" s="1"/>
      <c r="OZZ90" s="1"/>
      <c r="PAA90" s="1"/>
      <c r="PAB90" s="1"/>
      <c r="PAC90" s="1"/>
      <c r="PAD90" s="1"/>
      <c r="PAE90" s="1"/>
      <c r="PAF90" s="1"/>
      <c r="PAG90" s="1"/>
      <c r="PAH90" s="1"/>
      <c r="PAI90" s="1"/>
      <c r="PAJ90" s="1"/>
      <c r="PAK90" s="1"/>
      <c r="PAL90" s="1"/>
      <c r="PAM90" s="1"/>
      <c r="PAN90" s="1"/>
      <c r="PAO90" s="1"/>
      <c r="PAP90" s="1"/>
      <c r="PAQ90" s="1"/>
      <c r="PAR90" s="1"/>
      <c r="PAS90" s="1"/>
      <c r="PAT90" s="1"/>
      <c r="PAU90" s="1"/>
      <c r="PAV90" s="1"/>
      <c r="PAW90" s="1"/>
      <c r="PAX90" s="1"/>
      <c r="PAY90" s="1"/>
      <c r="PAZ90" s="1"/>
      <c r="PBA90" s="1"/>
      <c r="PBB90" s="1"/>
      <c r="PBC90" s="1"/>
      <c r="PBD90" s="1"/>
      <c r="PBE90" s="1"/>
      <c r="PBF90" s="1"/>
      <c r="PBG90" s="1"/>
      <c r="PBH90" s="1"/>
      <c r="PBI90" s="1"/>
      <c r="PBJ90" s="1"/>
      <c r="PBK90" s="1"/>
      <c r="PBL90" s="1"/>
      <c r="PBM90" s="1"/>
      <c r="PBN90" s="1"/>
      <c r="PBO90" s="1"/>
      <c r="PBP90" s="1"/>
      <c r="PBQ90" s="1"/>
      <c r="PBR90" s="1"/>
      <c r="PBS90" s="1"/>
      <c r="PBT90" s="1"/>
      <c r="PBU90" s="1"/>
      <c r="PBV90" s="1"/>
      <c r="PBW90" s="1"/>
      <c r="PBX90" s="1"/>
      <c r="PBY90" s="1"/>
      <c r="PBZ90" s="1"/>
      <c r="PCA90" s="1"/>
      <c r="PCB90" s="1"/>
      <c r="PCC90" s="1"/>
      <c r="PCD90" s="1"/>
      <c r="PCE90" s="1"/>
      <c r="PCF90" s="1"/>
      <c r="PCG90" s="1"/>
      <c r="PCH90" s="1"/>
      <c r="PCI90" s="1"/>
      <c r="PCJ90" s="1"/>
      <c r="PCK90" s="1"/>
      <c r="PCL90" s="1"/>
      <c r="PCM90" s="1"/>
      <c r="PCN90" s="1"/>
      <c r="PCO90" s="1"/>
      <c r="PCP90" s="1"/>
      <c r="PCQ90" s="1"/>
      <c r="PCR90" s="1"/>
      <c r="PCS90" s="1"/>
      <c r="PCT90" s="1"/>
      <c r="PCU90" s="1"/>
      <c r="PCV90" s="1"/>
      <c r="PCW90" s="1"/>
      <c r="PCX90" s="1"/>
      <c r="PCY90" s="1"/>
      <c r="PCZ90" s="1"/>
      <c r="PDA90" s="1"/>
      <c r="PDB90" s="1"/>
      <c r="PDC90" s="1"/>
      <c r="PDD90" s="1"/>
      <c r="PDE90" s="1"/>
      <c r="PDF90" s="1"/>
      <c r="PDG90" s="1"/>
      <c r="PDH90" s="1"/>
      <c r="PDI90" s="1"/>
      <c r="PDJ90" s="1"/>
      <c r="PDK90" s="1"/>
      <c r="PDL90" s="1"/>
      <c r="PDM90" s="1"/>
      <c r="PDN90" s="1"/>
      <c r="PDO90" s="1"/>
      <c r="PDP90" s="1"/>
      <c r="PDQ90" s="1"/>
      <c r="PDR90" s="1"/>
      <c r="PDS90" s="1"/>
      <c r="PDT90" s="1"/>
      <c r="PDU90" s="1"/>
      <c r="PDV90" s="1"/>
      <c r="PDW90" s="1"/>
      <c r="PDX90" s="1"/>
      <c r="PDY90" s="1"/>
      <c r="PDZ90" s="1"/>
      <c r="PEA90" s="1"/>
      <c r="PEB90" s="1"/>
      <c r="PEC90" s="1"/>
      <c r="PED90" s="1"/>
      <c r="PEE90" s="1"/>
      <c r="PEF90" s="1"/>
      <c r="PEG90" s="1"/>
      <c r="PEH90" s="1"/>
      <c r="PEI90" s="1"/>
      <c r="PEJ90" s="1"/>
      <c r="PEK90" s="1"/>
      <c r="PEL90" s="1"/>
      <c r="PEM90" s="1"/>
      <c r="PEN90" s="1"/>
      <c r="PEO90" s="1"/>
      <c r="PEP90" s="1"/>
      <c r="PEQ90" s="1"/>
      <c r="PER90" s="1"/>
      <c r="PES90" s="1"/>
      <c r="PET90" s="1"/>
      <c r="PEU90" s="1"/>
      <c r="PEV90" s="1"/>
      <c r="PEW90" s="1"/>
      <c r="PEX90" s="1"/>
      <c r="PEY90" s="1"/>
      <c r="PEZ90" s="1"/>
      <c r="PFA90" s="1"/>
      <c r="PFB90" s="1"/>
      <c r="PFC90" s="1"/>
      <c r="PFD90" s="1"/>
      <c r="PFE90" s="1"/>
      <c r="PFF90" s="1"/>
      <c r="PFG90" s="1"/>
      <c r="PFH90" s="1"/>
      <c r="PFI90" s="1"/>
      <c r="PFJ90" s="1"/>
      <c r="PFK90" s="1"/>
      <c r="PFL90" s="1"/>
      <c r="PFM90" s="1"/>
      <c r="PFN90" s="1"/>
      <c r="PFO90" s="1"/>
      <c r="PFP90" s="1"/>
      <c r="PFQ90" s="1"/>
      <c r="PFR90" s="1"/>
      <c r="PFS90" s="1"/>
      <c r="PFT90" s="1"/>
      <c r="PFU90" s="1"/>
      <c r="PFV90" s="1"/>
      <c r="PFW90" s="1"/>
      <c r="PFX90" s="1"/>
      <c r="PFY90" s="1"/>
      <c r="PFZ90" s="1"/>
      <c r="PGA90" s="1"/>
      <c r="PGB90" s="1"/>
      <c r="PGC90" s="1"/>
      <c r="PGD90" s="1"/>
      <c r="PGE90" s="1"/>
      <c r="PGF90" s="1"/>
      <c r="PGG90" s="1"/>
      <c r="PGH90" s="1"/>
      <c r="PGI90" s="1"/>
      <c r="PGJ90" s="1"/>
      <c r="PGK90" s="1"/>
      <c r="PGL90" s="1"/>
      <c r="PGM90" s="1"/>
      <c r="PGN90" s="1"/>
      <c r="PGO90" s="1"/>
      <c r="PGP90" s="1"/>
      <c r="PGQ90" s="1"/>
      <c r="PGR90" s="1"/>
      <c r="PGS90" s="1"/>
      <c r="PGT90" s="1"/>
      <c r="PGU90" s="1"/>
      <c r="PGV90" s="1"/>
      <c r="PGW90" s="1"/>
      <c r="PGX90" s="1"/>
      <c r="PGY90" s="1"/>
      <c r="PGZ90" s="1"/>
      <c r="PHA90" s="1"/>
      <c r="PHB90" s="1"/>
      <c r="PHC90" s="1"/>
      <c r="PHD90" s="1"/>
      <c r="PHE90" s="1"/>
      <c r="PHF90" s="1"/>
      <c r="PHG90" s="1"/>
      <c r="PHH90" s="1"/>
      <c r="PHI90" s="1"/>
      <c r="PHJ90" s="1"/>
      <c r="PHK90" s="1"/>
      <c r="PHL90" s="1"/>
      <c r="PHM90" s="1"/>
      <c r="PHN90" s="1"/>
      <c r="PHO90" s="1"/>
      <c r="PHP90" s="1"/>
      <c r="PHQ90" s="1"/>
      <c r="PHR90" s="1"/>
      <c r="PHS90" s="1"/>
      <c r="PHT90" s="1"/>
      <c r="PHU90" s="1"/>
      <c r="PHV90" s="1"/>
      <c r="PHW90" s="1"/>
      <c r="PHX90" s="1"/>
      <c r="PHY90" s="1"/>
      <c r="PHZ90" s="1"/>
      <c r="PIA90" s="1"/>
      <c r="PIB90" s="1"/>
      <c r="PIC90" s="1"/>
      <c r="PID90" s="1"/>
      <c r="PIE90" s="1"/>
      <c r="PIF90" s="1"/>
      <c r="PIG90" s="1"/>
      <c r="PIH90" s="1"/>
      <c r="PII90" s="1"/>
      <c r="PIJ90" s="1"/>
      <c r="PIK90" s="1"/>
      <c r="PIL90" s="1"/>
      <c r="PIM90" s="1"/>
      <c r="PIN90" s="1"/>
      <c r="PIO90" s="1"/>
      <c r="PIP90" s="1"/>
      <c r="PIQ90" s="1"/>
      <c r="PIR90" s="1"/>
      <c r="PIS90" s="1"/>
      <c r="PIT90" s="1"/>
      <c r="PIU90" s="1"/>
      <c r="PIV90" s="1"/>
      <c r="PIW90" s="1"/>
      <c r="PIX90" s="1"/>
      <c r="PIY90" s="1"/>
      <c r="PIZ90" s="1"/>
      <c r="PJA90" s="1"/>
      <c r="PJB90" s="1"/>
      <c r="PJC90" s="1"/>
      <c r="PJD90" s="1"/>
      <c r="PJE90" s="1"/>
      <c r="PJF90" s="1"/>
      <c r="PJG90" s="1"/>
      <c r="PJH90" s="1"/>
      <c r="PJI90" s="1"/>
      <c r="PJJ90" s="1"/>
      <c r="PJK90" s="1"/>
      <c r="PJL90" s="1"/>
      <c r="PJM90" s="1"/>
      <c r="PJN90" s="1"/>
      <c r="PJO90" s="1"/>
      <c r="PJP90" s="1"/>
      <c r="PJQ90" s="1"/>
      <c r="PJR90" s="1"/>
      <c r="PJS90" s="1"/>
      <c r="PJT90" s="1"/>
      <c r="PJU90" s="1"/>
      <c r="PJV90" s="1"/>
      <c r="PJW90" s="1"/>
      <c r="PJX90" s="1"/>
      <c r="PJY90" s="1"/>
      <c r="PJZ90" s="1"/>
      <c r="PKA90" s="1"/>
      <c r="PKB90" s="1"/>
      <c r="PKC90" s="1"/>
      <c r="PKD90" s="1"/>
      <c r="PKE90" s="1"/>
      <c r="PKF90" s="1"/>
      <c r="PKG90" s="1"/>
      <c r="PKH90" s="1"/>
      <c r="PKI90" s="1"/>
      <c r="PKJ90" s="1"/>
      <c r="PKK90" s="1"/>
      <c r="PKL90" s="1"/>
      <c r="PKM90" s="1"/>
      <c r="PKN90" s="1"/>
      <c r="PKO90" s="1"/>
      <c r="PKP90" s="1"/>
      <c r="PKQ90" s="1"/>
      <c r="PKR90" s="1"/>
      <c r="PKS90" s="1"/>
      <c r="PKT90" s="1"/>
      <c r="PKU90" s="1"/>
      <c r="PKV90" s="1"/>
      <c r="PKW90" s="1"/>
      <c r="PKX90" s="1"/>
      <c r="PKY90" s="1"/>
      <c r="PKZ90" s="1"/>
      <c r="PLA90" s="1"/>
      <c r="PLB90" s="1"/>
      <c r="PLC90" s="1"/>
      <c r="PLD90" s="1"/>
      <c r="PLE90" s="1"/>
      <c r="PLF90" s="1"/>
      <c r="PLG90" s="1"/>
      <c r="PLH90" s="1"/>
      <c r="PLI90" s="1"/>
      <c r="PLJ90" s="1"/>
      <c r="PLK90" s="1"/>
      <c r="PLL90" s="1"/>
      <c r="PLM90" s="1"/>
      <c r="PLN90" s="1"/>
      <c r="PLO90" s="1"/>
      <c r="PLP90" s="1"/>
      <c r="PLQ90" s="1"/>
      <c r="PLR90" s="1"/>
      <c r="PLS90" s="1"/>
      <c r="PLT90" s="1"/>
      <c r="PLU90" s="1"/>
      <c r="PLV90" s="1"/>
      <c r="PLW90" s="1"/>
      <c r="PLX90" s="1"/>
      <c r="PLY90" s="1"/>
      <c r="PLZ90" s="1"/>
      <c r="PMA90" s="1"/>
      <c r="PMB90" s="1"/>
      <c r="PMC90" s="1"/>
      <c r="PMD90" s="1"/>
      <c r="PME90" s="1"/>
      <c r="PMF90" s="1"/>
      <c r="PMG90" s="1"/>
      <c r="PMH90" s="1"/>
      <c r="PMI90" s="1"/>
      <c r="PMJ90" s="1"/>
      <c r="PMK90" s="1"/>
      <c r="PML90" s="1"/>
      <c r="PMM90" s="1"/>
      <c r="PMN90" s="1"/>
      <c r="PMO90" s="1"/>
      <c r="PMP90" s="1"/>
      <c r="PMQ90" s="1"/>
      <c r="PMR90" s="1"/>
      <c r="PMS90" s="1"/>
      <c r="PMT90" s="1"/>
      <c r="PMU90" s="1"/>
      <c r="PMV90" s="1"/>
      <c r="PMW90" s="1"/>
      <c r="PMX90" s="1"/>
      <c r="PMY90" s="1"/>
      <c r="PMZ90" s="1"/>
      <c r="PNA90" s="1"/>
      <c r="PNB90" s="1"/>
      <c r="PNC90" s="1"/>
      <c r="PND90" s="1"/>
      <c r="PNE90" s="1"/>
      <c r="PNF90" s="1"/>
      <c r="PNG90" s="1"/>
      <c r="PNH90" s="1"/>
      <c r="PNI90" s="1"/>
      <c r="PNJ90" s="1"/>
      <c r="PNK90" s="1"/>
      <c r="PNL90" s="1"/>
      <c r="PNM90" s="1"/>
      <c r="PNN90" s="1"/>
      <c r="PNO90" s="1"/>
      <c r="PNP90" s="1"/>
      <c r="PNQ90" s="1"/>
      <c r="PNR90" s="1"/>
      <c r="PNS90" s="1"/>
      <c r="PNT90" s="1"/>
      <c r="PNU90" s="1"/>
      <c r="PNV90" s="1"/>
      <c r="PNW90" s="1"/>
      <c r="PNX90" s="1"/>
      <c r="PNY90" s="1"/>
      <c r="PNZ90" s="1"/>
      <c r="POA90" s="1"/>
      <c r="POB90" s="1"/>
      <c r="POC90" s="1"/>
      <c r="POD90" s="1"/>
      <c r="POE90" s="1"/>
      <c r="POF90" s="1"/>
      <c r="POG90" s="1"/>
      <c r="POH90" s="1"/>
      <c r="POI90" s="1"/>
      <c r="POJ90" s="1"/>
      <c r="POK90" s="1"/>
      <c r="POL90" s="1"/>
      <c r="POM90" s="1"/>
      <c r="PON90" s="1"/>
      <c r="POO90" s="1"/>
      <c r="POP90" s="1"/>
      <c r="POQ90" s="1"/>
      <c r="POR90" s="1"/>
      <c r="POS90" s="1"/>
      <c r="POT90" s="1"/>
      <c r="POU90" s="1"/>
      <c r="POV90" s="1"/>
      <c r="POW90" s="1"/>
      <c r="POX90" s="1"/>
      <c r="POY90" s="1"/>
      <c r="POZ90" s="1"/>
      <c r="PPA90" s="1"/>
      <c r="PPB90" s="1"/>
      <c r="PPC90" s="1"/>
      <c r="PPD90" s="1"/>
      <c r="PPE90" s="1"/>
      <c r="PPF90" s="1"/>
      <c r="PPG90" s="1"/>
      <c r="PPH90" s="1"/>
      <c r="PPI90" s="1"/>
      <c r="PPJ90" s="1"/>
      <c r="PPK90" s="1"/>
      <c r="PPL90" s="1"/>
      <c r="PPM90" s="1"/>
      <c r="PPN90" s="1"/>
      <c r="PPO90" s="1"/>
      <c r="PPP90" s="1"/>
      <c r="PPQ90" s="1"/>
      <c r="PPR90" s="1"/>
      <c r="PPS90" s="1"/>
      <c r="PPT90" s="1"/>
      <c r="PPU90" s="1"/>
      <c r="PPV90" s="1"/>
      <c r="PPW90" s="1"/>
      <c r="PPX90" s="1"/>
      <c r="PPY90" s="1"/>
      <c r="PPZ90" s="1"/>
      <c r="PQA90" s="1"/>
      <c r="PQB90" s="1"/>
      <c r="PQC90" s="1"/>
      <c r="PQD90" s="1"/>
      <c r="PQE90" s="1"/>
      <c r="PQF90" s="1"/>
      <c r="PQG90" s="1"/>
      <c r="PQH90" s="1"/>
      <c r="PQI90" s="1"/>
      <c r="PQJ90" s="1"/>
      <c r="PQK90" s="1"/>
      <c r="PQL90" s="1"/>
      <c r="PQM90" s="1"/>
      <c r="PQN90" s="1"/>
      <c r="PQO90" s="1"/>
      <c r="PQP90" s="1"/>
      <c r="PQQ90" s="1"/>
      <c r="PQR90" s="1"/>
      <c r="PQS90" s="1"/>
      <c r="PQT90" s="1"/>
      <c r="PQU90" s="1"/>
      <c r="PQV90" s="1"/>
      <c r="PQW90" s="1"/>
      <c r="PQX90" s="1"/>
      <c r="PQY90" s="1"/>
      <c r="PQZ90" s="1"/>
      <c r="PRA90" s="1"/>
      <c r="PRB90" s="1"/>
      <c r="PRC90" s="1"/>
      <c r="PRD90" s="1"/>
      <c r="PRE90" s="1"/>
      <c r="PRF90" s="1"/>
      <c r="PRG90" s="1"/>
      <c r="PRH90" s="1"/>
      <c r="PRI90" s="1"/>
      <c r="PRJ90" s="1"/>
      <c r="PRK90" s="1"/>
      <c r="PRL90" s="1"/>
      <c r="PRM90" s="1"/>
      <c r="PRN90" s="1"/>
      <c r="PRO90" s="1"/>
      <c r="PRP90" s="1"/>
      <c r="PRQ90" s="1"/>
      <c r="PRR90" s="1"/>
      <c r="PRS90" s="1"/>
      <c r="PRT90" s="1"/>
      <c r="PRU90" s="1"/>
      <c r="PRV90" s="1"/>
      <c r="PRW90" s="1"/>
      <c r="PRX90" s="1"/>
      <c r="PRY90" s="1"/>
      <c r="PRZ90" s="1"/>
      <c r="PSA90" s="1"/>
      <c r="PSB90" s="1"/>
      <c r="PSC90" s="1"/>
      <c r="PSD90" s="1"/>
      <c r="PSE90" s="1"/>
      <c r="PSF90" s="1"/>
      <c r="PSG90" s="1"/>
      <c r="PSH90" s="1"/>
      <c r="PSI90" s="1"/>
      <c r="PSJ90" s="1"/>
      <c r="PSK90" s="1"/>
      <c r="PSL90" s="1"/>
      <c r="PSM90" s="1"/>
      <c r="PSN90" s="1"/>
      <c r="PSO90" s="1"/>
      <c r="PSP90" s="1"/>
      <c r="PSQ90" s="1"/>
      <c r="PSR90" s="1"/>
      <c r="PSS90" s="1"/>
      <c r="PST90" s="1"/>
      <c r="PSU90" s="1"/>
      <c r="PSV90" s="1"/>
      <c r="PSW90" s="1"/>
      <c r="PSX90" s="1"/>
      <c r="PSY90" s="1"/>
      <c r="PSZ90" s="1"/>
      <c r="PTA90" s="1"/>
      <c r="PTB90" s="1"/>
      <c r="PTC90" s="1"/>
      <c r="PTD90" s="1"/>
      <c r="PTE90" s="1"/>
      <c r="PTF90" s="1"/>
      <c r="PTG90" s="1"/>
      <c r="PTH90" s="1"/>
      <c r="PTI90" s="1"/>
      <c r="PTJ90" s="1"/>
      <c r="PTK90" s="1"/>
      <c r="PTL90" s="1"/>
      <c r="PTM90" s="1"/>
      <c r="PTN90" s="1"/>
      <c r="PTO90" s="1"/>
      <c r="PTP90" s="1"/>
      <c r="PTQ90" s="1"/>
      <c r="PTR90" s="1"/>
      <c r="PTS90" s="1"/>
      <c r="PTT90" s="1"/>
      <c r="PTU90" s="1"/>
      <c r="PTV90" s="1"/>
      <c r="PTW90" s="1"/>
      <c r="PTX90" s="1"/>
      <c r="PTY90" s="1"/>
      <c r="PTZ90" s="1"/>
      <c r="PUA90" s="1"/>
      <c r="PUB90" s="1"/>
      <c r="PUC90" s="1"/>
      <c r="PUD90" s="1"/>
      <c r="PUE90" s="1"/>
      <c r="PUF90" s="1"/>
      <c r="PUG90" s="1"/>
      <c r="PUH90" s="1"/>
      <c r="PUI90" s="1"/>
      <c r="PUJ90" s="1"/>
      <c r="PUK90" s="1"/>
      <c r="PUL90" s="1"/>
      <c r="PUM90" s="1"/>
      <c r="PUN90" s="1"/>
      <c r="PUO90" s="1"/>
      <c r="PUP90" s="1"/>
      <c r="PUQ90" s="1"/>
      <c r="PUR90" s="1"/>
      <c r="PUS90" s="1"/>
      <c r="PUT90" s="1"/>
      <c r="PUU90" s="1"/>
      <c r="PUV90" s="1"/>
      <c r="PUW90" s="1"/>
      <c r="PUX90" s="1"/>
      <c r="PUY90" s="1"/>
      <c r="PUZ90" s="1"/>
      <c r="PVA90" s="1"/>
      <c r="PVB90" s="1"/>
      <c r="PVC90" s="1"/>
      <c r="PVD90" s="1"/>
      <c r="PVE90" s="1"/>
      <c r="PVF90" s="1"/>
      <c r="PVG90" s="1"/>
      <c r="PVH90" s="1"/>
      <c r="PVI90" s="1"/>
      <c r="PVJ90" s="1"/>
      <c r="PVK90" s="1"/>
      <c r="PVL90" s="1"/>
      <c r="PVM90" s="1"/>
      <c r="PVN90" s="1"/>
      <c r="PVO90" s="1"/>
      <c r="PVP90" s="1"/>
      <c r="PVQ90" s="1"/>
      <c r="PVR90" s="1"/>
      <c r="PVS90" s="1"/>
      <c r="PVT90" s="1"/>
      <c r="PVU90" s="1"/>
      <c r="PVV90" s="1"/>
      <c r="PVW90" s="1"/>
      <c r="PVX90" s="1"/>
      <c r="PVY90" s="1"/>
      <c r="PVZ90" s="1"/>
      <c r="PWA90" s="1"/>
      <c r="PWB90" s="1"/>
      <c r="PWC90" s="1"/>
      <c r="PWD90" s="1"/>
      <c r="PWE90" s="1"/>
      <c r="PWF90" s="1"/>
      <c r="PWG90" s="1"/>
      <c r="PWH90" s="1"/>
      <c r="PWI90" s="1"/>
      <c r="PWJ90" s="1"/>
      <c r="PWK90" s="1"/>
      <c r="PWL90" s="1"/>
      <c r="PWM90" s="1"/>
      <c r="PWN90" s="1"/>
      <c r="PWO90" s="1"/>
      <c r="PWP90" s="1"/>
      <c r="PWQ90" s="1"/>
      <c r="PWR90" s="1"/>
      <c r="PWS90" s="1"/>
      <c r="PWT90" s="1"/>
      <c r="PWU90" s="1"/>
      <c r="PWV90" s="1"/>
      <c r="PWW90" s="1"/>
      <c r="PWX90" s="1"/>
      <c r="PWY90" s="1"/>
      <c r="PWZ90" s="1"/>
      <c r="PXA90" s="1"/>
      <c r="PXB90" s="1"/>
      <c r="PXC90" s="1"/>
      <c r="PXD90" s="1"/>
      <c r="PXE90" s="1"/>
      <c r="PXF90" s="1"/>
      <c r="PXG90" s="1"/>
      <c r="PXH90" s="1"/>
      <c r="PXI90" s="1"/>
      <c r="PXJ90" s="1"/>
      <c r="PXK90" s="1"/>
      <c r="PXL90" s="1"/>
      <c r="PXM90" s="1"/>
      <c r="PXN90" s="1"/>
      <c r="PXO90" s="1"/>
      <c r="PXP90" s="1"/>
      <c r="PXQ90" s="1"/>
      <c r="PXR90" s="1"/>
      <c r="PXS90" s="1"/>
      <c r="PXT90" s="1"/>
      <c r="PXU90" s="1"/>
      <c r="PXV90" s="1"/>
      <c r="PXW90" s="1"/>
      <c r="PXX90" s="1"/>
      <c r="PXY90" s="1"/>
      <c r="PXZ90" s="1"/>
      <c r="PYA90" s="1"/>
      <c r="PYB90" s="1"/>
      <c r="PYC90" s="1"/>
      <c r="PYD90" s="1"/>
      <c r="PYE90" s="1"/>
      <c r="PYF90" s="1"/>
      <c r="PYG90" s="1"/>
      <c r="PYH90" s="1"/>
      <c r="PYI90" s="1"/>
      <c r="PYJ90" s="1"/>
      <c r="PYK90" s="1"/>
      <c r="PYL90" s="1"/>
      <c r="PYM90" s="1"/>
      <c r="PYN90" s="1"/>
      <c r="PYO90" s="1"/>
      <c r="PYP90" s="1"/>
      <c r="PYQ90" s="1"/>
      <c r="PYR90" s="1"/>
      <c r="PYS90" s="1"/>
      <c r="PYT90" s="1"/>
      <c r="PYU90" s="1"/>
      <c r="PYV90" s="1"/>
      <c r="PYW90" s="1"/>
      <c r="PYX90" s="1"/>
      <c r="PYY90" s="1"/>
      <c r="PYZ90" s="1"/>
      <c r="PZA90" s="1"/>
      <c r="PZB90" s="1"/>
      <c r="PZC90" s="1"/>
      <c r="PZD90" s="1"/>
      <c r="PZE90" s="1"/>
      <c r="PZF90" s="1"/>
      <c r="PZG90" s="1"/>
      <c r="PZH90" s="1"/>
      <c r="PZI90" s="1"/>
      <c r="PZJ90" s="1"/>
      <c r="PZK90" s="1"/>
      <c r="PZL90" s="1"/>
      <c r="PZM90" s="1"/>
      <c r="PZN90" s="1"/>
      <c r="PZO90" s="1"/>
      <c r="PZP90" s="1"/>
      <c r="PZQ90" s="1"/>
      <c r="PZR90" s="1"/>
      <c r="PZS90" s="1"/>
      <c r="PZT90" s="1"/>
      <c r="PZU90" s="1"/>
      <c r="PZV90" s="1"/>
      <c r="PZW90" s="1"/>
      <c r="PZX90" s="1"/>
      <c r="PZY90" s="1"/>
      <c r="PZZ90" s="1"/>
      <c r="QAA90" s="1"/>
      <c r="QAB90" s="1"/>
      <c r="QAC90" s="1"/>
      <c r="QAD90" s="1"/>
      <c r="QAE90" s="1"/>
      <c r="QAF90" s="1"/>
      <c r="QAG90" s="1"/>
      <c r="QAH90" s="1"/>
      <c r="QAI90" s="1"/>
      <c r="QAJ90" s="1"/>
      <c r="QAK90" s="1"/>
      <c r="QAL90" s="1"/>
      <c r="QAM90" s="1"/>
      <c r="QAN90" s="1"/>
      <c r="QAO90" s="1"/>
      <c r="QAP90" s="1"/>
      <c r="QAQ90" s="1"/>
      <c r="QAR90" s="1"/>
      <c r="QAS90" s="1"/>
      <c r="QAT90" s="1"/>
      <c r="QAU90" s="1"/>
      <c r="QAV90" s="1"/>
      <c r="QAW90" s="1"/>
      <c r="QAX90" s="1"/>
      <c r="QAY90" s="1"/>
      <c r="QAZ90" s="1"/>
      <c r="QBA90" s="1"/>
      <c r="QBB90" s="1"/>
      <c r="QBC90" s="1"/>
      <c r="QBD90" s="1"/>
      <c r="QBE90" s="1"/>
      <c r="QBF90" s="1"/>
      <c r="QBG90" s="1"/>
      <c r="QBH90" s="1"/>
      <c r="QBI90" s="1"/>
      <c r="QBJ90" s="1"/>
      <c r="QBK90" s="1"/>
      <c r="QBL90" s="1"/>
      <c r="QBM90" s="1"/>
      <c r="QBN90" s="1"/>
      <c r="QBO90" s="1"/>
      <c r="QBP90" s="1"/>
      <c r="QBQ90" s="1"/>
      <c r="QBR90" s="1"/>
      <c r="QBS90" s="1"/>
      <c r="QBT90" s="1"/>
      <c r="QBU90" s="1"/>
      <c r="QBV90" s="1"/>
      <c r="QBW90" s="1"/>
      <c r="QBX90" s="1"/>
      <c r="QBY90" s="1"/>
      <c r="QBZ90" s="1"/>
      <c r="QCA90" s="1"/>
      <c r="QCB90" s="1"/>
      <c r="QCC90" s="1"/>
      <c r="QCD90" s="1"/>
      <c r="QCE90" s="1"/>
      <c r="QCF90" s="1"/>
      <c r="QCG90" s="1"/>
      <c r="QCH90" s="1"/>
      <c r="QCI90" s="1"/>
      <c r="QCJ90" s="1"/>
      <c r="QCK90" s="1"/>
      <c r="QCL90" s="1"/>
      <c r="QCM90" s="1"/>
      <c r="QCN90" s="1"/>
      <c r="QCO90" s="1"/>
      <c r="QCP90" s="1"/>
      <c r="QCQ90" s="1"/>
      <c r="QCR90" s="1"/>
      <c r="QCS90" s="1"/>
      <c r="QCT90" s="1"/>
      <c r="QCU90" s="1"/>
      <c r="QCV90" s="1"/>
      <c r="QCW90" s="1"/>
      <c r="QCX90" s="1"/>
      <c r="QCY90" s="1"/>
      <c r="QCZ90" s="1"/>
      <c r="QDA90" s="1"/>
      <c r="QDB90" s="1"/>
      <c r="QDC90" s="1"/>
      <c r="QDD90" s="1"/>
      <c r="QDE90" s="1"/>
      <c r="QDF90" s="1"/>
      <c r="QDG90" s="1"/>
      <c r="QDH90" s="1"/>
      <c r="QDI90" s="1"/>
      <c r="QDJ90" s="1"/>
      <c r="QDK90" s="1"/>
      <c r="QDL90" s="1"/>
      <c r="QDM90" s="1"/>
      <c r="QDN90" s="1"/>
      <c r="QDO90" s="1"/>
      <c r="QDP90" s="1"/>
      <c r="QDQ90" s="1"/>
      <c r="QDR90" s="1"/>
      <c r="QDS90" s="1"/>
      <c r="QDT90" s="1"/>
      <c r="QDU90" s="1"/>
      <c r="QDV90" s="1"/>
      <c r="QDW90" s="1"/>
      <c r="QDX90" s="1"/>
      <c r="QDY90" s="1"/>
      <c r="QDZ90" s="1"/>
      <c r="QEA90" s="1"/>
      <c r="QEB90" s="1"/>
      <c r="QEC90" s="1"/>
      <c r="QED90" s="1"/>
      <c r="QEE90" s="1"/>
      <c r="QEF90" s="1"/>
      <c r="QEG90" s="1"/>
      <c r="QEH90" s="1"/>
      <c r="QEI90" s="1"/>
      <c r="QEJ90" s="1"/>
      <c r="QEK90" s="1"/>
      <c r="QEL90" s="1"/>
      <c r="QEM90" s="1"/>
      <c r="QEN90" s="1"/>
      <c r="QEO90" s="1"/>
      <c r="QEP90" s="1"/>
      <c r="QEQ90" s="1"/>
      <c r="QER90" s="1"/>
      <c r="QES90" s="1"/>
      <c r="QET90" s="1"/>
      <c r="QEU90" s="1"/>
      <c r="QEV90" s="1"/>
      <c r="QEW90" s="1"/>
      <c r="QEX90" s="1"/>
      <c r="QEY90" s="1"/>
      <c r="QEZ90" s="1"/>
      <c r="QFA90" s="1"/>
      <c r="QFB90" s="1"/>
      <c r="QFC90" s="1"/>
      <c r="QFD90" s="1"/>
      <c r="QFE90" s="1"/>
      <c r="QFF90" s="1"/>
      <c r="QFG90" s="1"/>
      <c r="QFH90" s="1"/>
      <c r="QFI90" s="1"/>
      <c r="QFJ90" s="1"/>
      <c r="QFK90" s="1"/>
      <c r="QFL90" s="1"/>
      <c r="QFM90" s="1"/>
      <c r="QFN90" s="1"/>
      <c r="QFO90" s="1"/>
      <c r="QFP90" s="1"/>
      <c r="QFQ90" s="1"/>
      <c r="QFR90" s="1"/>
      <c r="QFS90" s="1"/>
      <c r="QFT90" s="1"/>
      <c r="QFU90" s="1"/>
      <c r="QFV90" s="1"/>
      <c r="QFW90" s="1"/>
      <c r="QFX90" s="1"/>
      <c r="QFY90" s="1"/>
      <c r="QFZ90" s="1"/>
      <c r="QGA90" s="1"/>
      <c r="QGB90" s="1"/>
      <c r="QGC90" s="1"/>
      <c r="QGD90" s="1"/>
      <c r="QGE90" s="1"/>
      <c r="QGF90" s="1"/>
      <c r="QGG90" s="1"/>
      <c r="QGH90" s="1"/>
      <c r="QGI90" s="1"/>
      <c r="QGJ90" s="1"/>
      <c r="QGK90" s="1"/>
      <c r="QGL90" s="1"/>
      <c r="QGM90" s="1"/>
      <c r="QGN90" s="1"/>
      <c r="QGO90" s="1"/>
      <c r="QGP90" s="1"/>
      <c r="QGQ90" s="1"/>
      <c r="QGR90" s="1"/>
      <c r="QGS90" s="1"/>
      <c r="QGT90" s="1"/>
      <c r="QGU90" s="1"/>
      <c r="QGV90" s="1"/>
      <c r="QGW90" s="1"/>
      <c r="QGX90" s="1"/>
      <c r="QGY90" s="1"/>
      <c r="QGZ90" s="1"/>
      <c r="QHA90" s="1"/>
      <c r="QHB90" s="1"/>
      <c r="QHC90" s="1"/>
      <c r="QHD90" s="1"/>
      <c r="QHE90" s="1"/>
      <c r="QHF90" s="1"/>
      <c r="QHG90" s="1"/>
      <c r="QHH90" s="1"/>
      <c r="QHI90" s="1"/>
      <c r="QHJ90" s="1"/>
      <c r="QHK90" s="1"/>
      <c r="QHL90" s="1"/>
      <c r="QHM90" s="1"/>
      <c r="QHN90" s="1"/>
      <c r="QHO90" s="1"/>
      <c r="QHP90" s="1"/>
      <c r="QHQ90" s="1"/>
      <c r="QHR90" s="1"/>
      <c r="QHS90" s="1"/>
      <c r="QHT90" s="1"/>
      <c r="QHU90" s="1"/>
      <c r="QHV90" s="1"/>
      <c r="QHW90" s="1"/>
      <c r="QHX90" s="1"/>
      <c r="QHY90" s="1"/>
      <c r="QHZ90" s="1"/>
      <c r="QIA90" s="1"/>
      <c r="QIB90" s="1"/>
      <c r="QIC90" s="1"/>
      <c r="QID90" s="1"/>
      <c r="QIE90" s="1"/>
      <c r="QIF90" s="1"/>
      <c r="QIG90" s="1"/>
      <c r="QIH90" s="1"/>
      <c r="QII90" s="1"/>
      <c r="QIJ90" s="1"/>
      <c r="QIK90" s="1"/>
      <c r="QIL90" s="1"/>
      <c r="QIM90" s="1"/>
      <c r="QIN90" s="1"/>
      <c r="QIO90" s="1"/>
      <c r="QIP90" s="1"/>
      <c r="QIQ90" s="1"/>
      <c r="QIR90" s="1"/>
      <c r="QIS90" s="1"/>
      <c r="QIT90" s="1"/>
      <c r="QIU90" s="1"/>
      <c r="QIV90" s="1"/>
      <c r="QIW90" s="1"/>
      <c r="QIX90" s="1"/>
      <c r="QIY90" s="1"/>
      <c r="QIZ90" s="1"/>
      <c r="QJA90" s="1"/>
      <c r="QJB90" s="1"/>
      <c r="QJC90" s="1"/>
      <c r="QJD90" s="1"/>
      <c r="QJE90" s="1"/>
      <c r="QJF90" s="1"/>
      <c r="QJG90" s="1"/>
      <c r="QJH90" s="1"/>
      <c r="QJI90" s="1"/>
      <c r="QJJ90" s="1"/>
      <c r="QJK90" s="1"/>
      <c r="QJL90" s="1"/>
      <c r="QJM90" s="1"/>
      <c r="QJN90" s="1"/>
      <c r="QJO90" s="1"/>
      <c r="QJP90" s="1"/>
      <c r="QJQ90" s="1"/>
      <c r="QJR90" s="1"/>
      <c r="QJS90" s="1"/>
      <c r="QJT90" s="1"/>
      <c r="QJU90" s="1"/>
      <c r="QJV90" s="1"/>
      <c r="QJW90" s="1"/>
      <c r="QJX90" s="1"/>
      <c r="QJY90" s="1"/>
      <c r="QJZ90" s="1"/>
      <c r="QKA90" s="1"/>
      <c r="QKB90" s="1"/>
      <c r="QKC90" s="1"/>
      <c r="QKD90" s="1"/>
      <c r="QKE90" s="1"/>
      <c r="QKF90" s="1"/>
      <c r="QKG90" s="1"/>
      <c r="QKH90" s="1"/>
      <c r="QKI90" s="1"/>
      <c r="QKJ90" s="1"/>
      <c r="QKK90" s="1"/>
      <c r="QKL90" s="1"/>
      <c r="QKM90" s="1"/>
      <c r="QKN90" s="1"/>
      <c r="QKO90" s="1"/>
      <c r="QKP90" s="1"/>
      <c r="QKQ90" s="1"/>
      <c r="QKR90" s="1"/>
      <c r="QKS90" s="1"/>
      <c r="QKT90" s="1"/>
      <c r="QKU90" s="1"/>
      <c r="QKV90" s="1"/>
      <c r="QKW90" s="1"/>
      <c r="QKX90" s="1"/>
      <c r="QKY90" s="1"/>
      <c r="QKZ90" s="1"/>
      <c r="QLA90" s="1"/>
      <c r="QLB90" s="1"/>
      <c r="QLC90" s="1"/>
      <c r="QLD90" s="1"/>
      <c r="QLE90" s="1"/>
      <c r="QLF90" s="1"/>
      <c r="QLG90" s="1"/>
      <c r="QLH90" s="1"/>
      <c r="QLI90" s="1"/>
      <c r="QLJ90" s="1"/>
      <c r="QLK90" s="1"/>
      <c r="QLL90" s="1"/>
      <c r="QLM90" s="1"/>
      <c r="QLN90" s="1"/>
      <c r="QLO90" s="1"/>
      <c r="QLP90" s="1"/>
      <c r="QLQ90" s="1"/>
      <c r="QLR90" s="1"/>
      <c r="QLS90" s="1"/>
      <c r="QLT90" s="1"/>
      <c r="QLU90" s="1"/>
      <c r="QLV90" s="1"/>
      <c r="QLW90" s="1"/>
      <c r="QLX90" s="1"/>
      <c r="QLY90" s="1"/>
      <c r="QLZ90" s="1"/>
      <c r="QMA90" s="1"/>
      <c r="QMB90" s="1"/>
      <c r="QMC90" s="1"/>
      <c r="QMD90" s="1"/>
      <c r="QME90" s="1"/>
      <c r="QMF90" s="1"/>
      <c r="QMG90" s="1"/>
      <c r="QMH90" s="1"/>
      <c r="QMI90" s="1"/>
      <c r="QMJ90" s="1"/>
      <c r="QMK90" s="1"/>
      <c r="QML90" s="1"/>
      <c r="QMM90" s="1"/>
      <c r="QMN90" s="1"/>
      <c r="QMO90" s="1"/>
      <c r="QMP90" s="1"/>
      <c r="QMQ90" s="1"/>
      <c r="QMR90" s="1"/>
      <c r="QMS90" s="1"/>
      <c r="QMT90" s="1"/>
      <c r="QMU90" s="1"/>
      <c r="QMV90" s="1"/>
      <c r="QMW90" s="1"/>
      <c r="QMX90" s="1"/>
      <c r="QMY90" s="1"/>
      <c r="QMZ90" s="1"/>
      <c r="QNA90" s="1"/>
      <c r="QNB90" s="1"/>
      <c r="QNC90" s="1"/>
      <c r="QND90" s="1"/>
      <c r="QNE90" s="1"/>
      <c r="QNF90" s="1"/>
      <c r="QNG90" s="1"/>
      <c r="QNH90" s="1"/>
      <c r="QNI90" s="1"/>
      <c r="QNJ90" s="1"/>
      <c r="QNK90" s="1"/>
      <c r="QNL90" s="1"/>
      <c r="QNM90" s="1"/>
      <c r="QNN90" s="1"/>
      <c r="QNO90" s="1"/>
      <c r="QNP90" s="1"/>
      <c r="QNQ90" s="1"/>
      <c r="QNR90" s="1"/>
      <c r="QNS90" s="1"/>
      <c r="QNT90" s="1"/>
      <c r="QNU90" s="1"/>
      <c r="QNV90" s="1"/>
      <c r="QNW90" s="1"/>
      <c r="QNX90" s="1"/>
      <c r="QNY90" s="1"/>
      <c r="QNZ90" s="1"/>
      <c r="QOA90" s="1"/>
      <c r="QOB90" s="1"/>
      <c r="QOC90" s="1"/>
      <c r="QOD90" s="1"/>
      <c r="QOE90" s="1"/>
      <c r="QOF90" s="1"/>
      <c r="QOG90" s="1"/>
      <c r="QOH90" s="1"/>
      <c r="QOI90" s="1"/>
      <c r="QOJ90" s="1"/>
      <c r="QOK90" s="1"/>
      <c r="QOL90" s="1"/>
      <c r="QOM90" s="1"/>
      <c r="QON90" s="1"/>
      <c r="QOO90" s="1"/>
      <c r="QOP90" s="1"/>
      <c r="QOQ90" s="1"/>
      <c r="QOR90" s="1"/>
      <c r="QOS90" s="1"/>
      <c r="QOT90" s="1"/>
      <c r="QOU90" s="1"/>
      <c r="QOV90" s="1"/>
      <c r="QOW90" s="1"/>
      <c r="QOX90" s="1"/>
      <c r="QOY90" s="1"/>
      <c r="QOZ90" s="1"/>
      <c r="QPA90" s="1"/>
      <c r="QPB90" s="1"/>
      <c r="QPC90" s="1"/>
      <c r="QPD90" s="1"/>
      <c r="QPE90" s="1"/>
      <c r="QPF90" s="1"/>
      <c r="QPG90" s="1"/>
      <c r="QPH90" s="1"/>
      <c r="QPI90" s="1"/>
      <c r="QPJ90" s="1"/>
      <c r="QPK90" s="1"/>
      <c r="QPL90" s="1"/>
      <c r="QPM90" s="1"/>
      <c r="QPN90" s="1"/>
      <c r="QPO90" s="1"/>
      <c r="QPP90" s="1"/>
      <c r="QPQ90" s="1"/>
      <c r="QPR90" s="1"/>
      <c r="QPS90" s="1"/>
      <c r="QPT90" s="1"/>
      <c r="QPU90" s="1"/>
      <c r="QPV90" s="1"/>
      <c r="QPW90" s="1"/>
      <c r="QPX90" s="1"/>
      <c r="QPY90" s="1"/>
      <c r="QPZ90" s="1"/>
      <c r="QQA90" s="1"/>
      <c r="QQB90" s="1"/>
      <c r="QQC90" s="1"/>
      <c r="QQD90" s="1"/>
      <c r="QQE90" s="1"/>
      <c r="QQF90" s="1"/>
      <c r="QQG90" s="1"/>
      <c r="QQH90" s="1"/>
      <c r="QQI90" s="1"/>
      <c r="QQJ90" s="1"/>
      <c r="QQK90" s="1"/>
      <c r="QQL90" s="1"/>
      <c r="QQM90" s="1"/>
      <c r="QQN90" s="1"/>
      <c r="QQO90" s="1"/>
      <c r="QQP90" s="1"/>
      <c r="QQQ90" s="1"/>
      <c r="QQR90" s="1"/>
      <c r="QQS90" s="1"/>
      <c r="QQT90" s="1"/>
      <c r="QQU90" s="1"/>
      <c r="QQV90" s="1"/>
      <c r="QQW90" s="1"/>
      <c r="QQX90" s="1"/>
      <c r="QQY90" s="1"/>
      <c r="QQZ90" s="1"/>
      <c r="QRA90" s="1"/>
      <c r="QRB90" s="1"/>
      <c r="QRC90" s="1"/>
      <c r="QRD90" s="1"/>
      <c r="QRE90" s="1"/>
      <c r="QRF90" s="1"/>
      <c r="QRG90" s="1"/>
      <c r="QRH90" s="1"/>
      <c r="QRI90" s="1"/>
      <c r="QRJ90" s="1"/>
      <c r="QRK90" s="1"/>
      <c r="QRL90" s="1"/>
      <c r="QRM90" s="1"/>
      <c r="QRN90" s="1"/>
      <c r="QRO90" s="1"/>
      <c r="QRP90" s="1"/>
      <c r="QRQ90" s="1"/>
      <c r="QRR90" s="1"/>
      <c r="QRS90" s="1"/>
      <c r="QRT90" s="1"/>
      <c r="QRU90" s="1"/>
      <c r="QRV90" s="1"/>
      <c r="QRW90" s="1"/>
      <c r="QRX90" s="1"/>
      <c r="QRY90" s="1"/>
      <c r="QRZ90" s="1"/>
      <c r="QSA90" s="1"/>
      <c r="QSB90" s="1"/>
      <c r="QSC90" s="1"/>
      <c r="QSD90" s="1"/>
      <c r="QSE90" s="1"/>
      <c r="QSF90" s="1"/>
      <c r="QSG90" s="1"/>
      <c r="QSH90" s="1"/>
      <c r="QSI90" s="1"/>
      <c r="QSJ90" s="1"/>
      <c r="QSK90" s="1"/>
      <c r="QSL90" s="1"/>
      <c r="QSM90" s="1"/>
      <c r="QSN90" s="1"/>
      <c r="QSO90" s="1"/>
      <c r="QSP90" s="1"/>
      <c r="QSQ90" s="1"/>
      <c r="QSR90" s="1"/>
      <c r="QSS90" s="1"/>
      <c r="QST90" s="1"/>
      <c r="QSU90" s="1"/>
      <c r="QSV90" s="1"/>
      <c r="QSW90" s="1"/>
      <c r="QSX90" s="1"/>
      <c r="QSY90" s="1"/>
      <c r="QSZ90" s="1"/>
      <c r="QTA90" s="1"/>
      <c r="QTB90" s="1"/>
      <c r="QTC90" s="1"/>
      <c r="QTD90" s="1"/>
      <c r="QTE90" s="1"/>
      <c r="QTF90" s="1"/>
      <c r="QTG90" s="1"/>
      <c r="QTH90" s="1"/>
      <c r="QTI90" s="1"/>
      <c r="QTJ90" s="1"/>
      <c r="QTK90" s="1"/>
      <c r="QTL90" s="1"/>
      <c r="QTM90" s="1"/>
      <c r="QTN90" s="1"/>
      <c r="QTO90" s="1"/>
      <c r="QTP90" s="1"/>
      <c r="QTQ90" s="1"/>
      <c r="QTR90" s="1"/>
      <c r="QTS90" s="1"/>
      <c r="QTT90" s="1"/>
      <c r="QTU90" s="1"/>
      <c r="QTV90" s="1"/>
      <c r="QTW90" s="1"/>
      <c r="QTX90" s="1"/>
      <c r="QTY90" s="1"/>
      <c r="QTZ90" s="1"/>
      <c r="QUA90" s="1"/>
      <c r="QUB90" s="1"/>
      <c r="QUC90" s="1"/>
      <c r="QUD90" s="1"/>
      <c r="QUE90" s="1"/>
      <c r="QUF90" s="1"/>
      <c r="QUG90" s="1"/>
      <c r="QUH90" s="1"/>
      <c r="QUI90" s="1"/>
      <c r="QUJ90" s="1"/>
      <c r="QUK90" s="1"/>
      <c r="QUL90" s="1"/>
      <c r="QUM90" s="1"/>
      <c r="QUN90" s="1"/>
      <c r="QUO90" s="1"/>
      <c r="QUP90" s="1"/>
      <c r="QUQ90" s="1"/>
      <c r="QUR90" s="1"/>
      <c r="QUS90" s="1"/>
      <c r="QUT90" s="1"/>
      <c r="QUU90" s="1"/>
      <c r="QUV90" s="1"/>
      <c r="QUW90" s="1"/>
      <c r="QUX90" s="1"/>
      <c r="QUY90" s="1"/>
      <c r="QUZ90" s="1"/>
      <c r="QVA90" s="1"/>
      <c r="QVB90" s="1"/>
      <c r="QVC90" s="1"/>
      <c r="QVD90" s="1"/>
      <c r="QVE90" s="1"/>
      <c r="QVF90" s="1"/>
      <c r="QVG90" s="1"/>
      <c r="QVH90" s="1"/>
      <c r="QVI90" s="1"/>
      <c r="QVJ90" s="1"/>
      <c r="QVK90" s="1"/>
      <c r="QVL90" s="1"/>
      <c r="QVM90" s="1"/>
      <c r="QVN90" s="1"/>
      <c r="QVO90" s="1"/>
      <c r="QVP90" s="1"/>
      <c r="QVQ90" s="1"/>
      <c r="QVR90" s="1"/>
      <c r="QVS90" s="1"/>
      <c r="QVT90" s="1"/>
      <c r="QVU90" s="1"/>
      <c r="QVV90" s="1"/>
      <c r="QVW90" s="1"/>
      <c r="QVX90" s="1"/>
      <c r="QVY90" s="1"/>
      <c r="QVZ90" s="1"/>
      <c r="QWA90" s="1"/>
      <c r="QWB90" s="1"/>
      <c r="QWC90" s="1"/>
      <c r="QWD90" s="1"/>
      <c r="QWE90" s="1"/>
      <c r="QWF90" s="1"/>
      <c r="QWG90" s="1"/>
      <c r="QWH90" s="1"/>
      <c r="QWI90" s="1"/>
      <c r="QWJ90" s="1"/>
      <c r="QWK90" s="1"/>
      <c r="QWL90" s="1"/>
      <c r="QWM90" s="1"/>
      <c r="QWN90" s="1"/>
      <c r="QWO90" s="1"/>
      <c r="QWP90" s="1"/>
      <c r="QWQ90" s="1"/>
      <c r="QWR90" s="1"/>
      <c r="QWS90" s="1"/>
      <c r="QWT90" s="1"/>
      <c r="QWU90" s="1"/>
      <c r="QWV90" s="1"/>
      <c r="QWW90" s="1"/>
      <c r="QWX90" s="1"/>
      <c r="QWY90" s="1"/>
      <c r="QWZ90" s="1"/>
      <c r="QXA90" s="1"/>
      <c r="QXB90" s="1"/>
      <c r="QXC90" s="1"/>
      <c r="QXD90" s="1"/>
      <c r="QXE90" s="1"/>
      <c r="QXF90" s="1"/>
      <c r="QXG90" s="1"/>
      <c r="QXH90" s="1"/>
      <c r="QXI90" s="1"/>
      <c r="QXJ90" s="1"/>
      <c r="QXK90" s="1"/>
      <c r="QXL90" s="1"/>
      <c r="QXM90" s="1"/>
      <c r="QXN90" s="1"/>
      <c r="QXO90" s="1"/>
      <c r="QXP90" s="1"/>
      <c r="QXQ90" s="1"/>
      <c r="QXR90" s="1"/>
      <c r="QXS90" s="1"/>
      <c r="QXT90" s="1"/>
      <c r="QXU90" s="1"/>
      <c r="QXV90" s="1"/>
      <c r="QXW90" s="1"/>
      <c r="QXX90" s="1"/>
      <c r="QXY90" s="1"/>
      <c r="QXZ90" s="1"/>
      <c r="QYA90" s="1"/>
      <c r="QYB90" s="1"/>
      <c r="QYC90" s="1"/>
      <c r="QYD90" s="1"/>
      <c r="QYE90" s="1"/>
      <c r="QYF90" s="1"/>
      <c r="QYG90" s="1"/>
      <c r="QYH90" s="1"/>
      <c r="QYI90" s="1"/>
      <c r="QYJ90" s="1"/>
      <c r="QYK90" s="1"/>
      <c r="QYL90" s="1"/>
      <c r="QYM90" s="1"/>
      <c r="QYN90" s="1"/>
      <c r="QYO90" s="1"/>
      <c r="QYP90" s="1"/>
      <c r="QYQ90" s="1"/>
      <c r="QYR90" s="1"/>
      <c r="QYS90" s="1"/>
      <c r="QYT90" s="1"/>
      <c r="QYU90" s="1"/>
      <c r="QYV90" s="1"/>
      <c r="QYW90" s="1"/>
      <c r="QYX90" s="1"/>
      <c r="QYY90" s="1"/>
      <c r="QYZ90" s="1"/>
      <c r="QZA90" s="1"/>
      <c r="QZB90" s="1"/>
      <c r="QZC90" s="1"/>
      <c r="QZD90" s="1"/>
      <c r="QZE90" s="1"/>
      <c r="QZF90" s="1"/>
      <c r="QZG90" s="1"/>
      <c r="QZH90" s="1"/>
      <c r="QZI90" s="1"/>
      <c r="QZJ90" s="1"/>
      <c r="QZK90" s="1"/>
      <c r="QZL90" s="1"/>
      <c r="QZM90" s="1"/>
      <c r="QZN90" s="1"/>
      <c r="QZO90" s="1"/>
      <c r="QZP90" s="1"/>
      <c r="QZQ90" s="1"/>
      <c r="QZR90" s="1"/>
      <c r="QZS90" s="1"/>
      <c r="QZT90" s="1"/>
      <c r="QZU90" s="1"/>
      <c r="QZV90" s="1"/>
      <c r="QZW90" s="1"/>
      <c r="QZX90" s="1"/>
      <c r="QZY90" s="1"/>
      <c r="QZZ90" s="1"/>
      <c r="RAA90" s="1"/>
      <c r="RAB90" s="1"/>
      <c r="RAC90" s="1"/>
      <c r="RAD90" s="1"/>
      <c r="RAE90" s="1"/>
      <c r="RAF90" s="1"/>
      <c r="RAG90" s="1"/>
      <c r="RAH90" s="1"/>
      <c r="RAI90" s="1"/>
      <c r="RAJ90" s="1"/>
      <c r="RAK90" s="1"/>
      <c r="RAL90" s="1"/>
      <c r="RAM90" s="1"/>
      <c r="RAN90" s="1"/>
      <c r="RAO90" s="1"/>
      <c r="RAP90" s="1"/>
      <c r="RAQ90" s="1"/>
      <c r="RAR90" s="1"/>
      <c r="RAS90" s="1"/>
      <c r="RAT90" s="1"/>
      <c r="RAU90" s="1"/>
      <c r="RAV90" s="1"/>
      <c r="RAW90" s="1"/>
      <c r="RAX90" s="1"/>
      <c r="RAY90" s="1"/>
      <c r="RAZ90" s="1"/>
      <c r="RBA90" s="1"/>
      <c r="RBB90" s="1"/>
      <c r="RBC90" s="1"/>
      <c r="RBD90" s="1"/>
      <c r="RBE90" s="1"/>
      <c r="RBF90" s="1"/>
      <c r="RBG90" s="1"/>
      <c r="RBH90" s="1"/>
      <c r="RBI90" s="1"/>
      <c r="RBJ90" s="1"/>
      <c r="RBK90" s="1"/>
      <c r="RBL90" s="1"/>
      <c r="RBM90" s="1"/>
      <c r="RBN90" s="1"/>
      <c r="RBO90" s="1"/>
      <c r="RBP90" s="1"/>
      <c r="RBQ90" s="1"/>
      <c r="RBR90" s="1"/>
      <c r="RBS90" s="1"/>
      <c r="RBT90" s="1"/>
      <c r="RBU90" s="1"/>
      <c r="RBV90" s="1"/>
      <c r="RBW90" s="1"/>
      <c r="RBX90" s="1"/>
      <c r="RBY90" s="1"/>
      <c r="RBZ90" s="1"/>
      <c r="RCA90" s="1"/>
      <c r="RCB90" s="1"/>
      <c r="RCC90" s="1"/>
      <c r="RCD90" s="1"/>
      <c r="RCE90" s="1"/>
      <c r="RCF90" s="1"/>
      <c r="RCG90" s="1"/>
      <c r="RCH90" s="1"/>
      <c r="RCI90" s="1"/>
      <c r="RCJ90" s="1"/>
      <c r="RCK90" s="1"/>
      <c r="RCL90" s="1"/>
      <c r="RCM90" s="1"/>
      <c r="RCN90" s="1"/>
      <c r="RCO90" s="1"/>
      <c r="RCP90" s="1"/>
      <c r="RCQ90" s="1"/>
      <c r="RCR90" s="1"/>
      <c r="RCS90" s="1"/>
      <c r="RCT90" s="1"/>
      <c r="RCU90" s="1"/>
      <c r="RCV90" s="1"/>
      <c r="RCW90" s="1"/>
      <c r="RCX90" s="1"/>
      <c r="RCY90" s="1"/>
      <c r="RCZ90" s="1"/>
      <c r="RDA90" s="1"/>
      <c r="RDB90" s="1"/>
      <c r="RDC90" s="1"/>
      <c r="RDD90" s="1"/>
      <c r="RDE90" s="1"/>
      <c r="RDF90" s="1"/>
      <c r="RDG90" s="1"/>
      <c r="RDH90" s="1"/>
      <c r="RDI90" s="1"/>
      <c r="RDJ90" s="1"/>
      <c r="RDK90" s="1"/>
      <c r="RDL90" s="1"/>
      <c r="RDM90" s="1"/>
      <c r="RDN90" s="1"/>
      <c r="RDO90" s="1"/>
      <c r="RDP90" s="1"/>
      <c r="RDQ90" s="1"/>
      <c r="RDR90" s="1"/>
      <c r="RDS90" s="1"/>
      <c r="RDT90" s="1"/>
      <c r="RDU90" s="1"/>
      <c r="RDV90" s="1"/>
      <c r="RDW90" s="1"/>
      <c r="RDX90" s="1"/>
      <c r="RDY90" s="1"/>
      <c r="RDZ90" s="1"/>
      <c r="REA90" s="1"/>
      <c r="REB90" s="1"/>
      <c r="REC90" s="1"/>
      <c r="RED90" s="1"/>
      <c r="REE90" s="1"/>
      <c r="REF90" s="1"/>
      <c r="REG90" s="1"/>
      <c r="REH90" s="1"/>
      <c r="REI90" s="1"/>
      <c r="REJ90" s="1"/>
      <c r="REK90" s="1"/>
      <c r="REL90" s="1"/>
      <c r="REM90" s="1"/>
      <c r="REN90" s="1"/>
      <c r="REO90" s="1"/>
      <c r="REP90" s="1"/>
      <c r="REQ90" s="1"/>
      <c r="RER90" s="1"/>
      <c r="RES90" s="1"/>
      <c r="RET90" s="1"/>
      <c r="REU90" s="1"/>
      <c r="REV90" s="1"/>
      <c r="REW90" s="1"/>
      <c r="REX90" s="1"/>
      <c r="REY90" s="1"/>
      <c r="REZ90" s="1"/>
      <c r="RFA90" s="1"/>
      <c r="RFB90" s="1"/>
      <c r="RFC90" s="1"/>
      <c r="RFD90" s="1"/>
      <c r="RFE90" s="1"/>
      <c r="RFF90" s="1"/>
      <c r="RFG90" s="1"/>
      <c r="RFH90" s="1"/>
      <c r="RFI90" s="1"/>
      <c r="RFJ90" s="1"/>
      <c r="RFK90" s="1"/>
      <c r="RFL90" s="1"/>
      <c r="RFM90" s="1"/>
      <c r="RFN90" s="1"/>
      <c r="RFO90" s="1"/>
      <c r="RFP90" s="1"/>
      <c r="RFQ90" s="1"/>
      <c r="RFR90" s="1"/>
      <c r="RFS90" s="1"/>
      <c r="RFT90" s="1"/>
      <c r="RFU90" s="1"/>
      <c r="RFV90" s="1"/>
      <c r="RFW90" s="1"/>
      <c r="RFX90" s="1"/>
      <c r="RFY90" s="1"/>
      <c r="RFZ90" s="1"/>
      <c r="RGA90" s="1"/>
      <c r="RGB90" s="1"/>
      <c r="RGC90" s="1"/>
      <c r="RGD90" s="1"/>
      <c r="RGE90" s="1"/>
      <c r="RGF90" s="1"/>
      <c r="RGG90" s="1"/>
      <c r="RGH90" s="1"/>
      <c r="RGI90" s="1"/>
      <c r="RGJ90" s="1"/>
      <c r="RGK90" s="1"/>
      <c r="RGL90" s="1"/>
      <c r="RGM90" s="1"/>
      <c r="RGN90" s="1"/>
      <c r="RGO90" s="1"/>
      <c r="RGP90" s="1"/>
      <c r="RGQ90" s="1"/>
      <c r="RGR90" s="1"/>
      <c r="RGS90" s="1"/>
      <c r="RGT90" s="1"/>
      <c r="RGU90" s="1"/>
      <c r="RGV90" s="1"/>
      <c r="RGW90" s="1"/>
      <c r="RGX90" s="1"/>
      <c r="RGY90" s="1"/>
      <c r="RGZ90" s="1"/>
      <c r="RHA90" s="1"/>
      <c r="RHB90" s="1"/>
      <c r="RHC90" s="1"/>
      <c r="RHD90" s="1"/>
      <c r="RHE90" s="1"/>
      <c r="RHF90" s="1"/>
      <c r="RHG90" s="1"/>
      <c r="RHH90" s="1"/>
      <c r="RHI90" s="1"/>
      <c r="RHJ90" s="1"/>
      <c r="RHK90" s="1"/>
      <c r="RHL90" s="1"/>
      <c r="RHM90" s="1"/>
      <c r="RHN90" s="1"/>
      <c r="RHO90" s="1"/>
      <c r="RHP90" s="1"/>
      <c r="RHQ90" s="1"/>
      <c r="RHR90" s="1"/>
      <c r="RHS90" s="1"/>
      <c r="RHT90" s="1"/>
      <c r="RHU90" s="1"/>
      <c r="RHV90" s="1"/>
      <c r="RHW90" s="1"/>
      <c r="RHX90" s="1"/>
      <c r="RHY90" s="1"/>
      <c r="RHZ90" s="1"/>
      <c r="RIA90" s="1"/>
      <c r="RIB90" s="1"/>
      <c r="RIC90" s="1"/>
      <c r="RID90" s="1"/>
      <c r="RIE90" s="1"/>
      <c r="RIF90" s="1"/>
      <c r="RIG90" s="1"/>
      <c r="RIH90" s="1"/>
      <c r="RII90" s="1"/>
      <c r="RIJ90" s="1"/>
      <c r="RIK90" s="1"/>
      <c r="RIL90" s="1"/>
      <c r="RIM90" s="1"/>
      <c r="RIN90" s="1"/>
      <c r="RIO90" s="1"/>
      <c r="RIP90" s="1"/>
      <c r="RIQ90" s="1"/>
      <c r="RIR90" s="1"/>
      <c r="RIS90" s="1"/>
      <c r="RIT90" s="1"/>
      <c r="RIU90" s="1"/>
      <c r="RIV90" s="1"/>
      <c r="RIW90" s="1"/>
      <c r="RIX90" s="1"/>
      <c r="RIY90" s="1"/>
      <c r="RIZ90" s="1"/>
      <c r="RJA90" s="1"/>
      <c r="RJB90" s="1"/>
      <c r="RJC90" s="1"/>
      <c r="RJD90" s="1"/>
      <c r="RJE90" s="1"/>
      <c r="RJF90" s="1"/>
      <c r="RJG90" s="1"/>
      <c r="RJH90" s="1"/>
      <c r="RJI90" s="1"/>
      <c r="RJJ90" s="1"/>
      <c r="RJK90" s="1"/>
      <c r="RJL90" s="1"/>
      <c r="RJM90" s="1"/>
      <c r="RJN90" s="1"/>
      <c r="RJO90" s="1"/>
      <c r="RJP90" s="1"/>
      <c r="RJQ90" s="1"/>
      <c r="RJR90" s="1"/>
      <c r="RJS90" s="1"/>
      <c r="RJT90" s="1"/>
      <c r="RJU90" s="1"/>
      <c r="RJV90" s="1"/>
      <c r="RJW90" s="1"/>
      <c r="RJX90" s="1"/>
      <c r="RJY90" s="1"/>
      <c r="RJZ90" s="1"/>
      <c r="RKA90" s="1"/>
      <c r="RKB90" s="1"/>
      <c r="RKC90" s="1"/>
      <c r="RKD90" s="1"/>
      <c r="RKE90" s="1"/>
      <c r="RKF90" s="1"/>
      <c r="RKG90" s="1"/>
      <c r="RKH90" s="1"/>
      <c r="RKI90" s="1"/>
      <c r="RKJ90" s="1"/>
      <c r="RKK90" s="1"/>
      <c r="RKL90" s="1"/>
      <c r="RKM90" s="1"/>
      <c r="RKN90" s="1"/>
      <c r="RKO90" s="1"/>
      <c r="RKP90" s="1"/>
      <c r="RKQ90" s="1"/>
      <c r="RKR90" s="1"/>
      <c r="RKS90" s="1"/>
      <c r="RKT90" s="1"/>
      <c r="RKU90" s="1"/>
      <c r="RKV90" s="1"/>
      <c r="RKW90" s="1"/>
      <c r="RKX90" s="1"/>
      <c r="RKY90" s="1"/>
      <c r="RKZ90" s="1"/>
      <c r="RLA90" s="1"/>
      <c r="RLB90" s="1"/>
      <c r="RLC90" s="1"/>
      <c r="RLD90" s="1"/>
      <c r="RLE90" s="1"/>
      <c r="RLF90" s="1"/>
      <c r="RLG90" s="1"/>
      <c r="RLH90" s="1"/>
      <c r="RLI90" s="1"/>
      <c r="RLJ90" s="1"/>
      <c r="RLK90" s="1"/>
      <c r="RLL90" s="1"/>
      <c r="RLM90" s="1"/>
      <c r="RLN90" s="1"/>
      <c r="RLO90" s="1"/>
      <c r="RLP90" s="1"/>
      <c r="RLQ90" s="1"/>
      <c r="RLR90" s="1"/>
      <c r="RLS90" s="1"/>
      <c r="RLT90" s="1"/>
      <c r="RLU90" s="1"/>
      <c r="RLV90" s="1"/>
      <c r="RLW90" s="1"/>
      <c r="RLX90" s="1"/>
      <c r="RLY90" s="1"/>
      <c r="RLZ90" s="1"/>
      <c r="RMA90" s="1"/>
      <c r="RMB90" s="1"/>
      <c r="RMC90" s="1"/>
      <c r="RMD90" s="1"/>
      <c r="RME90" s="1"/>
      <c r="RMF90" s="1"/>
      <c r="RMG90" s="1"/>
      <c r="RMH90" s="1"/>
      <c r="RMI90" s="1"/>
      <c r="RMJ90" s="1"/>
      <c r="RMK90" s="1"/>
      <c r="RML90" s="1"/>
      <c r="RMM90" s="1"/>
      <c r="RMN90" s="1"/>
      <c r="RMO90" s="1"/>
      <c r="RMP90" s="1"/>
      <c r="RMQ90" s="1"/>
      <c r="RMR90" s="1"/>
      <c r="RMS90" s="1"/>
      <c r="RMT90" s="1"/>
      <c r="RMU90" s="1"/>
      <c r="RMV90" s="1"/>
      <c r="RMW90" s="1"/>
      <c r="RMX90" s="1"/>
      <c r="RMY90" s="1"/>
      <c r="RMZ90" s="1"/>
      <c r="RNA90" s="1"/>
      <c r="RNB90" s="1"/>
      <c r="RNC90" s="1"/>
      <c r="RND90" s="1"/>
      <c r="RNE90" s="1"/>
      <c r="RNF90" s="1"/>
      <c r="RNG90" s="1"/>
      <c r="RNH90" s="1"/>
      <c r="RNI90" s="1"/>
      <c r="RNJ90" s="1"/>
      <c r="RNK90" s="1"/>
      <c r="RNL90" s="1"/>
      <c r="RNM90" s="1"/>
      <c r="RNN90" s="1"/>
      <c r="RNO90" s="1"/>
      <c r="RNP90" s="1"/>
      <c r="RNQ90" s="1"/>
      <c r="RNR90" s="1"/>
      <c r="RNS90" s="1"/>
      <c r="RNT90" s="1"/>
      <c r="RNU90" s="1"/>
      <c r="RNV90" s="1"/>
      <c r="RNW90" s="1"/>
      <c r="RNX90" s="1"/>
      <c r="RNY90" s="1"/>
      <c r="RNZ90" s="1"/>
      <c r="ROA90" s="1"/>
      <c r="ROB90" s="1"/>
      <c r="ROC90" s="1"/>
      <c r="ROD90" s="1"/>
      <c r="ROE90" s="1"/>
      <c r="ROF90" s="1"/>
      <c r="ROG90" s="1"/>
      <c r="ROH90" s="1"/>
      <c r="ROI90" s="1"/>
      <c r="ROJ90" s="1"/>
      <c r="ROK90" s="1"/>
      <c r="ROL90" s="1"/>
      <c r="ROM90" s="1"/>
      <c r="RON90" s="1"/>
      <c r="ROO90" s="1"/>
      <c r="ROP90" s="1"/>
      <c r="ROQ90" s="1"/>
      <c r="ROR90" s="1"/>
      <c r="ROS90" s="1"/>
      <c r="ROT90" s="1"/>
      <c r="ROU90" s="1"/>
      <c r="ROV90" s="1"/>
      <c r="ROW90" s="1"/>
      <c r="ROX90" s="1"/>
      <c r="ROY90" s="1"/>
      <c r="ROZ90" s="1"/>
      <c r="RPA90" s="1"/>
      <c r="RPB90" s="1"/>
      <c r="RPC90" s="1"/>
      <c r="RPD90" s="1"/>
      <c r="RPE90" s="1"/>
      <c r="RPF90" s="1"/>
      <c r="RPG90" s="1"/>
      <c r="RPH90" s="1"/>
      <c r="RPI90" s="1"/>
      <c r="RPJ90" s="1"/>
      <c r="RPK90" s="1"/>
      <c r="RPL90" s="1"/>
      <c r="RPM90" s="1"/>
      <c r="RPN90" s="1"/>
      <c r="RPO90" s="1"/>
      <c r="RPP90" s="1"/>
      <c r="RPQ90" s="1"/>
      <c r="RPR90" s="1"/>
      <c r="RPS90" s="1"/>
      <c r="RPT90" s="1"/>
      <c r="RPU90" s="1"/>
      <c r="RPV90" s="1"/>
      <c r="RPW90" s="1"/>
      <c r="RPX90" s="1"/>
      <c r="RPY90" s="1"/>
      <c r="RPZ90" s="1"/>
      <c r="RQA90" s="1"/>
      <c r="RQB90" s="1"/>
      <c r="RQC90" s="1"/>
      <c r="RQD90" s="1"/>
      <c r="RQE90" s="1"/>
      <c r="RQF90" s="1"/>
      <c r="RQG90" s="1"/>
      <c r="RQH90" s="1"/>
      <c r="RQI90" s="1"/>
      <c r="RQJ90" s="1"/>
      <c r="RQK90" s="1"/>
      <c r="RQL90" s="1"/>
      <c r="RQM90" s="1"/>
      <c r="RQN90" s="1"/>
      <c r="RQO90" s="1"/>
      <c r="RQP90" s="1"/>
      <c r="RQQ90" s="1"/>
      <c r="RQR90" s="1"/>
      <c r="RQS90" s="1"/>
      <c r="RQT90" s="1"/>
      <c r="RQU90" s="1"/>
      <c r="RQV90" s="1"/>
      <c r="RQW90" s="1"/>
      <c r="RQX90" s="1"/>
      <c r="RQY90" s="1"/>
      <c r="RQZ90" s="1"/>
      <c r="RRA90" s="1"/>
      <c r="RRB90" s="1"/>
      <c r="RRC90" s="1"/>
      <c r="RRD90" s="1"/>
      <c r="RRE90" s="1"/>
      <c r="RRF90" s="1"/>
      <c r="RRG90" s="1"/>
      <c r="RRH90" s="1"/>
      <c r="RRI90" s="1"/>
      <c r="RRJ90" s="1"/>
      <c r="RRK90" s="1"/>
      <c r="RRL90" s="1"/>
      <c r="RRM90" s="1"/>
      <c r="RRN90" s="1"/>
      <c r="RRO90" s="1"/>
      <c r="RRP90" s="1"/>
      <c r="RRQ90" s="1"/>
      <c r="RRR90" s="1"/>
      <c r="RRS90" s="1"/>
      <c r="RRT90" s="1"/>
      <c r="RRU90" s="1"/>
      <c r="RRV90" s="1"/>
      <c r="RRW90" s="1"/>
      <c r="RRX90" s="1"/>
      <c r="RRY90" s="1"/>
      <c r="RRZ90" s="1"/>
      <c r="RSA90" s="1"/>
      <c r="RSB90" s="1"/>
      <c r="RSC90" s="1"/>
      <c r="RSD90" s="1"/>
      <c r="RSE90" s="1"/>
      <c r="RSF90" s="1"/>
      <c r="RSG90" s="1"/>
      <c r="RSH90" s="1"/>
      <c r="RSI90" s="1"/>
      <c r="RSJ90" s="1"/>
      <c r="RSK90" s="1"/>
      <c r="RSL90" s="1"/>
      <c r="RSM90" s="1"/>
      <c r="RSN90" s="1"/>
      <c r="RSO90" s="1"/>
      <c r="RSP90" s="1"/>
      <c r="RSQ90" s="1"/>
      <c r="RSR90" s="1"/>
      <c r="RSS90" s="1"/>
      <c r="RST90" s="1"/>
      <c r="RSU90" s="1"/>
      <c r="RSV90" s="1"/>
      <c r="RSW90" s="1"/>
      <c r="RSX90" s="1"/>
      <c r="RSY90" s="1"/>
      <c r="RSZ90" s="1"/>
      <c r="RTA90" s="1"/>
      <c r="RTB90" s="1"/>
      <c r="RTC90" s="1"/>
      <c r="RTD90" s="1"/>
      <c r="RTE90" s="1"/>
      <c r="RTF90" s="1"/>
      <c r="RTG90" s="1"/>
      <c r="RTH90" s="1"/>
      <c r="RTI90" s="1"/>
      <c r="RTJ90" s="1"/>
      <c r="RTK90" s="1"/>
      <c r="RTL90" s="1"/>
      <c r="RTM90" s="1"/>
      <c r="RTN90" s="1"/>
      <c r="RTO90" s="1"/>
      <c r="RTP90" s="1"/>
      <c r="RTQ90" s="1"/>
      <c r="RTR90" s="1"/>
      <c r="RTS90" s="1"/>
      <c r="RTT90" s="1"/>
      <c r="RTU90" s="1"/>
      <c r="RTV90" s="1"/>
      <c r="RTW90" s="1"/>
      <c r="RTX90" s="1"/>
      <c r="RTY90" s="1"/>
      <c r="RTZ90" s="1"/>
      <c r="RUA90" s="1"/>
      <c r="RUB90" s="1"/>
      <c r="RUC90" s="1"/>
      <c r="RUD90" s="1"/>
      <c r="RUE90" s="1"/>
      <c r="RUF90" s="1"/>
      <c r="RUG90" s="1"/>
      <c r="RUH90" s="1"/>
      <c r="RUI90" s="1"/>
      <c r="RUJ90" s="1"/>
      <c r="RUK90" s="1"/>
      <c r="RUL90" s="1"/>
      <c r="RUM90" s="1"/>
      <c r="RUN90" s="1"/>
      <c r="RUO90" s="1"/>
      <c r="RUP90" s="1"/>
      <c r="RUQ90" s="1"/>
      <c r="RUR90" s="1"/>
      <c r="RUS90" s="1"/>
      <c r="RUT90" s="1"/>
      <c r="RUU90" s="1"/>
      <c r="RUV90" s="1"/>
      <c r="RUW90" s="1"/>
      <c r="RUX90" s="1"/>
      <c r="RUY90" s="1"/>
      <c r="RUZ90" s="1"/>
      <c r="RVA90" s="1"/>
      <c r="RVB90" s="1"/>
      <c r="RVC90" s="1"/>
      <c r="RVD90" s="1"/>
      <c r="RVE90" s="1"/>
      <c r="RVF90" s="1"/>
      <c r="RVG90" s="1"/>
      <c r="RVH90" s="1"/>
      <c r="RVI90" s="1"/>
      <c r="RVJ90" s="1"/>
      <c r="RVK90" s="1"/>
      <c r="RVL90" s="1"/>
      <c r="RVM90" s="1"/>
      <c r="RVN90" s="1"/>
      <c r="RVO90" s="1"/>
      <c r="RVP90" s="1"/>
      <c r="RVQ90" s="1"/>
      <c r="RVR90" s="1"/>
      <c r="RVS90" s="1"/>
      <c r="RVT90" s="1"/>
      <c r="RVU90" s="1"/>
      <c r="RVV90" s="1"/>
      <c r="RVW90" s="1"/>
      <c r="RVX90" s="1"/>
      <c r="RVY90" s="1"/>
      <c r="RVZ90" s="1"/>
      <c r="RWA90" s="1"/>
      <c r="RWB90" s="1"/>
      <c r="RWC90" s="1"/>
      <c r="RWD90" s="1"/>
      <c r="RWE90" s="1"/>
      <c r="RWF90" s="1"/>
      <c r="RWG90" s="1"/>
      <c r="RWH90" s="1"/>
      <c r="RWI90" s="1"/>
      <c r="RWJ90" s="1"/>
      <c r="RWK90" s="1"/>
      <c r="RWL90" s="1"/>
      <c r="RWM90" s="1"/>
      <c r="RWN90" s="1"/>
      <c r="RWO90" s="1"/>
      <c r="RWP90" s="1"/>
      <c r="RWQ90" s="1"/>
      <c r="RWR90" s="1"/>
      <c r="RWS90" s="1"/>
      <c r="RWT90" s="1"/>
      <c r="RWU90" s="1"/>
      <c r="RWV90" s="1"/>
      <c r="RWW90" s="1"/>
      <c r="RWX90" s="1"/>
      <c r="RWY90" s="1"/>
      <c r="RWZ90" s="1"/>
      <c r="RXA90" s="1"/>
      <c r="RXB90" s="1"/>
      <c r="RXC90" s="1"/>
      <c r="RXD90" s="1"/>
      <c r="RXE90" s="1"/>
      <c r="RXF90" s="1"/>
      <c r="RXG90" s="1"/>
      <c r="RXH90" s="1"/>
      <c r="RXI90" s="1"/>
      <c r="RXJ90" s="1"/>
      <c r="RXK90" s="1"/>
      <c r="RXL90" s="1"/>
      <c r="RXM90" s="1"/>
      <c r="RXN90" s="1"/>
      <c r="RXO90" s="1"/>
      <c r="RXP90" s="1"/>
      <c r="RXQ90" s="1"/>
      <c r="RXR90" s="1"/>
      <c r="RXS90" s="1"/>
      <c r="RXT90" s="1"/>
      <c r="RXU90" s="1"/>
      <c r="RXV90" s="1"/>
      <c r="RXW90" s="1"/>
      <c r="RXX90" s="1"/>
      <c r="RXY90" s="1"/>
      <c r="RXZ90" s="1"/>
      <c r="RYA90" s="1"/>
      <c r="RYB90" s="1"/>
      <c r="RYC90" s="1"/>
      <c r="RYD90" s="1"/>
      <c r="RYE90" s="1"/>
      <c r="RYF90" s="1"/>
      <c r="RYG90" s="1"/>
      <c r="RYH90" s="1"/>
      <c r="RYI90" s="1"/>
      <c r="RYJ90" s="1"/>
      <c r="RYK90" s="1"/>
      <c r="RYL90" s="1"/>
      <c r="RYM90" s="1"/>
      <c r="RYN90" s="1"/>
      <c r="RYO90" s="1"/>
      <c r="RYP90" s="1"/>
      <c r="RYQ90" s="1"/>
      <c r="RYR90" s="1"/>
      <c r="RYS90" s="1"/>
      <c r="RYT90" s="1"/>
      <c r="RYU90" s="1"/>
      <c r="RYV90" s="1"/>
      <c r="RYW90" s="1"/>
      <c r="RYX90" s="1"/>
      <c r="RYY90" s="1"/>
      <c r="RYZ90" s="1"/>
      <c r="RZA90" s="1"/>
      <c r="RZB90" s="1"/>
      <c r="RZC90" s="1"/>
      <c r="RZD90" s="1"/>
      <c r="RZE90" s="1"/>
      <c r="RZF90" s="1"/>
      <c r="RZG90" s="1"/>
      <c r="RZH90" s="1"/>
      <c r="RZI90" s="1"/>
      <c r="RZJ90" s="1"/>
      <c r="RZK90" s="1"/>
      <c r="RZL90" s="1"/>
      <c r="RZM90" s="1"/>
      <c r="RZN90" s="1"/>
      <c r="RZO90" s="1"/>
      <c r="RZP90" s="1"/>
      <c r="RZQ90" s="1"/>
      <c r="RZR90" s="1"/>
      <c r="RZS90" s="1"/>
      <c r="RZT90" s="1"/>
      <c r="RZU90" s="1"/>
      <c r="RZV90" s="1"/>
      <c r="RZW90" s="1"/>
      <c r="RZX90" s="1"/>
      <c r="RZY90" s="1"/>
      <c r="RZZ90" s="1"/>
      <c r="SAA90" s="1"/>
      <c r="SAB90" s="1"/>
      <c r="SAC90" s="1"/>
      <c r="SAD90" s="1"/>
      <c r="SAE90" s="1"/>
      <c r="SAF90" s="1"/>
      <c r="SAG90" s="1"/>
      <c r="SAH90" s="1"/>
      <c r="SAI90" s="1"/>
      <c r="SAJ90" s="1"/>
      <c r="SAK90" s="1"/>
      <c r="SAL90" s="1"/>
      <c r="SAM90" s="1"/>
      <c r="SAN90" s="1"/>
      <c r="SAO90" s="1"/>
      <c r="SAP90" s="1"/>
      <c r="SAQ90" s="1"/>
      <c r="SAR90" s="1"/>
      <c r="SAS90" s="1"/>
      <c r="SAT90" s="1"/>
      <c r="SAU90" s="1"/>
      <c r="SAV90" s="1"/>
      <c r="SAW90" s="1"/>
      <c r="SAX90" s="1"/>
      <c r="SAY90" s="1"/>
      <c r="SAZ90" s="1"/>
      <c r="SBA90" s="1"/>
      <c r="SBB90" s="1"/>
      <c r="SBC90" s="1"/>
      <c r="SBD90" s="1"/>
      <c r="SBE90" s="1"/>
      <c r="SBF90" s="1"/>
      <c r="SBG90" s="1"/>
      <c r="SBH90" s="1"/>
      <c r="SBI90" s="1"/>
      <c r="SBJ90" s="1"/>
      <c r="SBK90" s="1"/>
      <c r="SBL90" s="1"/>
      <c r="SBM90" s="1"/>
      <c r="SBN90" s="1"/>
      <c r="SBO90" s="1"/>
      <c r="SBP90" s="1"/>
      <c r="SBQ90" s="1"/>
      <c r="SBR90" s="1"/>
      <c r="SBS90" s="1"/>
      <c r="SBT90" s="1"/>
      <c r="SBU90" s="1"/>
      <c r="SBV90" s="1"/>
      <c r="SBW90" s="1"/>
      <c r="SBX90" s="1"/>
      <c r="SBY90" s="1"/>
      <c r="SBZ90" s="1"/>
      <c r="SCA90" s="1"/>
      <c r="SCB90" s="1"/>
      <c r="SCC90" s="1"/>
      <c r="SCD90" s="1"/>
      <c r="SCE90" s="1"/>
      <c r="SCF90" s="1"/>
      <c r="SCG90" s="1"/>
      <c r="SCH90" s="1"/>
      <c r="SCI90" s="1"/>
      <c r="SCJ90" s="1"/>
      <c r="SCK90" s="1"/>
      <c r="SCL90" s="1"/>
      <c r="SCM90" s="1"/>
      <c r="SCN90" s="1"/>
      <c r="SCO90" s="1"/>
      <c r="SCP90" s="1"/>
      <c r="SCQ90" s="1"/>
      <c r="SCR90" s="1"/>
      <c r="SCS90" s="1"/>
      <c r="SCT90" s="1"/>
      <c r="SCU90" s="1"/>
      <c r="SCV90" s="1"/>
      <c r="SCW90" s="1"/>
      <c r="SCX90" s="1"/>
      <c r="SCY90" s="1"/>
      <c r="SCZ90" s="1"/>
      <c r="SDA90" s="1"/>
      <c r="SDB90" s="1"/>
      <c r="SDC90" s="1"/>
      <c r="SDD90" s="1"/>
      <c r="SDE90" s="1"/>
      <c r="SDF90" s="1"/>
      <c r="SDG90" s="1"/>
      <c r="SDH90" s="1"/>
      <c r="SDI90" s="1"/>
      <c r="SDJ90" s="1"/>
      <c r="SDK90" s="1"/>
      <c r="SDL90" s="1"/>
      <c r="SDM90" s="1"/>
      <c r="SDN90" s="1"/>
      <c r="SDO90" s="1"/>
      <c r="SDP90" s="1"/>
      <c r="SDQ90" s="1"/>
      <c r="SDR90" s="1"/>
      <c r="SDS90" s="1"/>
      <c r="SDT90" s="1"/>
      <c r="SDU90" s="1"/>
      <c r="SDV90" s="1"/>
      <c r="SDW90" s="1"/>
      <c r="SDX90" s="1"/>
      <c r="SDY90" s="1"/>
      <c r="SDZ90" s="1"/>
      <c r="SEA90" s="1"/>
      <c r="SEB90" s="1"/>
      <c r="SEC90" s="1"/>
      <c r="SED90" s="1"/>
      <c r="SEE90" s="1"/>
      <c r="SEF90" s="1"/>
      <c r="SEG90" s="1"/>
      <c r="SEH90" s="1"/>
      <c r="SEI90" s="1"/>
      <c r="SEJ90" s="1"/>
      <c r="SEK90" s="1"/>
      <c r="SEL90" s="1"/>
      <c r="SEM90" s="1"/>
      <c r="SEN90" s="1"/>
      <c r="SEO90" s="1"/>
      <c r="SEP90" s="1"/>
      <c r="SEQ90" s="1"/>
      <c r="SER90" s="1"/>
      <c r="SES90" s="1"/>
      <c r="SET90" s="1"/>
      <c r="SEU90" s="1"/>
      <c r="SEV90" s="1"/>
      <c r="SEW90" s="1"/>
      <c r="SEX90" s="1"/>
      <c r="SEY90" s="1"/>
      <c r="SEZ90" s="1"/>
      <c r="SFA90" s="1"/>
      <c r="SFB90" s="1"/>
      <c r="SFC90" s="1"/>
      <c r="SFD90" s="1"/>
      <c r="SFE90" s="1"/>
      <c r="SFF90" s="1"/>
      <c r="SFG90" s="1"/>
      <c r="SFH90" s="1"/>
      <c r="SFI90" s="1"/>
      <c r="SFJ90" s="1"/>
      <c r="SFK90" s="1"/>
      <c r="SFL90" s="1"/>
      <c r="SFM90" s="1"/>
      <c r="SFN90" s="1"/>
      <c r="SFO90" s="1"/>
      <c r="SFP90" s="1"/>
      <c r="SFQ90" s="1"/>
      <c r="SFR90" s="1"/>
      <c r="SFS90" s="1"/>
      <c r="SFT90" s="1"/>
      <c r="SFU90" s="1"/>
      <c r="SFV90" s="1"/>
      <c r="SFW90" s="1"/>
      <c r="SFX90" s="1"/>
      <c r="SFY90" s="1"/>
      <c r="SFZ90" s="1"/>
      <c r="SGA90" s="1"/>
      <c r="SGB90" s="1"/>
      <c r="SGC90" s="1"/>
      <c r="SGD90" s="1"/>
      <c r="SGE90" s="1"/>
      <c r="SGF90" s="1"/>
      <c r="SGG90" s="1"/>
      <c r="SGH90" s="1"/>
      <c r="SGI90" s="1"/>
      <c r="SGJ90" s="1"/>
      <c r="SGK90" s="1"/>
      <c r="SGL90" s="1"/>
      <c r="SGM90" s="1"/>
      <c r="SGN90" s="1"/>
      <c r="SGO90" s="1"/>
      <c r="SGP90" s="1"/>
      <c r="SGQ90" s="1"/>
      <c r="SGR90" s="1"/>
      <c r="SGS90" s="1"/>
      <c r="SGT90" s="1"/>
      <c r="SGU90" s="1"/>
      <c r="SGV90" s="1"/>
      <c r="SGW90" s="1"/>
      <c r="SGX90" s="1"/>
      <c r="SGY90" s="1"/>
      <c r="SGZ90" s="1"/>
      <c r="SHA90" s="1"/>
      <c r="SHB90" s="1"/>
      <c r="SHC90" s="1"/>
      <c r="SHD90" s="1"/>
      <c r="SHE90" s="1"/>
      <c r="SHF90" s="1"/>
      <c r="SHG90" s="1"/>
      <c r="SHH90" s="1"/>
      <c r="SHI90" s="1"/>
      <c r="SHJ90" s="1"/>
      <c r="SHK90" s="1"/>
      <c r="SHL90" s="1"/>
      <c r="SHM90" s="1"/>
      <c r="SHN90" s="1"/>
      <c r="SHO90" s="1"/>
      <c r="SHP90" s="1"/>
      <c r="SHQ90" s="1"/>
      <c r="SHR90" s="1"/>
      <c r="SHS90" s="1"/>
      <c r="SHT90" s="1"/>
      <c r="SHU90" s="1"/>
      <c r="SHV90" s="1"/>
      <c r="SHW90" s="1"/>
      <c r="SHX90" s="1"/>
      <c r="SHY90" s="1"/>
      <c r="SHZ90" s="1"/>
      <c r="SIA90" s="1"/>
      <c r="SIB90" s="1"/>
      <c r="SIC90" s="1"/>
      <c r="SID90" s="1"/>
      <c r="SIE90" s="1"/>
      <c r="SIF90" s="1"/>
      <c r="SIG90" s="1"/>
      <c r="SIH90" s="1"/>
      <c r="SII90" s="1"/>
      <c r="SIJ90" s="1"/>
      <c r="SIK90" s="1"/>
      <c r="SIL90" s="1"/>
      <c r="SIM90" s="1"/>
      <c r="SIN90" s="1"/>
      <c r="SIO90" s="1"/>
      <c r="SIP90" s="1"/>
      <c r="SIQ90" s="1"/>
      <c r="SIR90" s="1"/>
      <c r="SIS90" s="1"/>
      <c r="SIT90" s="1"/>
      <c r="SIU90" s="1"/>
      <c r="SIV90" s="1"/>
      <c r="SIW90" s="1"/>
      <c r="SIX90" s="1"/>
      <c r="SIY90" s="1"/>
      <c r="SIZ90" s="1"/>
      <c r="SJA90" s="1"/>
      <c r="SJB90" s="1"/>
      <c r="SJC90" s="1"/>
      <c r="SJD90" s="1"/>
      <c r="SJE90" s="1"/>
      <c r="SJF90" s="1"/>
      <c r="SJG90" s="1"/>
      <c r="SJH90" s="1"/>
      <c r="SJI90" s="1"/>
      <c r="SJJ90" s="1"/>
      <c r="SJK90" s="1"/>
      <c r="SJL90" s="1"/>
      <c r="SJM90" s="1"/>
      <c r="SJN90" s="1"/>
      <c r="SJO90" s="1"/>
      <c r="SJP90" s="1"/>
      <c r="SJQ90" s="1"/>
      <c r="SJR90" s="1"/>
      <c r="SJS90" s="1"/>
      <c r="SJT90" s="1"/>
      <c r="SJU90" s="1"/>
      <c r="SJV90" s="1"/>
      <c r="SJW90" s="1"/>
      <c r="SJX90" s="1"/>
      <c r="SJY90" s="1"/>
      <c r="SJZ90" s="1"/>
      <c r="SKA90" s="1"/>
      <c r="SKB90" s="1"/>
      <c r="SKC90" s="1"/>
      <c r="SKD90" s="1"/>
      <c r="SKE90" s="1"/>
      <c r="SKF90" s="1"/>
      <c r="SKG90" s="1"/>
      <c r="SKH90" s="1"/>
      <c r="SKI90" s="1"/>
      <c r="SKJ90" s="1"/>
      <c r="SKK90" s="1"/>
      <c r="SKL90" s="1"/>
      <c r="SKM90" s="1"/>
      <c r="SKN90" s="1"/>
      <c r="SKO90" s="1"/>
      <c r="SKP90" s="1"/>
      <c r="SKQ90" s="1"/>
      <c r="SKR90" s="1"/>
      <c r="SKS90" s="1"/>
      <c r="SKT90" s="1"/>
      <c r="SKU90" s="1"/>
      <c r="SKV90" s="1"/>
      <c r="SKW90" s="1"/>
      <c r="SKX90" s="1"/>
      <c r="SKY90" s="1"/>
      <c r="SKZ90" s="1"/>
      <c r="SLA90" s="1"/>
      <c r="SLB90" s="1"/>
      <c r="SLC90" s="1"/>
      <c r="SLD90" s="1"/>
      <c r="SLE90" s="1"/>
      <c r="SLF90" s="1"/>
      <c r="SLG90" s="1"/>
      <c r="SLH90" s="1"/>
      <c r="SLI90" s="1"/>
      <c r="SLJ90" s="1"/>
      <c r="SLK90" s="1"/>
      <c r="SLL90" s="1"/>
      <c r="SLM90" s="1"/>
      <c r="SLN90" s="1"/>
      <c r="SLO90" s="1"/>
      <c r="SLP90" s="1"/>
      <c r="SLQ90" s="1"/>
      <c r="SLR90" s="1"/>
      <c r="SLS90" s="1"/>
      <c r="SLT90" s="1"/>
      <c r="SLU90" s="1"/>
      <c r="SLV90" s="1"/>
      <c r="SLW90" s="1"/>
      <c r="SLX90" s="1"/>
      <c r="SLY90" s="1"/>
      <c r="SLZ90" s="1"/>
      <c r="SMA90" s="1"/>
      <c r="SMB90" s="1"/>
      <c r="SMC90" s="1"/>
      <c r="SMD90" s="1"/>
      <c r="SME90" s="1"/>
      <c r="SMF90" s="1"/>
      <c r="SMG90" s="1"/>
      <c r="SMH90" s="1"/>
      <c r="SMI90" s="1"/>
      <c r="SMJ90" s="1"/>
      <c r="SMK90" s="1"/>
      <c r="SML90" s="1"/>
      <c r="SMM90" s="1"/>
      <c r="SMN90" s="1"/>
      <c r="SMO90" s="1"/>
      <c r="SMP90" s="1"/>
      <c r="SMQ90" s="1"/>
      <c r="SMR90" s="1"/>
      <c r="SMS90" s="1"/>
      <c r="SMT90" s="1"/>
      <c r="SMU90" s="1"/>
      <c r="SMV90" s="1"/>
      <c r="SMW90" s="1"/>
      <c r="SMX90" s="1"/>
      <c r="SMY90" s="1"/>
      <c r="SMZ90" s="1"/>
      <c r="SNA90" s="1"/>
      <c r="SNB90" s="1"/>
      <c r="SNC90" s="1"/>
      <c r="SND90" s="1"/>
      <c r="SNE90" s="1"/>
      <c r="SNF90" s="1"/>
      <c r="SNG90" s="1"/>
      <c r="SNH90" s="1"/>
      <c r="SNI90" s="1"/>
      <c r="SNJ90" s="1"/>
      <c r="SNK90" s="1"/>
      <c r="SNL90" s="1"/>
      <c r="SNM90" s="1"/>
      <c r="SNN90" s="1"/>
      <c r="SNO90" s="1"/>
      <c r="SNP90" s="1"/>
      <c r="SNQ90" s="1"/>
      <c r="SNR90" s="1"/>
      <c r="SNS90" s="1"/>
      <c r="SNT90" s="1"/>
      <c r="SNU90" s="1"/>
      <c r="SNV90" s="1"/>
      <c r="SNW90" s="1"/>
      <c r="SNX90" s="1"/>
      <c r="SNY90" s="1"/>
      <c r="SNZ90" s="1"/>
      <c r="SOA90" s="1"/>
      <c r="SOB90" s="1"/>
      <c r="SOC90" s="1"/>
      <c r="SOD90" s="1"/>
      <c r="SOE90" s="1"/>
      <c r="SOF90" s="1"/>
      <c r="SOG90" s="1"/>
      <c r="SOH90" s="1"/>
      <c r="SOI90" s="1"/>
      <c r="SOJ90" s="1"/>
      <c r="SOK90" s="1"/>
      <c r="SOL90" s="1"/>
      <c r="SOM90" s="1"/>
      <c r="SON90" s="1"/>
      <c r="SOO90" s="1"/>
      <c r="SOP90" s="1"/>
      <c r="SOQ90" s="1"/>
      <c r="SOR90" s="1"/>
      <c r="SOS90" s="1"/>
      <c r="SOT90" s="1"/>
      <c r="SOU90" s="1"/>
      <c r="SOV90" s="1"/>
      <c r="SOW90" s="1"/>
      <c r="SOX90" s="1"/>
      <c r="SOY90" s="1"/>
      <c r="SOZ90" s="1"/>
      <c r="SPA90" s="1"/>
      <c r="SPB90" s="1"/>
      <c r="SPC90" s="1"/>
      <c r="SPD90" s="1"/>
      <c r="SPE90" s="1"/>
      <c r="SPF90" s="1"/>
      <c r="SPG90" s="1"/>
      <c r="SPH90" s="1"/>
      <c r="SPI90" s="1"/>
      <c r="SPJ90" s="1"/>
      <c r="SPK90" s="1"/>
      <c r="SPL90" s="1"/>
      <c r="SPM90" s="1"/>
      <c r="SPN90" s="1"/>
      <c r="SPO90" s="1"/>
      <c r="SPP90" s="1"/>
      <c r="SPQ90" s="1"/>
      <c r="SPR90" s="1"/>
      <c r="SPS90" s="1"/>
      <c r="SPT90" s="1"/>
      <c r="SPU90" s="1"/>
      <c r="SPV90" s="1"/>
      <c r="SPW90" s="1"/>
      <c r="SPX90" s="1"/>
      <c r="SPY90" s="1"/>
      <c r="SPZ90" s="1"/>
      <c r="SQA90" s="1"/>
      <c r="SQB90" s="1"/>
      <c r="SQC90" s="1"/>
      <c r="SQD90" s="1"/>
      <c r="SQE90" s="1"/>
      <c r="SQF90" s="1"/>
      <c r="SQG90" s="1"/>
      <c r="SQH90" s="1"/>
      <c r="SQI90" s="1"/>
      <c r="SQJ90" s="1"/>
      <c r="SQK90" s="1"/>
      <c r="SQL90" s="1"/>
      <c r="SQM90" s="1"/>
      <c r="SQN90" s="1"/>
      <c r="SQO90" s="1"/>
      <c r="SQP90" s="1"/>
      <c r="SQQ90" s="1"/>
      <c r="SQR90" s="1"/>
      <c r="SQS90" s="1"/>
      <c r="SQT90" s="1"/>
      <c r="SQU90" s="1"/>
      <c r="SQV90" s="1"/>
      <c r="SQW90" s="1"/>
      <c r="SQX90" s="1"/>
      <c r="SQY90" s="1"/>
      <c r="SQZ90" s="1"/>
      <c r="SRA90" s="1"/>
      <c r="SRB90" s="1"/>
      <c r="SRC90" s="1"/>
      <c r="SRD90" s="1"/>
      <c r="SRE90" s="1"/>
      <c r="SRF90" s="1"/>
      <c r="SRG90" s="1"/>
      <c r="SRH90" s="1"/>
      <c r="SRI90" s="1"/>
      <c r="SRJ90" s="1"/>
      <c r="SRK90" s="1"/>
      <c r="SRL90" s="1"/>
      <c r="SRM90" s="1"/>
      <c r="SRN90" s="1"/>
      <c r="SRO90" s="1"/>
      <c r="SRP90" s="1"/>
      <c r="SRQ90" s="1"/>
      <c r="SRR90" s="1"/>
      <c r="SRS90" s="1"/>
      <c r="SRT90" s="1"/>
      <c r="SRU90" s="1"/>
      <c r="SRV90" s="1"/>
      <c r="SRW90" s="1"/>
      <c r="SRX90" s="1"/>
      <c r="SRY90" s="1"/>
      <c r="SRZ90" s="1"/>
      <c r="SSA90" s="1"/>
      <c r="SSB90" s="1"/>
      <c r="SSC90" s="1"/>
      <c r="SSD90" s="1"/>
      <c r="SSE90" s="1"/>
      <c r="SSF90" s="1"/>
      <c r="SSG90" s="1"/>
      <c r="SSH90" s="1"/>
      <c r="SSI90" s="1"/>
      <c r="SSJ90" s="1"/>
      <c r="SSK90" s="1"/>
      <c r="SSL90" s="1"/>
      <c r="SSM90" s="1"/>
      <c r="SSN90" s="1"/>
      <c r="SSO90" s="1"/>
      <c r="SSP90" s="1"/>
      <c r="SSQ90" s="1"/>
      <c r="SSR90" s="1"/>
      <c r="SSS90" s="1"/>
      <c r="SST90" s="1"/>
      <c r="SSU90" s="1"/>
      <c r="SSV90" s="1"/>
      <c r="SSW90" s="1"/>
      <c r="SSX90" s="1"/>
      <c r="SSY90" s="1"/>
      <c r="SSZ90" s="1"/>
      <c r="STA90" s="1"/>
      <c r="STB90" s="1"/>
      <c r="STC90" s="1"/>
      <c r="STD90" s="1"/>
      <c r="STE90" s="1"/>
      <c r="STF90" s="1"/>
      <c r="STG90" s="1"/>
      <c r="STH90" s="1"/>
      <c r="STI90" s="1"/>
      <c r="STJ90" s="1"/>
      <c r="STK90" s="1"/>
      <c r="STL90" s="1"/>
      <c r="STM90" s="1"/>
      <c r="STN90" s="1"/>
      <c r="STO90" s="1"/>
      <c r="STP90" s="1"/>
      <c r="STQ90" s="1"/>
      <c r="STR90" s="1"/>
      <c r="STS90" s="1"/>
      <c r="STT90" s="1"/>
      <c r="STU90" s="1"/>
      <c r="STV90" s="1"/>
      <c r="STW90" s="1"/>
      <c r="STX90" s="1"/>
      <c r="STY90" s="1"/>
      <c r="STZ90" s="1"/>
      <c r="SUA90" s="1"/>
      <c r="SUB90" s="1"/>
      <c r="SUC90" s="1"/>
      <c r="SUD90" s="1"/>
      <c r="SUE90" s="1"/>
      <c r="SUF90" s="1"/>
      <c r="SUG90" s="1"/>
      <c r="SUH90" s="1"/>
      <c r="SUI90" s="1"/>
      <c r="SUJ90" s="1"/>
      <c r="SUK90" s="1"/>
      <c r="SUL90" s="1"/>
      <c r="SUM90" s="1"/>
      <c r="SUN90" s="1"/>
      <c r="SUO90" s="1"/>
      <c r="SUP90" s="1"/>
      <c r="SUQ90" s="1"/>
      <c r="SUR90" s="1"/>
      <c r="SUS90" s="1"/>
      <c r="SUT90" s="1"/>
      <c r="SUU90" s="1"/>
      <c r="SUV90" s="1"/>
      <c r="SUW90" s="1"/>
      <c r="SUX90" s="1"/>
      <c r="SUY90" s="1"/>
      <c r="SUZ90" s="1"/>
      <c r="SVA90" s="1"/>
      <c r="SVB90" s="1"/>
      <c r="SVC90" s="1"/>
      <c r="SVD90" s="1"/>
      <c r="SVE90" s="1"/>
      <c r="SVF90" s="1"/>
      <c r="SVG90" s="1"/>
      <c r="SVH90" s="1"/>
      <c r="SVI90" s="1"/>
      <c r="SVJ90" s="1"/>
      <c r="SVK90" s="1"/>
      <c r="SVL90" s="1"/>
      <c r="SVM90" s="1"/>
      <c r="SVN90" s="1"/>
      <c r="SVO90" s="1"/>
      <c r="SVP90" s="1"/>
      <c r="SVQ90" s="1"/>
      <c r="SVR90" s="1"/>
      <c r="SVS90" s="1"/>
      <c r="SVT90" s="1"/>
      <c r="SVU90" s="1"/>
      <c r="SVV90" s="1"/>
      <c r="SVW90" s="1"/>
      <c r="SVX90" s="1"/>
      <c r="SVY90" s="1"/>
      <c r="SVZ90" s="1"/>
      <c r="SWA90" s="1"/>
      <c r="SWB90" s="1"/>
      <c r="SWC90" s="1"/>
      <c r="SWD90" s="1"/>
      <c r="SWE90" s="1"/>
      <c r="SWF90" s="1"/>
      <c r="SWG90" s="1"/>
      <c r="SWH90" s="1"/>
      <c r="SWI90" s="1"/>
      <c r="SWJ90" s="1"/>
      <c r="SWK90" s="1"/>
      <c r="SWL90" s="1"/>
      <c r="SWM90" s="1"/>
      <c r="SWN90" s="1"/>
      <c r="SWO90" s="1"/>
      <c r="SWP90" s="1"/>
      <c r="SWQ90" s="1"/>
      <c r="SWR90" s="1"/>
      <c r="SWS90" s="1"/>
      <c r="SWT90" s="1"/>
      <c r="SWU90" s="1"/>
      <c r="SWV90" s="1"/>
      <c r="SWW90" s="1"/>
      <c r="SWX90" s="1"/>
      <c r="SWY90" s="1"/>
      <c r="SWZ90" s="1"/>
      <c r="SXA90" s="1"/>
      <c r="SXB90" s="1"/>
      <c r="SXC90" s="1"/>
      <c r="SXD90" s="1"/>
      <c r="SXE90" s="1"/>
      <c r="SXF90" s="1"/>
      <c r="SXG90" s="1"/>
      <c r="SXH90" s="1"/>
      <c r="SXI90" s="1"/>
      <c r="SXJ90" s="1"/>
      <c r="SXK90" s="1"/>
      <c r="SXL90" s="1"/>
      <c r="SXM90" s="1"/>
      <c r="SXN90" s="1"/>
      <c r="SXO90" s="1"/>
      <c r="SXP90" s="1"/>
      <c r="SXQ90" s="1"/>
      <c r="SXR90" s="1"/>
      <c r="SXS90" s="1"/>
      <c r="SXT90" s="1"/>
      <c r="SXU90" s="1"/>
      <c r="SXV90" s="1"/>
      <c r="SXW90" s="1"/>
      <c r="SXX90" s="1"/>
      <c r="SXY90" s="1"/>
      <c r="SXZ90" s="1"/>
      <c r="SYA90" s="1"/>
      <c r="SYB90" s="1"/>
      <c r="SYC90" s="1"/>
      <c r="SYD90" s="1"/>
      <c r="SYE90" s="1"/>
      <c r="SYF90" s="1"/>
      <c r="SYG90" s="1"/>
      <c r="SYH90" s="1"/>
      <c r="SYI90" s="1"/>
      <c r="SYJ90" s="1"/>
      <c r="SYK90" s="1"/>
      <c r="SYL90" s="1"/>
      <c r="SYM90" s="1"/>
      <c r="SYN90" s="1"/>
      <c r="SYO90" s="1"/>
      <c r="SYP90" s="1"/>
      <c r="SYQ90" s="1"/>
      <c r="SYR90" s="1"/>
      <c r="SYS90" s="1"/>
      <c r="SYT90" s="1"/>
      <c r="SYU90" s="1"/>
      <c r="SYV90" s="1"/>
      <c r="SYW90" s="1"/>
      <c r="SYX90" s="1"/>
      <c r="SYY90" s="1"/>
      <c r="SYZ90" s="1"/>
      <c r="SZA90" s="1"/>
      <c r="SZB90" s="1"/>
      <c r="SZC90" s="1"/>
      <c r="SZD90" s="1"/>
      <c r="SZE90" s="1"/>
      <c r="SZF90" s="1"/>
      <c r="SZG90" s="1"/>
      <c r="SZH90" s="1"/>
      <c r="SZI90" s="1"/>
      <c r="SZJ90" s="1"/>
      <c r="SZK90" s="1"/>
      <c r="SZL90" s="1"/>
      <c r="SZM90" s="1"/>
      <c r="SZN90" s="1"/>
      <c r="SZO90" s="1"/>
      <c r="SZP90" s="1"/>
      <c r="SZQ90" s="1"/>
      <c r="SZR90" s="1"/>
      <c r="SZS90" s="1"/>
      <c r="SZT90" s="1"/>
      <c r="SZU90" s="1"/>
      <c r="SZV90" s="1"/>
      <c r="SZW90" s="1"/>
      <c r="SZX90" s="1"/>
      <c r="SZY90" s="1"/>
      <c r="SZZ90" s="1"/>
      <c r="TAA90" s="1"/>
      <c r="TAB90" s="1"/>
      <c r="TAC90" s="1"/>
      <c r="TAD90" s="1"/>
      <c r="TAE90" s="1"/>
      <c r="TAF90" s="1"/>
      <c r="TAG90" s="1"/>
      <c r="TAH90" s="1"/>
      <c r="TAI90" s="1"/>
      <c r="TAJ90" s="1"/>
      <c r="TAK90" s="1"/>
      <c r="TAL90" s="1"/>
      <c r="TAM90" s="1"/>
      <c r="TAN90" s="1"/>
      <c r="TAO90" s="1"/>
      <c r="TAP90" s="1"/>
      <c r="TAQ90" s="1"/>
      <c r="TAR90" s="1"/>
      <c r="TAS90" s="1"/>
      <c r="TAT90" s="1"/>
      <c r="TAU90" s="1"/>
      <c r="TAV90" s="1"/>
      <c r="TAW90" s="1"/>
      <c r="TAX90" s="1"/>
      <c r="TAY90" s="1"/>
      <c r="TAZ90" s="1"/>
      <c r="TBA90" s="1"/>
      <c r="TBB90" s="1"/>
      <c r="TBC90" s="1"/>
      <c r="TBD90" s="1"/>
      <c r="TBE90" s="1"/>
      <c r="TBF90" s="1"/>
      <c r="TBG90" s="1"/>
      <c r="TBH90" s="1"/>
      <c r="TBI90" s="1"/>
      <c r="TBJ90" s="1"/>
      <c r="TBK90" s="1"/>
      <c r="TBL90" s="1"/>
      <c r="TBM90" s="1"/>
      <c r="TBN90" s="1"/>
      <c r="TBO90" s="1"/>
      <c r="TBP90" s="1"/>
      <c r="TBQ90" s="1"/>
      <c r="TBR90" s="1"/>
      <c r="TBS90" s="1"/>
      <c r="TBT90" s="1"/>
      <c r="TBU90" s="1"/>
      <c r="TBV90" s="1"/>
      <c r="TBW90" s="1"/>
      <c r="TBX90" s="1"/>
      <c r="TBY90" s="1"/>
      <c r="TBZ90" s="1"/>
      <c r="TCA90" s="1"/>
      <c r="TCB90" s="1"/>
      <c r="TCC90" s="1"/>
      <c r="TCD90" s="1"/>
      <c r="TCE90" s="1"/>
      <c r="TCF90" s="1"/>
      <c r="TCG90" s="1"/>
      <c r="TCH90" s="1"/>
      <c r="TCI90" s="1"/>
      <c r="TCJ90" s="1"/>
      <c r="TCK90" s="1"/>
      <c r="TCL90" s="1"/>
      <c r="TCM90" s="1"/>
      <c r="TCN90" s="1"/>
      <c r="TCO90" s="1"/>
      <c r="TCP90" s="1"/>
      <c r="TCQ90" s="1"/>
      <c r="TCR90" s="1"/>
      <c r="TCS90" s="1"/>
      <c r="TCT90" s="1"/>
      <c r="TCU90" s="1"/>
      <c r="TCV90" s="1"/>
      <c r="TCW90" s="1"/>
      <c r="TCX90" s="1"/>
      <c r="TCY90" s="1"/>
      <c r="TCZ90" s="1"/>
      <c r="TDA90" s="1"/>
      <c r="TDB90" s="1"/>
      <c r="TDC90" s="1"/>
      <c r="TDD90" s="1"/>
      <c r="TDE90" s="1"/>
      <c r="TDF90" s="1"/>
      <c r="TDG90" s="1"/>
      <c r="TDH90" s="1"/>
      <c r="TDI90" s="1"/>
      <c r="TDJ90" s="1"/>
      <c r="TDK90" s="1"/>
      <c r="TDL90" s="1"/>
      <c r="TDM90" s="1"/>
      <c r="TDN90" s="1"/>
      <c r="TDO90" s="1"/>
      <c r="TDP90" s="1"/>
      <c r="TDQ90" s="1"/>
      <c r="TDR90" s="1"/>
      <c r="TDS90" s="1"/>
      <c r="TDT90" s="1"/>
      <c r="TDU90" s="1"/>
      <c r="TDV90" s="1"/>
      <c r="TDW90" s="1"/>
      <c r="TDX90" s="1"/>
      <c r="TDY90" s="1"/>
      <c r="TDZ90" s="1"/>
      <c r="TEA90" s="1"/>
      <c r="TEB90" s="1"/>
      <c r="TEC90" s="1"/>
      <c r="TED90" s="1"/>
      <c r="TEE90" s="1"/>
      <c r="TEF90" s="1"/>
      <c r="TEG90" s="1"/>
      <c r="TEH90" s="1"/>
      <c r="TEI90" s="1"/>
      <c r="TEJ90" s="1"/>
      <c r="TEK90" s="1"/>
      <c r="TEL90" s="1"/>
      <c r="TEM90" s="1"/>
      <c r="TEN90" s="1"/>
      <c r="TEO90" s="1"/>
      <c r="TEP90" s="1"/>
      <c r="TEQ90" s="1"/>
      <c r="TER90" s="1"/>
      <c r="TES90" s="1"/>
      <c r="TET90" s="1"/>
      <c r="TEU90" s="1"/>
      <c r="TEV90" s="1"/>
      <c r="TEW90" s="1"/>
      <c r="TEX90" s="1"/>
      <c r="TEY90" s="1"/>
      <c r="TEZ90" s="1"/>
      <c r="TFA90" s="1"/>
      <c r="TFB90" s="1"/>
      <c r="TFC90" s="1"/>
      <c r="TFD90" s="1"/>
      <c r="TFE90" s="1"/>
      <c r="TFF90" s="1"/>
      <c r="TFG90" s="1"/>
      <c r="TFH90" s="1"/>
      <c r="TFI90" s="1"/>
      <c r="TFJ90" s="1"/>
      <c r="TFK90" s="1"/>
      <c r="TFL90" s="1"/>
      <c r="TFM90" s="1"/>
      <c r="TFN90" s="1"/>
      <c r="TFO90" s="1"/>
      <c r="TFP90" s="1"/>
      <c r="TFQ90" s="1"/>
      <c r="TFR90" s="1"/>
      <c r="TFS90" s="1"/>
      <c r="TFT90" s="1"/>
      <c r="TFU90" s="1"/>
      <c r="TFV90" s="1"/>
      <c r="TFW90" s="1"/>
      <c r="TFX90" s="1"/>
      <c r="TFY90" s="1"/>
      <c r="TFZ90" s="1"/>
      <c r="TGA90" s="1"/>
      <c r="TGB90" s="1"/>
      <c r="TGC90" s="1"/>
      <c r="TGD90" s="1"/>
      <c r="TGE90" s="1"/>
      <c r="TGF90" s="1"/>
      <c r="TGG90" s="1"/>
      <c r="TGH90" s="1"/>
      <c r="TGI90" s="1"/>
      <c r="TGJ90" s="1"/>
      <c r="TGK90" s="1"/>
      <c r="TGL90" s="1"/>
      <c r="TGM90" s="1"/>
      <c r="TGN90" s="1"/>
      <c r="TGO90" s="1"/>
      <c r="TGP90" s="1"/>
      <c r="TGQ90" s="1"/>
      <c r="TGR90" s="1"/>
      <c r="TGS90" s="1"/>
      <c r="TGT90" s="1"/>
      <c r="TGU90" s="1"/>
      <c r="TGV90" s="1"/>
      <c r="TGW90" s="1"/>
      <c r="TGX90" s="1"/>
      <c r="TGY90" s="1"/>
      <c r="TGZ90" s="1"/>
      <c r="THA90" s="1"/>
      <c r="THB90" s="1"/>
      <c r="THC90" s="1"/>
      <c r="THD90" s="1"/>
      <c r="THE90" s="1"/>
      <c r="THF90" s="1"/>
      <c r="THG90" s="1"/>
      <c r="THH90" s="1"/>
      <c r="THI90" s="1"/>
      <c r="THJ90" s="1"/>
      <c r="THK90" s="1"/>
      <c r="THL90" s="1"/>
      <c r="THM90" s="1"/>
      <c r="THN90" s="1"/>
      <c r="THO90" s="1"/>
      <c r="THP90" s="1"/>
      <c r="THQ90" s="1"/>
      <c r="THR90" s="1"/>
      <c r="THS90" s="1"/>
      <c r="THT90" s="1"/>
      <c r="THU90" s="1"/>
      <c r="THV90" s="1"/>
      <c r="THW90" s="1"/>
      <c r="THX90" s="1"/>
      <c r="THY90" s="1"/>
      <c r="THZ90" s="1"/>
      <c r="TIA90" s="1"/>
      <c r="TIB90" s="1"/>
      <c r="TIC90" s="1"/>
      <c r="TID90" s="1"/>
      <c r="TIE90" s="1"/>
      <c r="TIF90" s="1"/>
      <c r="TIG90" s="1"/>
      <c r="TIH90" s="1"/>
      <c r="TII90" s="1"/>
      <c r="TIJ90" s="1"/>
      <c r="TIK90" s="1"/>
      <c r="TIL90" s="1"/>
      <c r="TIM90" s="1"/>
      <c r="TIN90" s="1"/>
      <c r="TIO90" s="1"/>
      <c r="TIP90" s="1"/>
      <c r="TIQ90" s="1"/>
      <c r="TIR90" s="1"/>
      <c r="TIS90" s="1"/>
      <c r="TIT90" s="1"/>
      <c r="TIU90" s="1"/>
      <c r="TIV90" s="1"/>
      <c r="TIW90" s="1"/>
      <c r="TIX90" s="1"/>
      <c r="TIY90" s="1"/>
      <c r="TIZ90" s="1"/>
      <c r="TJA90" s="1"/>
      <c r="TJB90" s="1"/>
      <c r="TJC90" s="1"/>
      <c r="TJD90" s="1"/>
      <c r="TJE90" s="1"/>
      <c r="TJF90" s="1"/>
      <c r="TJG90" s="1"/>
      <c r="TJH90" s="1"/>
      <c r="TJI90" s="1"/>
      <c r="TJJ90" s="1"/>
      <c r="TJK90" s="1"/>
      <c r="TJL90" s="1"/>
      <c r="TJM90" s="1"/>
      <c r="TJN90" s="1"/>
      <c r="TJO90" s="1"/>
      <c r="TJP90" s="1"/>
      <c r="TJQ90" s="1"/>
      <c r="TJR90" s="1"/>
      <c r="TJS90" s="1"/>
      <c r="TJT90" s="1"/>
      <c r="TJU90" s="1"/>
      <c r="TJV90" s="1"/>
      <c r="TJW90" s="1"/>
      <c r="TJX90" s="1"/>
      <c r="TJY90" s="1"/>
      <c r="TJZ90" s="1"/>
      <c r="TKA90" s="1"/>
      <c r="TKB90" s="1"/>
      <c r="TKC90" s="1"/>
      <c r="TKD90" s="1"/>
      <c r="TKE90" s="1"/>
      <c r="TKF90" s="1"/>
      <c r="TKG90" s="1"/>
      <c r="TKH90" s="1"/>
      <c r="TKI90" s="1"/>
      <c r="TKJ90" s="1"/>
      <c r="TKK90" s="1"/>
      <c r="TKL90" s="1"/>
      <c r="TKM90" s="1"/>
      <c r="TKN90" s="1"/>
      <c r="TKO90" s="1"/>
      <c r="TKP90" s="1"/>
      <c r="TKQ90" s="1"/>
      <c r="TKR90" s="1"/>
      <c r="TKS90" s="1"/>
      <c r="TKT90" s="1"/>
      <c r="TKU90" s="1"/>
      <c r="TKV90" s="1"/>
      <c r="TKW90" s="1"/>
      <c r="TKX90" s="1"/>
      <c r="TKY90" s="1"/>
      <c r="TKZ90" s="1"/>
      <c r="TLA90" s="1"/>
      <c r="TLB90" s="1"/>
      <c r="TLC90" s="1"/>
      <c r="TLD90" s="1"/>
      <c r="TLE90" s="1"/>
      <c r="TLF90" s="1"/>
      <c r="TLG90" s="1"/>
      <c r="TLH90" s="1"/>
      <c r="TLI90" s="1"/>
      <c r="TLJ90" s="1"/>
      <c r="TLK90" s="1"/>
      <c r="TLL90" s="1"/>
      <c r="TLM90" s="1"/>
      <c r="TLN90" s="1"/>
      <c r="TLO90" s="1"/>
      <c r="TLP90" s="1"/>
      <c r="TLQ90" s="1"/>
      <c r="TLR90" s="1"/>
      <c r="TLS90" s="1"/>
      <c r="TLT90" s="1"/>
      <c r="TLU90" s="1"/>
      <c r="TLV90" s="1"/>
      <c r="TLW90" s="1"/>
      <c r="TLX90" s="1"/>
      <c r="TLY90" s="1"/>
      <c r="TLZ90" s="1"/>
      <c r="TMA90" s="1"/>
      <c r="TMB90" s="1"/>
      <c r="TMC90" s="1"/>
      <c r="TMD90" s="1"/>
      <c r="TME90" s="1"/>
      <c r="TMF90" s="1"/>
      <c r="TMG90" s="1"/>
      <c r="TMH90" s="1"/>
      <c r="TMI90" s="1"/>
      <c r="TMJ90" s="1"/>
      <c r="TMK90" s="1"/>
      <c r="TML90" s="1"/>
      <c r="TMM90" s="1"/>
      <c r="TMN90" s="1"/>
      <c r="TMO90" s="1"/>
      <c r="TMP90" s="1"/>
      <c r="TMQ90" s="1"/>
      <c r="TMR90" s="1"/>
      <c r="TMS90" s="1"/>
      <c r="TMT90" s="1"/>
      <c r="TMU90" s="1"/>
      <c r="TMV90" s="1"/>
      <c r="TMW90" s="1"/>
      <c r="TMX90" s="1"/>
      <c r="TMY90" s="1"/>
      <c r="TMZ90" s="1"/>
      <c r="TNA90" s="1"/>
      <c r="TNB90" s="1"/>
      <c r="TNC90" s="1"/>
      <c r="TND90" s="1"/>
      <c r="TNE90" s="1"/>
      <c r="TNF90" s="1"/>
      <c r="TNG90" s="1"/>
      <c r="TNH90" s="1"/>
      <c r="TNI90" s="1"/>
      <c r="TNJ90" s="1"/>
      <c r="TNK90" s="1"/>
      <c r="TNL90" s="1"/>
      <c r="TNM90" s="1"/>
      <c r="TNN90" s="1"/>
      <c r="TNO90" s="1"/>
      <c r="TNP90" s="1"/>
      <c r="TNQ90" s="1"/>
      <c r="TNR90" s="1"/>
      <c r="TNS90" s="1"/>
      <c r="TNT90" s="1"/>
      <c r="TNU90" s="1"/>
      <c r="TNV90" s="1"/>
      <c r="TNW90" s="1"/>
      <c r="TNX90" s="1"/>
      <c r="TNY90" s="1"/>
      <c r="TNZ90" s="1"/>
      <c r="TOA90" s="1"/>
      <c r="TOB90" s="1"/>
      <c r="TOC90" s="1"/>
      <c r="TOD90" s="1"/>
      <c r="TOE90" s="1"/>
      <c r="TOF90" s="1"/>
      <c r="TOG90" s="1"/>
      <c r="TOH90" s="1"/>
      <c r="TOI90" s="1"/>
      <c r="TOJ90" s="1"/>
      <c r="TOK90" s="1"/>
      <c r="TOL90" s="1"/>
      <c r="TOM90" s="1"/>
      <c r="TON90" s="1"/>
      <c r="TOO90" s="1"/>
      <c r="TOP90" s="1"/>
      <c r="TOQ90" s="1"/>
      <c r="TOR90" s="1"/>
      <c r="TOS90" s="1"/>
      <c r="TOT90" s="1"/>
      <c r="TOU90" s="1"/>
      <c r="TOV90" s="1"/>
      <c r="TOW90" s="1"/>
      <c r="TOX90" s="1"/>
      <c r="TOY90" s="1"/>
      <c r="TOZ90" s="1"/>
      <c r="TPA90" s="1"/>
      <c r="TPB90" s="1"/>
      <c r="TPC90" s="1"/>
      <c r="TPD90" s="1"/>
      <c r="TPE90" s="1"/>
      <c r="TPF90" s="1"/>
      <c r="TPG90" s="1"/>
      <c r="TPH90" s="1"/>
      <c r="TPI90" s="1"/>
      <c r="TPJ90" s="1"/>
      <c r="TPK90" s="1"/>
      <c r="TPL90" s="1"/>
      <c r="TPM90" s="1"/>
      <c r="TPN90" s="1"/>
      <c r="TPO90" s="1"/>
      <c r="TPP90" s="1"/>
      <c r="TPQ90" s="1"/>
      <c r="TPR90" s="1"/>
      <c r="TPS90" s="1"/>
      <c r="TPT90" s="1"/>
      <c r="TPU90" s="1"/>
      <c r="TPV90" s="1"/>
      <c r="TPW90" s="1"/>
      <c r="TPX90" s="1"/>
      <c r="TPY90" s="1"/>
      <c r="TPZ90" s="1"/>
      <c r="TQA90" s="1"/>
      <c r="TQB90" s="1"/>
      <c r="TQC90" s="1"/>
      <c r="TQD90" s="1"/>
      <c r="TQE90" s="1"/>
      <c r="TQF90" s="1"/>
      <c r="TQG90" s="1"/>
      <c r="TQH90" s="1"/>
      <c r="TQI90" s="1"/>
      <c r="TQJ90" s="1"/>
      <c r="TQK90" s="1"/>
      <c r="TQL90" s="1"/>
      <c r="TQM90" s="1"/>
      <c r="TQN90" s="1"/>
      <c r="TQO90" s="1"/>
      <c r="TQP90" s="1"/>
      <c r="TQQ90" s="1"/>
      <c r="TQR90" s="1"/>
      <c r="TQS90" s="1"/>
      <c r="TQT90" s="1"/>
      <c r="TQU90" s="1"/>
      <c r="TQV90" s="1"/>
      <c r="TQW90" s="1"/>
      <c r="TQX90" s="1"/>
      <c r="TQY90" s="1"/>
      <c r="TQZ90" s="1"/>
      <c r="TRA90" s="1"/>
      <c r="TRB90" s="1"/>
      <c r="TRC90" s="1"/>
      <c r="TRD90" s="1"/>
      <c r="TRE90" s="1"/>
      <c r="TRF90" s="1"/>
      <c r="TRG90" s="1"/>
      <c r="TRH90" s="1"/>
      <c r="TRI90" s="1"/>
      <c r="TRJ90" s="1"/>
      <c r="TRK90" s="1"/>
      <c r="TRL90" s="1"/>
      <c r="TRM90" s="1"/>
      <c r="TRN90" s="1"/>
      <c r="TRO90" s="1"/>
      <c r="TRP90" s="1"/>
      <c r="TRQ90" s="1"/>
      <c r="TRR90" s="1"/>
      <c r="TRS90" s="1"/>
      <c r="TRT90" s="1"/>
      <c r="TRU90" s="1"/>
      <c r="TRV90" s="1"/>
      <c r="TRW90" s="1"/>
      <c r="TRX90" s="1"/>
      <c r="TRY90" s="1"/>
      <c r="TRZ90" s="1"/>
      <c r="TSA90" s="1"/>
      <c r="TSB90" s="1"/>
      <c r="TSC90" s="1"/>
      <c r="TSD90" s="1"/>
      <c r="TSE90" s="1"/>
      <c r="TSF90" s="1"/>
      <c r="TSG90" s="1"/>
      <c r="TSH90" s="1"/>
      <c r="TSI90" s="1"/>
      <c r="TSJ90" s="1"/>
      <c r="TSK90" s="1"/>
      <c r="TSL90" s="1"/>
      <c r="TSM90" s="1"/>
      <c r="TSN90" s="1"/>
      <c r="TSO90" s="1"/>
      <c r="TSP90" s="1"/>
      <c r="TSQ90" s="1"/>
      <c r="TSR90" s="1"/>
      <c r="TSS90" s="1"/>
      <c r="TST90" s="1"/>
      <c r="TSU90" s="1"/>
      <c r="TSV90" s="1"/>
      <c r="TSW90" s="1"/>
      <c r="TSX90" s="1"/>
      <c r="TSY90" s="1"/>
      <c r="TSZ90" s="1"/>
      <c r="TTA90" s="1"/>
      <c r="TTB90" s="1"/>
      <c r="TTC90" s="1"/>
      <c r="TTD90" s="1"/>
      <c r="TTE90" s="1"/>
      <c r="TTF90" s="1"/>
      <c r="TTG90" s="1"/>
      <c r="TTH90" s="1"/>
      <c r="TTI90" s="1"/>
      <c r="TTJ90" s="1"/>
      <c r="TTK90" s="1"/>
      <c r="TTL90" s="1"/>
      <c r="TTM90" s="1"/>
      <c r="TTN90" s="1"/>
      <c r="TTO90" s="1"/>
      <c r="TTP90" s="1"/>
      <c r="TTQ90" s="1"/>
      <c r="TTR90" s="1"/>
      <c r="TTS90" s="1"/>
      <c r="TTT90" s="1"/>
      <c r="TTU90" s="1"/>
      <c r="TTV90" s="1"/>
      <c r="TTW90" s="1"/>
      <c r="TTX90" s="1"/>
      <c r="TTY90" s="1"/>
      <c r="TTZ90" s="1"/>
      <c r="TUA90" s="1"/>
      <c r="TUB90" s="1"/>
      <c r="TUC90" s="1"/>
      <c r="TUD90" s="1"/>
      <c r="TUE90" s="1"/>
      <c r="TUF90" s="1"/>
      <c r="TUG90" s="1"/>
      <c r="TUH90" s="1"/>
      <c r="TUI90" s="1"/>
      <c r="TUJ90" s="1"/>
      <c r="TUK90" s="1"/>
      <c r="TUL90" s="1"/>
      <c r="TUM90" s="1"/>
      <c r="TUN90" s="1"/>
      <c r="TUO90" s="1"/>
      <c r="TUP90" s="1"/>
      <c r="TUQ90" s="1"/>
      <c r="TUR90" s="1"/>
      <c r="TUS90" s="1"/>
      <c r="TUT90" s="1"/>
      <c r="TUU90" s="1"/>
      <c r="TUV90" s="1"/>
      <c r="TUW90" s="1"/>
      <c r="TUX90" s="1"/>
      <c r="TUY90" s="1"/>
      <c r="TUZ90" s="1"/>
      <c r="TVA90" s="1"/>
      <c r="TVB90" s="1"/>
      <c r="TVC90" s="1"/>
      <c r="TVD90" s="1"/>
      <c r="TVE90" s="1"/>
      <c r="TVF90" s="1"/>
      <c r="TVG90" s="1"/>
      <c r="TVH90" s="1"/>
      <c r="TVI90" s="1"/>
      <c r="TVJ90" s="1"/>
      <c r="TVK90" s="1"/>
      <c r="TVL90" s="1"/>
      <c r="TVM90" s="1"/>
      <c r="TVN90" s="1"/>
      <c r="TVO90" s="1"/>
      <c r="TVP90" s="1"/>
      <c r="TVQ90" s="1"/>
      <c r="TVR90" s="1"/>
      <c r="TVS90" s="1"/>
      <c r="TVT90" s="1"/>
      <c r="TVU90" s="1"/>
      <c r="TVV90" s="1"/>
      <c r="TVW90" s="1"/>
      <c r="TVX90" s="1"/>
      <c r="TVY90" s="1"/>
      <c r="TVZ90" s="1"/>
      <c r="TWA90" s="1"/>
      <c r="TWB90" s="1"/>
      <c r="TWC90" s="1"/>
      <c r="TWD90" s="1"/>
      <c r="TWE90" s="1"/>
      <c r="TWF90" s="1"/>
      <c r="TWG90" s="1"/>
      <c r="TWH90" s="1"/>
      <c r="TWI90" s="1"/>
      <c r="TWJ90" s="1"/>
      <c r="TWK90" s="1"/>
      <c r="TWL90" s="1"/>
      <c r="TWM90" s="1"/>
      <c r="TWN90" s="1"/>
      <c r="TWO90" s="1"/>
      <c r="TWP90" s="1"/>
      <c r="TWQ90" s="1"/>
      <c r="TWR90" s="1"/>
      <c r="TWS90" s="1"/>
      <c r="TWT90" s="1"/>
      <c r="TWU90" s="1"/>
      <c r="TWV90" s="1"/>
      <c r="TWW90" s="1"/>
      <c r="TWX90" s="1"/>
      <c r="TWY90" s="1"/>
      <c r="TWZ90" s="1"/>
      <c r="TXA90" s="1"/>
      <c r="TXB90" s="1"/>
      <c r="TXC90" s="1"/>
      <c r="TXD90" s="1"/>
      <c r="TXE90" s="1"/>
      <c r="TXF90" s="1"/>
      <c r="TXG90" s="1"/>
      <c r="TXH90" s="1"/>
      <c r="TXI90" s="1"/>
      <c r="TXJ90" s="1"/>
      <c r="TXK90" s="1"/>
      <c r="TXL90" s="1"/>
      <c r="TXM90" s="1"/>
      <c r="TXN90" s="1"/>
      <c r="TXO90" s="1"/>
      <c r="TXP90" s="1"/>
      <c r="TXQ90" s="1"/>
      <c r="TXR90" s="1"/>
      <c r="TXS90" s="1"/>
      <c r="TXT90" s="1"/>
      <c r="TXU90" s="1"/>
      <c r="TXV90" s="1"/>
      <c r="TXW90" s="1"/>
      <c r="TXX90" s="1"/>
      <c r="TXY90" s="1"/>
      <c r="TXZ90" s="1"/>
      <c r="TYA90" s="1"/>
      <c r="TYB90" s="1"/>
      <c r="TYC90" s="1"/>
      <c r="TYD90" s="1"/>
      <c r="TYE90" s="1"/>
      <c r="TYF90" s="1"/>
      <c r="TYG90" s="1"/>
      <c r="TYH90" s="1"/>
      <c r="TYI90" s="1"/>
      <c r="TYJ90" s="1"/>
      <c r="TYK90" s="1"/>
      <c r="TYL90" s="1"/>
      <c r="TYM90" s="1"/>
      <c r="TYN90" s="1"/>
      <c r="TYO90" s="1"/>
      <c r="TYP90" s="1"/>
      <c r="TYQ90" s="1"/>
      <c r="TYR90" s="1"/>
      <c r="TYS90" s="1"/>
      <c r="TYT90" s="1"/>
      <c r="TYU90" s="1"/>
      <c r="TYV90" s="1"/>
      <c r="TYW90" s="1"/>
      <c r="TYX90" s="1"/>
      <c r="TYY90" s="1"/>
      <c r="TYZ90" s="1"/>
      <c r="TZA90" s="1"/>
      <c r="TZB90" s="1"/>
      <c r="TZC90" s="1"/>
      <c r="TZD90" s="1"/>
      <c r="TZE90" s="1"/>
      <c r="TZF90" s="1"/>
      <c r="TZG90" s="1"/>
      <c r="TZH90" s="1"/>
      <c r="TZI90" s="1"/>
      <c r="TZJ90" s="1"/>
      <c r="TZK90" s="1"/>
      <c r="TZL90" s="1"/>
      <c r="TZM90" s="1"/>
      <c r="TZN90" s="1"/>
      <c r="TZO90" s="1"/>
      <c r="TZP90" s="1"/>
      <c r="TZQ90" s="1"/>
      <c r="TZR90" s="1"/>
      <c r="TZS90" s="1"/>
      <c r="TZT90" s="1"/>
      <c r="TZU90" s="1"/>
      <c r="TZV90" s="1"/>
      <c r="TZW90" s="1"/>
      <c r="TZX90" s="1"/>
      <c r="TZY90" s="1"/>
      <c r="TZZ90" s="1"/>
      <c r="UAA90" s="1"/>
      <c r="UAB90" s="1"/>
      <c r="UAC90" s="1"/>
      <c r="UAD90" s="1"/>
      <c r="UAE90" s="1"/>
      <c r="UAF90" s="1"/>
      <c r="UAG90" s="1"/>
      <c r="UAH90" s="1"/>
      <c r="UAI90" s="1"/>
      <c r="UAJ90" s="1"/>
      <c r="UAK90" s="1"/>
      <c r="UAL90" s="1"/>
      <c r="UAM90" s="1"/>
      <c r="UAN90" s="1"/>
      <c r="UAO90" s="1"/>
      <c r="UAP90" s="1"/>
      <c r="UAQ90" s="1"/>
      <c r="UAR90" s="1"/>
      <c r="UAS90" s="1"/>
      <c r="UAT90" s="1"/>
      <c r="UAU90" s="1"/>
      <c r="UAV90" s="1"/>
      <c r="UAW90" s="1"/>
      <c r="UAX90" s="1"/>
      <c r="UAY90" s="1"/>
      <c r="UAZ90" s="1"/>
      <c r="UBA90" s="1"/>
      <c r="UBB90" s="1"/>
      <c r="UBC90" s="1"/>
      <c r="UBD90" s="1"/>
      <c r="UBE90" s="1"/>
      <c r="UBF90" s="1"/>
      <c r="UBG90" s="1"/>
      <c r="UBH90" s="1"/>
      <c r="UBI90" s="1"/>
      <c r="UBJ90" s="1"/>
      <c r="UBK90" s="1"/>
      <c r="UBL90" s="1"/>
      <c r="UBM90" s="1"/>
      <c r="UBN90" s="1"/>
      <c r="UBO90" s="1"/>
      <c r="UBP90" s="1"/>
      <c r="UBQ90" s="1"/>
      <c r="UBR90" s="1"/>
      <c r="UBS90" s="1"/>
      <c r="UBT90" s="1"/>
      <c r="UBU90" s="1"/>
      <c r="UBV90" s="1"/>
      <c r="UBW90" s="1"/>
      <c r="UBX90" s="1"/>
      <c r="UBY90" s="1"/>
      <c r="UBZ90" s="1"/>
      <c r="UCA90" s="1"/>
      <c r="UCB90" s="1"/>
      <c r="UCC90" s="1"/>
      <c r="UCD90" s="1"/>
      <c r="UCE90" s="1"/>
      <c r="UCF90" s="1"/>
      <c r="UCG90" s="1"/>
      <c r="UCH90" s="1"/>
      <c r="UCI90" s="1"/>
      <c r="UCJ90" s="1"/>
      <c r="UCK90" s="1"/>
      <c r="UCL90" s="1"/>
      <c r="UCM90" s="1"/>
      <c r="UCN90" s="1"/>
      <c r="UCO90" s="1"/>
      <c r="UCP90" s="1"/>
      <c r="UCQ90" s="1"/>
      <c r="UCR90" s="1"/>
      <c r="UCS90" s="1"/>
      <c r="UCT90" s="1"/>
      <c r="UCU90" s="1"/>
      <c r="UCV90" s="1"/>
      <c r="UCW90" s="1"/>
      <c r="UCX90" s="1"/>
      <c r="UCY90" s="1"/>
      <c r="UCZ90" s="1"/>
      <c r="UDA90" s="1"/>
      <c r="UDB90" s="1"/>
      <c r="UDC90" s="1"/>
      <c r="UDD90" s="1"/>
      <c r="UDE90" s="1"/>
      <c r="UDF90" s="1"/>
      <c r="UDG90" s="1"/>
      <c r="UDH90" s="1"/>
      <c r="UDI90" s="1"/>
      <c r="UDJ90" s="1"/>
      <c r="UDK90" s="1"/>
      <c r="UDL90" s="1"/>
      <c r="UDM90" s="1"/>
      <c r="UDN90" s="1"/>
      <c r="UDO90" s="1"/>
      <c r="UDP90" s="1"/>
      <c r="UDQ90" s="1"/>
      <c r="UDR90" s="1"/>
      <c r="UDS90" s="1"/>
      <c r="UDT90" s="1"/>
      <c r="UDU90" s="1"/>
      <c r="UDV90" s="1"/>
      <c r="UDW90" s="1"/>
      <c r="UDX90" s="1"/>
      <c r="UDY90" s="1"/>
      <c r="UDZ90" s="1"/>
      <c r="UEA90" s="1"/>
      <c r="UEB90" s="1"/>
      <c r="UEC90" s="1"/>
      <c r="UED90" s="1"/>
      <c r="UEE90" s="1"/>
      <c r="UEF90" s="1"/>
      <c r="UEG90" s="1"/>
      <c r="UEH90" s="1"/>
      <c r="UEI90" s="1"/>
      <c r="UEJ90" s="1"/>
      <c r="UEK90" s="1"/>
      <c r="UEL90" s="1"/>
      <c r="UEM90" s="1"/>
      <c r="UEN90" s="1"/>
      <c r="UEO90" s="1"/>
      <c r="UEP90" s="1"/>
      <c r="UEQ90" s="1"/>
      <c r="UER90" s="1"/>
      <c r="UES90" s="1"/>
      <c r="UET90" s="1"/>
      <c r="UEU90" s="1"/>
      <c r="UEV90" s="1"/>
      <c r="UEW90" s="1"/>
      <c r="UEX90" s="1"/>
      <c r="UEY90" s="1"/>
      <c r="UEZ90" s="1"/>
      <c r="UFA90" s="1"/>
      <c r="UFB90" s="1"/>
      <c r="UFC90" s="1"/>
      <c r="UFD90" s="1"/>
      <c r="UFE90" s="1"/>
      <c r="UFF90" s="1"/>
      <c r="UFG90" s="1"/>
      <c r="UFH90" s="1"/>
      <c r="UFI90" s="1"/>
      <c r="UFJ90" s="1"/>
      <c r="UFK90" s="1"/>
      <c r="UFL90" s="1"/>
      <c r="UFM90" s="1"/>
      <c r="UFN90" s="1"/>
      <c r="UFO90" s="1"/>
      <c r="UFP90" s="1"/>
      <c r="UFQ90" s="1"/>
      <c r="UFR90" s="1"/>
      <c r="UFS90" s="1"/>
      <c r="UFT90" s="1"/>
      <c r="UFU90" s="1"/>
      <c r="UFV90" s="1"/>
      <c r="UFW90" s="1"/>
      <c r="UFX90" s="1"/>
      <c r="UFY90" s="1"/>
      <c r="UFZ90" s="1"/>
      <c r="UGA90" s="1"/>
      <c r="UGB90" s="1"/>
      <c r="UGC90" s="1"/>
      <c r="UGD90" s="1"/>
      <c r="UGE90" s="1"/>
      <c r="UGF90" s="1"/>
      <c r="UGG90" s="1"/>
      <c r="UGH90" s="1"/>
      <c r="UGI90" s="1"/>
      <c r="UGJ90" s="1"/>
      <c r="UGK90" s="1"/>
      <c r="UGL90" s="1"/>
      <c r="UGM90" s="1"/>
      <c r="UGN90" s="1"/>
      <c r="UGO90" s="1"/>
      <c r="UGP90" s="1"/>
      <c r="UGQ90" s="1"/>
      <c r="UGR90" s="1"/>
      <c r="UGS90" s="1"/>
      <c r="UGT90" s="1"/>
      <c r="UGU90" s="1"/>
      <c r="UGV90" s="1"/>
      <c r="UGW90" s="1"/>
      <c r="UGX90" s="1"/>
      <c r="UGY90" s="1"/>
      <c r="UGZ90" s="1"/>
      <c r="UHA90" s="1"/>
      <c r="UHB90" s="1"/>
      <c r="UHC90" s="1"/>
      <c r="UHD90" s="1"/>
      <c r="UHE90" s="1"/>
      <c r="UHF90" s="1"/>
      <c r="UHG90" s="1"/>
      <c r="UHH90" s="1"/>
      <c r="UHI90" s="1"/>
      <c r="UHJ90" s="1"/>
      <c r="UHK90" s="1"/>
      <c r="UHL90" s="1"/>
      <c r="UHM90" s="1"/>
      <c r="UHN90" s="1"/>
      <c r="UHO90" s="1"/>
      <c r="UHP90" s="1"/>
      <c r="UHQ90" s="1"/>
      <c r="UHR90" s="1"/>
      <c r="UHS90" s="1"/>
      <c r="UHT90" s="1"/>
      <c r="UHU90" s="1"/>
      <c r="UHV90" s="1"/>
      <c r="UHW90" s="1"/>
      <c r="UHX90" s="1"/>
      <c r="UHY90" s="1"/>
      <c r="UHZ90" s="1"/>
      <c r="UIA90" s="1"/>
      <c r="UIB90" s="1"/>
      <c r="UIC90" s="1"/>
      <c r="UID90" s="1"/>
      <c r="UIE90" s="1"/>
      <c r="UIF90" s="1"/>
      <c r="UIG90" s="1"/>
      <c r="UIH90" s="1"/>
      <c r="UII90" s="1"/>
      <c r="UIJ90" s="1"/>
      <c r="UIK90" s="1"/>
      <c r="UIL90" s="1"/>
      <c r="UIM90" s="1"/>
      <c r="UIN90" s="1"/>
      <c r="UIO90" s="1"/>
      <c r="UIP90" s="1"/>
      <c r="UIQ90" s="1"/>
      <c r="UIR90" s="1"/>
      <c r="UIS90" s="1"/>
      <c r="UIT90" s="1"/>
      <c r="UIU90" s="1"/>
      <c r="UIV90" s="1"/>
      <c r="UIW90" s="1"/>
      <c r="UIX90" s="1"/>
      <c r="UIY90" s="1"/>
      <c r="UIZ90" s="1"/>
      <c r="UJA90" s="1"/>
      <c r="UJB90" s="1"/>
      <c r="UJC90" s="1"/>
      <c r="UJD90" s="1"/>
      <c r="UJE90" s="1"/>
      <c r="UJF90" s="1"/>
      <c r="UJG90" s="1"/>
      <c r="UJH90" s="1"/>
      <c r="UJI90" s="1"/>
      <c r="UJJ90" s="1"/>
      <c r="UJK90" s="1"/>
      <c r="UJL90" s="1"/>
      <c r="UJM90" s="1"/>
      <c r="UJN90" s="1"/>
      <c r="UJO90" s="1"/>
      <c r="UJP90" s="1"/>
      <c r="UJQ90" s="1"/>
      <c r="UJR90" s="1"/>
      <c r="UJS90" s="1"/>
      <c r="UJT90" s="1"/>
      <c r="UJU90" s="1"/>
      <c r="UJV90" s="1"/>
      <c r="UJW90" s="1"/>
      <c r="UJX90" s="1"/>
      <c r="UJY90" s="1"/>
      <c r="UJZ90" s="1"/>
      <c r="UKA90" s="1"/>
      <c r="UKB90" s="1"/>
      <c r="UKC90" s="1"/>
      <c r="UKD90" s="1"/>
      <c r="UKE90" s="1"/>
      <c r="UKF90" s="1"/>
      <c r="UKG90" s="1"/>
      <c r="UKH90" s="1"/>
      <c r="UKI90" s="1"/>
      <c r="UKJ90" s="1"/>
      <c r="UKK90" s="1"/>
      <c r="UKL90" s="1"/>
      <c r="UKM90" s="1"/>
      <c r="UKN90" s="1"/>
      <c r="UKO90" s="1"/>
      <c r="UKP90" s="1"/>
      <c r="UKQ90" s="1"/>
      <c r="UKR90" s="1"/>
      <c r="UKS90" s="1"/>
      <c r="UKT90" s="1"/>
      <c r="UKU90" s="1"/>
      <c r="UKV90" s="1"/>
      <c r="UKW90" s="1"/>
      <c r="UKX90" s="1"/>
      <c r="UKY90" s="1"/>
      <c r="UKZ90" s="1"/>
      <c r="ULA90" s="1"/>
      <c r="ULB90" s="1"/>
      <c r="ULC90" s="1"/>
      <c r="ULD90" s="1"/>
      <c r="ULE90" s="1"/>
      <c r="ULF90" s="1"/>
      <c r="ULG90" s="1"/>
      <c r="ULH90" s="1"/>
      <c r="ULI90" s="1"/>
      <c r="ULJ90" s="1"/>
      <c r="ULK90" s="1"/>
      <c r="ULL90" s="1"/>
      <c r="ULM90" s="1"/>
      <c r="ULN90" s="1"/>
      <c r="ULO90" s="1"/>
      <c r="ULP90" s="1"/>
      <c r="ULQ90" s="1"/>
      <c r="ULR90" s="1"/>
      <c r="ULS90" s="1"/>
      <c r="ULT90" s="1"/>
      <c r="ULU90" s="1"/>
      <c r="ULV90" s="1"/>
      <c r="ULW90" s="1"/>
      <c r="ULX90" s="1"/>
      <c r="ULY90" s="1"/>
      <c r="ULZ90" s="1"/>
      <c r="UMA90" s="1"/>
      <c r="UMB90" s="1"/>
      <c r="UMC90" s="1"/>
      <c r="UMD90" s="1"/>
      <c r="UME90" s="1"/>
      <c r="UMF90" s="1"/>
      <c r="UMG90" s="1"/>
      <c r="UMH90" s="1"/>
      <c r="UMI90" s="1"/>
      <c r="UMJ90" s="1"/>
      <c r="UMK90" s="1"/>
      <c r="UML90" s="1"/>
      <c r="UMM90" s="1"/>
      <c r="UMN90" s="1"/>
      <c r="UMO90" s="1"/>
      <c r="UMP90" s="1"/>
      <c r="UMQ90" s="1"/>
      <c r="UMR90" s="1"/>
      <c r="UMS90" s="1"/>
      <c r="UMT90" s="1"/>
      <c r="UMU90" s="1"/>
      <c r="UMV90" s="1"/>
      <c r="UMW90" s="1"/>
      <c r="UMX90" s="1"/>
      <c r="UMY90" s="1"/>
      <c r="UMZ90" s="1"/>
      <c r="UNA90" s="1"/>
      <c r="UNB90" s="1"/>
      <c r="UNC90" s="1"/>
      <c r="UND90" s="1"/>
      <c r="UNE90" s="1"/>
      <c r="UNF90" s="1"/>
      <c r="UNG90" s="1"/>
      <c r="UNH90" s="1"/>
      <c r="UNI90" s="1"/>
      <c r="UNJ90" s="1"/>
      <c r="UNK90" s="1"/>
      <c r="UNL90" s="1"/>
      <c r="UNM90" s="1"/>
      <c r="UNN90" s="1"/>
      <c r="UNO90" s="1"/>
      <c r="UNP90" s="1"/>
      <c r="UNQ90" s="1"/>
      <c r="UNR90" s="1"/>
      <c r="UNS90" s="1"/>
      <c r="UNT90" s="1"/>
      <c r="UNU90" s="1"/>
      <c r="UNV90" s="1"/>
      <c r="UNW90" s="1"/>
      <c r="UNX90" s="1"/>
      <c r="UNY90" s="1"/>
      <c r="UNZ90" s="1"/>
      <c r="UOA90" s="1"/>
      <c r="UOB90" s="1"/>
      <c r="UOC90" s="1"/>
      <c r="UOD90" s="1"/>
      <c r="UOE90" s="1"/>
      <c r="UOF90" s="1"/>
      <c r="UOG90" s="1"/>
      <c r="UOH90" s="1"/>
      <c r="UOI90" s="1"/>
      <c r="UOJ90" s="1"/>
      <c r="UOK90" s="1"/>
      <c r="UOL90" s="1"/>
      <c r="UOM90" s="1"/>
      <c r="UON90" s="1"/>
      <c r="UOO90" s="1"/>
      <c r="UOP90" s="1"/>
      <c r="UOQ90" s="1"/>
      <c r="UOR90" s="1"/>
      <c r="UOS90" s="1"/>
      <c r="UOT90" s="1"/>
      <c r="UOU90" s="1"/>
      <c r="UOV90" s="1"/>
      <c r="UOW90" s="1"/>
      <c r="UOX90" s="1"/>
      <c r="UOY90" s="1"/>
      <c r="UOZ90" s="1"/>
      <c r="UPA90" s="1"/>
      <c r="UPB90" s="1"/>
      <c r="UPC90" s="1"/>
      <c r="UPD90" s="1"/>
      <c r="UPE90" s="1"/>
      <c r="UPF90" s="1"/>
      <c r="UPG90" s="1"/>
      <c r="UPH90" s="1"/>
      <c r="UPI90" s="1"/>
      <c r="UPJ90" s="1"/>
      <c r="UPK90" s="1"/>
      <c r="UPL90" s="1"/>
      <c r="UPM90" s="1"/>
      <c r="UPN90" s="1"/>
      <c r="UPO90" s="1"/>
      <c r="UPP90" s="1"/>
      <c r="UPQ90" s="1"/>
      <c r="UPR90" s="1"/>
      <c r="UPS90" s="1"/>
      <c r="UPT90" s="1"/>
      <c r="UPU90" s="1"/>
      <c r="UPV90" s="1"/>
      <c r="UPW90" s="1"/>
      <c r="UPX90" s="1"/>
      <c r="UPY90" s="1"/>
      <c r="UPZ90" s="1"/>
      <c r="UQA90" s="1"/>
      <c r="UQB90" s="1"/>
      <c r="UQC90" s="1"/>
      <c r="UQD90" s="1"/>
      <c r="UQE90" s="1"/>
      <c r="UQF90" s="1"/>
      <c r="UQG90" s="1"/>
      <c r="UQH90" s="1"/>
      <c r="UQI90" s="1"/>
      <c r="UQJ90" s="1"/>
      <c r="UQK90" s="1"/>
      <c r="UQL90" s="1"/>
      <c r="UQM90" s="1"/>
      <c r="UQN90" s="1"/>
      <c r="UQO90" s="1"/>
      <c r="UQP90" s="1"/>
      <c r="UQQ90" s="1"/>
      <c r="UQR90" s="1"/>
      <c r="UQS90" s="1"/>
      <c r="UQT90" s="1"/>
      <c r="UQU90" s="1"/>
      <c r="UQV90" s="1"/>
      <c r="UQW90" s="1"/>
      <c r="UQX90" s="1"/>
      <c r="UQY90" s="1"/>
      <c r="UQZ90" s="1"/>
      <c r="URA90" s="1"/>
      <c r="URB90" s="1"/>
      <c r="URC90" s="1"/>
      <c r="URD90" s="1"/>
      <c r="URE90" s="1"/>
      <c r="URF90" s="1"/>
      <c r="URG90" s="1"/>
      <c r="URH90" s="1"/>
      <c r="URI90" s="1"/>
      <c r="URJ90" s="1"/>
      <c r="URK90" s="1"/>
      <c r="URL90" s="1"/>
      <c r="URM90" s="1"/>
      <c r="URN90" s="1"/>
      <c r="URO90" s="1"/>
      <c r="URP90" s="1"/>
      <c r="URQ90" s="1"/>
      <c r="URR90" s="1"/>
      <c r="URS90" s="1"/>
      <c r="URT90" s="1"/>
      <c r="URU90" s="1"/>
      <c r="URV90" s="1"/>
      <c r="URW90" s="1"/>
      <c r="URX90" s="1"/>
      <c r="URY90" s="1"/>
      <c r="URZ90" s="1"/>
      <c r="USA90" s="1"/>
      <c r="USB90" s="1"/>
      <c r="USC90" s="1"/>
      <c r="USD90" s="1"/>
      <c r="USE90" s="1"/>
      <c r="USF90" s="1"/>
      <c r="USG90" s="1"/>
      <c r="USH90" s="1"/>
      <c r="USI90" s="1"/>
      <c r="USJ90" s="1"/>
      <c r="USK90" s="1"/>
      <c r="USL90" s="1"/>
      <c r="USM90" s="1"/>
      <c r="USN90" s="1"/>
      <c r="USO90" s="1"/>
      <c r="USP90" s="1"/>
      <c r="USQ90" s="1"/>
      <c r="USR90" s="1"/>
      <c r="USS90" s="1"/>
      <c r="UST90" s="1"/>
      <c r="USU90" s="1"/>
      <c r="USV90" s="1"/>
      <c r="USW90" s="1"/>
      <c r="USX90" s="1"/>
      <c r="USY90" s="1"/>
      <c r="USZ90" s="1"/>
      <c r="UTA90" s="1"/>
      <c r="UTB90" s="1"/>
      <c r="UTC90" s="1"/>
      <c r="UTD90" s="1"/>
      <c r="UTE90" s="1"/>
      <c r="UTF90" s="1"/>
      <c r="UTG90" s="1"/>
      <c r="UTH90" s="1"/>
      <c r="UTI90" s="1"/>
      <c r="UTJ90" s="1"/>
      <c r="UTK90" s="1"/>
      <c r="UTL90" s="1"/>
      <c r="UTM90" s="1"/>
      <c r="UTN90" s="1"/>
      <c r="UTO90" s="1"/>
      <c r="UTP90" s="1"/>
      <c r="UTQ90" s="1"/>
      <c r="UTR90" s="1"/>
      <c r="UTS90" s="1"/>
      <c r="UTT90" s="1"/>
      <c r="UTU90" s="1"/>
      <c r="UTV90" s="1"/>
      <c r="UTW90" s="1"/>
      <c r="UTX90" s="1"/>
      <c r="UTY90" s="1"/>
      <c r="UTZ90" s="1"/>
      <c r="UUA90" s="1"/>
      <c r="UUB90" s="1"/>
      <c r="UUC90" s="1"/>
      <c r="UUD90" s="1"/>
      <c r="UUE90" s="1"/>
      <c r="UUF90" s="1"/>
      <c r="UUG90" s="1"/>
      <c r="UUH90" s="1"/>
      <c r="UUI90" s="1"/>
      <c r="UUJ90" s="1"/>
      <c r="UUK90" s="1"/>
      <c r="UUL90" s="1"/>
      <c r="UUM90" s="1"/>
      <c r="UUN90" s="1"/>
      <c r="UUO90" s="1"/>
      <c r="UUP90" s="1"/>
      <c r="UUQ90" s="1"/>
      <c r="UUR90" s="1"/>
      <c r="UUS90" s="1"/>
      <c r="UUT90" s="1"/>
      <c r="UUU90" s="1"/>
      <c r="UUV90" s="1"/>
      <c r="UUW90" s="1"/>
      <c r="UUX90" s="1"/>
      <c r="UUY90" s="1"/>
      <c r="UUZ90" s="1"/>
      <c r="UVA90" s="1"/>
      <c r="UVB90" s="1"/>
      <c r="UVC90" s="1"/>
      <c r="UVD90" s="1"/>
      <c r="UVE90" s="1"/>
      <c r="UVF90" s="1"/>
      <c r="UVG90" s="1"/>
      <c r="UVH90" s="1"/>
      <c r="UVI90" s="1"/>
      <c r="UVJ90" s="1"/>
      <c r="UVK90" s="1"/>
      <c r="UVL90" s="1"/>
      <c r="UVM90" s="1"/>
      <c r="UVN90" s="1"/>
      <c r="UVO90" s="1"/>
      <c r="UVP90" s="1"/>
      <c r="UVQ90" s="1"/>
      <c r="UVR90" s="1"/>
      <c r="UVS90" s="1"/>
      <c r="UVT90" s="1"/>
      <c r="UVU90" s="1"/>
      <c r="UVV90" s="1"/>
      <c r="UVW90" s="1"/>
      <c r="UVX90" s="1"/>
      <c r="UVY90" s="1"/>
      <c r="UVZ90" s="1"/>
      <c r="UWA90" s="1"/>
      <c r="UWB90" s="1"/>
      <c r="UWC90" s="1"/>
      <c r="UWD90" s="1"/>
      <c r="UWE90" s="1"/>
      <c r="UWF90" s="1"/>
      <c r="UWG90" s="1"/>
      <c r="UWH90" s="1"/>
      <c r="UWI90" s="1"/>
      <c r="UWJ90" s="1"/>
      <c r="UWK90" s="1"/>
      <c r="UWL90" s="1"/>
      <c r="UWM90" s="1"/>
      <c r="UWN90" s="1"/>
      <c r="UWO90" s="1"/>
      <c r="UWP90" s="1"/>
      <c r="UWQ90" s="1"/>
      <c r="UWR90" s="1"/>
      <c r="UWS90" s="1"/>
      <c r="UWT90" s="1"/>
      <c r="UWU90" s="1"/>
      <c r="UWV90" s="1"/>
      <c r="UWW90" s="1"/>
      <c r="UWX90" s="1"/>
      <c r="UWY90" s="1"/>
      <c r="UWZ90" s="1"/>
      <c r="UXA90" s="1"/>
      <c r="UXB90" s="1"/>
      <c r="UXC90" s="1"/>
      <c r="UXD90" s="1"/>
      <c r="UXE90" s="1"/>
      <c r="UXF90" s="1"/>
      <c r="UXG90" s="1"/>
      <c r="UXH90" s="1"/>
      <c r="UXI90" s="1"/>
      <c r="UXJ90" s="1"/>
      <c r="UXK90" s="1"/>
      <c r="UXL90" s="1"/>
      <c r="UXM90" s="1"/>
      <c r="UXN90" s="1"/>
      <c r="UXO90" s="1"/>
      <c r="UXP90" s="1"/>
      <c r="UXQ90" s="1"/>
      <c r="UXR90" s="1"/>
      <c r="UXS90" s="1"/>
      <c r="UXT90" s="1"/>
      <c r="UXU90" s="1"/>
      <c r="UXV90" s="1"/>
      <c r="UXW90" s="1"/>
      <c r="UXX90" s="1"/>
      <c r="UXY90" s="1"/>
      <c r="UXZ90" s="1"/>
      <c r="UYA90" s="1"/>
      <c r="UYB90" s="1"/>
      <c r="UYC90" s="1"/>
      <c r="UYD90" s="1"/>
      <c r="UYE90" s="1"/>
      <c r="UYF90" s="1"/>
      <c r="UYG90" s="1"/>
      <c r="UYH90" s="1"/>
      <c r="UYI90" s="1"/>
      <c r="UYJ90" s="1"/>
      <c r="UYK90" s="1"/>
      <c r="UYL90" s="1"/>
      <c r="UYM90" s="1"/>
      <c r="UYN90" s="1"/>
      <c r="UYO90" s="1"/>
      <c r="UYP90" s="1"/>
      <c r="UYQ90" s="1"/>
      <c r="UYR90" s="1"/>
      <c r="UYS90" s="1"/>
      <c r="UYT90" s="1"/>
      <c r="UYU90" s="1"/>
      <c r="UYV90" s="1"/>
      <c r="UYW90" s="1"/>
      <c r="UYX90" s="1"/>
      <c r="UYY90" s="1"/>
      <c r="UYZ90" s="1"/>
      <c r="UZA90" s="1"/>
      <c r="UZB90" s="1"/>
      <c r="UZC90" s="1"/>
      <c r="UZD90" s="1"/>
      <c r="UZE90" s="1"/>
      <c r="UZF90" s="1"/>
      <c r="UZG90" s="1"/>
      <c r="UZH90" s="1"/>
      <c r="UZI90" s="1"/>
      <c r="UZJ90" s="1"/>
      <c r="UZK90" s="1"/>
      <c r="UZL90" s="1"/>
      <c r="UZM90" s="1"/>
      <c r="UZN90" s="1"/>
      <c r="UZO90" s="1"/>
      <c r="UZP90" s="1"/>
      <c r="UZQ90" s="1"/>
      <c r="UZR90" s="1"/>
      <c r="UZS90" s="1"/>
      <c r="UZT90" s="1"/>
      <c r="UZU90" s="1"/>
      <c r="UZV90" s="1"/>
      <c r="UZW90" s="1"/>
      <c r="UZX90" s="1"/>
      <c r="UZY90" s="1"/>
      <c r="UZZ90" s="1"/>
      <c r="VAA90" s="1"/>
      <c r="VAB90" s="1"/>
      <c r="VAC90" s="1"/>
      <c r="VAD90" s="1"/>
      <c r="VAE90" s="1"/>
      <c r="VAF90" s="1"/>
      <c r="VAG90" s="1"/>
      <c r="VAH90" s="1"/>
      <c r="VAI90" s="1"/>
      <c r="VAJ90" s="1"/>
      <c r="VAK90" s="1"/>
      <c r="VAL90" s="1"/>
      <c r="VAM90" s="1"/>
      <c r="VAN90" s="1"/>
      <c r="VAO90" s="1"/>
      <c r="VAP90" s="1"/>
      <c r="VAQ90" s="1"/>
      <c r="VAR90" s="1"/>
      <c r="VAS90" s="1"/>
      <c r="VAT90" s="1"/>
      <c r="VAU90" s="1"/>
      <c r="VAV90" s="1"/>
      <c r="VAW90" s="1"/>
      <c r="VAX90" s="1"/>
      <c r="VAY90" s="1"/>
      <c r="VAZ90" s="1"/>
      <c r="VBA90" s="1"/>
      <c r="VBB90" s="1"/>
      <c r="VBC90" s="1"/>
      <c r="VBD90" s="1"/>
      <c r="VBE90" s="1"/>
      <c r="VBF90" s="1"/>
      <c r="VBG90" s="1"/>
      <c r="VBH90" s="1"/>
      <c r="VBI90" s="1"/>
      <c r="VBJ90" s="1"/>
      <c r="VBK90" s="1"/>
      <c r="VBL90" s="1"/>
      <c r="VBM90" s="1"/>
      <c r="VBN90" s="1"/>
      <c r="VBO90" s="1"/>
      <c r="VBP90" s="1"/>
      <c r="VBQ90" s="1"/>
      <c r="VBR90" s="1"/>
      <c r="VBS90" s="1"/>
      <c r="VBT90" s="1"/>
      <c r="VBU90" s="1"/>
      <c r="VBV90" s="1"/>
      <c r="VBW90" s="1"/>
      <c r="VBX90" s="1"/>
      <c r="VBY90" s="1"/>
      <c r="VBZ90" s="1"/>
      <c r="VCA90" s="1"/>
      <c r="VCB90" s="1"/>
      <c r="VCC90" s="1"/>
      <c r="VCD90" s="1"/>
      <c r="VCE90" s="1"/>
      <c r="VCF90" s="1"/>
      <c r="VCG90" s="1"/>
      <c r="VCH90" s="1"/>
      <c r="VCI90" s="1"/>
      <c r="VCJ90" s="1"/>
      <c r="VCK90" s="1"/>
      <c r="VCL90" s="1"/>
      <c r="VCM90" s="1"/>
      <c r="VCN90" s="1"/>
      <c r="VCO90" s="1"/>
      <c r="VCP90" s="1"/>
      <c r="VCQ90" s="1"/>
      <c r="VCR90" s="1"/>
      <c r="VCS90" s="1"/>
      <c r="VCT90" s="1"/>
      <c r="VCU90" s="1"/>
      <c r="VCV90" s="1"/>
      <c r="VCW90" s="1"/>
      <c r="VCX90" s="1"/>
      <c r="VCY90" s="1"/>
      <c r="VCZ90" s="1"/>
      <c r="VDA90" s="1"/>
      <c r="VDB90" s="1"/>
      <c r="VDC90" s="1"/>
      <c r="VDD90" s="1"/>
      <c r="VDE90" s="1"/>
      <c r="VDF90" s="1"/>
      <c r="VDG90" s="1"/>
      <c r="VDH90" s="1"/>
      <c r="VDI90" s="1"/>
      <c r="VDJ90" s="1"/>
      <c r="VDK90" s="1"/>
      <c r="VDL90" s="1"/>
      <c r="VDM90" s="1"/>
      <c r="VDN90" s="1"/>
      <c r="VDO90" s="1"/>
      <c r="VDP90" s="1"/>
      <c r="VDQ90" s="1"/>
      <c r="VDR90" s="1"/>
      <c r="VDS90" s="1"/>
      <c r="VDT90" s="1"/>
      <c r="VDU90" s="1"/>
      <c r="VDV90" s="1"/>
      <c r="VDW90" s="1"/>
      <c r="VDX90" s="1"/>
      <c r="VDY90" s="1"/>
      <c r="VDZ90" s="1"/>
      <c r="VEA90" s="1"/>
      <c r="VEB90" s="1"/>
      <c r="VEC90" s="1"/>
      <c r="VED90" s="1"/>
      <c r="VEE90" s="1"/>
      <c r="VEF90" s="1"/>
      <c r="VEG90" s="1"/>
      <c r="VEH90" s="1"/>
      <c r="VEI90" s="1"/>
      <c r="VEJ90" s="1"/>
      <c r="VEK90" s="1"/>
      <c r="VEL90" s="1"/>
      <c r="VEM90" s="1"/>
      <c r="VEN90" s="1"/>
      <c r="VEO90" s="1"/>
      <c r="VEP90" s="1"/>
      <c r="VEQ90" s="1"/>
      <c r="VER90" s="1"/>
      <c r="VES90" s="1"/>
      <c r="VET90" s="1"/>
      <c r="VEU90" s="1"/>
      <c r="VEV90" s="1"/>
      <c r="VEW90" s="1"/>
      <c r="VEX90" s="1"/>
      <c r="VEY90" s="1"/>
      <c r="VEZ90" s="1"/>
      <c r="VFA90" s="1"/>
      <c r="VFB90" s="1"/>
      <c r="VFC90" s="1"/>
      <c r="VFD90" s="1"/>
      <c r="VFE90" s="1"/>
      <c r="VFF90" s="1"/>
      <c r="VFG90" s="1"/>
      <c r="VFH90" s="1"/>
      <c r="VFI90" s="1"/>
      <c r="VFJ90" s="1"/>
      <c r="VFK90" s="1"/>
      <c r="VFL90" s="1"/>
      <c r="VFM90" s="1"/>
      <c r="VFN90" s="1"/>
      <c r="VFO90" s="1"/>
      <c r="VFP90" s="1"/>
      <c r="VFQ90" s="1"/>
      <c r="VFR90" s="1"/>
      <c r="VFS90" s="1"/>
      <c r="VFT90" s="1"/>
      <c r="VFU90" s="1"/>
      <c r="VFV90" s="1"/>
      <c r="VFW90" s="1"/>
      <c r="VFX90" s="1"/>
      <c r="VFY90" s="1"/>
      <c r="VFZ90" s="1"/>
      <c r="VGA90" s="1"/>
      <c r="VGB90" s="1"/>
      <c r="VGC90" s="1"/>
      <c r="VGD90" s="1"/>
      <c r="VGE90" s="1"/>
      <c r="VGF90" s="1"/>
      <c r="VGG90" s="1"/>
      <c r="VGH90" s="1"/>
      <c r="VGI90" s="1"/>
      <c r="VGJ90" s="1"/>
      <c r="VGK90" s="1"/>
      <c r="VGL90" s="1"/>
      <c r="VGM90" s="1"/>
      <c r="VGN90" s="1"/>
      <c r="VGO90" s="1"/>
      <c r="VGP90" s="1"/>
      <c r="VGQ90" s="1"/>
      <c r="VGR90" s="1"/>
      <c r="VGS90" s="1"/>
      <c r="VGT90" s="1"/>
      <c r="VGU90" s="1"/>
      <c r="VGV90" s="1"/>
      <c r="VGW90" s="1"/>
      <c r="VGX90" s="1"/>
      <c r="VGY90" s="1"/>
      <c r="VGZ90" s="1"/>
      <c r="VHA90" s="1"/>
      <c r="VHB90" s="1"/>
      <c r="VHC90" s="1"/>
      <c r="VHD90" s="1"/>
      <c r="VHE90" s="1"/>
      <c r="VHF90" s="1"/>
      <c r="VHG90" s="1"/>
      <c r="VHH90" s="1"/>
      <c r="VHI90" s="1"/>
      <c r="VHJ90" s="1"/>
      <c r="VHK90" s="1"/>
      <c r="VHL90" s="1"/>
      <c r="VHM90" s="1"/>
      <c r="VHN90" s="1"/>
      <c r="VHO90" s="1"/>
      <c r="VHP90" s="1"/>
      <c r="VHQ90" s="1"/>
      <c r="VHR90" s="1"/>
      <c r="VHS90" s="1"/>
      <c r="VHT90" s="1"/>
      <c r="VHU90" s="1"/>
      <c r="VHV90" s="1"/>
      <c r="VHW90" s="1"/>
      <c r="VHX90" s="1"/>
      <c r="VHY90" s="1"/>
      <c r="VHZ90" s="1"/>
      <c r="VIA90" s="1"/>
      <c r="VIB90" s="1"/>
      <c r="VIC90" s="1"/>
      <c r="VID90" s="1"/>
      <c r="VIE90" s="1"/>
      <c r="VIF90" s="1"/>
      <c r="VIG90" s="1"/>
      <c r="VIH90" s="1"/>
      <c r="VII90" s="1"/>
      <c r="VIJ90" s="1"/>
      <c r="VIK90" s="1"/>
      <c r="VIL90" s="1"/>
      <c r="VIM90" s="1"/>
      <c r="VIN90" s="1"/>
      <c r="VIO90" s="1"/>
      <c r="VIP90" s="1"/>
      <c r="VIQ90" s="1"/>
      <c r="VIR90" s="1"/>
      <c r="VIS90" s="1"/>
      <c r="VIT90" s="1"/>
      <c r="VIU90" s="1"/>
      <c r="VIV90" s="1"/>
      <c r="VIW90" s="1"/>
      <c r="VIX90" s="1"/>
      <c r="VIY90" s="1"/>
      <c r="VIZ90" s="1"/>
      <c r="VJA90" s="1"/>
      <c r="VJB90" s="1"/>
      <c r="VJC90" s="1"/>
      <c r="VJD90" s="1"/>
      <c r="VJE90" s="1"/>
      <c r="VJF90" s="1"/>
      <c r="VJG90" s="1"/>
      <c r="VJH90" s="1"/>
      <c r="VJI90" s="1"/>
      <c r="VJJ90" s="1"/>
      <c r="VJK90" s="1"/>
      <c r="VJL90" s="1"/>
      <c r="VJM90" s="1"/>
      <c r="VJN90" s="1"/>
      <c r="VJO90" s="1"/>
      <c r="VJP90" s="1"/>
      <c r="VJQ90" s="1"/>
      <c r="VJR90" s="1"/>
      <c r="VJS90" s="1"/>
      <c r="VJT90" s="1"/>
      <c r="VJU90" s="1"/>
      <c r="VJV90" s="1"/>
      <c r="VJW90" s="1"/>
      <c r="VJX90" s="1"/>
      <c r="VJY90" s="1"/>
      <c r="VJZ90" s="1"/>
      <c r="VKA90" s="1"/>
      <c r="VKB90" s="1"/>
      <c r="VKC90" s="1"/>
      <c r="VKD90" s="1"/>
      <c r="VKE90" s="1"/>
      <c r="VKF90" s="1"/>
      <c r="VKG90" s="1"/>
      <c r="VKH90" s="1"/>
      <c r="VKI90" s="1"/>
      <c r="VKJ90" s="1"/>
      <c r="VKK90" s="1"/>
      <c r="VKL90" s="1"/>
      <c r="VKM90" s="1"/>
      <c r="VKN90" s="1"/>
      <c r="VKO90" s="1"/>
      <c r="VKP90" s="1"/>
      <c r="VKQ90" s="1"/>
      <c r="VKR90" s="1"/>
      <c r="VKS90" s="1"/>
      <c r="VKT90" s="1"/>
      <c r="VKU90" s="1"/>
      <c r="VKV90" s="1"/>
      <c r="VKW90" s="1"/>
      <c r="VKX90" s="1"/>
      <c r="VKY90" s="1"/>
      <c r="VKZ90" s="1"/>
      <c r="VLA90" s="1"/>
      <c r="VLB90" s="1"/>
      <c r="VLC90" s="1"/>
      <c r="VLD90" s="1"/>
      <c r="VLE90" s="1"/>
      <c r="VLF90" s="1"/>
      <c r="VLG90" s="1"/>
      <c r="VLH90" s="1"/>
      <c r="VLI90" s="1"/>
      <c r="VLJ90" s="1"/>
      <c r="VLK90" s="1"/>
      <c r="VLL90" s="1"/>
      <c r="VLM90" s="1"/>
      <c r="VLN90" s="1"/>
      <c r="VLO90" s="1"/>
      <c r="VLP90" s="1"/>
      <c r="VLQ90" s="1"/>
      <c r="VLR90" s="1"/>
      <c r="VLS90" s="1"/>
      <c r="VLT90" s="1"/>
      <c r="VLU90" s="1"/>
      <c r="VLV90" s="1"/>
      <c r="VLW90" s="1"/>
      <c r="VLX90" s="1"/>
      <c r="VLY90" s="1"/>
      <c r="VLZ90" s="1"/>
      <c r="VMA90" s="1"/>
      <c r="VMB90" s="1"/>
      <c r="VMC90" s="1"/>
      <c r="VMD90" s="1"/>
      <c r="VME90" s="1"/>
      <c r="VMF90" s="1"/>
      <c r="VMG90" s="1"/>
      <c r="VMH90" s="1"/>
      <c r="VMI90" s="1"/>
      <c r="VMJ90" s="1"/>
      <c r="VMK90" s="1"/>
      <c r="VML90" s="1"/>
      <c r="VMM90" s="1"/>
      <c r="VMN90" s="1"/>
      <c r="VMO90" s="1"/>
      <c r="VMP90" s="1"/>
      <c r="VMQ90" s="1"/>
      <c r="VMR90" s="1"/>
      <c r="VMS90" s="1"/>
      <c r="VMT90" s="1"/>
      <c r="VMU90" s="1"/>
      <c r="VMV90" s="1"/>
      <c r="VMW90" s="1"/>
      <c r="VMX90" s="1"/>
      <c r="VMY90" s="1"/>
      <c r="VMZ90" s="1"/>
      <c r="VNA90" s="1"/>
      <c r="VNB90" s="1"/>
      <c r="VNC90" s="1"/>
      <c r="VND90" s="1"/>
      <c r="VNE90" s="1"/>
      <c r="VNF90" s="1"/>
      <c r="VNG90" s="1"/>
      <c r="VNH90" s="1"/>
      <c r="VNI90" s="1"/>
      <c r="VNJ90" s="1"/>
      <c r="VNK90" s="1"/>
      <c r="VNL90" s="1"/>
      <c r="VNM90" s="1"/>
      <c r="VNN90" s="1"/>
      <c r="VNO90" s="1"/>
      <c r="VNP90" s="1"/>
      <c r="VNQ90" s="1"/>
      <c r="VNR90" s="1"/>
      <c r="VNS90" s="1"/>
      <c r="VNT90" s="1"/>
      <c r="VNU90" s="1"/>
      <c r="VNV90" s="1"/>
      <c r="VNW90" s="1"/>
      <c r="VNX90" s="1"/>
      <c r="VNY90" s="1"/>
      <c r="VNZ90" s="1"/>
      <c r="VOA90" s="1"/>
      <c r="VOB90" s="1"/>
      <c r="VOC90" s="1"/>
      <c r="VOD90" s="1"/>
      <c r="VOE90" s="1"/>
      <c r="VOF90" s="1"/>
      <c r="VOG90" s="1"/>
      <c r="VOH90" s="1"/>
      <c r="VOI90" s="1"/>
      <c r="VOJ90" s="1"/>
      <c r="VOK90" s="1"/>
      <c r="VOL90" s="1"/>
      <c r="VOM90" s="1"/>
      <c r="VON90" s="1"/>
      <c r="VOO90" s="1"/>
      <c r="VOP90" s="1"/>
      <c r="VOQ90" s="1"/>
      <c r="VOR90" s="1"/>
      <c r="VOS90" s="1"/>
      <c r="VOT90" s="1"/>
      <c r="VOU90" s="1"/>
      <c r="VOV90" s="1"/>
      <c r="VOW90" s="1"/>
      <c r="VOX90" s="1"/>
      <c r="VOY90" s="1"/>
      <c r="VOZ90" s="1"/>
      <c r="VPA90" s="1"/>
      <c r="VPB90" s="1"/>
      <c r="VPC90" s="1"/>
      <c r="VPD90" s="1"/>
      <c r="VPE90" s="1"/>
      <c r="VPF90" s="1"/>
      <c r="VPG90" s="1"/>
      <c r="VPH90" s="1"/>
      <c r="VPI90" s="1"/>
      <c r="VPJ90" s="1"/>
      <c r="VPK90" s="1"/>
      <c r="VPL90" s="1"/>
      <c r="VPM90" s="1"/>
      <c r="VPN90" s="1"/>
      <c r="VPO90" s="1"/>
      <c r="VPP90" s="1"/>
      <c r="VPQ90" s="1"/>
      <c r="VPR90" s="1"/>
      <c r="VPS90" s="1"/>
      <c r="VPT90" s="1"/>
      <c r="VPU90" s="1"/>
      <c r="VPV90" s="1"/>
      <c r="VPW90" s="1"/>
      <c r="VPX90" s="1"/>
      <c r="VPY90" s="1"/>
      <c r="VPZ90" s="1"/>
      <c r="VQA90" s="1"/>
      <c r="VQB90" s="1"/>
      <c r="VQC90" s="1"/>
      <c r="VQD90" s="1"/>
      <c r="VQE90" s="1"/>
      <c r="VQF90" s="1"/>
      <c r="VQG90" s="1"/>
      <c r="VQH90" s="1"/>
      <c r="VQI90" s="1"/>
      <c r="VQJ90" s="1"/>
      <c r="VQK90" s="1"/>
      <c r="VQL90" s="1"/>
      <c r="VQM90" s="1"/>
      <c r="VQN90" s="1"/>
      <c r="VQO90" s="1"/>
      <c r="VQP90" s="1"/>
      <c r="VQQ90" s="1"/>
      <c r="VQR90" s="1"/>
      <c r="VQS90" s="1"/>
      <c r="VQT90" s="1"/>
      <c r="VQU90" s="1"/>
      <c r="VQV90" s="1"/>
      <c r="VQW90" s="1"/>
      <c r="VQX90" s="1"/>
      <c r="VQY90" s="1"/>
      <c r="VQZ90" s="1"/>
      <c r="VRA90" s="1"/>
      <c r="VRB90" s="1"/>
      <c r="VRC90" s="1"/>
      <c r="VRD90" s="1"/>
      <c r="VRE90" s="1"/>
      <c r="VRF90" s="1"/>
      <c r="VRG90" s="1"/>
      <c r="VRH90" s="1"/>
      <c r="VRI90" s="1"/>
      <c r="VRJ90" s="1"/>
      <c r="VRK90" s="1"/>
      <c r="VRL90" s="1"/>
      <c r="VRM90" s="1"/>
      <c r="VRN90" s="1"/>
      <c r="VRO90" s="1"/>
      <c r="VRP90" s="1"/>
      <c r="VRQ90" s="1"/>
      <c r="VRR90" s="1"/>
      <c r="VRS90" s="1"/>
      <c r="VRT90" s="1"/>
      <c r="VRU90" s="1"/>
      <c r="VRV90" s="1"/>
      <c r="VRW90" s="1"/>
      <c r="VRX90" s="1"/>
      <c r="VRY90" s="1"/>
      <c r="VRZ90" s="1"/>
      <c r="VSA90" s="1"/>
      <c r="VSB90" s="1"/>
      <c r="VSC90" s="1"/>
      <c r="VSD90" s="1"/>
      <c r="VSE90" s="1"/>
      <c r="VSF90" s="1"/>
      <c r="VSG90" s="1"/>
      <c r="VSH90" s="1"/>
      <c r="VSI90" s="1"/>
      <c r="VSJ90" s="1"/>
      <c r="VSK90" s="1"/>
      <c r="VSL90" s="1"/>
      <c r="VSM90" s="1"/>
      <c r="VSN90" s="1"/>
      <c r="VSO90" s="1"/>
      <c r="VSP90" s="1"/>
      <c r="VSQ90" s="1"/>
      <c r="VSR90" s="1"/>
      <c r="VSS90" s="1"/>
      <c r="VST90" s="1"/>
      <c r="VSU90" s="1"/>
      <c r="VSV90" s="1"/>
      <c r="VSW90" s="1"/>
      <c r="VSX90" s="1"/>
      <c r="VSY90" s="1"/>
      <c r="VSZ90" s="1"/>
      <c r="VTA90" s="1"/>
      <c r="VTB90" s="1"/>
      <c r="VTC90" s="1"/>
      <c r="VTD90" s="1"/>
      <c r="VTE90" s="1"/>
      <c r="VTF90" s="1"/>
      <c r="VTG90" s="1"/>
      <c r="VTH90" s="1"/>
      <c r="VTI90" s="1"/>
      <c r="VTJ90" s="1"/>
      <c r="VTK90" s="1"/>
      <c r="VTL90" s="1"/>
      <c r="VTM90" s="1"/>
      <c r="VTN90" s="1"/>
      <c r="VTO90" s="1"/>
      <c r="VTP90" s="1"/>
      <c r="VTQ90" s="1"/>
      <c r="VTR90" s="1"/>
      <c r="VTS90" s="1"/>
      <c r="VTT90" s="1"/>
      <c r="VTU90" s="1"/>
      <c r="VTV90" s="1"/>
      <c r="VTW90" s="1"/>
      <c r="VTX90" s="1"/>
      <c r="VTY90" s="1"/>
      <c r="VTZ90" s="1"/>
      <c r="VUA90" s="1"/>
      <c r="VUB90" s="1"/>
      <c r="VUC90" s="1"/>
      <c r="VUD90" s="1"/>
      <c r="VUE90" s="1"/>
      <c r="VUF90" s="1"/>
      <c r="VUG90" s="1"/>
      <c r="VUH90" s="1"/>
      <c r="VUI90" s="1"/>
      <c r="VUJ90" s="1"/>
      <c r="VUK90" s="1"/>
      <c r="VUL90" s="1"/>
      <c r="VUM90" s="1"/>
      <c r="VUN90" s="1"/>
      <c r="VUO90" s="1"/>
      <c r="VUP90" s="1"/>
      <c r="VUQ90" s="1"/>
      <c r="VUR90" s="1"/>
      <c r="VUS90" s="1"/>
      <c r="VUT90" s="1"/>
      <c r="VUU90" s="1"/>
      <c r="VUV90" s="1"/>
      <c r="VUW90" s="1"/>
      <c r="VUX90" s="1"/>
      <c r="VUY90" s="1"/>
      <c r="VUZ90" s="1"/>
      <c r="VVA90" s="1"/>
      <c r="VVB90" s="1"/>
      <c r="VVC90" s="1"/>
      <c r="VVD90" s="1"/>
      <c r="VVE90" s="1"/>
      <c r="VVF90" s="1"/>
      <c r="VVG90" s="1"/>
      <c r="VVH90" s="1"/>
      <c r="VVI90" s="1"/>
      <c r="VVJ90" s="1"/>
      <c r="VVK90" s="1"/>
      <c r="VVL90" s="1"/>
      <c r="VVM90" s="1"/>
      <c r="VVN90" s="1"/>
      <c r="VVO90" s="1"/>
      <c r="VVP90" s="1"/>
      <c r="VVQ90" s="1"/>
      <c r="VVR90" s="1"/>
      <c r="VVS90" s="1"/>
      <c r="VVT90" s="1"/>
      <c r="VVU90" s="1"/>
      <c r="VVV90" s="1"/>
      <c r="VVW90" s="1"/>
      <c r="VVX90" s="1"/>
      <c r="VVY90" s="1"/>
      <c r="VVZ90" s="1"/>
      <c r="VWA90" s="1"/>
      <c r="VWB90" s="1"/>
      <c r="VWC90" s="1"/>
      <c r="VWD90" s="1"/>
      <c r="VWE90" s="1"/>
      <c r="VWF90" s="1"/>
      <c r="VWG90" s="1"/>
      <c r="VWH90" s="1"/>
      <c r="VWI90" s="1"/>
      <c r="VWJ90" s="1"/>
      <c r="VWK90" s="1"/>
      <c r="VWL90" s="1"/>
      <c r="VWM90" s="1"/>
      <c r="VWN90" s="1"/>
      <c r="VWO90" s="1"/>
      <c r="VWP90" s="1"/>
      <c r="VWQ90" s="1"/>
      <c r="VWR90" s="1"/>
      <c r="VWS90" s="1"/>
      <c r="VWT90" s="1"/>
      <c r="VWU90" s="1"/>
      <c r="VWV90" s="1"/>
      <c r="VWW90" s="1"/>
      <c r="VWX90" s="1"/>
      <c r="VWY90" s="1"/>
      <c r="VWZ90" s="1"/>
      <c r="VXA90" s="1"/>
      <c r="VXB90" s="1"/>
      <c r="VXC90" s="1"/>
      <c r="VXD90" s="1"/>
      <c r="VXE90" s="1"/>
      <c r="VXF90" s="1"/>
      <c r="VXG90" s="1"/>
      <c r="VXH90" s="1"/>
      <c r="VXI90" s="1"/>
      <c r="VXJ90" s="1"/>
      <c r="VXK90" s="1"/>
      <c r="VXL90" s="1"/>
      <c r="VXM90" s="1"/>
      <c r="VXN90" s="1"/>
      <c r="VXO90" s="1"/>
      <c r="VXP90" s="1"/>
      <c r="VXQ90" s="1"/>
      <c r="VXR90" s="1"/>
      <c r="VXS90" s="1"/>
      <c r="VXT90" s="1"/>
      <c r="VXU90" s="1"/>
      <c r="VXV90" s="1"/>
      <c r="VXW90" s="1"/>
      <c r="VXX90" s="1"/>
      <c r="VXY90" s="1"/>
      <c r="VXZ90" s="1"/>
      <c r="VYA90" s="1"/>
      <c r="VYB90" s="1"/>
      <c r="VYC90" s="1"/>
      <c r="VYD90" s="1"/>
      <c r="VYE90" s="1"/>
      <c r="VYF90" s="1"/>
      <c r="VYG90" s="1"/>
      <c r="VYH90" s="1"/>
      <c r="VYI90" s="1"/>
      <c r="VYJ90" s="1"/>
      <c r="VYK90" s="1"/>
      <c r="VYL90" s="1"/>
      <c r="VYM90" s="1"/>
      <c r="VYN90" s="1"/>
      <c r="VYO90" s="1"/>
      <c r="VYP90" s="1"/>
      <c r="VYQ90" s="1"/>
      <c r="VYR90" s="1"/>
      <c r="VYS90" s="1"/>
      <c r="VYT90" s="1"/>
      <c r="VYU90" s="1"/>
      <c r="VYV90" s="1"/>
      <c r="VYW90" s="1"/>
      <c r="VYX90" s="1"/>
      <c r="VYY90" s="1"/>
      <c r="VYZ90" s="1"/>
      <c r="VZA90" s="1"/>
      <c r="VZB90" s="1"/>
      <c r="VZC90" s="1"/>
      <c r="VZD90" s="1"/>
      <c r="VZE90" s="1"/>
      <c r="VZF90" s="1"/>
      <c r="VZG90" s="1"/>
      <c r="VZH90" s="1"/>
      <c r="VZI90" s="1"/>
      <c r="VZJ90" s="1"/>
      <c r="VZK90" s="1"/>
      <c r="VZL90" s="1"/>
      <c r="VZM90" s="1"/>
      <c r="VZN90" s="1"/>
      <c r="VZO90" s="1"/>
      <c r="VZP90" s="1"/>
      <c r="VZQ90" s="1"/>
      <c r="VZR90" s="1"/>
      <c r="VZS90" s="1"/>
      <c r="VZT90" s="1"/>
      <c r="VZU90" s="1"/>
      <c r="VZV90" s="1"/>
      <c r="VZW90" s="1"/>
      <c r="VZX90" s="1"/>
      <c r="VZY90" s="1"/>
      <c r="VZZ90" s="1"/>
      <c r="WAA90" s="1"/>
      <c r="WAB90" s="1"/>
      <c r="WAC90" s="1"/>
      <c r="WAD90" s="1"/>
      <c r="WAE90" s="1"/>
      <c r="WAF90" s="1"/>
      <c r="WAG90" s="1"/>
      <c r="WAH90" s="1"/>
      <c r="WAI90" s="1"/>
      <c r="WAJ90" s="1"/>
      <c r="WAK90" s="1"/>
      <c r="WAL90" s="1"/>
      <c r="WAM90" s="1"/>
      <c r="WAN90" s="1"/>
      <c r="WAO90" s="1"/>
      <c r="WAP90" s="1"/>
      <c r="WAQ90" s="1"/>
      <c r="WAR90" s="1"/>
      <c r="WAS90" s="1"/>
      <c r="WAT90" s="1"/>
      <c r="WAU90" s="1"/>
      <c r="WAV90" s="1"/>
      <c r="WAW90" s="1"/>
      <c r="WAX90" s="1"/>
      <c r="WAY90" s="1"/>
      <c r="WAZ90" s="1"/>
      <c r="WBA90" s="1"/>
      <c r="WBB90" s="1"/>
      <c r="WBC90" s="1"/>
      <c r="WBD90" s="1"/>
      <c r="WBE90" s="1"/>
      <c r="WBF90" s="1"/>
      <c r="WBG90" s="1"/>
      <c r="WBH90" s="1"/>
      <c r="WBI90" s="1"/>
      <c r="WBJ90" s="1"/>
      <c r="WBK90" s="1"/>
      <c r="WBL90" s="1"/>
      <c r="WBM90" s="1"/>
      <c r="WBN90" s="1"/>
      <c r="WBO90" s="1"/>
      <c r="WBP90" s="1"/>
      <c r="WBQ90" s="1"/>
      <c r="WBR90" s="1"/>
      <c r="WBS90" s="1"/>
      <c r="WBT90" s="1"/>
      <c r="WBU90" s="1"/>
      <c r="WBV90" s="1"/>
      <c r="WBW90" s="1"/>
      <c r="WBX90" s="1"/>
      <c r="WBY90" s="1"/>
      <c r="WBZ90" s="1"/>
      <c r="WCA90" s="1"/>
      <c r="WCB90" s="1"/>
      <c r="WCC90" s="1"/>
      <c r="WCD90" s="1"/>
      <c r="WCE90" s="1"/>
      <c r="WCF90" s="1"/>
      <c r="WCG90" s="1"/>
      <c r="WCH90" s="1"/>
      <c r="WCI90" s="1"/>
      <c r="WCJ90" s="1"/>
      <c r="WCK90" s="1"/>
      <c r="WCL90" s="1"/>
      <c r="WCM90" s="1"/>
      <c r="WCN90" s="1"/>
      <c r="WCO90" s="1"/>
      <c r="WCP90" s="1"/>
      <c r="WCQ90" s="1"/>
      <c r="WCR90" s="1"/>
      <c r="WCS90" s="1"/>
      <c r="WCT90" s="1"/>
      <c r="WCU90" s="1"/>
      <c r="WCV90" s="1"/>
      <c r="WCW90" s="1"/>
      <c r="WCX90" s="1"/>
      <c r="WCY90" s="1"/>
      <c r="WCZ90" s="1"/>
      <c r="WDA90" s="1"/>
      <c r="WDB90" s="1"/>
      <c r="WDC90" s="1"/>
      <c r="WDD90" s="1"/>
      <c r="WDE90" s="1"/>
      <c r="WDF90" s="1"/>
      <c r="WDG90" s="1"/>
      <c r="WDH90" s="1"/>
      <c r="WDI90" s="1"/>
      <c r="WDJ90" s="1"/>
      <c r="WDK90" s="1"/>
      <c r="WDL90" s="1"/>
      <c r="WDM90" s="1"/>
      <c r="WDN90" s="1"/>
      <c r="WDO90" s="1"/>
      <c r="WDP90" s="1"/>
      <c r="WDQ90" s="1"/>
      <c r="WDR90" s="1"/>
      <c r="WDS90" s="1"/>
      <c r="WDT90" s="1"/>
      <c r="WDU90" s="1"/>
      <c r="WDV90" s="1"/>
      <c r="WDW90" s="1"/>
      <c r="WDX90" s="1"/>
      <c r="WDY90" s="1"/>
      <c r="WDZ90" s="1"/>
      <c r="WEA90" s="1"/>
      <c r="WEB90" s="1"/>
      <c r="WEC90" s="1"/>
      <c r="WED90" s="1"/>
      <c r="WEE90" s="1"/>
      <c r="WEF90" s="1"/>
      <c r="WEG90" s="1"/>
      <c r="WEH90" s="1"/>
      <c r="WEI90" s="1"/>
      <c r="WEJ90" s="1"/>
      <c r="WEK90" s="1"/>
      <c r="WEL90" s="1"/>
      <c r="WEM90" s="1"/>
      <c r="WEN90" s="1"/>
      <c r="WEO90" s="1"/>
      <c r="WEP90" s="1"/>
      <c r="WEQ90" s="1"/>
      <c r="WER90" s="1"/>
      <c r="WES90" s="1"/>
      <c r="WET90" s="1"/>
      <c r="WEU90" s="1"/>
      <c r="WEV90" s="1"/>
      <c r="WEW90" s="1"/>
      <c r="WEX90" s="1"/>
      <c r="WEY90" s="1"/>
      <c r="WEZ90" s="1"/>
      <c r="WFA90" s="1"/>
      <c r="WFB90" s="1"/>
      <c r="WFC90" s="1"/>
      <c r="WFD90" s="1"/>
      <c r="WFE90" s="1"/>
      <c r="WFF90" s="1"/>
      <c r="WFG90" s="1"/>
      <c r="WFH90" s="1"/>
      <c r="WFI90" s="1"/>
      <c r="WFJ90" s="1"/>
      <c r="WFK90" s="1"/>
      <c r="WFL90" s="1"/>
      <c r="WFM90" s="1"/>
      <c r="WFN90" s="1"/>
      <c r="WFO90" s="1"/>
      <c r="WFP90" s="1"/>
      <c r="WFQ90" s="1"/>
      <c r="WFR90" s="1"/>
      <c r="WFS90" s="1"/>
      <c r="WFT90" s="1"/>
      <c r="WFU90" s="1"/>
      <c r="WFV90" s="1"/>
      <c r="WFW90" s="1"/>
      <c r="WFX90" s="1"/>
      <c r="WFY90" s="1"/>
      <c r="WFZ90" s="1"/>
      <c r="WGA90" s="1"/>
      <c r="WGB90" s="1"/>
      <c r="WGC90" s="1"/>
      <c r="WGD90" s="1"/>
      <c r="WGE90" s="1"/>
      <c r="WGF90" s="1"/>
      <c r="WGG90" s="1"/>
      <c r="WGH90" s="1"/>
      <c r="WGI90" s="1"/>
      <c r="WGJ90" s="1"/>
      <c r="WGK90" s="1"/>
      <c r="WGL90" s="1"/>
      <c r="WGM90" s="1"/>
      <c r="WGN90" s="1"/>
      <c r="WGO90" s="1"/>
      <c r="WGP90" s="1"/>
      <c r="WGQ90" s="1"/>
      <c r="WGR90" s="1"/>
      <c r="WGS90" s="1"/>
      <c r="WGT90" s="1"/>
      <c r="WGU90" s="1"/>
      <c r="WGV90" s="1"/>
      <c r="WGW90" s="1"/>
      <c r="WGX90" s="1"/>
      <c r="WGY90" s="1"/>
      <c r="WGZ90" s="1"/>
      <c r="WHA90" s="1"/>
      <c r="WHB90" s="1"/>
      <c r="WHC90" s="1"/>
      <c r="WHD90" s="1"/>
      <c r="WHE90" s="1"/>
      <c r="WHF90" s="1"/>
      <c r="WHG90" s="1"/>
      <c r="WHH90" s="1"/>
      <c r="WHI90" s="1"/>
      <c r="WHJ90" s="1"/>
      <c r="WHK90" s="1"/>
      <c r="WHL90" s="1"/>
      <c r="WHM90" s="1"/>
      <c r="WHN90" s="1"/>
      <c r="WHO90" s="1"/>
      <c r="WHP90" s="1"/>
      <c r="WHQ90" s="1"/>
      <c r="WHR90" s="1"/>
      <c r="WHS90" s="1"/>
      <c r="WHT90" s="1"/>
      <c r="WHU90" s="1"/>
      <c r="WHV90" s="1"/>
      <c r="WHW90" s="1"/>
      <c r="WHX90" s="1"/>
      <c r="WHY90" s="1"/>
      <c r="WHZ90" s="1"/>
      <c r="WIA90" s="1"/>
      <c r="WIB90" s="1"/>
      <c r="WIC90" s="1"/>
      <c r="WID90" s="1"/>
      <c r="WIE90" s="1"/>
      <c r="WIF90" s="1"/>
      <c r="WIG90" s="1"/>
      <c r="WIH90" s="1"/>
      <c r="WII90" s="1"/>
      <c r="WIJ90" s="1"/>
      <c r="WIK90" s="1"/>
      <c r="WIL90" s="1"/>
      <c r="WIM90" s="1"/>
      <c r="WIN90" s="1"/>
      <c r="WIO90" s="1"/>
      <c r="WIP90" s="1"/>
      <c r="WIQ90" s="1"/>
      <c r="WIR90" s="1"/>
      <c r="WIS90" s="1"/>
      <c r="WIT90" s="1"/>
      <c r="WIU90" s="1"/>
      <c r="WIV90" s="1"/>
      <c r="WIW90" s="1"/>
      <c r="WIX90" s="1"/>
      <c r="WIY90" s="1"/>
      <c r="WIZ90" s="1"/>
      <c r="WJA90" s="1"/>
      <c r="WJB90" s="1"/>
      <c r="WJC90" s="1"/>
      <c r="WJD90" s="1"/>
      <c r="WJE90" s="1"/>
      <c r="WJF90" s="1"/>
      <c r="WJG90" s="1"/>
      <c r="WJH90" s="1"/>
      <c r="WJI90" s="1"/>
      <c r="WJJ90" s="1"/>
      <c r="WJK90" s="1"/>
      <c r="WJL90" s="1"/>
      <c r="WJM90" s="1"/>
      <c r="WJN90" s="1"/>
      <c r="WJO90" s="1"/>
      <c r="WJP90" s="1"/>
      <c r="WJQ90" s="1"/>
      <c r="WJR90" s="1"/>
      <c r="WJS90" s="1"/>
      <c r="WJT90" s="1"/>
      <c r="WJU90" s="1"/>
      <c r="WJV90" s="1"/>
      <c r="WJW90" s="1"/>
      <c r="WJX90" s="1"/>
      <c r="WJY90" s="1"/>
      <c r="WJZ90" s="1"/>
      <c r="WKA90" s="1"/>
      <c r="WKB90" s="1"/>
      <c r="WKC90" s="1"/>
      <c r="WKD90" s="1"/>
      <c r="WKE90" s="1"/>
      <c r="WKF90" s="1"/>
      <c r="WKG90" s="1"/>
      <c r="WKH90" s="1"/>
      <c r="WKI90" s="1"/>
      <c r="WKJ90" s="1"/>
      <c r="WKK90" s="1"/>
      <c r="WKL90" s="1"/>
      <c r="WKM90" s="1"/>
      <c r="WKN90" s="1"/>
      <c r="WKO90" s="1"/>
      <c r="WKP90" s="1"/>
      <c r="WKQ90" s="1"/>
      <c r="WKR90" s="1"/>
      <c r="WKS90" s="1"/>
      <c r="WKT90" s="1"/>
      <c r="WKU90" s="1"/>
      <c r="WKV90" s="1"/>
      <c r="WKW90" s="1"/>
      <c r="WKX90" s="1"/>
      <c r="WKY90" s="1"/>
      <c r="WKZ90" s="1"/>
      <c r="WLA90" s="1"/>
      <c r="WLB90" s="1"/>
      <c r="WLC90" s="1"/>
      <c r="WLD90" s="1"/>
      <c r="WLE90" s="1"/>
      <c r="WLF90" s="1"/>
      <c r="WLG90" s="1"/>
      <c r="WLH90" s="1"/>
      <c r="WLI90" s="1"/>
      <c r="WLJ90" s="1"/>
      <c r="WLK90" s="1"/>
      <c r="WLL90" s="1"/>
      <c r="WLM90" s="1"/>
      <c r="WLN90" s="1"/>
      <c r="WLO90" s="1"/>
      <c r="WLP90" s="1"/>
      <c r="WLQ90" s="1"/>
      <c r="WLR90" s="1"/>
      <c r="WLS90" s="1"/>
      <c r="WLT90" s="1"/>
      <c r="WLU90" s="1"/>
      <c r="WLV90" s="1"/>
      <c r="WLW90" s="1"/>
      <c r="WLX90" s="1"/>
      <c r="WLY90" s="1"/>
      <c r="WLZ90" s="1"/>
      <c r="WMA90" s="1"/>
      <c r="WMB90" s="1"/>
      <c r="WMC90" s="1"/>
      <c r="WMD90" s="1"/>
      <c r="WME90" s="1"/>
      <c r="WMF90" s="1"/>
      <c r="WMG90" s="1"/>
      <c r="WMH90" s="1"/>
      <c r="WMI90" s="1"/>
      <c r="WMJ90" s="1"/>
      <c r="WMK90" s="1"/>
      <c r="WML90" s="1"/>
      <c r="WMM90" s="1"/>
      <c r="WMN90" s="1"/>
      <c r="WMO90" s="1"/>
      <c r="WMP90" s="1"/>
      <c r="WMQ90" s="1"/>
      <c r="WMR90" s="1"/>
      <c r="WMS90" s="1"/>
      <c r="WMT90" s="1"/>
      <c r="WMU90" s="1"/>
      <c r="WMV90" s="1"/>
      <c r="WMW90" s="1"/>
      <c r="WMX90" s="1"/>
      <c r="WMY90" s="1"/>
      <c r="WMZ90" s="1"/>
      <c r="WNA90" s="1"/>
      <c r="WNB90" s="1"/>
      <c r="WNC90" s="1"/>
      <c r="WND90" s="1"/>
      <c r="WNE90" s="1"/>
      <c r="WNF90" s="1"/>
      <c r="WNG90" s="1"/>
      <c r="WNH90" s="1"/>
      <c r="WNI90" s="1"/>
      <c r="WNJ90" s="1"/>
      <c r="WNK90" s="1"/>
      <c r="WNL90" s="1"/>
      <c r="WNM90" s="1"/>
      <c r="WNN90" s="1"/>
      <c r="WNO90" s="1"/>
      <c r="WNP90" s="1"/>
      <c r="WNQ90" s="1"/>
      <c r="WNR90" s="1"/>
      <c r="WNS90" s="1"/>
      <c r="WNT90" s="1"/>
      <c r="WNU90" s="1"/>
      <c r="WNV90" s="1"/>
      <c r="WNW90" s="1"/>
      <c r="WNX90" s="1"/>
      <c r="WNY90" s="1"/>
      <c r="WNZ90" s="1"/>
      <c r="WOA90" s="1"/>
      <c r="WOB90" s="1"/>
      <c r="WOC90" s="1"/>
      <c r="WOD90" s="1"/>
      <c r="WOE90" s="1"/>
      <c r="WOF90" s="1"/>
      <c r="WOG90" s="1"/>
      <c r="WOH90" s="1"/>
      <c r="WOI90" s="1"/>
      <c r="WOJ90" s="1"/>
      <c r="WOK90" s="1"/>
      <c r="WOL90" s="1"/>
      <c r="WOM90" s="1"/>
      <c r="WON90" s="1"/>
      <c r="WOO90" s="1"/>
      <c r="WOP90" s="1"/>
      <c r="WOQ90" s="1"/>
      <c r="WOR90" s="1"/>
      <c r="WOS90" s="1"/>
      <c r="WOT90" s="1"/>
      <c r="WOU90" s="1"/>
      <c r="WOV90" s="1"/>
      <c r="WOW90" s="1"/>
      <c r="WOX90" s="1"/>
      <c r="WOY90" s="1"/>
      <c r="WOZ90" s="1"/>
      <c r="WPA90" s="1"/>
      <c r="WPB90" s="1"/>
      <c r="WPC90" s="1"/>
      <c r="WPD90" s="1"/>
      <c r="WPE90" s="1"/>
      <c r="WPF90" s="1"/>
      <c r="WPG90" s="1"/>
      <c r="WPH90" s="1"/>
      <c r="WPI90" s="1"/>
      <c r="WPJ90" s="1"/>
      <c r="WPK90" s="1"/>
      <c r="WPL90" s="1"/>
      <c r="WPM90" s="1"/>
      <c r="WPN90" s="1"/>
      <c r="WPO90" s="1"/>
      <c r="WPP90" s="1"/>
      <c r="WPQ90" s="1"/>
      <c r="WPR90" s="1"/>
      <c r="WPS90" s="1"/>
      <c r="WPT90" s="1"/>
      <c r="WPU90" s="1"/>
      <c r="WPV90" s="1"/>
      <c r="WPW90" s="1"/>
      <c r="WPX90" s="1"/>
      <c r="WPY90" s="1"/>
      <c r="WPZ90" s="1"/>
      <c r="WQA90" s="1"/>
      <c r="WQB90" s="1"/>
      <c r="WQC90" s="1"/>
      <c r="WQD90" s="1"/>
      <c r="WQE90" s="1"/>
      <c r="WQF90" s="1"/>
      <c r="WQG90" s="1"/>
      <c r="WQH90" s="1"/>
      <c r="WQI90" s="1"/>
      <c r="WQJ90" s="1"/>
      <c r="WQK90" s="1"/>
      <c r="WQL90" s="1"/>
      <c r="WQM90" s="1"/>
      <c r="WQN90" s="1"/>
      <c r="WQO90" s="1"/>
      <c r="WQP90" s="1"/>
      <c r="WQQ90" s="1"/>
      <c r="WQR90" s="1"/>
      <c r="WQS90" s="1"/>
      <c r="WQT90" s="1"/>
      <c r="WQU90" s="1"/>
      <c r="WQV90" s="1"/>
      <c r="WQW90" s="1"/>
      <c r="WQX90" s="1"/>
      <c r="WQY90" s="1"/>
      <c r="WQZ90" s="1"/>
      <c r="WRA90" s="1"/>
      <c r="WRB90" s="1"/>
      <c r="WRC90" s="1"/>
      <c r="WRD90" s="1"/>
      <c r="WRE90" s="1"/>
      <c r="WRF90" s="1"/>
      <c r="WRG90" s="1"/>
      <c r="WRH90" s="1"/>
      <c r="WRI90" s="1"/>
      <c r="WRJ90" s="1"/>
      <c r="WRK90" s="1"/>
      <c r="WRL90" s="1"/>
      <c r="WRM90" s="1"/>
      <c r="WRN90" s="1"/>
      <c r="WRO90" s="1"/>
      <c r="WRP90" s="1"/>
      <c r="WRQ90" s="1"/>
      <c r="WRR90" s="1"/>
      <c r="WRS90" s="1"/>
      <c r="WRT90" s="1"/>
      <c r="WRU90" s="1"/>
      <c r="WRV90" s="1"/>
      <c r="WRW90" s="1"/>
      <c r="WRX90" s="1"/>
      <c r="WRY90" s="1"/>
      <c r="WRZ90" s="1"/>
      <c r="WSA90" s="1"/>
      <c r="WSB90" s="1"/>
      <c r="WSC90" s="1"/>
      <c r="WSD90" s="1"/>
      <c r="WSE90" s="1"/>
      <c r="WSF90" s="1"/>
      <c r="WSG90" s="1"/>
      <c r="WSH90" s="1"/>
      <c r="WSI90" s="1"/>
      <c r="WSJ90" s="1"/>
      <c r="WSK90" s="1"/>
      <c r="WSL90" s="1"/>
      <c r="WSM90" s="1"/>
      <c r="WSN90" s="1"/>
      <c r="WSO90" s="1"/>
      <c r="WSP90" s="1"/>
      <c r="WSQ90" s="1"/>
      <c r="WSR90" s="1"/>
      <c r="WSS90" s="1"/>
      <c r="WST90" s="1"/>
      <c r="WSU90" s="1"/>
      <c r="WSV90" s="1"/>
      <c r="WSW90" s="1"/>
      <c r="WSX90" s="1"/>
      <c r="WSY90" s="1"/>
      <c r="WSZ90" s="1"/>
      <c r="WTA90" s="1"/>
      <c r="WTB90" s="1"/>
      <c r="WTC90" s="1"/>
      <c r="WTD90" s="1"/>
      <c r="WTE90" s="1"/>
      <c r="WTF90" s="1"/>
      <c r="WTG90" s="1"/>
      <c r="WTH90" s="1"/>
      <c r="WTI90" s="1"/>
      <c r="WTJ90" s="1"/>
      <c r="WTK90" s="1"/>
      <c r="WTL90" s="1"/>
      <c r="WTM90" s="1"/>
      <c r="WTN90" s="1"/>
      <c r="WTO90" s="1"/>
      <c r="WTP90" s="1"/>
      <c r="WTQ90" s="1"/>
      <c r="WTR90" s="1"/>
      <c r="WTS90" s="1"/>
      <c r="WTT90" s="1"/>
      <c r="WTU90" s="1"/>
      <c r="WTV90" s="1"/>
      <c r="WTW90" s="1"/>
      <c r="WTX90" s="1"/>
      <c r="WTY90" s="1"/>
      <c r="WTZ90" s="1"/>
      <c r="WUA90" s="1"/>
      <c r="WUB90" s="1"/>
      <c r="WUC90" s="1"/>
      <c r="WUD90" s="1"/>
      <c r="WUE90" s="1"/>
      <c r="WUF90" s="1"/>
      <c r="WUG90" s="1"/>
      <c r="WUH90" s="1"/>
      <c r="WUI90" s="1"/>
      <c r="WUJ90" s="1"/>
      <c r="WUK90" s="1"/>
      <c r="WUL90" s="1"/>
      <c r="WUM90" s="1"/>
      <c r="WUN90" s="1"/>
      <c r="WUO90" s="1"/>
      <c r="WUP90" s="1"/>
      <c r="WUQ90" s="1"/>
      <c r="WUR90" s="1"/>
      <c r="WUS90" s="1"/>
      <c r="WUT90" s="1"/>
      <c r="WUU90" s="1"/>
      <c r="WUV90" s="1"/>
      <c r="WUW90" s="1"/>
      <c r="WUX90" s="1"/>
      <c r="WUY90" s="1"/>
      <c r="WUZ90" s="1"/>
      <c r="WVA90" s="1"/>
      <c r="WVB90" s="1"/>
      <c r="WVC90" s="1"/>
      <c r="WVD90" s="1"/>
      <c r="WVE90" s="1"/>
      <c r="WVF90" s="1"/>
      <c r="WVG90" s="1"/>
      <c r="WVH90" s="1"/>
      <c r="WVI90" s="1"/>
      <c r="WVJ90" s="1"/>
      <c r="WVK90" s="1"/>
      <c r="WVL90" s="1"/>
      <c r="WVM90" s="1"/>
      <c r="WVN90" s="1"/>
      <c r="WVO90" s="1"/>
      <c r="WVP90" s="1"/>
      <c r="WVQ90" s="1"/>
      <c r="WVR90" s="1"/>
      <c r="WVS90" s="1"/>
      <c r="WVT90" s="1"/>
      <c r="WVU90" s="1"/>
      <c r="WVV90" s="1"/>
      <c r="WVW90" s="1"/>
      <c r="WVX90" s="1"/>
      <c r="WVY90" s="1"/>
      <c r="WVZ90" s="1"/>
      <c r="WWA90" s="1"/>
      <c r="WWB90" s="1"/>
      <c r="WWC90" s="1"/>
      <c r="WWD90" s="1"/>
      <c r="WWE90" s="1"/>
      <c r="WWF90" s="1"/>
      <c r="WWG90" s="1"/>
      <c r="WWH90" s="1"/>
      <c r="WWI90" s="1"/>
      <c r="WWJ90" s="1"/>
      <c r="WWK90" s="1"/>
      <c r="WWL90" s="1"/>
      <c r="WWM90" s="1"/>
      <c r="WWN90" s="1"/>
      <c r="WWO90" s="1"/>
      <c r="WWP90" s="1"/>
      <c r="WWQ90" s="1"/>
      <c r="WWR90" s="1"/>
      <c r="WWS90" s="1"/>
      <c r="WWT90" s="1"/>
      <c r="WWU90" s="1"/>
      <c r="WWV90" s="1"/>
      <c r="WWW90" s="1"/>
      <c r="WWX90" s="1"/>
      <c r="WWY90" s="1"/>
      <c r="WWZ90" s="1"/>
      <c r="WXA90" s="1"/>
      <c r="WXB90" s="1"/>
      <c r="WXC90" s="1"/>
      <c r="WXD90" s="1"/>
      <c r="WXE90" s="1"/>
      <c r="WXF90" s="1"/>
      <c r="WXG90" s="1"/>
      <c r="WXH90" s="1"/>
      <c r="WXI90" s="1"/>
      <c r="WXJ90" s="1"/>
      <c r="WXK90" s="1"/>
      <c r="WXL90" s="1"/>
      <c r="WXM90" s="1"/>
      <c r="WXN90" s="1"/>
      <c r="WXO90" s="1"/>
      <c r="WXP90" s="1"/>
      <c r="WXQ90" s="1"/>
      <c r="WXR90" s="1"/>
      <c r="WXS90" s="1"/>
      <c r="WXT90" s="1"/>
      <c r="WXU90" s="1"/>
      <c r="WXV90" s="1"/>
      <c r="WXW90" s="1"/>
      <c r="WXX90" s="1"/>
      <c r="WXY90" s="1"/>
      <c r="WXZ90" s="1"/>
      <c r="WYA90" s="1"/>
      <c r="WYB90" s="1"/>
      <c r="WYC90" s="1"/>
      <c r="WYD90" s="1"/>
      <c r="WYE90" s="1"/>
      <c r="WYF90" s="1"/>
      <c r="WYG90" s="1"/>
      <c r="WYH90" s="1"/>
      <c r="WYI90" s="1"/>
      <c r="WYJ90" s="1"/>
      <c r="WYK90" s="1"/>
      <c r="WYL90" s="1"/>
      <c r="WYM90" s="1"/>
      <c r="WYN90" s="1"/>
      <c r="WYO90" s="1"/>
      <c r="WYP90" s="1"/>
      <c r="WYQ90" s="1"/>
      <c r="WYR90" s="1"/>
      <c r="WYS90" s="1"/>
      <c r="WYT90" s="1"/>
      <c r="WYU90" s="1"/>
      <c r="WYV90" s="1"/>
      <c r="WYW90" s="1"/>
      <c r="WYX90" s="1"/>
      <c r="WYY90" s="1"/>
      <c r="WYZ90" s="1"/>
      <c r="WZA90" s="1"/>
      <c r="WZB90" s="1"/>
      <c r="WZC90" s="1"/>
      <c r="WZD90" s="1"/>
      <c r="WZE90" s="1"/>
      <c r="WZF90" s="1"/>
      <c r="WZG90" s="1"/>
      <c r="WZH90" s="1"/>
      <c r="WZI90" s="1"/>
      <c r="WZJ90" s="1"/>
      <c r="WZK90" s="1"/>
      <c r="WZL90" s="1"/>
      <c r="WZM90" s="1"/>
      <c r="WZN90" s="1"/>
      <c r="WZO90" s="1"/>
      <c r="WZP90" s="1"/>
      <c r="WZQ90" s="1"/>
      <c r="WZR90" s="1"/>
      <c r="WZS90" s="1"/>
      <c r="WZT90" s="1"/>
      <c r="WZU90" s="1"/>
      <c r="WZV90" s="1"/>
      <c r="WZW90" s="1"/>
      <c r="WZX90" s="1"/>
      <c r="WZY90" s="1"/>
      <c r="WZZ90" s="1"/>
      <c r="XAA90" s="1"/>
      <c r="XAB90" s="1"/>
      <c r="XAC90" s="1"/>
      <c r="XAD90" s="1"/>
      <c r="XAE90" s="1"/>
      <c r="XAF90" s="1"/>
      <c r="XAG90" s="1"/>
      <c r="XAH90" s="1"/>
      <c r="XAI90" s="1"/>
      <c r="XAJ90" s="1"/>
      <c r="XAK90" s="1"/>
      <c r="XAL90" s="1"/>
      <c r="XAM90" s="1"/>
      <c r="XAN90" s="1"/>
      <c r="XAO90" s="1"/>
      <c r="XAP90" s="1"/>
      <c r="XAQ90" s="1"/>
      <c r="XAR90" s="1"/>
      <c r="XAS90" s="1"/>
      <c r="XAT90" s="1"/>
      <c r="XAU90" s="1"/>
      <c r="XAV90" s="1"/>
      <c r="XAW90" s="1"/>
      <c r="XAX90" s="1"/>
      <c r="XAY90" s="1"/>
      <c r="XAZ90" s="1"/>
      <c r="XBA90" s="1"/>
      <c r="XBB90" s="1"/>
      <c r="XBC90" s="1"/>
      <c r="XBD90" s="1"/>
      <c r="XBE90" s="1"/>
      <c r="XBF90" s="1"/>
      <c r="XBG90" s="1"/>
      <c r="XBH90" s="1"/>
      <c r="XBI90" s="1"/>
      <c r="XBJ90" s="1"/>
      <c r="XBK90" s="1"/>
      <c r="XBL90" s="1"/>
      <c r="XBM90" s="1"/>
      <c r="XBN90" s="1"/>
      <c r="XBO90" s="1"/>
      <c r="XBP90" s="1"/>
      <c r="XBQ90" s="1"/>
      <c r="XBR90" s="1"/>
      <c r="XBS90" s="1"/>
      <c r="XBT90" s="1"/>
      <c r="XBU90" s="1"/>
      <c r="XBV90" s="1"/>
      <c r="XBW90" s="1"/>
      <c r="XBX90" s="1"/>
      <c r="XBY90" s="1"/>
      <c r="XBZ90" s="1"/>
      <c r="XCA90" s="1"/>
      <c r="XCB90" s="1"/>
      <c r="XCC90" s="1"/>
      <c r="XCD90" s="1"/>
      <c r="XCE90" s="1"/>
      <c r="XCF90" s="1"/>
      <c r="XCG90" s="1"/>
      <c r="XCH90" s="1"/>
      <c r="XCI90" s="1"/>
      <c r="XCJ90" s="1"/>
      <c r="XCK90" s="1"/>
      <c r="XCL90" s="1"/>
      <c r="XCM90" s="1"/>
      <c r="XCN90" s="1"/>
      <c r="XCO90" s="1"/>
      <c r="XCP90" s="1"/>
      <c r="XCQ90" s="1"/>
      <c r="XCR90" s="1"/>
      <c r="XCS90" s="1"/>
      <c r="XCT90" s="1"/>
      <c r="XCU90" s="1"/>
      <c r="XCV90" s="1"/>
      <c r="XCW90" s="1"/>
      <c r="XCX90" s="1"/>
      <c r="XCY90" s="1"/>
      <c r="XCZ90" s="1"/>
      <c r="XDA90" s="1"/>
      <c r="XDB90" s="1"/>
      <c r="XDC90" s="1"/>
      <c r="XDD90" s="1"/>
      <c r="XDE90" s="1"/>
      <c r="XDF90" s="1"/>
      <c r="XDG90" s="1"/>
      <c r="XDH90" s="1"/>
      <c r="XDI90" s="1"/>
      <c r="XDJ90" s="1"/>
      <c r="XDK90" s="1"/>
      <c r="XDL90" s="1"/>
      <c r="XDM90" s="1"/>
      <c r="XDN90" s="1"/>
      <c r="XDO90" s="1"/>
      <c r="XDP90" s="1"/>
      <c r="XDQ90" s="1"/>
      <c r="XDR90" s="1"/>
      <c r="XDS90" s="1"/>
      <c r="XDT90" s="1"/>
      <c r="XDU90" s="1"/>
      <c r="XDV90" s="1"/>
      <c r="XDW90" s="1"/>
      <c r="XDX90" s="1"/>
      <c r="XDY90" s="1"/>
      <c r="XDZ90" s="1"/>
      <c r="XEA90" s="1"/>
      <c r="XEB90" s="1"/>
      <c r="XEC90" s="1"/>
      <c r="XED90" s="1"/>
      <c r="XEE90" s="1"/>
      <c r="XEF90" s="1"/>
      <c r="XEG90" s="1"/>
      <c r="XEH90" s="1"/>
      <c r="XEI90" s="1"/>
      <c r="XEJ90" s="1"/>
      <c r="XEK90" s="1"/>
      <c r="XEL90" s="1"/>
      <c r="XEM90" s="1"/>
      <c r="XEN90" s="1"/>
      <c r="XEO90" s="1"/>
      <c r="XEP90" s="1"/>
      <c r="XEQ90" s="1"/>
      <c r="XER90" s="1"/>
      <c r="XES90" s="1"/>
      <c r="XET90" s="1"/>
      <c r="XEU90" s="1"/>
      <c r="XEV90" s="1"/>
      <c r="XEW90" s="1"/>
      <c r="XEX90" s="1"/>
      <c r="XEY90" s="1"/>
      <c r="XEZ90" s="1"/>
      <c r="XFA90" s="1"/>
      <c r="XFB90" s="1"/>
      <c r="XFC90" s="1"/>
      <c r="XFD90" s="1"/>
    </row>
    <row r="91" spans="1:16384" ht="15" customHeight="1">
      <c r="F91" s="1" t="s">
        <v>209</v>
      </c>
      <c r="G91" s="1" t="s">
        <v>205</v>
      </c>
      <c r="H91" s="73">
        <v>24.029</v>
      </c>
      <c r="I91" s="73">
        <v>24.018999999999998</v>
      </c>
      <c r="J91" s="73">
        <v>24.777000000000001</v>
      </c>
      <c r="K91" s="73">
        <v>25.643000000000001</v>
      </c>
      <c r="L91" s="73">
        <v>26.222000000000001</v>
      </c>
      <c r="M91" s="73">
        <v>26.995999999999999</v>
      </c>
      <c r="N91" s="73">
        <v>28.425000000000001</v>
      </c>
      <c r="O91" s="73">
        <v>29.388000000000002</v>
      </c>
      <c r="P91" s="73">
        <v>30.163</v>
      </c>
      <c r="Q91" s="73">
        <v>30.812999999999999</v>
      </c>
    </row>
    <row r="92" spans="1:16384" s="58" customFormat="1" ht="15" customHeight="1">
      <c r="A92" s="1"/>
      <c r="B92" s="1"/>
      <c r="C92" s="1"/>
      <c r="D92" s="1"/>
      <c r="E92" s="1"/>
      <c r="F92" s="58" t="s">
        <v>184</v>
      </c>
      <c r="I92" s="59">
        <f t="shared" ref="I92:Q92" si="54">I91/H91-1</f>
        <v>-4.1616380207254444E-4</v>
      </c>
      <c r="J92" s="59">
        <f t="shared" si="54"/>
        <v>3.1558349639868588E-2</v>
      </c>
      <c r="K92" s="59">
        <f t="shared" si="54"/>
        <v>3.4951769786495612E-2</v>
      </c>
      <c r="L92" s="59">
        <f t="shared" si="54"/>
        <v>2.2579261396872496E-2</v>
      </c>
      <c r="M92" s="59">
        <f t="shared" si="54"/>
        <v>2.9517199298298991E-2</v>
      </c>
      <c r="N92" s="59">
        <f t="shared" si="54"/>
        <v>5.2933767965624545E-2</v>
      </c>
      <c r="O92" s="59">
        <f t="shared" si="54"/>
        <v>3.3878627968337849E-2</v>
      </c>
      <c r="P92" s="59">
        <f t="shared" si="54"/>
        <v>2.6371308016877482E-2</v>
      </c>
      <c r="Q92" s="59">
        <f t="shared" si="54"/>
        <v>2.1549580612008068E-2</v>
      </c>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c r="JD92" s="1"/>
      <c r="JE92" s="1"/>
      <c r="JF92" s="1"/>
      <c r="JG92" s="1"/>
      <c r="JH92" s="1"/>
      <c r="JI92" s="1"/>
      <c r="JJ92" s="1"/>
      <c r="JK92" s="1"/>
      <c r="JL92" s="1"/>
      <c r="JM92" s="1"/>
      <c r="JN92" s="1"/>
      <c r="JO92" s="1"/>
      <c r="JP92" s="1"/>
      <c r="JQ92" s="1"/>
      <c r="JR92" s="1"/>
      <c r="JS92" s="1"/>
      <c r="JT92" s="1"/>
      <c r="JU92" s="1"/>
      <c r="JV92" s="1"/>
      <c r="JW92" s="1"/>
      <c r="JX92" s="1"/>
      <c r="JY92" s="1"/>
      <c r="JZ92" s="1"/>
      <c r="KA92" s="1"/>
      <c r="KB92" s="1"/>
      <c r="KC92" s="1"/>
      <c r="KD92" s="1"/>
      <c r="KE92" s="1"/>
      <c r="KF92" s="1"/>
      <c r="KG92" s="1"/>
      <c r="KH92" s="1"/>
      <c r="KI92" s="1"/>
      <c r="KJ92" s="1"/>
      <c r="KK92" s="1"/>
      <c r="KL92" s="1"/>
      <c r="KM92" s="1"/>
      <c r="KN92" s="1"/>
      <c r="KO92" s="1"/>
      <c r="KP92" s="1"/>
      <c r="KQ92" s="1"/>
      <c r="KR92" s="1"/>
      <c r="KS92" s="1"/>
      <c r="KT92" s="1"/>
      <c r="KU92" s="1"/>
      <c r="KV92" s="1"/>
      <c r="KW92" s="1"/>
      <c r="KX92" s="1"/>
      <c r="KY92" s="1"/>
      <c r="KZ92" s="1"/>
      <c r="LA92" s="1"/>
      <c r="LB92" s="1"/>
      <c r="LC92" s="1"/>
      <c r="LD92" s="1"/>
      <c r="LE92" s="1"/>
      <c r="LF92" s="1"/>
      <c r="LG92" s="1"/>
      <c r="LH92" s="1"/>
      <c r="LI92" s="1"/>
      <c r="LJ92" s="1"/>
      <c r="LK92" s="1"/>
      <c r="LL92" s="1"/>
      <c r="LM92" s="1"/>
      <c r="LN92" s="1"/>
      <c r="LO92" s="1"/>
      <c r="LP92" s="1"/>
      <c r="LQ92" s="1"/>
      <c r="LR92" s="1"/>
      <c r="LS92" s="1"/>
      <c r="LT92" s="1"/>
      <c r="LU92" s="1"/>
      <c r="LV92" s="1"/>
      <c r="LW92" s="1"/>
      <c r="LX92" s="1"/>
      <c r="LY92" s="1"/>
      <c r="LZ92" s="1"/>
      <c r="MA92" s="1"/>
      <c r="MB92" s="1"/>
      <c r="MC92" s="1"/>
      <c r="MD92" s="1"/>
      <c r="ME92" s="1"/>
      <c r="MF92" s="1"/>
      <c r="MG92" s="1"/>
      <c r="MH92" s="1"/>
      <c r="MI92" s="1"/>
      <c r="MJ92" s="1"/>
      <c r="MK92" s="1"/>
      <c r="ML92" s="1"/>
      <c r="MM92" s="1"/>
      <c r="MN92" s="1"/>
      <c r="MO92" s="1"/>
      <c r="MP92" s="1"/>
      <c r="MQ92" s="1"/>
      <c r="MR92" s="1"/>
      <c r="MS92" s="1"/>
      <c r="MT92" s="1"/>
      <c r="MU92" s="1"/>
      <c r="MV92" s="1"/>
      <c r="MW92" s="1"/>
      <c r="MX92" s="1"/>
      <c r="MY92" s="1"/>
      <c r="MZ92" s="1"/>
      <c r="NA92" s="1"/>
      <c r="NB92" s="1"/>
      <c r="NC92" s="1"/>
      <c r="ND92" s="1"/>
      <c r="NE92" s="1"/>
      <c r="NF92" s="1"/>
      <c r="NG92" s="1"/>
      <c r="NH92" s="1"/>
      <c r="NI92" s="1"/>
      <c r="NJ92" s="1"/>
      <c r="NK92" s="1"/>
      <c r="NL92" s="1"/>
      <c r="NM92" s="1"/>
      <c r="NN92" s="1"/>
      <c r="NO92" s="1"/>
      <c r="NP92" s="1"/>
      <c r="NQ92" s="1"/>
      <c r="NR92" s="1"/>
      <c r="NS92" s="1"/>
      <c r="NT92" s="1"/>
      <c r="NU92" s="1"/>
      <c r="NV92" s="1"/>
      <c r="NW92" s="1"/>
      <c r="NX92" s="1"/>
      <c r="NY92" s="1"/>
      <c r="NZ92" s="1"/>
      <c r="OA92" s="1"/>
      <c r="OB92" s="1"/>
      <c r="OC92" s="1"/>
      <c r="OD92" s="1"/>
      <c r="OE92" s="1"/>
      <c r="OF92" s="1"/>
      <c r="OG92" s="1"/>
      <c r="OH92" s="1"/>
      <c r="OI92" s="1"/>
      <c r="OJ92" s="1"/>
      <c r="OK92" s="1"/>
      <c r="OL92" s="1"/>
      <c r="OM92" s="1"/>
      <c r="ON92" s="1"/>
      <c r="OO92" s="1"/>
      <c r="OP92" s="1"/>
      <c r="OQ92" s="1"/>
      <c r="OR92" s="1"/>
      <c r="OS92" s="1"/>
      <c r="OT92" s="1"/>
      <c r="OU92" s="1"/>
      <c r="OV92" s="1"/>
      <c r="OW92" s="1"/>
      <c r="OX92" s="1"/>
      <c r="OY92" s="1"/>
      <c r="OZ92" s="1"/>
      <c r="PA92" s="1"/>
      <c r="PB92" s="1"/>
      <c r="PC92" s="1"/>
      <c r="PD92" s="1"/>
      <c r="PE92" s="1"/>
      <c r="PF92" s="1"/>
      <c r="PG92" s="1"/>
      <c r="PH92" s="1"/>
      <c r="PI92" s="1"/>
      <c r="PJ92" s="1"/>
      <c r="PK92" s="1"/>
      <c r="PL92" s="1"/>
      <c r="PM92" s="1"/>
      <c r="PN92" s="1"/>
      <c r="PO92" s="1"/>
      <c r="PP92" s="1"/>
      <c r="PQ92" s="1"/>
      <c r="PR92" s="1"/>
      <c r="PS92" s="1"/>
      <c r="PT92" s="1"/>
      <c r="PU92" s="1"/>
      <c r="PV92" s="1"/>
      <c r="PW92" s="1"/>
      <c r="PX92" s="1"/>
      <c r="PY92" s="1"/>
      <c r="PZ92" s="1"/>
      <c r="QA92" s="1"/>
      <c r="QB92" s="1"/>
      <c r="QC92" s="1"/>
      <c r="QD92" s="1"/>
      <c r="QE92" s="1"/>
      <c r="QF92" s="1"/>
      <c r="QG92" s="1"/>
      <c r="QH92" s="1"/>
      <c r="QI92" s="1"/>
      <c r="QJ92" s="1"/>
      <c r="QK92" s="1"/>
      <c r="QL92" s="1"/>
      <c r="QM92" s="1"/>
      <c r="QN92" s="1"/>
      <c r="QO92" s="1"/>
      <c r="QP92" s="1"/>
      <c r="QQ92" s="1"/>
      <c r="QR92" s="1"/>
      <c r="QS92" s="1"/>
      <c r="QT92" s="1"/>
      <c r="QU92" s="1"/>
      <c r="QV92" s="1"/>
      <c r="QW92" s="1"/>
      <c r="QX92" s="1"/>
      <c r="QY92" s="1"/>
      <c r="QZ92" s="1"/>
      <c r="RA92" s="1"/>
      <c r="RB92" s="1"/>
      <c r="RC92" s="1"/>
      <c r="RD92" s="1"/>
      <c r="RE92" s="1"/>
      <c r="RF92" s="1"/>
      <c r="RG92" s="1"/>
      <c r="RH92" s="1"/>
      <c r="RI92" s="1"/>
      <c r="RJ92" s="1"/>
      <c r="RK92" s="1"/>
      <c r="RL92" s="1"/>
      <c r="RM92" s="1"/>
      <c r="RN92" s="1"/>
      <c r="RO92" s="1"/>
      <c r="RP92" s="1"/>
      <c r="RQ92" s="1"/>
      <c r="RR92" s="1"/>
      <c r="RS92" s="1"/>
      <c r="RT92" s="1"/>
      <c r="RU92" s="1"/>
      <c r="RV92" s="1"/>
      <c r="RW92" s="1"/>
      <c r="RX92" s="1"/>
      <c r="RY92" s="1"/>
      <c r="RZ92" s="1"/>
      <c r="SA92" s="1"/>
      <c r="SB92" s="1"/>
      <c r="SC92" s="1"/>
      <c r="SD92" s="1"/>
      <c r="SE92" s="1"/>
      <c r="SF92" s="1"/>
      <c r="SG92" s="1"/>
      <c r="SH92" s="1"/>
      <c r="SI92" s="1"/>
      <c r="SJ92" s="1"/>
      <c r="SK92" s="1"/>
      <c r="SL92" s="1"/>
      <c r="SM92" s="1"/>
      <c r="SN92" s="1"/>
      <c r="SO92" s="1"/>
      <c r="SP92" s="1"/>
      <c r="SQ92" s="1"/>
      <c r="SR92" s="1"/>
      <c r="SS92" s="1"/>
      <c r="ST92" s="1"/>
      <c r="SU92" s="1"/>
      <c r="SV92" s="1"/>
      <c r="SW92" s="1"/>
      <c r="SX92" s="1"/>
      <c r="SY92" s="1"/>
      <c r="SZ92" s="1"/>
      <c r="TA92" s="1"/>
      <c r="TB92" s="1"/>
      <c r="TC92" s="1"/>
      <c r="TD92" s="1"/>
      <c r="TE92" s="1"/>
      <c r="TF92" s="1"/>
      <c r="TG92" s="1"/>
      <c r="TH92" s="1"/>
      <c r="TI92" s="1"/>
      <c r="TJ92" s="1"/>
      <c r="TK92" s="1"/>
      <c r="TL92" s="1"/>
      <c r="TM92" s="1"/>
      <c r="TN92" s="1"/>
      <c r="TO92" s="1"/>
      <c r="TP92" s="1"/>
      <c r="TQ92" s="1"/>
      <c r="TR92" s="1"/>
      <c r="TS92" s="1"/>
      <c r="TT92" s="1"/>
      <c r="TU92" s="1"/>
      <c r="TV92" s="1"/>
      <c r="TW92" s="1"/>
      <c r="TX92" s="1"/>
      <c r="TY92" s="1"/>
      <c r="TZ92" s="1"/>
      <c r="UA92" s="1"/>
      <c r="UB92" s="1"/>
      <c r="UC92" s="1"/>
      <c r="UD92" s="1"/>
      <c r="UE92" s="1"/>
      <c r="UF92" s="1"/>
      <c r="UG92" s="1"/>
      <c r="UH92" s="1"/>
      <c r="UI92" s="1"/>
      <c r="UJ92" s="1"/>
      <c r="UK92" s="1"/>
      <c r="UL92" s="1"/>
      <c r="UM92" s="1"/>
      <c r="UN92" s="1"/>
      <c r="UO92" s="1"/>
      <c r="UP92" s="1"/>
      <c r="UQ92" s="1"/>
      <c r="UR92" s="1"/>
      <c r="US92" s="1"/>
      <c r="UT92" s="1"/>
      <c r="UU92" s="1"/>
      <c r="UV92" s="1"/>
      <c r="UW92" s="1"/>
      <c r="UX92" s="1"/>
      <c r="UY92" s="1"/>
      <c r="UZ92" s="1"/>
      <c r="VA92" s="1"/>
      <c r="VB92" s="1"/>
      <c r="VC92" s="1"/>
      <c r="VD92" s="1"/>
      <c r="VE92" s="1"/>
      <c r="VF92" s="1"/>
      <c r="VG92" s="1"/>
      <c r="VH92" s="1"/>
      <c r="VI92" s="1"/>
      <c r="VJ92" s="1"/>
      <c r="VK92" s="1"/>
      <c r="VL92" s="1"/>
      <c r="VM92" s="1"/>
      <c r="VN92" s="1"/>
      <c r="VO92" s="1"/>
      <c r="VP92" s="1"/>
      <c r="VQ92" s="1"/>
      <c r="VR92" s="1"/>
      <c r="VS92" s="1"/>
      <c r="VT92" s="1"/>
      <c r="VU92" s="1"/>
      <c r="VV92" s="1"/>
      <c r="VW92" s="1"/>
      <c r="VX92" s="1"/>
      <c r="VY92" s="1"/>
      <c r="VZ92" s="1"/>
      <c r="WA92" s="1"/>
      <c r="WB92" s="1"/>
      <c r="WC92" s="1"/>
      <c r="WD92" s="1"/>
      <c r="WE92" s="1"/>
      <c r="WF92" s="1"/>
      <c r="WG92" s="1"/>
      <c r="WH92" s="1"/>
      <c r="WI92" s="1"/>
      <c r="WJ92" s="1"/>
      <c r="WK92" s="1"/>
      <c r="WL92" s="1"/>
      <c r="WM92" s="1"/>
      <c r="WN92" s="1"/>
      <c r="WO92" s="1"/>
      <c r="WP92" s="1"/>
      <c r="WQ92" s="1"/>
      <c r="WR92" s="1"/>
      <c r="WS92" s="1"/>
      <c r="WT92" s="1"/>
      <c r="WU92" s="1"/>
      <c r="WV92" s="1"/>
      <c r="WW92" s="1"/>
      <c r="WX92" s="1"/>
      <c r="WY92" s="1"/>
      <c r="WZ92" s="1"/>
      <c r="XA92" s="1"/>
      <c r="XB92" s="1"/>
      <c r="XC92" s="1"/>
      <c r="XD92" s="1"/>
      <c r="XE92" s="1"/>
      <c r="XF92" s="1"/>
      <c r="XG92" s="1"/>
      <c r="XH92" s="1"/>
      <c r="XI92" s="1"/>
      <c r="XJ92" s="1"/>
      <c r="XK92" s="1"/>
      <c r="XL92" s="1"/>
      <c r="XM92" s="1"/>
      <c r="XN92" s="1"/>
      <c r="XO92" s="1"/>
      <c r="XP92" s="1"/>
      <c r="XQ92" s="1"/>
      <c r="XR92" s="1"/>
      <c r="XS92" s="1"/>
      <c r="XT92" s="1"/>
      <c r="XU92" s="1"/>
      <c r="XV92" s="1"/>
      <c r="XW92" s="1"/>
      <c r="XX92" s="1"/>
      <c r="XY92" s="1"/>
      <c r="XZ92" s="1"/>
      <c r="YA92" s="1"/>
      <c r="YB92" s="1"/>
      <c r="YC92" s="1"/>
      <c r="YD92" s="1"/>
      <c r="YE92" s="1"/>
      <c r="YF92" s="1"/>
      <c r="YG92" s="1"/>
      <c r="YH92" s="1"/>
      <c r="YI92" s="1"/>
      <c r="YJ92" s="1"/>
      <c r="YK92" s="1"/>
      <c r="YL92" s="1"/>
      <c r="YM92" s="1"/>
      <c r="YN92" s="1"/>
      <c r="YO92" s="1"/>
      <c r="YP92" s="1"/>
      <c r="YQ92" s="1"/>
      <c r="YR92" s="1"/>
      <c r="YS92" s="1"/>
      <c r="YT92" s="1"/>
      <c r="YU92" s="1"/>
      <c r="YV92" s="1"/>
      <c r="YW92" s="1"/>
      <c r="YX92" s="1"/>
      <c r="YY92" s="1"/>
      <c r="YZ92" s="1"/>
      <c r="ZA92" s="1"/>
      <c r="ZB92" s="1"/>
      <c r="ZC92" s="1"/>
      <c r="ZD92" s="1"/>
      <c r="ZE92" s="1"/>
      <c r="ZF92" s="1"/>
      <c r="ZG92" s="1"/>
      <c r="ZH92" s="1"/>
      <c r="ZI92" s="1"/>
      <c r="ZJ92" s="1"/>
      <c r="ZK92" s="1"/>
      <c r="ZL92" s="1"/>
      <c r="ZM92" s="1"/>
      <c r="ZN92" s="1"/>
      <c r="ZO92" s="1"/>
      <c r="ZP92" s="1"/>
      <c r="ZQ92" s="1"/>
      <c r="ZR92" s="1"/>
      <c r="ZS92" s="1"/>
      <c r="ZT92" s="1"/>
      <c r="ZU92" s="1"/>
      <c r="ZV92" s="1"/>
      <c r="ZW92" s="1"/>
      <c r="ZX92" s="1"/>
      <c r="ZY92" s="1"/>
      <c r="ZZ92" s="1"/>
      <c r="AAA92" s="1"/>
      <c r="AAB92" s="1"/>
      <c r="AAC92" s="1"/>
      <c r="AAD92" s="1"/>
      <c r="AAE92" s="1"/>
      <c r="AAF92" s="1"/>
      <c r="AAG92" s="1"/>
      <c r="AAH92" s="1"/>
      <c r="AAI92" s="1"/>
      <c r="AAJ92" s="1"/>
      <c r="AAK92" s="1"/>
      <c r="AAL92" s="1"/>
      <c r="AAM92" s="1"/>
      <c r="AAN92" s="1"/>
      <c r="AAO92" s="1"/>
      <c r="AAP92" s="1"/>
      <c r="AAQ92" s="1"/>
      <c r="AAR92" s="1"/>
      <c r="AAS92" s="1"/>
      <c r="AAT92" s="1"/>
      <c r="AAU92" s="1"/>
      <c r="AAV92" s="1"/>
      <c r="AAW92" s="1"/>
      <c r="AAX92" s="1"/>
      <c r="AAY92" s="1"/>
      <c r="AAZ92" s="1"/>
      <c r="ABA92" s="1"/>
      <c r="ABB92" s="1"/>
      <c r="ABC92" s="1"/>
      <c r="ABD92" s="1"/>
      <c r="ABE92" s="1"/>
      <c r="ABF92" s="1"/>
      <c r="ABG92" s="1"/>
      <c r="ABH92" s="1"/>
      <c r="ABI92" s="1"/>
      <c r="ABJ92" s="1"/>
      <c r="ABK92" s="1"/>
      <c r="ABL92" s="1"/>
      <c r="ABM92" s="1"/>
      <c r="ABN92" s="1"/>
      <c r="ABO92" s="1"/>
      <c r="ABP92" s="1"/>
      <c r="ABQ92" s="1"/>
      <c r="ABR92" s="1"/>
      <c r="ABS92" s="1"/>
      <c r="ABT92" s="1"/>
      <c r="ABU92" s="1"/>
      <c r="ABV92" s="1"/>
      <c r="ABW92" s="1"/>
      <c r="ABX92" s="1"/>
      <c r="ABY92" s="1"/>
      <c r="ABZ92" s="1"/>
      <c r="ACA92" s="1"/>
      <c r="ACB92" s="1"/>
      <c r="ACC92" s="1"/>
      <c r="ACD92" s="1"/>
      <c r="ACE92" s="1"/>
      <c r="ACF92" s="1"/>
      <c r="ACG92" s="1"/>
      <c r="ACH92" s="1"/>
      <c r="ACI92" s="1"/>
      <c r="ACJ92" s="1"/>
      <c r="ACK92" s="1"/>
      <c r="ACL92" s="1"/>
      <c r="ACM92" s="1"/>
      <c r="ACN92" s="1"/>
      <c r="ACO92" s="1"/>
      <c r="ACP92" s="1"/>
      <c r="ACQ92" s="1"/>
      <c r="ACR92" s="1"/>
      <c r="ACS92" s="1"/>
      <c r="ACT92" s="1"/>
      <c r="ACU92" s="1"/>
      <c r="ACV92" s="1"/>
      <c r="ACW92" s="1"/>
      <c r="ACX92" s="1"/>
      <c r="ACY92" s="1"/>
      <c r="ACZ92" s="1"/>
      <c r="ADA92" s="1"/>
      <c r="ADB92" s="1"/>
      <c r="ADC92" s="1"/>
      <c r="ADD92" s="1"/>
      <c r="ADE92" s="1"/>
      <c r="ADF92" s="1"/>
      <c r="ADG92" s="1"/>
      <c r="ADH92" s="1"/>
      <c r="ADI92" s="1"/>
      <c r="ADJ92" s="1"/>
      <c r="ADK92" s="1"/>
      <c r="ADL92" s="1"/>
      <c r="ADM92" s="1"/>
      <c r="ADN92" s="1"/>
      <c r="ADO92" s="1"/>
      <c r="ADP92" s="1"/>
      <c r="ADQ92" s="1"/>
      <c r="ADR92" s="1"/>
      <c r="ADS92" s="1"/>
      <c r="ADT92" s="1"/>
      <c r="ADU92" s="1"/>
      <c r="ADV92" s="1"/>
      <c r="ADW92" s="1"/>
      <c r="ADX92" s="1"/>
      <c r="ADY92" s="1"/>
      <c r="ADZ92" s="1"/>
      <c r="AEA92" s="1"/>
      <c r="AEB92" s="1"/>
      <c r="AEC92" s="1"/>
      <c r="AED92" s="1"/>
      <c r="AEE92" s="1"/>
      <c r="AEF92" s="1"/>
      <c r="AEG92" s="1"/>
      <c r="AEH92" s="1"/>
      <c r="AEI92" s="1"/>
      <c r="AEJ92" s="1"/>
      <c r="AEK92" s="1"/>
      <c r="AEL92" s="1"/>
      <c r="AEM92" s="1"/>
      <c r="AEN92" s="1"/>
      <c r="AEO92" s="1"/>
      <c r="AEP92" s="1"/>
      <c r="AEQ92" s="1"/>
      <c r="AER92" s="1"/>
      <c r="AES92" s="1"/>
      <c r="AET92" s="1"/>
      <c r="AEU92" s="1"/>
      <c r="AEV92" s="1"/>
      <c r="AEW92" s="1"/>
      <c r="AEX92" s="1"/>
      <c r="AEY92" s="1"/>
      <c r="AEZ92" s="1"/>
      <c r="AFA92" s="1"/>
      <c r="AFB92" s="1"/>
      <c r="AFC92" s="1"/>
      <c r="AFD92" s="1"/>
      <c r="AFE92" s="1"/>
      <c r="AFF92" s="1"/>
      <c r="AFG92" s="1"/>
      <c r="AFH92" s="1"/>
      <c r="AFI92" s="1"/>
      <c r="AFJ92" s="1"/>
      <c r="AFK92" s="1"/>
      <c r="AFL92" s="1"/>
      <c r="AFM92" s="1"/>
      <c r="AFN92" s="1"/>
      <c r="AFO92" s="1"/>
      <c r="AFP92" s="1"/>
      <c r="AFQ92" s="1"/>
      <c r="AFR92" s="1"/>
      <c r="AFS92" s="1"/>
      <c r="AFT92" s="1"/>
      <c r="AFU92" s="1"/>
      <c r="AFV92" s="1"/>
      <c r="AFW92" s="1"/>
      <c r="AFX92" s="1"/>
      <c r="AFY92" s="1"/>
      <c r="AFZ92" s="1"/>
      <c r="AGA92" s="1"/>
      <c r="AGB92" s="1"/>
      <c r="AGC92" s="1"/>
      <c r="AGD92" s="1"/>
      <c r="AGE92" s="1"/>
      <c r="AGF92" s="1"/>
      <c r="AGG92" s="1"/>
      <c r="AGH92" s="1"/>
      <c r="AGI92" s="1"/>
      <c r="AGJ92" s="1"/>
      <c r="AGK92" s="1"/>
      <c r="AGL92" s="1"/>
      <c r="AGM92" s="1"/>
      <c r="AGN92" s="1"/>
      <c r="AGO92" s="1"/>
      <c r="AGP92" s="1"/>
      <c r="AGQ92" s="1"/>
      <c r="AGR92" s="1"/>
      <c r="AGS92" s="1"/>
      <c r="AGT92" s="1"/>
      <c r="AGU92" s="1"/>
      <c r="AGV92" s="1"/>
      <c r="AGW92" s="1"/>
      <c r="AGX92" s="1"/>
      <c r="AGY92" s="1"/>
      <c r="AGZ92" s="1"/>
      <c r="AHA92" s="1"/>
      <c r="AHB92" s="1"/>
      <c r="AHC92" s="1"/>
      <c r="AHD92" s="1"/>
      <c r="AHE92" s="1"/>
      <c r="AHF92" s="1"/>
      <c r="AHG92" s="1"/>
      <c r="AHH92" s="1"/>
      <c r="AHI92" s="1"/>
      <c r="AHJ92" s="1"/>
      <c r="AHK92" s="1"/>
      <c r="AHL92" s="1"/>
      <c r="AHM92" s="1"/>
      <c r="AHN92" s="1"/>
      <c r="AHO92" s="1"/>
      <c r="AHP92" s="1"/>
      <c r="AHQ92" s="1"/>
      <c r="AHR92" s="1"/>
      <c r="AHS92" s="1"/>
      <c r="AHT92" s="1"/>
      <c r="AHU92" s="1"/>
      <c r="AHV92" s="1"/>
      <c r="AHW92" s="1"/>
      <c r="AHX92" s="1"/>
      <c r="AHY92" s="1"/>
      <c r="AHZ92" s="1"/>
      <c r="AIA92" s="1"/>
      <c r="AIB92" s="1"/>
      <c r="AIC92" s="1"/>
      <c r="AID92" s="1"/>
      <c r="AIE92" s="1"/>
      <c r="AIF92" s="1"/>
      <c r="AIG92" s="1"/>
      <c r="AIH92" s="1"/>
      <c r="AII92" s="1"/>
      <c r="AIJ92" s="1"/>
      <c r="AIK92" s="1"/>
      <c r="AIL92" s="1"/>
      <c r="AIM92" s="1"/>
      <c r="AIN92" s="1"/>
      <c r="AIO92" s="1"/>
      <c r="AIP92" s="1"/>
      <c r="AIQ92" s="1"/>
      <c r="AIR92" s="1"/>
      <c r="AIS92" s="1"/>
      <c r="AIT92" s="1"/>
      <c r="AIU92" s="1"/>
      <c r="AIV92" s="1"/>
      <c r="AIW92" s="1"/>
      <c r="AIX92" s="1"/>
      <c r="AIY92" s="1"/>
      <c r="AIZ92" s="1"/>
      <c r="AJA92" s="1"/>
      <c r="AJB92" s="1"/>
      <c r="AJC92" s="1"/>
      <c r="AJD92" s="1"/>
      <c r="AJE92" s="1"/>
      <c r="AJF92" s="1"/>
      <c r="AJG92" s="1"/>
      <c r="AJH92" s="1"/>
      <c r="AJI92" s="1"/>
      <c r="AJJ92" s="1"/>
      <c r="AJK92" s="1"/>
      <c r="AJL92" s="1"/>
      <c r="AJM92" s="1"/>
      <c r="AJN92" s="1"/>
      <c r="AJO92" s="1"/>
      <c r="AJP92" s="1"/>
      <c r="AJQ92" s="1"/>
      <c r="AJR92" s="1"/>
      <c r="AJS92" s="1"/>
      <c r="AJT92" s="1"/>
      <c r="AJU92" s="1"/>
      <c r="AJV92" s="1"/>
      <c r="AJW92" s="1"/>
      <c r="AJX92" s="1"/>
      <c r="AJY92" s="1"/>
      <c r="AJZ92" s="1"/>
      <c r="AKA92" s="1"/>
      <c r="AKB92" s="1"/>
      <c r="AKC92" s="1"/>
      <c r="AKD92" s="1"/>
      <c r="AKE92" s="1"/>
      <c r="AKF92" s="1"/>
      <c r="AKG92" s="1"/>
      <c r="AKH92" s="1"/>
      <c r="AKI92" s="1"/>
      <c r="AKJ92" s="1"/>
      <c r="AKK92" s="1"/>
      <c r="AKL92" s="1"/>
      <c r="AKM92" s="1"/>
      <c r="AKN92" s="1"/>
      <c r="AKO92" s="1"/>
      <c r="AKP92" s="1"/>
      <c r="AKQ92" s="1"/>
      <c r="AKR92" s="1"/>
      <c r="AKS92" s="1"/>
      <c r="AKT92" s="1"/>
      <c r="AKU92" s="1"/>
      <c r="AKV92" s="1"/>
      <c r="AKW92" s="1"/>
      <c r="AKX92" s="1"/>
      <c r="AKY92" s="1"/>
      <c r="AKZ92" s="1"/>
      <c r="ALA92" s="1"/>
      <c r="ALB92" s="1"/>
      <c r="ALC92" s="1"/>
      <c r="ALD92" s="1"/>
      <c r="ALE92" s="1"/>
      <c r="ALF92" s="1"/>
      <c r="ALG92" s="1"/>
      <c r="ALH92" s="1"/>
      <c r="ALI92" s="1"/>
      <c r="ALJ92" s="1"/>
      <c r="ALK92" s="1"/>
      <c r="ALL92" s="1"/>
      <c r="ALM92" s="1"/>
      <c r="ALN92" s="1"/>
      <c r="ALO92" s="1"/>
      <c r="ALP92" s="1"/>
      <c r="ALQ92" s="1"/>
      <c r="ALR92" s="1"/>
      <c r="ALS92" s="1"/>
      <c r="ALT92" s="1"/>
      <c r="ALU92" s="1"/>
      <c r="ALV92" s="1"/>
      <c r="ALW92" s="1"/>
      <c r="ALX92" s="1"/>
      <c r="ALY92" s="1"/>
      <c r="ALZ92" s="1"/>
      <c r="AMA92" s="1"/>
      <c r="AMB92" s="1"/>
      <c r="AMC92" s="1"/>
      <c r="AMD92" s="1"/>
      <c r="AME92" s="1"/>
      <c r="AMF92" s="1"/>
      <c r="AMG92" s="1"/>
      <c r="AMH92" s="1"/>
      <c r="AMI92" s="1"/>
      <c r="AMJ92" s="1"/>
      <c r="AMK92" s="1"/>
      <c r="AML92" s="1"/>
      <c r="AMM92" s="1"/>
      <c r="AMN92" s="1"/>
      <c r="AMO92" s="1"/>
      <c r="AMP92" s="1"/>
      <c r="AMQ92" s="1"/>
      <c r="AMR92" s="1"/>
      <c r="AMS92" s="1"/>
      <c r="AMT92" s="1"/>
      <c r="AMU92" s="1"/>
      <c r="AMV92" s="1"/>
      <c r="AMW92" s="1"/>
      <c r="AMX92" s="1"/>
      <c r="AMY92" s="1"/>
      <c r="AMZ92" s="1"/>
      <c r="ANA92" s="1"/>
      <c r="ANB92" s="1"/>
      <c r="ANC92" s="1"/>
      <c r="AND92" s="1"/>
      <c r="ANE92" s="1"/>
      <c r="ANF92" s="1"/>
      <c r="ANG92" s="1"/>
      <c r="ANH92" s="1"/>
      <c r="ANI92" s="1"/>
      <c r="ANJ92" s="1"/>
      <c r="ANK92" s="1"/>
      <c r="ANL92" s="1"/>
      <c r="ANM92" s="1"/>
      <c r="ANN92" s="1"/>
      <c r="ANO92" s="1"/>
      <c r="ANP92" s="1"/>
      <c r="ANQ92" s="1"/>
      <c r="ANR92" s="1"/>
      <c r="ANS92" s="1"/>
      <c r="ANT92" s="1"/>
      <c r="ANU92" s="1"/>
      <c r="ANV92" s="1"/>
      <c r="ANW92" s="1"/>
      <c r="ANX92" s="1"/>
      <c r="ANY92" s="1"/>
      <c r="ANZ92" s="1"/>
      <c r="AOA92" s="1"/>
      <c r="AOB92" s="1"/>
      <c r="AOC92" s="1"/>
      <c r="AOD92" s="1"/>
      <c r="AOE92" s="1"/>
      <c r="AOF92" s="1"/>
      <c r="AOG92" s="1"/>
      <c r="AOH92" s="1"/>
      <c r="AOI92" s="1"/>
      <c r="AOJ92" s="1"/>
      <c r="AOK92" s="1"/>
      <c r="AOL92" s="1"/>
      <c r="AOM92" s="1"/>
      <c r="AON92" s="1"/>
      <c r="AOO92" s="1"/>
      <c r="AOP92" s="1"/>
      <c r="AOQ92" s="1"/>
      <c r="AOR92" s="1"/>
      <c r="AOS92" s="1"/>
      <c r="AOT92" s="1"/>
      <c r="AOU92" s="1"/>
      <c r="AOV92" s="1"/>
      <c r="AOW92" s="1"/>
      <c r="AOX92" s="1"/>
      <c r="AOY92" s="1"/>
      <c r="AOZ92" s="1"/>
      <c r="APA92" s="1"/>
      <c r="APB92" s="1"/>
      <c r="APC92" s="1"/>
      <c r="APD92" s="1"/>
      <c r="APE92" s="1"/>
      <c r="APF92" s="1"/>
      <c r="APG92" s="1"/>
      <c r="APH92" s="1"/>
      <c r="API92" s="1"/>
      <c r="APJ92" s="1"/>
      <c r="APK92" s="1"/>
      <c r="APL92" s="1"/>
      <c r="APM92" s="1"/>
      <c r="APN92" s="1"/>
      <c r="APO92" s="1"/>
      <c r="APP92" s="1"/>
      <c r="APQ92" s="1"/>
      <c r="APR92" s="1"/>
      <c r="APS92" s="1"/>
      <c r="APT92" s="1"/>
      <c r="APU92" s="1"/>
      <c r="APV92" s="1"/>
      <c r="APW92" s="1"/>
      <c r="APX92" s="1"/>
      <c r="APY92" s="1"/>
      <c r="APZ92" s="1"/>
      <c r="AQA92" s="1"/>
      <c r="AQB92" s="1"/>
      <c r="AQC92" s="1"/>
      <c r="AQD92" s="1"/>
      <c r="AQE92" s="1"/>
      <c r="AQF92" s="1"/>
      <c r="AQG92" s="1"/>
      <c r="AQH92" s="1"/>
      <c r="AQI92" s="1"/>
      <c r="AQJ92" s="1"/>
      <c r="AQK92" s="1"/>
      <c r="AQL92" s="1"/>
      <c r="AQM92" s="1"/>
      <c r="AQN92" s="1"/>
      <c r="AQO92" s="1"/>
      <c r="AQP92" s="1"/>
      <c r="AQQ92" s="1"/>
      <c r="AQR92" s="1"/>
      <c r="AQS92" s="1"/>
      <c r="AQT92" s="1"/>
      <c r="AQU92" s="1"/>
      <c r="AQV92" s="1"/>
      <c r="AQW92" s="1"/>
      <c r="AQX92" s="1"/>
      <c r="AQY92" s="1"/>
      <c r="AQZ92" s="1"/>
      <c r="ARA92" s="1"/>
      <c r="ARB92" s="1"/>
      <c r="ARC92" s="1"/>
      <c r="ARD92" s="1"/>
      <c r="ARE92" s="1"/>
      <c r="ARF92" s="1"/>
      <c r="ARG92" s="1"/>
      <c r="ARH92" s="1"/>
      <c r="ARI92" s="1"/>
      <c r="ARJ92" s="1"/>
      <c r="ARK92" s="1"/>
      <c r="ARL92" s="1"/>
      <c r="ARM92" s="1"/>
      <c r="ARN92" s="1"/>
      <c r="ARO92" s="1"/>
      <c r="ARP92" s="1"/>
      <c r="ARQ92" s="1"/>
      <c r="ARR92" s="1"/>
      <c r="ARS92" s="1"/>
      <c r="ART92" s="1"/>
      <c r="ARU92" s="1"/>
      <c r="ARV92" s="1"/>
      <c r="ARW92" s="1"/>
      <c r="ARX92" s="1"/>
      <c r="ARY92" s="1"/>
      <c r="ARZ92" s="1"/>
      <c r="ASA92" s="1"/>
      <c r="ASB92" s="1"/>
      <c r="ASC92" s="1"/>
      <c r="ASD92" s="1"/>
      <c r="ASE92" s="1"/>
      <c r="ASF92" s="1"/>
      <c r="ASG92" s="1"/>
      <c r="ASH92" s="1"/>
      <c r="ASI92" s="1"/>
      <c r="ASJ92" s="1"/>
      <c r="ASK92" s="1"/>
      <c r="ASL92" s="1"/>
      <c r="ASM92" s="1"/>
      <c r="ASN92" s="1"/>
      <c r="ASO92" s="1"/>
      <c r="ASP92" s="1"/>
      <c r="ASQ92" s="1"/>
      <c r="ASR92" s="1"/>
      <c r="ASS92" s="1"/>
      <c r="AST92" s="1"/>
      <c r="ASU92" s="1"/>
      <c r="ASV92" s="1"/>
      <c r="ASW92" s="1"/>
      <c r="ASX92" s="1"/>
      <c r="ASY92" s="1"/>
      <c r="ASZ92" s="1"/>
      <c r="ATA92" s="1"/>
      <c r="ATB92" s="1"/>
      <c r="ATC92" s="1"/>
      <c r="ATD92" s="1"/>
      <c r="ATE92" s="1"/>
      <c r="ATF92" s="1"/>
      <c r="ATG92" s="1"/>
      <c r="ATH92" s="1"/>
      <c r="ATI92" s="1"/>
      <c r="ATJ92" s="1"/>
      <c r="ATK92" s="1"/>
      <c r="ATL92" s="1"/>
      <c r="ATM92" s="1"/>
      <c r="ATN92" s="1"/>
      <c r="ATO92" s="1"/>
      <c r="ATP92" s="1"/>
      <c r="ATQ92" s="1"/>
      <c r="ATR92" s="1"/>
      <c r="ATS92" s="1"/>
      <c r="ATT92" s="1"/>
      <c r="ATU92" s="1"/>
      <c r="ATV92" s="1"/>
      <c r="ATW92" s="1"/>
      <c r="ATX92" s="1"/>
      <c r="ATY92" s="1"/>
      <c r="ATZ92" s="1"/>
      <c r="AUA92" s="1"/>
      <c r="AUB92" s="1"/>
      <c r="AUC92" s="1"/>
      <c r="AUD92" s="1"/>
      <c r="AUE92" s="1"/>
      <c r="AUF92" s="1"/>
      <c r="AUG92" s="1"/>
      <c r="AUH92" s="1"/>
      <c r="AUI92" s="1"/>
      <c r="AUJ92" s="1"/>
      <c r="AUK92" s="1"/>
      <c r="AUL92" s="1"/>
      <c r="AUM92" s="1"/>
      <c r="AUN92" s="1"/>
      <c r="AUO92" s="1"/>
      <c r="AUP92" s="1"/>
      <c r="AUQ92" s="1"/>
      <c r="AUR92" s="1"/>
      <c r="AUS92" s="1"/>
      <c r="AUT92" s="1"/>
      <c r="AUU92" s="1"/>
      <c r="AUV92" s="1"/>
      <c r="AUW92" s="1"/>
      <c r="AUX92" s="1"/>
      <c r="AUY92" s="1"/>
      <c r="AUZ92" s="1"/>
      <c r="AVA92" s="1"/>
      <c r="AVB92" s="1"/>
      <c r="AVC92" s="1"/>
      <c r="AVD92" s="1"/>
      <c r="AVE92" s="1"/>
      <c r="AVF92" s="1"/>
      <c r="AVG92" s="1"/>
      <c r="AVH92" s="1"/>
      <c r="AVI92" s="1"/>
      <c r="AVJ92" s="1"/>
      <c r="AVK92" s="1"/>
      <c r="AVL92" s="1"/>
      <c r="AVM92" s="1"/>
      <c r="AVN92" s="1"/>
      <c r="AVO92" s="1"/>
      <c r="AVP92" s="1"/>
      <c r="AVQ92" s="1"/>
      <c r="AVR92" s="1"/>
      <c r="AVS92" s="1"/>
      <c r="AVT92" s="1"/>
      <c r="AVU92" s="1"/>
      <c r="AVV92" s="1"/>
      <c r="AVW92" s="1"/>
      <c r="AVX92" s="1"/>
      <c r="AVY92" s="1"/>
      <c r="AVZ92" s="1"/>
      <c r="AWA92" s="1"/>
      <c r="AWB92" s="1"/>
      <c r="AWC92" s="1"/>
      <c r="AWD92" s="1"/>
      <c r="AWE92" s="1"/>
      <c r="AWF92" s="1"/>
      <c r="AWG92" s="1"/>
      <c r="AWH92" s="1"/>
      <c r="AWI92" s="1"/>
      <c r="AWJ92" s="1"/>
      <c r="AWK92" s="1"/>
      <c r="AWL92" s="1"/>
      <c r="AWM92" s="1"/>
      <c r="AWN92" s="1"/>
      <c r="AWO92" s="1"/>
      <c r="AWP92" s="1"/>
      <c r="AWQ92" s="1"/>
      <c r="AWR92" s="1"/>
      <c r="AWS92" s="1"/>
      <c r="AWT92" s="1"/>
      <c r="AWU92" s="1"/>
      <c r="AWV92" s="1"/>
      <c r="AWW92" s="1"/>
      <c r="AWX92" s="1"/>
      <c r="AWY92" s="1"/>
      <c r="AWZ92" s="1"/>
      <c r="AXA92" s="1"/>
      <c r="AXB92" s="1"/>
      <c r="AXC92" s="1"/>
      <c r="AXD92" s="1"/>
      <c r="AXE92" s="1"/>
      <c r="AXF92" s="1"/>
      <c r="AXG92" s="1"/>
      <c r="AXH92" s="1"/>
      <c r="AXI92" s="1"/>
      <c r="AXJ92" s="1"/>
      <c r="AXK92" s="1"/>
      <c r="AXL92" s="1"/>
      <c r="AXM92" s="1"/>
      <c r="AXN92" s="1"/>
      <c r="AXO92" s="1"/>
      <c r="AXP92" s="1"/>
      <c r="AXQ92" s="1"/>
      <c r="AXR92" s="1"/>
      <c r="AXS92" s="1"/>
      <c r="AXT92" s="1"/>
      <c r="AXU92" s="1"/>
      <c r="AXV92" s="1"/>
      <c r="AXW92" s="1"/>
      <c r="AXX92" s="1"/>
      <c r="AXY92" s="1"/>
      <c r="AXZ92" s="1"/>
      <c r="AYA92" s="1"/>
      <c r="AYB92" s="1"/>
      <c r="AYC92" s="1"/>
      <c r="AYD92" s="1"/>
      <c r="AYE92" s="1"/>
      <c r="AYF92" s="1"/>
      <c r="AYG92" s="1"/>
      <c r="AYH92" s="1"/>
      <c r="AYI92" s="1"/>
      <c r="AYJ92" s="1"/>
      <c r="AYK92" s="1"/>
      <c r="AYL92" s="1"/>
      <c r="AYM92" s="1"/>
      <c r="AYN92" s="1"/>
      <c r="AYO92" s="1"/>
      <c r="AYP92" s="1"/>
      <c r="AYQ92" s="1"/>
      <c r="AYR92" s="1"/>
      <c r="AYS92" s="1"/>
      <c r="AYT92" s="1"/>
      <c r="AYU92" s="1"/>
      <c r="AYV92" s="1"/>
      <c r="AYW92" s="1"/>
      <c r="AYX92" s="1"/>
      <c r="AYY92" s="1"/>
      <c r="AYZ92" s="1"/>
      <c r="AZA92" s="1"/>
      <c r="AZB92" s="1"/>
      <c r="AZC92" s="1"/>
      <c r="AZD92" s="1"/>
      <c r="AZE92" s="1"/>
      <c r="AZF92" s="1"/>
      <c r="AZG92" s="1"/>
      <c r="AZH92" s="1"/>
      <c r="AZI92" s="1"/>
      <c r="AZJ92" s="1"/>
      <c r="AZK92" s="1"/>
      <c r="AZL92" s="1"/>
      <c r="AZM92" s="1"/>
      <c r="AZN92" s="1"/>
      <c r="AZO92" s="1"/>
      <c r="AZP92" s="1"/>
      <c r="AZQ92" s="1"/>
      <c r="AZR92" s="1"/>
      <c r="AZS92" s="1"/>
      <c r="AZT92" s="1"/>
      <c r="AZU92" s="1"/>
      <c r="AZV92" s="1"/>
      <c r="AZW92" s="1"/>
      <c r="AZX92" s="1"/>
      <c r="AZY92" s="1"/>
      <c r="AZZ92" s="1"/>
      <c r="BAA92" s="1"/>
      <c r="BAB92" s="1"/>
      <c r="BAC92" s="1"/>
      <c r="BAD92" s="1"/>
      <c r="BAE92" s="1"/>
      <c r="BAF92" s="1"/>
      <c r="BAG92" s="1"/>
      <c r="BAH92" s="1"/>
      <c r="BAI92" s="1"/>
      <c r="BAJ92" s="1"/>
      <c r="BAK92" s="1"/>
      <c r="BAL92" s="1"/>
      <c r="BAM92" s="1"/>
      <c r="BAN92" s="1"/>
      <c r="BAO92" s="1"/>
      <c r="BAP92" s="1"/>
      <c r="BAQ92" s="1"/>
      <c r="BAR92" s="1"/>
      <c r="BAS92" s="1"/>
      <c r="BAT92" s="1"/>
      <c r="BAU92" s="1"/>
      <c r="BAV92" s="1"/>
      <c r="BAW92" s="1"/>
      <c r="BAX92" s="1"/>
      <c r="BAY92" s="1"/>
      <c r="BAZ92" s="1"/>
      <c r="BBA92" s="1"/>
      <c r="BBB92" s="1"/>
      <c r="BBC92" s="1"/>
      <c r="BBD92" s="1"/>
      <c r="BBE92" s="1"/>
      <c r="BBF92" s="1"/>
      <c r="BBG92" s="1"/>
      <c r="BBH92" s="1"/>
      <c r="BBI92" s="1"/>
      <c r="BBJ92" s="1"/>
      <c r="BBK92" s="1"/>
      <c r="BBL92" s="1"/>
      <c r="BBM92" s="1"/>
      <c r="BBN92" s="1"/>
      <c r="BBO92" s="1"/>
      <c r="BBP92" s="1"/>
      <c r="BBQ92" s="1"/>
      <c r="BBR92" s="1"/>
      <c r="BBS92" s="1"/>
      <c r="BBT92" s="1"/>
      <c r="BBU92" s="1"/>
      <c r="BBV92" s="1"/>
      <c r="BBW92" s="1"/>
      <c r="BBX92" s="1"/>
      <c r="BBY92" s="1"/>
      <c r="BBZ92" s="1"/>
      <c r="BCA92" s="1"/>
      <c r="BCB92" s="1"/>
      <c r="BCC92" s="1"/>
      <c r="BCD92" s="1"/>
      <c r="BCE92" s="1"/>
      <c r="BCF92" s="1"/>
      <c r="BCG92" s="1"/>
      <c r="BCH92" s="1"/>
      <c r="BCI92" s="1"/>
      <c r="BCJ92" s="1"/>
      <c r="BCK92" s="1"/>
      <c r="BCL92" s="1"/>
      <c r="BCM92" s="1"/>
      <c r="BCN92" s="1"/>
      <c r="BCO92" s="1"/>
      <c r="BCP92" s="1"/>
      <c r="BCQ92" s="1"/>
      <c r="BCR92" s="1"/>
      <c r="BCS92" s="1"/>
      <c r="BCT92" s="1"/>
      <c r="BCU92" s="1"/>
      <c r="BCV92" s="1"/>
      <c r="BCW92" s="1"/>
      <c r="BCX92" s="1"/>
      <c r="BCY92" s="1"/>
      <c r="BCZ92" s="1"/>
      <c r="BDA92" s="1"/>
      <c r="BDB92" s="1"/>
      <c r="BDC92" s="1"/>
      <c r="BDD92" s="1"/>
      <c r="BDE92" s="1"/>
      <c r="BDF92" s="1"/>
      <c r="BDG92" s="1"/>
      <c r="BDH92" s="1"/>
      <c r="BDI92" s="1"/>
      <c r="BDJ92" s="1"/>
      <c r="BDK92" s="1"/>
      <c r="BDL92" s="1"/>
      <c r="BDM92" s="1"/>
      <c r="BDN92" s="1"/>
      <c r="BDO92" s="1"/>
      <c r="BDP92" s="1"/>
      <c r="BDQ92" s="1"/>
      <c r="BDR92" s="1"/>
      <c r="BDS92" s="1"/>
      <c r="BDT92" s="1"/>
      <c r="BDU92" s="1"/>
      <c r="BDV92" s="1"/>
      <c r="BDW92" s="1"/>
      <c r="BDX92" s="1"/>
      <c r="BDY92" s="1"/>
      <c r="BDZ92" s="1"/>
      <c r="BEA92" s="1"/>
      <c r="BEB92" s="1"/>
      <c r="BEC92" s="1"/>
      <c r="BED92" s="1"/>
      <c r="BEE92" s="1"/>
      <c r="BEF92" s="1"/>
      <c r="BEG92" s="1"/>
      <c r="BEH92" s="1"/>
      <c r="BEI92" s="1"/>
      <c r="BEJ92" s="1"/>
      <c r="BEK92" s="1"/>
      <c r="BEL92" s="1"/>
      <c r="BEM92" s="1"/>
      <c r="BEN92" s="1"/>
      <c r="BEO92" s="1"/>
      <c r="BEP92" s="1"/>
      <c r="BEQ92" s="1"/>
      <c r="BER92" s="1"/>
      <c r="BES92" s="1"/>
      <c r="BET92" s="1"/>
      <c r="BEU92" s="1"/>
      <c r="BEV92" s="1"/>
      <c r="BEW92" s="1"/>
      <c r="BEX92" s="1"/>
      <c r="BEY92" s="1"/>
      <c r="BEZ92" s="1"/>
      <c r="BFA92" s="1"/>
      <c r="BFB92" s="1"/>
      <c r="BFC92" s="1"/>
      <c r="BFD92" s="1"/>
      <c r="BFE92" s="1"/>
      <c r="BFF92" s="1"/>
      <c r="BFG92" s="1"/>
      <c r="BFH92" s="1"/>
      <c r="BFI92" s="1"/>
      <c r="BFJ92" s="1"/>
      <c r="BFK92" s="1"/>
      <c r="BFL92" s="1"/>
      <c r="BFM92" s="1"/>
      <c r="BFN92" s="1"/>
      <c r="BFO92" s="1"/>
      <c r="BFP92" s="1"/>
      <c r="BFQ92" s="1"/>
      <c r="BFR92" s="1"/>
      <c r="BFS92" s="1"/>
      <c r="BFT92" s="1"/>
      <c r="BFU92" s="1"/>
      <c r="BFV92" s="1"/>
      <c r="BFW92" s="1"/>
      <c r="BFX92" s="1"/>
      <c r="BFY92" s="1"/>
      <c r="BFZ92" s="1"/>
      <c r="BGA92" s="1"/>
      <c r="BGB92" s="1"/>
      <c r="BGC92" s="1"/>
      <c r="BGD92" s="1"/>
      <c r="BGE92" s="1"/>
      <c r="BGF92" s="1"/>
      <c r="BGG92" s="1"/>
      <c r="BGH92" s="1"/>
      <c r="BGI92" s="1"/>
      <c r="BGJ92" s="1"/>
      <c r="BGK92" s="1"/>
      <c r="BGL92" s="1"/>
      <c r="BGM92" s="1"/>
      <c r="BGN92" s="1"/>
      <c r="BGO92" s="1"/>
      <c r="BGP92" s="1"/>
      <c r="BGQ92" s="1"/>
      <c r="BGR92" s="1"/>
      <c r="BGS92" s="1"/>
      <c r="BGT92" s="1"/>
      <c r="BGU92" s="1"/>
      <c r="BGV92" s="1"/>
      <c r="BGW92" s="1"/>
      <c r="BGX92" s="1"/>
      <c r="BGY92" s="1"/>
      <c r="BGZ92" s="1"/>
      <c r="BHA92" s="1"/>
      <c r="BHB92" s="1"/>
      <c r="BHC92" s="1"/>
      <c r="BHD92" s="1"/>
      <c r="BHE92" s="1"/>
      <c r="BHF92" s="1"/>
      <c r="BHG92" s="1"/>
      <c r="BHH92" s="1"/>
      <c r="BHI92" s="1"/>
      <c r="BHJ92" s="1"/>
      <c r="BHK92" s="1"/>
      <c r="BHL92" s="1"/>
      <c r="BHM92" s="1"/>
      <c r="BHN92" s="1"/>
      <c r="BHO92" s="1"/>
      <c r="BHP92" s="1"/>
      <c r="BHQ92" s="1"/>
      <c r="BHR92" s="1"/>
      <c r="BHS92" s="1"/>
      <c r="BHT92" s="1"/>
      <c r="BHU92" s="1"/>
      <c r="BHV92" s="1"/>
      <c r="BHW92" s="1"/>
      <c r="BHX92" s="1"/>
      <c r="BHY92" s="1"/>
      <c r="BHZ92" s="1"/>
      <c r="BIA92" s="1"/>
      <c r="BIB92" s="1"/>
      <c r="BIC92" s="1"/>
      <c r="BID92" s="1"/>
      <c r="BIE92" s="1"/>
      <c r="BIF92" s="1"/>
      <c r="BIG92" s="1"/>
      <c r="BIH92" s="1"/>
      <c r="BII92" s="1"/>
      <c r="BIJ92" s="1"/>
      <c r="BIK92" s="1"/>
      <c r="BIL92" s="1"/>
      <c r="BIM92" s="1"/>
      <c r="BIN92" s="1"/>
      <c r="BIO92" s="1"/>
      <c r="BIP92" s="1"/>
      <c r="BIQ92" s="1"/>
      <c r="BIR92" s="1"/>
      <c r="BIS92" s="1"/>
      <c r="BIT92" s="1"/>
      <c r="BIU92" s="1"/>
      <c r="BIV92" s="1"/>
      <c r="BIW92" s="1"/>
      <c r="BIX92" s="1"/>
      <c r="BIY92" s="1"/>
      <c r="BIZ92" s="1"/>
      <c r="BJA92" s="1"/>
      <c r="BJB92" s="1"/>
      <c r="BJC92" s="1"/>
      <c r="BJD92" s="1"/>
      <c r="BJE92" s="1"/>
      <c r="BJF92" s="1"/>
      <c r="BJG92" s="1"/>
      <c r="BJH92" s="1"/>
      <c r="BJI92" s="1"/>
      <c r="BJJ92" s="1"/>
      <c r="BJK92" s="1"/>
      <c r="BJL92" s="1"/>
      <c r="BJM92" s="1"/>
      <c r="BJN92" s="1"/>
      <c r="BJO92" s="1"/>
      <c r="BJP92" s="1"/>
      <c r="BJQ92" s="1"/>
      <c r="BJR92" s="1"/>
      <c r="BJS92" s="1"/>
      <c r="BJT92" s="1"/>
      <c r="BJU92" s="1"/>
      <c r="BJV92" s="1"/>
      <c r="BJW92" s="1"/>
      <c r="BJX92" s="1"/>
      <c r="BJY92" s="1"/>
      <c r="BJZ92" s="1"/>
      <c r="BKA92" s="1"/>
      <c r="BKB92" s="1"/>
      <c r="BKC92" s="1"/>
      <c r="BKD92" s="1"/>
      <c r="BKE92" s="1"/>
      <c r="BKF92" s="1"/>
      <c r="BKG92" s="1"/>
      <c r="BKH92" s="1"/>
      <c r="BKI92" s="1"/>
      <c r="BKJ92" s="1"/>
      <c r="BKK92" s="1"/>
      <c r="BKL92" s="1"/>
      <c r="BKM92" s="1"/>
      <c r="BKN92" s="1"/>
      <c r="BKO92" s="1"/>
      <c r="BKP92" s="1"/>
      <c r="BKQ92" s="1"/>
      <c r="BKR92" s="1"/>
      <c r="BKS92" s="1"/>
      <c r="BKT92" s="1"/>
      <c r="BKU92" s="1"/>
      <c r="BKV92" s="1"/>
      <c r="BKW92" s="1"/>
      <c r="BKX92" s="1"/>
      <c r="BKY92" s="1"/>
      <c r="BKZ92" s="1"/>
      <c r="BLA92" s="1"/>
      <c r="BLB92" s="1"/>
      <c r="BLC92" s="1"/>
      <c r="BLD92" s="1"/>
      <c r="BLE92" s="1"/>
      <c r="BLF92" s="1"/>
      <c r="BLG92" s="1"/>
      <c r="BLH92" s="1"/>
      <c r="BLI92" s="1"/>
      <c r="BLJ92" s="1"/>
      <c r="BLK92" s="1"/>
      <c r="BLL92" s="1"/>
      <c r="BLM92" s="1"/>
      <c r="BLN92" s="1"/>
      <c r="BLO92" s="1"/>
      <c r="BLP92" s="1"/>
      <c r="BLQ92" s="1"/>
      <c r="BLR92" s="1"/>
      <c r="BLS92" s="1"/>
      <c r="BLT92" s="1"/>
      <c r="BLU92" s="1"/>
      <c r="BLV92" s="1"/>
      <c r="BLW92" s="1"/>
      <c r="BLX92" s="1"/>
      <c r="BLY92" s="1"/>
      <c r="BLZ92" s="1"/>
      <c r="BMA92" s="1"/>
      <c r="BMB92" s="1"/>
      <c r="BMC92" s="1"/>
      <c r="BMD92" s="1"/>
      <c r="BME92" s="1"/>
      <c r="BMF92" s="1"/>
      <c r="BMG92" s="1"/>
      <c r="BMH92" s="1"/>
      <c r="BMI92" s="1"/>
      <c r="BMJ92" s="1"/>
      <c r="BMK92" s="1"/>
      <c r="BML92" s="1"/>
      <c r="BMM92" s="1"/>
      <c r="BMN92" s="1"/>
      <c r="BMO92" s="1"/>
      <c r="BMP92" s="1"/>
      <c r="BMQ92" s="1"/>
      <c r="BMR92" s="1"/>
      <c r="BMS92" s="1"/>
      <c r="BMT92" s="1"/>
      <c r="BMU92" s="1"/>
      <c r="BMV92" s="1"/>
      <c r="BMW92" s="1"/>
      <c r="BMX92" s="1"/>
      <c r="BMY92" s="1"/>
      <c r="BMZ92" s="1"/>
      <c r="BNA92" s="1"/>
      <c r="BNB92" s="1"/>
      <c r="BNC92" s="1"/>
      <c r="BND92" s="1"/>
      <c r="BNE92" s="1"/>
      <c r="BNF92" s="1"/>
      <c r="BNG92" s="1"/>
      <c r="BNH92" s="1"/>
      <c r="BNI92" s="1"/>
      <c r="BNJ92" s="1"/>
      <c r="BNK92" s="1"/>
      <c r="BNL92" s="1"/>
      <c r="BNM92" s="1"/>
      <c r="BNN92" s="1"/>
      <c r="BNO92" s="1"/>
      <c r="BNP92" s="1"/>
      <c r="BNQ92" s="1"/>
      <c r="BNR92" s="1"/>
      <c r="BNS92" s="1"/>
      <c r="BNT92" s="1"/>
      <c r="BNU92" s="1"/>
      <c r="BNV92" s="1"/>
      <c r="BNW92" s="1"/>
      <c r="BNX92" s="1"/>
      <c r="BNY92" s="1"/>
      <c r="BNZ92" s="1"/>
      <c r="BOA92" s="1"/>
      <c r="BOB92" s="1"/>
      <c r="BOC92" s="1"/>
      <c r="BOD92" s="1"/>
      <c r="BOE92" s="1"/>
      <c r="BOF92" s="1"/>
      <c r="BOG92" s="1"/>
      <c r="BOH92" s="1"/>
      <c r="BOI92" s="1"/>
      <c r="BOJ92" s="1"/>
      <c r="BOK92" s="1"/>
      <c r="BOL92" s="1"/>
      <c r="BOM92" s="1"/>
      <c r="BON92" s="1"/>
      <c r="BOO92" s="1"/>
      <c r="BOP92" s="1"/>
      <c r="BOQ92" s="1"/>
      <c r="BOR92" s="1"/>
      <c r="BOS92" s="1"/>
      <c r="BOT92" s="1"/>
      <c r="BOU92" s="1"/>
      <c r="BOV92" s="1"/>
      <c r="BOW92" s="1"/>
      <c r="BOX92" s="1"/>
      <c r="BOY92" s="1"/>
      <c r="BOZ92" s="1"/>
      <c r="BPA92" s="1"/>
      <c r="BPB92" s="1"/>
      <c r="BPC92" s="1"/>
      <c r="BPD92" s="1"/>
      <c r="BPE92" s="1"/>
      <c r="BPF92" s="1"/>
      <c r="BPG92" s="1"/>
      <c r="BPH92" s="1"/>
      <c r="BPI92" s="1"/>
      <c r="BPJ92" s="1"/>
      <c r="BPK92" s="1"/>
      <c r="BPL92" s="1"/>
      <c r="BPM92" s="1"/>
      <c r="BPN92" s="1"/>
      <c r="BPO92" s="1"/>
      <c r="BPP92" s="1"/>
      <c r="BPQ92" s="1"/>
      <c r="BPR92" s="1"/>
      <c r="BPS92" s="1"/>
      <c r="BPT92" s="1"/>
      <c r="BPU92" s="1"/>
      <c r="BPV92" s="1"/>
      <c r="BPW92" s="1"/>
      <c r="BPX92" s="1"/>
      <c r="BPY92" s="1"/>
      <c r="BPZ92" s="1"/>
      <c r="BQA92" s="1"/>
      <c r="BQB92" s="1"/>
      <c r="BQC92" s="1"/>
      <c r="BQD92" s="1"/>
      <c r="BQE92" s="1"/>
      <c r="BQF92" s="1"/>
      <c r="BQG92" s="1"/>
      <c r="BQH92" s="1"/>
      <c r="BQI92" s="1"/>
      <c r="BQJ92" s="1"/>
      <c r="BQK92" s="1"/>
      <c r="BQL92" s="1"/>
      <c r="BQM92" s="1"/>
      <c r="BQN92" s="1"/>
      <c r="BQO92" s="1"/>
      <c r="BQP92" s="1"/>
      <c r="BQQ92" s="1"/>
      <c r="BQR92" s="1"/>
      <c r="BQS92" s="1"/>
      <c r="BQT92" s="1"/>
      <c r="BQU92" s="1"/>
      <c r="BQV92" s="1"/>
      <c r="BQW92" s="1"/>
      <c r="BQX92" s="1"/>
      <c r="BQY92" s="1"/>
      <c r="BQZ92" s="1"/>
      <c r="BRA92" s="1"/>
      <c r="BRB92" s="1"/>
      <c r="BRC92" s="1"/>
      <c r="BRD92" s="1"/>
      <c r="BRE92" s="1"/>
      <c r="BRF92" s="1"/>
      <c r="BRG92" s="1"/>
      <c r="BRH92" s="1"/>
      <c r="BRI92" s="1"/>
      <c r="BRJ92" s="1"/>
      <c r="BRK92" s="1"/>
      <c r="BRL92" s="1"/>
      <c r="BRM92" s="1"/>
      <c r="BRN92" s="1"/>
      <c r="BRO92" s="1"/>
      <c r="BRP92" s="1"/>
      <c r="BRQ92" s="1"/>
      <c r="BRR92" s="1"/>
      <c r="BRS92" s="1"/>
      <c r="BRT92" s="1"/>
      <c r="BRU92" s="1"/>
      <c r="BRV92" s="1"/>
      <c r="BRW92" s="1"/>
      <c r="BRX92" s="1"/>
      <c r="BRY92" s="1"/>
      <c r="BRZ92" s="1"/>
      <c r="BSA92" s="1"/>
      <c r="BSB92" s="1"/>
      <c r="BSC92" s="1"/>
      <c r="BSD92" s="1"/>
      <c r="BSE92" s="1"/>
      <c r="BSF92" s="1"/>
      <c r="BSG92" s="1"/>
      <c r="BSH92" s="1"/>
      <c r="BSI92" s="1"/>
      <c r="BSJ92" s="1"/>
      <c r="BSK92" s="1"/>
      <c r="BSL92" s="1"/>
      <c r="BSM92" s="1"/>
      <c r="BSN92" s="1"/>
      <c r="BSO92" s="1"/>
      <c r="BSP92" s="1"/>
      <c r="BSQ92" s="1"/>
      <c r="BSR92" s="1"/>
      <c r="BSS92" s="1"/>
      <c r="BST92" s="1"/>
      <c r="BSU92" s="1"/>
      <c r="BSV92" s="1"/>
      <c r="BSW92" s="1"/>
      <c r="BSX92" s="1"/>
      <c r="BSY92" s="1"/>
      <c r="BSZ92" s="1"/>
      <c r="BTA92" s="1"/>
      <c r="BTB92" s="1"/>
      <c r="BTC92" s="1"/>
      <c r="BTD92" s="1"/>
      <c r="BTE92" s="1"/>
      <c r="BTF92" s="1"/>
      <c r="BTG92" s="1"/>
      <c r="BTH92" s="1"/>
      <c r="BTI92" s="1"/>
      <c r="BTJ92" s="1"/>
      <c r="BTK92" s="1"/>
      <c r="BTL92" s="1"/>
      <c r="BTM92" s="1"/>
      <c r="BTN92" s="1"/>
      <c r="BTO92" s="1"/>
      <c r="BTP92" s="1"/>
      <c r="BTQ92" s="1"/>
      <c r="BTR92" s="1"/>
      <c r="BTS92" s="1"/>
      <c r="BTT92" s="1"/>
      <c r="BTU92" s="1"/>
      <c r="BTV92" s="1"/>
      <c r="BTW92" s="1"/>
      <c r="BTX92" s="1"/>
      <c r="BTY92" s="1"/>
      <c r="BTZ92" s="1"/>
      <c r="BUA92" s="1"/>
      <c r="BUB92" s="1"/>
      <c r="BUC92" s="1"/>
      <c r="BUD92" s="1"/>
      <c r="BUE92" s="1"/>
      <c r="BUF92" s="1"/>
      <c r="BUG92" s="1"/>
      <c r="BUH92" s="1"/>
      <c r="BUI92" s="1"/>
      <c r="BUJ92" s="1"/>
      <c r="BUK92" s="1"/>
      <c r="BUL92" s="1"/>
      <c r="BUM92" s="1"/>
      <c r="BUN92" s="1"/>
      <c r="BUO92" s="1"/>
      <c r="BUP92" s="1"/>
      <c r="BUQ92" s="1"/>
      <c r="BUR92" s="1"/>
      <c r="BUS92" s="1"/>
      <c r="BUT92" s="1"/>
      <c r="BUU92" s="1"/>
      <c r="BUV92" s="1"/>
      <c r="BUW92" s="1"/>
      <c r="BUX92" s="1"/>
      <c r="BUY92" s="1"/>
      <c r="BUZ92" s="1"/>
      <c r="BVA92" s="1"/>
      <c r="BVB92" s="1"/>
      <c r="BVC92" s="1"/>
      <c r="BVD92" s="1"/>
      <c r="BVE92" s="1"/>
      <c r="BVF92" s="1"/>
      <c r="BVG92" s="1"/>
      <c r="BVH92" s="1"/>
      <c r="BVI92" s="1"/>
      <c r="BVJ92" s="1"/>
      <c r="BVK92" s="1"/>
      <c r="BVL92" s="1"/>
      <c r="BVM92" s="1"/>
      <c r="BVN92" s="1"/>
      <c r="BVO92" s="1"/>
      <c r="BVP92" s="1"/>
      <c r="BVQ92" s="1"/>
      <c r="BVR92" s="1"/>
      <c r="BVS92" s="1"/>
      <c r="BVT92" s="1"/>
      <c r="BVU92" s="1"/>
      <c r="BVV92" s="1"/>
      <c r="BVW92" s="1"/>
      <c r="BVX92" s="1"/>
      <c r="BVY92" s="1"/>
      <c r="BVZ92" s="1"/>
      <c r="BWA92" s="1"/>
      <c r="BWB92" s="1"/>
      <c r="BWC92" s="1"/>
      <c r="BWD92" s="1"/>
      <c r="BWE92" s="1"/>
      <c r="BWF92" s="1"/>
      <c r="BWG92" s="1"/>
      <c r="BWH92" s="1"/>
      <c r="BWI92" s="1"/>
      <c r="BWJ92" s="1"/>
      <c r="BWK92" s="1"/>
      <c r="BWL92" s="1"/>
      <c r="BWM92" s="1"/>
      <c r="BWN92" s="1"/>
      <c r="BWO92" s="1"/>
      <c r="BWP92" s="1"/>
      <c r="BWQ92" s="1"/>
      <c r="BWR92" s="1"/>
      <c r="BWS92" s="1"/>
      <c r="BWT92" s="1"/>
      <c r="BWU92" s="1"/>
      <c r="BWV92" s="1"/>
      <c r="BWW92" s="1"/>
      <c r="BWX92" s="1"/>
      <c r="BWY92" s="1"/>
      <c r="BWZ92" s="1"/>
      <c r="BXA92" s="1"/>
      <c r="BXB92" s="1"/>
      <c r="BXC92" s="1"/>
      <c r="BXD92" s="1"/>
      <c r="BXE92" s="1"/>
      <c r="BXF92" s="1"/>
      <c r="BXG92" s="1"/>
      <c r="BXH92" s="1"/>
      <c r="BXI92" s="1"/>
      <c r="BXJ92" s="1"/>
      <c r="BXK92" s="1"/>
      <c r="BXL92" s="1"/>
      <c r="BXM92" s="1"/>
      <c r="BXN92" s="1"/>
      <c r="BXO92" s="1"/>
      <c r="BXP92" s="1"/>
      <c r="BXQ92" s="1"/>
      <c r="BXR92" s="1"/>
      <c r="BXS92" s="1"/>
      <c r="BXT92" s="1"/>
      <c r="BXU92" s="1"/>
      <c r="BXV92" s="1"/>
      <c r="BXW92" s="1"/>
      <c r="BXX92" s="1"/>
      <c r="BXY92" s="1"/>
      <c r="BXZ92" s="1"/>
      <c r="BYA92" s="1"/>
      <c r="BYB92" s="1"/>
      <c r="BYC92" s="1"/>
      <c r="BYD92" s="1"/>
      <c r="BYE92" s="1"/>
      <c r="BYF92" s="1"/>
      <c r="BYG92" s="1"/>
      <c r="BYH92" s="1"/>
      <c r="BYI92" s="1"/>
      <c r="BYJ92" s="1"/>
      <c r="BYK92" s="1"/>
      <c r="BYL92" s="1"/>
      <c r="BYM92" s="1"/>
      <c r="BYN92" s="1"/>
      <c r="BYO92" s="1"/>
      <c r="BYP92" s="1"/>
      <c r="BYQ92" s="1"/>
      <c r="BYR92" s="1"/>
      <c r="BYS92" s="1"/>
      <c r="BYT92" s="1"/>
      <c r="BYU92" s="1"/>
      <c r="BYV92" s="1"/>
      <c r="BYW92" s="1"/>
      <c r="BYX92" s="1"/>
      <c r="BYY92" s="1"/>
      <c r="BYZ92" s="1"/>
      <c r="BZA92" s="1"/>
      <c r="BZB92" s="1"/>
      <c r="BZC92" s="1"/>
      <c r="BZD92" s="1"/>
      <c r="BZE92" s="1"/>
      <c r="BZF92" s="1"/>
      <c r="BZG92" s="1"/>
      <c r="BZH92" s="1"/>
      <c r="BZI92" s="1"/>
      <c r="BZJ92" s="1"/>
      <c r="BZK92" s="1"/>
      <c r="BZL92" s="1"/>
      <c r="BZM92" s="1"/>
      <c r="BZN92" s="1"/>
      <c r="BZO92" s="1"/>
      <c r="BZP92" s="1"/>
      <c r="BZQ92" s="1"/>
      <c r="BZR92" s="1"/>
      <c r="BZS92" s="1"/>
      <c r="BZT92" s="1"/>
      <c r="BZU92" s="1"/>
      <c r="BZV92" s="1"/>
      <c r="BZW92" s="1"/>
      <c r="BZX92" s="1"/>
      <c r="BZY92" s="1"/>
      <c r="BZZ92" s="1"/>
      <c r="CAA92" s="1"/>
      <c r="CAB92" s="1"/>
      <c r="CAC92" s="1"/>
      <c r="CAD92" s="1"/>
      <c r="CAE92" s="1"/>
      <c r="CAF92" s="1"/>
      <c r="CAG92" s="1"/>
      <c r="CAH92" s="1"/>
      <c r="CAI92" s="1"/>
      <c r="CAJ92" s="1"/>
      <c r="CAK92" s="1"/>
      <c r="CAL92" s="1"/>
      <c r="CAM92" s="1"/>
      <c r="CAN92" s="1"/>
      <c r="CAO92" s="1"/>
      <c r="CAP92" s="1"/>
      <c r="CAQ92" s="1"/>
      <c r="CAR92" s="1"/>
      <c r="CAS92" s="1"/>
      <c r="CAT92" s="1"/>
      <c r="CAU92" s="1"/>
      <c r="CAV92" s="1"/>
      <c r="CAW92" s="1"/>
      <c r="CAX92" s="1"/>
      <c r="CAY92" s="1"/>
      <c r="CAZ92" s="1"/>
      <c r="CBA92" s="1"/>
      <c r="CBB92" s="1"/>
      <c r="CBC92" s="1"/>
      <c r="CBD92" s="1"/>
      <c r="CBE92" s="1"/>
      <c r="CBF92" s="1"/>
      <c r="CBG92" s="1"/>
      <c r="CBH92" s="1"/>
      <c r="CBI92" s="1"/>
      <c r="CBJ92" s="1"/>
      <c r="CBK92" s="1"/>
      <c r="CBL92" s="1"/>
      <c r="CBM92" s="1"/>
      <c r="CBN92" s="1"/>
      <c r="CBO92" s="1"/>
      <c r="CBP92" s="1"/>
      <c r="CBQ92" s="1"/>
      <c r="CBR92" s="1"/>
      <c r="CBS92" s="1"/>
      <c r="CBT92" s="1"/>
      <c r="CBU92" s="1"/>
      <c r="CBV92" s="1"/>
      <c r="CBW92" s="1"/>
      <c r="CBX92" s="1"/>
      <c r="CBY92" s="1"/>
      <c r="CBZ92" s="1"/>
      <c r="CCA92" s="1"/>
      <c r="CCB92" s="1"/>
      <c r="CCC92" s="1"/>
      <c r="CCD92" s="1"/>
      <c r="CCE92" s="1"/>
      <c r="CCF92" s="1"/>
      <c r="CCG92" s="1"/>
      <c r="CCH92" s="1"/>
      <c r="CCI92" s="1"/>
      <c r="CCJ92" s="1"/>
      <c r="CCK92" s="1"/>
      <c r="CCL92" s="1"/>
      <c r="CCM92" s="1"/>
      <c r="CCN92" s="1"/>
      <c r="CCO92" s="1"/>
      <c r="CCP92" s="1"/>
      <c r="CCQ92" s="1"/>
      <c r="CCR92" s="1"/>
      <c r="CCS92" s="1"/>
      <c r="CCT92" s="1"/>
      <c r="CCU92" s="1"/>
      <c r="CCV92" s="1"/>
      <c r="CCW92" s="1"/>
      <c r="CCX92" s="1"/>
      <c r="CCY92" s="1"/>
      <c r="CCZ92" s="1"/>
      <c r="CDA92" s="1"/>
      <c r="CDB92" s="1"/>
      <c r="CDC92" s="1"/>
      <c r="CDD92" s="1"/>
      <c r="CDE92" s="1"/>
      <c r="CDF92" s="1"/>
      <c r="CDG92" s="1"/>
      <c r="CDH92" s="1"/>
      <c r="CDI92" s="1"/>
      <c r="CDJ92" s="1"/>
      <c r="CDK92" s="1"/>
      <c r="CDL92" s="1"/>
      <c r="CDM92" s="1"/>
      <c r="CDN92" s="1"/>
      <c r="CDO92" s="1"/>
      <c r="CDP92" s="1"/>
      <c r="CDQ92" s="1"/>
      <c r="CDR92" s="1"/>
      <c r="CDS92" s="1"/>
      <c r="CDT92" s="1"/>
      <c r="CDU92" s="1"/>
      <c r="CDV92" s="1"/>
      <c r="CDW92" s="1"/>
      <c r="CDX92" s="1"/>
      <c r="CDY92" s="1"/>
      <c r="CDZ92" s="1"/>
      <c r="CEA92" s="1"/>
      <c r="CEB92" s="1"/>
      <c r="CEC92" s="1"/>
      <c r="CED92" s="1"/>
      <c r="CEE92" s="1"/>
      <c r="CEF92" s="1"/>
      <c r="CEG92" s="1"/>
      <c r="CEH92" s="1"/>
      <c r="CEI92" s="1"/>
      <c r="CEJ92" s="1"/>
      <c r="CEK92" s="1"/>
      <c r="CEL92" s="1"/>
      <c r="CEM92" s="1"/>
      <c r="CEN92" s="1"/>
      <c r="CEO92" s="1"/>
      <c r="CEP92" s="1"/>
      <c r="CEQ92" s="1"/>
      <c r="CER92" s="1"/>
      <c r="CES92" s="1"/>
      <c r="CET92" s="1"/>
      <c r="CEU92" s="1"/>
      <c r="CEV92" s="1"/>
      <c r="CEW92" s="1"/>
      <c r="CEX92" s="1"/>
      <c r="CEY92" s="1"/>
      <c r="CEZ92" s="1"/>
      <c r="CFA92" s="1"/>
      <c r="CFB92" s="1"/>
      <c r="CFC92" s="1"/>
      <c r="CFD92" s="1"/>
      <c r="CFE92" s="1"/>
      <c r="CFF92" s="1"/>
      <c r="CFG92" s="1"/>
      <c r="CFH92" s="1"/>
      <c r="CFI92" s="1"/>
      <c r="CFJ92" s="1"/>
      <c r="CFK92" s="1"/>
      <c r="CFL92" s="1"/>
      <c r="CFM92" s="1"/>
      <c r="CFN92" s="1"/>
      <c r="CFO92" s="1"/>
      <c r="CFP92" s="1"/>
      <c r="CFQ92" s="1"/>
      <c r="CFR92" s="1"/>
      <c r="CFS92" s="1"/>
      <c r="CFT92" s="1"/>
      <c r="CFU92" s="1"/>
      <c r="CFV92" s="1"/>
      <c r="CFW92" s="1"/>
      <c r="CFX92" s="1"/>
      <c r="CFY92" s="1"/>
      <c r="CFZ92" s="1"/>
      <c r="CGA92" s="1"/>
      <c r="CGB92" s="1"/>
      <c r="CGC92" s="1"/>
      <c r="CGD92" s="1"/>
      <c r="CGE92" s="1"/>
      <c r="CGF92" s="1"/>
      <c r="CGG92" s="1"/>
      <c r="CGH92" s="1"/>
      <c r="CGI92" s="1"/>
      <c r="CGJ92" s="1"/>
      <c r="CGK92" s="1"/>
      <c r="CGL92" s="1"/>
      <c r="CGM92" s="1"/>
      <c r="CGN92" s="1"/>
      <c r="CGO92" s="1"/>
      <c r="CGP92" s="1"/>
      <c r="CGQ92" s="1"/>
      <c r="CGR92" s="1"/>
      <c r="CGS92" s="1"/>
      <c r="CGT92" s="1"/>
      <c r="CGU92" s="1"/>
      <c r="CGV92" s="1"/>
      <c r="CGW92" s="1"/>
      <c r="CGX92" s="1"/>
      <c r="CGY92" s="1"/>
      <c r="CGZ92" s="1"/>
      <c r="CHA92" s="1"/>
      <c r="CHB92" s="1"/>
      <c r="CHC92" s="1"/>
      <c r="CHD92" s="1"/>
      <c r="CHE92" s="1"/>
      <c r="CHF92" s="1"/>
      <c r="CHG92" s="1"/>
      <c r="CHH92" s="1"/>
      <c r="CHI92" s="1"/>
      <c r="CHJ92" s="1"/>
      <c r="CHK92" s="1"/>
      <c r="CHL92" s="1"/>
      <c r="CHM92" s="1"/>
      <c r="CHN92" s="1"/>
      <c r="CHO92" s="1"/>
      <c r="CHP92" s="1"/>
      <c r="CHQ92" s="1"/>
      <c r="CHR92" s="1"/>
      <c r="CHS92" s="1"/>
      <c r="CHT92" s="1"/>
      <c r="CHU92" s="1"/>
      <c r="CHV92" s="1"/>
      <c r="CHW92" s="1"/>
      <c r="CHX92" s="1"/>
      <c r="CHY92" s="1"/>
      <c r="CHZ92" s="1"/>
      <c r="CIA92" s="1"/>
      <c r="CIB92" s="1"/>
      <c r="CIC92" s="1"/>
      <c r="CID92" s="1"/>
      <c r="CIE92" s="1"/>
      <c r="CIF92" s="1"/>
      <c r="CIG92" s="1"/>
      <c r="CIH92" s="1"/>
      <c r="CII92" s="1"/>
      <c r="CIJ92" s="1"/>
      <c r="CIK92" s="1"/>
      <c r="CIL92" s="1"/>
      <c r="CIM92" s="1"/>
      <c r="CIN92" s="1"/>
      <c r="CIO92" s="1"/>
      <c r="CIP92" s="1"/>
      <c r="CIQ92" s="1"/>
      <c r="CIR92" s="1"/>
      <c r="CIS92" s="1"/>
      <c r="CIT92" s="1"/>
      <c r="CIU92" s="1"/>
      <c r="CIV92" s="1"/>
      <c r="CIW92" s="1"/>
      <c r="CIX92" s="1"/>
      <c r="CIY92" s="1"/>
      <c r="CIZ92" s="1"/>
      <c r="CJA92" s="1"/>
      <c r="CJB92" s="1"/>
      <c r="CJC92" s="1"/>
      <c r="CJD92" s="1"/>
      <c r="CJE92" s="1"/>
      <c r="CJF92" s="1"/>
      <c r="CJG92" s="1"/>
      <c r="CJH92" s="1"/>
      <c r="CJI92" s="1"/>
      <c r="CJJ92" s="1"/>
      <c r="CJK92" s="1"/>
      <c r="CJL92" s="1"/>
      <c r="CJM92" s="1"/>
      <c r="CJN92" s="1"/>
      <c r="CJO92" s="1"/>
      <c r="CJP92" s="1"/>
      <c r="CJQ92" s="1"/>
      <c r="CJR92" s="1"/>
      <c r="CJS92" s="1"/>
      <c r="CJT92" s="1"/>
      <c r="CJU92" s="1"/>
      <c r="CJV92" s="1"/>
      <c r="CJW92" s="1"/>
      <c r="CJX92" s="1"/>
      <c r="CJY92" s="1"/>
      <c r="CJZ92" s="1"/>
      <c r="CKA92" s="1"/>
      <c r="CKB92" s="1"/>
      <c r="CKC92" s="1"/>
      <c r="CKD92" s="1"/>
      <c r="CKE92" s="1"/>
      <c r="CKF92" s="1"/>
      <c r="CKG92" s="1"/>
      <c r="CKH92" s="1"/>
      <c r="CKI92" s="1"/>
      <c r="CKJ92" s="1"/>
      <c r="CKK92" s="1"/>
      <c r="CKL92" s="1"/>
      <c r="CKM92" s="1"/>
      <c r="CKN92" s="1"/>
      <c r="CKO92" s="1"/>
      <c r="CKP92" s="1"/>
      <c r="CKQ92" s="1"/>
      <c r="CKR92" s="1"/>
      <c r="CKS92" s="1"/>
      <c r="CKT92" s="1"/>
      <c r="CKU92" s="1"/>
      <c r="CKV92" s="1"/>
      <c r="CKW92" s="1"/>
      <c r="CKX92" s="1"/>
      <c r="CKY92" s="1"/>
      <c r="CKZ92" s="1"/>
      <c r="CLA92" s="1"/>
      <c r="CLB92" s="1"/>
      <c r="CLC92" s="1"/>
      <c r="CLD92" s="1"/>
      <c r="CLE92" s="1"/>
      <c r="CLF92" s="1"/>
      <c r="CLG92" s="1"/>
      <c r="CLH92" s="1"/>
      <c r="CLI92" s="1"/>
      <c r="CLJ92" s="1"/>
      <c r="CLK92" s="1"/>
      <c r="CLL92" s="1"/>
      <c r="CLM92" s="1"/>
      <c r="CLN92" s="1"/>
      <c r="CLO92" s="1"/>
      <c r="CLP92" s="1"/>
      <c r="CLQ92" s="1"/>
      <c r="CLR92" s="1"/>
      <c r="CLS92" s="1"/>
      <c r="CLT92" s="1"/>
      <c r="CLU92" s="1"/>
      <c r="CLV92" s="1"/>
      <c r="CLW92" s="1"/>
      <c r="CLX92" s="1"/>
      <c r="CLY92" s="1"/>
      <c r="CLZ92" s="1"/>
      <c r="CMA92" s="1"/>
      <c r="CMB92" s="1"/>
      <c r="CMC92" s="1"/>
      <c r="CMD92" s="1"/>
      <c r="CME92" s="1"/>
      <c r="CMF92" s="1"/>
      <c r="CMG92" s="1"/>
      <c r="CMH92" s="1"/>
      <c r="CMI92" s="1"/>
      <c r="CMJ92" s="1"/>
      <c r="CMK92" s="1"/>
      <c r="CML92" s="1"/>
      <c r="CMM92" s="1"/>
      <c r="CMN92" s="1"/>
      <c r="CMO92" s="1"/>
      <c r="CMP92" s="1"/>
      <c r="CMQ92" s="1"/>
      <c r="CMR92" s="1"/>
      <c r="CMS92" s="1"/>
      <c r="CMT92" s="1"/>
      <c r="CMU92" s="1"/>
      <c r="CMV92" s="1"/>
      <c r="CMW92" s="1"/>
      <c r="CMX92" s="1"/>
      <c r="CMY92" s="1"/>
      <c r="CMZ92" s="1"/>
      <c r="CNA92" s="1"/>
      <c r="CNB92" s="1"/>
      <c r="CNC92" s="1"/>
      <c r="CND92" s="1"/>
      <c r="CNE92" s="1"/>
      <c r="CNF92" s="1"/>
      <c r="CNG92" s="1"/>
      <c r="CNH92" s="1"/>
      <c r="CNI92" s="1"/>
      <c r="CNJ92" s="1"/>
      <c r="CNK92" s="1"/>
      <c r="CNL92" s="1"/>
      <c r="CNM92" s="1"/>
      <c r="CNN92" s="1"/>
      <c r="CNO92" s="1"/>
      <c r="CNP92" s="1"/>
      <c r="CNQ92" s="1"/>
      <c r="CNR92" s="1"/>
      <c r="CNS92" s="1"/>
      <c r="CNT92" s="1"/>
      <c r="CNU92" s="1"/>
      <c r="CNV92" s="1"/>
      <c r="CNW92" s="1"/>
      <c r="CNX92" s="1"/>
      <c r="CNY92" s="1"/>
      <c r="CNZ92" s="1"/>
      <c r="COA92" s="1"/>
      <c r="COB92" s="1"/>
      <c r="COC92" s="1"/>
      <c r="COD92" s="1"/>
      <c r="COE92" s="1"/>
      <c r="COF92" s="1"/>
      <c r="COG92" s="1"/>
      <c r="COH92" s="1"/>
      <c r="COI92" s="1"/>
      <c r="COJ92" s="1"/>
      <c r="COK92" s="1"/>
      <c r="COL92" s="1"/>
      <c r="COM92" s="1"/>
      <c r="CON92" s="1"/>
      <c r="COO92" s="1"/>
      <c r="COP92" s="1"/>
      <c r="COQ92" s="1"/>
      <c r="COR92" s="1"/>
      <c r="COS92" s="1"/>
      <c r="COT92" s="1"/>
      <c r="COU92" s="1"/>
      <c r="COV92" s="1"/>
      <c r="COW92" s="1"/>
      <c r="COX92" s="1"/>
      <c r="COY92" s="1"/>
      <c r="COZ92" s="1"/>
      <c r="CPA92" s="1"/>
      <c r="CPB92" s="1"/>
      <c r="CPC92" s="1"/>
      <c r="CPD92" s="1"/>
      <c r="CPE92" s="1"/>
      <c r="CPF92" s="1"/>
      <c r="CPG92" s="1"/>
      <c r="CPH92" s="1"/>
      <c r="CPI92" s="1"/>
      <c r="CPJ92" s="1"/>
      <c r="CPK92" s="1"/>
      <c r="CPL92" s="1"/>
      <c r="CPM92" s="1"/>
      <c r="CPN92" s="1"/>
      <c r="CPO92" s="1"/>
      <c r="CPP92" s="1"/>
      <c r="CPQ92" s="1"/>
      <c r="CPR92" s="1"/>
      <c r="CPS92" s="1"/>
      <c r="CPT92" s="1"/>
      <c r="CPU92" s="1"/>
      <c r="CPV92" s="1"/>
      <c r="CPW92" s="1"/>
      <c r="CPX92" s="1"/>
      <c r="CPY92" s="1"/>
      <c r="CPZ92" s="1"/>
      <c r="CQA92" s="1"/>
      <c r="CQB92" s="1"/>
      <c r="CQC92" s="1"/>
      <c r="CQD92" s="1"/>
      <c r="CQE92" s="1"/>
      <c r="CQF92" s="1"/>
      <c r="CQG92" s="1"/>
      <c r="CQH92" s="1"/>
      <c r="CQI92" s="1"/>
      <c r="CQJ92" s="1"/>
      <c r="CQK92" s="1"/>
      <c r="CQL92" s="1"/>
      <c r="CQM92" s="1"/>
      <c r="CQN92" s="1"/>
      <c r="CQO92" s="1"/>
      <c r="CQP92" s="1"/>
      <c r="CQQ92" s="1"/>
      <c r="CQR92" s="1"/>
      <c r="CQS92" s="1"/>
      <c r="CQT92" s="1"/>
      <c r="CQU92" s="1"/>
      <c r="CQV92" s="1"/>
      <c r="CQW92" s="1"/>
      <c r="CQX92" s="1"/>
      <c r="CQY92" s="1"/>
      <c r="CQZ92" s="1"/>
      <c r="CRA92" s="1"/>
      <c r="CRB92" s="1"/>
      <c r="CRC92" s="1"/>
      <c r="CRD92" s="1"/>
      <c r="CRE92" s="1"/>
      <c r="CRF92" s="1"/>
      <c r="CRG92" s="1"/>
      <c r="CRH92" s="1"/>
      <c r="CRI92" s="1"/>
      <c r="CRJ92" s="1"/>
      <c r="CRK92" s="1"/>
      <c r="CRL92" s="1"/>
      <c r="CRM92" s="1"/>
      <c r="CRN92" s="1"/>
      <c r="CRO92" s="1"/>
      <c r="CRP92" s="1"/>
      <c r="CRQ92" s="1"/>
      <c r="CRR92" s="1"/>
      <c r="CRS92" s="1"/>
      <c r="CRT92" s="1"/>
      <c r="CRU92" s="1"/>
      <c r="CRV92" s="1"/>
      <c r="CRW92" s="1"/>
      <c r="CRX92" s="1"/>
      <c r="CRY92" s="1"/>
      <c r="CRZ92" s="1"/>
      <c r="CSA92" s="1"/>
      <c r="CSB92" s="1"/>
      <c r="CSC92" s="1"/>
      <c r="CSD92" s="1"/>
      <c r="CSE92" s="1"/>
      <c r="CSF92" s="1"/>
      <c r="CSG92" s="1"/>
      <c r="CSH92" s="1"/>
      <c r="CSI92" s="1"/>
      <c r="CSJ92" s="1"/>
      <c r="CSK92" s="1"/>
      <c r="CSL92" s="1"/>
      <c r="CSM92" s="1"/>
      <c r="CSN92" s="1"/>
      <c r="CSO92" s="1"/>
      <c r="CSP92" s="1"/>
      <c r="CSQ92" s="1"/>
      <c r="CSR92" s="1"/>
      <c r="CSS92" s="1"/>
      <c r="CST92" s="1"/>
      <c r="CSU92" s="1"/>
      <c r="CSV92" s="1"/>
      <c r="CSW92" s="1"/>
      <c r="CSX92" s="1"/>
      <c r="CSY92" s="1"/>
      <c r="CSZ92" s="1"/>
      <c r="CTA92" s="1"/>
      <c r="CTB92" s="1"/>
      <c r="CTC92" s="1"/>
      <c r="CTD92" s="1"/>
      <c r="CTE92" s="1"/>
      <c r="CTF92" s="1"/>
      <c r="CTG92" s="1"/>
      <c r="CTH92" s="1"/>
      <c r="CTI92" s="1"/>
      <c r="CTJ92" s="1"/>
      <c r="CTK92" s="1"/>
      <c r="CTL92" s="1"/>
      <c r="CTM92" s="1"/>
      <c r="CTN92" s="1"/>
      <c r="CTO92" s="1"/>
      <c r="CTP92" s="1"/>
      <c r="CTQ92" s="1"/>
      <c r="CTR92" s="1"/>
      <c r="CTS92" s="1"/>
      <c r="CTT92" s="1"/>
      <c r="CTU92" s="1"/>
      <c r="CTV92" s="1"/>
      <c r="CTW92" s="1"/>
      <c r="CTX92" s="1"/>
      <c r="CTY92" s="1"/>
      <c r="CTZ92" s="1"/>
      <c r="CUA92" s="1"/>
      <c r="CUB92" s="1"/>
      <c r="CUC92" s="1"/>
      <c r="CUD92" s="1"/>
      <c r="CUE92" s="1"/>
      <c r="CUF92" s="1"/>
      <c r="CUG92" s="1"/>
      <c r="CUH92" s="1"/>
      <c r="CUI92" s="1"/>
      <c r="CUJ92" s="1"/>
      <c r="CUK92" s="1"/>
      <c r="CUL92" s="1"/>
      <c r="CUM92" s="1"/>
      <c r="CUN92" s="1"/>
      <c r="CUO92" s="1"/>
      <c r="CUP92" s="1"/>
      <c r="CUQ92" s="1"/>
      <c r="CUR92" s="1"/>
      <c r="CUS92" s="1"/>
      <c r="CUT92" s="1"/>
      <c r="CUU92" s="1"/>
      <c r="CUV92" s="1"/>
      <c r="CUW92" s="1"/>
      <c r="CUX92" s="1"/>
      <c r="CUY92" s="1"/>
      <c r="CUZ92" s="1"/>
      <c r="CVA92" s="1"/>
      <c r="CVB92" s="1"/>
      <c r="CVC92" s="1"/>
      <c r="CVD92" s="1"/>
      <c r="CVE92" s="1"/>
      <c r="CVF92" s="1"/>
      <c r="CVG92" s="1"/>
      <c r="CVH92" s="1"/>
      <c r="CVI92" s="1"/>
      <c r="CVJ92" s="1"/>
      <c r="CVK92" s="1"/>
      <c r="CVL92" s="1"/>
      <c r="CVM92" s="1"/>
      <c r="CVN92" s="1"/>
      <c r="CVO92" s="1"/>
      <c r="CVP92" s="1"/>
      <c r="CVQ92" s="1"/>
      <c r="CVR92" s="1"/>
      <c r="CVS92" s="1"/>
      <c r="CVT92" s="1"/>
      <c r="CVU92" s="1"/>
      <c r="CVV92" s="1"/>
      <c r="CVW92" s="1"/>
      <c r="CVX92" s="1"/>
      <c r="CVY92" s="1"/>
      <c r="CVZ92" s="1"/>
      <c r="CWA92" s="1"/>
      <c r="CWB92" s="1"/>
      <c r="CWC92" s="1"/>
      <c r="CWD92" s="1"/>
      <c r="CWE92" s="1"/>
      <c r="CWF92" s="1"/>
      <c r="CWG92" s="1"/>
      <c r="CWH92" s="1"/>
      <c r="CWI92" s="1"/>
      <c r="CWJ92" s="1"/>
      <c r="CWK92" s="1"/>
      <c r="CWL92" s="1"/>
      <c r="CWM92" s="1"/>
      <c r="CWN92" s="1"/>
      <c r="CWO92" s="1"/>
      <c r="CWP92" s="1"/>
      <c r="CWQ92" s="1"/>
      <c r="CWR92" s="1"/>
      <c r="CWS92" s="1"/>
      <c r="CWT92" s="1"/>
      <c r="CWU92" s="1"/>
      <c r="CWV92" s="1"/>
      <c r="CWW92" s="1"/>
      <c r="CWX92" s="1"/>
      <c r="CWY92" s="1"/>
      <c r="CWZ92" s="1"/>
      <c r="CXA92" s="1"/>
      <c r="CXB92" s="1"/>
      <c r="CXC92" s="1"/>
      <c r="CXD92" s="1"/>
      <c r="CXE92" s="1"/>
      <c r="CXF92" s="1"/>
      <c r="CXG92" s="1"/>
      <c r="CXH92" s="1"/>
      <c r="CXI92" s="1"/>
      <c r="CXJ92" s="1"/>
      <c r="CXK92" s="1"/>
      <c r="CXL92" s="1"/>
      <c r="CXM92" s="1"/>
      <c r="CXN92" s="1"/>
      <c r="CXO92" s="1"/>
      <c r="CXP92" s="1"/>
      <c r="CXQ92" s="1"/>
      <c r="CXR92" s="1"/>
      <c r="CXS92" s="1"/>
      <c r="CXT92" s="1"/>
      <c r="CXU92" s="1"/>
      <c r="CXV92" s="1"/>
      <c r="CXW92" s="1"/>
      <c r="CXX92" s="1"/>
      <c r="CXY92" s="1"/>
      <c r="CXZ92" s="1"/>
      <c r="CYA92" s="1"/>
      <c r="CYB92" s="1"/>
      <c r="CYC92" s="1"/>
      <c r="CYD92" s="1"/>
      <c r="CYE92" s="1"/>
      <c r="CYF92" s="1"/>
      <c r="CYG92" s="1"/>
      <c r="CYH92" s="1"/>
      <c r="CYI92" s="1"/>
      <c r="CYJ92" s="1"/>
      <c r="CYK92" s="1"/>
      <c r="CYL92" s="1"/>
      <c r="CYM92" s="1"/>
      <c r="CYN92" s="1"/>
      <c r="CYO92" s="1"/>
      <c r="CYP92" s="1"/>
      <c r="CYQ92" s="1"/>
      <c r="CYR92" s="1"/>
      <c r="CYS92" s="1"/>
      <c r="CYT92" s="1"/>
      <c r="CYU92" s="1"/>
      <c r="CYV92" s="1"/>
      <c r="CYW92" s="1"/>
      <c r="CYX92" s="1"/>
      <c r="CYY92" s="1"/>
      <c r="CYZ92" s="1"/>
      <c r="CZA92" s="1"/>
      <c r="CZB92" s="1"/>
      <c r="CZC92" s="1"/>
      <c r="CZD92" s="1"/>
      <c r="CZE92" s="1"/>
      <c r="CZF92" s="1"/>
      <c r="CZG92" s="1"/>
      <c r="CZH92" s="1"/>
      <c r="CZI92" s="1"/>
      <c r="CZJ92" s="1"/>
      <c r="CZK92" s="1"/>
      <c r="CZL92" s="1"/>
      <c r="CZM92" s="1"/>
      <c r="CZN92" s="1"/>
      <c r="CZO92" s="1"/>
      <c r="CZP92" s="1"/>
      <c r="CZQ92" s="1"/>
      <c r="CZR92" s="1"/>
      <c r="CZS92" s="1"/>
      <c r="CZT92" s="1"/>
      <c r="CZU92" s="1"/>
      <c r="CZV92" s="1"/>
      <c r="CZW92" s="1"/>
      <c r="CZX92" s="1"/>
      <c r="CZY92" s="1"/>
      <c r="CZZ92" s="1"/>
      <c r="DAA92" s="1"/>
      <c r="DAB92" s="1"/>
      <c r="DAC92" s="1"/>
      <c r="DAD92" s="1"/>
      <c r="DAE92" s="1"/>
      <c r="DAF92" s="1"/>
      <c r="DAG92" s="1"/>
      <c r="DAH92" s="1"/>
      <c r="DAI92" s="1"/>
      <c r="DAJ92" s="1"/>
      <c r="DAK92" s="1"/>
      <c r="DAL92" s="1"/>
      <c r="DAM92" s="1"/>
      <c r="DAN92" s="1"/>
      <c r="DAO92" s="1"/>
      <c r="DAP92" s="1"/>
      <c r="DAQ92" s="1"/>
      <c r="DAR92" s="1"/>
      <c r="DAS92" s="1"/>
      <c r="DAT92" s="1"/>
      <c r="DAU92" s="1"/>
      <c r="DAV92" s="1"/>
      <c r="DAW92" s="1"/>
      <c r="DAX92" s="1"/>
      <c r="DAY92" s="1"/>
      <c r="DAZ92" s="1"/>
      <c r="DBA92" s="1"/>
      <c r="DBB92" s="1"/>
      <c r="DBC92" s="1"/>
      <c r="DBD92" s="1"/>
      <c r="DBE92" s="1"/>
      <c r="DBF92" s="1"/>
      <c r="DBG92" s="1"/>
      <c r="DBH92" s="1"/>
      <c r="DBI92" s="1"/>
      <c r="DBJ92" s="1"/>
      <c r="DBK92" s="1"/>
      <c r="DBL92" s="1"/>
      <c r="DBM92" s="1"/>
      <c r="DBN92" s="1"/>
      <c r="DBO92" s="1"/>
      <c r="DBP92" s="1"/>
      <c r="DBQ92" s="1"/>
      <c r="DBR92" s="1"/>
      <c r="DBS92" s="1"/>
      <c r="DBT92" s="1"/>
      <c r="DBU92" s="1"/>
      <c r="DBV92" s="1"/>
      <c r="DBW92" s="1"/>
      <c r="DBX92" s="1"/>
      <c r="DBY92" s="1"/>
      <c r="DBZ92" s="1"/>
      <c r="DCA92" s="1"/>
      <c r="DCB92" s="1"/>
      <c r="DCC92" s="1"/>
      <c r="DCD92" s="1"/>
      <c r="DCE92" s="1"/>
      <c r="DCF92" s="1"/>
      <c r="DCG92" s="1"/>
      <c r="DCH92" s="1"/>
      <c r="DCI92" s="1"/>
      <c r="DCJ92" s="1"/>
      <c r="DCK92" s="1"/>
      <c r="DCL92" s="1"/>
      <c r="DCM92" s="1"/>
      <c r="DCN92" s="1"/>
      <c r="DCO92" s="1"/>
      <c r="DCP92" s="1"/>
      <c r="DCQ92" s="1"/>
      <c r="DCR92" s="1"/>
      <c r="DCS92" s="1"/>
      <c r="DCT92" s="1"/>
      <c r="DCU92" s="1"/>
      <c r="DCV92" s="1"/>
      <c r="DCW92" s="1"/>
      <c r="DCX92" s="1"/>
      <c r="DCY92" s="1"/>
      <c r="DCZ92" s="1"/>
      <c r="DDA92" s="1"/>
      <c r="DDB92" s="1"/>
      <c r="DDC92" s="1"/>
      <c r="DDD92" s="1"/>
      <c r="DDE92" s="1"/>
      <c r="DDF92" s="1"/>
      <c r="DDG92" s="1"/>
      <c r="DDH92" s="1"/>
      <c r="DDI92" s="1"/>
      <c r="DDJ92" s="1"/>
      <c r="DDK92" s="1"/>
      <c r="DDL92" s="1"/>
      <c r="DDM92" s="1"/>
      <c r="DDN92" s="1"/>
      <c r="DDO92" s="1"/>
      <c r="DDP92" s="1"/>
      <c r="DDQ92" s="1"/>
      <c r="DDR92" s="1"/>
      <c r="DDS92" s="1"/>
      <c r="DDT92" s="1"/>
      <c r="DDU92" s="1"/>
      <c r="DDV92" s="1"/>
      <c r="DDW92" s="1"/>
      <c r="DDX92" s="1"/>
      <c r="DDY92" s="1"/>
      <c r="DDZ92" s="1"/>
      <c r="DEA92" s="1"/>
      <c r="DEB92" s="1"/>
      <c r="DEC92" s="1"/>
      <c r="DED92" s="1"/>
      <c r="DEE92" s="1"/>
      <c r="DEF92" s="1"/>
      <c r="DEG92" s="1"/>
      <c r="DEH92" s="1"/>
      <c r="DEI92" s="1"/>
      <c r="DEJ92" s="1"/>
      <c r="DEK92" s="1"/>
      <c r="DEL92" s="1"/>
      <c r="DEM92" s="1"/>
      <c r="DEN92" s="1"/>
      <c r="DEO92" s="1"/>
      <c r="DEP92" s="1"/>
      <c r="DEQ92" s="1"/>
      <c r="DER92" s="1"/>
      <c r="DES92" s="1"/>
      <c r="DET92" s="1"/>
      <c r="DEU92" s="1"/>
      <c r="DEV92" s="1"/>
      <c r="DEW92" s="1"/>
      <c r="DEX92" s="1"/>
      <c r="DEY92" s="1"/>
      <c r="DEZ92" s="1"/>
      <c r="DFA92" s="1"/>
      <c r="DFB92" s="1"/>
      <c r="DFC92" s="1"/>
      <c r="DFD92" s="1"/>
      <c r="DFE92" s="1"/>
      <c r="DFF92" s="1"/>
      <c r="DFG92" s="1"/>
      <c r="DFH92" s="1"/>
      <c r="DFI92" s="1"/>
      <c r="DFJ92" s="1"/>
      <c r="DFK92" s="1"/>
      <c r="DFL92" s="1"/>
      <c r="DFM92" s="1"/>
      <c r="DFN92" s="1"/>
      <c r="DFO92" s="1"/>
      <c r="DFP92" s="1"/>
      <c r="DFQ92" s="1"/>
      <c r="DFR92" s="1"/>
      <c r="DFS92" s="1"/>
      <c r="DFT92" s="1"/>
      <c r="DFU92" s="1"/>
      <c r="DFV92" s="1"/>
      <c r="DFW92" s="1"/>
      <c r="DFX92" s="1"/>
      <c r="DFY92" s="1"/>
      <c r="DFZ92" s="1"/>
      <c r="DGA92" s="1"/>
      <c r="DGB92" s="1"/>
      <c r="DGC92" s="1"/>
      <c r="DGD92" s="1"/>
      <c r="DGE92" s="1"/>
      <c r="DGF92" s="1"/>
      <c r="DGG92" s="1"/>
      <c r="DGH92" s="1"/>
      <c r="DGI92" s="1"/>
      <c r="DGJ92" s="1"/>
      <c r="DGK92" s="1"/>
      <c r="DGL92" s="1"/>
      <c r="DGM92" s="1"/>
      <c r="DGN92" s="1"/>
      <c r="DGO92" s="1"/>
      <c r="DGP92" s="1"/>
      <c r="DGQ92" s="1"/>
      <c r="DGR92" s="1"/>
      <c r="DGS92" s="1"/>
      <c r="DGT92" s="1"/>
      <c r="DGU92" s="1"/>
      <c r="DGV92" s="1"/>
      <c r="DGW92" s="1"/>
      <c r="DGX92" s="1"/>
      <c r="DGY92" s="1"/>
      <c r="DGZ92" s="1"/>
      <c r="DHA92" s="1"/>
      <c r="DHB92" s="1"/>
      <c r="DHC92" s="1"/>
      <c r="DHD92" s="1"/>
      <c r="DHE92" s="1"/>
      <c r="DHF92" s="1"/>
      <c r="DHG92" s="1"/>
      <c r="DHH92" s="1"/>
      <c r="DHI92" s="1"/>
      <c r="DHJ92" s="1"/>
      <c r="DHK92" s="1"/>
      <c r="DHL92" s="1"/>
      <c r="DHM92" s="1"/>
      <c r="DHN92" s="1"/>
      <c r="DHO92" s="1"/>
      <c r="DHP92" s="1"/>
      <c r="DHQ92" s="1"/>
      <c r="DHR92" s="1"/>
      <c r="DHS92" s="1"/>
      <c r="DHT92" s="1"/>
      <c r="DHU92" s="1"/>
      <c r="DHV92" s="1"/>
      <c r="DHW92" s="1"/>
      <c r="DHX92" s="1"/>
      <c r="DHY92" s="1"/>
      <c r="DHZ92" s="1"/>
      <c r="DIA92" s="1"/>
      <c r="DIB92" s="1"/>
      <c r="DIC92" s="1"/>
      <c r="DID92" s="1"/>
      <c r="DIE92" s="1"/>
      <c r="DIF92" s="1"/>
      <c r="DIG92" s="1"/>
      <c r="DIH92" s="1"/>
      <c r="DII92" s="1"/>
      <c r="DIJ92" s="1"/>
      <c r="DIK92" s="1"/>
      <c r="DIL92" s="1"/>
      <c r="DIM92" s="1"/>
      <c r="DIN92" s="1"/>
      <c r="DIO92" s="1"/>
      <c r="DIP92" s="1"/>
      <c r="DIQ92" s="1"/>
      <c r="DIR92" s="1"/>
      <c r="DIS92" s="1"/>
      <c r="DIT92" s="1"/>
      <c r="DIU92" s="1"/>
      <c r="DIV92" s="1"/>
      <c r="DIW92" s="1"/>
      <c r="DIX92" s="1"/>
      <c r="DIY92" s="1"/>
      <c r="DIZ92" s="1"/>
      <c r="DJA92" s="1"/>
      <c r="DJB92" s="1"/>
      <c r="DJC92" s="1"/>
      <c r="DJD92" s="1"/>
      <c r="DJE92" s="1"/>
      <c r="DJF92" s="1"/>
      <c r="DJG92" s="1"/>
      <c r="DJH92" s="1"/>
      <c r="DJI92" s="1"/>
      <c r="DJJ92" s="1"/>
      <c r="DJK92" s="1"/>
      <c r="DJL92" s="1"/>
      <c r="DJM92" s="1"/>
      <c r="DJN92" s="1"/>
      <c r="DJO92" s="1"/>
      <c r="DJP92" s="1"/>
      <c r="DJQ92" s="1"/>
      <c r="DJR92" s="1"/>
      <c r="DJS92" s="1"/>
      <c r="DJT92" s="1"/>
      <c r="DJU92" s="1"/>
      <c r="DJV92" s="1"/>
      <c r="DJW92" s="1"/>
      <c r="DJX92" s="1"/>
      <c r="DJY92" s="1"/>
      <c r="DJZ92" s="1"/>
      <c r="DKA92" s="1"/>
      <c r="DKB92" s="1"/>
      <c r="DKC92" s="1"/>
      <c r="DKD92" s="1"/>
      <c r="DKE92" s="1"/>
      <c r="DKF92" s="1"/>
      <c r="DKG92" s="1"/>
      <c r="DKH92" s="1"/>
      <c r="DKI92" s="1"/>
      <c r="DKJ92" s="1"/>
      <c r="DKK92" s="1"/>
      <c r="DKL92" s="1"/>
      <c r="DKM92" s="1"/>
      <c r="DKN92" s="1"/>
      <c r="DKO92" s="1"/>
      <c r="DKP92" s="1"/>
      <c r="DKQ92" s="1"/>
      <c r="DKR92" s="1"/>
      <c r="DKS92" s="1"/>
      <c r="DKT92" s="1"/>
      <c r="DKU92" s="1"/>
      <c r="DKV92" s="1"/>
      <c r="DKW92" s="1"/>
      <c r="DKX92" s="1"/>
      <c r="DKY92" s="1"/>
      <c r="DKZ92" s="1"/>
      <c r="DLA92" s="1"/>
      <c r="DLB92" s="1"/>
      <c r="DLC92" s="1"/>
      <c r="DLD92" s="1"/>
      <c r="DLE92" s="1"/>
      <c r="DLF92" s="1"/>
      <c r="DLG92" s="1"/>
      <c r="DLH92" s="1"/>
      <c r="DLI92" s="1"/>
      <c r="DLJ92" s="1"/>
      <c r="DLK92" s="1"/>
      <c r="DLL92" s="1"/>
      <c r="DLM92" s="1"/>
      <c r="DLN92" s="1"/>
      <c r="DLO92" s="1"/>
      <c r="DLP92" s="1"/>
      <c r="DLQ92" s="1"/>
      <c r="DLR92" s="1"/>
      <c r="DLS92" s="1"/>
      <c r="DLT92" s="1"/>
      <c r="DLU92" s="1"/>
      <c r="DLV92" s="1"/>
      <c r="DLW92" s="1"/>
      <c r="DLX92" s="1"/>
      <c r="DLY92" s="1"/>
      <c r="DLZ92" s="1"/>
      <c r="DMA92" s="1"/>
      <c r="DMB92" s="1"/>
      <c r="DMC92" s="1"/>
      <c r="DMD92" s="1"/>
      <c r="DME92" s="1"/>
      <c r="DMF92" s="1"/>
      <c r="DMG92" s="1"/>
      <c r="DMH92" s="1"/>
      <c r="DMI92" s="1"/>
      <c r="DMJ92" s="1"/>
      <c r="DMK92" s="1"/>
      <c r="DML92" s="1"/>
      <c r="DMM92" s="1"/>
      <c r="DMN92" s="1"/>
      <c r="DMO92" s="1"/>
      <c r="DMP92" s="1"/>
      <c r="DMQ92" s="1"/>
      <c r="DMR92" s="1"/>
      <c r="DMS92" s="1"/>
      <c r="DMT92" s="1"/>
      <c r="DMU92" s="1"/>
      <c r="DMV92" s="1"/>
      <c r="DMW92" s="1"/>
      <c r="DMX92" s="1"/>
      <c r="DMY92" s="1"/>
      <c r="DMZ92" s="1"/>
      <c r="DNA92" s="1"/>
      <c r="DNB92" s="1"/>
      <c r="DNC92" s="1"/>
      <c r="DND92" s="1"/>
      <c r="DNE92" s="1"/>
      <c r="DNF92" s="1"/>
      <c r="DNG92" s="1"/>
      <c r="DNH92" s="1"/>
      <c r="DNI92" s="1"/>
      <c r="DNJ92" s="1"/>
      <c r="DNK92" s="1"/>
      <c r="DNL92" s="1"/>
      <c r="DNM92" s="1"/>
      <c r="DNN92" s="1"/>
      <c r="DNO92" s="1"/>
      <c r="DNP92" s="1"/>
      <c r="DNQ92" s="1"/>
      <c r="DNR92" s="1"/>
      <c r="DNS92" s="1"/>
      <c r="DNT92" s="1"/>
      <c r="DNU92" s="1"/>
      <c r="DNV92" s="1"/>
      <c r="DNW92" s="1"/>
      <c r="DNX92" s="1"/>
      <c r="DNY92" s="1"/>
      <c r="DNZ92" s="1"/>
      <c r="DOA92" s="1"/>
      <c r="DOB92" s="1"/>
      <c r="DOC92" s="1"/>
      <c r="DOD92" s="1"/>
      <c r="DOE92" s="1"/>
      <c r="DOF92" s="1"/>
      <c r="DOG92" s="1"/>
      <c r="DOH92" s="1"/>
      <c r="DOI92" s="1"/>
      <c r="DOJ92" s="1"/>
      <c r="DOK92" s="1"/>
      <c r="DOL92" s="1"/>
      <c r="DOM92" s="1"/>
      <c r="DON92" s="1"/>
      <c r="DOO92" s="1"/>
      <c r="DOP92" s="1"/>
      <c r="DOQ92" s="1"/>
      <c r="DOR92" s="1"/>
      <c r="DOS92" s="1"/>
      <c r="DOT92" s="1"/>
      <c r="DOU92" s="1"/>
      <c r="DOV92" s="1"/>
      <c r="DOW92" s="1"/>
      <c r="DOX92" s="1"/>
      <c r="DOY92" s="1"/>
      <c r="DOZ92" s="1"/>
      <c r="DPA92" s="1"/>
      <c r="DPB92" s="1"/>
      <c r="DPC92" s="1"/>
      <c r="DPD92" s="1"/>
      <c r="DPE92" s="1"/>
      <c r="DPF92" s="1"/>
      <c r="DPG92" s="1"/>
      <c r="DPH92" s="1"/>
      <c r="DPI92" s="1"/>
      <c r="DPJ92" s="1"/>
      <c r="DPK92" s="1"/>
      <c r="DPL92" s="1"/>
      <c r="DPM92" s="1"/>
      <c r="DPN92" s="1"/>
      <c r="DPO92" s="1"/>
      <c r="DPP92" s="1"/>
      <c r="DPQ92" s="1"/>
      <c r="DPR92" s="1"/>
      <c r="DPS92" s="1"/>
      <c r="DPT92" s="1"/>
      <c r="DPU92" s="1"/>
      <c r="DPV92" s="1"/>
      <c r="DPW92" s="1"/>
      <c r="DPX92" s="1"/>
      <c r="DPY92" s="1"/>
      <c r="DPZ92" s="1"/>
      <c r="DQA92" s="1"/>
      <c r="DQB92" s="1"/>
      <c r="DQC92" s="1"/>
      <c r="DQD92" s="1"/>
      <c r="DQE92" s="1"/>
      <c r="DQF92" s="1"/>
      <c r="DQG92" s="1"/>
      <c r="DQH92" s="1"/>
      <c r="DQI92" s="1"/>
      <c r="DQJ92" s="1"/>
      <c r="DQK92" s="1"/>
      <c r="DQL92" s="1"/>
      <c r="DQM92" s="1"/>
      <c r="DQN92" s="1"/>
      <c r="DQO92" s="1"/>
      <c r="DQP92" s="1"/>
      <c r="DQQ92" s="1"/>
      <c r="DQR92" s="1"/>
      <c r="DQS92" s="1"/>
      <c r="DQT92" s="1"/>
      <c r="DQU92" s="1"/>
      <c r="DQV92" s="1"/>
      <c r="DQW92" s="1"/>
      <c r="DQX92" s="1"/>
      <c r="DQY92" s="1"/>
      <c r="DQZ92" s="1"/>
      <c r="DRA92" s="1"/>
      <c r="DRB92" s="1"/>
      <c r="DRC92" s="1"/>
      <c r="DRD92" s="1"/>
      <c r="DRE92" s="1"/>
      <c r="DRF92" s="1"/>
      <c r="DRG92" s="1"/>
      <c r="DRH92" s="1"/>
      <c r="DRI92" s="1"/>
      <c r="DRJ92" s="1"/>
      <c r="DRK92" s="1"/>
      <c r="DRL92" s="1"/>
      <c r="DRM92" s="1"/>
      <c r="DRN92" s="1"/>
      <c r="DRO92" s="1"/>
      <c r="DRP92" s="1"/>
      <c r="DRQ92" s="1"/>
      <c r="DRR92" s="1"/>
      <c r="DRS92" s="1"/>
      <c r="DRT92" s="1"/>
      <c r="DRU92" s="1"/>
      <c r="DRV92" s="1"/>
      <c r="DRW92" s="1"/>
      <c r="DRX92" s="1"/>
      <c r="DRY92" s="1"/>
      <c r="DRZ92" s="1"/>
      <c r="DSA92" s="1"/>
      <c r="DSB92" s="1"/>
      <c r="DSC92" s="1"/>
      <c r="DSD92" s="1"/>
      <c r="DSE92" s="1"/>
      <c r="DSF92" s="1"/>
      <c r="DSG92" s="1"/>
      <c r="DSH92" s="1"/>
      <c r="DSI92" s="1"/>
      <c r="DSJ92" s="1"/>
      <c r="DSK92" s="1"/>
      <c r="DSL92" s="1"/>
      <c r="DSM92" s="1"/>
      <c r="DSN92" s="1"/>
      <c r="DSO92" s="1"/>
      <c r="DSP92" s="1"/>
      <c r="DSQ92" s="1"/>
      <c r="DSR92" s="1"/>
      <c r="DSS92" s="1"/>
      <c r="DST92" s="1"/>
      <c r="DSU92" s="1"/>
      <c r="DSV92" s="1"/>
      <c r="DSW92" s="1"/>
      <c r="DSX92" s="1"/>
      <c r="DSY92" s="1"/>
      <c r="DSZ92" s="1"/>
      <c r="DTA92" s="1"/>
      <c r="DTB92" s="1"/>
      <c r="DTC92" s="1"/>
      <c r="DTD92" s="1"/>
      <c r="DTE92" s="1"/>
      <c r="DTF92" s="1"/>
      <c r="DTG92" s="1"/>
      <c r="DTH92" s="1"/>
      <c r="DTI92" s="1"/>
      <c r="DTJ92" s="1"/>
      <c r="DTK92" s="1"/>
      <c r="DTL92" s="1"/>
      <c r="DTM92" s="1"/>
      <c r="DTN92" s="1"/>
      <c r="DTO92" s="1"/>
      <c r="DTP92" s="1"/>
      <c r="DTQ92" s="1"/>
      <c r="DTR92" s="1"/>
      <c r="DTS92" s="1"/>
      <c r="DTT92" s="1"/>
      <c r="DTU92" s="1"/>
      <c r="DTV92" s="1"/>
      <c r="DTW92" s="1"/>
      <c r="DTX92" s="1"/>
      <c r="DTY92" s="1"/>
      <c r="DTZ92" s="1"/>
      <c r="DUA92" s="1"/>
      <c r="DUB92" s="1"/>
      <c r="DUC92" s="1"/>
      <c r="DUD92" s="1"/>
      <c r="DUE92" s="1"/>
      <c r="DUF92" s="1"/>
      <c r="DUG92" s="1"/>
      <c r="DUH92" s="1"/>
      <c r="DUI92" s="1"/>
      <c r="DUJ92" s="1"/>
      <c r="DUK92" s="1"/>
      <c r="DUL92" s="1"/>
      <c r="DUM92" s="1"/>
      <c r="DUN92" s="1"/>
      <c r="DUO92" s="1"/>
      <c r="DUP92" s="1"/>
      <c r="DUQ92" s="1"/>
      <c r="DUR92" s="1"/>
      <c r="DUS92" s="1"/>
      <c r="DUT92" s="1"/>
      <c r="DUU92" s="1"/>
      <c r="DUV92" s="1"/>
      <c r="DUW92" s="1"/>
      <c r="DUX92" s="1"/>
      <c r="DUY92" s="1"/>
      <c r="DUZ92" s="1"/>
      <c r="DVA92" s="1"/>
      <c r="DVB92" s="1"/>
      <c r="DVC92" s="1"/>
      <c r="DVD92" s="1"/>
      <c r="DVE92" s="1"/>
      <c r="DVF92" s="1"/>
      <c r="DVG92" s="1"/>
      <c r="DVH92" s="1"/>
      <c r="DVI92" s="1"/>
      <c r="DVJ92" s="1"/>
      <c r="DVK92" s="1"/>
      <c r="DVL92" s="1"/>
      <c r="DVM92" s="1"/>
      <c r="DVN92" s="1"/>
      <c r="DVO92" s="1"/>
      <c r="DVP92" s="1"/>
      <c r="DVQ92" s="1"/>
      <c r="DVR92" s="1"/>
      <c r="DVS92" s="1"/>
      <c r="DVT92" s="1"/>
      <c r="DVU92" s="1"/>
      <c r="DVV92" s="1"/>
      <c r="DVW92" s="1"/>
      <c r="DVX92" s="1"/>
      <c r="DVY92" s="1"/>
      <c r="DVZ92" s="1"/>
      <c r="DWA92" s="1"/>
      <c r="DWB92" s="1"/>
      <c r="DWC92" s="1"/>
      <c r="DWD92" s="1"/>
      <c r="DWE92" s="1"/>
      <c r="DWF92" s="1"/>
      <c r="DWG92" s="1"/>
      <c r="DWH92" s="1"/>
      <c r="DWI92" s="1"/>
      <c r="DWJ92" s="1"/>
      <c r="DWK92" s="1"/>
      <c r="DWL92" s="1"/>
      <c r="DWM92" s="1"/>
      <c r="DWN92" s="1"/>
      <c r="DWO92" s="1"/>
      <c r="DWP92" s="1"/>
      <c r="DWQ92" s="1"/>
      <c r="DWR92" s="1"/>
      <c r="DWS92" s="1"/>
      <c r="DWT92" s="1"/>
      <c r="DWU92" s="1"/>
      <c r="DWV92" s="1"/>
      <c r="DWW92" s="1"/>
      <c r="DWX92" s="1"/>
      <c r="DWY92" s="1"/>
      <c r="DWZ92" s="1"/>
      <c r="DXA92" s="1"/>
      <c r="DXB92" s="1"/>
      <c r="DXC92" s="1"/>
      <c r="DXD92" s="1"/>
      <c r="DXE92" s="1"/>
      <c r="DXF92" s="1"/>
      <c r="DXG92" s="1"/>
      <c r="DXH92" s="1"/>
      <c r="DXI92" s="1"/>
      <c r="DXJ92" s="1"/>
      <c r="DXK92" s="1"/>
      <c r="DXL92" s="1"/>
      <c r="DXM92" s="1"/>
      <c r="DXN92" s="1"/>
      <c r="DXO92" s="1"/>
      <c r="DXP92" s="1"/>
      <c r="DXQ92" s="1"/>
      <c r="DXR92" s="1"/>
      <c r="DXS92" s="1"/>
      <c r="DXT92" s="1"/>
      <c r="DXU92" s="1"/>
      <c r="DXV92" s="1"/>
      <c r="DXW92" s="1"/>
      <c r="DXX92" s="1"/>
      <c r="DXY92" s="1"/>
      <c r="DXZ92" s="1"/>
      <c r="DYA92" s="1"/>
      <c r="DYB92" s="1"/>
      <c r="DYC92" s="1"/>
      <c r="DYD92" s="1"/>
      <c r="DYE92" s="1"/>
      <c r="DYF92" s="1"/>
      <c r="DYG92" s="1"/>
      <c r="DYH92" s="1"/>
      <c r="DYI92" s="1"/>
      <c r="DYJ92" s="1"/>
      <c r="DYK92" s="1"/>
      <c r="DYL92" s="1"/>
      <c r="DYM92" s="1"/>
      <c r="DYN92" s="1"/>
      <c r="DYO92" s="1"/>
      <c r="DYP92" s="1"/>
      <c r="DYQ92" s="1"/>
      <c r="DYR92" s="1"/>
      <c r="DYS92" s="1"/>
      <c r="DYT92" s="1"/>
      <c r="DYU92" s="1"/>
      <c r="DYV92" s="1"/>
      <c r="DYW92" s="1"/>
      <c r="DYX92" s="1"/>
      <c r="DYY92" s="1"/>
      <c r="DYZ92" s="1"/>
      <c r="DZA92" s="1"/>
      <c r="DZB92" s="1"/>
      <c r="DZC92" s="1"/>
      <c r="DZD92" s="1"/>
      <c r="DZE92" s="1"/>
      <c r="DZF92" s="1"/>
      <c r="DZG92" s="1"/>
      <c r="DZH92" s="1"/>
      <c r="DZI92" s="1"/>
      <c r="DZJ92" s="1"/>
      <c r="DZK92" s="1"/>
      <c r="DZL92" s="1"/>
      <c r="DZM92" s="1"/>
      <c r="DZN92" s="1"/>
      <c r="DZO92" s="1"/>
      <c r="DZP92" s="1"/>
      <c r="DZQ92" s="1"/>
      <c r="DZR92" s="1"/>
      <c r="DZS92" s="1"/>
      <c r="DZT92" s="1"/>
      <c r="DZU92" s="1"/>
      <c r="DZV92" s="1"/>
      <c r="DZW92" s="1"/>
      <c r="DZX92" s="1"/>
      <c r="DZY92" s="1"/>
      <c r="DZZ92" s="1"/>
      <c r="EAA92" s="1"/>
      <c r="EAB92" s="1"/>
      <c r="EAC92" s="1"/>
      <c r="EAD92" s="1"/>
      <c r="EAE92" s="1"/>
      <c r="EAF92" s="1"/>
      <c r="EAG92" s="1"/>
      <c r="EAH92" s="1"/>
      <c r="EAI92" s="1"/>
      <c r="EAJ92" s="1"/>
      <c r="EAK92" s="1"/>
      <c r="EAL92" s="1"/>
      <c r="EAM92" s="1"/>
      <c r="EAN92" s="1"/>
      <c r="EAO92" s="1"/>
      <c r="EAP92" s="1"/>
      <c r="EAQ92" s="1"/>
      <c r="EAR92" s="1"/>
      <c r="EAS92" s="1"/>
      <c r="EAT92" s="1"/>
      <c r="EAU92" s="1"/>
      <c r="EAV92" s="1"/>
      <c r="EAW92" s="1"/>
      <c r="EAX92" s="1"/>
      <c r="EAY92" s="1"/>
      <c r="EAZ92" s="1"/>
      <c r="EBA92" s="1"/>
      <c r="EBB92" s="1"/>
      <c r="EBC92" s="1"/>
      <c r="EBD92" s="1"/>
      <c r="EBE92" s="1"/>
      <c r="EBF92" s="1"/>
      <c r="EBG92" s="1"/>
      <c r="EBH92" s="1"/>
      <c r="EBI92" s="1"/>
      <c r="EBJ92" s="1"/>
      <c r="EBK92" s="1"/>
      <c r="EBL92" s="1"/>
      <c r="EBM92" s="1"/>
      <c r="EBN92" s="1"/>
      <c r="EBO92" s="1"/>
      <c r="EBP92" s="1"/>
      <c r="EBQ92" s="1"/>
      <c r="EBR92" s="1"/>
      <c r="EBS92" s="1"/>
      <c r="EBT92" s="1"/>
      <c r="EBU92" s="1"/>
      <c r="EBV92" s="1"/>
      <c r="EBW92" s="1"/>
      <c r="EBX92" s="1"/>
      <c r="EBY92" s="1"/>
      <c r="EBZ92" s="1"/>
      <c r="ECA92" s="1"/>
      <c r="ECB92" s="1"/>
      <c r="ECC92" s="1"/>
      <c r="ECD92" s="1"/>
      <c r="ECE92" s="1"/>
      <c r="ECF92" s="1"/>
      <c r="ECG92" s="1"/>
      <c r="ECH92" s="1"/>
      <c r="ECI92" s="1"/>
      <c r="ECJ92" s="1"/>
      <c r="ECK92" s="1"/>
      <c r="ECL92" s="1"/>
      <c r="ECM92" s="1"/>
      <c r="ECN92" s="1"/>
      <c r="ECO92" s="1"/>
      <c r="ECP92" s="1"/>
      <c r="ECQ92" s="1"/>
      <c r="ECR92" s="1"/>
      <c r="ECS92" s="1"/>
      <c r="ECT92" s="1"/>
      <c r="ECU92" s="1"/>
      <c r="ECV92" s="1"/>
      <c r="ECW92" s="1"/>
      <c r="ECX92" s="1"/>
      <c r="ECY92" s="1"/>
      <c r="ECZ92" s="1"/>
      <c r="EDA92" s="1"/>
      <c r="EDB92" s="1"/>
      <c r="EDC92" s="1"/>
      <c r="EDD92" s="1"/>
      <c r="EDE92" s="1"/>
      <c r="EDF92" s="1"/>
      <c r="EDG92" s="1"/>
      <c r="EDH92" s="1"/>
      <c r="EDI92" s="1"/>
      <c r="EDJ92" s="1"/>
      <c r="EDK92" s="1"/>
      <c r="EDL92" s="1"/>
      <c r="EDM92" s="1"/>
      <c r="EDN92" s="1"/>
      <c r="EDO92" s="1"/>
      <c r="EDP92" s="1"/>
      <c r="EDQ92" s="1"/>
      <c r="EDR92" s="1"/>
      <c r="EDS92" s="1"/>
      <c r="EDT92" s="1"/>
      <c r="EDU92" s="1"/>
      <c r="EDV92" s="1"/>
      <c r="EDW92" s="1"/>
      <c r="EDX92" s="1"/>
      <c r="EDY92" s="1"/>
      <c r="EDZ92" s="1"/>
      <c r="EEA92" s="1"/>
      <c r="EEB92" s="1"/>
      <c r="EEC92" s="1"/>
      <c r="EED92" s="1"/>
      <c r="EEE92" s="1"/>
      <c r="EEF92" s="1"/>
      <c r="EEG92" s="1"/>
      <c r="EEH92" s="1"/>
      <c r="EEI92" s="1"/>
      <c r="EEJ92" s="1"/>
      <c r="EEK92" s="1"/>
      <c r="EEL92" s="1"/>
      <c r="EEM92" s="1"/>
      <c r="EEN92" s="1"/>
      <c r="EEO92" s="1"/>
      <c r="EEP92" s="1"/>
      <c r="EEQ92" s="1"/>
      <c r="EER92" s="1"/>
      <c r="EES92" s="1"/>
      <c r="EET92" s="1"/>
      <c r="EEU92" s="1"/>
      <c r="EEV92" s="1"/>
      <c r="EEW92" s="1"/>
      <c r="EEX92" s="1"/>
      <c r="EEY92" s="1"/>
      <c r="EEZ92" s="1"/>
      <c r="EFA92" s="1"/>
      <c r="EFB92" s="1"/>
      <c r="EFC92" s="1"/>
      <c r="EFD92" s="1"/>
      <c r="EFE92" s="1"/>
      <c r="EFF92" s="1"/>
      <c r="EFG92" s="1"/>
      <c r="EFH92" s="1"/>
      <c r="EFI92" s="1"/>
      <c r="EFJ92" s="1"/>
      <c r="EFK92" s="1"/>
      <c r="EFL92" s="1"/>
      <c r="EFM92" s="1"/>
      <c r="EFN92" s="1"/>
      <c r="EFO92" s="1"/>
      <c r="EFP92" s="1"/>
      <c r="EFQ92" s="1"/>
      <c r="EFR92" s="1"/>
      <c r="EFS92" s="1"/>
      <c r="EFT92" s="1"/>
      <c r="EFU92" s="1"/>
      <c r="EFV92" s="1"/>
      <c r="EFW92" s="1"/>
      <c r="EFX92" s="1"/>
      <c r="EFY92" s="1"/>
      <c r="EFZ92" s="1"/>
      <c r="EGA92" s="1"/>
      <c r="EGB92" s="1"/>
      <c r="EGC92" s="1"/>
      <c r="EGD92" s="1"/>
      <c r="EGE92" s="1"/>
      <c r="EGF92" s="1"/>
      <c r="EGG92" s="1"/>
      <c r="EGH92" s="1"/>
      <c r="EGI92" s="1"/>
      <c r="EGJ92" s="1"/>
      <c r="EGK92" s="1"/>
      <c r="EGL92" s="1"/>
      <c r="EGM92" s="1"/>
      <c r="EGN92" s="1"/>
      <c r="EGO92" s="1"/>
      <c r="EGP92" s="1"/>
      <c r="EGQ92" s="1"/>
      <c r="EGR92" s="1"/>
      <c r="EGS92" s="1"/>
      <c r="EGT92" s="1"/>
      <c r="EGU92" s="1"/>
      <c r="EGV92" s="1"/>
      <c r="EGW92" s="1"/>
      <c r="EGX92" s="1"/>
      <c r="EGY92" s="1"/>
      <c r="EGZ92" s="1"/>
      <c r="EHA92" s="1"/>
      <c r="EHB92" s="1"/>
      <c r="EHC92" s="1"/>
      <c r="EHD92" s="1"/>
      <c r="EHE92" s="1"/>
      <c r="EHF92" s="1"/>
      <c r="EHG92" s="1"/>
      <c r="EHH92" s="1"/>
      <c r="EHI92" s="1"/>
      <c r="EHJ92" s="1"/>
      <c r="EHK92" s="1"/>
      <c r="EHL92" s="1"/>
      <c r="EHM92" s="1"/>
      <c r="EHN92" s="1"/>
      <c r="EHO92" s="1"/>
      <c r="EHP92" s="1"/>
      <c r="EHQ92" s="1"/>
      <c r="EHR92" s="1"/>
      <c r="EHS92" s="1"/>
      <c r="EHT92" s="1"/>
      <c r="EHU92" s="1"/>
      <c r="EHV92" s="1"/>
      <c r="EHW92" s="1"/>
      <c r="EHX92" s="1"/>
      <c r="EHY92" s="1"/>
      <c r="EHZ92" s="1"/>
      <c r="EIA92" s="1"/>
      <c r="EIB92" s="1"/>
      <c r="EIC92" s="1"/>
      <c r="EID92" s="1"/>
      <c r="EIE92" s="1"/>
      <c r="EIF92" s="1"/>
      <c r="EIG92" s="1"/>
      <c r="EIH92" s="1"/>
      <c r="EII92" s="1"/>
      <c r="EIJ92" s="1"/>
      <c r="EIK92" s="1"/>
      <c r="EIL92" s="1"/>
      <c r="EIM92" s="1"/>
      <c r="EIN92" s="1"/>
      <c r="EIO92" s="1"/>
      <c r="EIP92" s="1"/>
      <c r="EIQ92" s="1"/>
      <c r="EIR92" s="1"/>
      <c r="EIS92" s="1"/>
      <c r="EIT92" s="1"/>
      <c r="EIU92" s="1"/>
      <c r="EIV92" s="1"/>
      <c r="EIW92" s="1"/>
      <c r="EIX92" s="1"/>
      <c r="EIY92" s="1"/>
      <c r="EIZ92" s="1"/>
      <c r="EJA92" s="1"/>
      <c r="EJB92" s="1"/>
      <c r="EJC92" s="1"/>
      <c r="EJD92" s="1"/>
      <c r="EJE92" s="1"/>
      <c r="EJF92" s="1"/>
      <c r="EJG92" s="1"/>
      <c r="EJH92" s="1"/>
      <c r="EJI92" s="1"/>
      <c r="EJJ92" s="1"/>
      <c r="EJK92" s="1"/>
      <c r="EJL92" s="1"/>
      <c r="EJM92" s="1"/>
      <c r="EJN92" s="1"/>
      <c r="EJO92" s="1"/>
      <c r="EJP92" s="1"/>
      <c r="EJQ92" s="1"/>
      <c r="EJR92" s="1"/>
      <c r="EJS92" s="1"/>
      <c r="EJT92" s="1"/>
      <c r="EJU92" s="1"/>
      <c r="EJV92" s="1"/>
      <c r="EJW92" s="1"/>
      <c r="EJX92" s="1"/>
      <c r="EJY92" s="1"/>
      <c r="EJZ92" s="1"/>
      <c r="EKA92" s="1"/>
      <c r="EKB92" s="1"/>
      <c r="EKC92" s="1"/>
      <c r="EKD92" s="1"/>
      <c r="EKE92" s="1"/>
      <c r="EKF92" s="1"/>
      <c r="EKG92" s="1"/>
      <c r="EKH92" s="1"/>
      <c r="EKI92" s="1"/>
      <c r="EKJ92" s="1"/>
      <c r="EKK92" s="1"/>
      <c r="EKL92" s="1"/>
      <c r="EKM92" s="1"/>
      <c r="EKN92" s="1"/>
      <c r="EKO92" s="1"/>
      <c r="EKP92" s="1"/>
      <c r="EKQ92" s="1"/>
      <c r="EKR92" s="1"/>
      <c r="EKS92" s="1"/>
      <c r="EKT92" s="1"/>
      <c r="EKU92" s="1"/>
      <c r="EKV92" s="1"/>
      <c r="EKW92" s="1"/>
      <c r="EKX92" s="1"/>
      <c r="EKY92" s="1"/>
      <c r="EKZ92" s="1"/>
      <c r="ELA92" s="1"/>
      <c r="ELB92" s="1"/>
      <c r="ELC92" s="1"/>
      <c r="ELD92" s="1"/>
      <c r="ELE92" s="1"/>
      <c r="ELF92" s="1"/>
      <c r="ELG92" s="1"/>
      <c r="ELH92" s="1"/>
      <c r="ELI92" s="1"/>
      <c r="ELJ92" s="1"/>
      <c r="ELK92" s="1"/>
      <c r="ELL92" s="1"/>
      <c r="ELM92" s="1"/>
      <c r="ELN92" s="1"/>
      <c r="ELO92" s="1"/>
      <c r="ELP92" s="1"/>
      <c r="ELQ92" s="1"/>
      <c r="ELR92" s="1"/>
      <c r="ELS92" s="1"/>
      <c r="ELT92" s="1"/>
      <c r="ELU92" s="1"/>
      <c r="ELV92" s="1"/>
      <c r="ELW92" s="1"/>
      <c r="ELX92" s="1"/>
      <c r="ELY92" s="1"/>
      <c r="ELZ92" s="1"/>
      <c r="EMA92" s="1"/>
      <c r="EMB92" s="1"/>
      <c r="EMC92" s="1"/>
      <c r="EMD92" s="1"/>
      <c r="EME92" s="1"/>
      <c r="EMF92" s="1"/>
      <c r="EMG92" s="1"/>
      <c r="EMH92" s="1"/>
      <c r="EMI92" s="1"/>
      <c r="EMJ92" s="1"/>
      <c r="EMK92" s="1"/>
      <c r="EML92" s="1"/>
      <c r="EMM92" s="1"/>
      <c r="EMN92" s="1"/>
      <c r="EMO92" s="1"/>
      <c r="EMP92" s="1"/>
      <c r="EMQ92" s="1"/>
      <c r="EMR92" s="1"/>
      <c r="EMS92" s="1"/>
      <c r="EMT92" s="1"/>
      <c r="EMU92" s="1"/>
      <c r="EMV92" s="1"/>
      <c r="EMW92" s="1"/>
      <c r="EMX92" s="1"/>
      <c r="EMY92" s="1"/>
      <c r="EMZ92" s="1"/>
      <c r="ENA92" s="1"/>
      <c r="ENB92" s="1"/>
      <c r="ENC92" s="1"/>
      <c r="END92" s="1"/>
      <c r="ENE92" s="1"/>
      <c r="ENF92" s="1"/>
      <c r="ENG92" s="1"/>
      <c r="ENH92" s="1"/>
      <c r="ENI92" s="1"/>
      <c r="ENJ92" s="1"/>
      <c r="ENK92" s="1"/>
      <c r="ENL92" s="1"/>
      <c r="ENM92" s="1"/>
      <c r="ENN92" s="1"/>
      <c r="ENO92" s="1"/>
      <c r="ENP92" s="1"/>
      <c r="ENQ92" s="1"/>
      <c r="ENR92" s="1"/>
      <c r="ENS92" s="1"/>
      <c r="ENT92" s="1"/>
      <c r="ENU92" s="1"/>
      <c r="ENV92" s="1"/>
      <c r="ENW92" s="1"/>
      <c r="ENX92" s="1"/>
      <c r="ENY92" s="1"/>
      <c r="ENZ92" s="1"/>
      <c r="EOA92" s="1"/>
      <c r="EOB92" s="1"/>
      <c r="EOC92" s="1"/>
      <c r="EOD92" s="1"/>
      <c r="EOE92" s="1"/>
      <c r="EOF92" s="1"/>
      <c r="EOG92" s="1"/>
      <c r="EOH92" s="1"/>
      <c r="EOI92" s="1"/>
      <c r="EOJ92" s="1"/>
      <c r="EOK92" s="1"/>
      <c r="EOL92" s="1"/>
      <c r="EOM92" s="1"/>
      <c r="EON92" s="1"/>
      <c r="EOO92" s="1"/>
      <c r="EOP92" s="1"/>
      <c r="EOQ92" s="1"/>
      <c r="EOR92" s="1"/>
      <c r="EOS92" s="1"/>
      <c r="EOT92" s="1"/>
      <c r="EOU92" s="1"/>
      <c r="EOV92" s="1"/>
      <c r="EOW92" s="1"/>
      <c r="EOX92" s="1"/>
      <c r="EOY92" s="1"/>
      <c r="EOZ92" s="1"/>
      <c r="EPA92" s="1"/>
      <c r="EPB92" s="1"/>
      <c r="EPC92" s="1"/>
      <c r="EPD92" s="1"/>
      <c r="EPE92" s="1"/>
      <c r="EPF92" s="1"/>
      <c r="EPG92" s="1"/>
      <c r="EPH92" s="1"/>
      <c r="EPI92" s="1"/>
      <c r="EPJ92" s="1"/>
      <c r="EPK92" s="1"/>
      <c r="EPL92" s="1"/>
      <c r="EPM92" s="1"/>
      <c r="EPN92" s="1"/>
      <c r="EPO92" s="1"/>
      <c r="EPP92" s="1"/>
      <c r="EPQ92" s="1"/>
      <c r="EPR92" s="1"/>
      <c r="EPS92" s="1"/>
      <c r="EPT92" s="1"/>
      <c r="EPU92" s="1"/>
      <c r="EPV92" s="1"/>
      <c r="EPW92" s="1"/>
      <c r="EPX92" s="1"/>
      <c r="EPY92" s="1"/>
      <c r="EPZ92" s="1"/>
      <c r="EQA92" s="1"/>
      <c r="EQB92" s="1"/>
      <c r="EQC92" s="1"/>
      <c r="EQD92" s="1"/>
      <c r="EQE92" s="1"/>
      <c r="EQF92" s="1"/>
      <c r="EQG92" s="1"/>
      <c r="EQH92" s="1"/>
      <c r="EQI92" s="1"/>
      <c r="EQJ92" s="1"/>
      <c r="EQK92" s="1"/>
      <c r="EQL92" s="1"/>
      <c r="EQM92" s="1"/>
      <c r="EQN92" s="1"/>
      <c r="EQO92" s="1"/>
      <c r="EQP92" s="1"/>
      <c r="EQQ92" s="1"/>
      <c r="EQR92" s="1"/>
      <c r="EQS92" s="1"/>
      <c r="EQT92" s="1"/>
      <c r="EQU92" s="1"/>
      <c r="EQV92" s="1"/>
      <c r="EQW92" s="1"/>
      <c r="EQX92" s="1"/>
      <c r="EQY92" s="1"/>
      <c r="EQZ92" s="1"/>
      <c r="ERA92" s="1"/>
      <c r="ERB92" s="1"/>
      <c r="ERC92" s="1"/>
      <c r="ERD92" s="1"/>
      <c r="ERE92" s="1"/>
      <c r="ERF92" s="1"/>
      <c r="ERG92" s="1"/>
      <c r="ERH92" s="1"/>
      <c r="ERI92" s="1"/>
      <c r="ERJ92" s="1"/>
      <c r="ERK92" s="1"/>
      <c r="ERL92" s="1"/>
      <c r="ERM92" s="1"/>
      <c r="ERN92" s="1"/>
      <c r="ERO92" s="1"/>
      <c r="ERP92" s="1"/>
      <c r="ERQ92" s="1"/>
      <c r="ERR92" s="1"/>
      <c r="ERS92" s="1"/>
      <c r="ERT92" s="1"/>
      <c r="ERU92" s="1"/>
      <c r="ERV92" s="1"/>
      <c r="ERW92" s="1"/>
      <c r="ERX92" s="1"/>
      <c r="ERY92" s="1"/>
      <c r="ERZ92" s="1"/>
      <c r="ESA92" s="1"/>
      <c r="ESB92" s="1"/>
      <c r="ESC92" s="1"/>
      <c r="ESD92" s="1"/>
      <c r="ESE92" s="1"/>
      <c r="ESF92" s="1"/>
      <c r="ESG92" s="1"/>
      <c r="ESH92" s="1"/>
      <c r="ESI92" s="1"/>
      <c r="ESJ92" s="1"/>
      <c r="ESK92" s="1"/>
      <c r="ESL92" s="1"/>
      <c r="ESM92" s="1"/>
      <c r="ESN92" s="1"/>
      <c r="ESO92" s="1"/>
      <c r="ESP92" s="1"/>
      <c r="ESQ92" s="1"/>
      <c r="ESR92" s="1"/>
      <c r="ESS92" s="1"/>
      <c r="EST92" s="1"/>
      <c r="ESU92" s="1"/>
      <c r="ESV92" s="1"/>
      <c r="ESW92" s="1"/>
      <c r="ESX92" s="1"/>
      <c r="ESY92" s="1"/>
      <c r="ESZ92" s="1"/>
      <c r="ETA92" s="1"/>
      <c r="ETB92" s="1"/>
      <c r="ETC92" s="1"/>
      <c r="ETD92" s="1"/>
      <c r="ETE92" s="1"/>
      <c r="ETF92" s="1"/>
      <c r="ETG92" s="1"/>
      <c r="ETH92" s="1"/>
      <c r="ETI92" s="1"/>
      <c r="ETJ92" s="1"/>
      <c r="ETK92" s="1"/>
      <c r="ETL92" s="1"/>
      <c r="ETM92" s="1"/>
      <c r="ETN92" s="1"/>
      <c r="ETO92" s="1"/>
      <c r="ETP92" s="1"/>
      <c r="ETQ92" s="1"/>
      <c r="ETR92" s="1"/>
      <c r="ETS92" s="1"/>
      <c r="ETT92" s="1"/>
      <c r="ETU92" s="1"/>
      <c r="ETV92" s="1"/>
      <c r="ETW92" s="1"/>
      <c r="ETX92" s="1"/>
      <c r="ETY92" s="1"/>
      <c r="ETZ92" s="1"/>
      <c r="EUA92" s="1"/>
      <c r="EUB92" s="1"/>
      <c r="EUC92" s="1"/>
      <c r="EUD92" s="1"/>
      <c r="EUE92" s="1"/>
      <c r="EUF92" s="1"/>
      <c r="EUG92" s="1"/>
      <c r="EUH92" s="1"/>
      <c r="EUI92" s="1"/>
      <c r="EUJ92" s="1"/>
      <c r="EUK92" s="1"/>
      <c r="EUL92" s="1"/>
      <c r="EUM92" s="1"/>
      <c r="EUN92" s="1"/>
      <c r="EUO92" s="1"/>
      <c r="EUP92" s="1"/>
      <c r="EUQ92" s="1"/>
      <c r="EUR92" s="1"/>
      <c r="EUS92" s="1"/>
      <c r="EUT92" s="1"/>
      <c r="EUU92" s="1"/>
      <c r="EUV92" s="1"/>
      <c r="EUW92" s="1"/>
      <c r="EUX92" s="1"/>
      <c r="EUY92" s="1"/>
      <c r="EUZ92" s="1"/>
      <c r="EVA92" s="1"/>
      <c r="EVB92" s="1"/>
      <c r="EVC92" s="1"/>
      <c r="EVD92" s="1"/>
      <c r="EVE92" s="1"/>
      <c r="EVF92" s="1"/>
      <c r="EVG92" s="1"/>
      <c r="EVH92" s="1"/>
      <c r="EVI92" s="1"/>
      <c r="EVJ92" s="1"/>
      <c r="EVK92" s="1"/>
      <c r="EVL92" s="1"/>
      <c r="EVM92" s="1"/>
      <c r="EVN92" s="1"/>
      <c r="EVO92" s="1"/>
      <c r="EVP92" s="1"/>
      <c r="EVQ92" s="1"/>
      <c r="EVR92" s="1"/>
      <c r="EVS92" s="1"/>
      <c r="EVT92" s="1"/>
      <c r="EVU92" s="1"/>
      <c r="EVV92" s="1"/>
      <c r="EVW92" s="1"/>
      <c r="EVX92" s="1"/>
      <c r="EVY92" s="1"/>
      <c r="EVZ92" s="1"/>
      <c r="EWA92" s="1"/>
      <c r="EWB92" s="1"/>
      <c r="EWC92" s="1"/>
      <c r="EWD92" s="1"/>
      <c r="EWE92" s="1"/>
      <c r="EWF92" s="1"/>
      <c r="EWG92" s="1"/>
      <c r="EWH92" s="1"/>
      <c r="EWI92" s="1"/>
      <c r="EWJ92" s="1"/>
      <c r="EWK92" s="1"/>
      <c r="EWL92" s="1"/>
      <c r="EWM92" s="1"/>
      <c r="EWN92" s="1"/>
      <c r="EWO92" s="1"/>
      <c r="EWP92" s="1"/>
      <c r="EWQ92" s="1"/>
      <c r="EWR92" s="1"/>
      <c r="EWS92" s="1"/>
      <c r="EWT92" s="1"/>
      <c r="EWU92" s="1"/>
      <c r="EWV92" s="1"/>
      <c r="EWW92" s="1"/>
      <c r="EWX92" s="1"/>
      <c r="EWY92" s="1"/>
      <c r="EWZ92" s="1"/>
      <c r="EXA92" s="1"/>
      <c r="EXB92" s="1"/>
      <c r="EXC92" s="1"/>
      <c r="EXD92" s="1"/>
      <c r="EXE92" s="1"/>
      <c r="EXF92" s="1"/>
      <c r="EXG92" s="1"/>
      <c r="EXH92" s="1"/>
      <c r="EXI92" s="1"/>
      <c r="EXJ92" s="1"/>
      <c r="EXK92" s="1"/>
      <c r="EXL92" s="1"/>
      <c r="EXM92" s="1"/>
      <c r="EXN92" s="1"/>
      <c r="EXO92" s="1"/>
      <c r="EXP92" s="1"/>
      <c r="EXQ92" s="1"/>
      <c r="EXR92" s="1"/>
      <c r="EXS92" s="1"/>
      <c r="EXT92" s="1"/>
      <c r="EXU92" s="1"/>
      <c r="EXV92" s="1"/>
      <c r="EXW92" s="1"/>
      <c r="EXX92" s="1"/>
      <c r="EXY92" s="1"/>
      <c r="EXZ92" s="1"/>
      <c r="EYA92" s="1"/>
      <c r="EYB92" s="1"/>
      <c r="EYC92" s="1"/>
      <c r="EYD92" s="1"/>
      <c r="EYE92" s="1"/>
      <c r="EYF92" s="1"/>
      <c r="EYG92" s="1"/>
      <c r="EYH92" s="1"/>
      <c r="EYI92" s="1"/>
      <c r="EYJ92" s="1"/>
      <c r="EYK92" s="1"/>
      <c r="EYL92" s="1"/>
      <c r="EYM92" s="1"/>
      <c r="EYN92" s="1"/>
      <c r="EYO92" s="1"/>
      <c r="EYP92" s="1"/>
      <c r="EYQ92" s="1"/>
      <c r="EYR92" s="1"/>
      <c r="EYS92" s="1"/>
      <c r="EYT92" s="1"/>
      <c r="EYU92" s="1"/>
      <c r="EYV92" s="1"/>
      <c r="EYW92" s="1"/>
      <c r="EYX92" s="1"/>
      <c r="EYY92" s="1"/>
      <c r="EYZ92" s="1"/>
      <c r="EZA92" s="1"/>
      <c r="EZB92" s="1"/>
      <c r="EZC92" s="1"/>
      <c r="EZD92" s="1"/>
      <c r="EZE92" s="1"/>
      <c r="EZF92" s="1"/>
      <c r="EZG92" s="1"/>
      <c r="EZH92" s="1"/>
      <c r="EZI92" s="1"/>
      <c r="EZJ92" s="1"/>
      <c r="EZK92" s="1"/>
      <c r="EZL92" s="1"/>
      <c r="EZM92" s="1"/>
      <c r="EZN92" s="1"/>
      <c r="EZO92" s="1"/>
      <c r="EZP92" s="1"/>
      <c r="EZQ92" s="1"/>
      <c r="EZR92" s="1"/>
      <c r="EZS92" s="1"/>
      <c r="EZT92" s="1"/>
      <c r="EZU92" s="1"/>
      <c r="EZV92" s="1"/>
      <c r="EZW92" s="1"/>
      <c r="EZX92" s="1"/>
      <c r="EZY92" s="1"/>
      <c r="EZZ92" s="1"/>
      <c r="FAA92" s="1"/>
      <c r="FAB92" s="1"/>
      <c r="FAC92" s="1"/>
      <c r="FAD92" s="1"/>
      <c r="FAE92" s="1"/>
      <c r="FAF92" s="1"/>
      <c r="FAG92" s="1"/>
      <c r="FAH92" s="1"/>
      <c r="FAI92" s="1"/>
      <c r="FAJ92" s="1"/>
      <c r="FAK92" s="1"/>
      <c r="FAL92" s="1"/>
      <c r="FAM92" s="1"/>
      <c r="FAN92" s="1"/>
      <c r="FAO92" s="1"/>
      <c r="FAP92" s="1"/>
      <c r="FAQ92" s="1"/>
      <c r="FAR92" s="1"/>
      <c r="FAS92" s="1"/>
      <c r="FAT92" s="1"/>
      <c r="FAU92" s="1"/>
      <c r="FAV92" s="1"/>
      <c r="FAW92" s="1"/>
      <c r="FAX92" s="1"/>
      <c r="FAY92" s="1"/>
      <c r="FAZ92" s="1"/>
      <c r="FBA92" s="1"/>
      <c r="FBB92" s="1"/>
      <c r="FBC92" s="1"/>
      <c r="FBD92" s="1"/>
      <c r="FBE92" s="1"/>
      <c r="FBF92" s="1"/>
      <c r="FBG92" s="1"/>
      <c r="FBH92" s="1"/>
      <c r="FBI92" s="1"/>
      <c r="FBJ92" s="1"/>
      <c r="FBK92" s="1"/>
      <c r="FBL92" s="1"/>
      <c r="FBM92" s="1"/>
      <c r="FBN92" s="1"/>
      <c r="FBO92" s="1"/>
      <c r="FBP92" s="1"/>
      <c r="FBQ92" s="1"/>
      <c r="FBR92" s="1"/>
      <c r="FBS92" s="1"/>
      <c r="FBT92" s="1"/>
      <c r="FBU92" s="1"/>
      <c r="FBV92" s="1"/>
      <c r="FBW92" s="1"/>
      <c r="FBX92" s="1"/>
      <c r="FBY92" s="1"/>
      <c r="FBZ92" s="1"/>
      <c r="FCA92" s="1"/>
      <c r="FCB92" s="1"/>
      <c r="FCC92" s="1"/>
      <c r="FCD92" s="1"/>
      <c r="FCE92" s="1"/>
      <c r="FCF92" s="1"/>
      <c r="FCG92" s="1"/>
      <c r="FCH92" s="1"/>
      <c r="FCI92" s="1"/>
      <c r="FCJ92" s="1"/>
      <c r="FCK92" s="1"/>
      <c r="FCL92" s="1"/>
      <c r="FCM92" s="1"/>
      <c r="FCN92" s="1"/>
      <c r="FCO92" s="1"/>
      <c r="FCP92" s="1"/>
      <c r="FCQ92" s="1"/>
      <c r="FCR92" s="1"/>
      <c r="FCS92" s="1"/>
      <c r="FCT92" s="1"/>
      <c r="FCU92" s="1"/>
      <c r="FCV92" s="1"/>
      <c r="FCW92" s="1"/>
      <c r="FCX92" s="1"/>
      <c r="FCY92" s="1"/>
      <c r="FCZ92" s="1"/>
      <c r="FDA92" s="1"/>
      <c r="FDB92" s="1"/>
      <c r="FDC92" s="1"/>
      <c r="FDD92" s="1"/>
      <c r="FDE92" s="1"/>
      <c r="FDF92" s="1"/>
      <c r="FDG92" s="1"/>
      <c r="FDH92" s="1"/>
      <c r="FDI92" s="1"/>
      <c r="FDJ92" s="1"/>
      <c r="FDK92" s="1"/>
      <c r="FDL92" s="1"/>
      <c r="FDM92" s="1"/>
      <c r="FDN92" s="1"/>
      <c r="FDO92" s="1"/>
      <c r="FDP92" s="1"/>
      <c r="FDQ92" s="1"/>
      <c r="FDR92" s="1"/>
      <c r="FDS92" s="1"/>
      <c r="FDT92" s="1"/>
      <c r="FDU92" s="1"/>
      <c r="FDV92" s="1"/>
      <c r="FDW92" s="1"/>
      <c r="FDX92" s="1"/>
      <c r="FDY92" s="1"/>
      <c r="FDZ92" s="1"/>
      <c r="FEA92" s="1"/>
      <c r="FEB92" s="1"/>
      <c r="FEC92" s="1"/>
      <c r="FED92" s="1"/>
      <c r="FEE92" s="1"/>
      <c r="FEF92" s="1"/>
      <c r="FEG92" s="1"/>
      <c r="FEH92" s="1"/>
      <c r="FEI92" s="1"/>
      <c r="FEJ92" s="1"/>
      <c r="FEK92" s="1"/>
      <c r="FEL92" s="1"/>
      <c r="FEM92" s="1"/>
      <c r="FEN92" s="1"/>
      <c r="FEO92" s="1"/>
      <c r="FEP92" s="1"/>
      <c r="FEQ92" s="1"/>
      <c r="FER92" s="1"/>
      <c r="FES92" s="1"/>
      <c r="FET92" s="1"/>
      <c r="FEU92" s="1"/>
      <c r="FEV92" s="1"/>
      <c r="FEW92" s="1"/>
      <c r="FEX92" s="1"/>
      <c r="FEY92" s="1"/>
      <c r="FEZ92" s="1"/>
      <c r="FFA92" s="1"/>
      <c r="FFB92" s="1"/>
      <c r="FFC92" s="1"/>
      <c r="FFD92" s="1"/>
      <c r="FFE92" s="1"/>
      <c r="FFF92" s="1"/>
      <c r="FFG92" s="1"/>
      <c r="FFH92" s="1"/>
      <c r="FFI92" s="1"/>
      <c r="FFJ92" s="1"/>
      <c r="FFK92" s="1"/>
      <c r="FFL92" s="1"/>
      <c r="FFM92" s="1"/>
      <c r="FFN92" s="1"/>
      <c r="FFO92" s="1"/>
      <c r="FFP92" s="1"/>
      <c r="FFQ92" s="1"/>
      <c r="FFR92" s="1"/>
      <c r="FFS92" s="1"/>
      <c r="FFT92" s="1"/>
      <c r="FFU92" s="1"/>
      <c r="FFV92" s="1"/>
      <c r="FFW92" s="1"/>
      <c r="FFX92" s="1"/>
      <c r="FFY92" s="1"/>
      <c r="FFZ92" s="1"/>
      <c r="FGA92" s="1"/>
      <c r="FGB92" s="1"/>
      <c r="FGC92" s="1"/>
      <c r="FGD92" s="1"/>
      <c r="FGE92" s="1"/>
      <c r="FGF92" s="1"/>
      <c r="FGG92" s="1"/>
      <c r="FGH92" s="1"/>
      <c r="FGI92" s="1"/>
      <c r="FGJ92" s="1"/>
      <c r="FGK92" s="1"/>
      <c r="FGL92" s="1"/>
      <c r="FGM92" s="1"/>
      <c r="FGN92" s="1"/>
      <c r="FGO92" s="1"/>
      <c r="FGP92" s="1"/>
      <c r="FGQ92" s="1"/>
      <c r="FGR92" s="1"/>
      <c r="FGS92" s="1"/>
      <c r="FGT92" s="1"/>
      <c r="FGU92" s="1"/>
      <c r="FGV92" s="1"/>
      <c r="FGW92" s="1"/>
      <c r="FGX92" s="1"/>
      <c r="FGY92" s="1"/>
      <c r="FGZ92" s="1"/>
      <c r="FHA92" s="1"/>
      <c r="FHB92" s="1"/>
      <c r="FHC92" s="1"/>
      <c r="FHD92" s="1"/>
      <c r="FHE92" s="1"/>
      <c r="FHF92" s="1"/>
      <c r="FHG92" s="1"/>
      <c r="FHH92" s="1"/>
      <c r="FHI92" s="1"/>
      <c r="FHJ92" s="1"/>
      <c r="FHK92" s="1"/>
      <c r="FHL92" s="1"/>
      <c r="FHM92" s="1"/>
      <c r="FHN92" s="1"/>
      <c r="FHO92" s="1"/>
      <c r="FHP92" s="1"/>
      <c r="FHQ92" s="1"/>
      <c r="FHR92" s="1"/>
      <c r="FHS92" s="1"/>
      <c r="FHT92" s="1"/>
      <c r="FHU92" s="1"/>
      <c r="FHV92" s="1"/>
      <c r="FHW92" s="1"/>
      <c r="FHX92" s="1"/>
      <c r="FHY92" s="1"/>
      <c r="FHZ92" s="1"/>
      <c r="FIA92" s="1"/>
      <c r="FIB92" s="1"/>
      <c r="FIC92" s="1"/>
      <c r="FID92" s="1"/>
      <c r="FIE92" s="1"/>
      <c r="FIF92" s="1"/>
      <c r="FIG92" s="1"/>
      <c r="FIH92" s="1"/>
      <c r="FII92" s="1"/>
      <c r="FIJ92" s="1"/>
      <c r="FIK92" s="1"/>
      <c r="FIL92" s="1"/>
      <c r="FIM92" s="1"/>
      <c r="FIN92" s="1"/>
      <c r="FIO92" s="1"/>
      <c r="FIP92" s="1"/>
      <c r="FIQ92" s="1"/>
      <c r="FIR92" s="1"/>
      <c r="FIS92" s="1"/>
      <c r="FIT92" s="1"/>
      <c r="FIU92" s="1"/>
      <c r="FIV92" s="1"/>
      <c r="FIW92" s="1"/>
      <c r="FIX92" s="1"/>
      <c r="FIY92" s="1"/>
      <c r="FIZ92" s="1"/>
      <c r="FJA92" s="1"/>
      <c r="FJB92" s="1"/>
      <c r="FJC92" s="1"/>
      <c r="FJD92" s="1"/>
      <c r="FJE92" s="1"/>
      <c r="FJF92" s="1"/>
      <c r="FJG92" s="1"/>
      <c r="FJH92" s="1"/>
      <c r="FJI92" s="1"/>
      <c r="FJJ92" s="1"/>
      <c r="FJK92" s="1"/>
      <c r="FJL92" s="1"/>
      <c r="FJM92" s="1"/>
      <c r="FJN92" s="1"/>
      <c r="FJO92" s="1"/>
      <c r="FJP92" s="1"/>
      <c r="FJQ92" s="1"/>
      <c r="FJR92" s="1"/>
      <c r="FJS92" s="1"/>
      <c r="FJT92" s="1"/>
      <c r="FJU92" s="1"/>
      <c r="FJV92" s="1"/>
      <c r="FJW92" s="1"/>
      <c r="FJX92" s="1"/>
      <c r="FJY92" s="1"/>
      <c r="FJZ92" s="1"/>
      <c r="FKA92" s="1"/>
      <c r="FKB92" s="1"/>
      <c r="FKC92" s="1"/>
      <c r="FKD92" s="1"/>
      <c r="FKE92" s="1"/>
      <c r="FKF92" s="1"/>
      <c r="FKG92" s="1"/>
      <c r="FKH92" s="1"/>
      <c r="FKI92" s="1"/>
      <c r="FKJ92" s="1"/>
      <c r="FKK92" s="1"/>
      <c r="FKL92" s="1"/>
      <c r="FKM92" s="1"/>
      <c r="FKN92" s="1"/>
      <c r="FKO92" s="1"/>
      <c r="FKP92" s="1"/>
      <c r="FKQ92" s="1"/>
      <c r="FKR92" s="1"/>
      <c r="FKS92" s="1"/>
      <c r="FKT92" s="1"/>
      <c r="FKU92" s="1"/>
      <c r="FKV92" s="1"/>
      <c r="FKW92" s="1"/>
      <c r="FKX92" s="1"/>
      <c r="FKY92" s="1"/>
      <c r="FKZ92" s="1"/>
      <c r="FLA92" s="1"/>
      <c r="FLB92" s="1"/>
      <c r="FLC92" s="1"/>
      <c r="FLD92" s="1"/>
      <c r="FLE92" s="1"/>
      <c r="FLF92" s="1"/>
      <c r="FLG92" s="1"/>
      <c r="FLH92" s="1"/>
      <c r="FLI92" s="1"/>
      <c r="FLJ92" s="1"/>
      <c r="FLK92" s="1"/>
      <c r="FLL92" s="1"/>
      <c r="FLM92" s="1"/>
      <c r="FLN92" s="1"/>
      <c r="FLO92" s="1"/>
      <c r="FLP92" s="1"/>
      <c r="FLQ92" s="1"/>
      <c r="FLR92" s="1"/>
      <c r="FLS92" s="1"/>
      <c r="FLT92" s="1"/>
      <c r="FLU92" s="1"/>
      <c r="FLV92" s="1"/>
      <c r="FLW92" s="1"/>
      <c r="FLX92" s="1"/>
      <c r="FLY92" s="1"/>
      <c r="FLZ92" s="1"/>
      <c r="FMA92" s="1"/>
      <c r="FMB92" s="1"/>
      <c r="FMC92" s="1"/>
      <c r="FMD92" s="1"/>
      <c r="FME92" s="1"/>
      <c r="FMF92" s="1"/>
      <c r="FMG92" s="1"/>
      <c r="FMH92" s="1"/>
      <c r="FMI92" s="1"/>
      <c r="FMJ92" s="1"/>
      <c r="FMK92" s="1"/>
      <c r="FML92" s="1"/>
      <c r="FMM92" s="1"/>
      <c r="FMN92" s="1"/>
      <c r="FMO92" s="1"/>
      <c r="FMP92" s="1"/>
      <c r="FMQ92" s="1"/>
      <c r="FMR92" s="1"/>
      <c r="FMS92" s="1"/>
      <c r="FMT92" s="1"/>
      <c r="FMU92" s="1"/>
      <c r="FMV92" s="1"/>
      <c r="FMW92" s="1"/>
      <c r="FMX92" s="1"/>
      <c r="FMY92" s="1"/>
      <c r="FMZ92" s="1"/>
      <c r="FNA92" s="1"/>
      <c r="FNB92" s="1"/>
      <c r="FNC92" s="1"/>
      <c r="FND92" s="1"/>
      <c r="FNE92" s="1"/>
      <c r="FNF92" s="1"/>
      <c r="FNG92" s="1"/>
      <c r="FNH92" s="1"/>
      <c r="FNI92" s="1"/>
      <c r="FNJ92" s="1"/>
      <c r="FNK92" s="1"/>
      <c r="FNL92" s="1"/>
      <c r="FNM92" s="1"/>
      <c r="FNN92" s="1"/>
      <c r="FNO92" s="1"/>
      <c r="FNP92" s="1"/>
      <c r="FNQ92" s="1"/>
      <c r="FNR92" s="1"/>
      <c r="FNS92" s="1"/>
      <c r="FNT92" s="1"/>
      <c r="FNU92" s="1"/>
      <c r="FNV92" s="1"/>
      <c r="FNW92" s="1"/>
      <c r="FNX92" s="1"/>
      <c r="FNY92" s="1"/>
      <c r="FNZ92" s="1"/>
      <c r="FOA92" s="1"/>
      <c r="FOB92" s="1"/>
      <c r="FOC92" s="1"/>
      <c r="FOD92" s="1"/>
      <c r="FOE92" s="1"/>
      <c r="FOF92" s="1"/>
      <c r="FOG92" s="1"/>
      <c r="FOH92" s="1"/>
      <c r="FOI92" s="1"/>
      <c r="FOJ92" s="1"/>
      <c r="FOK92" s="1"/>
      <c r="FOL92" s="1"/>
      <c r="FOM92" s="1"/>
      <c r="FON92" s="1"/>
      <c r="FOO92" s="1"/>
      <c r="FOP92" s="1"/>
      <c r="FOQ92" s="1"/>
      <c r="FOR92" s="1"/>
      <c r="FOS92" s="1"/>
      <c r="FOT92" s="1"/>
      <c r="FOU92" s="1"/>
      <c r="FOV92" s="1"/>
      <c r="FOW92" s="1"/>
      <c r="FOX92" s="1"/>
      <c r="FOY92" s="1"/>
      <c r="FOZ92" s="1"/>
      <c r="FPA92" s="1"/>
      <c r="FPB92" s="1"/>
      <c r="FPC92" s="1"/>
      <c r="FPD92" s="1"/>
      <c r="FPE92" s="1"/>
      <c r="FPF92" s="1"/>
      <c r="FPG92" s="1"/>
      <c r="FPH92" s="1"/>
      <c r="FPI92" s="1"/>
      <c r="FPJ92" s="1"/>
      <c r="FPK92" s="1"/>
      <c r="FPL92" s="1"/>
      <c r="FPM92" s="1"/>
      <c r="FPN92" s="1"/>
      <c r="FPO92" s="1"/>
      <c r="FPP92" s="1"/>
      <c r="FPQ92" s="1"/>
      <c r="FPR92" s="1"/>
      <c r="FPS92" s="1"/>
      <c r="FPT92" s="1"/>
      <c r="FPU92" s="1"/>
      <c r="FPV92" s="1"/>
      <c r="FPW92" s="1"/>
      <c r="FPX92" s="1"/>
      <c r="FPY92" s="1"/>
      <c r="FPZ92" s="1"/>
      <c r="FQA92" s="1"/>
      <c r="FQB92" s="1"/>
      <c r="FQC92" s="1"/>
      <c r="FQD92" s="1"/>
      <c r="FQE92" s="1"/>
      <c r="FQF92" s="1"/>
      <c r="FQG92" s="1"/>
      <c r="FQH92" s="1"/>
      <c r="FQI92" s="1"/>
      <c r="FQJ92" s="1"/>
      <c r="FQK92" s="1"/>
      <c r="FQL92" s="1"/>
      <c r="FQM92" s="1"/>
      <c r="FQN92" s="1"/>
      <c r="FQO92" s="1"/>
      <c r="FQP92" s="1"/>
      <c r="FQQ92" s="1"/>
      <c r="FQR92" s="1"/>
      <c r="FQS92" s="1"/>
      <c r="FQT92" s="1"/>
      <c r="FQU92" s="1"/>
      <c r="FQV92" s="1"/>
      <c r="FQW92" s="1"/>
      <c r="FQX92" s="1"/>
      <c r="FQY92" s="1"/>
      <c r="FQZ92" s="1"/>
      <c r="FRA92" s="1"/>
      <c r="FRB92" s="1"/>
      <c r="FRC92" s="1"/>
      <c r="FRD92" s="1"/>
      <c r="FRE92" s="1"/>
      <c r="FRF92" s="1"/>
      <c r="FRG92" s="1"/>
      <c r="FRH92" s="1"/>
      <c r="FRI92" s="1"/>
      <c r="FRJ92" s="1"/>
      <c r="FRK92" s="1"/>
      <c r="FRL92" s="1"/>
      <c r="FRM92" s="1"/>
      <c r="FRN92" s="1"/>
      <c r="FRO92" s="1"/>
      <c r="FRP92" s="1"/>
      <c r="FRQ92" s="1"/>
      <c r="FRR92" s="1"/>
      <c r="FRS92" s="1"/>
      <c r="FRT92" s="1"/>
      <c r="FRU92" s="1"/>
      <c r="FRV92" s="1"/>
      <c r="FRW92" s="1"/>
      <c r="FRX92" s="1"/>
      <c r="FRY92" s="1"/>
      <c r="FRZ92" s="1"/>
      <c r="FSA92" s="1"/>
      <c r="FSB92" s="1"/>
      <c r="FSC92" s="1"/>
      <c r="FSD92" s="1"/>
      <c r="FSE92" s="1"/>
      <c r="FSF92" s="1"/>
      <c r="FSG92" s="1"/>
      <c r="FSH92" s="1"/>
      <c r="FSI92" s="1"/>
      <c r="FSJ92" s="1"/>
      <c r="FSK92" s="1"/>
      <c r="FSL92" s="1"/>
      <c r="FSM92" s="1"/>
      <c r="FSN92" s="1"/>
      <c r="FSO92" s="1"/>
      <c r="FSP92" s="1"/>
      <c r="FSQ92" s="1"/>
      <c r="FSR92" s="1"/>
      <c r="FSS92" s="1"/>
      <c r="FST92" s="1"/>
      <c r="FSU92" s="1"/>
      <c r="FSV92" s="1"/>
      <c r="FSW92" s="1"/>
      <c r="FSX92" s="1"/>
      <c r="FSY92" s="1"/>
      <c r="FSZ92" s="1"/>
      <c r="FTA92" s="1"/>
      <c r="FTB92" s="1"/>
      <c r="FTC92" s="1"/>
      <c r="FTD92" s="1"/>
      <c r="FTE92" s="1"/>
      <c r="FTF92" s="1"/>
      <c r="FTG92" s="1"/>
      <c r="FTH92" s="1"/>
      <c r="FTI92" s="1"/>
      <c r="FTJ92" s="1"/>
      <c r="FTK92" s="1"/>
      <c r="FTL92" s="1"/>
      <c r="FTM92" s="1"/>
      <c r="FTN92" s="1"/>
      <c r="FTO92" s="1"/>
      <c r="FTP92" s="1"/>
      <c r="FTQ92" s="1"/>
      <c r="FTR92" s="1"/>
      <c r="FTS92" s="1"/>
      <c r="FTT92" s="1"/>
      <c r="FTU92" s="1"/>
      <c r="FTV92" s="1"/>
      <c r="FTW92" s="1"/>
      <c r="FTX92" s="1"/>
      <c r="FTY92" s="1"/>
      <c r="FTZ92" s="1"/>
      <c r="FUA92" s="1"/>
      <c r="FUB92" s="1"/>
      <c r="FUC92" s="1"/>
      <c r="FUD92" s="1"/>
      <c r="FUE92" s="1"/>
      <c r="FUF92" s="1"/>
      <c r="FUG92" s="1"/>
      <c r="FUH92" s="1"/>
      <c r="FUI92" s="1"/>
      <c r="FUJ92" s="1"/>
      <c r="FUK92" s="1"/>
      <c r="FUL92" s="1"/>
      <c r="FUM92" s="1"/>
      <c r="FUN92" s="1"/>
      <c r="FUO92" s="1"/>
      <c r="FUP92" s="1"/>
      <c r="FUQ92" s="1"/>
      <c r="FUR92" s="1"/>
      <c r="FUS92" s="1"/>
      <c r="FUT92" s="1"/>
      <c r="FUU92" s="1"/>
      <c r="FUV92" s="1"/>
      <c r="FUW92" s="1"/>
      <c r="FUX92" s="1"/>
      <c r="FUY92" s="1"/>
      <c r="FUZ92" s="1"/>
      <c r="FVA92" s="1"/>
      <c r="FVB92" s="1"/>
      <c r="FVC92" s="1"/>
      <c r="FVD92" s="1"/>
      <c r="FVE92" s="1"/>
      <c r="FVF92" s="1"/>
      <c r="FVG92" s="1"/>
      <c r="FVH92" s="1"/>
      <c r="FVI92" s="1"/>
      <c r="FVJ92" s="1"/>
      <c r="FVK92" s="1"/>
      <c r="FVL92" s="1"/>
      <c r="FVM92" s="1"/>
      <c r="FVN92" s="1"/>
      <c r="FVO92" s="1"/>
      <c r="FVP92" s="1"/>
      <c r="FVQ92" s="1"/>
      <c r="FVR92" s="1"/>
      <c r="FVS92" s="1"/>
      <c r="FVT92" s="1"/>
      <c r="FVU92" s="1"/>
      <c r="FVV92" s="1"/>
      <c r="FVW92" s="1"/>
      <c r="FVX92" s="1"/>
      <c r="FVY92" s="1"/>
      <c r="FVZ92" s="1"/>
      <c r="FWA92" s="1"/>
      <c r="FWB92" s="1"/>
      <c r="FWC92" s="1"/>
      <c r="FWD92" s="1"/>
      <c r="FWE92" s="1"/>
      <c r="FWF92" s="1"/>
      <c r="FWG92" s="1"/>
      <c r="FWH92" s="1"/>
      <c r="FWI92" s="1"/>
      <c r="FWJ92" s="1"/>
      <c r="FWK92" s="1"/>
      <c r="FWL92" s="1"/>
      <c r="FWM92" s="1"/>
      <c r="FWN92" s="1"/>
      <c r="FWO92" s="1"/>
      <c r="FWP92" s="1"/>
      <c r="FWQ92" s="1"/>
      <c r="FWR92" s="1"/>
      <c r="FWS92" s="1"/>
      <c r="FWT92" s="1"/>
      <c r="FWU92" s="1"/>
      <c r="FWV92" s="1"/>
      <c r="FWW92" s="1"/>
      <c r="FWX92" s="1"/>
      <c r="FWY92" s="1"/>
      <c r="FWZ92" s="1"/>
      <c r="FXA92" s="1"/>
      <c r="FXB92" s="1"/>
      <c r="FXC92" s="1"/>
      <c r="FXD92" s="1"/>
      <c r="FXE92" s="1"/>
      <c r="FXF92" s="1"/>
      <c r="FXG92" s="1"/>
      <c r="FXH92" s="1"/>
      <c r="FXI92" s="1"/>
      <c r="FXJ92" s="1"/>
      <c r="FXK92" s="1"/>
      <c r="FXL92" s="1"/>
      <c r="FXM92" s="1"/>
      <c r="FXN92" s="1"/>
      <c r="FXO92" s="1"/>
      <c r="FXP92" s="1"/>
      <c r="FXQ92" s="1"/>
      <c r="FXR92" s="1"/>
      <c r="FXS92" s="1"/>
      <c r="FXT92" s="1"/>
      <c r="FXU92" s="1"/>
      <c r="FXV92" s="1"/>
      <c r="FXW92" s="1"/>
      <c r="FXX92" s="1"/>
      <c r="FXY92" s="1"/>
      <c r="FXZ92" s="1"/>
      <c r="FYA92" s="1"/>
      <c r="FYB92" s="1"/>
      <c r="FYC92" s="1"/>
      <c r="FYD92" s="1"/>
      <c r="FYE92" s="1"/>
      <c r="FYF92" s="1"/>
      <c r="FYG92" s="1"/>
      <c r="FYH92" s="1"/>
      <c r="FYI92" s="1"/>
      <c r="FYJ92" s="1"/>
      <c r="FYK92" s="1"/>
      <c r="FYL92" s="1"/>
      <c r="FYM92" s="1"/>
      <c r="FYN92" s="1"/>
      <c r="FYO92" s="1"/>
      <c r="FYP92" s="1"/>
      <c r="FYQ92" s="1"/>
      <c r="FYR92" s="1"/>
      <c r="FYS92" s="1"/>
      <c r="FYT92" s="1"/>
      <c r="FYU92" s="1"/>
      <c r="FYV92" s="1"/>
      <c r="FYW92" s="1"/>
      <c r="FYX92" s="1"/>
      <c r="FYY92" s="1"/>
      <c r="FYZ92" s="1"/>
      <c r="FZA92" s="1"/>
      <c r="FZB92" s="1"/>
      <c r="FZC92" s="1"/>
      <c r="FZD92" s="1"/>
      <c r="FZE92" s="1"/>
      <c r="FZF92" s="1"/>
      <c r="FZG92" s="1"/>
      <c r="FZH92" s="1"/>
      <c r="FZI92" s="1"/>
      <c r="FZJ92" s="1"/>
      <c r="FZK92" s="1"/>
      <c r="FZL92" s="1"/>
      <c r="FZM92" s="1"/>
      <c r="FZN92" s="1"/>
      <c r="FZO92" s="1"/>
      <c r="FZP92" s="1"/>
      <c r="FZQ92" s="1"/>
      <c r="FZR92" s="1"/>
      <c r="FZS92" s="1"/>
      <c r="FZT92" s="1"/>
      <c r="FZU92" s="1"/>
      <c r="FZV92" s="1"/>
      <c r="FZW92" s="1"/>
      <c r="FZX92" s="1"/>
      <c r="FZY92" s="1"/>
      <c r="FZZ92" s="1"/>
      <c r="GAA92" s="1"/>
      <c r="GAB92" s="1"/>
      <c r="GAC92" s="1"/>
      <c r="GAD92" s="1"/>
      <c r="GAE92" s="1"/>
      <c r="GAF92" s="1"/>
      <c r="GAG92" s="1"/>
      <c r="GAH92" s="1"/>
      <c r="GAI92" s="1"/>
      <c r="GAJ92" s="1"/>
      <c r="GAK92" s="1"/>
      <c r="GAL92" s="1"/>
      <c r="GAM92" s="1"/>
      <c r="GAN92" s="1"/>
      <c r="GAO92" s="1"/>
      <c r="GAP92" s="1"/>
      <c r="GAQ92" s="1"/>
      <c r="GAR92" s="1"/>
      <c r="GAS92" s="1"/>
      <c r="GAT92" s="1"/>
      <c r="GAU92" s="1"/>
      <c r="GAV92" s="1"/>
      <c r="GAW92" s="1"/>
      <c r="GAX92" s="1"/>
      <c r="GAY92" s="1"/>
      <c r="GAZ92" s="1"/>
      <c r="GBA92" s="1"/>
      <c r="GBB92" s="1"/>
      <c r="GBC92" s="1"/>
      <c r="GBD92" s="1"/>
      <c r="GBE92" s="1"/>
      <c r="GBF92" s="1"/>
      <c r="GBG92" s="1"/>
      <c r="GBH92" s="1"/>
      <c r="GBI92" s="1"/>
      <c r="GBJ92" s="1"/>
      <c r="GBK92" s="1"/>
      <c r="GBL92" s="1"/>
      <c r="GBM92" s="1"/>
      <c r="GBN92" s="1"/>
      <c r="GBO92" s="1"/>
      <c r="GBP92" s="1"/>
      <c r="GBQ92" s="1"/>
      <c r="GBR92" s="1"/>
      <c r="GBS92" s="1"/>
      <c r="GBT92" s="1"/>
      <c r="GBU92" s="1"/>
      <c r="GBV92" s="1"/>
      <c r="GBW92" s="1"/>
      <c r="GBX92" s="1"/>
      <c r="GBY92" s="1"/>
      <c r="GBZ92" s="1"/>
      <c r="GCA92" s="1"/>
      <c r="GCB92" s="1"/>
      <c r="GCC92" s="1"/>
      <c r="GCD92" s="1"/>
      <c r="GCE92" s="1"/>
      <c r="GCF92" s="1"/>
      <c r="GCG92" s="1"/>
      <c r="GCH92" s="1"/>
      <c r="GCI92" s="1"/>
      <c r="GCJ92" s="1"/>
      <c r="GCK92" s="1"/>
      <c r="GCL92" s="1"/>
      <c r="GCM92" s="1"/>
      <c r="GCN92" s="1"/>
      <c r="GCO92" s="1"/>
      <c r="GCP92" s="1"/>
      <c r="GCQ92" s="1"/>
      <c r="GCR92" s="1"/>
      <c r="GCS92" s="1"/>
      <c r="GCT92" s="1"/>
      <c r="GCU92" s="1"/>
      <c r="GCV92" s="1"/>
      <c r="GCW92" s="1"/>
      <c r="GCX92" s="1"/>
      <c r="GCY92" s="1"/>
      <c r="GCZ92" s="1"/>
      <c r="GDA92" s="1"/>
      <c r="GDB92" s="1"/>
      <c r="GDC92" s="1"/>
      <c r="GDD92" s="1"/>
      <c r="GDE92" s="1"/>
      <c r="GDF92" s="1"/>
      <c r="GDG92" s="1"/>
      <c r="GDH92" s="1"/>
      <c r="GDI92" s="1"/>
      <c r="GDJ92" s="1"/>
      <c r="GDK92" s="1"/>
      <c r="GDL92" s="1"/>
      <c r="GDM92" s="1"/>
      <c r="GDN92" s="1"/>
      <c r="GDO92" s="1"/>
      <c r="GDP92" s="1"/>
      <c r="GDQ92" s="1"/>
      <c r="GDR92" s="1"/>
      <c r="GDS92" s="1"/>
      <c r="GDT92" s="1"/>
      <c r="GDU92" s="1"/>
      <c r="GDV92" s="1"/>
      <c r="GDW92" s="1"/>
      <c r="GDX92" s="1"/>
      <c r="GDY92" s="1"/>
      <c r="GDZ92" s="1"/>
      <c r="GEA92" s="1"/>
      <c r="GEB92" s="1"/>
      <c r="GEC92" s="1"/>
      <c r="GED92" s="1"/>
      <c r="GEE92" s="1"/>
      <c r="GEF92" s="1"/>
      <c r="GEG92" s="1"/>
      <c r="GEH92" s="1"/>
      <c r="GEI92" s="1"/>
      <c r="GEJ92" s="1"/>
      <c r="GEK92" s="1"/>
      <c r="GEL92" s="1"/>
      <c r="GEM92" s="1"/>
      <c r="GEN92" s="1"/>
      <c r="GEO92" s="1"/>
      <c r="GEP92" s="1"/>
      <c r="GEQ92" s="1"/>
      <c r="GER92" s="1"/>
      <c r="GES92" s="1"/>
      <c r="GET92" s="1"/>
      <c r="GEU92" s="1"/>
      <c r="GEV92" s="1"/>
      <c r="GEW92" s="1"/>
      <c r="GEX92" s="1"/>
      <c r="GEY92" s="1"/>
      <c r="GEZ92" s="1"/>
      <c r="GFA92" s="1"/>
      <c r="GFB92" s="1"/>
      <c r="GFC92" s="1"/>
      <c r="GFD92" s="1"/>
      <c r="GFE92" s="1"/>
      <c r="GFF92" s="1"/>
      <c r="GFG92" s="1"/>
      <c r="GFH92" s="1"/>
      <c r="GFI92" s="1"/>
      <c r="GFJ92" s="1"/>
      <c r="GFK92" s="1"/>
      <c r="GFL92" s="1"/>
      <c r="GFM92" s="1"/>
      <c r="GFN92" s="1"/>
      <c r="GFO92" s="1"/>
      <c r="GFP92" s="1"/>
      <c r="GFQ92" s="1"/>
      <c r="GFR92" s="1"/>
      <c r="GFS92" s="1"/>
      <c r="GFT92" s="1"/>
      <c r="GFU92" s="1"/>
      <c r="GFV92" s="1"/>
      <c r="GFW92" s="1"/>
      <c r="GFX92" s="1"/>
      <c r="GFY92" s="1"/>
      <c r="GFZ92" s="1"/>
      <c r="GGA92" s="1"/>
      <c r="GGB92" s="1"/>
      <c r="GGC92" s="1"/>
      <c r="GGD92" s="1"/>
      <c r="GGE92" s="1"/>
      <c r="GGF92" s="1"/>
      <c r="GGG92" s="1"/>
      <c r="GGH92" s="1"/>
      <c r="GGI92" s="1"/>
      <c r="GGJ92" s="1"/>
      <c r="GGK92" s="1"/>
      <c r="GGL92" s="1"/>
      <c r="GGM92" s="1"/>
      <c r="GGN92" s="1"/>
      <c r="GGO92" s="1"/>
      <c r="GGP92" s="1"/>
      <c r="GGQ92" s="1"/>
      <c r="GGR92" s="1"/>
      <c r="GGS92" s="1"/>
      <c r="GGT92" s="1"/>
      <c r="GGU92" s="1"/>
      <c r="GGV92" s="1"/>
      <c r="GGW92" s="1"/>
      <c r="GGX92" s="1"/>
      <c r="GGY92" s="1"/>
      <c r="GGZ92" s="1"/>
      <c r="GHA92" s="1"/>
      <c r="GHB92" s="1"/>
      <c r="GHC92" s="1"/>
      <c r="GHD92" s="1"/>
      <c r="GHE92" s="1"/>
      <c r="GHF92" s="1"/>
      <c r="GHG92" s="1"/>
      <c r="GHH92" s="1"/>
      <c r="GHI92" s="1"/>
      <c r="GHJ92" s="1"/>
      <c r="GHK92" s="1"/>
      <c r="GHL92" s="1"/>
      <c r="GHM92" s="1"/>
      <c r="GHN92" s="1"/>
      <c r="GHO92" s="1"/>
      <c r="GHP92" s="1"/>
      <c r="GHQ92" s="1"/>
      <c r="GHR92" s="1"/>
      <c r="GHS92" s="1"/>
      <c r="GHT92" s="1"/>
      <c r="GHU92" s="1"/>
      <c r="GHV92" s="1"/>
      <c r="GHW92" s="1"/>
      <c r="GHX92" s="1"/>
      <c r="GHY92" s="1"/>
      <c r="GHZ92" s="1"/>
      <c r="GIA92" s="1"/>
      <c r="GIB92" s="1"/>
      <c r="GIC92" s="1"/>
      <c r="GID92" s="1"/>
      <c r="GIE92" s="1"/>
      <c r="GIF92" s="1"/>
      <c r="GIG92" s="1"/>
      <c r="GIH92" s="1"/>
      <c r="GII92" s="1"/>
      <c r="GIJ92" s="1"/>
      <c r="GIK92" s="1"/>
      <c r="GIL92" s="1"/>
      <c r="GIM92" s="1"/>
      <c r="GIN92" s="1"/>
      <c r="GIO92" s="1"/>
      <c r="GIP92" s="1"/>
      <c r="GIQ92" s="1"/>
      <c r="GIR92" s="1"/>
      <c r="GIS92" s="1"/>
      <c r="GIT92" s="1"/>
      <c r="GIU92" s="1"/>
      <c r="GIV92" s="1"/>
      <c r="GIW92" s="1"/>
      <c r="GIX92" s="1"/>
      <c r="GIY92" s="1"/>
      <c r="GIZ92" s="1"/>
      <c r="GJA92" s="1"/>
      <c r="GJB92" s="1"/>
      <c r="GJC92" s="1"/>
      <c r="GJD92" s="1"/>
      <c r="GJE92" s="1"/>
      <c r="GJF92" s="1"/>
      <c r="GJG92" s="1"/>
      <c r="GJH92" s="1"/>
      <c r="GJI92" s="1"/>
      <c r="GJJ92" s="1"/>
      <c r="GJK92" s="1"/>
      <c r="GJL92" s="1"/>
      <c r="GJM92" s="1"/>
      <c r="GJN92" s="1"/>
      <c r="GJO92" s="1"/>
      <c r="GJP92" s="1"/>
      <c r="GJQ92" s="1"/>
      <c r="GJR92" s="1"/>
      <c r="GJS92" s="1"/>
      <c r="GJT92" s="1"/>
      <c r="GJU92" s="1"/>
      <c r="GJV92" s="1"/>
      <c r="GJW92" s="1"/>
      <c r="GJX92" s="1"/>
      <c r="GJY92" s="1"/>
      <c r="GJZ92" s="1"/>
      <c r="GKA92" s="1"/>
      <c r="GKB92" s="1"/>
      <c r="GKC92" s="1"/>
      <c r="GKD92" s="1"/>
      <c r="GKE92" s="1"/>
      <c r="GKF92" s="1"/>
      <c r="GKG92" s="1"/>
      <c r="GKH92" s="1"/>
      <c r="GKI92" s="1"/>
      <c r="GKJ92" s="1"/>
      <c r="GKK92" s="1"/>
      <c r="GKL92" s="1"/>
      <c r="GKM92" s="1"/>
      <c r="GKN92" s="1"/>
      <c r="GKO92" s="1"/>
      <c r="GKP92" s="1"/>
      <c r="GKQ92" s="1"/>
      <c r="GKR92" s="1"/>
      <c r="GKS92" s="1"/>
      <c r="GKT92" s="1"/>
      <c r="GKU92" s="1"/>
      <c r="GKV92" s="1"/>
      <c r="GKW92" s="1"/>
      <c r="GKX92" s="1"/>
      <c r="GKY92" s="1"/>
      <c r="GKZ92" s="1"/>
      <c r="GLA92" s="1"/>
      <c r="GLB92" s="1"/>
      <c r="GLC92" s="1"/>
      <c r="GLD92" s="1"/>
      <c r="GLE92" s="1"/>
      <c r="GLF92" s="1"/>
      <c r="GLG92" s="1"/>
      <c r="GLH92" s="1"/>
      <c r="GLI92" s="1"/>
      <c r="GLJ92" s="1"/>
      <c r="GLK92" s="1"/>
      <c r="GLL92" s="1"/>
      <c r="GLM92" s="1"/>
      <c r="GLN92" s="1"/>
      <c r="GLO92" s="1"/>
      <c r="GLP92" s="1"/>
      <c r="GLQ92" s="1"/>
      <c r="GLR92" s="1"/>
      <c r="GLS92" s="1"/>
      <c r="GLT92" s="1"/>
      <c r="GLU92" s="1"/>
      <c r="GLV92" s="1"/>
      <c r="GLW92" s="1"/>
      <c r="GLX92" s="1"/>
      <c r="GLY92" s="1"/>
      <c r="GLZ92" s="1"/>
      <c r="GMA92" s="1"/>
      <c r="GMB92" s="1"/>
      <c r="GMC92" s="1"/>
      <c r="GMD92" s="1"/>
      <c r="GME92" s="1"/>
      <c r="GMF92" s="1"/>
      <c r="GMG92" s="1"/>
      <c r="GMH92" s="1"/>
      <c r="GMI92" s="1"/>
      <c r="GMJ92" s="1"/>
      <c r="GMK92" s="1"/>
      <c r="GML92" s="1"/>
      <c r="GMM92" s="1"/>
      <c r="GMN92" s="1"/>
      <c r="GMO92" s="1"/>
      <c r="GMP92" s="1"/>
      <c r="GMQ92" s="1"/>
      <c r="GMR92" s="1"/>
      <c r="GMS92" s="1"/>
      <c r="GMT92" s="1"/>
      <c r="GMU92" s="1"/>
      <c r="GMV92" s="1"/>
      <c r="GMW92" s="1"/>
      <c r="GMX92" s="1"/>
      <c r="GMY92" s="1"/>
      <c r="GMZ92" s="1"/>
      <c r="GNA92" s="1"/>
      <c r="GNB92" s="1"/>
      <c r="GNC92" s="1"/>
      <c r="GND92" s="1"/>
      <c r="GNE92" s="1"/>
      <c r="GNF92" s="1"/>
      <c r="GNG92" s="1"/>
      <c r="GNH92" s="1"/>
      <c r="GNI92" s="1"/>
      <c r="GNJ92" s="1"/>
      <c r="GNK92" s="1"/>
      <c r="GNL92" s="1"/>
      <c r="GNM92" s="1"/>
      <c r="GNN92" s="1"/>
      <c r="GNO92" s="1"/>
      <c r="GNP92" s="1"/>
      <c r="GNQ92" s="1"/>
      <c r="GNR92" s="1"/>
      <c r="GNS92" s="1"/>
      <c r="GNT92" s="1"/>
      <c r="GNU92" s="1"/>
      <c r="GNV92" s="1"/>
      <c r="GNW92" s="1"/>
      <c r="GNX92" s="1"/>
      <c r="GNY92" s="1"/>
      <c r="GNZ92" s="1"/>
      <c r="GOA92" s="1"/>
      <c r="GOB92" s="1"/>
      <c r="GOC92" s="1"/>
      <c r="GOD92" s="1"/>
      <c r="GOE92" s="1"/>
      <c r="GOF92" s="1"/>
      <c r="GOG92" s="1"/>
      <c r="GOH92" s="1"/>
      <c r="GOI92" s="1"/>
      <c r="GOJ92" s="1"/>
      <c r="GOK92" s="1"/>
      <c r="GOL92" s="1"/>
      <c r="GOM92" s="1"/>
      <c r="GON92" s="1"/>
      <c r="GOO92" s="1"/>
      <c r="GOP92" s="1"/>
      <c r="GOQ92" s="1"/>
      <c r="GOR92" s="1"/>
      <c r="GOS92" s="1"/>
      <c r="GOT92" s="1"/>
      <c r="GOU92" s="1"/>
      <c r="GOV92" s="1"/>
      <c r="GOW92" s="1"/>
      <c r="GOX92" s="1"/>
      <c r="GOY92" s="1"/>
      <c r="GOZ92" s="1"/>
      <c r="GPA92" s="1"/>
      <c r="GPB92" s="1"/>
      <c r="GPC92" s="1"/>
      <c r="GPD92" s="1"/>
      <c r="GPE92" s="1"/>
      <c r="GPF92" s="1"/>
      <c r="GPG92" s="1"/>
      <c r="GPH92" s="1"/>
      <c r="GPI92" s="1"/>
      <c r="GPJ92" s="1"/>
      <c r="GPK92" s="1"/>
      <c r="GPL92" s="1"/>
      <c r="GPM92" s="1"/>
      <c r="GPN92" s="1"/>
      <c r="GPO92" s="1"/>
      <c r="GPP92" s="1"/>
      <c r="GPQ92" s="1"/>
      <c r="GPR92" s="1"/>
      <c r="GPS92" s="1"/>
      <c r="GPT92" s="1"/>
      <c r="GPU92" s="1"/>
      <c r="GPV92" s="1"/>
      <c r="GPW92" s="1"/>
      <c r="GPX92" s="1"/>
      <c r="GPY92" s="1"/>
      <c r="GPZ92" s="1"/>
      <c r="GQA92" s="1"/>
      <c r="GQB92" s="1"/>
      <c r="GQC92" s="1"/>
      <c r="GQD92" s="1"/>
      <c r="GQE92" s="1"/>
      <c r="GQF92" s="1"/>
      <c r="GQG92" s="1"/>
      <c r="GQH92" s="1"/>
      <c r="GQI92" s="1"/>
      <c r="GQJ92" s="1"/>
      <c r="GQK92" s="1"/>
      <c r="GQL92" s="1"/>
      <c r="GQM92" s="1"/>
      <c r="GQN92" s="1"/>
      <c r="GQO92" s="1"/>
      <c r="GQP92" s="1"/>
      <c r="GQQ92" s="1"/>
      <c r="GQR92" s="1"/>
      <c r="GQS92" s="1"/>
      <c r="GQT92" s="1"/>
      <c r="GQU92" s="1"/>
      <c r="GQV92" s="1"/>
      <c r="GQW92" s="1"/>
      <c r="GQX92" s="1"/>
      <c r="GQY92" s="1"/>
      <c r="GQZ92" s="1"/>
      <c r="GRA92" s="1"/>
      <c r="GRB92" s="1"/>
      <c r="GRC92" s="1"/>
      <c r="GRD92" s="1"/>
      <c r="GRE92" s="1"/>
      <c r="GRF92" s="1"/>
      <c r="GRG92" s="1"/>
      <c r="GRH92" s="1"/>
      <c r="GRI92" s="1"/>
      <c r="GRJ92" s="1"/>
      <c r="GRK92" s="1"/>
      <c r="GRL92" s="1"/>
      <c r="GRM92" s="1"/>
      <c r="GRN92" s="1"/>
      <c r="GRO92" s="1"/>
      <c r="GRP92" s="1"/>
      <c r="GRQ92" s="1"/>
      <c r="GRR92" s="1"/>
      <c r="GRS92" s="1"/>
      <c r="GRT92" s="1"/>
      <c r="GRU92" s="1"/>
      <c r="GRV92" s="1"/>
      <c r="GRW92" s="1"/>
      <c r="GRX92" s="1"/>
      <c r="GRY92" s="1"/>
      <c r="GRZ92" s="1"/>
      <c r="GSA92" s="1"/>
      <c r="GSB92" s="1"/>
      <c r="GSC92" s="1"/>
      <c r="GSD92" s="1"/>
      <c r="GSE92" s="1"/>
      <c r="GSF92" s="1"/>
      <c r="GSG92" s="1"/>
      <c r="GSH92" s="1"/>
      <c r="GSI92" s="1"/>
      <c r="GSJ92" s="1"/>
      <c r="GSK92" s="1"/>
      <c r="GSL92" s="1"/>
      <c r="GSM92" s="1"/>
      <c r="GSN92" s="1"/>
      <c r="GSO92" s="1"/>
      <c r="GSP92" s="1"/>
      <c r="GSQ92" s="1"/>
      <c r="GSR92" s="1"/>
      <c r="GSS92" s="1"/>
      <c r="GST92" s="1"/>
      <c r="GSU92" s="1"/>
      <c r="GSV92" s="1"/>
      <c r="GSW92" s="1"/>
      <c r="GSX92" s="1"/>
      <c r="GSY92" s="1"/>
      <c r="GSZ92" s="1"/>
      <c r="GTA92" s="1"/>
      <c r="GTB92" s="1"/>
      <c r="GTC92" s="1"/>
      <c r="GTD92" s="1"/>
      <c r="GTE92" s="1"/>
      <c r="GTF92" s="1"/>
      <c r="GTG92" s="1"/>
      <c r="GTH92" s="1"/>
      <c r="GTI92" s="1"/>
      <c r="GTJ92" s="1"/>
      <c r="GTK92" s="1"/>
      <c r="GTL92" s="1"/>
      <c r="GTM92" s="1"/>
      <c r="GTN92" s="1"/>
      <c r="GTO92" s="1"/>
      <c r="GTP92" s="1"/>
      <c r="GTQ92" s="1"/>
      <c r="GTR92" s="1"/>
      <c r="GTS92" s="1"/>
      <c r="GTT92" s="1"/>
      <c r="GTU92" s="1"/>
      <c r="GTV92" s="1"/>
      <c r="GTW92" s="1"/>
      <c r="GTX92" s="1"/>
      <c r="GTY92" s="1"/>
      <c r="GTZ92" s="1"/>
      <c r="GUA92" s="1"/>
      <c r="GUB92" s="1"/>
      <c r="GUC92" s="1"/>
      <c r="GUD92" s="1"/>
      <c r="GUE92" s="1"/>
      <c r="GUF92" s="1"/>
      <c r="GUG92" s="1"/>
      <c r="GUH92" s="1"/>
      <c r="GUI92" s="1"/>
      <c r="GUJ92" s="1"/>
      <c r="GUK92" s="1"/>
      <c r="GUL92" s="1"/>
      <c r="GUM92" s="1"/>
      <c r="GUN92" s="1"/>
      <c r="GUO92" s="1"/>
      <c r="GUP92" s="1"/>
      <c r="GUQ92" s="1"/>
      <c r="GUR92" s="1"/>
      <c r="GUS92" s="1"/>
      <c r="GUT92" s="1"/>
      <c r="GUU92" s="1"/>
      <c r="GUV92" s="1"/>
      <c r="GUW92" s="1"/>
      <c r="GUX92" s="1"/>
      <c r="GUY92" s="1"/>
      <c r="GUZ92" s="1"/>
      <c r="GVA92" s="1"/>
      <c r="GVB92" s="1"/>
      <c r="GVC92" s="1"/>
      <c r="GVD92" s="1"/>
      <c r="GVE92" s="1"/>
      <c r="GVF92" s="1"/>
      <c r="GVG92" s="1"/>
      <c r="GVH92" s="1"/>
      <c r="GVI92" s="1"/>
      <c r="GVJ92" s="1"/>
      <c r="GVK92" s="1"/>
      <c r="GVL92" s="1"/>
      <c r="GVM92" s="1"/>
      <c r="GVN92" s="1"/>
      <c r="GVO92" s="1"/>
      <c r="GVP92" s="1"/>
      <c r="GVQ92" s="1"/>
      <c r="GVR92" s="1"/>
      <c r="GVS92" s="1"/>
      <c r="GVT92" s="1"/>
      <c r="GVU92" s="1"/>
      <c r="GVV92" s="1"/>
      <c r="GVW92" s="1"/>
      <c r="GVX92" s="1"/>
      <c r="GVY92" s="1"/>
      <c r="GVZ92" s="1"/>
      <c r="GWA92" s="1"/>
      <c r="GWB92" s="1"/>
      <c r="GWC92" s="1"/>
      <c r="GWD92" s="1"/>
      <c r="GWE92" s="1"/>
      <c r="GWF92" s="1"/>
      <c r="GWG92" s="1"/>
      <c r="GWH92" s="1"/>
      <c r="GWI92" s="1"/>
      <c r="GWJ92" s="1"/>
      <c r="GWK92" s="1"/>
      <c r="GWL92" s="1"/>
      <c r="GWM92" s="1"/>
      <c r="GWN92" s="1"/>
      <c r="GWO92" s="1"/>
      <c r="GWP92" s="1"/>
      <c r="GWQ92" s="1"/>
      <c r="GWR92" s="1"/>
      <c r="GWS92" s="1"/>
      <c r="GWT92" s="1"/>
      <c r="GWU92" s="1"/>
      <c r="GWV92" s="1"/>
      <c r="GWW92" s="1"/>
      <c r="GWX92" s="1"/>
      <c r="GWY92" s="1"/>
      <c r="GWZ92" s="1"/>
      <c r="GXA92" s="1"/>
      <c r="GXB92" s="1"/>
      <c r="GXC92" s="1"/>
      <c r="GXD92" s="1"/>
      <c r="GXE92" s="1"/>
      <c r="GXF92" s="1"/>
      <c r="GXG92" s="1"/>
      <c r="GXH92" s="1"/>
      <c r="GXI92" s="1"/>
      <c r="GXJ92" s="1"/>
      <c r="GXK92" s="1"/>
      <c r="GXL92" s="1"/>
      <c r="GXM92" s="1"/>
      <c r="GXN92" s="1"/>
      <c r="GXO92" s="1"/>
      <c r="GXP92" s="1"/>
      <c r="GXQ92" s="1"/>
      <c r="GXR92" s="1"/>
      <c r="GXS92" s="1"/>
      <c r="GXT92" s="1"/>
      <c r="GXU92" s="1"/>
      <c r="GXV92" s="1"/>
      <c r="GXW92" s="1"/>
      <c r="GXX92" s="1"/>
      <c r="GXY92" s="1"/>
      <c r="GXZ92" s="1"/>
      <c r="GYA92" s="1"/>
      <c r="GYB92" s="1"/>
      <c r="GYC92" s="1"/>
      <c r="GYD92" s="1"/>
      <c r="GYE92" s="1"/>
      <c r="GYF92" s="1"/>
      <c r="GYG92" s="1"/>
      <c r="GYH92" s="1"/>
      <c r="GYI92" s="1"/>
      <c r="GYJ92" s="1"/>
      <c r="GYK92" s="1"/>
      <c r="GYL92" s="1"/>
      <c r="GYM92" s="1"/>
      <c r="GYN92" s="1"/>
      <c r="GYO92" s="1"/>
      <c r="GYP92" s="1"/>
      <c r="GYQ92" s="1"/>
      <c r="GYR92" s="1"/>
      <c r="GYS92" s="1"/>
      <c r="GYT92" s="1"/>
      <c r="GYU92" s="1"/>
      <c r="GYV92" s="1"/>
      <c r="GYW92" s="1"/>
      <c r="GYX92" s="1"/>
      <c r="GYY92" s="1"/>
      <c r="GYZ92" s="1"/>
      <c r="GZA92" s="1"/>
      <c r="GZB92" s="1"/>
      <c r="GZC92" s="1"/>
      <c r="GZD92" s="1"/>
      <c r="GZE92" s="1"/>
      <c r="GZF92" s="1"/>
      <c r="GZG92" s="1"/>
      <c r="GZH92" s="1"/>
      <c r="GZI92" s="1"/>
      <c r="GZJ92" s="1"/>
      <c r="GZK92" s="1"/>
      <c r="GZL92" s="1"/>
      <c r="GZM92" s="1"/>
      <c r="GZN92" s="1"/>
      <c r="GZO92" s="1"/>
      <c r="GZP92" s="1"/>
      <c r="GZQ92" s="1"/>
      <c r="GZR92" s="1"/>
      <c r="GZS92" s="1"/>
      <c r="GZT92" s="1"/>
      <c r="GZU92" s="1"/>
      <c r="GZV92" s="1"/>
      <c r="GZW92" s="1"/>
      <c r="GZX92" s="1"/>
      <c r="GZY92" s="1"/>
      <c r="GZZ92" s="1"/>
      <c r="HAA92" s="1"/>
      <c r="HAB92" s="1"/>
      <c r="HAC92" s="1"/>
      <c r="HAD92" s="1"/>
      <c r="HAE92" s="1"/>
      <c r="HAF92" s="1"/>
      <c r="HAG92" s="1"/>
      <c r="HAH92" s="1"/>
      <c r="HAI92" s="1"/>
      <c r="HAJ92" s="1"/>
      <c r="HAK92" s="1"/>
      <c r="HAL92" s="1"/>
      <c r="HAM92" s="1"/>
      <c r="HAN92" s="1"/>
      <c r="HAO92" s="1"/>
      <c r="HAP92" s="1"/>
      <c r="HAQ92" s="1"/>
      <c r="HAR92" s="1"/>
      <c r="HAS92" s="1"/>
      <c r="HAT92" s="1"/>
      <c r="HAU92" s="1"/>
      <c r="HAV92" s="1"/>
      <c r="HAW92" s="1"/>
      <c r="HAX92" s="1"/>
      <c r="HAY92" s="1"/>
      <c r="HAZ92" s="1"/>
      <c r="HBA92" s="1"/>
      <c r="HBB92" s="1"/>
      <c r="HBC92" s="1"/>
      <c r="HBD92" s="1"/>
      <c r="HBE92" s="1"/>
      <c r="HBF92" s="1"/>
      <c r="HBG92" s="1"/>
      <c r="HBH92" s="1"/>
      <c r="HBI92" s="1"/>
      <c r="HBJ92" s="1"/>
      <c r="HBK92" s="1"/>
      <c r="HBL92" s="1"/>
      <c r="HBM92" s="1"/>
      <c r="HBN92" s="1"/>
      <c r="HBO92" s="1"/>
      <c r="HBP92" s="1"/>
      <c r="HBQ92" s="1"/>
      <c r="HBR92" s="1"/>
      <c r="HBS92" s="1"/>
      <c r="HBT92" s="1"/>
      <c r="HBU92" s="1"/>
      <c r="HBV92" s="1"/>
      <c r="HBW92" s="1"/>
      <c r="HBX92" s="1"/>
      <c r="HBY92" s="1"/>
      <c r="HBZ92" s="1"/>
      <c r="HCA92" s="1"/>
      <c r="HCB92" s="1"/>
      <c r="HCC92" s="1"/>
      <c r="HCD92" s="1"/>
      <c r="HCE92" s="1"/>
      <c r="HCF92" s="1"/>
      <c r="HCG92" s="1"/>
      <c r="HCH92" s="1"/>
      <c r="HCI92" s="1"/>
      <c r="HCJ92" s="1"/>
      <c r="HCK92" s="1"/>
      <c r="HCL92" s="1"/>
      <c r="HCM92" s="1"/>
      <c r="HCN92" s="1"/>
      <c r="HCO92" s="1"/>
      <c r="HCP92" s="1"/>
      <c r="HCQ92" s="1"/>
      <c r="HCR92" s="1"/>
      <c r="HCS92" s="1"/>
      <c r="HCT92" s="1"/>
      <c r="HCU92" s="1"/>
      <c r="HCV92" s="1"/>
      <c r="HCW92" s="1"/>
      <c r="HCX92" s="1"/>
      <c r="HCY92" s="1"/>
      <c r="HCZ92" s="1"/>
      <c r="HDA92" s="1"/>
      <c r="HDB92" s="1"/>
      <c r="HDC92" s="1"/>
      <c r="HDD92" s="1"/>
      <c r="HDE92" s="1"/>
      <c r="HDF92" s="1"/>
      <c r="HDG92" s="1"/>
      <c r="HDH92" s="1"/>
      <c r="HDI92" s="1"/>
      <c r="HDJ92" s="1"/>
      <c r="HDK92" s="1"/>
      <c r="HDL92" s="1"/>
      <c r="HDM92" s="1"/>
      <c r="HDN92" s="1"/>
      <c r="HDO92" s="1"/>
      <c r="HDP92" s="1"/>
      <c r="HDQ92" s="1"/>
      <c r="HDR92" s="1"/>
      <c r="HDS92" s="1"/>
      <c r="HDT92" s="1"/>
      <c r="HDU92" s="1"/>
      <c r="HDV92" s="1"/>
      <c r="HDW92" s="1"/>
      <c r="HDX92" s="1"/>
      <c r="HDY92" s="1"/>
      <c r="HDZ92" s="1"/>
      <c r="HEA92" s="1"/>
      <c r="HEB92" s="1"/>
      <c r="HEC92" s="1"/>
      <c r="HED92" s="1"/>
      <c r="HEE92" s="1"/>
      <c r="HEF92" s="1"/>
      <c r="HEG92" s="1"/>
      <c r="HEH92" s="1"/>
      <c r="HEI92" s="1"/>
      <c r="HEJ92" s="1"/>
      <c r="HEK92" s="1"/>
      <c r="HEL92" s="1"/>
      <c r="HEM92" s="1"/>
      <c r="HEN92" s="1"/>
      <c r="HEO92" s="1"/>
      <c r="HEP92" s="1"/>
      <c r="HEQ92" s="1"/>
      <c r="HER92" s="1"/>
      <c r="HES92" s="1"/>
      <c r="HET92" s="1"/>
      <c r="HEU92" s="1"/>
      <c r="HEV92" s="1"/>
      <c r="HEW92" s="1"/>
      <c r="HEX92" s="1"/>
      <c r="HEY92" s="1"/>
      <c r="HEZ92" s="1"/>
      <c r="HFA92" s="1"/>
      <c r="HFB92" s="1"/>
      <c r="HFC92" s="1"/>
      <c r="HFD92" s="1"/>
      <c r="HFE92" s="1"/>
      <c r="HFF92" s="1"/>
      <c r="HFG92" s="1"/>
      <c r="HFH92" s="1"/>
      <c r="HFI92" s="1"/>
      <c r="HFJ92" s="1"/>
      <c r="HFK92" s="1"/>
      <c r="HFL92" s="1"/>
      <c r="HFM92" s="1"/>
      <c r="HFN92" s="1"/>
      <c r="HFO92" s="1"/>
      <c r="HFP92" s="1"/>
      <c r="HFQ92" s="1"/>
      <c r="HFR92" s="1"/>
      <c r="HFS92" s="1"/>
      <c r="HFT92" s="1"/>
      <c r="HFU92" s="1"/>
      <c r="HFV92" s="1"/>
      <c r="HFW92" s="1"/>
      <c r="HFX92" s="1"/>
      <c r="HFY92" s="1"/>
      <c r="HFZ92" s="1"/>
      <c r="HGA92" s="1"/>
      <c r="HGB92" s="1"/>
      <c r="HGC92" s="1"/>
      <c r="HGD92" s="1"/>
      <c r="HGE92" s="1"/>
      <c r="HGF92" s="1"/>
      <c r="HGG92" s="1"/>
      <c r="HGH92" s="1"/>
      <c r="HGI92" s="1"/>
      <c r="HGJ92" s="1"/>
      <c r="HGK92" s="1"/>
      <c r="HGL92" s="1"/>
      <c r="HGM92" s="1"/>
      <c r="HGN92" s="1"/>
      <c r="HGO92" s="1"/>
      <c r="HGP92" s="1"/>
      <c r="HGQ92" s="1"/>
      <c r="HGR92" s="1"/>
      <c r="HGS92" s="1"/>
      <c r="HGT92" s="1"/>
      <c r="HGU92" s="1"/>
      <c r="HGV92" s="1"/>
      <c r="HGW92" s="1"/>
      <c r="HGX92" s="1"/>
      <c r="HGY92" s="1"/>
      <c r="HGZ92" s="1"/>
      <c r="HHA92" s="1"/>
      <c r="HHB92" s="1"/>
      <c r="HHC92" s="1"/>
      <c r="HHD92" s="1"/>
      <c r="HHE92" s="1"/>
      <c r="HHF92" s="1"/>
      <c r="HHG92" s="1"/>
      <c r="HHH92" s="1"/>
      <c r="HHI92" s="1"/>
      <c r="HHJ92" s="1"/>
      <c r="HHK92" s="1"/>
      <c r="HHL92" s="1"/>
      <c r="HHM92" s="1"/>
      <c r="HHN92" s="1"/>
      <c r="HHO92" s="1"/>
      <c r="HHP92" s="1"/>
      <c r="HHQ92" s="1"/>
      <c r="HHR92" s="1"/>
      <c r="HHS92" s="1"/>
      <c r="HHT92" s="1"/>
      <c r="HHU92" s="1"/>
      <c r="HHV92" s="1"/>
      <c r="HHW92" s="1"/>
      <c r="HHX92" s="1"/>
      <c r="HHY92" s="1"/>
      <c r="HHZ92" s="1"/>
      <c r="HIA92" s="1"/>
      <c r="HIB92" s="1"/>
      <c r="HIC92" s="1"/>
      <c r="HID92" s="1"/>
      <c r="HIE92" s="1"/>
      <c r="HIF92" s="1"/>
      <c r="HIG92" s="1"/>
      <c r="HIH92" s="1"/>
      <c r="HII92" s="1"/>
      <c r="HIJ92" s="1"/>
      <c r="HIK92" s="1"/>
      <c r="HIL92" s="1"/>
      <c r="HIM92" s="1"/>
      <c r="HIN92" s="1"/>
      <c r="HIO92" s="1"/>
      <c r="HIP92" s="1"/>
      <c r="HIQ92" s="1"/>
      <c r="HIR92" s="1"/>
      <c r="HIS92" s="1"/>
      <c r="HIT92" s="1"/>
      <c r="HIU92" s="1"/>
      <c r="HIV92" s="1"/>
      <c r="HIW92" s="1"/>
      <c r="HIX92" s="1"/>
      <c r="HIY92" s="1"/>
      <c r="HIZ92" s="1"/>
      <c r="HJA92" s="1"/>
      <c r="HJB92" s="1"/>
      <c r="HJC92" s="1"/>
      <c r="HJD92" s="1"/>
      <c r="HJE92" s="1"/>
      <c r="HJF92" s="1"/>
      <c r="HJG92" s="1"/>
      <c r="HJH92" s="1"/>
      <c r="HJI92" s="1"/>
      <c r="HJJ92" s="1"/>
      <c r="HJK92" s="1"/>
      <c r="HJL92" s="1"/>
      <c r="HJM92" s="1"/>
      <c r="HJN92" s="1"/>
      <c r="HJO92" s="1"/>
      <c r="HJP92" s="1"/>
      <c r="HJQ92" s="1"/>
      <c r="HJR92" s="1"/>
      <c r="HJS92" s="1"/>
      <c r="HJT92" s="1"/>
      <c r="HJU92" s="1"/>
      <c r="HJV92" s="1"/>
      <c r="HJW92" s="1"/>
      <c r="HJX92" s="1"/>
      <c r="HJY92" s="1"/>
      <c r="HJZ92" s="1"/>
      <c r="HKA92" s="1"/>
      <c r="HKB92" s="1"/>
      <c r="HKC92" s="1"/>
      <c r="HKD92" s="1"/>
      <c r="HKE92" s="1"/>
      <c r="HKF92" s="1"/>
      <c r="HKG92" s="1"/>
      <c r="HKH92" s="1"/>
      <c r="HKI92" s="1"/>
      <c r="HKJ92" s="1"/>
      <c r="HKK92" s="1"/>
      <c r="HKL92" s="1"/>
      <c r="HKM92" s="1"/>
      <c r="HKN92" s="1"/>
      <c r="HKO92" s="1"/>
      <c r="HKP92" s="1"/>
      <c r="HKQ92" s="1"/>
      <c r="HKR92" s="1"/>
      <c r="HKS92" s="1"/>
      <c r="HKT92" s="1"/>
      <c r="HKU92" s="1"/>
      <c r="HKV92" s="1"/>
      <c r="HKW92" s="1"/>
      <c r="HKX92" s="1"/>
      <c r="HKY92" s="1"/>
      <c r="HKZ92" s="1"/>
      <c r="HLA92" s="1"/>
      <c r="HLB92" s="1"/>
      <c r="HLC92" s="1"/>
      <c r="HLD92" s="1"/>
      <c r="HLE92" s="1"/>
      <c r="HLF92" s="1"/>
      <c r="HLG92" s="1"/>
      <c r="HLH92" s="1"/>
      <c r="HLI92" s="1"/>
      <c r="HLJ92" s="1"/>
      <c r="HLK92" s="1"/>
      <c r="HLL92" s="1"/>
      <c r="HLM92" s="1"/>
      <c r="HLN92" s="1"/>
      <c r="HLO92" s="1"/>
      <c r="HLP92" s="1"/>
      <c r="HLQ92" s="1"/>
      <c r="HLR92" s="1"/>
      <c r="HLS92" s="1"/>
      <c r="HLT92" s="1"/>
      <c r="HLU92" s="1"/>
      <c r="HLV92" s="1"/>
      <c r="HLW92" s="1"/>
      <c r="HLX92" s="1"/>
      <c r="HLY92" s="1"/>
      <c r="HLZ92" s="1"/>
      <c r="HMA92" s="1"/>
      <c r="HMB92" s="1"/>
      <c r="HMC92" s="1"/>
      <c r="HMD92" s="1"/>
      <c r="HME92" s="1"/>
      <c r="HMF92" s="1"/>
      <c r="HMG92" s="1"/>
      <c r="HMH92" s="1"/>
      <c r="HMI92" s="1"/>
      <c r="HMJ92" s="1"/>
      <c r="HMK92" s="1"/>
      <c r="HML92" s="1"/>
      <c r="HMM92" s="1"/>
      <c r="HMN92" s="1"/>
      <c r="HMO92" s="1"/>
      <c r="HMP92" s="1"/>
      <c r="HMQ92" s="1"/>
      <c r="HMR92" s="1"/>
      <c r="HMS92" s="1"/>
      <c r="HMT92" s="1"/>
      <c r="HMU92" s="1"/>
      <c r="HMV92" s="1"/>
      <c r="HMW92" s="1"/>
      <c r="HMX92" s="1"/>
      <c r="HMY92" s="1"/>
      <c r="HMZ92" s="1"/>
      <c r="HNA92" s="1"/>
      <c r="HNB92" s="1"/>
      <c r="HNC92" s="1"/>
      <c r="HND92" s="1"/>
      <c r="HNE92" s="1"/>
      <c r="HNF92" s="1"/>
      <c r="HNG92" s="1"/>
      <c r="HNH92" s="1"/>
      <c r="HNI92" s="1"/>
      <c r="HNJ92" s="1"/>
      <c r="HNK92" s="1"/>
      <c r="HNL92" s="1"/>
      <c r="HNM92" s="1"/>
      <c r="HNN92" s="1"/>
      <c r="HNO92" s="1"/>
      <c r="HNP92" s="1"/>
      <c r="HNQ92" s="1"/>
      <c r="HNR92" s="1"/>
      <c r="HNS92" s="1"/>
      <c r="HNT92" s="1"/>
      <c r="HNU92" s="1"/>
      <c r="HNV92" s="1"/>
      <c r="HNW92" s="1"/>
      <c r="HNX92" s="1"/>
      <c r="HNY92" s="1"/>
      <c r="HNZ92" s="1"/>
      <c r="HOA92" s="1"/>
      <c r="HOB92" s="1"/>
      <c r="HOC92" s="1"/>
      <c r="HOD92" s="1"/>
      <c r="HOE92" s="1"/>
      <c r="HOF92" s="1"/>
      <c r="HOG92" s="1"/>
      <c r="HOH92" s="1"/>
      <c r="HOI92" s="1"/>
      <c r="HOJ92" s="1"/>
      <c r="HOK92" s="1"/>
      <c r="HOL92" s="1"/>
      <c r="HOM92" s="1"/>
      <c r="HON92" s="1"/>
      <c r="HOO92" s="1"/>
      <c r="HOP92" s="1"/>
      <c r="HOQ92" s="1"/>
      <c r="HOR92" s="1"/>
      <c r="HOS92" s="1"/>
      <c r="HOT92" s="1"/>
      <c r="HOU92" s="1"/>
      <c r="HOV92" s="1"/>
      <c r="HOW92" s="1"/>
      <c r="HOX92" s="1"/>
      <c r="HOY92" s="1"/>
      <c r="HOZ92" s="1"/>
      <c r="HPA92" s="1"/>
      <c r="HPB92" s="1"/>
      <c r="HPC92" s="1"/>
      <c r="HPD92" s="1"/>
      <c r="HPE92" s="1"/>
      <c r="HPF92" s="1"/>
      <c r="HPG92" s="1"/>
      <c r="HPH92" s="1"/>
      <c r="HPI92" s="1"/>
      <c r="HPJ92" s="1"/>
      <c r="HPK92" s="1"/>
      <c r="HPL92" s="1"/>
      <c r="HPM92" s="1"/>
      <c r="HPN92" s="1"/>
      <c r="HPO92" s="1"/>
      <c r="HPP92" s="1"/>
      <c r="HPQ92" s="1"/>
      <c r="HPR92" s="1"/>
      <c r="HPS92" s="1"/>
      <c r="HPT92" s="1"/>
      <c r="HPU92" s="1"/>
      <c r="HPV92" s="1"/>
      <c r="HPW92" s="1"/>
      <c r="HPX92" s="1"/>
      <c r="HPY92" s="1"/>
      <c r="HPZ92" s="1"/>
      <c r="HQA92" s="1"/>
      <c r="HQB92" s="1"/>
      <c r="HQC92" s="1"/>
      <c r="HQD92" s="1"/>
      <c r="HQE92" s="1"/>
      <c r="HQF92" s="1"/>
      <c r="HQG92" s="1"/>
      <c r="HQH92" s="1"/>
      <c r="HQI92" s="1"/>
      <c r="HQJ92" s="1"/>
      <c r="HQK92" s="1"/>
      <c r="HQL92" s="1"/>
      <c r="HQM92" s="1"/>
      <c r="HQN92" s="1"/>
      <c r="HQO92" s="1"/>
      <c r="HQP92" s="1"/>
      <c r="HQQ92" s="1"/>
      <c r="HQR92" s="1"/>
      <c r="HQS92" s="1"/>
      <c r="HQT92" s="1"/>
      <c r="HQU92" s="1"/>
      <c r="HQV92" s="1"/>
      <c r="HQW92" s="1"/>
      <c r="HQX92" s="1"/>
      <c r="HQY92" s="1"/>
      <c r="HQZ92" s="1"/>
      <c r="HRA92" s="1"/>
      <c r="HRB92" s="1"/>
      <c r="HRC92" s="1"/>
      <c r="HRD92" s="1"/>
      <c r="HRE92" s="1"/>
      <c r="HRF92" s="1"/>
      <c r="HRG92" s="1"/>
      <c r="HRH92" s="1"/>
      <c r="HRI92" s="1"/>
      <c r="HRJ92" s="1"/>
      <c r="HRK92" s="1"/>
      <c r="HRL92" s="1"/>
      <c r="HRM92" s="1"/>
      <c r="HRN92" s="1"/>
      <c r="HRO92" s="1"/>
      <c r="HRP92" s="1"/>
      <c r="HRQ92" s="1"/>
      <c r="HRR92" s="1"/>
      <c r="HRS92" s="1"/>
      <c r="HRT92" s="1"/>
      <c r="HRU92" s="1"/>
      <c r="HRV92" s="1"/>
      <c r="HRW92" s="1"/>
      <c r="HRX92" s="1"/>
      <c r="HRY92" s="1"/>
      <c r="HRZ92" s="1"/>
      <c r="HSA92" s="1"/>
      <c r="HSB92" s="1"/>
      <c r="HSC92" s="1"/>
      <c r="HSD92" s="1"/>
      <c r="HSE92" s="1"/>
      <c r="HSF92" s="1"/>
      <c r="HSG92" s="1"/>
      <c r="HSH92" s="1"/>
      <c r="HSI92" s="1"/>
      <c r="HSJ92" s="1"/>
      <c r="HSK92" s="1"/>
      <c r="HSL92" s="1"/>
      <c r="HSM92" s="1"/>
      <c r="HSN92" s="1"/>
      <c r="HSO92" s="1"/>
      <c r="HSP92" s="1"/>
      <c r="HSQ92" s="1"/>
      <c r="HSR92" s="1"/>
      <c r="HSS92" s="1"/>
      <c r="HST92" s="1"/>
      <c r="HSU92" s="1"/>
      <c r="HSV92" s="1"/>
      <c r="HSW92" s="1"/>
      <c r="HSX92" s="1"/>
      <c r="HSY92" s="1"/>
      <c r="HSZ92" s="1"/>
      <c r="HTA92" s="1"/>
      <c r="HTB92" s="1"/>
      <c r="HTC92" s="1"/>
      <c r="HTD92" s="1"/>
      <c r="HTE92" s="1"/>
      <c r="HTF92" s="1"/>
      <c r="HTG92" s="1"/>
      <c r="HTH92" s="1"/>
      <c r="HTI92" s="1"/>
      <c r="HTJ92" s="1"/>
      <c r="HTK92" s="1"/>
      <c r="HTL92" s="1"/>
      <c r="HTM92" s="1"/>
      <c r="HTN92" s="1"/>
      <c r="HTO92" s="1"/>
      <c r="HTP92" s="1"/>
      <c r="HTQ92" s="1"/>
      <c r="HTR92" s="1"/>
      <c r="HTS92" s="1"/>
      <c r="HTT92" s="1"/>
      <c r="HTU92" s="1"/>
      <c r="HTV92" s="1"/>
      <c r="HTW92" s="1"/>
      <c r="HTX92" s="1"/>
      <c r="HTY92" s="1"/>
      <c r="HTZ92" s="1"/>
      <c r="HUA92" s="1"/>
      <c r="HUB92" s="1"/>
      <c r="HUC92" s="1"/>
      <c r="HUD92" s="1"/>
      <c r="HUE92" s="1"/>
      <c r="HUF92" s="1"/>
      <c r="HUG92" s="1"/>
      <c r="HUH92" s="1"/>
      <c r="HUI92" s="1"/>
      <c r="HUJ92" s="1"/>
      <c r="HUK92" s="1"/>
      <c r="HUL92" s="1"/>
      <c r="HUM92" s="1"/>
      <c r="HUN92" s="1"/>
      <c r="HUO92" s="1"/>
      <c r="HUP92" s="1"/>
      <c r="HUQ92" s="1"/>
      <c r="HUR92" s="1"/>
      <c r="HUS92" s="1"/>
      <c r="HUT92" s="1"/>
      <c r="HUU92" s="1"/>
      <c r="HUV92" s="1"/>
      <c r="HUW92" s="1"/>
      <c r="HUX92" s="1"/>
      <c r="HUY92" s="1"/>
      <c r="HUZ92" s="1"/>
      <c r="HVA92" s="1"/>
      <c r="HVB92" s="1"/>
      <c r="HVC92" s="1"/>
      <c r="HVD92" s="1"/>
      <c r="HVE92" s="1"/>
      <c r="HVF92" s="1"/>
      <c r="HVG92" s="1"/>
      <c r="HVH92" s="1"/>
      <c r="HVI92" s="1"/>
      <c r="HVJ92" s="1"/>
      <c r="HVK92" s="1"/>
      <c r="HVL92" s="1"/>
      <c r="HVM92" s="1"/>
      <c r="HVN92" s="1"/>
      <c r="HVO92" s="1"/>
      <c r="HVP92" s="1"/>
      <c r="HVQ92" s="1"/>
      <c r="HVR92" s="1"/>
      <c r="HVS92" s="1"/>
      <c r="HVT92" s="1"/>
      <c r="HVU92" s="1"/>
      <c r="HVV92" s="1"/>
      <c r="HVW92" s="1"/>
      <c r="HVX92" s="1"/>
      <c r="HVY92" s="1"/>
      <c r="HVZ92" s="1"/>
      <c r="HWA92" s="1"/>
      <c r="HWB92" s="1"/>
      <c r="HWC92" s="1"/>
      <c r="HWD92" s="1"/>
      <c r="HWE92" s="1"/>
      <c r="HWF92" s="1"/>
      <c r="HWG92" s="1"/>
      <c r="HWH92" s="1"/>
      <c r="HWI92" s="1"/>
      <c r="HWJ92" s="1"/>
      <c r="HWK92" s="1"/>
      <c r="HWL92" s="1"/>
      <c r="HWM92" s="1"/>
      <c r="HWN92" s="1"/>
      <c r="HWO92" s="1"/>
      <c r="HWP92" s="1"/>
      <c r="HWQ92" s="1"/>
      <c r="HWR92" s="1"/>
      <c r="HWS92" s="1"/>
      <c r="HWT92" s="1"/>
      <c r="HWU92" s="1"/>
      <c r="HWV92" s="1"/>
      <c r="HWW92" s="1"/>
      <c r="HWX92" s="1"/>
      <c r="HWY92" s="1"/>
      <c r="HWZ92" s="1"/>
      <c r="HXA92" s="1"/>
      <c r="HXB92" s="1"/>
      <c r="HXC92" s="1"/>
      <c r="HXD92" s="1"/>
      <c r="HXE92" s="1"/>
      <c r="HXF92" s="1"/>
      <c r="HXG92" s="1"/>
      <c r="HXH92" s="1"/>
      <c r="HXI92" s="1"/>
      <c r="HXJ92" s="1"/>
      <c r="HXK92" s="1"/>
      <c r="HXL92" s="1"/>
      <c r="HXM92" s="1"/>
      <c r="HXN92" s="1"/>
      <c r="HXO92" s="1"/>
      <c r="HXP92" s="1"/>
      <c r="HXQ92" s="1"/>
      <c r="HXR92" s="1"/>
      <c r="HXS92" s="1"/>
      <c r="HXT92" s="1"/>
      <c r="HXU92" s="1"/>
      <c r="HXV92" s="1"/>
      <c r="HXW92" s="1"/>
      <c r="HXX92" s="1"/>
      <c r="HXY92" s="1"/>
      <c r="HXZ92" s="1"/>
      <c r="HYA92" s="1"/>
      <c r="HYB92" s="1"/>
      <c r="HYC92" s="1"/>
      <c r="HYD92" s="1"/>
      <c r="HYE92" s="1"/>
      <c r="HYF92" s="1"/>
      <c r="HYG92" s="1"/>
      <c r="HYH92" s="1"/>
      <c r="HYI92" s="1"/>
      <c r="HYJ92" s="1"/>
      <c r="HYK92" s="1"/>
      <c r="HYL92" s="1"/>
      <c r="HYM92" s="1"/>
      <c r="HYN92" s="1"/>
      <c r="HYO92" s="1"/>
      <c r="HYP92" s="1"/>
      <c r="HYQ92" s="1"/>
      <c r="HYR92" s="1"/>
      <c r="HYS92" s="1"/>
      <c r="HYT92" s="1"/>
      <c r="HYU92" s="1"/>
      <c r="HYV92" s="1"/>
      <c r="HYW92" s="1"/>
      <c r="HYX92" s="1"/>
      <c r="HYY92" s="1"/>
      <c r="HYZ92" s="1"/>
      <c r="HZA92" s="1"/>
      <c r="HZB92" s="1"/>
      <c r="HZC92" s="1"/>
      <c r="HZD92" s="1"/>
      <c r="HZE92" s="1"/>
      <c r="HZF92" s="1"/>
      <c r="HZG92" s="1"/>
      <c r="HZH92" s="1"/>
      <c r="HZI92" s="1"/>
      <c r="HZJ92" s="1"/>
      <c r="HZK92" s="1"/>
      <c r="HZL92" s="1"/>
      <c r="HZM92" s="1"/>
      <c r="HZN92" s="1"/>
      <c r="HZO92" s="1"/>
      <c r="HZP92" s="1"/>
      <c r="HZQ92" s="1"/>
      <c r="HZR92" s="1"/>
      <c r="HZS92" s="1"/>
      <c r="HZT92" s="1"/>
      <c r="HZU92" s="1"/>
      <c r="HZV92" s="1"/>
      <c r="HZW92" s="1"/>
      <c r="HZX92" s="1"/>
      <c r="HZY92" s="1"/>
      <c r="HZZ92" s="1"/>
      <c r="IAA92" s="1"/>
      <c r="IAB92" s="1"/>
      <c r="IAC92" s="1"/>
      <c r="IAD92" s="1"/>
      <c r="IAE92" s="1"/>
      <c r="IAF92" s="1"/>
      <c r="IAG92" s="1"/>
      <c r="IAH92" s="1"/>
      <c r="IAI92" s="1"/>
      <c r="IAJ92" s="1"/>
      <c r="IAK92" s="1"/>
      <c r="IAL92" s="1"/>
      <c r="IAM92" s="1"/>
      <c r="IAN92" s="1"/>
      <c r="IAO92" s="1"/>
      <c r="IAP92" s="1"/>
      <c r="IAQ92" s="1"/>
      <c r="IAR92" s="1"/>
      <c r="IAS92" s="1"/>
      <c r="IAT92" s="1"/>
      <c r="IAU92" s="1"/>
      <c r="IAV92" s="1"/>
      <c r="IAW92" s="1"/>
      <c r="IAX92" s="1"/>
      <c r="IAY92" s="1"/>
      <c r="IAZ92" s="1"/>
      <c r="IBA92" s="1"/>
      <c r="IBB92" s="1"/>
      <c r="IBC92" s="1"/>
      <c r="IBD92" s="1"/>
      <c r="IBE92" s="1"/>
      <c r="IBF92" s="1"/>
      <c r="IBG92" s="1"/>
      <c r="IBH92" s="1"/>
      <c r="IBI92" s="1"/>
      <c r="IBJ92" s="1"/>
      <c r="IBK92" s="1"/>
      <c r="IBL92" s="1"/>
      <c r="IBM92" s="1"/>
      <c r="IBN92" s="1"/>
      <c r="IBO92" s="1"/>
      <c r="IBP92" s="1"/>
      <c r="IBQ92" s="1"/>
      <c r="IBR92" s="1"/>
      <c r="IBS92" s="1"/>
      <c r="IBT92" s="1"/>
      <c r="IBU92" s="1"/>
      <c r="IBV92" s="1"/>
      <c r="IBW92" s="1"/>
      <c r="IBX92" s="1"/>
      <c r="IBY92" s="1"/>
      <c r="IBZ92" s="1"/>
      <c r="ICA92" s="1"/>
      <c r="ICB92" s="1"/>
      <c r="ICC92" s="1"/>
      <c r="ICD92" s="1"/>
      <c r="ICE92" s="1"/>
      <c r="ICF92" s="1"/>
      <c r="ICG92" s="1"/>
      <c r="ICH92" s="1"/>
      <c r="ICI92" s="1"/>
      <c r="ICJ92" s="1"/>
      <c r="ICK92" s="1"/>
      <c r="ICL92" s="1"/>
      <c r="ICM92" s="1"/>
      <c r="ICN92" s="1"/>
      <c r="ICO92" s="1"/>
      <c r="ICP92" s="1"/>
      <c r="ICQ92" s="1"/>
      <c r="ICR92" s="1"/>
      <c r="ICS92" s="1"/>
      <c r="ICT92" s="1"/>
      <c r="ICU92" s="1"/>
      <c r="ICV92" s="1"/>
      <c r="ICW92" s="1"/>
      <c r="ICX92" s="1"/>
      <c r="ICY92" s="1"/>
      <c r="ICZ92" s="1"/>
      <c r="IDA92" s="1"/>
      <c r="IDB92" s="1"/>
      <c r="IDC92" s="1"/>
      <c r="IDD92" s="1"/>
      <c r="IDE92" s="1"/>
      <c r="IDF92" s="1"/>
      <c r="IDG92" s="1"/>
      <c r="IDH92" s="1"/>
      <c r="IDI92" s="1"/>
      <c r="IDJ92" s="1"/>
      <c r="IDK92" s="1"/>
      <c r="IDL92" s="1"/>
      <c r="IDM92" s="1"/>
      <c r="IDN92" s="1"/>
      <c r="IDO92" s="1"/>
      <c r="IDP92" s="1"/>
      <c r="IDQ92" s="1"/>
      <c r="IDR92" s="1"/>
      <c r="IDS92" s="1"/>
      <c r="IDT92" s="1"/>
      <c r="IDU92" s="1"/>
      <c r="IDV92" s="1"/>
      <c r="IDW92" s="1"/>
      <c r="IDX92" s="1"/>
      <c r="IDY92" s="1"/>
      <c r="IDZ92" s="1"/>
      <c r="IEA92" s="1"/>
      <c r="IEB92" s="1"/>
      <c r="IEC92" s="1"/>
      <c r="IED92" s="1"/>
      <c r="IEE92" s="1"/>
      <c r="IEF92" s="1"/>
      <c r="IEG92" s="1"/>
      <c r="IEH92" s="1"/>
      <c r="IEI92" s="1"/>
      <c r="IEJ92" s="1"/>
      <c r="IEK92" s="1"/>
      <c r="IEL92" s="1"/>
      <c r="IEM92" s="1"/>
      <c r="IEN92" s="1"/>
      <c r="IEO92" s="1"/>
      <c r="IEP92" s="1"/>
      <c r="IEQ92" s="1"/>
      <c r="IER92" s="1"/>
      <c r="IES92" s="1"/>
      <c r="IET92" s="1"/>
      <c r="IEU92" s="1"/>
      <c r="IEV92" s="1"/>
      <c r="IEW92" s="1"/>
      <c r="IEX92" s="1"/>
      <c r="IEY92" s="1"/>
      <c r="IEZ92" s="1"/>
      <c r="IFA92" s="1"/>
      <c r="IFB92" s="1"/>
      <c r="IFC92" s="1"/>
      <c r="IFD92" s="1"/>
      <c r="IFE92" s="1"/>
      <c r="IFF92" s="1"/>
      <c r="IFG92" s="1"/>
      <c r="IFH92" s="1"/>
      <c r="IFI92" s="1"/>
      <c r="IFJ92" s="1"/>
      <c r="IFK92" s="1"/>
      <c r="IFL92" s="1"/>
      <c r="IFM92" s="1"/>
      <c r="IFN92" s="1"/>
      <c r="IFO92" s="1"/>
      <c r="IFP92" s="1"/>
      <c r="IFQ92" s="1"/>
      <c r="IFR92" s="1"/>
      <c r="IFS92" s="1"/>
      <c r="IFT92" s="1"/>
      <c r="IFU92" s="1"/>
      <c r="IFV92" s="1"/>
      <c r="IFW92" s="1"/>
      <c r="IFX92" s="1"/>
      <c r="IFY92" s="1"/>
      <c r="IFZ92" s="1"/>
      <c r="IGA92" s="1"/>
      <c r="IGB92" s="1"/>
      <c r="IGC92" s="1"/>
      <c r="IGD92" s="1"/>
      <c r="IGE92" s="1"/>
      <c r="IGF92" s="1"/>
      <c r="IGG92" s="1"/>
      <c r="IGH92" s="1"/>
      <c r="IGI92" s="1"/>
      <c r="IGJ92" s="1"/>
      <c r="IGK92" s="1"/>
      <c r="IGL92" s="1"/>
      <c r="IGM92" s="1"/>
      <c r="IGN92" s="1"/>
      <c r="IGO92" s="1"/>
      <c r="IGP92" s="1"/>
      <c r="IGQ92" s="1"/>
      <c r="IGR92" s="1"/>
      <c r="IGS92" s="1"/>
      <c r="IGT92" s="1"/>
      <c r="IGU92" s="1"/>
      <c r="IGV92" s="1"/>
      <c r="IGW92" s="1"/>
      <c r="IGX92" s="1"/>
      <c r="IGY92" s="1"/>
      <c r="IGZ92" s="1"/>
      <c r="IHA92" s="1"/>
      <c r="IHB92" s="1"/>
      <c r="IHC92" s="1"/>
      <c r="IHD92" s="1"/>
      <c r="IHE92" s="1"/>
      <c r="IHF92" s="1"/>
      <c r="IHG92" s="1"/>
      <c r="IHH92" s="1"/>
      <c r="IHI92" s="1"/>
      <c r="IHJ92" s="1"/>
      <c r="IHK92" s="1"/>
      <c r="IHL92" s="1"/>
      <c r="IHM92" s="1"/>
      <c r="IHN92" s="1"/>
      <c r="IHO92" s="1"/>
      <c r="IHP92" s="1"/>
      <c r="IHQ92" s="1"/>
      <c r="IHR92" s="1"/>
      <c r="IHS92" s="1"/>
      <c r="IHT92" s="1"/>
      <c r="IHU92" s="1"/>
      <c r="IHV92" s="1"/>
      <c r="IHW92" s="1"/>
      <c r="IHX92" s="1"/>
      <c r="IHY92" s="1"/>
      <c r="IHZ92" s="1"/>
      <c r="IIA92" s="1"/>
      <c r="IIB92" s="1"/>
      <c r="IIC92" s="1"/>
      <c r="IID92" s="1"/>
      <c r="IIE92" s="1"/>
      <c r="IIF92" s="1"/>
      <c r="IIG92" s="1"/>
      <c r="IIH92" s="1"/>
      <c r="III92" s="1"/>
      <c r="IIJ92" s="1"/>
      <c r="IIK92" s="1"/>
      <c r="IIL92" s="1"/>
      <c r="IIM92" s="1"/>
      <c r="IIN92" s="1"/>
      <c r="IIO92" s="1"/>
      <c r="IIP92" s="1"/>
      <c r="IIQ92" s="1"/>
      <c r="IIR92" s="1"/>
      <c r="IIS92" s="1"/>
      <c r="IIT92" s="1"/>
      <c r="IIU92" s="1"/>
      <c r="IIV92" s="1"/>
      <c r="IIW92" s="1"/>
      <c r="IIX92" s="1"/>
      <c r="IIY92" s="1"/>
      <c r="IIZ92" s="1"/>
      <c r="IJA92" s="1"/>
      <c r="IJB92" s="1"/>
      <c r="IJC92" s="1"/>
      <c r="IJD92" s="1"/>
      <c r="IJE92" s="1"/>
      <c r="IJF92" s="1"/>
      <c r="IJG92" s="1"/>
      <c r="IJH92" s="1"/>
      <c r="IJI92" s="1"/>
      <c r="IJJ92" s="1"/>
      <c r="IJK92" s="1"/>
      <c r="IJL92" s="1"/>
      <c r="IJM92" s="1"/>
      <c r="IJN92" s="1"/>
      <c r="IJO92" s="1"/>
      <c r="IJP92" s="1"/>
      <c r="IJQ92" s="1"/>
      <c r="IJR92" s="1"/>
      <c r="IJS92" s="1"/>
      <c r="IJT92" s="1"/>
      <c r="IJU92" s="1"/>
      <c r="IJV92" s="1"/>
      <c r="IJW92" s="1"/>
      <c r="IJX92" s="1"/>
      <c r="IJY92" s="1"/>
      <c r="IJZ92" s="1"/>
      <c r="IKA92" s="1"/>
      <c r="IKB92" s="1"/>
      <c r="IKC92" s="1"/>
      <c r="IKD92" s="1"/>
      <c r="IKE92" s="1"/>
      <c r="IKF92" s="1"/>
      <c r="IKG92" s="1"/>
      <c r="IKH92" s="1"/>
      <c r="IKI92" s="1"/>
      <c r="IKJ92" s="1"/>
      <c r="IKK92" s="1"/>
      <c r="IKL92" s="1"/>
      <c r="IKM92" s="1"/>
      <c r="IKN92" s="1"/>
      <c r="IKO92" s="1"/>
      <c r="IKP92" s="1"/>
      <c r="IKQ92" s="1"/>
      <c r="IKR92" s="1"/>
      <c r="IKS92" s="1"/>
      <c r="IKT92" s="1"/>
      <c r="IKU92" s="1"/>
      <c r="IKV92" s="1"/>
      <c r="IKW92" s="1"/>
      <c r="IKX92" s="1"/>
      <c r="IKY92" s="1"/>
      <c r="IKZ92" s="1"/>
      <c r="ILA92" s="1"/>
      <c r="ILB92" s="1"/>
      <c r="ILC92" s="1"/>
      <c r="ILD92" s="1"/>
      <c r="ILE92" s="1"/>
      <c r="ILF92" s="1"/>
      <c r="ILG92" s="1"/>
      <c r="ILH92" s="1"/>
      <c r="ILI92" s="1"/>
      <c r="ILJ92" s="1"/>
      <c r="ILK92" s="1"/>
      <c r="ILL92" s="1"/>
      <c r="ILM92" s="1"/>
      <c r="ILN92" s="1"/>
      <c r="ILO92" s="1"/>
      <c r="ILP92" s="1"/>
      <c r="ILQ92" s="1"/>
      <c r="ILR92" s="1"/>
      <c r="ILS92" s="1"/>
      <c r="ILT92" s="1"/>
      <c r="ILU92" s="1"/>
      <c r="ILV92" s="1"/>
      <c r="ILW92" s="1"/>
      <c r="ILX92" s="1"/>
      <c r="ILY92" s="1"/>
      <c r="ILZ92" s="1"/>
      <c r="IMA92" s="1"/>
      <c r="IMB92" s="1"/>
      <c r="IMC92" s="1"/>
      <c r="IMD92" s="1"/>
      <c r="IME92" s="1"/>
      <c r="IMF92" s="1"/>
      <c r="IMG92" s="1"/>
      <c r="IMH92" s="1"/>
      <c r="IMI92" s="1"/>
      <c r="IMJ92" s="1"/>
      <c r="IMK92" s="1"/>
      <c r="IML92" s="1"/>
      <c r="IMM92" s="1"/>
      <c r="IMN92" s="1"/>
      <c r="IMO92" s="1"/>
      <c r="IMP92" s="1"/>
      <c r="IMQ92" s="1"/>
      <c r="IMR92" s="1"/>
      <c r="IMS92" s="1"/>
      <c r="IMT92" s="1"/>
      <c r="IMU92" s="1"/>
      <c r="IMV92" s="1"/>
      <c r="IMW92" s="1"/>
      <c r="IMX92" s="1"/>
      <c r="IMY92" s="1"/>
      <c r="IMZ92" s="1"/>
      <c r="INA92" s="1"/>
      <c r="INB92" s="1"/>
      <c r="INC92" s="1"/>
      <c r="IND92" s="1"/>
      <c r="INE92" s="1"/>
      <c r="INF92" s="1"/>
      <c r="ING92" s="1"/>
      <c r="INH92" s="1"/>
      <c r="INI92" s="1"/>
      <c r="INJ92" s="1"/>
      <c r="INK92" s="1"/>
      <c r="INL92" s="1"/>
      <c r="INM92" s="1"/>
      <c r="INN92" s="1"/>
      <c r="INO92" s="1"/>
      <c r="INP92" s="1"/>
      <c r="INQ92" s="1"/>
      <c r="INR92" s="1"/>
      <c r="INS92" s="1"/>
      <c r="INT92" s="1"/>
      <c r="INU92" s="1"/>
      <c r="INV92" s="1"/>
      <c r="INW92" s="1"/>
      <c r="INX92" s="1"/>
      <c r="INY92" s="1"/>
      <c r="INZ92" s="1"/>
      <c r="IOA92" s="1"/>
      <c r="IOB92" s="1"/>
      <c r="IOC92" s="1"/>
      <c r="IOD92" s="1"/>
      <c r="IOE92" s="1"/>
      <c r="IOF92" s="1"/>
      <c r="IOG92" s="1"/>
      <c r="IOH92" s="1"/>
      <c r="IOI92" s="1"/>
      <c r="IOJ92" s="1"/>
      <c r="IOK92" s="1"/>
      <c r="IOL92" s="1"/>
      <c r="IOM92" s="1"/>
      <c r="ION92" s="1"/>
      <c r="IOO92" s="1"/>
      <c r="IOP92" s="1"/>
      <c r="IOQ92" s="1"/>
      <c r="IOR92" s="1"/>
      <c r="IOS92" s="1"/>
      <c r="IOT92" s="1"/>
      <c r="IOU92" s="1"/>
      <c r="IOV92" s="1"/>
      <c r="IOW92" s="1"/>
      <c r="IOX92" s="1"/>
      <c r="IOY92" s="1"/>
      <c r="IOZ92" s="1"/>
      <c r="IPA92" s="1"/>
      <c r="IPB92" s="1"/>
      <c r="IPC92" s="1"/>
      <c r="IPD92" s="1"/>
      <c r="IPE92" s="1"/>
      <c r="IPF92" s="1"/>
      <c r="IPG92" s="1"/>
      <c r="IPH92" s="1"/>
      <c r="IPI92" s="1"/>
      <c r="IPJ92" s="1"/>
      <c r="IPK92" s="1"/>
      <c r="IPL92" s="1"/>
      <c r="IPM92" s="1"/>
      <c r="IPN92" s="1"/>
      <c r="IPO92" s="1"/>
      <c r="IPP92" s="1"/>
      <c r="IPQ92" s="1"/>
      <c r="IPR92" s="1"/>
      <c r="IPS92" s="1"/>
      <c r="IPT92" s="1"/>
      <c r="IPU92" s="1"/>
      <c r="IPV92" s="1"/>
      <c r="IPW92" s="1"/>
      <c r="IPX92" s="1"/>
      <c r="IPY92" s="1"/>
      <c r="IPZ92" s="1"/>
      <c r="IQA92" s="1"/>
      <c r="IQB92" s="1"/>
      <c r="IQC92" s="1"/>
      <c r="IQD92" s="1"/>
      <c r="IQE92" s="1"/>
      <c r="IQF92" s="1"/>
      <c r="IQG92" s="1"/>
      <c r="IQH92" s="1"/>
      <c r="IQI92" s="1"/>
      <c r="IQJ92" s="1"/>
      <c r="IQK92" s="1"/>
      <c r="IQL92" s="1"/>
      <c r="IQM92" s="1"/>
      <c r="IQN92" s="1"/>
      <c r="IQO92" s="1"/>
      <c r="IQP92" s="1"/>
      <c r="IQQ92" s="1"/>
      <c r="IQR92" s="1"/>
      <c r="IQS92" s="1"/>
      <c r="IQT92" s="1"/>
      <c r="IQU92" s="1"/>
      <c r="IQV92" s="1"/>
      <c r="IQW92" s="1"/>
      <c r="IQX92" s="1"/>
      <c r="IQY92" s="1"/>
      <c r="IQZ92" s="1"/>
      <c r="IRA92" s="1"/>
      <c r="IRB92" s="1"/>
      <c r="IRC92" s="1"/>
      <c r="IRD92" s="1"/>
      <c r="IRE92" s="1"/>
      <c r="IRF92" s="1"/>
      <c r="IRG92" s="1"/>
      <c r="IRH92" s="1"/>
      <c r="IRI92" s="1"/>
      <c r="IRJ92" s="1"/>
      <c r="IRK92" s="1"/>
      <c r="IRL92" s="1"/>
      <c r="IRM92" s="1"/>
      <c r="IRN92" s="1"/>
      <c r="IRO92" s="1"/>
      <c r="IRP92" s="1"/>
      <c r="IRQ92" s="1"/>
      <c r="IRR92" s="1"/>
      <c r="IRS92" s="1"/>
      <c r="IRT92" s="1"/>
      <c r="IRU92" s="1"/>
      <c r="IRV92" s="1"/>
      <c r="IRW92" s="1"/>
      <c r="IRX92" s="1"/>
      <c r="IRY92" s="1"/>
      <c r="IRZ92" s="1"/>
      <c r="ISA92" s="1"/>
      <c r="ISB92" s="1"/>
      <c r="ISC92" s="1"/>
      <c r="ISD92" s="1"/>
      <c r="ISE92" s="1"/>
      <c r="ISF92" s="1"/>
      <c r="ISG92" s="1"/>
      <c r="ISH92" s="1"/>
      <c r="ISI92" s="1"/>
      <c r="ISJ92" s="1"/>
      <c r="ISK92" s="1"/>
      <c r="ISL92" s="1"/>
      <c r="ISM92" s="1"/>
      <c r="ISN92" s="1"/>
      <c r="ISO92" s="1"/>
      <c r="ISP92" s="1"/>
      <c r="ISQ92" s="1"/>
      <c r="ISR92" s="1"/>
      <c r="ISS92" s="1"/>
      <c r="IST92" s="1"/>
      <c r="ISU92" s="1"/>
      <c r="ISV92" s="1"/>
      <c r="ISW92" s="1"/>
      <c r="ISX92" s="1"/>
      <c r="ISY92" s="1"/>
      <c r="ISZ92" s="1"/>
      <c r="ITA92" s="1"/>
      <c r="ITB92" s="1"/>
      <c r="ITC92" s="1"/>
      <c r="ITD92" s="1"/>
      <c r="ITE92" s="1"/>
      <c r="ITF92" s="1"/>
      <c r="ITG92" s="1"/>
      <c r="ITH92" s="1"/>
      <c r="ITI92" s="1"/>
      <c r="ITJ92" s="1"/>
      <c r="ITK92" s="1"/>
      <c r="ITL92" s="1"/>
      <c r="ITM92" s="1"/>
      <c r="ITN92" s="1"/>
      <c r="ITO92" s="1"/>
      <c r="ITP92" s="1"/>
      <c r="ITQ92" s="1"/>
      <c r="ITR92" s="1"/>
      <c r="ITS92" s="1"/>
      <c r="ITT92" s="1"/>
      <c r="ITU92" s="1"/>
      <c r="ITV92" s="1"/>
      <c r="ITW92" s="1"/>
      <c r="ITX92" s="1"/>
      <c r="ITY92" s="1"/>
      <c r="ITZ92" s="1"/>
      <c r="IUA92" s="1"/>
      <c r="IUB92" s="1"/>
      <c r="IUC92" s="1"/>
      <c r="IUD92" s="1"/>
      <c r="IUE92" s="1"/>
      <c r="IUF92" s="1"/>
      <c r="IUG92" s="1"/>
      <c r="IUH92" s="1"/>
      <c r="IUI92" s="1"/>
      <c r="IUJ92" s="1"/>
      <c r="IUK92" s="1"/>
      <c r="IUL92" s="1"/>
      <c r="IUM92" s="1"/>
      <c r="IUN92" s="1"/>
      <c r="IUO92" s="1"/>
      <c r="IUP92" s="1"/>
      <c r="IUQ92" s="1"/>
      <c r="IUR92" s="1"/>
      <c r="IUS92" s="1"/>
      <c r="IUT92" s="1"/>
      <c r="IUU92" s="1"/>
      <c r="IUV92" s="1"/>
      <c r="IUW92" s="1"/>
      <c r="IUX92" s="1"/>
      <c r="IUY92" s="1"/>
      <c r="IUZ92" s="1"/>
      <c r="IVA92" s="1"/>
      <c r="IVB92" s="1"/>
      <c r="IVC92" s="1"/>
      <c r="IVD92" s="1"/>
      <c r="IVE92" s="1"/>
      <c r="IVF92" s="1"/>
      <c r="IVG92" s="1"/>
      <c r="IVH92" s="1"/>
      <c r="IVI92" s="1"/>
      <c r="IVJ92" s="1"/>
      <c r="IVK92" s="1"/>
      <c r="IVL92" s="1"/>
      <c r="IVM92" s="1"/>
      <c r="IVN92" s="1"/>
      <c r="IVO92" s="1"/>
      <c r="IVP92" s="1"/>
      <c r="IVQ92" s="1"/>
      <c r="IVR92" s="1"/>
      <c r="IVS92" s="1"/>
      <c r="IVT92" s="1"/>
      <c r="IVU92" s="1"/>
      <c r="IVV92" s="1"/>
      <c r="IVW92" s="1"/>
      <c r="IVX92" s="1"/>
      <c r="IVY92" s="1"/>
      <c r="IVZ92" s="1"/>
      <c r="IWA92" s="1"/>
      <c r="IWB92" s="1"/>
      <c r="IWC92" s="1"/>
      <c r="IWD92" s="1"/>
      <c r="IWE92" s="1"/>
      <c r="IWF92" s="1"/>
      <c r="IWG92" s="1"/>
      <c r="IWH92" s="1"/>
      <c r="IWI92" s="1"/>
      <c r="IWJ92" s="1"/>
      <c r="IWK92" s="1"/>
      <c r="IWL92" s="1"/>
      <c r="IWM92" s="1"/>
      <c r="IWN92" s="1"/>
      <c r="IWO92" s="1"/>
      <c r="IWP92" s="1"/>
      <c r="IWQ92" s="1"/>
      <c r="IWR92" s="1"/>
      <c r="IWS92" s="1"/>
      <c r="IWT92" s="1"/>
      <c r="IWU92" s="1"/>
      <c r="IWV92" s="1"/>
      <c r="IWW92" s="1"/>
      <c r="IWX92" s="1"/>
      <c r="IWY92" s="1"/>
      <c r="IWZ92" s="1"/>
      <c r="IXA92" s="1"/>
      <c r="IXB92" s="1"/>
      <c r="IXC92" s="1"/>
      <c r="IXD92" s="1"/>
      <c r="IXE92" s="1"/>
      <c r="IXF92" s="1"/>
      <c r="IXG92" s="1"/>
      <c r="IXH92" s="1"/>
      <c r="IXI92" s="1"/>
      <c r="IXJ92" s="1"/>
      <c r="IXK92" s="1"/>
      <c r="IXL92" s="1"/>
      <c r="IXM92" s="1"/>
      <c r="IXN92" s="1"/>
      <c r="IXO92" s="1"/>
      <c r="IXP92" s="1"/>
      <c r="IXQ92" s="1"/>
      <c r="IXR92" s="1"/>
      <c r="IXS92" s="1"/>
      <c r="IXT92" s="1"/>
      <c r="IXU92" s="1"/>
      <c r="IXV92" s="1"/>
      <c r="IXW92" s="1"/>
      <c r="IXX92" s="1"/>
      <c r="IXY92" s="1"/>
      <c r="IXZ92" s="1"/>
      <c r="IYA92" s="1"/>
      <c r="IYB92" s="1"/>
      <c r="IYC92" s="1"/>
      <c r="IYD92" s="1"/>
      <c r="IYE92" s="1"/>
      <c r="IYF92" s="1"/>
      <c r="IYG92" s="1"/>
      <c r="IYH92" s="1"/>
      <c r="IYI92" s="1"/>
      <c r="IYJ92" s="1"/>
      <c r="IYK92" s="1"/>
      <c r="IYL92" s="1"/>
      <c r="IYM92" s="1"/>
      <c r="IYN92" s="1"/>
      <c r="IYO92" s="1"/>
      <c r="IYP92" s="1"/>
      <c r="IYQ92" s="1"/>
      <c r="IYR92" s="1"/>
      <c r="IYS92" s="1"/>
      <c r="IYT92" s="1"/>
      <c r="IYU92" s="1"/>
      <c r="IYV92" s="1"/>
      <c r="IYW92" s="1"/>
      <c r="IYX92" s="1"/>
      <c r="IYY92" s="1"/>
      <c r="IYZ92" s="1"/>
      <c r="IZA92" s="1"/>
      <c r="IZB92" s="1"/>
      <c r="IZC92" s="1"/>
      <c r="IZD92" s="1"/>
      <c r="IZE92" s="1"/>
      <c r="IZF92" s="1"/>
      <c r="IZG92" s="1"/>
      <c r="IZH92" s="1"/>
      <c r="IZI92" s="1"/>
      <c r="IZJ92" s="1"/>
      <c r="IZK92" s="1"/>
      <c r="IZL92" s="1"/>
      <c r="IZM92" s="1"/>
      <c r="IZN92" s="1"/>
      <c r="IZO92" s="1"/>
      <c r="IZP92" s="1"/>
      <c r="IZQ92" s="1"/>
      <c r="IZR92" s="1"/>
      <c r="IZS92" s="1"/>
      <c r="IZT92" s="1"/>
      <c r="IZU92" s="1"/>
      <c r="IZV92" s="1"/>
      <c r="IZW92" s="1"/>
      <c r="IZX92" s="1"/>
      <c r="IZY92" s="1"/>
      <c r="IZZ92" s="1"/>
      <c r="JAA92" s="1"/>
      <c r="JAB92" s="1"/>
      <c r="JAC92" s="1"/>
      <c r="JAD92" s="1"/>
      <c r="JAE92" s="1"/>
      <c r="JAF92" s="1"/>
      <c r="JAG92" s="1"/>
      <c r="JAH92" s="1"/>
      <c r="JAI92" s="1"/>
      <c r="JAJ92" s="1"/>
      <c r="JAK92" s="1"/>
      <c r="JAL92" s="1"/>
      <c r="JAM92" s="1"/>
      <c r="JAN92" s="1"/>
      <c r="JAO92" s="1"/>
      <c r="JAP92" s="1"/>
      <c r="JAQ92" s="1"/>
      <c r="JAR92" s="1"/>
      <c r="JAS92" s="1"/>
      <c r="JAT92" s="1"/>
      <c r="JAU92" s="1"/>
      <c r="JAV92" s="1"/>
      <c r="JAW92" s="1"/>
      <c r="JAX92" s="1"/>
      <c r="JAY92" s="1"/>
      <c r="JAZ92" s="1"/>
      <c r="JBA92" s="1"/>
      <c r="JBB92" s="1"/>
      <c r="JBC92" s="1"/>
      <c r="JBD92" s="1"/>
      <c r="JBE92" s="1"/>
      <c r="JBF92" s="1"/>
      <c r="JBG92" s="1"/>
      <c r="JBH92" s="1"/>
      <c r="JBI92" s="1"/>
      <c r="JBJ92" s="1"/>
      <c r="JBK92" s="1"/>
      <c r="JBL92" s="1"/>
      <c r="JBM92" s="1"/>
      <c r="JBN92" s="1"/>
      <c r="JBO92" s="1"/>
      <c r="JBP92" s="1"/>
      <c r="JBQ92" s="1"/>
      <c r="JBR92" s="1"/>
      <c r="JBS92" s="1"/>
      <c r="JBT92" s="1"/>
      <c r="JBU92" s="1"/>
      <c r="JBV92" s="1"/>
      <c r="JBW92" s="1"/>
      <c r="JBX92" s="1"/>
      <c r="JBY92" s="1"/>
      <c r="JBZ92" s="1"/>
      <c r="JCA92" s="1"/>
      <c r="JCB92" s="1"/>
      <c r="JCC92" s="1"/>
      <c r="JCD92" s="1"/>
      <c r="JCE92" s="1"/>
      <c r="JCF92" s="1"/>
      <c r="JCG92" s="1"/>
      <c r="JCH92" s="1"/>
      <c r="JCI92" s="1"/>
      <c r="JCJ92" s="1"/>
      <c r="JCK92" s="1"/>
      <c r="JCL92" s="1"/>
      <c r="JCM92" s="1"/>
      <c r="JCN92" s="1"/>
      <c r="JCO92" s="1"/>
      <c r="JCP92" s="1"/>
      <c r="JCQ92" s="1"/>
      <c r="JCR92" s="1"/>
      <c r="JCS92" s="1"/>
      <c r="JCT92" s="1"/>
      <c r="JCU92" s="1"/>
      <c r="JCV92" s="1"/>
      <c r="JCW92" s="1"/>
      <c r="JCX92" s="1"/>
      <c r="JCY92" s="1"/>
      <c r="JCZ92" s="1"/>
      <c r="JDA92" s="1"/>
      <c r="JDB92" s="1"/>
      <c r="JDC92" s="1"/>
      <c r="JDD92" s="1"/>
      <c r="JDE92" s="1"/>
      <c r="JDF92" s="1"/>
      <c r="JDG92" s="1"/>
      <c r="JDH92" s="1"/>
      <c r="JDI92" s="1"/>
      <c r="JDJ92" s="1"/>
      <c r="JDK92" s="1"/>
      <c r="JDL92" s="1"/>
      <c r="JDM92" s="1"/>
      <c r="JDN92" s="1"/>
      <c r="JDO92" s="1"/>
      <c r="JDP92" s="1"/>
      <c r="JDQ92" s="1"/>
      <c r="JDR92" s="1"/>
      <c r="JDS92" s="1"/>
      <c r="JDT92" s="1"/>
      <c r="JDU92" s="1"/>
      <c r="JDV92" s="1"/>
      <c r="JDW92" s="1"/>
      <c r="JDX92" s="1"/>
      <c r="JDY92" s="1"/>
      <c r="JDZ92" s="1"/>
      <c r="JEA92" s="1"/>
      <c r="JEB92" s="1"/>
      <c r="JEC92" s="1"/>
      <c r="JED92" s="1"/>
      <c r="JEE92" s="1"/>
      <c r="JEF92" s="1"/>
      <c r="JEG92" s="1"/>
      <c r="JEH92" s="1"/>
      <c r="JEI92" s="1"/>
      <c r="JEJ92" s="1"/>
      <c r="JEK92" s="1"/>
      <c r="JEL92" s="1"/>
      <c r="JEM92" s="1"/>
      <c r="JEN92" s="1"/>
      <c r="JEO92" s="1"/>
      <c r="JEP92" s="1"/>
      <c r="JEQ92" s="1"/>
      <c r="JER92" s="1"/>
      <c r="JES92" s="1"/>
      <c r="JET92" s="1"/>
      <c r="JEU92" s="1"/>
      <c r="JEV92" s="1"/>
      <c r="JEW92" s="1"/>
      <c r="JEX92" s="1"/>
      <c r="JEY92" s="1"/>
      <c r="JEZ92" s="1"/>
      <c r="JFA92" s="1"/>
      <c r="JFB92" s="1"/>
      <c r="JFC92" s="1"/>
      <c r="JFD92" s="1"/>
      <c r="JFE92" s="1"/>
      <c r="JFF92" s="1"/>
      <c r="JFG92" s="1"/>
      <c r="JFH92" s="1"/>
      <c r="JFI92" s="1"/>
      <c r="JFJ92" s="1"/>
      <c r="JFK92" s="1"/>
      <c r="JFL92" s="1"/>
      <c r="JFM92" s="1"/>
      <c r="JFN92" s="1"/>
      <c r="JFO92" s="1"/>
      <c r="JFP92" s="1"/>
      <c r="JFQ92" s="1"/>
      <c r="JFR92" s="1"/>
      <c r="JFS92" s="1"/>
      <c r="JFT92" s="1"/>
      <c r="JFU92" s="1"/>
      <c r="JFV92" s="1"/>
      <c r="JFW92" s="1"/>
      <c r="JFX92" s="1"/>
      <c r="JFY92" s="1"/>
      <c r="JFZ92" s="1"/>
      <c r="JGA92" s="1"/>
      <c r="JGB92" s="1"/>
      <c r="JGC92" s="1"/>
      <c r="JGD92" s="1"/>
      <c r="JGE92" s="1"/>
      <c r="JGF92" s="1"/>
      <c r="JGG92" s="1"/>
      <c r="JGH92" s="1"/>
      <c r="JGI92" s="1"/>
      <c r="JGJ92" s="1"/>
      <c r="JGK92" s="1"/>
      <c r="JGL92" s="1"/>
      <c r="JGM92" s="1"/>
      <c r="JGN92" s="1"/>
      <c r="JGO92" s="1"/>
      <c r="JGP92" s="1"/>
      <c r="JGQ92" s="1"/>
      <c r="JGR92" s="1"/>
      <c r="JGS92" s="1"/>
      <c r="JGT92" s="1"/>
      <c r="JGU92" s="1"/>
      <c r="JGV92" s="1"/>
      <c r="JGW92" s="1"/>
      <c r="JGX92" s="1"/>
      <c r="JGY92" s="1"/>
      <c r="JGZ92" s="1"/>
      <c r="JHA92" s="1"/>
      <c r="JHB92" s="1"/>
      <c r="JHC92" s="1"/>
      <c r="JHD92" s="1"/>
      <c r="JHE92" s="1"/>
      <c r="JHF92" s="1"/>
      <c r="JHG92" s="1"/>
      <c r="JHH92" s="1"/>
      <c r="JHI92" s="1"/>
      <c r="JHJ92" s="1"/>
      <c r="JHK92" s="1"/>
      <c r="JHL92" s="1"/>
      <c r="JHM92" s="1"/>
      <c r="JHN92" s="1"/>
      <c r="JHO92" s="1"/>
      <c r="JHP92" s="1"/>
      <c r="JHQ92" s="1"/>
      <c r="JHR92" s="1"/>
      <c r="JHS92" s="1"/>
      <c r="JHT92" s="1"/>
      <c r="JHU92" s="1"/>
      <c r="JHV92" s="1"/>
      <c r="JHW92" s="1"/>
      <c r="JHX92" s="1"/>
      <c r="JHY92" s="1"/>
      <c r="JHZ92" s="1"/>
      <c r="JIA92" s="1"/>
      <c r="JIB92" s="1"/>
      <c r="JIC92" s="1"/>
      <c r="JID92" s="1"/>
      <c r="JIE92" s="1"/>
      <c r="JIF92" s="1"/>
      <c r="JIG92" s="1"/>
      <c r="JIH92" s="1"/>
      <c r="JII92" s="1"/>
      <c r="JIJ92" s="1"/>
      <c r="JIK92" s="1"/>
      <c r="JIL92" s="1"/>
      <c r="JIM92" s="1"/>
      <c r="JIN92" s="1"/>
      <c r="JIO92" s="1"/>
      <c r="JIP92" s="1"/>
      <c r="JIQ92" s="1"/>
      <c r="JIR92" s="1"/>
      <c r="JIS92" s="1"/>
      <c r="JIT92" s="1"/>
      <c r="JIU92" s="1"/>
      <c r="JIV92" s="1"/>
      <c r="JIW92" s="1"/>
      <c r="JIX92" s="1"/>
      <c r="JIY92" s="1"/>
      <c r="JIZ92" s="1"/>
      <c r="JJA92" s="1"/>
      <c r="JJB92" s="1"/>
      <c r="JJC92" s="1"/>
      <c r="JJD92" s="1"/>
      <c r="JJE92" s="1"/>
      <c r="JJF92" s="1"/>
      <c r="JJG92" s="1"/>
      <c r="JJH92" s="1"/>
      <c r="JJI92" s="1"/>
      <c r="JJJ92" s="1"/>
      <c r="JJK92" s="1"/>
      <c r="JJL92" s="1"/>
      <c r="JJM92" s="1"/>
      <c r="JJN92" s="1"/>
      <c r="JJO92" s="1"/>
      <c r="JJP92" s="1"/>
      <c r="JJQ92" s="1"/>
      <c r="JJR92" s="1"/>
      <c r="JJS92" s="1"/>
      <c r="JJT92" s="1"/>
      <c r="JJU92" s="1"/>
      <c r="JJV92" s="1"/>
      <c r="JJW92" s="1"/>
      <c r="JJX92" s="1"/>
      <c r="JJY92" s="1"/>
      <c r="JJZ92" s="1"/>
      <c r="JKA92" s="1"/>
      <c r="JKB92" s="1"/>
      <c r="JKC92" s="1"/>
      <c r="JKD92" s="1"/>
      <c r="JKE92" s="1"/>
      <c r="JKF92" s="1"/>
      <c r="JKG92" s="1"/>
      <c r="JKH92" s="1"/>
      <c r="JKI92" s="1"/>
      <c r="JKJ92" s="1"/>
      <c r="JKK92" s="1"/>
      <c r="JKL92" s="1"/>
      <c r="JKM92" s="1"/>
      <c r="JKN92" s="1"/>
      <c r="JKO92" s="1"/>
      <c r="JKP92" s="1"/>
      <c r="JKQ92" s="1"/>
      <c r="JKR92" s="1"/>
      <c r="JKS92" s="1"/>
      <c r="JKT92" s="1"/>
      <c r="JKU92" s="1"/>
      <c r="JKV92" s="1"/>
      <c r="JKW92" s="1"/>
      <c r="JKX92" s="1"/>
      <c r="JKY92" s="1"/>
      <c r="JKZ92" s="1"/>
      <c r="JLA92" s="1"/>
      <c r="JLB92" s="1"/>
      <c r="JLC92" s="1"/>
      <c r="JLD92" s="1"/>
      <c r="JLE92" s="1"/>
      <c r="JLF92" s="1"/>
      <c r="JLG92" s="1"/>
      <c r="JLH92" s="1"/>
      <c r="JLI92" s="1"/>
      <c r="JLJ92" s="1"/>
      <c r="JLK92" s="1"/>
      <c r="JLL92" s="1"/>
      <c r="JLM92" s="1"/>
      <c r="JLN92" s="1"/>
      <c r="JLO92" s="1"/>
      <c r="JLP92" s="1"/>
      <c r="JLQ92" s="1"/>
      <c r="JLR92" s="1"/>
      <c r="JLS92" s="1"/>
      <c r="JLT92" s="1"/>
      <c r="JLU92" s="1"/>
      <c r="JLV92" s="1"/>
      <c r="JLW92" s="1"/>
      <c r="JLX92" s="1"/>
      <c r="JLY92" s="1"/>
      <c r="JLZ92" s="1"/>
      <c r="JMA92" s="1"/>
      <c r="JMB92" s="1"/>
      <c r="JMC92" s="1"/>
      <c r="JMD92" s="1"/>
      <c r="JME92" s="1"/>
      <c r="JMF92" s="1"/>
      <c r="JMG92" s="1"/>
      <c r="JMH92" s="1"/>
      <c r="JMI92" s="1"/>
      <c r="JMJ92" s="1"/>
      <c r="JMK92" s="1"/>
      <c r="JML92" s="1"/>
      <c r="JMM92" s="1"/>
      <c r="JMN92" s="1"/>
      <c r="JMO92" s="1"/>
      <c r="JMP92" s="1"/>
      <c r="JMQ92" s="1"/>
      <c r="JMR92" s="1"/>
      <c r="JMS92" s="1"/>
      <c r="JMT92" s="1"/>
      <c r="JMU92" s="1"/>
      <c r="JMV92" s="1"/>
      <c r="JMW92" s="1"/>
      <c r="JMX92" s="1"/>
      <c r="JMY92" s="1"/>
      <c r="JMZ92" s="1"/>
      <c r="JNA92" s="1"/>
      <c r="JNB92" s="1"/>
      <c r="JNC92" s="1"/>
      <c r="JND92" s="1"/>
      <c r="JNE92" s="1"/>
      <c r="JNF92" s="1"/>
      <c r="JNG92" s="1"/>
      <c r="JNH92" s="1"/>
      <c r="JNI92" s="1"/>
      <c r="JNJ92" s="1"/>
      <c r="JNK92" s="1"/>
      <c r="JNL92" s="1"/>
      <c r="JNM92" s="1"/>
      <c r="JNN92" s="1"/>
      <c r="JNO92" s="1"/>
      <c r="JNP92" s="1"/>
      <c r="JNQ92" s="1"/>
      <c r="JNR92" s="1"/>
      <c r="JNS92" s="1"/>
      <c r="JNT92" s="1"/>
      <c r="JNU92" s="1"/>
      <c r="JNV92" s="1"/>
      <c r="JNW92" s="1"/>
      <c r="JNX92" s="1"/>
      <c r="JNY92" s="1"/>
      <c r="JNZ92" s="1"/>
      <c r="JOA92" s="1"/>
      <c r="JOB92" s="1"/>
      <c r="JOC92" s="1"/>
      <c r="JOD92" s="1"/>
      <c r="JOE92" s="1"/>
      <c r="JOF92" s="1"/>
      <c r="JOG92" s="1"/>
      <c r="JOH92" s="1"/>
      <c r="JOI92" s="1"/>
      <c r="JOJ92" s="1"/>
      <c r="JOK92" s="1"/>
      <c r="JOL92" s="1"/>
      <c r="JOM92" s="1"/>
      <c r="JON92" s="1"/>
      <c r="JOO92" s="1"/>
      <c r="JOP92" s="1"/>
      <c r="JOQ92" s="1"/>
      <c r="JOR92" s="1"/>
      <c r="JOS92" s="1"/>
      <c r="JOT92" s="1"/>
      <c r="JOU92" s="1"/>
      <c r="JOV92" s="1"/>
      <c r="JOW92" s="1"/>
      <c r="JOX92" s="1"/>
      <c r="JOY92" s="1"/>
      <c r="JOZ92" s="1"/>
      <c r="JPA92" s="1"/>
      <c r="JPB92" s="1"/>
      <c r="JPC92" s="1"/>
      <c r="JPD92" s="1"/>
      <c r="JPE92" s="1"/>
      <c r="JPF92" s="1"/>
      <c r="JPG92" s="1"/>
      <c r="JPH92" s="1"/>
      <c r="JPI92" s="1"/>
      <c r="JPJ92" s="1"/>
      <c r="JPK92" s="1"/>
      <c r="JPL92" s="1"/>
      <c r="JPM92" s="1"/>
      <c r="JPN92" s="1"/>
      <c r="JPO92" s="1"/>
      <c r="JPP92" s="1"/>
      <c r="JPQ92" s="1"/>
      <c r="JPR92" s="1"/>
      <c r="JPS92" s="1"/>
      <c r="JPT92" s="1"/>
      <c r="JPU92" s="1"/>
      <c r="JPV92" s="1"/>
      <c r="JPW92" s="1"/>
      <c r="JPX92" s="1"/>
      <c r="JPY92" s="1"/>
      <c r="JPZ92" s="1"/>
      <c r="JQA92" s="1"/>
      <c r="JQB92" s="1"/>
      <c r="JQC92" s="1"/>
      <c r="JQD92" s="1"/>
      <c r="JQE92" s="1"/>
      <c r="JQF92" s="1"/>
      <c r="JQG92" s="1"/>
      <c r="JQH92" s="1"/>
      <c r="JQI92" s="1"/>
      <c r="JQJ92" s="1"/>
      <c r="JQK92" s="1"/>
      <c r="JQL92" s="1"/>
      <c r="JQM92" s="1"/>
      <c r="JQN92" s="1"/>
      <c r="JQO92" s="1"/>
      <c r="JQP92" s="1"/>
      <c r="JQQ92" s="1"/>
      <c r="JQR92" s="1"/>
      <c r="JQS92" s="1"/>
      <c r="JQT92" s="1"/>
      <c r="JQU92" s="1"/>
      <c r="JQV92" s="1"/>
      <c r="JQW92" s="1"/>
      <c r="JQX92" s="1"/>
      <c r="JQY92" s="1"/>
      <c r="JQZ92" s="1"/>
      <c r="JRA92" s="1"/>
      <c r="JRB92" s="1"/>
      <c r="JRC92" s="1"/>
      <c r="JRD92" s="1"/>
      <c r="JRE92" s="1"/>
      <c r="JRF92" s="1"/>
      <c r="JRG92" s="1"/>
      <c r="JRH92" s="1"/>
      <c r="JRI92" s="1"/>
      <c r="JRJ92" s="1"/>
      <c r="JRK92" s="1"/>
      <c r="JRL92" s="1"/>
      <c r="JRM92" s="1"/>
      <c r="JRN92" s="1"/>
      <c r="JRO92" s="1"/>
      <c r="JRP92" s="1"/>
      <c r="JRQ92" s="1"/>
      <c r="JRR92" s="1"/>
      <c r="JRS92" s="1"/>
      <c r="JRT92" s="1"/>
      <c r="JRU92" s="1"/>
      <c r="JRV92" s="1"/>
      <c r="JRW92" s="1"/>
      <c r="JRX92" s="1"/>
      <c r="JRY92" s="1"/>
      <c r="JRZ92" s="1"/>
      <c r="JSA92" s="1"/>
      <c r="JSB92" s="1"/>
      <c r="JSC92" s="1"/>
      <c r="JSD92" s="1"/>
      <c r="JSE92" s="1"/>
      <c r="JSF92" s="1"/>
      <c r="JSG92" s="1"/>
      <c r="JSH92" s="1"/>
      <c r="JSI92" s="1"/>
      <c r="JSJ92" s="1"/>
      <c r="JSK92" s="1"/>
      <c r="JSL92" s="1"/>
      <c r="JSM92" s="1"/>
      <c r="JSN92" s="1"/>
      <c r="JSO92" s="1"/>
      <c r="JSP92" s="1"/>
      <c r="JSQ92" s="1"/>
      <c r="JSR92" s="1"/>
      <c r="JSS92" s="1"/>
      <c r="JST92" s="1"/>
      <c r="JSU92" s="1"/>
      <c r="JSV92" s="1"/>
      <c r="JSW92" s="1"/>
      <c r="JSX92" s="1"/>
      <c r="JSY92" s="1"/>
      <c r="JSZ92" s="1"/>
      <c r="JTA92" s="1"/>
      <c r="JTB92" s="1"/>
      <c r="JTC92" s="1"/>
      <c r="JTD92" s="1"/>
      <c r="JTE92" s="1"/>
      <c r="JTF92" s="1"/>
      <c r="JTG92" s="1"/>
      <c r="JTH92" s="1"/>
      <c r="JTI92" s="1"/>
      <c r="JTJ92" s="1"/>
      <c r="JTK92" s="1"/>
      <c r="JTL92" s="1"/>
      <c r="JTM92" s="1"/>
      <c r="JTN92" s="1"/>
      <c r="JTO92" s="1"/>
      <c r="JTP92" s="1"/>
      <c r="JTQ92" s="1"/>
      <c r="JTR92" s="1"/>
      <c r="JTS92" s="1"/>
      <c r="JTT92" s="1"/>
      <c r="JTU92" s="1"/>
      <c r="JTV92" s="1"/>
      <c r="JTW92" s="1"/>
      <c r="JTX92" s="1"/>
      <c r="JTY92" s="1"/>
      <c r="JTZ92" s="1"/>
      <c r="JUA92" s="1"/>
      <c r="JUB92" s="1"/>
      <c r="JUC92" s="1"/>
      <c r="JUD92" s="1"/>
      <c r="JUE92" s="1"/>
      <c r="JUF92" s="1"/>
      <c r="JUG92" s="1"/>
      <c r="JUH92" s="1"/>
      <c r="JUI92" s="1"/>
      <c r="JUJ92" s="1"/>
      <c r="JUK92" s="1"/>
      <c r="JUL92" s="1"/>
      <c r="JUM92" s="1"/>
      <c r="JUN92" s="1"/>
      <c r="JUO92" s="1"/>
      <c r="JUP92" s="1"/>
      <c r="JUQ92" s="1"/>
      <c r="JUR92" s="1"/>
      <c r="JUS92" s="1"/>
      <c r="JUT92" s="1"/>
      <c r="JUU92" s="1"/>
      <c r="JUV92" s="1"/>
      <c r="JUW92" s="1"/>
      <c r="JUX92" s="1"/>
      <c r="JUY92" s="1"/>
      <c r="JUZ92" s="1"/>
      <c r="JVA92" s="1"/>
      <c r="JVB92" s="1"/>
      <c r="JVC92" s="1"/>
      <c r="JVD92" s="1"/>
      <c r="JVE92" s="1"/>
      <c r="JVF92" s="1"/>
      <c r="JVG92" s="1"/>
      <c r="JVH92" s="1"/>
      <c r="JVI92" s="1"/>
      <c r="JVJ92" s="1"/>
      <c r="JVK92" s="1"/>
      <c r="JVL92" s="1"/>
      <c r="JVM92" s="1"/>
      <c r="JVN92" s="1"/>
      <c r="JVO92" s="1"/>
      <c r="JVP92" s="1"/>
      <c r="JVQ92" s="1"/>
      <c r="JVR92" s="1"/>
      <c r="JVS92" s="1"/>
      <c r="JVT92" s="1"/>
      <c r="JVU92" s="1"/>
      <c r="JVV92" s="1"/>
      <c r="JVW92" s="1"/>
      <c r="JVX92" s="1"/>
      <c r="JVY92" s="1"/>
      <c r="JVZ92" s="1"/>
      <c r="JWA92" s="1"/>
      <c r="JWB92" s="1"/>
      <c r="JWC92" s="1"/>
      <c r="JWD92" s="1"/>
      <c r="JWE92" s="1"/>
      <c r="JWF92" s="1"/>
      <c r="JWG92" s="1"/>
      <c r="JWH92" s="1"/>
      <c r="JWI92" s="1"/>
      <c r="JWJ92" s="1"/>
      <c r="JWK92" s="1"/>
      <c r="JWL92" s="1"/>
      <c r="JWM92" s="1"/>
      <c r="JWN92" s="1"/>
      <c r="JWO92" s="1"/>
      <c r="JWP92" s="1"/>
      <c r="JWQ92" s="1"/>
      <c r="JWR92" s="1"/>
      <c r="JWS92" s="1"/>
      <c r="JWT92" s="1"/>
      <c r="JWU92" s="1"/>
      <c r="JWV92" s="1"/>
      <c r="JWW92" s="1"/>
      <c r="JWX92" s="1"/>
      <c r="JWY92" s="1"/>
      <c r="JWZ92" s="1"/>
      <c r="JXA92" s="1"/>
      <c r="JXB92" s="1"/>
      <c r="JXC92" s="1"/>
      <c r="JXD92" s="1"/>
      <c r="JXE92" s="1"/>
      <c r="JXF92" s="1"/>
      <c r="JXG92" s="1"/>
      <c r="JXH92" s="1"/>
      <c r="JXI92" s="1"/>
      <c r="JXJ92" s="1"/>
      <c r="JXK92" s="1"/>
      <c r="JXL92" s="1"/>
      <c r="JXM92" s="1"/>
      <c r="JXN92" s="1"/>
      <c r="JXO92" s="1"/>
      <c r="JXP92" s="1"/>
      <c r="JXQ92" s="1"/>
      <c r="JXR92" s="1"/>
      <c r="JXS92" s="1"/>
      <c r="JXT92" s="1"/>
      <c r="JXU92" s="1"/>
      <c r="JXV92" s="1"/>
      <c r="JXW92" s="1"/>
      <c r="JXX92" s="1"/>
      <c r="JXY92" s="1"/>
      <c r="JXZ92" s="1"/>
      <c r="JYA92" s="1"/>
      <c r="JYB92" s="1"/>
      <c r="JYC92" s="1"/>
      <c r="JYD92" s="1"/>
      <c r="JYE92" s="1"/>
      <c r="JYF92" s="1"/>
      <c r="JYG92" s="1"/>
      <c r="JYH92" s="1"/>
      <c r="JYI92" s="1"/>
      <c r="JYJ92" s="1"/>
      <c r="JYK92" s="1"/>
      <c r="JYL92" s="1"/>
      <c r="JYM92" s="1"/>
      <c r="JYN92" s="1"/>
      <c r="JYO92" s="1"/>
      <c r="JYP92" s="1"/>
      <c r="JYQ92" s="1"/>
      <c r="JYR92" s="1"/>
      <c r="JYS92" s="1"/>
      <c r="JYT92" s="1"/>
      <c r="JYU92" s="1"/>
      <c r="JYV92" s="1"/>
      <c r="JYW92" s="1"/>
      <c r="JYX92" s="1"/>
      <c r="JYY92" s="1"/>
      <c r="JYZ92" s="1"/>
      <c r="JZA92" s="1"/>
      <c r="JZB92" s="1"/>
      <c r="JZC92" s="1"/>
      <c r="JZD92" s="1"/>
      <c r="JZE92" s="1"/>
      <c r="JZF92" s="1"/>
      <c r="JZG92" s="1"/>
      <c r="JZH92" s="1"/>
      <c r="JZI92" s="1"/>
      <c r="JZJ92" s="1"/>
      <c r="JZK92" s="1"/>
      <c r="JZL92" s="1"/>
      <c r="JZM92" s="1"/>
      <c r="JZN92" s="1"/>
      <c r="JZO92" s="1"/>
      <c r="JZP92" s="1"/>
      <c r="JZQ92" s="1"/>
      <c r="JZR92" s="1"/>
      <c r="JZS92" s="1"/>
      <c r="JZT92" s="1"/>
      <c r="JZU92" s="1"/>
      <c r="JZV92" s="1"/>
      <c r="JZW92" s="1"/>
      <c r="JZX92" s="1"/>
      <c r="JZY92" s="1"/>
      <c r="JZZ92" s="1"/>
      <c r="KAA92" s="1"/>
      <c r="KAB92" s="1"/>
      <c r="KAC92" s="1"/>
      <c r="KAD92" s="1"/>
      <c r="KAE92" s="1"/>
      <c r="KAF92" s="1"/>
      <c r="KAG92" s="1"/>
      <c r="KAH92" s="1"/>
      <c r="KAI92" s="1"/>
      <c r="KAJ92" s="1"/>
      <c r="KAK92" s="1"/>
      <c r="KAL92" s="1"/>
      <c r="KAM92" s="1"/>
      <c r="KAN92" s="1"/>
      <c r="KAO92" s="1"/>
      <c r="KAP92" s="1"/>
      <c r="KAQ92" s="1"/>
      <c r="KAR92" s="1"/>
      <c r="KAS92" s="1"/>
      <c r="KAT92" s="1"/>
      <c r="KAU92" s="1"/>
      <c r="KAV92" s="1"/>
      <c r="KAW92" s="1"/>
      <c r="KAX92" s="1"/>
      <c r="KAY92" s="1"/>
      <c r="KAZ92" s="1"/>
      <c r="KBA92" s="1"/>
      <c r="KBB92" s="1"/>
      <c r="KBC92" s="1"/>
      <c r="KBD92" s="1"/>
      <c r="KBE92" s="1"/>
      <c r="KBF92" s="1"/>
      <c r="KBG92" s="1"/>
      <c r="KBH92" s="1"/>
      <c r="KBI92" s="1"/>
      <c r="KBJ92" s="1"/>
      <c r="KBK92" s="1"/>
      <c r="KBL92" s="1"/>
      <c r="KBM92" s="1"/>
      <c r="KBN92" s="1"/>
      <c r="KBO92" s="1"/>
      <c r="KBP92" s="1"/>
      <c r="KBQ92" s="1"/>
      <c r="KBR92" s="1"/>
      <c r="KBS92" s="1"/>
      <c r="KBT92" s="1"/>
      <c r="KBU92" s="1"/>
      <c r="KBV92" s="1"/>
      <c r="KBW92" s="1"/>
      <c r="KBX92" s="1"/>
      <c r="KBY92" s="1"/>
      <c r="KBZ92" s="1"/>
      <c r="KCA92" s="1"/>
      <c r="KCB92" s="1"/>
      <c r="KCC92" s="1"/>
      <c r="KCD92" s="1"/>
      <c r="KCE92" s="1"/>
      <c r="KCF92" s="1"/>
      <c r="KCG92" s="1"/>
      <c r="KCH92" s="1"/>
      <c r="KCI92" s="1"/>
      <c r="KCJ92" s="1"/>
      <c r="KCK92" s="1"/>
      <c r="KCL92" s="1"/>
      <c r="KCM92" s="1"/>
      <c r="KCN92" s="1"/>
      <c r="KCO92" s="1"/>
      <c r="KCP92" s="1"/>
      <c r="KCQ92" s="1"/>
      <c r="KCR92" s="1"/>
      <c r="KCS92" s="1"/>
      <c r="KCT92" s="1"/>
      <c r="KCU92" s="1"/>
      <c r="KCV92" s="1"/>
      <c r="KCW92" s="1"/>
      <c r="KCX92" s="1"/>
      <c r="KCY92" s="1"/>
      <c r="KCZ92" s="1"/>
      <c r="KDA92" s="1"/>
      <c r="KDB92" s="1"/>
      <c r="KDC92" s="1"/>
      <c r="KDD92" s="1"/>
      <c r="KDE92" s="1"/>
      <c r="KDF92" s="1"/>
      <c r="KDG92" s="1"/>
      <c r="KDH92" s="1"/>
      <c r="KDI92" s="1"/>
      <c r="KDJ92" s="1"/>
      <c r="KDK92" s="1"/>
      <c r="KDL92" s="1"/>
      <c r="KDM92" s="1"/>
      <c r="KDN92" s="1"/>
      <c r="KDO92" s="1"/>
      <c r="KDP92" s="1"/>
      <c r="KDQ92" s="1"/>
      <c r="KDR92" s="1"/>
      <c r="KDS92" s="1"/>
      <c r="KDT92" s="1"/>
      <c r="KDU92" s="1"/>
      <c r="KDV92" s="1"/>
      <c r="KDW92" s="1"/>
      <c r="KDX92" s="1"/>
      <c r="KDY92" s="1"/>
      <c r="KDZ92" s="1"/>
      <c r="KEA92" s="1"/>
      <c r="KEB92" s="1"/>
      <c r="KEC92" s="1"/>
      <c r="KED92" s="1"/>
      <c r="KEE92" s="1"/>
      <c r="KEF92" s="1"/>
      <c r="KEG92" s="1"/>
      <c r="KEH92" s="1"/>
      <c r="KEI92" s="1"/>
      <c r="KEJ92" s="1"/>
      <c r="KEK92" s="1"/>
      <c r="KEL92" s="1"/>
      <c r="KEM92" s="1"/>
      <c r="KEN92" s="1"/>
      <c r="KEO92" s="1"/>
      <c r="KEP92" s="1"/>
      <c r="KEQ92" s="1"/>
      <c r="KER92" s="1"/>
      <c r="KES92" s="1"/>
      <c r="KET92" s="1"/>
      <c r="KEU92" s="1"/>
      <c r="KEV92" s="1"/>
      <c r="KEW92" s="1"/>
      <c r="KEX92" s="1"/>
      <c r="KEY92" s="1"/>
      <c r="KEZ92" s="1"/>
      <c r="KFA92" s="1"/>
      <c r="KFB92" s="1"/>
      <c r="KFC92" s="1"/>
      <c r="KFD92" s="1"/>
      <c r="KFE92" s="1"/>
      <c r="KFF92" s="1"/>
      <c r="KFG92" s="1"/>
      <c r="KFH92" s="1"/>
      <c r="KFI92" s="1"/>
      <c r="KFJ92" s="1"/>
      <c r="KFK92" s="1"/>
      <c r="KFL92" s="1"/>
      <c r="KFM92" s="1"/>
      <c r="KFN92" s="1"/>
      <c r="KFO92" s="1"/>
      <c r="KFP92" s="1"/>
      <c r="KFQ92" s="1"/>
      <c r="KFR92" s="1"/>
      <c r="KFS92" s="1"/>
      <c r="KFT92" s="1"/>
      <c r="KFU92" s="1"/>
      <c r="KFV92" s="1"/>
      <c r="KFW92" s="1"/>
      <c r="KFX92" s="1"/>
      <c r="KFY92" s="1"/>
      <c r="KFZ92" s="1"/>
      <c r="KGA92" s="1"/>
      <c r="KGB92" s="1"/>
      <c r="KGC92" s="1"/>
      <c r="KGD92" s="1"/>
      <c r="KGE92" s="1"/>
      <c r="KGF92" s="1"/>
      <c r="KGG92" s="1"/>
      <c r="KGH92" s="1"/>
      <c r="KGI92" s="1"/>
      <c r="KGJ92" s="1"/>
      <c r="KGK92" s="1"/>
      <c r="KGL92" s="1"/>
      <c r="KGM92" s="1"/>
      <c r="KGN92" s="1"/>
      <c r="KGO92" s="1"/>
      <c r="KGP92" s="1"/>
      <c r="KGQ92" s="1"/>
      <c r="KGR92" s="1"/>
      <c r="KGS92" s="1"/>
      <c r="KGT92" s="1"/>
      <c r="KGU92" s="1"/>
      <c r="KGV92" s="1"/>
      <c r="KGW92" s="1"/>
      <c r="KGX92" s="1"/>
      <c r="KGY92" s="1"/>
      <c r="KGZ92" s="1"/>
      <c r="KHA92" s="1"/>
      <c r="KHB92" s="1"/>
      <c r="KHC92" s="1"/>
      <c r="KHD92" s="1"/>
      <c r="KHE92" s="1"/>
      <c r="KHF92" s="1"/>
      <c r="KHG92" s="1"/>
      <c r="KHH92" s="1"/>
      <c r="KHI92" s="1"/>
      <c r="KHJ92" s="1"/>
      <c r="KHK92" s="1"/>
      <c r="KHL92" s="1"/>
      <c r="KHM92" s="1"/>
      <c r="KHN92" s="1"/>
      <c r="KHO92" s="1"/>
      <c r="KHP92" s="1"/>
      <c r="KHQ92" s="1"/>
      <c r="KHR92" s="1"/>
      <c r="KHS92" s="1"/>
      <c r="KHT92" s="1"/>
      <c r="KHU92" s="1"/>
      <c r="KHV92" s="1"/>
      <c r="KHW92" s="1"/>
      <c r="KHX92" s="1"/>
      <c r="KHY92" s="1"/>
      <c r="KHZ92" s="1"/>
      <c r="KIA92" s="1"/>
      <c r="KIB92" s="1"/>
      <c r="KIC92" s="1"/>
      <c r="KID92" s="1"/>
      <c r="KIE92" s="1"/>
      <c r="KIF92" s="1"/>
      <c r="KIG92" s="1"/>
      <c r="KIH92" s="1"/>
      <c r="KII92" s="1"/>
      <c r="KIJ92" s="1"/>
      <c r="KIK92" s="1"/>
      <c r="KIL92" s="1"/>
      <c r="KIM92" s="1"/>
      <c r="KIN92" s="1"/>
      <c r="KIO92" s="1"/>
      <c r="KIP92" s="1"/>
      <c r="KIQ92" s="1"/>
      <c r="KIR92" s="1"/>
      <c r="KIS92" s="1"/>
      <c r="KIT92" s="1"/>
      <c r="KIU92" s="1"/>
      <c r="KIV92" s="1"/>
      <c r="KIW92" s="1"/>
      <c r="KIX92" s="1"/>
      <c r="KIY92" s="1"/>
      <c r="KIZ92" s="1"/>
      <c r="KJA92" s="1"/>
      <c r="KJB92" s="1"/>
      <c r="KJC92" s="1"/>
      <c r="KJD92" s="1"/>
      <c r="KJE92" s="1"/>
      <c r="KJF92" s="1"/>
      <c r="KJG92" s="1"/>
      <c r="KJH92" s="1"/>
      <c r="KJI92" s="1"/>
      <c r="KJJ92" s="1"/>
      <c r="KJK92" s="1"/>
      <c r="KJL92" s="1"/>
      <c r="KJM92" s="1"/>
      <c r="KJN92" s="1"/>
      <c r="KJO92" s="1"/>
      <c r="KJP92" s="1"/>
      <c r="KJQ92" s="1"/>
      <c r="KJR92" s="1"/>
      <c r="KJS92" s="1"/>
      <c r="KJT92" s="1"/>
      <c r="KJU92" s="1"/>
      <c r="KJV92" s="1"/>
      <c r="KJW92" s="1"/>
      <c r="KJX92" s="1"/>
      <c r="KJY92" s="1"/>
      <c r="KJZ92" s="1"/>
      <c r="KKA92" s="1"/>
      <c r="KKB92" s="1"/>
      <c r="KKC92" s="1"/>
      <c r="KKD92" s="1"/>
      <c r="KKE92" s="1"/>
      <c r="KKF92" s="1"/>
      <c r="KKG92" s="1"/>
      <c r="KKH92" s="1"/>
      <c r="KKI92" s="1"/>
      <c r="KKJ92" s="1"/>
      <c r="KKK92" s="1"/>
      <c r="KKL92" s="1"/>
      <c r="KKM92" s="1"/>
      <c r="KKN92" s="1"/>
      <c r="KKO92" s="1"/>
      <c r="KKP92" s="1"/>
      <c r="KKQ92" s="1"/>
      <c r="KKR92" s="1"/>
      <c r="KKS92" s="1"/>
      <c r="KKT92" s="1"/>
      <c r="KKU92" s="1"/>
      <c r="KKV92" s="1"/>
      <c r="KKW92" s="1"/>
      <c r="KKX92" s="1"/>
      <c r="KKY92" s="1"/>
      <c r="KKZ92" s="1"/>
      <c r="KLA92" s="1"/>
      <c r="KLB92" s="1"/>
      <c r="KLC92" s="1"/>
      <c r="KLD92" s="1"/>
      <c r="KLE92" s="1"/>
      <c r="KLF92" s="1"/>
      <c r="KLG92" s="1"/>
      <c r="KLH92" s="1"/>
      <c r="KLI92" s="1"/>
      <c r="KLJ92" s="1"/>
      <c r="KLK92" s="1"/>
      <c r="KLL92" s="1"/>
      <c r="KLM92" s="1"/>
      <c r="KLN92" s="1"/>
      <c r="KLO92" s="1"/>
      <c r="KLP92" s="1"/>
      <c r="KLQ92" s="1"/>
      <c r="KLR92" s="1"/>
      <c r="KLS92" s="1"/>
      <c r="KLT92" s="1"/>
      <c r="KLU92" s="1"/>
      <c r="KLV92" s="1"/>
      <c r="KLW92" s="1"/>
      <c r="KLX92" s="1"/>
      <c r="KLY92" s="1"/>
      <c r="KLZ92" s="1"/>
      <c r="KMA92" s="1"/>
      <c r="KMB92" s="1"/>
      <c r="KMC92" s="1"/>
      <c r="KMD92" s="1"/>
      <c r="KME92" s="1"/>
      <c r="KMF92" s="1"/>
      <c r="KMG92" s="1"/>
      <c r="KMH92" s="1"/>
      <c r="KMI92" s="1"/>
      <c r="KMJ92" s="1"/>
      <c r="KMK92" s="1"/>
      <c r="KML92" s="1"/>
      <c r="KMM92" s="1"/>
      <c r="KMN92" s="1"/>
      <c r="KMO92" s="1"/>
      <c r="KMP92" s="1"/>
      <c r="KMQ92" s="1"/>
      <c r="KMR92" s="1"/>
      <c r="KMS92" s="1"/>
      <c r="KMT92" s="1"/>
      <c r="KMU92" s="1"/>
      <c r="KMV92" s="1"/>
      <c r="KMW92" s="1"/>
      <c r="KMX92" s="1"/>
      <c r="KMY92" s="1"/>
      <c r="KMZ92" s="1"/>
      <c r="KNA92" s="1"/>
      <c r="KNB92" s="1"/>
      <c r="KNC92" s="1"/>
      <c r="KND92" s="1"/>
      <c r="KNE92" s="1"/>
      <c r="KNF92" s="1"/>
      <c r="KNG92" s="1"/>
      <c r="KNH92" s="1"/>
      <c r="KNI92" s="1"/>
      <c r="KNJ92" s="1"/>
      <c r="KNK92" s="1"/>
      <c r="KNL92" s="1"/>
      <c r="KNM92" s="1"/>
      <c r="KNN92" s="1"/>
      <c r="KNO92" s="1"/>
      <c r="KNP92" s="1"/>
      <c r="KNQ92" s="1"/>
      <c r="KNR92" s="1"/>
      <c r="KNS92" s="1"/>
      <c r="KNT92" s="1"/>
      <c r="KNU92" s="1"/>
      <c r="KNV92" s="1"/>
      <c r="KNW92" s="1"/>
      <c r="KNX92" s="1"/>
      <c r="KNY92" s="1"/>
      <c r="KNZ92" s="1"/>
      <c r="KOA92" s="1"/>
      <c r="KOB92" s="1"/>
      <c r="KOC92" s="1"/>
      <c r="KOD92" s="1"/>
      <c r="KOE92" s="1"/>
      <c r="KOF92" s="1"/>
      <c r="KOG92" s="1"/>
      <c r="KOH92" s="1"/>
      <c r="KOI92" s="1"/>
      <c r="KOJ92" s="1"/>
      <c r="KOK92" s="1"/>
      <c r="KOL92" s="1"/>
      <c r="KOM92" s="1"/>
      <c r="KON92" s="1"/>
      <c r="KOO92" s="1"/>
      <c r="KOP92" s="1"/>
      <c r="KOQ92" s="1"/>
      <c r="KOR92" s="1"/>
      <c r="KOS92" s="1"/>
      <c r="KOT92" s="1"/>
      <c r="KOU92" s="1"/>
      <c r="KOV92" s="1"/>
      <c r="KOW92" s="1"/>
      <c r="KOX92" s="1"/>
      <c r="KOY92" s="1"/>
      <c r="KOZ92" s="1"/>
      <c r="KPA92" s="1"/>
      <c r="KPB92" s="1"/>
      <c r="KPC92" s="1"/>
      <c r="KPD92" s="1"/>
      <c r="KPE92" s="1"/>
      <c r="KPF92" s="1"/>
      <c r="KPG92" s="1"/>
      <c r="KPH92" s="1"/>
      <c r="KPI92" s="1"/>
      <c r="KPJ92" s="1"/>
      <c r="KPK92" s="1"/>
      <c r="KPL92" s="1"/>
      <c r="KPM92" s="1"/>
      <c r="KPN92" s="1"/>
      <c r="KPO92" s="1"/>
      <c r="KPP92" s="1"/>
      <c r="KPQ92" s="1"/>
      <c r="KPR92" s="1"/>
      <c r="KPS92" s="1"/>
      <c r="KPT92" s="1"/>
      <c r="KPU92" s="1"/>
      <c r="KPV92" s="1"/>
      <c r="KPW92" s="1"/>
      <c r="KPX92" s="1"/>
      <c r="KPY92" s="1"/>
      <c r="KPZ92" s="1"/>
      <c r="KQA92" s="1"/>
      <c r="KQB92" s="1"/>
      <c r="KQC92" s="1"/>
      <c r="KQD92" s="1"/>
      <c r="KQE92" s="1"/>
      <c r="KQF92" s="1"/>
      <c r="KQG92" s="1"/>
      <c r="KQH92" s="1"/>
      <c r="KQI92" s="1"/>
      <c r="KQJ92" s="1"/>
      <c r="KQK92" s="1"/>
      <c r="KQL92" s="1"/>
      <c r="KQM92" s="1"/>
      <c r="KQN92" s="1"/>
      <c r="KQO92" s="1"/>
      <c r="KQP92" s="1"/>
      <c r="KQQ92" s="1"/>
      <c r="KQR92" s="1"/>
      <c r="KQS92" s="1"/>
      <c r="KQT92" s="1"/>
      <c r="KQU92" s="1"/>
      <c r="KQV92" s="1"/>
      <c r="KQW92" s="1"/>
      <c r="KQX92" s="1"/>
      <c r="KQY92" s="1"/>
      <c r="KQZ92" s="1"/>
      <c r="KRA92" s="1"/>
      <c r="KRB92" s="1"/>
      <c r="KRC92" s="1"/>
      <c r="KRD92" s="1"/>
      <c r="KRE92" s="1"/>
      <c r="KRF92" s="1"/>
      <c r="KRG92" s="1"/>
      <c r="KRH92" s="1"/>
      <c r="KRI92" s="1"/>
      <c r="KRJ92" s="1"/>
      <c r="KRK92" s="1"/>
      <c r="KRL92" s="1"/>
      <c r="KRM92" s="1"/>
      <c r="KRN92" s="1"/>
      <c r="KRO92" s="1"/>
      <c r="KRP92" s="1"/>
      <c r="KRQ92" s="1"/>
      <c r="KRR92" s="1"/>
      <c r="KRS92" s="1"/>
      <c r="KRT92" s="1"/>
      <c r="KRU92" s="1"/>
      <c r="KRV92" s="1"/>
      <c r="KRW92" s="1"/>
      <c r="KRX92" s="1"/>
      <c r="KRY92" s="1"/>
      <c r="KRZ92" s="1"/>
      <c r="KSA92" s="1"/>
      <c r="KSB92" s="1"/>
      <c r="KSC92" s="1"/>
      <c r="KSD92" s="1"/>
      <c r="KSE92" s="1"/>
      <c r="KSF92" s="1"/>
      <c r="KSG92" s="1"/>
      <c r="KSH92" s="1"/>
      <c r="KSI92" s="1"/>
      <c r="KSJ92" s="1"/>
      <c r="KSK92" s="1"/>
      <c r="KSL92" s="1"/>
      <c r="KSM92" s="1"/>
      <c r="KSN92" s="1"/>
      <c r="KSO92" s="1"/>
      <c r="KSP92" s="1"/>
      <c r="KSQ92" s="1"/>
      <c r="KSR92" s="1"/>
      <c r="KSS92" s="1"/>
      <c r="KST92" s="1"/>
      <c r="KSU92" s="1"/>
      <c r="KSV92" s="1"/>
      <c r="KSW92" s="1"/>
      <c r="KSX92" s="1"/>
      <c r="KSY92" s="1"/>
      <c r="KSZ92" s="1"/>
      <c r="KTA92" s="1"/>
      <c r="KTB92" s="1"/>
      <c r="KTC92" s="1"/>
      <c r="KTD92" s="1"/>
      <c r="KTE92" s="1"/>
      <c r="KTF92" s="1"/>
      <c r="KTG92" s="1"/>
      <c r="KTH92" s="1"/>
      <c r="KTI92" s="1"/>
      <c r="KTJ92" s="1"/>
      <c r="KTK92" s="1"/>
      <c r="KTL92" s="1"/>
      <c r="KTM92" s="1"/>
      <c r="KTN92" s="1"/>
      <c r="KTO92" s="1"/>
      <c r="KTP92" s="1"/>
      <c r="KTQ92" s="1"/>
      <c r="KTR92" s="1"/>
      <c r="KTS92" s="1"/>
      <c r="KTT92" s="1"/>
      <c r="KTU92" s="1"/>
      <c r="KTV92" s="1"/>
      <c r="KTW92" s="1"/>
      <c r="KTX92" s="1"/>
      <c r="KTY92" s="1"/>
      <c r="KTZ92" s="1"/>
      <c r="KUA92" s="1"/>
      <c r="KUB92" s="1"/>
      <c r="KUC92" s="1"/>
      <c r="KUD92" s="1"/>
      <c r="KUE92" s="1"/>
      <c r="KUF92" s="1"/>
      <c r="KUG92" s="1"/>
      <c r="KUH92" s="1"/>
      <c r="KUI92" s="1"/>
      <c r="KUJ92" s="1"/>
      <c r="KUK92" s="1"/>
      <c r="KUL92" s="1"/>
      <c r="KUM92" s="1"/>
      <c r="KUN92" s="1"/>
      <c r="KUO92" s="1"/>
      <c r="KUP92" s="1"/>
      <c r="KUQ92" s="1"/>
      <c r="KUR92" s="1"/>
      <c r="KUS92" s="1"/>
      <c r="KUT92" s="1"/>
      <c r="KUU92" s="1"/>
      <c r="KUV92" s="1"/>
      <c r="KUW92" s="1"/>
      <c r="KUX92" s="1"/>
      <c r="KUY92" s="1"/>
      <c r="KUZ92" s="1"/>
      <c r="KVA92" s="1"/>
      <c r="KVB92" s="1"/>
      <c r="KVC92" s="1"/>
      <c r="KVD92" s="1"/>
      <c r="KVE92" s="1"/>
      <c r="KVF92" s="1"/>
      <c r="KVG92" s="1"/>
      <c r="KVH92" s="1"/>
      <c r="KVI92" s="1"/>
      <c r="KVJ92" s="1"/>
      <c r="KVK92" s="1"/>
      <c r="KVL92" s="1"/>
      <c r="KVM92" s="1"/>
      <c r="KVN92" s="1"/>
      <c r="KVO92" s="1"/>
      <c r="KVP92" s="1"/>
      <c r="KVQ92" s="1"/>
      <c r="KVR92" s="1"/>
      <c r="KVS92" s="1"/>
      <c r="KVT92" s="1"/>
      <c r="KVU92" s="1"/>
      <c r="KVV92" s="1"/>
      <c r="KVW92" s="1"/>
      <c r="KVX92" s="1"/>
      <c r="KVY92" s="1"/>
      <c r="KVZ92" s="1"/>
      <c r="KWA92" s="1"/>
      <c r="KWB92" s="1"/>
      <c r="KWC92" s="1"/>
      <c r="KWD92" s="1"/>
      <c r="KWE92" s="1"/>
      <c r="KWF92" s="1"/>
      <c r="KWG92" s="1"/>
      <c r="KWH92" s="1"/>
      <c r="KWI92" s="1"/>
      <c r="KWJ92" s="1"/>
      <c r="KWK92" s="1"/>
      <c r="KWL92" s="1"/>
      <c r="KWM92" s="1"/>
      <c r="KWN92" s="1"/>
      <c r="KWO92" s="1"/>
      <c r="KWP92" s="1"/>
      <c r="KWQ92" s="1"/>
      <c r="KWR92" s="1"/>
      <c r="KWS92" s="1"/>
      <c r="KWT92" s="1"/>
      <c r="KWU92" s="1"/>
      <c r="KWV92" s="1"/>
      <c r="KWW92" s="1"/>
      <c r="KWX92" s="1"/>
      <c r="KWY92" s="1"/>
      <c r="KWZ92" s="1"/>
      <c r="KXA92" s="1"/>
      <c r="KXB92" s="1"/>
      <c r="KXC92" s="1"/>
      <c r="KXD92" s="1"/>
      <c r="KXE92" s="1"/>
      <c r="KXF92" s="1"/>
      <c r="KXG92" s="1"/>
      <c r="KXH92" s="1"/>
      <c r="KXI92" s="1"/>
      <c r="KXJ92" s="1"/>
      <c r="KXK92" s="1"/>
      <c r="KXL92" s="1"/>
      <c r="KXM92" s="1"/>
      <c r="KXN92" s="1"/>
      <c r="KXO92" s="1"/>
      <c r="KXP92" s="1"/>
      <c r="KXQ92" s="1"/>
      <c r="KXR92" s="1"/>
      <c r="KXS92" s="1"/>
      <c r="KXT92" s="1"/>
      <c r="KXU92" s="1"/>
      <c r="KXV92" s="1"/>
      <c r="KXW92" s="1"/>
      <c r="KXX92" s="1"/>
      <c r="KXY92" s="1"/>
      <c r="KXZ92" s="1"/>
      <c r="KYA92" s="1"/>
      <c r="KYB92" s="1"/>
      <c r="KYC92" s="1"/>
      <c r="KYD92" s="1"/>
      <c r="KYE92" s="1"/>
      <c r="KYF92" s="1"/>
      <c r="KYG92" s="1"/>
      <c r="KYH92" s="1"/>
      <c r="KYI92" s="1"/>
      <c r="KYJ92" s="1"/>
      <c r="KYK92" s="1"/>
      <c r="KYL92" s="1"/>
      <c r="KYM92" s="1"/>
      <c r="KYN92" s="1"/>
      <c r="KYO92" s="1"/>
      <c r="KYP92" s="1"/>
      <c r="KYQ92" s="1"/>
      <c r="KYR92" s="1"/>
      <c r="KYS92" s="1"/>
      <c r="KYT92" s="1"/>
      <c r="KYU92" s="1"/>
      <c r="KYV92" s="1"/>
      <c r="KYW92" s="1"/>
      <c r="KYX92" s="1"/>
      <c r="KYY92" s="1"/>
      <c r="KYZ92" s="1"/>
      <c r="KZA92" s="1"/>
      <c r="KZB92" s="1"/>
      <c r="KZC92" s="1"/>
      <c r="KZD92" s="1"/>
      <c r="KZE92" s="1"/>
      <c r="KZF92" s="1"/>
      <c r="KZG92" s="1"/>
      <c r="KZH92" s="1"/>
      <c r="KZI92" s="1"/>
      <c r="KZJ92" s="1"/>
      <c r="KZK92" s="1"/>
      <c r="KZL92" s="1"/>
      <c r="KZM92" s="1"/>
      <c r="KZN92" s="1"/>
      <c r="KZO92" s="1"/>
      <c r="KZP92" s="1"/>
      <c r="KZQ92" s="1"/>
      <c r="KZR92" s="1"/>
      <c r="KZS92" s="1"/>
      <c r="KZT92" s="1"/>
      <c r="KZU92" s="1"/>
      <c r="KZV92" s="1"/>
      <c r="KZW92" s="1"/>
      <c r="KZX92" s="1"/>
      <c r="KZY92" s="1"/>
      <c r="KZZ92" s="1"/>
      <c r="LAA92" s="1"/>
      <c r="LAB92" s="1"/>
      <c r="LAC92" s="1"/>
      <c r="LAD92" s="1"/>
      <c r="LAE92" s="1"/>
      <c r="LAF92" s="1"/>
      <c r="LAG92" s="1"/>
      <c r="LAH92" s="1"/>
      <c r="LAI92" s="1"/>
      <c r="LAJ92" s="1"/>
      <c r="LAK92" s="1"/>
      <c r="LAL92" s="1"/>
      <c r="LAM92" s="1"/>
      <c r="LAN92" s="1"/>
      <c r="LAO92" s="1"/>
      <c r="LAP92" s="1"/>
      <c r="LAQ92" s="1"/>
      <c r="LAR92" s="1"/>
      <c r="LAS92" s="1"/>
      <c r="LAT92" s="1"/>
      <c r="LAU92" s="1"/>
      <c r="LAV92" s="1"/>
      <c r="LAW92" s="1"/>
      <c r="LAX92" s="1"/>
      <c r="LAY92" s="1"/>
      <c r="LAZ92" s="1"/>
      <c r="LBA92" s="1"/>
      <c r="LBB92" s="1"/>
      <c r="LBC92" s="1"/>
      <c r="LBD92" s="1"/>
      <c r="LBE92" s="1"/>
      <c r="LBF92" s="1"/>
      <c r="LBG92" s="1"/>
      <c r="LBH92" s="1"/>
      <c r="LBI92" s="1"/>
      <c r="LBJ92" s="1"/>
      <c r="LBK92" s="1"/>
      <c r="LBL92" s="1"/>
      <c r="LBM92" s="1"/>
      <c r="LBN92" s="1"/>
      <c r="LBO92" s="1"/>
      <c r="LBP92" s="1"/>
      <c r="LBQ92" s="1"/>
      <c r="LBR92" s="1"/>
      <c r="LBS92" s="1"/>
      <c r="LBT92" s="1"/>
      <c r="LBU92" s="1"/>
      <c r="LBV92" s="1"/>
      <c r="LBW92" s="1"/>
      <c r="LBX92" s="1"/>
      <c r="LBY92" s="1"/>
      <c r="LBZ92" s="1"/>
      <c r="LCA92" s="1"/>
      <c r="LCB92" s="1"/>
      <c r="LCC92" s="1"/>
      <c r="LCD92" s="1"/>
      <c r="LCE92" s="1"/>
      <c r="LCF92" s="1"/>
      <c r="LCG92" s="1"/>
      <c r="LCH92" s="1"/>
      <c r="LCI92" s="1"/>
      <c r="LCJ92" s="1"/>
      <c r="LCK92" s="1"/>
      <c r="LCL92" s="1"/>
      <c r="LCM92" s="1"/>
      <c r="LCN92" s="1"/>
      <c r="LCO92" s="1"/>
      <c r="LCP92" s="1"/>
      <c r="LCQ92" s="1"/>
      <c r="LCR92" s="1"/>
      <c r="LCS92" s="1"/>
      <c r="LCT92" s="1"/>
      <c r="LCU92" s="1"/>
      <c r="LCV92" s="1"/>
      <c r="LCW92" s="1"/>
      <c r="LCX92" s="1"/>
      <c r="LCY92" s="1"/>
      <c r="LCZ92" s="1"/>
      <c r="LDA92" s="1"/>
      <c r="LDB92" s="1"/>
      <c r="LDC92" s="1"/>
      <c r="LDD92" s="1"/>
      <c r="LDE92" s="1"/>
      <c r="LDF92" s="1"/>
      <c r="LDG92" s="1"/>
      <c r="LDH92" s="1"/>
      <c r="LDI92" s="1"/>
      <c r="LDJ92" s="1"/>
      <c r="LDK92" s="1"/>
      <c r="LDL92" s="1"/>
      <c r="LDM92" s="1"/>
      <c r="LDN92" s="1"/>
      <c r="LDO92" s="1"/>
      <c r="LDP92" s="1"/>
      <c r="LDQ92" s="1"/>
      <c r="LDR92" s="1"/>
      <c r="LDS92" s="1"/>
      <c r="LDT92" s="1"/>
      <c r="LDU92" s="1"/>
      <c r="LDV92" s="1"/>
      <c r="LDW92" s="1"/>
      <c r="LDX92" s="1"/>
      <c r="LDY92" s="1"/>
      <c r="LDZ92" s="1"/>
      <c r="LEA92" s="1"/>
      <c r="LEB92" s="1"/>
      <c r="LEC92" s="1"/>
      <c r="LED92" s="1"/>
      <c r="LEE92" s="1"/>
      <c r="LEF92" s="1"/>
      <c r="LEG92" s="1"/>
      <c r="LEH92" s="1"/>
      <c r="LEI92" s="1"/>
      <c r="LEJ92" s="1"/>
      <c r="LEK92" s="1"/>
      <c r="LEL92" s="1"/>
      <c r="LEM92" s="1"/>
      <c r="LEN92" s="1"/>
      <c r="LEO92" s="1"/>
      <c r="LEP92" s="1"/>
      <c r="LEQ92" s="1"/>
      <c r="LER92" s="1"/>
      <c r="LES92" s="1"/>
      <c r="LET92" s="1"/>
      <c r="LEU92" s="1"/>
      <c r="LEV92" s="1"/>
      <c r="LEW92" s="1"/>
      <c r="LEX92" s="1"/>
      <c r="LEY92" s="1"/>
      <c r="LEZ92" s="1"/>
      <c r="LFA92" s="1"/>
      <c r="LFB92" s="1"/>
      <c r="LFC92" s="1"/>
      <c r="LFD92" s="1"/>
      <c r="LFE92" s="1"/>
      <c r="LFF92" s="1"/>
      <c r="LFG92" s="1"/>
      <c r="LFH92" s="1"/>
      <c r="LFI92" s="1"/>
      <c r="LFJ92" s="1"/>
      <c r="LFK92" s="1"/>
      <c r="LFL92" s="1"/>
      <c r="LFM92" s="1"/>
      <c r="LFN92" s="1"/>
      <c r="LFO92" s="1"/>
      <c r="LFP92" s="1"/>
      <c r="LFQ92" s="1"/>
      <c r="LFR92" s="1"/>
      <c r="LFS92" s="1"/>
      <c r="LFT92" s="1"/>
      <c r="LFU92" s="1"/>
      <c r="LFV92" s="1"/>
      <c r="LFW92" s="1"/>
      <c r="LFX92" s="1"/>
      <c r="LFY92" s="1"/>
      <c r="LFZ92" s="1"/>
      <c r="LGA92" s="1"/>
      <c r="LGB92" s="1"/>
      <c r="LGC92" s="1"/>
      <c r="LGD92" s="1"/>
      <c r="LGE92" s="1"/>
      <c r="LGF92" s="1"/>
      <c r="LGG92" s="1"/>
      <c r="LGH92" s="1"/>
      <c r="LGI92" s="1"/>
      <c r="LGJ92" s="1"/>
      <c r="LGK92" s="1"/>
      <c r="LGL92" s="1"/>
      <c r="LGM92" s="1"/>
      <c r="LGN92" s="1"/>
      <c r="LGO92" s="1"/>
      <c r="LGP92" s="1"/>
      <c r="LGQ92" s="1"/>
      <c r="LGR92" s="1"/>
      <c r="LGS92" s="1"/>
      <c r="LGT92" s="1"/>
      <c r="LGU92" s="1"/>
      <c r="LGV92" s="1"/>
      <c r="LGW92" s="1"/>
      <c r="LGX92" s="1"/>
      <c r="LGY92" s="1"/>
      <c r="LGZ92" s="1"/>
      <c r="LHA92" s="1"/>
      <c r="LHB92" s="1"/>
      <c r="LHC92" s="1"/>
      <c r="LHD92" s="1"/>
      <c r="LHE92" s="1"/>
      <c r="LHF92" s="1"/>
      <c r="LHG92" s="1"/>
      <c r="LHH92" s="1"/>
      <c r="LHI92" s="1"/>
      <c r="LHJ92" s="1"/>
      <c r="LHK92" s="1"/>
      <c r="LHL92" s="1"/>
      <c r="LHM92" s="1"/>
      <c r="LHN92" s="1"/>
      <c r="LHO92" s="1"/>
      <c r="LHP92" s="1"/>
      <c r="LHQ92" s="1"/>
      <c r="LHR92" s="1"/>
      <c r="LHS92" s="1"/>
      <c r="LHT92" s="1"/>
      <c r="LHU92" s="1"/>
      <c r="LHV92" s="1"/>
      <c r="LHW92" s="1"/>
      <c r="LHX92" s="1"/>
      <c r="LHY92" s="1"/>
      <c r="LHZ92" s="1"/>
      <c r="LIA92" s="1"/>
      <c r="LIB92" s="1"/>
      <c r="LIC92" s="1"/>
      <c r="LID92" s="1"/>
      <c r="LIE92" s="1"/>
      <c r="LIF92" s="1"/>
      <c r="LIG92" s="1"/>
      <c r="LIH92" s="1"/>
      <c r="LII92" s="1"/>
      <c r="LIJ92" s="1"/>
      <c r="LIK92" s="1"/>
      <c r="LIL92" s="1"/>
      <c r="LIM92" s="1"/>
      <c r="LIN92" s="1"/>
      <c r="LIO92" s="1"/>
      <c r="LIP92" s="1"/>
      <c r="LIQ92" s="1"/>
      <c r="LIR92" s="1"/>
      <c r="LIS92" s="1"/>
      <c r="LIT92" s="1"/>
      <c r="LIU92" s="1"/>
      <c r="LIV92" s="1"/>
      <c r="LIW92" s="1"/>
      <c r="LIX92" s="1"/>
      <c r="LIY92" s="1"/>
      <c r="LIZ92" s="1"/>
      <c r="LJA92" s="1"/>
      <c r="LJB92" s="1"/>
      <c r="LJC92" s="1"/>
      <c r="LJD92" s="1"/>
      <c r="LJE92" s="1"/>
      <c r="LJF92" s="1"/>
      <c r="LJG92" s="1"/>
      <c r="LJH92" s="1"/>
      <c r="LJI92" s="1"/>
      <c r="LJJ92" s="1"/>
      <c r="LJK92" s="1"/>
      <c r="LJL92" s="1"/>
      <c r="LJM92" s="1"/>
      <c r="LJN92" s="1"/>
      <c r="LJO92" s="1"/>
      <c r="LJP92" s="1"/>
      <c r="LJQ92" s="1"/>
      <c r="LJR92" s="1"/>
      <c r="LJS92" s="1"/>
      <c r="LJT92" s="1"/>
      <c r="LJU92" s="1"/>
      <c r="LJV92" s="1"/>
      <c r="LJW92" s="1"/>
      <c r="LJX92" s="1"/>
      <c r="LJY92" s="1"/>
      <c r="LJZ92" s="1"/>
      <c r="LKA92" s="1"/>
      <c r="LKB92" s="1"/>
      <c r="LKC92" s="1"/>
      <c r="LKD92" s="1"/>
      <c r="LKE92" s="1"/>
      <c r="LKF92" s="1"/>
      <c r="LKG92" s="1"/>
      <c r="LKH92" s="1"/>
      <c r="LKI92" s="1"/>
      <c r="LKJ92" s="1"/>
      <c r="LKK92" s="1"/>
      <c r="LKL92" s="1"/>
      <c r="LKM92" s="1"/>
      <c r="LKN92" s="1"/>
      <c r="LKO92" s="1"/>
      <c r="LKP92" s="1"/>
      <c r="LKQ92" s="1"/>
      <c r="LKR92" s="1"/>
      <c r="LKS92" s="1"/>
      <c r="LKT92" s="1"/>
      <c r="LKU92" s="1"/>
      <c r="LKV92" s="1"/>
      <c r="LKW92" s="1"/>
      <c r="LKX92" s="1"/>
      <c r="LKY92" s="1"/>
      <c r="LKZ92" s="1"/>
      <c r="LLA92" s="1"/>
      <c r="LLB92" s="1"/>
      <c r="LLC92" s="1"/>
      <c r="LLD92" s="1"/>
      <c r="LLE92" s="1"/>
      <c r="LLF92" s="1"/>
      <c r="LLG92" s="1"/>
      <c r="LLH92" s="1"/>
      <c r="LLI92" s="1"/>
      <c r="LLJ92" s="1"/>
      <c r="LLK92" s="1"/>
      <c r="LLL92" s="1"/>
      <c r="LLM92" s="1"/>
      <c r="LLN92" s="1"/>
      <c r="LLO92" s="1"/>
      <c r="LLP92" s="1"/>
      <c r="LLQ92" s="1"/>
      <c r="LLR92" s="1"/>
      <c r="LLS92" s="1"/>
      <c r="LLT92" s="1"/>
      <c r="LLU92" s="1"/>
      <c r="LLV92" s="1"/>
      <c r="LLW92" s="1"/>
      <c r="LLX92" s="1"/>
      <c r="LLY92" s="1"/>
      <c r="LLZ92" s="1"/>
      <c r="LMA92" s="1"/>
      <c r="LMB92" s="1"/>
      <c r="LMC92" s="1"/>
      <c r="LMD92" s="1"/>
      <c r="LME92" s="1"/>
      <c r="LMF92" s="1"/>
      <c r="LMG92" s="1"/>
      <c r="LMH92" s="1"/>
      <c r="LMI92" s="1"/>
      <c r="LMJ92" s="1"/>
      <c r="LMK92" s="1"/>
      <c r="LML92" s="1"/>
      <c r="LMM92" s="1"/>
      <c r="LMN92" s="1"/>
      <c r="LMO92" s="1"/>
      <c r="LMP92" s="1"/>
      <c r="LMQ92" s="1"/>
      <c r="LMR92" s="1"/>
      <c r="LMS92" s="1"/>
      <c r="LMT92" s="1"/>
      <c r="LMU92" s="1"/>
      <c r="LMV92" s="1"/>
      <c r="LMW92" s="1"/>
      <c r="LMX92" s="1"/>
      <c r="LMY92" s="1"/>
      <c r="LMZ92" s="1"/>
      <c r="LNA92" s="1"/>
      <c r="LNB92" s="1"/>
      <c r="LNC92" s="1"/>
      <c r="LND92" s="1"/>
      <c r="LNE92" s="1"/>
      <c r="LNF92" s="1"/>
      <c r="LNG92" s="1"/>
      <c r="LNH92" s="1"/>
      <c r="LNI92" s="1"/>
      <c r="LNJ92" s="1"/>
      <c r="LNK92" s="1"/>
      <c r="LNL92" s="1"/>
      <c r="LNM92" s="1"/>
      <c r="LNN92" s="1"/>
      <c r="LNO92" s="1"/>
      <c r="LNP92" s="1"/>
      <c r="LNQ92" s="1"/>
      <c r="LNR92" s="1"/>
      <c r="LNS92" s="1"/>
      <c r="LNT92" s="1"/>
      <c r="LNU92" s="1"/>
      <c r="LNV92" s="1"/>
      <c r="LNW92" s="1"/>
      <c r="LNX92" s="1"/>
      <c r="LNY92" s="1"/>
      <c r="LNZ92" s="1"/>
      <c r="LOA92" s="1"/>
      <c r="LOB92" s="1"/>
      <c r="LOC92" s="1"/>
      <c r="LOD92" s="1"/>
      <c r="LOE92" s="1"/>
      <c r="LOF92" s="1"/>
      <c r="LOG92" s="1"/>
      <c r="LOH92" s="1"/>
      <c r="LOI92" s="1"/>
      <c r="LOJ92" s="1"/>
      <c r="LOK92" s="1"/>
      <c r="LOL92" s="1"/>
      <c r="LOM92" s="1"/>
      <c r="LON92" s="1"/>
      <c r="LOO92" s="1"/>
      <c r="LOP92" s="1"/>
      <c r="LOQ92" s="1"/>
      <c r="LOR92" s="1"/>
      <c r="LOS92" s="1"/>
      <c r="LOT92" s="1"/>
      <c r="LOU92" s="1"/>
      <c r="LOV92" s="1"/>
      <c r="LOW92" s="1"/>
      <c r="LOX92" s="1"/>
      <c r="LOY92" s="1"/>
      <c r="LOZ92" s="1"/>
      <c r="LPA92" s="1"/>
      <c r="LPB92" s="1"/>
      <c r="LPC92" s="1"/>
      <c r="LPD92" s="1"/>
      <c r="LPE92" s="1"/>
      <c r="LPF92" s="1"/>
      <c r="LPG92" s="1"/>
      <c r="LPH92" s="1"/>
      <c r="LPI92" s="1"/>
      <c r="LPJ92" s="1"/>
      <c r="LPK92" s="1"/>
      <c r="LPL92" s="1"/>
      <c r="LPM92" s="1"/>
      <c r="LPN92" s="1"/>
      <c r="LPO92" s="1"/>
      <c r="LPP92" s="1"/>
      <c r="LPQ92" s="1"/>
      <c r="LPR92" s="1"/>
      <c r="LPS92" s="1"/>
      <c r="LPT92" s="1"/>
      <c r="LPU92" s="1"/>
      <c r="LPV92" s="1"/>
      <c r="LPW92" s="1"/>
      <c r="LPX92" s="1"/>
      <c r="LPY92" s="1"/>
      <c r="LPZ92" s="1"/>
      <c r="LQA92" s="1"/>
      <c r="LQB92" s="1"/>
      <c r="LQC92" s="1"/>
      <c r="LQD92" s="1"/>
      <c r="LQE92" s="1"/>
      <c r="LQF92" s="1"/>
      <c r="LQG92" s="1"/>
      <c r="LQH92" s="1"/>
      <c r="LQI92" s="1"/>
      <c r="LQJ92" s="1"/>
      <c r="LQK92" s="1"/>
      <c r="LQL92" s="1"/>
      <c r="LQM92" s="1"/>
      <c r="LQN92" s="1"/>
      <c r="LQO92" s="1"/>
      <c r="LQP92" s="1"/>
      <c r="LQQ92" s="1"/>
      <c r="LQR92" s="1"/>
      <c r="LQS92" s="1"/>
      <c r="LQT92" s="1"/>
      <c r="LQU92" s="1"/>
      <c r="LQV92" s="1"/>
      <c r="LQW92" s="1"/>
      <c r="LQX92" s="1"/>
      <c r="LQY92" s="1"/>
      <c r="LQZ92" s="1"/>
      <c r="LRA92" s="1"/>
      <c r="LRB92" s="1"/>
      <c r="LRC92" s="1"/>
      <c r="LRD92" s="1"/>
      <c r="LRE92" s="1"/>
      <c r="LRF92" s="1"/>
      <c r="LRG92" s="1"/>
      <c r="LRH92" s="1"/>
      <c r="LRI92" s="1"/>
      <c r="LRJ92" s="1"/>
      <c r="LRK92" s="1"/>
      <c r="LRL92" s="1"/>
      <c r="LRM92" s="1"/>
      <c r="LRN92" s="1"/>
      <c r="LRO92" s="1"/>
      <c r="LRP92" s="1"/>
      <c r="LRQ92" s="1"/>
      <c r="LRR92" s="1"/>
      <c r="LRS92" s="1"/>
      <c r="LRT92" s="1"/>
      <c r="LRU92" s="1"/>
      <c r="LRV92" s="1"/>
      <c r="LRW92" s="1"/>
      <c r="LRX92" s="1"/>
      <c r="LRY92" s="1"/>
      <c r="LRZ92" s="1"/>
      <c r="LSA92" s="1"/>
      <c r="LSB92" s="1"/>
      <c r="LSC92" s="1"/>
      <c r="LSD92" s="1"/>
      <c r="LSE92" s="1"/>
      <c r="LSF92" s="1"/>
      <c r="LSG92" s="1"/>
      <c r="LSH92" s="1"/>
      <c r="LSI92" s="1"/>
      <c r="LSJ92" s="1"/>
      <c r="LSK92" s="1"/>
      <c r="LSL92" s="1"/>
      <c r="LSM92" s="1"/>
      <c r="LSN92" s="1"/>
      <c r="LSO92" s="1"/>
      <c r="LSP92" s="1"/>
      <c r="LSQ92" s="1"/>
      <c r="LSR92" s="1"/>
      <c r="LSS92" s="1"/>
      <c r="LST92" s="1"/>
      <c r="LSU92" s="1"/>
      <c r="LSV92" s="1"/>
      <c r="LSW92" s="1"/>
      <c r="LSX92" s="1"/>
      <c r="LSY92" s="1"/>
      <c r="LSZ92" s="1"/>
      <c r="LTA92" s="1"/>
      <c r="LTB92" s="1"/>
      <c r="LTC92" s="1"/>
      <c r="LTD92" s="1"/>
      <c r="LTE92" s="1"/>
      <c r="LTF92" s="1"/>
      <c r="LTG92" s="1"/>
      <c r="LTH92" s="1"/>
      <c r="LTI92" s="1"/>
      <c r="LTJ92" s="1"/>
      <c r="LTK92" s="1"/>
      <c r="LTL92" s="1"/>
      <c r="LTM92" s="1"/>
      <c r="LTN92" s="1"/>
      <c r="LTO92" s="1"/>
      <c r="LTP92" s="1"/>
      <c r="LTQ92" s="1"/>
      <c r="LTR92" s="1"/>
      <c r="LTS92" s="1"/>
      <c r="LTT92" s="1"/>
      <c r="LTU92" s="1"/>
      <c r="LTV92" s="1"/>
      <c r="LTW92" s="1"/>
      <c r="LTX92" s="1"/>
      <c r="LTY92" s="1"/>
      <c r="LTZ92" s="1"/>
      <c r="LUA92" s="1"/>
      <c r="LUB92" s="1"/>
      <c r="LUC92" s="1"/>
      <c r="LUD92" s="1"/>
      <c r="LUE92" s="1"/>
      <c r="LUF92" s="1"/>
      <c r="LUG92" s="1"/>
      <c r="LUH92" s="1"/>
      <c r="LUI92" s="1"/>
      <c r="LUJ92" s="1"/>
      <c r="LUK92" s="1"/>
      <c r="LUL92" s="1"/>
      <c r="LUM92" s="1"/>
      <c r="LUN92" s="1"/>
      <c r="LUO92" s="1"/>
      <c r="LUP92" s="1"/>
      <c r="LUQ92" s="1"/>
      <c r="LUR92" s="1"/>
      <c r="LUS92" s="1"/>
      <c r="LUT92" s="1"/>
      <c r="LUU92" s="1"/>
      <c r="LUV92" s="1"/>
      <c r="LUW92" s="1"/>
      <c r="LUX92" s="1"/>
      <c r="LUY92" s="1"/>
      <c r="LUZ92" s="1"/>
      <c r="LVA92" s="1"/>
      <c r="LVB92" s="1"/>
      <c r="LVC92" s="1"/>
      <c r="LVD92" s="1"/>
      <c r="LVE92" s="1"/>
      <c r="LVF92" s="1"/>
      <c r="LVG92" s="1"/>
      <c r="LVH92" s="1"/>
      <c r="LVI92" s="1"/>
      <c r="LVJ92" s="1"/>
      <c r="LVK92" s="1"/>
      <c r="LVL92" s="1"/>
      <c r="LVM92" s="1"/>
      <c r="LVN92" s="1"/>
      <c r="LVO92" s="1"/>
      <c r="LVP92" s="1"/>
      <c r="LVQ92" s="1"/>
      <c r="LVR92" s="1"/>
      <c r="LVS92" s="1"/>
      <c r="LVT92" s="1"/>
      <c r="LVU92" s="1"/>
      <c r="LVV92" s="1"/>
      <c r="LVW92" s="1"/>
      <c r="LVX92" s="1"/>
      <c r="LVY92" s="1"/>
      <c r="LVZ92" s="1"/>
      <c r="LWA92" s="1"/>
      <c r="LWB92" s="1"/>
      <c r="LWC92" s="1"/>
      <c r="LWD92" s="1"/>
      <c r="LWE92" s="1"/>
      <c r="LWF92" s="1"/>
      <c r="LWG92" s="1"/>
      <c r="LWH92" s="1"/>
      <c r="LWI92" s="1"/>
      <c r="LWJ92" s="1"/>
      <c r="LWK92" s="1"/>
      <c r="LWL92" s="1"/>
      <c r="LWM92" s="1"/>
      <c r="LWN92" s="1"/>
      <c r="LWO92" s="1"/>
      <c r="LWP92" s="1"/>
      <c r="LWQ92" s="1"/>
      <c r="LWR92" s="1"/>
      <c r="LWS92" s="1"/>
      <c r="LWT92" s="1"/>
      <c r="LWU92" s="1"/>
      <c r="LWV92" s="1"/>
      <c r="LWW92" s="1"/>
      <c r="LWX92" s="1"/>
      <c r="LWY92" s="1"/>
      <c r="LWZ92" s="1"/>
      <c r="LXA92" s="1"/>
      <c r="LXB92" s="1"/>
      <c r="LXC92" s="1"/>
      <c r="LXD92" s="1"/>
      <c r="LXE92" s="1"/>
      <c r="LXF92" s="1"/>
      <c r="LXG92" s="1"/>
      <c r="LXH92" s="1"/>
      <c r="LXI92" s="1"/>
      <c r="LXJ92" s="1"/>
      <c r="LXK92" s="1"/>
      <c r="LXL92" s="1"/>
      <c r="LXM92" s="1"/>
      <c r="LXN92" s="1"/>
      <c r="LXO92" s="1"/>
      <c r="LXP92" s="1"/>
      <c r="LXQ92" s="1"/>
      <c r="LXR92" s="1"/>
      <c r="LXS92" s="1"/>
      <c r="LXT92" s="1"/>
      <c r="LXU92" s="1"/>
      <c r="LXV92" s="1"/>
      <c r="LXW92" s="1"/>
      <c r="LXX92" s="1"/>
      <c r="LXY92" s="1"/>
      <c r="LXZ92" s="1"/>
      <c r="LYA92" s="1"/>
      <c r="LYB92" s="1"/>
      <c r="LYC92" s="1"/>
      <c r="LYD92" s="1"/>
      <c r="LYE92" s="1"/>
      <c r="LYF92" s="1"/>
      <c r="LYG92" s="1"/>
      <c r="LYH92" s="1"/>
      <c r="LYI92" s="1"/>
      <c r="LYJ92" s="1"/>
      <c r="LYK92" s="1"/>
      <c r="LYL92" s="1"/>
      <c r="LYM92" s="1"/>
      <c r="LYN92" s="1"/>
      <c r="LYO92" s="1"/>
      <c r="LYP92" s="1"/>
      <c r="LYQ92" s="1"/>
      <c r="LYR92" s="1"/>
      <c r="LYS92" s="1"/>
      <c r="LYT92" s="1"/>
      <c r="LYU92" s="1"/>
      <c r="LYV92" s="1"/>
      <c r="LYW92" s="1"/>
      <c r="LYX92" s="1"/>
      <c r="LYY92" s="1"/>
      <c r="LYZ92" s="1"/>
      <c r="LZA92" s="1"/>
      <c r="LZB92" s="1"/>
      <c r="LZC92" s="1"/>
      <c r="LZD92" s="1"/>
      <c r="LZE92" s="1"/>
      <c r="LZF92" s="1"/>
      <c r="LZG92" s="1"/>
      <c r="LZH92" s="1"/>
      <c r="LZI92" s="1"/>
      <c r="LZJ92" s="1"/>
      <c r="LZK92" s="1"/>
      <c r="LZL92" s="1"/>
      <c r="LZM92" s="1"/>
      <c r="LZN92" s="1"/>
      <c r="LZO92" s="1"/>
      <c r="LZP92" s="1"/>
      <c r="LZQ92" s="1"/>
      <c r="LZR92" s="1"/>
      <c r="LZS92" s="1"/>
      <c r="LZT92" s="1"/>
      <c r="LZU92" s="1"/>
      <c r="LZV92" s="1"/>
      <c r="LZW92" s="1"/>
      <c r="LZX92" s="1"/>
      <c r="LZY92" s="1"/>
      <c r="LZZ92" s="1"/>
      <c r="MAA92" s="1"/>
      <c r="MAB92" s="1"/>
      <c r="MAC92" s="1"/>
      <c r="MAD92" s="1"/>
      <c r="MAE92" s="1"/>
      <c r="MAF92" s="1"/>
      <c r="MAG92" s="1"/>
      <c r="MAH92" s="1"/>
      <c r="MAI92" s="1"/>
      <c r="MAJ92" s="1"/>
      <c r="MAK92" s="1"/>
      <c r="MAL92" s="1"/>
      <c r="MAM92" s="1"/>
      <c r="MAN92" s="1"/>
      <c r="MAO92" s="1"/>
      <c r="MAP92" s="1"/>
      <c r="MAQ92" s="1"/>
      <c r="MAR92" s="1"/>
      <c r="MAS92" s="1"/>
      <c r="MAT92" s="1"/>
      <c r="MAU92" s="1"/>
      <c r="MAV92" s="1"/>
      <c r="MAW92" s="1"/>
      <c r="MAX92" s="1"/>
      <c r="MAY92" s="1"/>
      <c r="MAZ92" s="1"/>
      <c r="MBA92" s="1"/>
      <c r="MBB92" s="1"/>
      <c r="MBC92" s="1"/>
      <c r="MBD92" s="1"/>
      <c r="MBE92" s="1"/>
      <c r="MBF92" s="1"/>
      <c r="MBG92" s="1"/>
      <c r="MBH92" s="1"/>
      <c r="MBI92" s="1"/>
      <c r="MBJ92" s="1"/>
      <c r="MBK92" s="1"/>
      <c r="MBL92" s="1"/>
      <c r="MBM92" s="1"/>
      <c r="MBN92" s="1"/>
      <c r="MBO92" s="1"/>
      <c r="MBP92" s="1"/>
      <c r="MBQ92" s="1"/>
      <c r="MBR92" s="1"/>
      <c r="MBS92" s="1"/>
      <c r="MBT92" s="1"/>
      <c r="MBU92" s="1"/>
      <c r="MBV92" s="1"/>
      <c r="MBW92" s="1"/>
      <c r="MBX92" s="1"/>
      <c r="MBY92" s="1"/>
      <c r="MBZ92" s="1"/>
      <c r="MCA92" s="1"/>
      <c r="MCB92" s="1"/>
      <c r="MCC92" s="1"/>
      <c r="MCD92" s="1"/>
      <c r="MCE92" s="1"/>
      <c r="MCF92" s="1"/>
      <c r="MCG92" s="1"/>
      <c r="MCH92" s="1"/>
      <c r="MCI92" s="1"/>
      <c r="MCJ92" s="1"/>
      <c r="MCK92" s="1"/>
      <c r="MCL92" s="1"/>
      <c r="MCM92" s="1"/>
      <c r="MCN92" s="1"/>
      <c r="MCO92" s="1"/>
      <c r="MCP92" s="1"/>
      <c r="MCQ92" s="1"/>
      <c r="MCR92" s="1"/>
      <c r="MCS92" s="1"/>
      <c r="MCT92" s="1"/>
      <c r="MCU92" s="1"/>
      <c r="MCV92" s="1"/>
      <c r="MCW92" s="1"/>
      <c r="MCX92" s="1"/>
      <c r="MCY92" s="1"/>
      <c r="MCZ92" s="1"/>
      <c r="MDA92" s="1"/>
      <c r="MDB92" s="1"/>
      <c r="MDC92" s="1"/>
      <c r="MDD92" s="1"/>
      <c r="MDE92" s="1"/>
      <c r="MDF92" s="1"/>
      <c r="MDG92" s="1"/>
      <c r="MDH92" s="1"/>
      <c r="MDI92" s="1"/>
      <c r="MDJ92" s="1"/>
      <c r="MDK92" s="1"/>
      <c r="MDL92" s="1"/>
      <c r="MDM92" s="1"/>
      <c r="MDN92" s="1"/>
      <c r="MDO92" s="1"/>
      <c r="MDP92" s="1"/>
      <c r="MDQ92" s="1"/>
      <c r="MDR92" s="1"/>
      <c r="MDS92" s="1"/>
      <c r="MDT92" s="1"/>
      <c r="MDU92" s="1"/>
      <c r="MDV92" s="1"/>
      <c r="MDW92" s="1"/>
      <c r="MDX92" s="1"/>
      <c r="MDY92" s="1"/>
      <c r="MDZ92" s="1"/>
      <c r="MEA92" s="1"/>
      <c r="MEB92" s="1"/>
      <c r="MEC92" s="1"/>
      <c r="MED92" s="1"/>
      <c r="MEE92" s="1"/>
      <c r="MEF92" s="1"/>
      <c r="MEG92" s="1"/>
      <c r="MEH92" s="1"/>
      <c r="MEI92" s="1"/>
      <c r="MEJ92" s="1"/>
      <c r="MEK92" s="1"/>
      <c r="MEL92" s="1"/>
      <c r="MEM92" s="1"/>
      <c r="MEN92" s="1"/>
      <c r="MEO92" s="1"/>
      <c r="MEP92" s="1"/>
      <c r="MEQ92" s="1"/>
      <c r="MER92" s="1"/>
      <c r="MES92" s="1"/>
      <c r="MET92" s="1"/>
      <c r="MEU92" s="1"/>
      <c r="MEV92" s="1"/>
      <c r="MEW92" s="1"/>
      <c r="MEX92" s="1"/>
      <c r="MEY92" s="1"/>
      <c r="MEZ92" s="1"/>
      <c r="MFA92" s="1"/>
      <c r="MFB92" s="1"/>
      <c r="MFC92" s="1"/>
      <c r="MFD92" s="1"/>
      <c r="MFE92" s="1"/>
      <c r="MFF92" s="1"/>
      <c r="MFG92" s="1"/>
      <c r="MFH92" s="1"/>
      <c r="MFI92" s="1"/>
      <c r="MFJ92" s="1"/>
      <c r="MFK92" s="1"/>
      <c r="MFL92" s="1"/>
      <c r="MFM92" s="1"/>
      <c r="MFN92" s="1"/>
      <c r="MFO92" s="1"/>
      <c r="MFP92" s="1"/>
      <c r="MFQ92" s="1"/>
      <c r="MFR92" s="1"/>
      <c r="MFS92" s="1"/>
      <c r="MFT92" s="1"/>
      <c r="MFU92" s="1"/>
      <c r="MFV92" s="1"/>
      <c r="MFW92" s="1"/>
      <c r="MFX92" s="1"/>
      <c r="MFY92" s="1"/>
      <c r="MFZ92" s="1"/>
      <c r="MGA92" s="1"/>
      <c r="MGB92" s="1"/>
      <c r="MGC92" s="1"/>
      <c r="MGD92" s="1"/>
      <c r="MGE92" s="1"/>
      <c r="MGF92" s="1"/>
      <c r="MGG92" s="1"/>
      <c r="MGH92" s="1"/>
      <c r="MGI92" s="1"/>
      <c r="MGJ92" s="1"/>
      <c r="MGK92" s="1"/>
      <c r="MGL92" s="1"/>
      <c r="MGM92" s="1"/>
      <c r="MGN92" s="1"/>
      <c r="MGO92" s="1"/>
      <c r="MGP92" s="1"/>
      <c r="MGQ92" s="1"/>
      <c r="MGR92" s="1"/>
      <c r="MGS92" s="1"/>
      <c r="MGT92" s="1"/>
      <c r="MGU92" s="1"/>
      <c r="MGV92" s="1"/>
      <c r="MGW92" s="1"/>
      <c r="MGX92" s="1"/>
      <c r="MGY92" s="1"/>
      <c r="MGZ92" s="1"/>
      <c r="MHA92" s="1"/>
      <c r="MHB92" s="1"/>
      <c r="MHC92" s="1"/>
      <c r="MHD92" s="1"/>
      <c r="MHE92" s="1"/>
      <c r="MHF92" s="1"/>
      <c r="MHG92" s="1"/>
      <c r="MHH92" s="1"/>
      <c r="MHI92" s="1"/>
      <c r="MHJ92" s="1"/>
      <c r="MHK92" s="1"/>
      <c r="MHL92" s="1"/>
      <c r="MHM92" s="1"/>
      <c r="MHN92" s="1"/>
      <c r="MHO92" s="1"/>
      <c r="MHP92" s="1"/>
      <c r="MHQ92" s="1"/>
      <c r="MHR92" s="1"/>
      <c r="MHS92" s="1"/>
      <c r="MHT92" s="1"/>
      <c r="MHU92" s="1"/>
      <c r="MHV92" s="1"/>
      <c r="MHW92" s="1"/>
      <c r="MHX92" s="1"/>
      <c r="MHY92" s="1"/>
      <c r="MHZ92" s="1"/>
      <c r="MIA92" s="1"/>
      <c r="MIB92" s="1"/>
      <c r="MIC92" s="1"/>
      <c r="MID92" s="1"/>
      <c r="MIE92" s="1"/>
      <c r="MIF92" s="1"/>
      <c r="MIG92" s="1"/>
      <c r="MIH92" s="1"/>
      <c r="MII92" s="1"/>
      <c r="MIJ92" s="1"/>
      <c r="MIK92" s="1"/>
      <c r="MIL92" s="1"/>
      <c r="MIM92" s="1"/>
      <c r="MIN92" s="1"/>
      <c r="MIO92" s="1"/>
      <c r="MIP92" s="1"/>
      <c r="MIQ92" s="1"/>
      <c r="MIR92" s="1"/>
      <c r="MIS92" s="1"/>
      <c r="MIT92" s="1"/>
      <c r="MIU92" s="1"/>
      <c r="MIV92" s="1"/>
      <c r="MIW92" s="1"/>
      <c r="MIX92" s="1"/>
      <c r="MIY92" s="1"/>
      <c r="MIZ92" s="1"/>
      <c r="MJA92" s="1"/>
      <c r="MJB92" s="1"/>
      <c r="MJC92" s="1"/>
      <c r="MJD92" s="1"/>
      <c r="MJE92" s="1"/>
      <c r="MJF92" s="1"/>
      <c r="MJG92" s="1"/>
      <c r="MJH92" s="1"/>
      <c r="MJI92" s="1"/>
      <c r="MJJ92" s="1"/>
      <c r="MJK92" s="1"/>
      <c r="MJL92" s="1"/>
      <c r="MJM92" s="1"/>
      <c r="MJN92" s="1"/>
      <c r="MJO92" s="1"/>
      <c r="MJP92" s="1"/>
      <c r="MJQ92" s="1"/>
      <c r="MJR92" s="1"/>
      <c r="MJS92" s="1"/>
      <c r="MJT92" s="1"/>
      <c r="MJU92" s="1"/>
      <c r="MJV92" s="1"/>
      <c r="MJW92" s="1"/>
      <c r="MJX92" s="1"/>
      <c r="MJY92" s="1"/>
      <c r="MJZ92" s="1"/>
      <c r="MKA92" s="1"/>
      <c r="MKB92" s="1"/>
      <c r="MKC92" s="1"/>
      <c r="MKD92" s="1"/>
      <c r="MKE92" s="1"/>
      <c r="MKF92" s="1"/>
      <c r="MKG92" s="1"/>
      <c r="MKH92" s="1"/>
      <c r="MKI92" s="1"/>
      <c r="MKJ92" s="1"/>
      <c r="MKK92" s="1"/>
      <c r="MKL92" s="1"/>
      <c r="MKM92" s="1"/>
      <c r="MKN92" s="1"/>
      <c r="MKO92" s="1"/>
      <c r="MKP92" s="1"/>
      <c r="MKQ92" s="1"/>
      <c r="MKR92" s="1"/>
      <c r="MKS92" s="1"/>
      <c r="MKT92" s="1"/>
      <c r="MKU92" s="1"/>
      <c r="MKV92" s="1"/>
      <c r="MKW92" s="1"/>
      <c r="MKX92" s="1"/>
      <c r="MKY92" s="1"/>
      <c r="MKZ92" s="1"/>
      <c r="MLA92" s="1"/>
      <c r="MLB92" s="1"/>
      <c r="MLC92" s="1"/>
      <c r="MLD92" s="1"/>
      <c r="MLE92" s="1"/>
      <c r="MLF92" s="1"/>
      <c r="MLG92" s="1"/>
      <c r="MLH92" s="1"/>
      <c r="MLI92" s="1"/>
      <c r="MLJ92" s="1"/>
      <c r="MLK92" s="1"/>
      <c r="MLL92" s="1"/>
      <c r="MLM92" s="1"/>
      <c r="MLN92" s="1"/>
      <c r="MLO92" s="1"/>
      <c r="MLP92" s="1"/>
      <c r="MLQ92" s="1"/>
      <c r="MLR92" s="1"/>
      <c r="MLS92" s="1"/>
      <c r="MLT92" s="1"/>
      <c r="MLU92" s="1"/>
      <c r="MLV92" s="1"/>
      <c r="MLW92" s="1"/>
      <c r="MLX92" s="1"/>
      <c r="MLY92" s="1"/>
      <c r="MLZ92" s="1"/>
      <c r="MMA92" s="1"/>
      <c r="MMB92" s="1"/>
      <c r="MMC92" s="1"/>
      <c r="MMD92" s="1"/>
      <c r="MME92" s="1"/>
      <c r="MMF92" s="1"/>
      <c r="MMG92" s="1"/>
      <c r="MMH92" s="1"/>
      <c r="MMI92" s="1"/>
      <c r="MMJ92" s="1"/>
      <c r="MMK92" s="1"/>
      <c r="MML92" s="1"/>
      <c r="MMM92" s="1"/>
      <c r="MMN92" s="1"/>
      <c r="MMO92" s="1"/>
      <c r="MMP92" s="1"/>
      <c r="MMQ92" s="1"/>
      <c r="MMR92" s="1"/>
      <c r="MMS92" s="1"/>
      <c r="MMT92" s="1"/>
      <c r="MMU92" s="1"/>
      <c r="MMV92" s="1"/>
      <c r="MMW92" s="1"/>
      <c r="MMX92" s="1"/>
      <c r="MMY92" s="1"/>
      <c r="MMZ92" s="1"/>
      <c r="MNA92" s="1"/>
      <c r="MNB92" s="1"/>
      <c r="MNC92" s="1"/>
      <c r="MND92" s="1"/>
      <c r="MNE92" s="1"/>
      <c r="MNF92" s="1"/>
      <c r="MNG92" s="1"/>
      <c r="MNH92" s="1"/>
      <c r="MNI92" s="1"/>
      <c r="MNJ92" s="1"/>
      <c r="MNK92" s="1"/>
      <c r="MNL92" s="1"/>
      <c r="MNM92" s="1"/>
      <c r="MNN92" s="1"/>
      <c r="MNO92" s="1"/>
      <c r="MNP92" s="1"/>
      <c r="MNQ92" s="1"/>
      <c r="MNR92" s="1"/>
      <c r="MNS92" s="1"/>
      <c r="MNT92" s="1"/>
      <c r="MNU92" s="1"/>
      <c r="MNV92" s="1"/>
      <c r="MNW92" s="1"/>
      <c r="MNX92" s="1"/>
      <c r="MNY92" s="1"/>
      <c r="MNZ92" s="1"/>
      <c r="MOA92" s="1"/>
      <c r="MOB92" s="1"/>
      <c r="MOC92" s="1"/>
      <c r="MOD92" s="1"/>
      <c r="MOE92" s="1"/>
      <c r="MOF92" s="1"/>
      <c r="MOG92" s="1"/>
      <c r="MOH92" s="1"/>
      <c r="MOI92" s="1"/>
      <c r="MOJ92" s="1"/>
      <c r="MOK92" s="1"/>
      <c r="MOL92" s="1"/>
      <c r="MOM92" s="1"/>
      <c r="MON92" s="1"/>
      <c r="MOO92" s="1"/>
      <c r="MOP92" s="1"/>
      <c r="MOQ92" s="1"/>
      <c r="MOR92" s="1"/>
      <c r="MOS92" s="1"/>
      <c r="MOT92" s="1"/>
      <c r="MOU92" s="1"/>
      <c r="MOV92" s="1"/>
      <c r="MOW92" s="1"/>
      <c r="MOX92" s="1"/>
      <c r="MOY92" s="1"/>
      <c r="MOZ92" s="1"/>
      <c r="MPA92" s="1"/>
      <c r="MPB92" s="1"/>
      <c r="MPC92" s="1"/>
      <c r="MPD92" s="1"/>
      <c r="MPE92" s="1"/>
      <c r="MPF92" s="1"/>
      <c r="MPG92" s="1"/>
      <c r="MPH92" s="1"/>
      <c r="MPI92" s="1"/>
      <c r="MPJ92" s="1"/>
      <c r="MPK92" s="1"/>
      <c r="MPL92" s="1"/>
      <c r="MPM92" s="1"/>
      <c r="MPN92" s="1"/>
      <c r="MPO92" s="1"/>
      <c r="MPP92" s="1"/>
      <c r="MPQ92" s="1"/>
      <c r="MPR92" s="1"/>
      <c r="MPS92" s="1"/>
      <c r="MPT92" s="1"/>
      <c r="MPU92" s="1"/>
      <c r="MPV92" s="1"/>
      <c r="MPW92" s="1"/>
      <c r="MPX92" s="1"/>
      <c r="MPY92" s="1"/>
      <c r="MPZ92" s="1"/>
      <c r="MQA92" s="1"/>
      <c r="MQB92" s="1"/>
      <c r="MQC92" s="1"/>
      <c r="MQD92" s="1"/>
      <c r="MQE92" s="1"/>
      <c r="MQF92" s="1"/>
      <c r="MQG92" s="1"/>
      <c r="MQH92" s="1"/>
      <c r="MQI92" s="1"/>
      <c r="MQJ92" s="1"/>
      <c r="MQK92" s="1"/>
      <c r="MQL92" s="1"/>
      <c r="MQM92" s="1"/>
      <c r="MQN92" s="1"/>
      <c r="MQO92" s="1"/>
      <c r="MQP92" s="1"/>
      <c r="MQQ92" s="1"/>
      <c r="MQR92" s="1"/>
      <c r="MQS92" s="1"/>
      <c r="MQT92" s="1"/>
      <c r="MQU92" s="1"/>
      <c r="MQV92" s="1"/>
      <c r="MQW92" s="1"/>
      <c r="MQX92" s="1"/>
      <c r="MQY92" s="1"/>
      <c r="MQZ92" s="1"/>
      <c r="MRA92" s="1"/>
      <c r="MRB92" s="1"/>
      <c r="MRC92" s="1"/>
      <c r="MRD92" s="1"/>
      <c r="MRE92" s="1"/>
      <c r="MRF92" s="1"/>
      <c r="MRG92" s="1"/>
      <c r="MRH92" s="1"/>
      <c r="MRI92" s="1"/>
      <c r="MRJ92" s="1"/>
      <c r="MRK92" s="1"/>
      <c r="MRL92" s="1"/>
      <c r="MRM92" s="1"/>
      <c r="MRN92" s="1"/>
      <c r="MRO92" s="1"/>
      <c r="MRP92" s="1"/>
      <c r="MRQ92" s="1"/>
      <c r="MRR92" s="1"/>
      <c r="MRS92" s="1"/>
      <c r="MRT92" s="1"/>
      <c r="MRU92" s="1"/>
      <c r="MRV92" s="1"/>
      <c r="MRW92" s="1"/>
      <c r="MRX92" s="1"/>
      <c r="MRY92" s="1"/>
      <c r="MRZ92" s="1"/>
      <c r="MSA92" s="1"/>
      <c r="MSB92" s="1"/>
      <c r="MSC92" s="1"/>
      <c r="MSD92" s="1"/>
      <c r="MSE92" s="1"/>
      <c r="MSF92" s="1"/>
      <c r="MSG92" s="1"/>
      <c r="MSH92" s="1"/>
      <c r="MSI92" s="1"/>
      <c r="MSJ92" s="1"/>
      <c r="MSK92" s="1"/>
      <c r="MSL92" s="1"/>
      <c r="MSM92" s="1"/>
      <c r="MSN92" s="1"/>
      <c r="MSO92" s="1"/>
      <c r="MSP92" s="1"/>
      <c r="MSQ92" s="1"/>
      <c r="MSR92" s="1"/>
      <c r="MSS92" s="1"/>
      <c r="MST92" s="1"/>
      <c r="MSU92" s="1"/>
      <c r="MSV92" s="1"/>
      <c r="MSW92" s="1"/>
      <c r="MSX92" s="1"/>
      <c r="MSY92" s="1"/>
      <c r="MSZ92" s="1"/>
      <c r="MTA92" s="1"/>
      <c r="MTB92" s="1"/>
      <c r="MTC92" s="1"/>
      <c r="MTD92" s="1"/>
      <c r="MTE92" s="1"/>
      <c r="MTF92" s="1"/>
      <c r="MTG92" s="1"/>
      <c r="MTH92" s="1"/>
      <c r="MTI92" s="1"/>
      <c r="MTJ92" s="1"/>
      <c r="MTK92" s="1"/>
      <c r="MTL92" s="1"/>
      <c r="MTM92" s="1"/>
      <c r="MTN92" s="1"/>
      <c r="MTO92" s="1"/>
      <c r="MTP92" s="1"/>
      <c r="MTQ92" s="1"/>
      <c r="MTR92" s="1"/>
      <c r="MTS92" s="1"/>
      <c r="MTT92" s="1"/>
      <c r="MTU92" s="1"/>
      <c r="MTV92" s="1"/>
      <c r="MTW92" s="1"/>
      <c r="MTX92" s="1"/>
      <c r="MTY92" s="1"/>
      <c r="MTZ92" s="1"/>
      <c r="MUA92" s="1"/>
      <c r="MUB92" s="1"/>
      <c r="MUC92" s="1"/>
      <c r="MUD92" s="1"/>
      <c r="MUE92" s="1"/>
      <c r="MUF92" s="1"/>
      <c r="MUG92" s="1"/>
      <c r="MUH92" s="1"/>
      <c r="MUI92" s="1"/>
      <c r="MUJ92" s="1"/>
      <c r="MUK92" s="1"/>
      <c r="MUL92" s="1"/>
      <c r="MUM92" s="1"/>
      <c r="MUN92" s="1"/>
      <c r="MUO92" s="1"/>
      <c r="MUP92" s="1"/>
      <c r="MUQ92" s="1"/>
      <c r="MUR92" s="1"/>
      <c r="MUS92" s="1"/>
      <c r="MUT92" s="1"/>
      <c r="MUU92" s="1"/>
      <c r="MUV92" s="1"/>
      <c r="MUW92" s="1"/>
      <c r="MUX92" s="1"/>
      <c r="MUY92" s="1"/>
      <c r="MUZ92" s="1"/>
      <c r="MVA92" s="1"/>
      <c r="MVB92" s="1"/>
      <c r="MVC92" s="1"/>
      <c r="MVD92" s="1"/>
      <c r="MVE92" s="1"/>
      <c r="MVF92" s="1"/>
      <c r="MVG92" s="1"/>
      <c r="MVH92" s="1"/>
      <c r="MVI92" s="1"/>
      <c r="MVJ92" s="1"/>
      <c r="MVK92" s="1"/>
      <c r="MVL92" s="1"/>
      <c r="MVM92" s="1"/>
      <c r="MVN92" s="1"/>
      <c r="MVO92" s="1"/>
      <c r="MVP92" s="1"/>
      <c r="MVQ92" s="1"/>
      <c r="MVR92" s="1"/>
      <c r="MVS92" s="1"/>
      <c r="MVT92" s="1"/>
      <c r="MVU92" s="1"/>
      <c r="MVV92" s="1"/>
      <c r="MVW92" s="1"/>
      <c r="MVX92" s="1"/>
      <c r="MVY92" s="1"/>
      <c r="MVZ92" s="1"/>
      <c r="MWA92" s="1"/>
      <c r="MWB92" s="1"/>
      <c r="MWC92" s="1"/>
      <c r="MWD92" s="1"/>
      <c r="MWE92" s="1"/>
      <c r="MWF92" s="1"/>
      <c r="MWG92" s="1"/>
      <c r="MWH92" s="1"/>
      <c r="MWI92" s="1"/>
      <c r="MWJ92" s="1"/>
      <c r="MWK92" s="1"/>
      <c r="MWL92" s="1"/>
      <c r="MWM92" s="1"/>
      <c r="MWN92" s="1"/>
      <c r="MWO92" s="1"/>
      <c r="MWP92" s="1"/>
      <c r="MWQ92" s="1"/>
      <c r="MWR92" s="1"/>
      <c r="MWS92" s="1"/>
      <c r="MWT92" s="1"/>
      <c r="MWU92" s="1"/>
      <c r="MWV92" s="1"/>
      <c r="MWW92" s="1"/>
      <c r="MWX92" s="1"/>
      <c r="MWY92" s="1"/>
      <c r="MWZ92" s="1"/>
      <c r="MXA92" s="1"/>
      <c r="MXB92" s="1"/>
      <c r="MXC92" s="1"/>
      <c r="MXD92" s="1"/>
      <c r="MXE92" s="1"/>
      <c r="MXF92" s="1"/>
      <c r="MXG92" s="1"/>
      <c r="MXH92" s="1"/>
      <c r="MXI92" s="1"/>
      <c r="MXJ92" s="1"/>
      <c r="MXK92" s="1"/>
      <c r="MXL92" s="1"/>
      <c r="MXM92" s="1"/>
      <c r="MXN92" s="1"/>
      <c r="MXO92" s="1"/>
      <c r="MXP92" s="1"/>
      <c r="MXQ92" s="1"/>
      <c r="MXR92" s="1"/>
      <c r="MXS92" s="1"/>
      <c r="MXT92" s="1"/>
      <c r="MXU92" s="1"/>
      <c r="MXV92" s="1"/>
      <c r="MXW92" s="1"/>
      <c r="MXX92" s="1"/>
      <c r="MXY92" s="1"/>
      <c r="MXZ92" s="1"/>
      <c r="MYA92" s="1"/>
      <c r="MYB92" s="1"/>
      <c r="MYC92" s="1"/>
      <c r="MYD92" s="1"/>
      <c r="MYE92" s="1"/>
      <c r="MYF92" s="1"/>
      <c r="MYG92" s="1"/>
      <c r="MYH92" s="1"/>
      <c r="MYI92" s="1"/>
      <c r="MYJ92" s="1"/>
      <c r="MYK92" s="1"/>
      <c r="MYL92" s="1"/>
      <c r="MYM92" s="1"/>
      <c r="MYN92" s="1"/>
      <c r="MYO92" s="1"/>
      <c r="MYP92" s="1"/>
      <c r="MYQ92" s="1"/>
      <c r="MYR92" s="1"/>
      <c r="MYS92" s="1"/>
      <c r="MYT92" s="1"/>
      <c r="MYU92" s="1"/>
      <c r="MYV92" s="1"/>
      <c r="MYW92" s="1"/>
      <c r="MYX92" s="1"/>
      <c r="MYY92" s="1"/>
      <c r="MYZ92" s="1"/>
      <c r="MZA92" s="1"/>
      <c r="MZB92" s="1"/>
      <c r="MZC92" s="1"/>
      <c r="MZD92" s="1"/>
      <c r="MZE92" s="1"/>
      <c r="MZF92" s="1"/>
      <c r="MZG92" s="1"/>
      <c r="MZH92" s="1"/>
      <c r="MZI92" s="1"/>
      <c r="MZJ92" s="1"/>
      <c r="MZK92" s="1"/>
      <c r="MZL92" s="1"/>
      <c r="MZM92" s="1"/>
      <c r="MZN92" s="1"/>
      <c r="MZO92" s="1"/>
      <c r="MZP92" s="1"/>
      <c r="MZQ92" s="1"/>
      <c r="MZR92" s="1"/>
      <c r="MZS92" s="1"/>
      <c r="MZT92" s="1"/>
      <c r="MZU92" s="1"/>
      <c r="MZV92" s="1"/>
      <c r="MZW92" s="1"/>
      <c r="MZX92" s="1"/>
      <c r="MZY92" s="1"/>
      <c r="MZZ92" s="1"/>
      <c r="NAA92" s="1"/>
      <c r="NAB92" s="1"/>
      <c r="NAC92" s="1"/>
      <c r="NAD92" s="1"/>
      <c r="NAE92" s="1"/>
      <c r="NAF92" s="1"/>
      <c r="NAG92" s="1"/>
      <c r="NAH92" s="1"/>
      <c r="NAI92" s="1"/>
      <c r="NAJ92" s="1"/>
      <c r="NAK92" s="1"/>
      <c r="NAL92" s="1"/>
      <c r="NAM92" s="1"/>
      <c r="NAN92" s="1"/>
      <c r="NAO92" s="1"/>
      <c r="NAP92" s="1"/>
      <c r="NAQ92" s="1"/>
      <c r="NAR92" s="1"/>
      <c r="NAS92" s="1"/>
      <c r="NAT92" s="1"/>
      <c r="NAU92" s="1"/>
      <c r="NAV92" s="1"/>
      <c r="NAW92" s="1"/>
      <c r="NAX92" s="1"/>
      <c r="NAY92" s="1"/>
      <c r="NAZ92" s="1"/>
      <c r="NBA92" s="1"/>
      <c r="NBB92" s="1"/>
      <c r="NBC92" s="1"/>
      <c r="NBD92" s="1"/>
      <c r="NBE92" s="1"/>
      <c r="NBF92" s="1"/>
      <c r="NBG92" s="1"/>
      <c r="NBH92" s="1"/>
      <c r="NBI92" s="1"/>
      <c r="NBJ92" s="1"/>
      <c r="NBK92" s="1"/>
      <c r="NBL92" s="1"/>
      <c r="NBM92" s="1"/>
      <c r="NBN92" s="1"/>
      <c r="NBO92" s="1"/>
      <c r="NBP92" s="1"/>
      <c r="NBQ92" s="1"/>
      <c r="NBR92" s="1"/>
      <c r="NBS92" s="1"/>
      <c r="NBT92" s="1"/>
      <c r="NBU92" s="1"/>
      <c r="NBV92" s="1"/>
      <c r="NBW92" s="1"/>
      <c r="NBX92" s="1"/>
      <c r="NBY92" s="1"/>
      <c r="NBZ92" s="1"/>
      <c r="NCA92" s="1"/>
      <c r="NCB92" s="1"/>
      <c r="NCC92" s="1"/>
      <c r="NCD92" s="1"/>
      <c r="NCE92" s="1"/>
      <c r="NCF92" s="1"/>
      <c r="NCG92" s="1"/>
      <c r="NCH92" s="1"/>
      <c r="NCI92" s="1"/>
      <c r="NCJ92" s="1"/>
      <c r="NCK92" s="1"/>
      <c r="NCL92" s="1"/>
      <c r="NCM92" s="1"/>
      <c r="NCN92" s="1"/>
      <c r="NCO92" s="1"/>
      <c r="NCP92" s="1"/>
      <c r="NCQ92" s="1"/>
      <c r="NCR92" s="1"/>
      <c r="NCS92" s="1"/>
      <c r="NCT92" s="1"/>
      <c r="NCU92" s="1"/>
      <c r="NCV92" s="1"/>
      <c r="NCW92" s="1"/>
      <c r="NCX92" s="1"/>
      <c r="NCY92" s="1"/>
      <c r="NCZ92" s="1"/>
      <c r="NDA92" s="1"/>
      <c r="NDB92" s="1"/>
      <c r="NDC92" s="1"/>
      <c r="NDD92" s="1"/>
      <c r="NDE92" s="1"/>
      <c r="NDF92" s="1"/>
      <c r="NDG92" s="1"/>
      <c r="NDH92" s="1"/>
      <c r="NDI92" s="1"/>
      <c r="NDJ92" s="1"/>
      <c r="NDK92" s="1"/>
      <c r="NDL92" s="1"/>
      <c r="NDM92" s="1"/>
      <c r="NDN92" s="1"/>
      <c r="NDO92" s="1"/>
      <c r="NDP92" s="1"/>
      <c r="NDQ92" s="1"/>
      <c r="NDR92" s="1"/>
      <c r="NDS92" s="1"/>
      <c r="NDT92" s="1"/>
      <c r="NDU92" s="1"/>
      <c r="NDV92" s="1"/>
      <c r="NDW92" s="1"/>
      <c r="NDX92" s="1"/>
      <c r="NDY92" s="1"/>
      <c r="NDZ92" s="1"/>
      <c r="NEA92" s="1"/>
      <c r="NEB92" s="1"/>
      <c r="NEC92" s="1"/>
      <c r="NED92" s="1"/>
      <c r="NEE92" s="1"/>
      <c r="NEF92" s="1"/>
      <c r="NEG92" s="1"/>
      <c r="NEH92" s="1"/>
      <c r="NEI92" s="1"/>
      <c r="NEJ92" s="1"/>
      <c r="NEK92" s="1"/>
      <c r="NEL92" s="1"/>
      <c r="NEM92" s="1"/>
      <c r="NEN92" s="1"/>
      <c r="NEO92" s="1"/>
      <c r="NEP92" s="1"/>
      <c r="NEQ92" s="1"/>
      <c r="NER92" s="1"/>
      <c r="NES92" s="1"/>
      <c r="NET92" s="1"/>
      <c r="NEU92" s="1"/>
      <c r="NEV92" s="1"/>
      <c r="NEW92" s="1"/>
      <c r="NEX92" s="1"/>
      <c r="NEY92" s="1"/>
      <c r="NEZ92" s="1"/>
      <c r="NFA92" s="1"/>
      <c r="NFB92" s="1"/>
      <c r="NFC92" s="1"/>
      <c r="NFD92" s="1"/>
      <c r="NFE92" s="1"/>
      <c r="NFF92" s="1"/>
      <c r="NFG92" s="1"/>
      <c r="NFH92" s="1"/>
      <c r="NFI92" s="1"/>
      <c r="NFJ92" s="1"/>
      <c r="NFK92" s="1"/>
      <c r="NFL92" s="1"/>
      <c r="NFM92" s="1"/>
      <c r="NFN92" s="1"/>
      <c r="NFO92" s="1"/>
      <c r="NFP92" s="1"/>
      <c r="NFQ92" s="1"/>
      <c r="NFR92" s="1"/>
      <c r="NFS92" s="1"/>
      <c r="NFT92" s="1"/>
      <c r="NFU92" s="1"/>
      <c r="NFV92" s="1"/>
      <c r="NFW92" s="1"/>
      <c r="NFX92" s="1"/>
      <c r="NFY92" s="1"/>
      <c r="NFZ92" s="1"/>
      <c r="NGA92" s="1"/>
      <c r="NGB92" s="1"/>
      <c r="NGC92" s="1"/>
      <c r="NGD92" s="1"/>
      <c r="NGE92" s="1"/>
      <c r="NGF92" s="1"/>
      <c r="NGG92" s="1"/>
      <c r="NGH92" s="1"/>
      <c r="NGI92" s="1"/>
      <c r="NGJ92" s="1"/>
      <c r="NGK92" s="1"/>
      <c r="NGL92" s="1"/>
      <c r="NGM92" s="1"/>
      <c r="NGN92" s="1"/>
      <c r="NGO92" s="1"/>
      <c r="NGP92" s="1"/>
      <c r="NGQ92" s="1"/>
      <c r="NGR92" s="1"/>
      <c r="NGS92" s="1"/>
      <c r="NGT92" s="1"/>
      <c r="NGU92" s="1"/>
      <c r="NGV92" s="1"/>
      <c r="NGW92" s="1"/>
      <c r="NGX92" s="1"/>
      <c r="NGY92" s="1"/>
      <c r="NGZ92" s="1"/>
      <c r="NHA92" s="1"/>
      <c r="NHB92" s="1"/>
      <c r="NHC92" s="1"/>
      <c r="NHD92" s="1"/>
      <c r="NHE92" s="1"/>
      <c r="NHF92" s="1"/>
      <c r="NHG92" s="1"/>
      <c r="NHH92" s="1"/>
      <c r="NHI92" s="1"/>
      <c r="NHJ92" s="1"/>
      <c r="NHK92" s="1"/>
      <c r="NHL92" s="1"/>
      <c r="NHM92" s="1"/>
      <c r="NHN92" s="1"/>
      <c r="NHO92" s="1"/>
      <c r="NHP92" s="1"/>
      <c r="NHQ92" s="1"/>
      <c r="NHR92" s="1"/>
      <c r="NHS92" s="1"/>
      <c r="NHT92" s="1"/>
      <c r="NHU92" s="1"/>
      <c r="NHV92" s="1"/>
      <c r="NHW92" s="1"/>
      <c r="NHX92" s="1"/>
      <c r="NHY92" s="1"/>
      <c r="NHZ92" s="1"/>
      <c r="NIA92" s="1"/>
      <c r="NIB92" s="1"/>
      <c r="NIC92" s="1"/>
      <c r="NID92" s="1"/>
      <c r="NIE92" s="1"/>
      <c r="NIF92" s="1"/>
      <c r="NIG92" s="1"/>
      <c r="NIH92" s="1"/>
      <c r="NII92" s="1"/>
      <c r="NIJ92" s="1"/>
      <c r="NIK92" s="1"/>
      <c r="NIL92" s="1"/>
      <c r="NIM92" s="1"/>
      <c r="NIN92" s="1"/>
      <c r="NIO92" s="1"/>
      <c r="NIP92" s="1"/>
      <c r="NIQ92" s="1"/>
      <c r="NIR92" s="1"/>
      <c r="NIS92" s="1"/>
      <c r="NIT92" s="1"/>
      <c r="NIU92" s="1"/>
      <c r="NIV92" s="1"/>
      <c r="NIW92" s="1"/>
      <c r="NIX92" s="1"/>
      <c r="NIY92" s="1"/>
      <c r="NIZ92" s="1"/>
      <c r="NJA92" s="1"/>
      <c r="NJB92" s="1"/>
      <c r="NJC92" s="1"/>
      <c r="NJD92" s="1"/>
      <c r="NJE92" s="1"/>
      <c r="NJF92" s="1"/>
      <c r="NJG92" s="1"/>
      <c r="NJH92" s="1"/>
      <c r="NJI92" s="1"/>
      <c r="NJJ92" s="1"/>
      <c r="NJK92" s="1"/>
      <c r="NJL92" s="1"/>
      <c r="NJM92" s="1"/>
      <c r="NJN92" s="1"/>
      <c r="NJO92" s="1"/>
      <c r="NJP92" s="1"/>
      <c r="NJQ92" s="1"/>
      <c r="NJR92" s="1"/>
      <c r="NJS92" s="1"/>
      <c r="NJT92" s="1"/>
      <c r="NJU92" s="1"/>
      <c r="NJV92" s="1"/>
      <c r="NJW92" s="1"/>
      <c r="NJX92" s="1"/>
      <c r="NJY92" s="1"/>
      <c r="NJZ92" s="1"/>
      <c r="NKA92" s="1"/>
      <c r="NKB92" s="1"/>
      <c r="NKC92" s="1"/>
      <c r="NKD92" s="1"/>
      <c r="NKE92" s="1"/>
      <c r="NKF92" s="1"/>
      <c r="NKG92" s="1"/>
      <c r="NKH92" s="1"/>
      <c r="NKI92" s="1"/>
      <c r="NKJ92" s="1"/>
      <c r="NKK92" s="1"/>
      <c r="NKL92" s="1"/>
      <c r="NKM92" s="1"/>
      <c r="NKN92" s="1"/>
      <c r="NKO92" s="1"/>
      <c r="NKP92" s="1"/>
      <c r="NKQ92" s="1"/>
      <c r="NKR92" s="1"/>
      <c r="NKS92" s="1"/>
      <c r="NKT92" s="1"/>
      <c r="NKU92" s="1"/>
      <c r="NKV92" s="1"/>
      <c r="NKW92" s="1"/>
      <c r="NKX92" s="1"/>
      <c r="NKY92" s="1"/>
      <c r="NKZ92" s="1"/>
      <c r="NLA92" s="1"/>
      <c r="NLB92" s="1"/>
      <c r="NLC92" s="1"/>
      <c r="NLD92" s="1"/>
      <c r="NLE92" s="1"/>
      <c r="NLF92" s="1"/>
      <c r="NLG92" s="1"/>
      <c r="NLH92" s="1"/>
      <c r="NLI92" s="1"/>
      <c r="NLJ92" s="1"/>
      <c r="NLK92" s="1"/>
      <c r="NLL92" s="1"/>
      <c r="NLM92" s="1"/>
      <c r="NLN92" s="1"/>
      <c r="NLO92" s="1"/>
      <c r="NLP92" s="1"/>
      <c r="NLQ92" s="1"/>
      <c r="NLR92" s="1"/>
      <c r="NLS92" s="1"/>
      <c r="NLT92" s="1"/>
      <c r="NLU92" s="1"/>
      <c r="NLV92" s="1"/>
      <c r="NLW92" s="1"/>
      <c r="NLX92" s="1"/>
      <c r="NLY92" s="1"/>
      <c r="NLZ92" s="1"/>
      <c r="NMA92" s="1"/>
      <c r="NMB92" s="1"/>
      <c r="NMC92" s="1"/>
      <c r="NMD92" s="1"/>
      <c r="NME92" s="1"/>
      <c r="NMF92" s="1"/>
      <c r="NMG92" s="1"/>
      <c r="NMH92" s="1"/>
      <c r="NMI92" s="1"/>
      <c r="NMJ92" s="1"/>
      <c r="NMK92" s="1"/>
      <c r="NML92" s="1"/>
      <c r="NMM92" s="1"/>
      <c r="NMN92" s="1"/>
      <c r="NMO92" s="1"/>
      <c r="NMP92" s="1"/>
      <c r="NMQ92" s="1"/>
      <c r="NMR92" s="1"/>
      <c r="NMS92" s="1"/>
      <c r="NMT92" s="1"/>
      <c r="NMU92" s="1"/>
      <c r="NMV92" s="1"/>
      <c r="NMW92" s="1"/>
      <c r="NMX92" s="1"/>
      <c r="NMY92" s="1"/>
      <c r="NMZ92" s="1"/>
      <c r="NNA92" s="1"/>
      <c r="NNB92" s="1"/>
      <c r="NNC92" s="1"/>
      <c r="NND92" s="1"/>
      <c r="NNE92" s="1"/>
      <c r="NNF92" s="1"/>
      <c r="NNG92" s="1"/>
      <c r="NNH92" s="1"/>
      <c r="NNI92" s="1"/>
      <c r="NNJ92" s="1"/>
      <c r="NNK92" s="1"/>
      <c r="NNL92" s="1"/>
      <c r="NNM92" s="1"/>
      <c r="NNN92" s="1"/>
      <c r="NNO92" s="1"/>
      <c r="NNP92" s="1"/>
      <c r="NNQ92" s="1"/>
      <c r="NNR92" s="1"/>
      <c r="NNS92" s="1"/>
      <c r="NNT92" s="1"/>
      <c r="NNU92" s="1"/>
      <c r="NNV92" s="1"/>
      <c r="NNW92" s="1"/>
      <c r="NNX92" s="1"/>
      <c r="NNY92" s="1"/>
      <c r="NNZ92" s="1"/>
      <c r="NOA92" s="1"/>
      <c r="NOB92" s="1"/>
      <c r="NOC92" s="1"/>
      <c r="NOD92" s="1"/>
      <c r="NOE92" s="1"/>
      <c r="NOF92" s="1"/>
      <c r="NOG92" s="1"/>
      <c r="NOH92" s="1"/>
      <c r="NOI92" s="1"/>
      <c r="NOJ92" s="1"/>
      <c r="NOK92" s="1"/>
      <c r="NOL92" s="1"/>
      <c r="NOM92" s="1"/>
      <c r="NON92" s="1"/>
      <c r="NOO92" s="1"/>
      <c r="NOP92" s="1"/>
      <c r="NOQ92" s="1"/>
      <c r="NOR92" s="1"/>
      <c r="NOS92" s="1"/>
      <c r="NOT92" s="1"/>
      <c r="NOU92" s="1"/>
      <c r="NOV92" s="1"/>
      <c r="NOW92" s="1"/>
      <c r="NOX92" s="1"/>
      <c r="NOY92" s="1"/>
      <c r="NOZ92" s="1"/>
      <c r="NPA92" s="1"/>
      <c r="NPB92" s="1"/>
      <c r="NPC92" s="1"/>
      <c r="NPD92" s="1"/>
      <c r="NPE92" s="1"/>
      <c r="NPF92" s="1"/>
      <c r="NPG92" s="1"/>
      <c r="NPH92" s="1"/>
      <c r="NPI92" s="1"/>
      <c r="NPJ92" s="1"/>
      <c r="NPK92" s="1"/>
      <c r="NPL92" s="1"/>
      <c r="NPM92" s="1"/>
      <c r="NPN92" s="1"/>
      <c r="NPO92" s="1"/>
      <c r="NPP92" s="1"/>
      <c r="NPQ92" s="1"/>
      <c r="NPR92" s="1"/>
      <c r="NPS92" s="1"/>
      <c r="NPT92" s="1"/>
      <c r="NPU92" s="1"/>
      <c r="NPV92" s="1"/>
      <c r="NPW92" s="1"/>
      <c r="NPX92" s="1"/>
      <c r="NPY92" s="1"/>
      <c r="NPZ92" s="1"/>
      <c r="NQA92" s="1"/>
      <c r="NQB92" s="1"/>
      <c r="NQC92" s="1"/>
      <c r="NQD92" s="1"/>
      <c r="NQE92" s="1"/>
      <c r="NQF92" s="1"/>
      <c r="NQG92" s="1"/>
      <c r="NQH92" s="1"/>
      <c r="NQI92" s="1"/>
      <c r="NQJ92" s="1"/>
      <c r="NQK92" s="1"/>
      <c r="NQL92" s="1"/>
      <c r="NQM92" s="1"/>
      <c r="NQN92" s="1"/>
      <c r="NQO92" s="1"/>
      <c r="NQP92" s="1"/>
      <c r="NQQ92" s="1"/>
      <c r="NQR92" s="1"/>
      <c r="NQS92" s="1"/>
      <c r="NQT92" s="1"/>
      <c r="NQU92" s="1"/>
      <c r="NQV92" s="1"/>
      <c r="NQW92" s="1"/>
      <c r="NQX92" s="1"/>
      <c r="NQY92" s="1"/>
      <c r="NQZ92" s="1"/>
      <c r="NRA92" s="1"/>
      <c r="NRB92" s="1"/>
      <c r="NRC92" s="1"/>
      <c r="NRD92" s="1"/>
      <c r="NRE92" s="1"/>
      <c r="NRF92" s="1"/>
      <c r="NRG92" s="1"/>
      <c r="NRH92" s="1"/>
      <c r="NRI92" s="1"/>
      <c r="NRJ92" s="1"/>
      <c r="NRK92" s="1"/>
      <c r="NRL92" s="1"/>
      <c r="NRM92" s="1"/>
      <c r="NRN92" s="1"/>
      <c r="NRO92" s="1"/>
      <c r="NRP92" s="1"/>
      <c r="NRQ92" s="1"/>
      <c r="NRR92" s="1"/>
      <c r="NRS92" s="1"/>
      <c r="NRT92" s="1"/>
      <c r="NRU92" s="1"/>
      <c r="NRV92" s="1"/>
      <c r="NRW92" s="1"/>
      <c r="NRX92" s="1"/>
      <c r="NRY92" s="1"/>
      <c r="NRZ92" s="1"/>
      <c r="NSA92" s="1"/>
      <c r="NSB92" s="1"/>
      <c r="NSC92" s="1"/>
      <c r="NSD92" s="1"/>
      <c r="NSE92" s="1"/>
      <c r="NSF92" s="1"/>
      <c r="NSG92" s="1"/>
      <c r="NSH92" s="1"/>
      <c r="NSI92" s="1"/>
      <c r="NSJ92" s="1"/>
      <c r="NSK92" s="1"/>
      <c r="NSL92" s="1"/>
      <c r="NSM92" s="1"/>
      <c r="NSN92" s="1"/>
      <c r="NSO92" s="1"/>
      <c r="NSP92" s="1"/>
      <c r="NSQ92" s="1"/>
      <c r="NSR92" s="1"/>
      <c r="NSS92" s="1"/>
      <c r="NST92" s="1"/>
      <c r="NSU92" s="1"/>
      <c r="NSV92" s="1"/>
      <c r="NSW92" s="1"/>
      <c r="NSX92" s="1"/>
      <c r="NSY92" s="1"/>
      <c r="NSZ92" s="1"/>
      <c r="NTA92" s="1"/>
      <c r="NTB92" s="1"/>
      <c r="NTC92" s="1"/>
      <c r="NTD92" s="1"/>
      <c r="NTE92" s="1"/>
      <c r="NTF92" s="1"/>
      <c r="NTG92" s="1"/>
      <c r="NTH92" s="1"/>
      <c r="NTI92" s="1"/>
      <c r="NTJ92" s="1"/>
      <c r="NTK92" s="1"/>
      <c r="NTL92" s="1"/>
      <c r="NTM92" s="1"/>
      <c r="NTN92" s="1"/>
      <c r="NTO92" s="1"/>
      <c r="NTP92" s="1"/>
      <c r="NTQ92" s="1"/>
      <c r="NTR92" s="1"/>
      <c r="NTS92" s="1"/>
      <c r="NTT92" s="1"/>
      <c r="NTU92" s="1"/>
      <c r="NTV92" s="1"/>
      <c r="NTW92" s="1"/>
      <c r="NTX92" s="1"/>
      <c r="NTY92" s="1"/>
      <c r="NTZ92" s="1"/>
      <c r="NUA92" s="1"/>
      <c r="NUB92" s="1"/>
      <c r="NUC92" s="1"/>
      <c r="NUD92" s="1"/>
      <c r="NUE92" s="1"/>
      <c r="NUF92" s="1"/>
      <c r="NUG92" s="1"/>
      <c r="NUH92" s="1"/>
      <c r="NUI92" s="1"/>
      <c r="NUJ92" s="1"/>
      <c r="NUK92" s="1"/>
      <c r="NUL92" s="1"/>
      <c r="NUM92" s="1"/>
      <c r="NUN92" s="1"/>
      <c r="NUO92" s="1"/>
      <c r="NUP92" s="1"/>
      <c r="NUQ92" s="1"/>
      <c r="NUR92" s="1"/>
      <c r="NUS92" s="1"/>
      <c r="NUT92" s="1"/>
      <c r="NUU92" s="1"/>
      <c r="NUV92" s="1"/>
      <c r="NUW92" s="1"/>
      <c r="NUX92" s="1"/>
      <c r="NUY92" s="1"/>
      <c r="NUZ92" s="1"/>
      <c r="NVA92" s="1"/>
      <c r="NVB92" s="1"/>
      <c r="NVC92" s="1"/>
      <c r="NVD92" s="1"/>
      <c r="NVE92" s="1"/>
      <c r="NVF92" s="1"/>
      <c r="NVG92" s="1"/>
      <c r="NVH92" s="1"/>
      <c r="NVI92" s="1"/>
      <c r="NVJ92" s="1"/>
      <c r="NVK92" s="1"/>
      <c r="NVL92" s="1"/>
      <c r="NVM92" s="1"/>
      <c r="NVN92" s="1"/>
      <c r="NVO92" s="1"/>
      <c r="NVP92" s="1"/>
      <c r="NVQ92" s="1"/>
      <c r="NVR92" s="1"/>
      <c r="NVS92" s="1"/>
      <c r="NVT92" s="1"/>
      <c r="NVU92" s="1"/>
      <c r="NVV92" s="1"/>
      <c r="NVW92" s="1"/>
      <c r="NVX92" s="1"/>
      <c r="NVY92" s="1"/>
      <c r="NVZ92" s="1"/>
      <c r="NWA92" s="1"/>
      <c r="NWB92" s="1"/>
      <c r="NWC92" s="1"/>
      <c r="NWD92" s="1"/>
      <c r="NWE92" s="1"/>
      <c r="NWF92" s="1"/>
      <c r="NWG92" s="1"/>
      <c r="NWH92" s="1"/>
      <c r="NWI92" s="1"/>
      <c r="NWJ92" s="1"/>
      <c r="NWK92" s="1"/>
      <c r="NWL92" s="1"/>
      <c r="NWM92" s="1"/>
      <c r="NWN92" s="1"/>
      <c r="NWO92" s="1"/>
      <c r="NWP92" s="1"/>
      <c r="NWQ92" s="1"/>
      <c r="NWR92" s="1"/>
      <c r="NWS92" s="1"/>
      <c r="NWT92" s="1"/>
      <c r="NWU92" s="1"/>
      <c r="NWV92" s="1"/>
      <c r="NWW92" s="1"/>
      <c r="NWX92" s="1"/>
      <c r="NWY92" s="1"/>
      <c r="NWZ92" s="1"/>
      <c r="NXA92" s="1"/>
      <c r="NXB92" s="1"/>
      <c r="NXC92" s="1"/>
      <c r="NXD92" s="1"/>
      <c r="NXE92" s="1"/>
      <c r="NXF92" s="1"/>
      <c r="NXG92" s="1"/>
      <c r="NXH92" s="1"/>
      <c r="NXI92" s="1"/>
      <c r="NXJ92" s="1"/>
      <c r="NXK92" s="1"/>
      <c r="NXL92" s="1"/>
      <c r="NXM92" s="1"/>
      <c r="NXN92" s="1"/>
      <c r="NXO92" s="1"/>
      <c r="NXP92" s="1"/>
      <c r="NXQ92" s="1"/>
      <c r="NXR92" s="1"/>
      <c r="NXS92" s="1"/>
      <c r="NXT92" s="1"/>
      <c r="NXU92" s="1"/>
      <c r="NXV92" s="1"/>
      <c r="NXW92" s="1"/>
      <c r="NXX92" s="1"/>
      <c r="NXY92" s="1"/>
      <c r="NXZ92" s="1"/>
      <c r="NYA92" s="1"/>
      <c r="NYB92" s="1"/>
      <c r="NYC92" s="1"/>
      <c r="NYD92" s="1"/>
      <c r="NYE92" s="1"/>
      <c r="NYF92" s="1"/>
      <c r="NYG92" s="1"/>
      <c r="NYH92" s="1"/>
      <c r="NYI92" s="1"/>
      <c r="NYJ92" s="1"/>
      <c r="NYK92" s="1"/>
      <c r="NYL92" s="1"/>
      <c r="NYM92" s="1"/>
      <c r="NYN92" s="1"/>
      <c r="NYO92" s="1"/>
      <c r="NYP92" s="1"/>
      <c r="NYQ92" s="1"/>
      <c r="NYR92" s="1"/>
      <c r="NYS92" s="1"/>
      <c r="NYT92" s="1"/>
      <c r="NYU92" s="1"/>
      <c r="NYV92" s="1"/>
      <c r="NYW92" s="1"/>
      <c r="NYX92" s="1"/>
      <c r="NYY92" s="1"/>
      <c r="NYZ92" s="1"/>
      <c r="NZA92" s="1"/>
      <c r="NZB92" s="1"/>
      <c r="NZC92" s="1"/>
      <c r="NZD92" s="1"/>
      <c r="NZE92" s="1"/>
      <c r="NZF92" s="1"/>
      <c r="NZG92" s="1"/>
      <c r="NZH92" s="1"/>
      <c r="NZI92" s="1"/>
      <c r="NZJ92" s="1"/>
      <c r="NZK92" s="1"/>
      <c r="NZL92" s="1"/>
      <c r="NZM92" s="1"/>
      <c r="NZN92" s="1"/>
      <c r="NZO92" s="1"/>
      <c r="NZP92" s="1"/>
      <c r="NZQ92" s="1"/>
      <c r="NZR92" s="1"/>
      <c r="NZS92" s="1"/>
      <c r="NZT92" s="1"/>
      <c r="NZU92" s="1"/>
      <c r="NZV92" s="1"/>
      <c r="NZW92" s="1"/>
      <c r="NZX92" s="1"/>
      <c r="NZY92" s="1"/>
      <c r="NZZ92" s="1"/>
      <c r="OAA92" s="1"/>
      <c r="OAB92" s="1"/>
      <c r="OAC92" s="1"/>
      <c r="OAD92" s="1"/>
      <c r="OAE92" s="1"/>
      <c r="OAF92" s="1"/>
      <c r="OAG92" s="1"/>
      <c r="OAH92" s="1"/>
      <c r="OAI92" s="1"/>
      <c r="OAJ92" s="1"/>
      <c r="OAK92" s="1"/>
      <c r="OAL92" s="1"/>
      <c r="OAM92" s="1"/>
      <c r="OAN92" s="1"/>
      <c r="OAO92" s="1"/>
      <c r="OAP92" s="1"/>
      <c r="OAQ92" s="1"/>
      <c r="OAR92" s="1"/>
      <c r="OAS92" s="1"/>
      <c r="OAT92" s="1"/>
      <c r="OAU92" s="1"/>
      <c r="OAV92" s="1"/>
      <c r="OAW92" s="1"/>
      <c r="OAX92" s="1"/>
      <c r="OAY92" s="1"/>
      <c r="OAZ92" s="1"/>
      <c r="OBA92" s="1"/>
      <c r="OBB92" s="1"/>
      <c r="OBC92" s="1"/>
      <c r="OBD92" s="1"/>
      <c r="OBE92" s="1"/>
      <c r="OBF92" s="1"/>
      <c r="OBG92" s="1"/>
      <c r="OBH92" s="1"/>
      <c r="OBI92" s="1"/>
      <c r="OBJ92" s="1"/>
      <c r="OBK92" s="1"/>
      <c r="OBL92" s="1"/>
      <c r="OBM92" s="1"/>
      <c r="OBN92" s="1"/>
      <c r="OBO92" s="1"/>
      <c r="OBP92" s="1"/>
      <c r="OBQ92" s="1"/>
      <c r="OBR92" s="1"/>
      <c r="OBS92" s="1"/>
      <c r="OBT92" s="1"/>
      <c r="OBU92" s="1"/>
      <c r="OBV92" s="1"/>
      <c r="OBW92" s="1"/>
      <c r="OBX92" s="1"/>
      <c r="OBY92" s="1"/>
      <c r="OBZ92" s="1"/>
      <c r="OCA92" s="1"/>
      <c r="OCB92" s="1"/>
      <c r="OCC92" s="1"/>
      <c r="OCD92" s="1"/>
      <c r="OCE92" s="1"/>
      <c r="OCF92" s="1"/>
      <c r="OCG92" s="1"/>
      <c r="OCH92" s="1"/>
      <c r="OCI92" s="1"/>
      <c r="OCJ92" s="1"/>
      <c r="OCK92" s="1"/>
      <c r="OCL92" s="1"/>
      <c r="OCM92" s="1"/>
      <c r="OCN92" s="1"/>
      <c r="OCO92" s="1"/>
      <c r="OCP92" s="1"/>
      <c r="OCQ92" s="1"/>
      <c r="OCR92" s="1"/>
      <c r="OCS92" s="1"/>
      <c r="OCT92" s="1"/>
      <c r="OCU92" s="1"/>
      <c r="OCV92" s="1"/>
      <c r="OCW92" s="1"/>
      <c r="OCX92" s="1"/>
      <c r="OCY92" s="1"/>
      <c r="OCZ92" s="1"/>
      <c r="ODA92" s="1"/>
      <c r="ODB92" s="1"/>
      <c r="ODC92" s="1"/>
      <c r="ODD92" s="1"/>
      <c r="ODE92" s="1"/>
      <c r="ODF92" s="1"/>
      <c r="ODG92" s="1"/>
      <c r="ODH92" s="1"/>
      <c r="ODI92" s="1"/>
      <c r="ODJ92" s="1"/>
      <c r="ODK92" s="1"/>
      <c r="ODL92" s="1"/>
      <c r="ODM92" s="1"/>
      <c r="ODN92" s="1"/>
      <c r="ODO92" s="1"/>
      <c r="ODP92" s="1"/>
      <c r="ODQ92" s="1"/>
      <c r="ODR92" s="1"/>
      <c r="ODS92" s="1"/>
      <c r="ODT92" s="1"/>
      <c r="ODU92" s="1"/>
      <c r="ODV92" s="1"/>
      <c r="ODW92" s="1"/>
      <c r="ODX92" s="1"/>
      <c r="ODY92" s="1"/>
      <c r="ODZ92" s="1"/>
      <c r="OEA92" s="1"/>
      <c r="OEB92" s="1"/>
      <c r="OEC92" s="1"/>
      <c r="OED92" s="1"/>
      <c r="OEE92" s="1"/>
      <c r="OEF92" s="1"/>
      <c r="OEG92" s="1"/>
      <c r="OEH92" s="1"/>
      <c r="OEI92" s="1"/>
      <c r="OEJ92" s="1"/>
      <c r="OEK92" s="1"/>
      <c r="OEL92" s="1"/>
      <c r="OEM92" s="1"/>
      <c r="OEN92" s="1"/>
      <c r="OEO92" s="1"/>
      <c r="OEP92" s="1"/>
      <c r="OEQ92" s="1"/>
      <c r="OER92" s="1"/>
      <c r="OES92" s="1"/>
      <c r="OET92" s="1"/>
      <c r="OEU92" s="1"/>
      <c r="OEV92" s="1"/>
      <c r="OEW92" s="1"/>
      <c r="OEX92" s="1"/>
      <c r="OEY92" s="1"/>
      <c r="OEZ92" s="1"/>
      <c r="OFA92" s="1"/>
      <c r="OFB92" s="1"/>
      <c r="OFC92" s="1"/>
      <c r="OFD92" s="1"/>
      <c r="OFE92" s="1"/>
      <c r="OFF92" s="1"/>
      <c r="OFG92" s="1"/>
      <c r="OFH92" s="1"/>
      <c r="OFI92" s="1"/>
      <c r="OFJ92" s="1"/>
      <c r="OFK92" s="1"/>
      <c r="OFL92" s="1"/>
      <c r="OFM92" s="1"/>
      <c r="OFN92" s="1"/>
      <c r="OFO92" s="1"/>
      <c r="OFP92" s="1"/>
      <c r="OFQ92" s="1"/>
      <c r="OFR92" s="1"/>
      <c r="OFS92" s="1"/>
      <c r="OFT92" s="1"/>
      <c r="OFU92" s="1"/>
      <c r="OFV92" s="1"/>
      <c r="OFW92" s="1"/>
      <c r="OFX92" s="1"/>
      <c r="OFY92" s="1"/>
      <c r="OFZ92" s="1"/>
      <c r="OGA92" s="1"/>
      <c r="OGB92" s="1"/>
      <c r="OGC92" s="1"/>
      <c r="OGD92" s="1"/>
      <c r="OGE92" s="1"/>
      <c r="OGF92" s="1"/>
      <c r="OGG92" s="1"/>
      <c r="OGH92" s="1"/>
      <c r="OGI92" s="1"/>
      <c r="OGJ92" s="1"/>
      <c r="OGK92" s="1"/>
      <c r="OGL92" s="1"/>
      <c r="OGM92" s="1"/>
      <c r="OGN92" s="1"/>
      <c r="OGO92" s="1"/>
      <c r="OGP92" s="1"/>
      <c r="OGQ92" s="1"/>
      <c r="OGR92" s="1"/>
      <c r="OGS92" s="1"/>
      <c r="OGT92" s="1"/>
      <c r="OGU92" s="1"/>
      <c r="OGV92" s="1"/>
      <c r="OGW92" s="1"/>
      <c r="OGX92" s="1"/>
      <c r="OGY92" s="1"/>
      <c r="OGZ92" s="1"/>
      <c r="OHA92" s="1"/>
      <c r="OHB92" s="1"/>
      <c r="OHC92" s="1"/>
      <c r="OHD92" s="1"/>
      <c r="OHE92" s="1"/>
      <c r="OHF92" s="1"/>
      <c r="OHG92" s="1"/>
      <c r="OHH92" s="1"/>
      <c r="OHI92" s="1"/>
      <c r="OHJ92" s="1"/>
      <c r="OHK92" s="1"/>
      <c r="OHL92" s="1"/>
      <c r="OHM92" s="1"/>
      <c r="OHN92" s="1"/>
      <c r="OHO92" s="1"/>
      <c r="OHP92" s="1"/>
      <c r="OHQ92" s="1"/>
      <c r="OHR92" s="1"/>
      <c r="OHS92" s="1"/>
      <c r="OHT92" s="1"/>
      <c r="OHU92" s="1"/>
      <c r="OHV92" s="1"/>
      <c r="OHW92" s="1"/>
      <c r="OHX92" s="1"/>
      <c r="OHY92" s="1"/>
      <c r="OHZ92" s="1"/>
      <c r="OIA92" s="1"/>
      <c r="OIB92" s="1"/>
      <c r="OIC92" s="1"/>
      <c r="OID92" s="1"/>
      <c r="OIE92" s="1"/>
      <c r="OIF92" s="1"/>
      <c r="OIG92" s="1"/>
      <c r="OIH92" s="1"/>
      <c r="OII92" s="1"/>
      <c r="OIJ92" s="1"/>
      <c r="OIK92" s="1"/>
      <c r="OIL92" s="1"/>
      <c r="OIM92" s="1"/>
      <c r="OIN92" s="1"/>
      <c r="OIO92" s="1"/>
      <c r="OIP92" s="1"/>
      <c r="OIQ92" s="1"/>
      <c r="OIR92" s="1"/>
      <c r="OIS92" s="1"/>
      <c r="OIT92" s="1"/>
      <c r="OIU92" s="1"/>
      <c r="OIV92" s="1"/>
      <c r="OIW92" s="1"/>
      <c r="OIX92" s="1"/>
      <c r="OIY92" s="1"/>
      <c r="OIZ92" s="1"/>
      <c r="OJA92" s="1"/>
      <c r="OJB92" s="1"/>
      <c r="OJC92" s="1"/>
      <c r="OJD92" s="1"/>
      <c r="OJE92" s="1"/>
      <c r="OJF92" s="1"/>
      <c r="OJG92" s="1"/>
      <c r="OJH92" s="1"/>
      <c r="OJI92" s="1"/>
      <c r="OJJ92" s="1"/>
      <c r="OJK92" s="1"/>
      <c r="OJL92" s="1"/>
      <c r="OJM92" s="1"/>
      <c r="OJN92" s="1"/>
      <c r="OJO92" s="1"/>
      <c r="OJP92" s="1"/>
      <c r="OJQ92" s="1"/>
      <c r="OJR92" s="1"/>
      <c r="OJS92" s="1"/>
      <c r="OJT92" s="1"/>
      <c r="OJU92" s="1"/>
      <c r="OJV92" s="1"/>
      <c r="OJW92" s="1"/>
      <c r="OJX92" s="1"/>
      <c r="OJY92" s="1"/>
      <c r="OJZ92" s="1"/>
      <c r="OKA92" s="1"/>
      <c r="OKB92" s="1"/>
      <c r="OKC92" s="1"/>
      <c r="OKD92" s="1"/>
      <c r="OKE92" s="1"/>
      <c r="OKF92" s="1"/>
      <c r="OKG92" s="1"/>
      <c r="OKH92" s="1"/>
      <c r="OKI92" s="1"/>
      <c r="OKJ92" s="1"/>
      <c r="OKK92" s="1"/>
      <c r="OKL92" s="1"/>
      <c r="OKM92" s="1"/>
      <c r="OKN92" s="1"/>
      <c r="OKO92" s="1"/>
      <c r="OKP92" s="1"/>
      <c r="OKQ92" s="1"/>
      <c r="OKR92" s="1"/>
      <c r="OKS92" s="1"/>
      <c r="OKT92" s="1"/>
      <c r="OKU92" s="1"/>
      <c r="OKV92" s="1"/>
      <c r="OKW92" s="1"/>
      <c r="OKX92" s="1"/>
      <c r="OKY92" s="1"/>
      <c r="OKZ92" s="1"/>
      <c r="OLA92" s="1"/>
      <c r="OLB92" s="1"/>
      <c r="OLC92" s="1"/>
      <c r="OLD92" s="1"/>
      <c r="OLE92" s="1"/>
      <c r="OLF92" s="1"/>
      <c r="OLG92" s="1"/>
      <c r="OLH92" s="1"/>
      <c r="OLI92" s="1"/>
      <c r="OLJ92" s="1"/>
      <c r="OLK92" s="1"/>
      <c r="OLL92" s="1"/>
      <c r="OLM92" s="1"/>
      <c r="OLN92" s="1"/>
      <c r="OLO92" s="1"/>
      <c r="OLP92" s="1"/>
      <c r="OLQ92" s="1"/>
      <c r="OLR92" s="1"/>
      <c r="OLS92" s="1"/>
      <c r="OLT92" s="1"/>
      <c r="OLU92" s="1"/>
      <c r="OLV92" s="1"/>
      <c r="OLW92" s="1"/>
      <c r="OLX92" s="1"/>
      <c r="OLY92" s="1"/>
      <c r="OLZ92" s="1"/>
      <c r="OMA92" s="1"/>
      <c r="OMB92" s="1"/>
      <c r="OMC92" s="1"/>
      <c r="OMD92" s="1"/>
      <c r="OME92" s="1"/>
      <c r="OMF92" s="1"/>
      <c r="OMG92" s="1"/>
      <c r="OMH92" s="1"/>
      <c r="OMI92" s="1"/>
      <c r="OMJ92" s="1"/>
      <c r="OMK92" s="1"/>
      <c r="OML92" s="1"/>
      <c r="OMM92" s="1"/>
      <c r="OMN92" s="1"/>
      <c r="OMO92" s="1"/>
      <c r="OMP92" s="1"/>
      <c r="OMQ92" s="1"/>
      <c r="OMR92" s="1"/>
      <c r="OMS92" s="1"/>
      <c r="OMT92" s="1"/>
      <c r="OMU92" s="1"/>
      <c r="OMV92" s="1"/>
      <c r="OMW92" s="1"/>
      <c r="OMX92" s="1"/>
      <c r="OMY92" s="1"/>
      <c r="OMZ92" s="1"/>
      <c r="ONA92" s="1"/>
      <c r="ONB92" s="1"/>
      <c r="ONC92" s="1"/>
      <c r="OND92" s="1"/>
      <c r="ONE92" s="1"/>
      <c r="ONF92" s="1"/>
      <c r="ONG92" s="1"/>
      <c r="ONH92" s="1"/>
      <c r="ONI92" s="1"/>
      <c r="ONJ92" s="1"/>
      <c r="ONK92" s="1"/>
      <c r="ONL92" s="1"/>
      <c r="ONM92" s="1"/>
      <c r="ONN92" s="1"/>
      <c r="ONO92" s="1"/>
      <c r="ONP92" s="1"/>
      <c r="ONQ92" s="1"/>
      <c r="ONR92" s="1"/>
      <c r="ONS92" s="1"/>
      <c r="ONT92" s="1"/>
      <c r="ONU92" s="1"/>
      <c r="ONV92" s="1"/>
      <c r="ONW92" s="1"/>
      <c r="ONX92" s="1"/>
      <c r="ONY92" s="1"/>
      <c r="ONZ92" s="1"/>
      <c r="OOA92" s="1"/>
      <c r="OOB92" s="1"/>
      <c r="OOC92" s="1"/>
      <c r="OOD92" s="1"/>
      <c r="OOE92" s="1"/>
      <c r="OOF92" s="1"/>
      <c r="OOG92" s="1"/>
      <c r="OOH92" s="1"/>
      <c r="OOI92" s="1"/>
      <c r="OOJ92" s="1"/>
      <c r="OOK92" s="1"/>
      <c r="OOL92" s="1"/>
      <c r="OOM92" s="1"/>
      <c r="OON92" s="1"/>
      <c r="OOO92" s="1"/>
      <c r="OOP92" s="1"/>
      <c r="OOQ92" s="1"/>
      <c r="OOR92" s="1"/>
      <c r="OOS92" s="1"/>
      <c r="OOT92" s="1"/>
      <c r="OOU92" s="1"/>
      <c r="OOV92" s="1"/>
      <c r="OOW92" s="1"/>
      <c r="OOX92" s="1"/>
      <c r="OOY92" s="1"/>
      <c r="OOZ92" s="1"/>
      <c r="OPA92" s="1"/>
      <c r="OPB92" s="1"/>
      <c r="OPC92" s="1"/>
      <c r="OPD92" s="1"/>
      <c r="OPE92" s="1"/>
      <c r="OPF92" s="1"/>
      <c r="OPG92" s="1"/>
      <c r="OPH92" s="1"/>
      <c r="OPI92" s="1"/>
      <c r="OPJ92" s="1"/>
      <c r="OPK92" s="1"/>
      <c r="OPL92" s="1"/>
      <c r="OPM92" s="1"/>
      <c r="OPN92" s="1"/>
      <c r="OPO92" s="1"/>
      <c r="OPP92" s="1"/>
      <c r="OPQ92" s="1"/>
      <c r="OPR92" s="1"/>
      <c r="OPS92" s="1"/>
      <c r="OPT92" s="1"/>
      <c r="OPU92" s="1"/>
      <c r="OPV92" s="1"/>
      <c r="OPW92" s="1"/>
      <c r="OPX92" s="1"/>
      <c r="OPY92" s="1"/>
      <c r="OPZ92" s="1"/>
      <c r="OQA92" s="1"/>
      <c r="OQB92" s="1"/>
      <c r="OQC92" s="1"/>
      <c r="OQD92" s="1"/>
      <c r="OQE92" s="1"/>
      <c r="OQF92" s="1"/>
      <c r="OQG92" s="1"/>
      <c r="OQH92" s="1"/>
      <c r="OQI92" s="1"/>
      <c r="OQJ92" s="1"/>
      <c r="OQK92" s="1"/>
      <c r="OQL92" s="1"/>
      <c r="OQM92" s="1"/>
      <c r="OQN92" s="1"/>
      <c r="OQO92" s="1"/>
      <c r="OQP92" s="1"/>
      <c r="OQQ92" s="1"/>
      <c r="OQR92" s="1"/>
      <c r="OQS92" s="1"/>
      <c r="OQT92" s="1"/>
      <c r="OQU92" s="1"/>
      <c r="OQV92" s="1"/>
      <c r="OQW92" s="1"/>
      <c r="OQX92" s="1"/>
      <c r="OQY92" s="1"/>
      <c r="OQZ92" s="1"/>
      <c r="ORA92" s="1"/>
      <c r="ORB92" s="1"/>
      <c r="ORC92" s="1"/>
      <c r="ORD92" s="1"/>
      <c r="ORE92" s="1"/>
      <c r="ORF92" s="1"/>
      <c r="ORG92" s="1"/>
      <c r="ORH92" s="1"/>
      <c r="ORI92" s="1"/>
      <c r="ORJ92" s="1"/>
      <c r="ORK92" s="1"/>
      <c r="ORL92" s="1"/>
      <c r="ORM92" s="1"/>
      <c r="ORN92" s="1"/>
      <c r="ORO92" s="1"/>
      <c r="ORP92" s="1"/>
      <c r="ORQ92" s="1"/>
      <c r="ORR92" s="1"/>
      <c r="ORS92" s="1"/>
      <c r="ORT92" s="1"/>
      <c r="ORU92" s="1"/>
      <c r="ORV92" s="1"/>
      <c r="ORW92" s="1"/>
      <c r="ORX92" s="1"/>
      <c r="ORY92" s="1"/>
      <c r="ORZ92" s="1"/>
      <c r="OSA92" s="1"/>
      <c r="OSB92" s="1"/>
      <c r="OSC92" s="1"/>
      <c r="OSD92" s="1"/>
      <c r="OSE92" s="1"/>
      <c r="OSF92" s="1"/>
      <c r="OSG92" s="1"/>
      <c r="OSH92" s="1"/>
      <c r="OSI92" s="1"/>
      <c r="OSJ92" s="1"/>
      <c r="OSK92" s="1"/>
      <c r="OSL92" s="1"/>
      <c r="OSM92" s="1"/>
      <c r="OSN92" s="1"/>
      <c r="OSO92" s="1"/>
      <c r="OSP92" s="1"/>
      <c r="OSQ92" s="1"/>
      <c r="OSR92" s="1"/>
      <c r="OSS92" s="1"/>
      <c r="OST92" s="1"/>
      <c r="OSU92" s="1"/>
      <c r="OSV92" s="1"/>
      <c r="OSW92" s="1"/>
      <c r="OSX92" s="1"/>
      <c r="OSY92" s="1"/>
      <c r="OSZ92" s="1"/>
      <c r="OTA92" s="1"/>
      <c r="OTB92" s="1"/>
      <c r="OTC92" s="1"/>
      <c r="OTD92" s="1"/>
      <c r="OTE92" s="1"/>
      <c r="OTF92" s="1"/>
      <c r="OTG92" s="1"/>
      <c r="OTH92" s="1"/>
      <c r="OTI92" s="1"/>
      <c r="OTJ92" s="1"/>
      <c r="OTK92" s="1"/>
      <c r="OTL92" s="1"/>
      <c r="OTM92" s="1"/>
      <c r="OTN92" s="1"/>
      <c r="OTO92" s="1"/>
      <c r="OTP92" s="1"/>
      <c r="OTQ92" s="1"/>
      <c r="OTR92" s="1"/>
      <c r="OTS92" s="1"/>
      <c r="OTT92" s="1"/>
      <c r="OTU92" s="1"/>
      <c r="OTV92" s="1"/>
      <c r="OTW92" s="1"/>
      <c r="OTX92" s="1"/>
      <c r="OTY92" s="1"/>
      <c r="OTZ92" s="1"/>
      <c r="OUA92" s="1"/>
      <c r="OUB92" s="1"/>
      <c r="OUC92" s="1"/>
      <c r="OUD92" s="1"/>
      <c r="OUE92" s="1"/>
      <c r="OUF92" s="1"/>
      <c r="OUG92" s="1"/>
      <c r="OUH92" s="1"/>
      <c r="OUI92" s="1"/>
      <c r="OUJ92" s="1"/>
      <c r="OUK92" s="1"/>
      <c r="OUL92" s="1"/>
      <c r="OUM92" s="1"/>
      <c r="OUN92" s="1"/>
      <c r="OUO92" s="1"/>
      <c r="OUP92" s="1"/>
      <c r="OUQ92" s="1"/>
      <c r="OUR92" s="1"/>
      <c r="OUS92" s="1"/>
      <c r="OUT92" s="1"/>
      <c r="OUU92" s="1"/>
      <c r="OUV92" s="1"/>
      <c r="OUW92" s="1"/>
      <c r="OUX92" s="1"/>
      <c r="OUY92" s="1"/>
      <c r="OUZ92" s="1"/>
      <c r="OVA92" s="1"/>
      <c r="OVB92" s="1"/>
      <c r="OVC92" s="1"/>
      <c r="OVD92" s="1"/>
      <c r="OVE92" s="1"/>
      <c r="OVF92" s="1"/>
      <c r="OVG92" s="1"/>
      <c r="OVH92" s="1"/>
      <c r="OVI92" s="1"/>
      <c r="OVJ92" s="1"/>
      <c r="OVK92" s="1"/>
      <c r="OVL92" s="1"/>
      <c r="OVM92" s="1"/>
      <c r="OVN92" s="1"/>
      <c r="OVO92" s="1"/>
      <c r="OVP92" s="1"/>
      <c r="OVQ92" s="1"/>
      <c r="OVR92" s="1"/>
      <c r="OVS92" s="1"/>
      <c r="OVT92" s="1"/>
      <c r="OVU92" s="1"/>
      <c r="OVV92" s="1"/>
      <c r="OVW92" s="1"/>
      <c r="OVX92" s="1"/>
      <c r="OVY92" s="1"/>
      <c r="OVZ92" s="1"/>
      <c r="OWA92" s="1"/>
      <c r="OWB92" s="1"/>
      <c r="OWC92" s="1"/>
      <c r="OWD92" s="1"/>
      <c r="OWE92" s="1"/>
      <c r="OWF92" s="1"/>
      <c r="OWG92" s="1"/>
      <c r="OWH92" s="1"/>
      <c r="OWI92" s="1"/>
      <c r="OWJ92" s="1"/>
      <c r="OWK92" s="1"/>
      <c r="OWL92" s="1"/>
      <c r="OWM92" s="1"/>
      <c r="OWN92" s="1"/>
      <c r="OWO92" s="1"/>
      <c r="OWP92" s="1"/>
      <c r="OWQ92" s="1"/>
      <c r="OWR92" s="1"/>
      <c r="OWS92" s="1"/>
      <c r="OWT92" s="1"/>
      <c r="OWU92" s="1"/>
      <c r="OWV92" s="1"/>
      <c r="OWW92" s="1"/>
      <c r="OWX92" s="1"/>
      <c r="OWY92" s="1"/>
      <c r="OWZ92" s="1"/>
      <c r="OXA92" s="1"/>
      <c r="OXB92" s="1"/>
      <c r="OXC92" s="1"/>
      <c r="OXD92" s="1"/>
      <c r="OXE92" s="1"/>
      <c r="OXF92" s="1"/>
      <c r="OXG92" s="1"/>
      <c r="OXH92" s="1"/>
      <c r="OXI92" s="1"/>
      <c r="OXJ92" s="1"/>
      <c r="OXK92" s="1"/>
      <c r="OXL92" s="1"/>
      <c r="OXM92" s="1"/>
      <c r="OXN92" s="1"/>
      <c r="OXO92" s="1"/>
      <c r="OXP92" s="1"/>
      <c r="OXQ92" s="1"/>
      <c r="OXR92" s="1"/>
      <c r="OXS92" s="1"/>
      <c r="OXT92" s="1"/>
      <c r="OXU92" s="1"/>
      <c r="OXV92" s="1"/>
      <c r="OXW92" s="1"/>
      <c r="OXX92" s="1"/>
      <c r="OXY92" s="1"/>
      <c r="OXZ92" s="1"/>
      <c r="OYA92" s="1"/>
      <c r="OYB92" s="1"/>
      <c r="OYC92" s="1"/>
      <c r="OYD92" s="1"/>
      <c r="OYE92" s="1"/>
      <c r="OYF92" s="1"/>
      <c r="OYG92" s="1"/>
      <c r="OYH92" s="1"/>
      <c r="OYI92" s="1"/>
      <c r="OYJ92" s="1"/>
      <c r="OYK92" s="1"/>
      <c r="OYL92" s="1"/>
      <c r="OYM92" s="1"/>
      <c r="OYN92" s="1"/>
      <c r="OYO92" s="1"/>
      <c r="OYP92" s="1"/>
      <c r="OYQ92" s="1"/>
      <c r="OYR92" s="1"/>
      <c r="OYS92" s="1"/>
      <c r="OYT92" s="1"/>
      <c r="OYU92" s="1"/>
      <c r="OYV92" s="1"/>
      <c r="OYW92" s="1"/>
      <c r="OYX92" s="1"/>
      <c r="OYY92" s="1"/>
      <c r="OYZ92" s="1"/>
      <c r="OZA92" s="1"/>
      <c r="OZB92" s="1"/>
      <c r="OZC92" s="1"/>
      <c r="OZD92" s="1"/>
      <c r="OZE92" s="1"/>
      <c r="OZF92" s="1"/>
      <c r="OZG92" s="1"/>
      <c r="OZH92" s="1"/>
      <c r="OZI92" s="1"/>
      <c r="OZJ92" s="1"/>
      <c r="OZK92" s="1"/>
      <c r="OZL92" s="1"/>
      <c r="OZM92" s="1"/>
      <c r="OZN92" s="1"/>
      <c r="OZO92" s="1"/>
      <c r="OZP92" s="1"/>
      <c r="OZQ92" s="1"/>
      <c r="OZR92" s="1"/>
      <c r="OZS92" s="1"/>
      <c r="OZT92" s="1"/>
      <c r="OZU92" s="1"/>
      <c r="OZV92" s="1"/>
      <c r="OZW92" s="1"/>
      <c r="OZX92" s="1"/>
      <c r="OZY92" s="1"/>
      <c r="OZZ92" s="1"/>
      <c r="PAA92" s="1"/>
      <c r="PAB92" s="1"/>
      <c r="PAC92" s="1"/>
      <c r="PAD92" s="1"/>
      <c r="PAE92" s="1"/>
      <c r="PAF92" s="1"/>
      <c r="PAG92" s="1"/>
      <c r="PAH92" s="1"/>
      <c r="PAI92" s="1"/>
      <c r="PAJ92" s="1"/>
      <c r="PAK92" s="1"/>
      <c r="PAL92" s="1"/>
      <c r="PAM92" s="1"/>
      <c r="PAN92" s="1"/>
      <c r="PAO92" s="1"/>
      <c r="PAP92" s="1"/>
      <c r="PAQ92" s="1"/>
      <c r="PAR92" s="1"/>
      <c r="PAS92" s="1"/>
      <c r="PAT92" s="1"/>
      <c r="PAU92" s="1"/>
      <c r="PAV92" s="1"/>
      <c r="PAW92" s="1"/>
      <c r="PAX92" s="1"/>
      <c r="PAY92" s="1"/>
      <c r="PAZ92" s="1"/>
      <c r="PBA92" s="1"/>
      <c r="PBB92" s="1"/>
      <c r="PBC92" s="1"/>
      <c r="PBD92" s="1"/>
      <c r="PBE92" s="1"/>
      <c r="PBF92" s="1"/>
      <c r="PBG92" s="1"/>
      <c r="PBH92" s="1"/>
      <c r="PBI92" s="1"/>
      <c r="PBJ92" s="1"/>
      <c r="PBK92" s="1"/>
      <c r="PBL92" s="1"/>
      <c r="PBM92" s="1"/>
      <c r="PBN92" s="1"/>
      <c r="PBO92" s="1"/>
      <c r="PBP92" s="1"/>
      <c r="PBQ92" s="1"/>
      <c r="PBR92" s="1"/>
      <c r="PBS92" s="1"/>
      <c r="PBT92" s="1"/>
      <c r="PBU92" s="1"/>
      <c r="PBV92" s="1"/>
      <c r="PBW92" s="1"/>
      <c r="PBX92" s="1"/>
      <c r="PBY92" s="1"/>
      <c r="PBZ92" s="1"/>
      <c r="PCA92" s="1"/>
      <c r="PCB92" s="1"/>
      <c r="PCC92" s="1"/>
      <c r="PCD92" s="1"/>
      <c r="PCE92" s="1"/>
      <c r="PCF92" s="1"/>
      <c r="PCG92" s="1"/>
      <c r="PCH92" s="1"/>
      <c r="PCI92" s="1"/>
      <c r="PCJ92" s="1"/>
      <c r="PCK92" s="1"/>
      <c r="PCL92" s="1"/>
      <c r="PCM92" s="1"/>
      <c r="PCN92" s="1"/>
      <c r="PCO92" s="1"/>
      <c r="PCP92" s="1"/>
      <c r="PCQ92" s="1"/>
      <c r="PCR92" s="1"/>
      <c r="PCS92" s="1"/>
      <c r="PCT92" s="1"/>
      <c r="PCU92" s="1"/>
      <c r="PCV92" s="1"/>
      <c r="PCW92" s="1"/>
      <c r="PCX92" s="1"/>
      <c r="PCY92" s="1"/>
      <c r="PCZ92" s="1"/>
      <c r="PDA92" s="1"/>
      <c r="PDB92" s="1"/>
      <c r="PDC92" s="1"/>
      <c r="PDD92" s="1"/>
      <c r="PDE92" s="1"/>
      <c r="PDF92" s="1"/>
      <c r="PDG92" s="1"/>
      <c r="PDH92" s="1"/>
      <c r="PDI92" s="1"/>
      <c r="PDJ92" s="1"/>
      <c r="PDK92" s="1"/>
      <c r="PDL92" s="1"/>
      <c r="PDM92" s="1"/>
      <c r="PDN92" s="1"/>
      <c r="PDO92" s="1"/>
      <c r="PDP92" s="1"/>
      <c r="PDQ92" s="1"/>
      <c r="PDR92" s="1"/>
      <c r="PDS92" s="1"/>
      <c r="PDT92" s="1"/>
      <c r="PDU92" s="1"/>
      <c r="PDV92" s="1"/>
      <c r="PDW92" s="1"/>
      <c r="PDX92" s="1"/>
      <c r="PDY92" s="1"/>
      <c r="PDZ92" s="1"/>
      <c r="PEA92" s="1"/>
      <c r="PEB92" s="1"/>
      <c r="PEC92" s="1"/>
      <c r="PED92" s="1"/>
      <c r="PEE92" s="1"/>
      <c r="PEF92" s="1"/>
      <c r="PEG92" s="1"/>
      <c r="PEH92" s="1"/>
      <c r="PEI92" s="1"/>
      <c r="PEJ92" s="1"/>
      <c r="PEK92" s="1"/>
      <c r="PEL92" s="1"/>
      <c r="PEM92" s="1"/>
      <c r="PEN92" s="1"/>
      <c r="PEO92" s="1"/>
      <c r="PEP92" s="1"/>
      <c r="PEQ92" s="1"/>
      <c r="PER92" s="1"/>
      <c r="PES92" s="1"/>
      <c r="PET92" s="1"/>
      <c r="PEU92" s="1"/>
      <c r="PEV92" s="1"/>
      <c r="PEW92" s="1"/>
      <c r="PEX92" s="1"/>
      <c r="PEY92" s="1"/>
      <c r="PEZ92" s="1"/>
      <c r="PFA92" s="1"/>
      <c r="PFB92" s="1"/>
      <c r="PFC92" s="1"/>
      <c r="PFD92" s="1"/>
      <c r="PFE92" s="1"/>
      <c r="PFF92" s="1"/>
      <c r="PFG92" s="1"/>
      <c r="PFH92" s="1"/>
      <c r="PFI92" s="1"/>
      <c r="PFJ92" s="1"/>
      <c r="PFK92" s="1"/>
      <c r="PFL92" s="1"/>
      <c r="PFM92" s="1"/>
      <c r="PFN92" s="1"/>
      <c r="PFO92" s="1"/>
      <c r="PFP92" s="1"/>
      <c r="PFQ92" s="1"/>
      <c r="PFR92" s="1"/>
      <c r="PFS92" s="1"/>
      <c r="PFT92" s="1"/>
      <c r="PFU92" s="1"/>
      <c r="PFV92" s="1"/>
      <c r="PFW92" s="1"/>
      <c r="PFX92" s="1"/>
      <c r="PFY92" s="1"/>
      <c r="PFZ92" s="1"/>
      <c r="PGA92" s="1"/>
      <c r="PGB92" s="1"/>
      <c r="PGC92" s="1"/>
      <c r="PGD92" s="1"/>
      <c r="PGE92" s="1"/>
      <c r="PGF92" s="1"/>
      <c r="PGG92" s="1"/>
      <c r="PGH92" s="1"/>
      <c r="PGI92" s="1"/>
      <c r="PGJ92" s="1"/>
      <c r="PGK92" s="1"/>
      <c r="PGL92" s="1"/>
      <c r="PGM92" s="1"/>
      <c r="PGN92" s="1"/>
      <c r="PGO92" s="1"/>
      <c r="PGP92" s="1"/>
      <c r="PGQ92" s="1"/>
      <c r="PGR92" s="1"/>
      <c r="PGS92" s="1"/>
      <c r="PGT92" s="1"/>
      <c r="PGU92" s="1"/>
      <c r="PGV92" s="1"/>
      <c r="PGW92" s="1"/>
      <c r="PGX92" s="1"/>
      <c r="PGY92" s="1"/>
      <c r="PGZ92" s="1"/>
      <c r="PHA92" s="1"/>
      <c r="PHB92" s="1"/>
      <c r="PHC92" s="1"/>
      <c r="PHD92" s="1"/>
      <c r="PHE92" s="1"/>
      <c r="PHF92" s="1"/>
      <c r="PHG92" s="1"/>
      <c r="PHH92" s="1"/>
      <c r="PHI92" s="1"/>
      <c r="PHJ92" s="1"/>
      <c r="PHK92" s="1"/>
      <c r="PHL92" s="1"/>
      <c r="PHM92" s="1"/>
      <c r="PHN92" s="1"/>
      <c r="PHO92" s="1"/>
      <c r="PHP92" s="1"/>
      <c r="PHQ92" s="1"/>
      <c r="PHR92" s="1"/>
      <c r="PHS92" s="1"/>
      <c r="PHT92" s="1"/>
      <c r="PHU92" s="1"/>
      <c r="PHV92" s="1"/>
      <c r="PHW92" s="1"/>
      <c r="PHX92" s="1"/>
      <c r="PHY92" s="1"/>
      <c r="PHZ92" s="1"/>
      <c r="PIA92" s="1"/>
      <c r="PIB92" s="1"/>
      <c r="PIC92" s="1"/>
      <c r="PID92" s="1"/>
      <c r="PIE92" s="1"/>
      <c r="PIF92" s="1"/>
      <c r="PIG92" s="1"/>
      <c r="PIH92" s="1"/>
      <c r="PII92" s="1"/>
      <c r="PIJ92" s="1"/>
      <c r="PIK92" s="1"/>
      <c r="PIL92" s="1"/>
      <c r="PIM92" s="1"/>
      <c r="PIN92" s="1"/>
      <c r="PIO92" s="1"/>
      <c r="PIP92" s="1"/>
      <c r="PIQ92" s="1"/>
      <c r="PIR92" s="1"/>
      <c r="PIS92" s="1"/>
      <c r="PIT92" s="1"/>
      <c r="PIU92" s="1"/>
      <c r="PIV92" s="1"/>
      <c r="PIW92" s="1"/>
      <c r="PIX92" s="1"/>
      <c r="PIY92" s="1"/>
      <c r="PIZ92" s="1"/>
      <c r="PJA92" s="1"/>
      <c r="PJB92" s="1"/>
      <c r="PJC92" s="1"/>
      <c r="PJD92" s="1"/>
      <c r="PJE92" s="1"/>
      <c r="PJF92" s="1"/>
      <c r="PJG92" s="1"/>
      <c r="PJH92" s="1"/>
      <c r="PJI92" s="1"/>
      <c r="PJJ92" s="1"/>
      <c r="PJK92" s="1"/>
      <c r="PJL92" s="1"/>
      <c r="PJM92" s="1"/>
      <c r="PJN92" s="1"/>
      <c r="PJO92" s="1"/>
      <c r="PJP92" s="1"/>
      <c r="PJQ92" s="1"/>
      <c r="PJR92" s="1"/>
      <c r="PJS92" s="1"/>
      <c r="PJT92" s="1"/>
      <c r="PJU92" s="1"/>
      <c r="PJV92" s="1"/>
      <c r="PJW92" s="1"/>
      <c r="PJX92" s="1"/>
      <c r="PJY92" s="1"/>
      <c r="PJZ92" s="1"/>
      <c r="PKA92" s="1"/>
      <c r="PKB92" s="1"/>
      <c r="PKC92" s="1"/>
      <c r="PKD92" s="1"/>
      <c r="PKE92" s="1"/>
      <c r="PKF92" s="1"/>
      <c r="PKG92" s="1"/>
      <c r="PKH92" s="1"/>
      <c r="PKI92" s="1"/>
      <c r="PKJ92" s="1"/>
      <c r="PKK92" s="1"/>
      <c r="PKL92" s="1"/>
      <c r="PKM92" s="1"/>
      <c r="PKN92" s="1"/>
      <c r="PKO92" s="1"/>
      <c r="PKP92" s="1"/>
      <c r="PKQ92" s="1"/>
      <c r="PKR92" s="1"/>
      <c r="PKS92" s="1"/>
      <c r="PKT92" s="1"/>
      <c r="PKU92" s="1"/>
      <c r="PKV92" s="1"/>
      <c r="PKW92" s="1"/>
      <c r="PKX92" s="1"/>
      <c r="PKY92" s="1"/>
      <c r="PKZ92" s="1"/>
      <c r="PLA92" s="1"/>
      <c r="PLB92" s="1"/>
      <c r="PLC92" s="1"/>
      <c r="PLD92" s="1"/>
      <c r="PLE92" s="1"/>
      <c r="PLF92" s="1"/>
      <c r="PLG92" s="1"/>
      <c r="PLH92" s="1"/>
      <c r="PLI92" s="1"/>
      <c r="PLJ92" s="1"/>
      <c r="PLK92" s="1"/>
      <c r="PLL92" s="1"/>
      <c r="PLM92" s="1"/>
      <c r="PLN92" s="1"/>
      <c r="PLO92" s="1"/>
      <c r="PLP92" s="1"/>
      <c r="PLQ92" s="1"/>
      <c r="PLR92" s="1"/>
      <c r="PLS92" s="1"/>
      <c r="PLT92" s="1"/>
      <c r="PLU92" s="1"/>
      <c r="PLV92" s="1"/>
      <c r="PLW92" s="1"/>
      <c r="PLX92" s="1"/>
      <c r="PLY92" s="1"/>
      <c r="PLZ92" s="1"/>
      <c r="PMA92" s="1"/>
      <c r="PMB92" s="1"/>
      <c r="PMC92" s="1"/>
      <c r="PMD92" s="1"/>
      <c r="PME92" s="1"/>
      <c r="PMF92" s="1"/>
      <c r="PMG92" s="1"/>
      <c r="PMH92" s="1"/>
      <c r="PMI92" s="1"/>
      <c r="PMJ92" s="1"/>
      <c r="PMK92" s="1"/>
      <c r="PML92" s="1"/>
      <c r="PMM92" s="1"/>
      <c r="PMN92" s="1"/>
      <c r="PMO92" s="1"/>
      <c r="PMP92" s="1"/>
      <c r="PMQ92" s="1"/>
      <c r="PMR92" s="1"/>
      <c r="PMS92" s="1"/>
      <c r="PMT92" s="1"/>
      <c r="PMU92" s="1"/>
      <c r="PMV92" s="1"/>
      <c r="PMW92" s="1"/>
      <c r="PMX92" s="1"/>
      <c r="PMY92" s="1"/>
      <c r="PMZ92" s="1"/>
      <c r="PNA92" s="1"/>
      <c r="PNB92" s="1"/>
      <c r="PNC92" s="1"/>
      <c r="PND92" s="1"/>
      <c r="PNE92" s="1"/>
      <c r="PNF92" s="1"/>
      <c r="PNG92" s="1"/>
      <c r="PNH92" s="1"/>
      <c r="PNI92" s="1"/>
      <c r="PNJ92" s="1"/>
      <c r="PNK92" s="1"/>
      <c r="PNL92" s="1"/>
      <c r="PNM92" s="1"/>
      <c r="PNN92" s="1"/>
      <c r="PNO92" s="1"/>
      <c r="PNP92" s="1"/>
      <c r="PNQ92" s="1"/>
      <c r="PNR92" s="1"/>
      <c r="PNS92" s="1"/>
      <c r="PNT92" s="1"/>
      <c r="PNU92" s="1"/>
      <c r="PNV92" s="1"/>
      <c r="PNW92" s="1"/>
      <c r="PNX92" s="1"/>
      <c r="PNY92" s="1"/>
      <c r="PNZ92" s="1"/>
      <c r="POA92" s="1"/>
      <c r="POB92" s="1"/>
      <c r="POC92" s="1"/>
      <c r="POD92" s="1"/>
      <c r="POE92" s="1"/>
      <c r="POF92" s="1"/>
      <c r="POG92" s="1"/>
      <c r="POH92" s="1"/>
      <c r="POI92" s="1"/>
      <c r="POJ92" s="1"/>
      <c r="POK92" s="1"/>
      <c r="POL92" s="1"/>
      <c r="POM92" s="1"/>
      <c r="PON92" s="1"/>
      <c r="POO92" s="1"/>
      <c r="POP92" s="1"/>
      <c r="POQ92" s="1"/>
      <c r="POR92" s="1"/>
      <c r="POS92" s="1"/>
      <c r="POT92" s="1"/>
      <c r="POU92" s="1"/>
      <c r="POV92" s="1"/>
      <c r="POW92" s="1"/>
      <c r="POX92" s="1"/>
      <c r="POY92" s="1"/>
      <c r="POZ92" s="1"/>
      <c r="PPA92" s="1"/>
      <c r="PPB92" s="1"/>
      <c r="PPC92" s="1"/>
      <c r="PPD92" s="1"/>
      <c r="PPE92" s="1"/>
      <c r="PPF92" s="1"/>
      <c r="PPG92" s="1"/>
      <c r="PPH92" s="1"/>
      <c r="PPI92" s="1"/>
      <c r="PPJ92" s="1"/>
      <c r="PPK92" s="1"/>
      <c r="PPL92" s="1"/>
      <c r="PPM92" s="1"/>
      <c r="PPN92" s="1"/>
      <c r="PPO92" s="1"/>
      <c r="PPP92" s="1"/>
      <c r="PPQ92" s="1"/>
      <c r="PPR92" s="1"/>
      <c r="PPS92" s="1"/>
      <c r="PPT92" s="1"/>
      <c r="PPU92" s="1"/>
      <c r="PPV92" s="1"/>
      <c r="PPW92" s="1"/>
      <c r="PPX92" s="1"/>
      <c r="PPY92" s="1"/>
      <c r="PPZ92" s="1"/>
      <c r="PQA92" s="1"/>
      <c r="PQB92" s="1"/>
      <c r="PQC92" s="1"/>
      <c r="PQD92" s="1"/>
      <c r="PQE92" s="1"/>
      <c r="PQF92" s="1"/>
      <c r="PQG92" s="1"/>
      <c r="PQH92" s="1"/>
      <c r="PQI92" s="1"/>
      <c r="PQJ92" s="1"/>
      <c r="PQK92" s="1"/>
      <c r="PQL92" s="1"/>
      <c r="PQM92" s="1"/>
      <c r="PQN92" s="1"/>
      <c r="PQO92" s="1"/>
      <c r="PQP92" s="1"/>
      <c r="PQQ92" s="1"/>
      <c r="PQR92" s="1"/>
      <c r="PQS92" s="1"/>
      <c r="PQT92" s="1"/>
      <c r="PQU92" s="1"/>
      <c r="PQV92" s="1"/>
      <c r="PQW92" s="1"/>
      <c r="PQX92" s="1"/>
      <c r="PQY92" s="1"/>
      <c r="PQZ92" s="1"/>
      <c r="PRA92" s="1"/>
      <c r="PRB92" s="1"/>
      <c r="PRC92" s="1"/>
      <c r="PRD92" s="1"/>
      <c r="PRE92" s="1"/>
      <c r="PRF92" s="1"/>
      <c r="PRG92" s="1"/>
      <c r="PRH92" s="1"/>
      <c r="PRI92" s="1"/>
      <c r="PRJ92" s="1"/>
      <c r="PRK92" s="1"/>
      <c r="PRL92" s="1"/>
      <c r="PRM92" s="1"/>
      <c r="PRN92" s="1"/>
      <c r="PRO92" s="1"/>
      <c r="PRP92" s="1"/>
      <c r="PRQ92" s="1"/>
      <c r="PRR92" s="1"/>
      <c r="PRS92" s="1"/>
      <c r="PRT92" s="1"/>
      <c r="PRU92" s="1"/>
      <c r="PRV92" s="1"/>
      <c r="PRW92" s="1"/>
      <c r="PRX92" s="1"/>
      <c r="PRY92" s="1"/>
      <c r="PRZ92" s="1"/>
      <c r="PSA92" s="1"/>
      <c r="PSB92" s="1"/>
      <c r="PSC92" s="1"/>
      <c r="PSD92" s="1"/>
      <c r="PSE92" s="1"/>
      <c r="PSF92" s="1"/>
      <c r="PSG92" s="1"/>
      <c r="PSH92" s="1"/>
      <c r="PSI92" s="1"/>
      <c r="PSJ92" s="1"/>
      <c r="PSK92" s="1"/>
      <c r="PSL92" s="1"/>
      <c r="PSM92" s="1"/>
      <c r="PSN92" s="1"/>
      <c r="PSO92" s="1"/>
      <c r="PSP92" s="1"/>
      <c r="PSQ92" s="1"/>
      <c r="PSR92" s="1"/>
      <c r="PSS92" s="1"/>
      <c r="PST92" s="1"/>
      <c r="PSU92" s="1"/>
      <c r="PSV92" s="1"/>
      <c r="PSW92" s="1"/>
      <c r="PSX92" s="1"/>
      <c r="PSY92" s="1"/>
      <c r="PSZ92" s="1"/>
      <c r="PTA92" s="1"/>
      <c r="PTB92" s="1"/>
      <c r="PTC92" s="1"/>
      <c r="PTD92" s="1"/>
      <c r="PTE92" s="1"/>
      <c r="PTF92" s="1"/>
      <c r="PTG92" s="1"/>
      <c r="PTH92" s="1"/>
      <c r="PTI92" s="1"/>
      <c r="PTJ92" s="1"/>
      <c r="PTK92" s="1"/>
      <c r="PTL92" s="1"/>
      <c r="PTM92" s="1"/>
      <c r="PTN92" s="1"/>
      <c r="PTO92" s="1"/>
      <c r="PTP92" s="1"/>
      <c r="PTQ92" s="1"/>
      <c r="PTR92" s="1"/>
      <c r="PTS92" s="1"/>
      <c r="PTT92" s="1"/>
      <c r="PTU92" s="1"/>
      <c r="PTV92" s="1"/>
      <c r="PTW92" s="1"/>
      <c r="PTX92" s="1"/>
      <c r="PTY92" s="1"/>
      <c r="PTZ92" s="1"/>
      <c r="PUA92" s="1"/>
      <c r="PUB92" s="1"/>
      <c r="PUC92" s="1"/>
      <c r="PUD92" s="1"/>
      <c r="PUE92" s="1"/>
      <c r="PUF92" s="1"/>
      <c r="PUG92" s="1"/>
      <c r="PUH92" s="1"/>
      <c r="PUI92" s="1"/>
      <c r="PUJ92" s="1"/>
      <c r="PUK92" s="1"/>
      <c r="PUL92" s="1"/>
      <c r="PUM92" s="1"/>
      <c r="PUN92" s="1"/>
      <c r="PUO92" s="1"/>
      <c r="PUP92" s="1"/>
      <c r="PUQ92" s="1"/>
      <c r="PUR92" s="1"/>
      <c r="PUS92" s="1"/>
      <c r="PUT92" s="1"/>
      <c r="PUU92" s="1"/>
      <c r="PUV92" s="1"/>
      <c r="PUW92" s="1"/>
      <c r="PUX92" s="1"/>
      <c r="PUY92" s="1"/>
      <c r="PUZ92" s="1"/>
      <c r="PVA92" s="1"/>
      <c r="PVB92" s="1"/>
      <c r="PVC92" s="1"/>
      <c r="PVD92" s="1"/>
      <c r="PVE92" s="1"/>
      <c r="PVF92" s="1"/>
      <c r="PVG92" s="1"/>
      <c r="PVH92" s="1"/>
      <c r="PVI92" s="1"/>
      <c r="PVJ92" s="1"/>
      <c r="PVK92" s="1"/>
      <c r="PVL92" s="1"/>
      <c r="PVM92" s="1"/>
      <c r="PVN92" s="1"/>
      <c r="PVO92" s="1"/>
      <c r="PVP92" s="1"/>
      <c r="PVQ92" s="1"/>
      <c r="PVR92" s="1"/>
      <c r="PVS92" s="1"/>
      <c r="PVT92" s="1"/>
      <c r="PVU92" s="1"/>
      <c r="PVV92" s="1"/>
      <c r="PVW92" s="1"/>
      <c r="PVX92" s="1"/>
      <c r="PVY92" s="1"/>
      <c r="PVZ92" s="1"/>
      <c r="PWA92" s="1"/>
      <c r="PWB92" s="1"/>
      <c r="PWC92" s="1"/>
      <c r="PWD92" s="1"/>
      <c r="PWE92" s="1"/>
      <c r="PWF92" s="1"/>
      <c r="PWG92" s="1"/>
      <c r="PWH92" s="1"/>
      <c r="PWI92" s="1"/>
      <c r="PWJ92" s="1"/>
      <c r="PWK92" s="1"/>
      <c r="PWL92" s="1"/>
      <c r="PWM92" s="1"/>
      <c r="PWN92" s="1"/>
      <c r="PWO92" s="1"/>
      <c r="PWP92" s="1"/>
      <c r="PWQ92" s="1"/>
      <c r="PWR92" s="1"/>
      <c r="PWS92" s="1"/>
      <c r="PWT92" s="1"/>
      <c r="PWU92" s="1"/>
      <c r="PWV92" s="1"/>
      <c r="PWW92" s="1"/>
      <c r="PWX92" s="1"/>
      <c r="PWY92" s="1"/>
      <c r="PWZ92" s="1"/>
      <c r="PXA92" s="1"/>
      <c r="PXB92" s="1"/>
      <c r="PXC92" s="1"/>
      <c r="PXD92" s="1"/>
      <c r="PXE92" s="1"/>
      <c r="PXF92" s="1"/>
      <c r="PXG92" s="1"/>
      <c r="PXH92" s="1"/>
      <c r="PXI92" s="1"/>
      <c r="PXJ92" s="1"/>
      <c r="PXK92" s="1"/>
      <c r="PXL92" s="1"/>
      <c r="PXM92" s="1"/>
      <c r="PXN92" s="1"/>
      <c r="PXO92" s="1"/>
      <c r="PXP92" s="1"/>
      <c r="PXQ92" s="1"/>
      <c r="PXR92" s="1"/>
      <c r="PXS92" s="1"/>
      <c r="PXT92" s="1"/>
      <c r="PXU92" s="1"/>
      <c r="PXV92" s="1"/>
      <c r="PXW92" s="1"/>
      <c r="PXX92" s="1"/>
      <c r="PXY92" s="1"/>
      <c r="PXZ92" s="1"/>
      <c r="PYA92" s="1"/>
      <c r="PYB92" s="1"/>
      <c r="PYC92" s="1"/>
      <c r="PYD92" s="1"/>
      <c r="PYE92" s="1"/>
      <c r="PYF92" s="1"/>
      <c r="PYG92" s="1"/>
      <c r="PYH92" s="1"/>
      <c r="PYI92" s="1"/>
      <c r="PYJ92" s="1"/>
      <c r="PYK92" s="1"/>
      <c r="PYL92" s="1"/>
      <c r="PYM92" s="1"/>
      <c r="PYN92" s="1"/>
      <c r="PYO92" s="1"/>
      <c r="PYP92" s="1"/>
      <c r="PYQ92" s="1"/>
      <c r="PYR92" s="1"/>
      <c r="PYS92" s="1"/>
      <c r="PYT92" s="1"/>
      <c r="PYU92" s="1"/>
      <c r="PYV92" s="1"/>
      <c r="PYW92" s="1"/>
      <c r="PYX92" s="1"/>
      <c r="PYY92" s="1"/>
      <c r="PYZ92" s="1"/>
      <c r="PZA92" s="1"/>
      <c r="PZB92" s="1"/>
      <c r="PZC92" s="1"/>
      <c r="PZD92" s="1"/>
      <c r="PZE92" s="1"/>
      <c r="PZF92" s="1"/>
      <c r="PZG92" s="1"/>
      <c r="PZH92" s="1"/>
      <c r="PZI92" s="1"/>
      <c r="PZJ92" s="1"/>
      <c r="PZK92" s="1"/>
      <c r="PZL92" s="1"/>
      <c r="PZM92" s="1"/>
      <c r="PZN92" s="1"/>
      <c r="PZO92" s="1"/>
      <c r="PZP92" s="1"/>
      <c r="PZQ92" s="1"/>
      <c r="PZR92" s="1"/>
      <c r="PZS92" s="1"/>
      <c r="PZT92" s="1"/>
      <c r="PZU92" s="1"/>
      <c r="PZV92" s="1"/>
      <c r="PZW92" s="1"/>
      <c r="PZX92" s="1"/>
      <c r="PZY92" s="1"/>
      <c r="PZZ92" s="1"/>
      <c r="QAA92" s="1"/>
      <c r="QAB92" s="1"/>
      <c r="QAC92" s="1"/>
      <c r="QAD92" s="1"/>
      <c r="QAE92" s="1"/>
      <c r="QAF92" s="1"/>
      <c r="QAG92" s="1"/>
      <c r="QAH92" s="1"/>
      <c r="QAI92" s="1"/>
      <c r="QAJ92" s="1"/>
      <c r="QAK92" s="1"/>
      <c r="QAL92" s="1"/>
      <c r="QAM92" s="1"/>
      <c r="QAN92" s="1"/>
      <c r="QAO92" s="1"/>
      <c r="QAP92" s="1"/>
      <c r="QAQ92" s="1"/>
      <c r="QAR92" s="1"/>
      <c r="QAS92" s="1"/>
      <c r="QAT92" s="1"/>
      <c r="QAU92" s="1"/>
      <c r="QAV92" s="1"/>
      <c r="QAW92" s="1"/>
      <c r="QAX92" s="1"/>
      <c r="QAY92" s="1"/>
      <c r="QAZ92" s="1"/>
      <c r="QBA92" s="1"/>
      <c r="QBB92" s="1"/>
      <c r="QBC92" s="1"/>
      <c r="QBD92" s="1"/>
      <c r="QBE92" s="1"/>
      <c r="QBF92" s="1"/>
      <c r="QBG92" s="1"/>
      <c r="QBH92" s="1"/>
      <c r="QBI92" s="1"/>
      <c r="QBJ92" s="1"/>
      <c r="QBK92" s="1"/>
      <c r="QBL92" s="1"/>
      <c r="QBM92" s="1"/>
      <c r="QBN92" s="1"/>
      <c r="QBO92" s="1"/>
      <c r="QBP92" s="1"/>
      <c r="QBQ92" s="1"/>
      <c r="QBR92" s="1"/>
      <c r="QBS92" s="1"/>
      <c r="QBT92" s="1"/>
      <c r="QBU92" s="1"/>
      <c r="QBV92" s="1"/>
      <c r="QBW92" s="1"/>
      <c r="QBX92" s="1"/>
      <c r="QBY92" s="1"/>
      <c r="QBZ92" s="1"/>
      <c r="QCA92" s="1"/>
      <c r="QCB92" s="1"/>
      <c r="QCC92" s="1"/>
      <c r="QCD92" s="1"/>
      <c r="QCE92" s="1"/>
      <c r="QCF92" s="1"/>
      <c r="QCG92" s="1"/>
      <c r="QCH92" s="1"/>
      <c r="QCI92" s="1"/>
      <c r="QCJ92" s="1"/>
      <c r="QCK92" s="1"/>
      <c r="QCL92" s="1"/>
      <c r="QCM92" s="1"/>
      <c r="QCN92" s="1"/>
      <c r="QCO92" s="1"/>
      <c r="QCP92" s="1"/>
      <c r="QCQ92" s="1"/>
      <c r="QCR92" s="1"/>
      <c r="QCS92" s="1"/>
      <c r="QCT92" s="1"/>
      <c r="QCU92" s="1"/>
      <c r="QCV92" s="1"/>
      <c r="QCW92" s="1"/>
      <c r="QCX92" s="1"/>
      <c r="QCY92" s="1"/>
      <c r="QCZ92" s="1"/>
      <c r="QDA92" s="1"/>
      <c r="QDB92" s="1"/>
      <c r="QDC92" s="1"/>
      <c r="QDD92" s="1"/>
      <c r="QDE92" s="1"/>
      <c r="QDF92" s="1"/>
      <c r="QDG92" s="1"/>
      <c r="QDH92" s="1"/>
      <c r="QDI92" s="1"/>
      <c r="QDJ92" s="1"/>
      <c r="QDK92" s="1"/>
      <c r="QDL92" s="1"/>
      <c r="QDM92" s="1"/>
      <c r="QDN92" s="1"/>
      <c r="QDO92" s="1"/>
      <c r="QDP92" s="1"/>
      <c r="QDQ92" s="1"/>
      <c r="QDR92" s="1"/>
      <c r="QDS92" s="1"/>
      <c r="QDT92" s="1"/>
      <c r="QDU92" s="1"/>
      <c r="QDV92" s="1"/>
      <c r="QDW92" s="1"/>
      <c r="QDX92" s="1"/>
      <c r="QDY92" s="1"/>
      <c r="QDZ92" s="1"/>
      <c r="QEA92" s="1"/>
      <c r="QEB92" s="1"/>
      <c r="QEC92" s="1"/>
      <c r="QED92" s="1"/>
      <c r="QEE92" s="1"/>
      <c r="QEF92" s="1"/>
      <c r="QEG92" s="1"/>
      <c r="QEH92" s="1"/>
      <c r="QEI92" s="1"/>
      <c r="QEJ92" s="1"/>
      <c r="QEK92" s="1"/>
      <c r="QEL92" s="1"/>
      <c r="QEM92" s="1"/>
      <c r="QEN92" s="1"/>
      <c r="QEO92" s="1"/>
      <c r="QEP92" s="1"/>
      <c r="QEQ92" s="1"/>
      <c r="QER92" s="1"/>
      <c r="QES92" s="1"/>
      <c r="QET92" s="1"/>
      <c r="QEU92" s="1"/>
      <c r="QEV92" s="1"/>
      <c r="QEW92" s="1"/>
      <c r="QEX92" s="1"/>
      <c r="QEY92" s="1"/>
      <c r="QEZ92" s="1"/>
      <c r="QFA92" s="1"/>
      <c r="QFB92" s="1"/>
      <c r="QFC92" s="1"/>
      <c r="QFD92" s="1"/>
      <c r="QFE92" s="1"/>
      <c r="QFF92" s="1"/>
      <c r="QFG92" s="1"/>
      <c r="QFH92" s="1"/>
      <c r="QFI92" s="1"/>
      <c r="QFJ92" s="1"/>
      <c r="QFK92" s="1"/>
      <c r="QFL92" s="1"/>
      <c r="QFM92" s="1"/>
      <c r="QFN92" s="1"/>
      <c r="QFO92" s="1"/>
      <c r="QFP92" s="1"/>
      <c r="QFQ92" s="1"/>
      <c r="QFR92" s="1"/>
      <c r="QFS92" s="1"/>
      <c r="QFT92" s="1"/>
      <c r="QFU92" s="1"/>
      <c r="QFV92" s="1"/>
      <c r="QFW92" s="1"/>
      <c r="QFX92" s="1"/>
      <c r="QFY92" s="1"/>
      <c r="QFZ92" s="1"/>
      <c r="QGA92" s="1"/>
      <c r="QGB92" s="1"/>
      <c r="QGC92" s="1"/>
      <c r="QGD92" s="1"/>
      <c r="QGE92" s="1"/>
      <c r="QGF92" s="1"/>
      <c r="QGG92" s="1"/>
      <c r="QGH92" s="1"/>
      <c r="QGI92" s="1"/>
      <c r="QGJ92" s="1"/>
      <c r="QGK92" s="1"/>
      <c r="QGL92" s="1"/>
      <c r="QGM92" s="1"/>
      <c r="QGN92" s="1"/>
      <c r="QGO92" s="1"/>
      <c r="QGP92" s="1"/>
      <c r="QGQ92" s="1"/>
      <c r="QGR92" s="1"/>
      <c r="QGS92" s="1"/>
      <c r="QGT92" s="1"/>
      <c r="QGU92" s="1"/>
      <c r="QGV92" s="1"/>
      <c r="QGW92" s="1"/>
      <c r="QGX92" s="1"/>
      <c r="QGY92" s="1"/>
      <c r="QGZ92" s="1"/>
      <c r="QHA92" s="1"/>
      <c r="QHB92" s="1"/>
      <c r="QHC92" s="1"/>
      <c r="QHD92" s="1"/>
      <c r="QHE92" s="1"/>
      <c r="QHF92" s="1"/>
      <c r="QHG92" s="1"/>
      <c r="QHH92" s="1"/>
      <c r="QHI92" s="1"/>
      <c r="QHJ92" s="1"/>
      <c r="QHK92" s="1"/>
      <c r="QHL92" s="1"/>
      <c r="QHM92" s="1"/>
      <c r="QHN92" s="1"/>
      <c r="QHO92" s="1"/>
      <c r="QHP92" s="1"/>
      <c r="QHQ92" s="1"/>
      <c r="QHR92" s="1"/>
      <c r="QHS92" s="1"/>
      <c r="QHT92" s="1"/>
      <c r="QHU92" s="1"/>
      <c r="QHV92" s="1"/>
      <c r="QHW92" s="1"/>
      <c r="QHX92" s="1"/>
      <c r="QHY92" s="1"/>
      <c r="QHZ92" s="1"/>
      <c r="QIA92" s="1"/>
      <c r="QIB92" s="1"/>
      <c r="QIC92" s="1"/>
      <c r="QID92" s="1"/>
      <c r="QIE92" s="1"/>
      <c r="QIF92" s="1"/>
      <c r="QIG92" s="1"/>
      <c r="QIH92" s="1"/>
      <c r="QII92" s="1"/>
      <c r="QIJ92" s="1"/>
      <c r="QIK92" s="1"/>
      <c r="QIL92" s="1"/>
      <c r="QIM92" s="1"/>
      <c r="QIN92" s="1"/>
      <c r="QIO92" s="1"/>
      <c r="QIP92" s="1"/>
      <c r="QIQ92" s="1"/>
      <c r="QIR92" s="1"/>
      <c r="QIS92" s="1"/>
      <c r="QIT92" s="1"/>
      <c r="QIU92" s="1"/>
      <c r="QIV92" s="1"/>
      <c r="QIW92" s="1"/>
      <c r="QIX92" s="1"/>
      <c r="QIY92" s="1"/>
      <c r="QIZ92" s="1"/>
      <c r="QJA92" s="1"/>
      <c r="QJB92" s="1"/>
      <c r="QJC92" s="1"/>
      <c r="QJD92" s="1"/>
      <c r="QJE92" s="1"/>
      <c r="QJF92" s="1"/>
      <c r="QJG92" s="1"/>
      <c r="QJH92" s="1"/>
      <c r="QJI92" s="1"/>
      <c r="QJJ92" s="1"/>
      <c r="QJK92" s="1"/>
      <c r="QJL92" s="1"/>
      <c r="QJM92" s="1"/>
      <c r="QJN92" s="1"/>
      <c r="QJO92" s="1"/>
      <c r="QJP92" s="1"/>
      <c r="QJQ92" s="1"/>
      <c r="QJR92" s="1"/>
      <c r="QJS92" s="1"/>
      <c r="QJT92" s="1"/>
      <c r="QJU92" s="1"/>
      <c r="QJV92" s="1"/>
      <c r="QJW92" s="1"/>
      <c r="QJX92" s="1"/>
      <c r="QJY92" s="1"/>
      <c r="QJZ92" s="1"/>
      <c r="QKA92" s="1"/>
      <c r="QKB92" s="1"/>
      <c r="QKC92" s="1"/>
      <c r="QKD92" s="1"/>
      <c r="QKE92" s="1"/>
      <c r="QKF92" s="1"/>
      <c r="QKG92" s="1"/>
      <c r="QKH92" s="1"/>
      <c r="QKI92" s="1"/>
      <c r="QKJ92" s="1"/>
      <c r="QKK92" s="1"/>
      <c r="QKL92" s="1"/>
      <c r="QKM92" s="1"/>
      <c r="QKN92" s="1"/>
      <c r="QKO92" s="1"/>
      <c r="QKP92" s="1"/>
      <c r="QKQ92" s="1"/>
      <c r="QKR92" s="1"/>
      <c r="QKS92" s="1"/>
      <c r="QKT92" s="1"/>
      <c r="QKU92" s="1"/>
      <c r="QKV92" s="1"/>
      <c r="QKW92" s="1"/>
      <c r="QKX92" s="1"/>
      <c r="QKY92" s="1"/>
      <c r="QKZ92" s="1"/>
      <c r="QLA92" s="1"/>
      <c r="QLB92" s="1"/>
      <c r="QLC92" s="1"/>
      <c r="QLD92" s="1"/>
      <c r="QLE92" s="1"/>
      <c r="QLF92" s="1"/>
      <c r="QLG92" s="1"/>
      <c r="QLH92" s="1"/>
      <c r="QLI92" s="1"/>
      <c r="QLJ92" s="1"/>
      <c r="QLK92" s="1"/>
      <c r="QLL92" s="1"/>
      <c r="QLM92" s="1"/>
      <c r="QLN92" s="1"/>
      <c r="QLO92" s="1"/>
      <c r="QLP92" s="1"/>
      <c r="QLQ92" s="1"/>
      <c r="QLR92" s="1"/>
      <c r="QLS92" s="1"/>
      <c r="QLT92" s="1"/>
      <c r="QLU92" s="1"/>
      <c r="QLV92" s="1"/>
      <c r="QLW92" s="1"/>
      <c r="QLX92" s="1"/>
      <c r="QLY92" s="1"/>
      <c r="QLZ92" s="1"/>
      <c r="QMA92" s="1"/>
      <c r="QMB92" s="1"/>
      <c r="QMC92" s="1"/>
      <c r="QMD92" s="1"/>
      <c r="QME92" s="1"/>
      <c r="QMF92" s="1"/>
      <c r="QMG92" s="1"/>
      <c r="QMH92" s="1"/>
      <c r="QMI92" s="1"/>
      <c r="QMJ92" s="1"/>
      <c r="QMK92" s="1"/>
      <c r="QML92" s="1"/>
      <c r="QMM92" s="1"/>
      <c r="QMN92" s="1"/>
      <c r="QMO92" s="1"/>
      <c r="QMP92" s="1"/>
      <c r="QMQ92" s="1"/>
      <c r="QMR92" s="1"/>
      <c r="QMS92" s="1"/>
      <c r="QMT92" s="1"/>
      <c r="QMU92" s="1"/>
      <c r="QMV92" s="1"/>
      <c r="QMW92" s="1"/>
      <c r="QMX92" s="1"/>
      <c r="QMY92" s="1"/>
      <c r="QMZ92" s="1"/>
      <c r="QNA92" s="1"/>
      <c r="QNB92" s="1"/>
      <c r="QNC92" s="1"/>
      <c r="QND92" s="1"/>
      <c r="QNE92" s="1"/>
      <c r="QNF92" s="1"/>
      <c r="QNG92" s="1"/>
      <c r="QNH92" s="1"/>
      <c r="QNI92" s="1"/>
      <c r="QNJ92" s="1"/>
      <c r="QNK92" s="1"/>
      <c r="QNL92" s="1"/>
      <c r="QNM92" s="1"/>
      <c r="QNN92" s="1"/>
      <c r="QNO92" s="1"/>
      <c r="QNP92" s="1"/>
      <c r="QNQ92" s="1"/>
      <c r="QNR92" s="1"/>
      <c r="QNS92" s="1"/>
      <c r="QNT92" s="1"/>
      <c r="QNU92" s="1"/>
      <c r="QNV92" s="1"/>
      <c r="QNW92" s="1"/>
      <c r="QNX92" s="1"/>
      <c r="QNY92" s="1"/>
      <c r="QNZ92" s="1"/>
      <c r="QOA92" s="1"/>
      <c r="QOB92" s="1"/>
      <c r="QOC92" s="1"/>
      <c r="QOD92" s="1"/>
      <c r="QOE92" s="1"/>
      <c r="QOF92" s="1"/>
      <c r="QOG92" s="1"/>
      <c r="QOH92" s="1"/>
      <c r="QOI92" s="1"/>
      <c r="QOJ92" s="1"/>
      <c r="QOK92" s="1"/>
      <c r="QOL92" s="1"/>
      <c r="QOM92" s="1"/>
      <c r="QON92" s="1"/>
      <c r="QOO92" s="1"/>
      <c r="QOP92" s="1"/>
      <c r="QOQ92" s="1"/>
      <c r="QOR92" s="1"/>
      <c r="QOS92" s="1"/>
      <c r="QOT92" s="1"/>
      <c r="QOU92" s="1"/>
      <c r="QOV92" s="1"/>
      <c r="QOW92" s="1"/>
      <c r="QOX92" s="1"/>
      <c r="QOY92" s="1"/>
      <c r="QOZ92" s="1"/>
      <c r="QPA92" s="1"/>
      <c r="QPB92" s="1"/>
      <c r="QPC92" s="1"/>
      <c r="QPD92" s="1"/>
      <c r="QPE92" s="1"/>
      <c r="QPF92" s="1"/>
      <c r="QPG92" s="1"/>
      <c r="QPH92" s="1"/>
      <c r="QPI92" s="1"/>
      <c r="QPJ92" s="1"/>
      <c r="QPK92" s="1"/>
      <c r="QPL92" s="1"/>
      <c r="QPM92" s="1"/>
      <c r="QPN92" s="1"/>
      <c r="QPO92" s="1"/>
      <c r="QPP92" s="1"/>
      <c r="QPQ92" s="1"/>
      <c r="QPR92" s="1"/>
      <c r="QPS92" s="1"/>
      <c r="QPT92" s="1"/>
      <c r="QPU92" s="1"/>
      <c r="QPV92" s="1"/>
      <c r="QPW92" s="1"/>
      <c r="QPX92" s="1"/>
      <c r="QPY92" s="1"/>
      <c r="QPZ92" s="1"/>
      <c r="QQA92" s="1"/>
      <c r="QQB92" s="1"/>
      <c r="QQC92" s="1"/>
      <c r="QQD92" s="1"/>
      <c r="QQE92" s="1"/>
      <c r="QQF92" s="1"/>
      <c r="QQG92" s="1"/>
      <c r="QQH92" s="1"/>
      <c r="QQI92" s="1"/>
      <c r="QQJ92" s="1"/>
      <c r="QQK92" s="1"/>
      <c r="QQL92" s="1"/>
      <c r="QQM92" s="1"/>
      <c r="QQN92" s="1"/>
      <c r="QQO92" s="1"/>
      <c r="QQP92" s="1"/>
      <c r="QQQ92" s="1"/>
      <c r="QQR92" s="1"/>
      <c r="QQS92" s="1"/>
      <c r="QQT92" s="1"/>
      <c r="QQU92" s="1"/>
      <c r="QQV92" s="1"/>
      <c r="QQW92" s="1"/>
      <c r="QQX92" s="1"/>
      <c r="QQY92" s="1"/>
      <c r="QQZ92" s="1"/>
      <c r="QRA92" s="1"/>
      <c r="QRB92" s="1"/>
      <c r="QRC92" s="1"/>
      <c r="QRD92" s="1"/>
      <c r="QRE92" s="1"/>
      <c r="QRF92" s="1"/>
      <c r="QRG92" s="1"/>
      <c r="QRH92" s="1"/>
      <c r="QRI92" s="1"/>
      <c r="QRJ92" s="1"/>
      <c r="QRK92" s="1"/>
      <c r="QRL92" s="1"/>
      <c r="QRM92" s="1"/>
      <c r="QRN92" s="1"/>
      <c r="QRO92" s="1"/>
      <c r="QRP92" s="1"/>
      <c r="QRQ92" s="1"/>
      <c r="QRR92" s="1"/>
      <c r="QRS92" s="1"/>
      <c r="QRT92" s="1"/>
      <c r="QRU92" s="1"/>
      <c r="QRV92" s="1"/>
      <c r="QRW92" s="1"/>
      <c r="QRX92" s="1"/>
      <c r="QRY92" s="1"/>
      <c r="QRZ92" s="1"/>
      <c r="QSA92" s="1"/>
      <c r="QSB92" s="1"/>
      <c r="QSC92" s="1"/>
      <c r="QSD92" s="1"/>
      <c r="QSE92" s="1"/>
      <c r="QSF92" s="1"/>
      <c r="QSG92" s="1"/>
      <c r="QSH92" s="1"/>
      <c r="QSI92" s="1"/>
      <c r="QSJ92" s="1"/>
      <c r="QSK92" s="1"/>
      <c r="QSL92" s="1"/>
      <c r="QSM92" s="1"/>
      <c r="QSN92" s="1"/>
      <c r="QSO92" s="1"/>
      <c r="QSP92" s="1"/>
      <c r="QSQ92" s="1"/>
      <c r="QSR92" s="1"/>
      <c r="QSS92" s="1"/>
      <c r="QST92" s="1"/>
      <c r="QSU92" s="1"/>
      <c r="QSV92" s="1"/>
      <c r="QSW92" s="1"/>
      <c r="QSX92" s="1"/>
      <c r="QSY92" s="1"/>
      <c r="QSZ92" s="1"/>
      <c r="QTA92" s="1"/>
      <c r="QTB92" s="1"/>
      <c r="QTC92" s="1"/>
      <c r="QTD92" s="1"/>
      <c r="QTE92" s="1"/>
      <c r="QTF92" s="1"/>
      <c r="QTG92" s="1"/>
      <c r="QTH92" s="1"/>
      <c r="QTI92" s="1"/>
      <c r="QTJ92" s="1"/>
      <c r="QTK92" s="1"/>
      <c r="QTL92" s="1"/>
      <c r="QTM92" s="1"/>
      <c r="QTN92" s="1"/>
      <c r="QTO92" s="1"/>
      <c r="QTP92" s="1"/>
      <c r="QTQ92" s="1"/>
      <c r="QTR92" s="1"/>
      <c r="QTS92" s="1"/>
      <c r="QTT92" s="1"/>
      <c r="QTU92" s="1"/>
      <c r="QTV92" s="1"/>
      <c r="QTW92" s="1"/>
      <c r="QTX92" s="1"/>
      <c r="QTY92" s="1"/>
      <c r="QTZ92" s="1"/>
      <c r="QUA92" s="1"/>
      <c r="QUB92" s="1"/>
      <c r="QUC92" s="1"/>
      <c r="QUD92" s="1"/>
      <c r="QUE92" s="1"/>
      <c r="QUF92" s="1"/>
      <c r="QUG92" s="1"/>
      <c r="QUH92" s="1"/>
      <c r="QUI92" s="1"/>
      <c r="QUJ92" s="1"/>
      <c r="QUK92" s="1"/>
      <c r="QUL92" s="1"/>
      <c r="QUM92" s="1"/>
      <c r="QUN92" s="1"/>
      <c r="QUO92" s="1"/>
      <c r="QUP92" s="1"/>
      <c r="QUQ92" s="1"/>
      <c r="QUR92" s="1"/>
      <c r="QUS92" s="1"/>
      <c r="QUT92" s="1"/>
      <c r="QUU92" s="1"/>
      <c r="QUV92" s="1"/>
      <c r="QUW92" s="1"/>
      <c r="QUX92" s="1"/>
      <c r="QUY92" s="1"/>
      <c r="QUZ92" s="1"/>
      <c r="QVA92" s="1"/>
      <c r="QVB92" s="1"/>
      <c r="QVC92" s="1"/>
      <c r="QVD92" s="1"/>
      <c r="QVE92" s="1"/>
      <c r="QVF92" s="1"/>
      <c r="QVG92" s="1"/>
      <c r="QVH92" s="1"/>
      <c r="QVI92" s="1"/>
      <c r="QVJ92" s="1"/>
      <c r="QVK92" s="1"/>
      <c r="QVL92" s="1"/>
      <c r="QVM92" s="1"/>
      <c r="QVN92" s="1"/>
      <c r="QVO92" s="1"/>
      <c r="QVP92" s="1"/>
      <c r="QVQ92" s="1"/>
      <c r="QVR92" s="1"/>
      <c r="QVS92" s="1"/>
      <c r="QVT92" s="1"/>
      <c r="QVU92" s="1"/>
      <c r="QVV92" s="1"/>
      <c r="QVW92" s="1"/>
      <c r="QVX92" s="1"/>
      <c r="QVY92" s="1"/>
      <c r="QVZ92" s="1"/>
      <c r="QWA92" s="1"/>
      <c r="QWB92" s="1"/>
      <c r="QWC92" s="1"/>
      <c r="QWD92" s="1"/>
      <c r="QWE92" s="1"/>
      <c r="QWF92" s="1"/>
      <c r="QWG92" s="1"/>
      <c r="QWH92" s="1"/>
      <c r="QWI92" s="1"/>
      <c r="QWJ92" s="1"/>
      <c r="QWK92" s="1"/>
      <c r="QWL92" s="1"/>
      <c r="QWM92" s="1"/>
      <c r="QWN92" s="1"/>
      <c r="QWO92" s="1"/>
      <c r="QWP92" s="1"/>
      <c r="QWQ92" s="1"/>
      <c r="QWR92" s="1"/>
      <c r="QWS92" s="1"/>
      <c r="QWT92" s="1"/>
      <c r="QWU92" s="1"/>
      <c r="QWV92" s="1"/>
      <c r="QWW92" s="1"/>
      <c r="QWX92" s="1"/>
      <c r="QWY92" s="1"/>
      <c r="QWZ92" s="1"/>
      <c r="QXA92" s="1"/>
      <c r="QXB92" s="1"/>
      <c r="QXC92" s="1"/>
      <c r="QXD92" s="1"/>
      <c r="QXE92" s="1"/>
      <c r="QXF92" s="1"/>
      <c r="QXG92" s="1"/>
      <c r="QXH92" s="1"/>
      <c r="QXI92" s="1"/>
      <c r="QXJ92" s="1"/>
      <c r="QXK92" s="1"/>
      <c r="QXL92" s="1"/>
      <c r="QXM92" s="1"/>
      <c r="QXN92" s="1"/>
      <c r="QXO92" s="1"/>
      <c r="QXP92" s="1"/>
      <c r="QXQ92" s="1"/>
      <c r="QXR92" s="1"/>
      <c r="QXS92" s="1"/>
      <c r="QXT92" s="1"/>
      <c r="QXU92" s="1"/>
      <c r="QXV92" s="1"/>
      <c r="QXW92" s="1"/>
      <c r="QXX92" s="1"/>
      <c r="QXY92" s="1"/>
      <c r="QXZ92" s="1"/>
      <c r="QYA92" s="1"/>
      <c r="QYB92" s="1"/>
      <c r="QYC92" s="1"/>
      <c r="QYD92" s="1"/>
      <c r="QYE92" s="1"/>
      <c r="QYF92" s="1"/>
      <c r="QYG92" s="1"/>
      <c r="QYH92" s="1"/>
      <c r="QYI92" s="1"/>
      <c r="QYJ92" s="1"/>
      <c r="QYK92" s="1"/>
      <c r="QYL92" s="1"/>
      <c r="QYM92" s="1"/>
      <c r="QYN92" s="1"/>
      <c r="QYO92" s="1"/>
      <c r="QYP92" s="1"/>
      <c r="QYQ92" s="1"/>
      <c r="QYR92" s="1"/>
      <c r="QYS92" s="1"/>
      <c r="QYT92" s="1"/>
      <c r="QYU92" s="1"/>
      <c r="QYV92" s="1"/>
      <c r="QYW92" s="1"/>
      <c r="QYX92" s="1"/>
      <c r="QYY92" s="1"/>
      <c r="QYZ92" s="1"/>
      <c r="QZA92" s="1"/>
      <c r="QZB92" s="1"/>
      <c r="QZC92" s="1"/>
      <c r="QZD92" s="1"/>
      <c r="QZE92" s="1"/>
      <c r="QZF92" s="1"/>
      <c r="QZG92" s="1"/>
      <c r="QZH92" s="1"/>
      <c r="QZI92" s="1"/>
      <c r="QZJ92" s="1"/>
      <c r="QZK92" s="1"/>
      <c r="QZL92" s="1"/>
      <c r="QZM92" s="1"/>
      <c r="QZN92" s="1"/>
      <c r="QZO92" s="1"/>
      <c r="QZP92" s="1"/>
      <c r="QZQ92" s="1"/>
      <c r="QZR92" s="1"/>
      <c r="QZS92" s="1"/>
      <c r="QZT92" s="1"/>
      <c r="QZU92" s="1"/>
      <c r="QZV92" s="1"/>
      <c r="QZW92" s="1"/>
      <c r="QZX92" s="1"/>
      <c r="QZY92" s="1"/>
      <c r="QZZ92" s="1"/>
      <c r="RAA92" s="1"/>
      <c r="RAB92" s="1"/>
      <c r="RAC92" s="1"/>
      <c r="RAD92" s="1"/>
      <c r="RAE92" s="1"/>
      <c r="RAF92" s="1"/>
      <c r="RAG92" s="1"/>
      <c r="RAH92" s="1"/>
      <c r="RAI92" s="1"/>
      <c r="RAJ92" s="1"/>
      <c r="RAK92" s="1"/>
      <c r="RAL92" s="1"/>
      <c r="RAM92" s="1"/>
      <c r="RAN92" s="1"/>
      <c r="RAO92" s="1"/>
      <c r="RAP92" s="1"/>
      <c r="RAQ92" s="1"/>
      <c r="RAR92" s="1"/>
      <c r="RAS92" s="1"/>
      <c r="RAT92" s="1"/>
      <c r="RAU92" s="1"/>
      <c r="RAV92" s="1"/>
      <c r="RAW92" s="1"/>
      <c r="RAX92" s="1"/>
      <c r="RAY92" s="1"/>
      <c r="RAZ92" s="1"/>
      <c r="RBA92" s="1"/>
      <c r="RBB92" s="1"/>
      <c r="RBC92" s="1"/>
      <c r="RBD92" s="1"/>
      <c r="RBE92" s="1"/>
      <c r="RBF92" s="1"/>
      <c r="RBG92" s="1"/>
      <c r="RBH92" s="1"/>
      <c r="RBI92" s="1"/>
      <c r="RBJ92" s="1"/>
      <c r="RBK92" s="1"/>
      <c r="RBL92" s="1"/>
      <c r="RBM92" s="1"/>
      <c r="RBN92" s="1"/>
      <c r="RBO92" s="1"/>
      <c r="RBP92" s="1"/>
      <c r="RBQ92" s="1"/>
      <c r="RBR92" s="1"/>
      <c r="RBS92" s="1"/>
      <c r="RBT92" s="1"/>
      <c r="RBU92" s="1"/>
      <c r="RBV92" s="1"/>
      <c r="RBW92" s="1"/>
      <c r="RBX92" s="1"/>
      <c r="RBY92" s="1"/>
      <c r="RBZ92" s="1"/>
      <c r="RCA92" s="1"/>
      <c r="RCB92" s="1"/>
      <c r="RCC92" s="1"/>
      <c r="RCD92" s="1"/>
      <c r="RCE92" s="1"/>
      <c r="RCF92" s="1"/>
      <c r="RCG92" s="1"/>
      <c r="RCH92" s="1"/>
      <c r="RCI92" s="1"/>
      <c r="RCJ92" s="1"/>
      <c r="RCK92" s="1"/>
      <c r="RCL92" s="1"/>
      <c r="RCM92" s="1"/>
      <c r="RCN92" s="1"/>
      <c r="RCO92" s="1"/>
      <c r="RCP92" s="1"/>
      <c r="RCQ92" s="1"/>
      <c r="RCR92" s="1"/>
      <c r="RCS92" s="1"/>
      <c r="RCT92" s="1"/>
      <c r="RCU92" s="1"/>
      <c r="RCV92" s="1"/>
      <c r="RCW92" s="1"/>
      <c r="RCX92" s="1"/>
      <c r="RCY92" s="1"/>
      <c r="RCZ92" s="1"/>
      <c r="RDA92" s="1"/>
      <c r="RDB92" s="1"/>
      <c r="RDC92" s="1"/>
      <c r="RDD92" s="1"/>
      <c r="RDE92" s="1"/>
      <c r="RDF92" s="1"/>
      <c r="RDG92" s="1"/>
      <c r="RDH92" s="1"/>
      <c r="RDI92" s="1"/>
      <c r="RDJ92" s="1"/>
      <c r="RDK92" s="1"/>
      <c r="RDL92" s="1"/>
      <c r="RDM92" s="1"/>
      <c r="RDN92" s="1"/>
      <c r="RDO92" s="1"/>
      <c r="RDP92" s="1"/>
      <c r="RDQ92" s="1"/>
      <c r="RDR92" s="1"/>
      <c r="RDS92" s="1"/>
      <c r="RDT92" s="1"/>
      <c r="RDU92" s="1"/>
      <c r="RDV92" s="1"/>
      <c r="RDW92" s="1"/>
      <c r="RDX92" s="1"/>
      <c r="RDY92" s="1"/>
      <c r="RDZ92" s="1"/>
      <c r="REA92" s="1"/>
      <c r="REB92" s="1"/>
      <c r="REC92" s="1"/>
      <c r="RED92" s="1"/>
      <c r="REE92" s="1"/>
      <c r="REF92" s="1"/>
      <c r="REG92" s="1"/>
      <c r="REH92" s="1"/>
      <c r="REI92" s="1"/>
      <c r="REJ92" s="1"/>
      <c r="REK92" s="1"/>
      <c r="REL92" s="1"/>
      <c r="REM92" s="1"/>
      <c r="REN92" s="1"/>
      <c r="REO92" s="1"/>
      <c r="REP92" s="1"/>
      <c r="REQ92" s="1"/>
      <c r="RER92" s="1"/>
      <c r="RES92" s="1"/>
      <c r="RET92" s="1"/>
      <c r="REU92" s="1"/>
      <c r="REV92" s="1"/>
      <c r="REW92" s="1"/>
      <c r="REX92" s="1"/>
      <c r="REY92" s="1"/>
      <c r="REZ92" s="1"/>
      <c r="RFA92" s="1"/>
      <c r="RFB92" s="1"/>
      <c r="RFC92" s="1"/>
      <c r="RFD92" s="1"/>
      <c r="RFE92" s="1"/>
      <c r="RFF92" s="1"/>
      <c r="RFG92" s="1"/>
      <c r="RFH92" s="1"/>
      <c r="RFI92" s="1"/>
      <c r="RFJ92" s="1"/>
      <c r="RFK92" s="1"/>
      <c r="RFL92" s="1"/>
      <c r="RFM92" s="1"/>
      <c r="RFN92" s="1"/>
      <c r="RFO92" s="1"/>
      <c r="RFP92" s="1"/>
      <c r="RFQ92" s="1"/>
      <c r="RFR92" s="1"/>
      <c r="RFS92" s="1"/>
      <c r="RFT92" s="1"/>
      <c r="RFU92" s="1"/>
      <c r="RFV92" s="1"/>
      <c r="RFW92" s="1"/>
      <c r="RFX92" s="1"/>
      <c r="RFY92" s="1"/>
      <c r="RFZ92" s="1"/>
      <c r="RGA92" s="1"/>
      <c r="RGB92" s="1"/>
      <c r="RGC92" s="1"/>
      <c r="RGD92" s="1"/>
      <c r="RGE92" s="1"/>
      <c r="RGF92" s="1"/>
      <c r="RGG92" s="1"/>
      <c r="RGH92" s="1"/>
      <c r="RGI92" s="1"/>
      <c r="RGJ92" s="1"/>
      <c r="RGK92" s="1"/>
      <c r="RGL92" s="1"/>
      <c r="RGM92" s="1"/>
      <c r="RGN92" s="1"/>
      <c r="RGO92" s="1"/>
      <c r="RGP92" s="1"/>
      <c r="RGQ92" s="1"/>
      <c r="RGR92" s="1"/>
      <c r="RGS92" s="1"/>
      <c r="RGT92" s="1"/>
      <c r="RGU92" s="1"/>
      <c r="RGV92" s="1"/>
      <c r="RGW92" s="1"/>
      <c r="RGX92" s="1"/>
      <c r="RGY92" s="1"/>
      <c r="RGZ92" s="1"/>
      <c r="RHA92" s="1"/>
      <c r="RHB92" s="1"/>
      <c r="RHC92" s="1"/>
      <c r="RHD92" s="1"/>
      <c r="RHE92" s="1"/>
      <c r="RHF92" s="1"/>
      <c r="RHG92" s="1"/>
      <c r="RHH92" s="1"/>
      <c r="RHI92" s="1"/>
      <c r="RHJ92" s="1"/>
      <c r="RHK92" s="1"/>
      <c r="RHL92" s="1"/>
      <c r="RHM92" s="1"/>
      <c r="RHN92" s="1"/>
      <c r="RHO92" s="1"/>
      <c r="RHP92" s="1"/>
      <c r="RHQ92" s="1"/>
      <c r="RHR92" s="1"/>
      <c r="RHS92" s="1"/>
      <c r="RHT92" s="1"/>
      <c r="RHU92" s="1"/>
      <c r="RHV92" s="1"/>
      <c r="RHW92" s="1"/>
      <c r="RHX92" s="1"/>
      <c r="RHY92" s="1"/>
      <c r="RHZ92" s="1"/>
      <c r="RIA92" s="1"/>
      <c r="RIB92" s="1"/>
      <c r="RIC92" s="1"/>
      <c r="RID92" s="1"/>
      <c r="RIE92" s="1"/>
      <c r="RIF92" s="1"/>
      <c r="RIG92" s="1"/>
      <c r="RIH92" s="1"/>
      <c r="RII92" s="1"/>
      <c r="RIJ92" s="1"/>
      <c r="RIK92" s="1"/>
      <c r="RIL92" s="1"/>
      <c r="RIM92" s="1"/>
      <c r="RIN92" s="1"/>
      <c r="RIO92" s="1"/>
      <c r="RIP92" s="1"/>
      <c r="RIQ92" s="1"/>
      <c r="RIR92" s="1"/>
      <c r="RIS92" s="1"/>
      <c r="RIT92" s="1"/>
      <c r="RIU92" s="1"/>
      <c r="RIV92" s="1"/>
      <c r="RIW92" s="1"/>
      <c r="RIX92" s="1"/>
      <c r="RIY92" s="1"/>
      <c r="RIZ92" s="1"/>
      <c r="RJA92" s="1"/>
      <c r="RJB92" s="1"/>
      <c r="RJC92" s="1"/>
      <c r="RJD92" s="1"/>
      <c r="RJE92" s="1"/>
      <c r="RJF92" s="1"/>
      <c r="RJG92" s="1"/>
      <c r="RJH92" s="1"/>
      <c r="RJI92" s="1"/>
      <c r="RJJ92" s="1"/>
      <c r="RJK92" s="1"/>
      <c r="RJL92" s="1"/>
      <c r="RJM92" s="1"/>
      <c r="RJN92" s="1"/>
      <c r="RJO92" s="1"/>
      <c r="RJP92" s="1"/>
      <c r="RJQ92" s="1"/>
      <c r="RJR92" s="1"/>
      <c r="RJS92" s="1"/>
      <c r="RJT92" s="1"/>
      <c r="RJU92" s="1"/>
      <c r="RJV92" s="1"/>
      <c r="RJW92" s="1"/>
      <c r="RJX92" s="1"/>
      <c r="RJY92" s="1"/>
      <c r="RJZ92" s="1"/>
      <c r="RKA92" s="1"/>
      <c r="RKB92" s="1"/>
      <c r="RKC92" s="1"/>
      <c r="RKD92" s="1"/>
      <c r="RKE92" s="1"/>
      <c r="RKF92" s="1"/>
      <c r="RKG92" s="1"/>
      <c r="RKH92" s="1"/>
      <c r="RKI92" s="1"/>
      <c r="RKJ92" s="1"/>
      <c r="RKK92" s="1"/>
      <c r="RKL92" s="1"/>
      <c r="RKM92" s="1"/>
      <c r="RKN92" s="1"/>
      <c r="RKO92" s="1"/>
      <c r="RKP92" s="1"/>
      <c r="RKQ92" s="1"/>
      <c r="RKR92" s="1"/>
      <c r="RKS92" s="1"/>
      <c r="RKT92" s="1"/>
      <c r="RKU92" s="1"/>
      <c r="RKV92" s="1"/>
      <c r="RKW92" s="1"/>
      <c r="RKX92" s="1"/>
      <c r="RKY92" s="1"/>
      <c r="RKZ92" s="1"/>
      <c r="RLA92" s="1"/>
      <c r="RLB92" s="1"/>
      <c r="RLC92" s="1"/>
      <c r="RLD92" s="1"/>
      <c r="RLE92" s="1"/>
      <c r="RLF92" s="1"/>
      <c r="RLG92" s="1"/>
      <c r="RLH92" s="1"/>
      <c r="RLI92" s="1"/>
      <c r="RLJ92" s="1"/>
      <c r="RLK92" s="1"/>
      <c r="RLL92" s="1"/>
      <c r="RLM92" s="1"/>
      <c r="RLN92" s="1"/>
      <c r="RLO92" s="1"/>
      <c r="RLP92" s="1"/>
      <c r="RLQ92" s="1"/>
      <c r="RLR92" s="1"/>
      <c r="RLS92" s="1"/>
      <c r="RLT92" s="1"/>
      <c r="RLU92" s="1"/>
      <c r="RLV92" s="1"/>
      <c r="RLW92" s="1"/>
      <c r="RLX92" s="1"/>
      <c r="RLY92" s="1"/>
      <c r="RLZ92" s="1"/>
      <c r="RMA92" s="1"/>
      <c r="RMB92" s="1"/>
      <c r="RMC92" s="1"/>
      <c r="RMD92" s="1"/>
      <c r="RME92" s="1"/>
      <c r="RMF92" s="1"/>
      <c r="RMG92" s="1"/>
      <c r="RMH92" s="1"/>
      <c r="RMI92" s="1"/>
      <c r="RMJ92" s="1"/>
      <c r="RMK92" s="1"/>
      <c r="RML92" s="1"/>
      <c r="RMM92" s="1"/>
      <c r="RMN92" s="1"/>
      <c r="RMO92" s="1"/>
      <c r="RMP92" s="1"/>
      <c r="RMQ92" s="1"/>
      <c r="RMR92" s="1"/>
      <c r="RMS92" s="1"/>
      <c r="RMT92" s="1"/>
      <c r="RMU92" s="1"/>
      <c r="RMV92" s="1"/>
      <c r="RMW92" s="1"/>
      <c r="RMX92" s="1"/>
      <c r="RMY92" s="1"/>
      <c r="RMZ92" s="1"/>
      <c r="RNA92" s="1"/>
      <c r="RNB92" s="1"/>
      <c r="RNC92" s="1"/>
      <c r="RND92" s="1"/>
      <c r="RNE92" s="1"/>
      <c r="RNF92" s="1"/>
      <c r="RNG92" s="1"/>
      <c r="RNH92" s="1"/>
      <c r="RNI92" s="1"/>
      <c r="RNJ92" s="1"/>
      <c r="RNK92" s="1"/>
      <c r="RNL92" s="1"/>
      <c r="RNM92" s="1"/>
      <c r="RNN92" s="1"/>
      <c r="RNO92" s="1"/>
      <c r="RNP92" s="1"/>
      <c r="RNQ92" s="1"/>
      <c r="RNR92" s="1"/>
      <c r="RNS92" s="1"/>
      <c r="RNT92" s="1"/>
      <c r="RNU92" s="1"/>
      <c r="RNV92" s="1"/>
      <c r="RNW92" s="1"/>
      <c r="RNX92" s="1"/>
      <c r="RNY92" s="1"/>
      <c r="RNZ92" s="1"/>
      <c r="ROA92" s="1"/>
      <c r="ROB92" s="1"/>
      <c r="ROC92" s="1"/>
      <c r="ROD92" s="1"/>
      <c r="ROE92" s="1"/>
      <c r="ROF92" s="1"/>
      <c r="ROG92" s="1"/>
      <c r="ROH92" s="1"/>
      <c r="ROI92" s="1"/>
      <c r="ROJ92" s="1"/>
      <c r="ROK92" s="1"/>
      <c r="ROL92" s="1"/>
      <c r="ROM92" s="1"/>
      <c r="RON92" s="1"/>
      <c r="ROO92" s="1"/>
      <c r="ROP92" s="1"/>
      <c r="ROQ92" s="1"/>
      <c r="ROR92" s="1"/>
      <c r="ROS92" s="1"/>
      <c r="ROT92" s="1"/>
      <c r="ROU92" s="1"/>
      <c r="ROV92" s="1"/>
      <c r="ROW92" s="1"/>
      <c r="ROX92" s="1"/>
      <c r="ROY92" s="1"/>
      <c r="ROZ92" s="1"/>
      <c r="RPA92" s="1"/>
      <c r="RPB92" s="1"/>
      <c r="RPC92" s="1"/>
      <c r="RPD92" s="1"/>
      <c r="RPE92" s="1"/>
      <c r="RPF92" s="1"/>
      <c r="RPG92" s="1"/>
      <c r="RPH92" s="1"/>
      <c r="RPI92" s="1"/>
      <c r="RPJ92" s="1"/>
      <c r="RPK92" s="1"/>
      <c r="RPL92" s="1"/>
      <c r="RPM92" s="1"/>
      <c r="RPN92" s="1"/>
      <c r="RPO92" s="1"/>
      <c r="RPP92" s="1"/>
      <c r="RPQ92" s="1"/>
      <c r="RPR92" s="1"/>
      <c r="RPS92" s="1"/>
      <c r="RPT92" s="1"/>
      <c r="RPU92" s="1"/>
      <c r="RPV92" s="1"/>
      <c r="RPW92" s="1"/>
      <c r="RPX92" s="1"/>
      <c r="RPY92" s="1"/>
      <c r="RPZ92" s="1"/>
      <c r="RQA92" s="1"/>
      <c r="RQB92" s="1"/>
      <c r="RQC92" s="1"/>
      <c r="RQD92" s="1"/>
      <c r="RQE92" s="1"/>
      <c r="RQF92" s="1"/>
      <c r="RQG92" s="1"/>
      <c r="RQH92" s="1"/>
      <c r="RQI92" s="1"/>
      <c r="RQJ92" s="1"/>
      <c r="RQK92" s="1"/>
      <c r="RQL92" s="1"/>
      <c r="RQM92" s="1"/>
      <c r="RQN92" s="1"/>
      <c r="RQO92" s="1"/>
      <c r="RQP92" s="1"/>
      <c r="RQQ92" s="1"/>
      <c r="RQR92" s="1"/>
      <c r="RQS92" s="1"/>
      <c r="RQT92" s="1"/>
      <c r="RQU92" s="1"/>
      <c r="RQV92" s="1"/>
      <c r="RQW92" s="1"/>
      <c r="RQX92" s="1"/>
      <c r="RQY92" s="1"/>
      <c r="RQZ92" s="1"/>
      <c r="RRA92" s="1"/>
      <c r="RRB92" s="1"/>
      <c r="RRC92" s="1"/>
      <c r="RRD92" s="1"/>
      <c r="RRE92" s="1"/>
      <c r="RRF92" s="1"/>
      <c r="RRG92" s="1"/>
      <c r="RRH92" s="1"/>
      <c r="RRI92" s="1"/>
      <c r="RRJ92" s="1"/>
      <c r="RRK92" s="1"/>
      <c r="RRL92" s="1"/>
      <c r="RRM92" s="1"/>
      <c r="RRN92" s="1"/>
      <c r="RRO92" s="1"/>
      <c r="RRP92" s="1"/>
      <c r="RRQ92" s="1"/>
      <c r="RRR92" s="1"/>
      <c r="RRS92" s="1"/>
      <c r="RRT92" s="1"/>
      <c r="RRU92" s="1"/>
      <c r="RRV92" s="1"/>
      <c r="RRW92" s="1"/>
      <c r="RRX92" s="1"/>
      <c r="RRY92" s="1"/>
      <c r="RRZ92" s="1"/>
      <c r="RSA92" s="1"/>
      <c r="RSB92" s="1"/>
      <c r="RSC92" s="1"/>
      <c r="RSD92" s="1"/>
      <c r="RSE92" s="1"/>
      <c r="RSF92" s="1"/>
      <c r="RSG92" s="1"/>
      <c r="RSH92" s="1"/>
      <c r="RSI92" s="1"/>
      <c r="RSJ92" s="1"/>
      <c r="RSK92" s="1"/>
      <c r="RSL92" s="1"/>
      <c r="RSM92" s="1"/>
      <c r="RSN92" s="1"/>
      <c r="RSO92" s="1"/>
      <c r="RSP92" s="1"/>
      <c r="RSQ92" s="1"/>
      <c r="RSR92" s="1"/>
      <c r="RSS92" s="1"/>
      <c r="RST92" s="1"/>
      <c r="RSU92" s="1"/>
      <c r="RSV92" s="1"/>
      <c r="RSW92" s="1"/>
      <c r="RSX92" s="1"/>
      <c r="RSY92" s="1"/>
      <c r="RSZ92" s="1"/>
      <c r="RTA92" s="1"/>
      <c r="RTB92" s="1"/>
      <c r="RTC92" s="1"/>
      <c r="RTD92" s="1"/>
      <c r="RTE92" s="1"/>
      <c r="RTF92" s="1"/>
      <c r="RTG92" s="1"/>
      <c r="RTH92" s="1"/>
      <c r="RTI92" s="1"/>
      <c r="RTJ92" s="1"/>
      <c r="RTK92" s="1"/>
      <c r="RTL92" s="1"/>
      <c r="RTM92" s="1"/>
      <c r="RTN92" s="1"/>
      <c r="RTO92" s="1"/>
      <c r="RTP92" s="1"/>
      <c r="RTQ92" s="1"/>
      <c r="RTR92" s="1"/>
      <c r="RTS92" s="1"/>
      <c r="RTT92" s="1"/>
      <c r="RTU92" s="1"/>
      <c r="RTV92" s="1"/>
      <c r="RTW92" s="1"/>
      <c r="RTX92" s="1"/>
      <c r="RTY92" s="1"/>
      <c r="RTZ92" s="1"/>
      <c r="RUA92" s="1"/>
      <c r="RUB92" s="1"/>
      <c r="RUC92" s="1"/>
      <c r="RUD92" s="1"/>
      <c r="RUE92" s="1"/>
      <c r="RUF92" s="1"/>
      <c r="RUG92" s="1"/>
      <c r="RUH92" s="1"/>
      <c r="RUI92" s="1"/>
      <c r="RUJ92" s="1"/>
      <c r="RUK92" s="1"/>
      <c r="RUL92" s="1"/>
      <c r="RUM92" s="1"/>
      <c r="RUN92" s="1"/>
      <c r="RUO92" s="1"/>
      <c r="RUP92" s="1"/>
      <c r="RUQ92" s="1"/>
      <c r="RUR92" s="1"/>
      <c r="RUS92" s="1"/>
      <c r="RUT92" s="1"/>
      <c r="RUU92" s="1"/>
      <c r="RUV92" s="1"/>
      <c r="RUW92" s="1"/>
      <c r="RUX92" s="1"/>
      <c r="RUY92" s="1"/>
      <c r="RUZ92" s="1"/>
      <c r="RVA92" s="1"/>
      <c r="RVB92" s="1"/>
      <c r="RVC92" s="1"/>
      <c r="RVD92" s="1"/>
      <c r="RVE92" s="1"/>
      <c r="RVF92" s="1"/>
      <c r="RVG92" s="1"/>
      <c r="RVH92" s="1"/>
      <c r="RVI92" s="1"/>
      <c r="RVJ92" s="1"/>
      <c r="RVK92" s="1"/>
      <c r="RVL92" s="1"/>
      <c r="RVM92" s="1"/>
      <c r="RVN92" s="1"/>
      <c r="RVO92" s="1"/>
      <c r="RVP92" s="1"/>
      <c r="RVQ92" s="1"/>
      <c r="RVR92" s="1"/>
      <c r="RVS92" s="1"/>
      <c r="RVT92" s="1"/>
      <c r="RVU92" s="1"/>
      <c r="RVV92" s="1"/>
      <c r="RVW92" s="1"/>
      <c r="RVX92" s="1"/>
      <c r="RVY92" s="1"/>
      <c r="RVZ92" s="1"/>
      <c r="RWA92" s="1"/>
      <c r="RWB92" s="1"/>
      <c r="RWC92" s="1"/>
      <c r="RWD92" s="1"/>
      <c r="RWE92" s="1"/>
      <c r="RWF92" s="1"/>
      <c r="RWG92" s="1"/>
      <c r="RWH92" s="1"/>
      <c r="RWI92" s="1"/>
      <c r="RWJ92" s="1"/>
      <c r="RWK92" s="1"/>
      <c r="RWL92" s="1"/>
      <c r="RWM92" s="1"/>
      <c r="RWN92" s="1"/>
      <c r="RWO92" s="1"/>
      <c r="RWP92" s="1"/>
      <c r="RWQ92" s="1"/>
      <c r="RWR92" s="1"/>
      <c r="RWS92" s="1"/>
      <c r="RWT92" s="1"/>
      <c r="RWU92" s="1"/>
      <c r="RWV92" s="1"/>
      <c r="RWW92" s="1"/>
      <c r="RWX92" s="1"/>
      <c r="RWY92" s="1"/>
      <c r="RWZ92" s="1"/>
      <c r="RXA92" s="1"/>
      <c r="RXB92" s="1"/>
      <c r="RXC92" s="1"/>
      <c r="RXD92" s="1"/>
      <c r="RXE92" s="1"/>
      <c r="RXF92" s="1"/>
      <c r="RXG92" s="1"/>
      <c r="RXH92" s="1"/>
      <c r="RXI92" s="1"/>
      <c r="RXJ92" s="1"/>
      <c r="RXK92" s="1"/>
      <c r="RXL92" s="1"/>
      <c r="RXM92" s="1"/>
      <c r="RXN92" s="1"/>
      <c r="RXO92" s="1"/>
      <c r="RXP92" s="1"/>
      <c r="RXQ92" s="1"/>
      <c r="RXR92" s="1"/>
      <c r="RXS92" s="1"/>
      <c r="RXT92" s="1"/>
      <c r="RXU92" s="1"/>
      <c r="RXV92" s="1"/>
      <c r="RXW92" s="1"/>
      <c r="RXX92" s="1"/>
      <c r="RXY92" s="1"/>
      <c r="RXZ92" s="1"/>
      <c r="RYA92" s="1"/>
      <c r="RYB92" s="1"/>
      <c r="RYC92" s="1"/>
      <c r="RYD92" s="1"/>
      <c r="RYE92" s="1"/>
      <c r="RYF92" s="1"/>
      <c r="RYG92" s="1"/>
      <c r="RYH92" s="1"/>
      <c r="RYI92" s="1"/>
      <c r="RYJ92" s="1"/>
      <c r="RYK92" s="1"/>
      <c r="RYL92" s="1"/>
      <c r="RYM92" s="1"/>
      <c r="RYN92" s="1"/>
      <c r="RYO92" s="1"/>
      <c r="RYP92" s="1"/>
      <c r="RYQ92" s="1"/>
      <c r="RYR92" s="1"/>
      <c r="RYS92" s="1"/>
      <c r="RYT92" s="1"/>
      <c r="RYU92" s="1"/>
      <c r="RYV92" s="1"/>
      <c r="RYW92" s="1"/>
      <c r="RYX92" s="1"/>
      <c r="RYY92" s="1"/>
      <c r="RYZ92" s="1"/>
      <c r="RZA92" s="1"/>
      <c r="RZB92" s="1"/>
      <c r="RZC92" s="1"/>
      <c r="RZD92" s="1"/>
      <c r="RZE92" s="1"/>
      <c r="RZF92" s="1"/>
      <c r="RZG92" s="1"/>
      <c r="RZH92" s="1"/>
      <c r="RZI92" s="1"/>
      <c r="RZJ92" s="1"/>
      <c r="RZK92" s="1"/>
      <c r="RZL92" s="1"/>
      <c r="RZM92" s="1"/>
      <c r="RZN92" s="1"/>
      <c r="RZO92" s="1"/>
      <c r="RZP92" s="1"/>
      <c r="RZQ92" s="1"/>
      <c r="RZR92" s="1"/>
      <c r="RZS92" s="1"/>
      <c r="RZT92" s="1"/>
      <c r="RZU92" s="1"/>
      <c r="RZV92" s="1"/>
      <c r="RZW92" s="1"/>
      <c r="RZX92" s="1"/>
      <c r="RZY92" s="1"/>
      <c r="RZZ92" s="1"/>
      <c r="SAA92" s="1"/>
      <c r="SAB92" s="1"/>
      <c r="SAC92" s="1"/>
      <c r="SAD92" s="1"/>
      <c r="SAE92" s="1"/>
      <c r="SAF92" s="1"/>
      <c r="SAG92" s="1"/>
      <c r="SAH92" s="1"/>
      <c r="SAI92" s="1"/>
      <c r="SAJ92" s="1"/>
      <c r="SAK92" s="1"/>
      <c r="SAL92" s="1"/>
      <c r="SAM92" s="1"/>
      <c r="SAN92" s="1"/>
      <c r="SAO92" s="1"/>
      <c r="SAP92" s="1"/>
      <c r="SAQ92" s="1"/>
      <c r="SAR92" s="1"/>
      <c r="SAS92" s="1"/>
      <c r="SAT92" s="1"/>
      <c r="SAU92" s="1"/>
      <c r="SAV92" s="1"/>
      <c r="SAW92" s="1"/>
      <c r="SAX92" s="1"/>
      <c r="SAY92" s="1"/>
      <c r="SAZ92" s="1"/>
      <c r="SBA92" s="1"/>
      <c r="SBB92" s="1"/>
      <c r="SBC92" s="1"/>
      <c r="SBD92" s="1"/>
      <c r="SBE92" s="1"/>
      <c r="SBF92" s="1"/>
      <c r="SBG92" s="1"/>
      <c r="SBH92" s="1"/>
      <c r="SBI92" s="1"/>
      <c r="SBJ92" s="1"/>
      <c r="SBK92" s="1"/>
      <c r="SBL92" s="1"/>
      <c r="SBM92" s="1"/>
      <c r="SBN92" s="1"/>
      <c r="SBO92" s="1"/>
      <c r="SBP92" s="1"/>
      <c r="SBQ92" s="1"/>
      <c r="SBR92" s="1"/>
      <c r="SBS92" s="1"/>
      <c r="SBT92" s="1"/>
      <c r="SBU92" s="1"/>
      <c r="SBV92" s="1"/>
      <c r="SBW92" s="1"/>
      <c r="SBX92" s="1"/>
      <c r="SBY92" s="1"/>
      <c r="SBZ92" s="1"/>
      <c r="SCA92" s="1"/>
      <c r="SCB92" s="1"/>
      <c r="SCC92" s="1"/>
      <c r="SCD92" s="1"/>
      <c r="SCE92" s="1"/>
      <c r="SCF92" s="1"/>
      <c r="SCG92" s="1"/>
      <c r="SCH92" s="1"/>
      <c r="SCI92" s="1"/>
      <c r="SCJ92" s="1"/>
      <c r="SCK92" s="1"/>
      <c r="SCL92" s="1"/>
      <c r="SCM92" s="1"/>
      <c r="SCN92" s="1"/>
      <c r="SCO92" s="1"/>
      <c r="SCP92" s="1"/>
      <c r="SCQ92" s="1"/>
      <c r="SCR92" s="1"/>
      <c r="SCS92" s="1"/>
      <c r="SCT92" s="1"/>
      <c r="SCU92" s="1"/>
      <c r="SCV92" s="1"/>
      <c r="SCW92" s="1"/>
      <c r="SCX92" s="1"/>
      <c r="SCY92" s="1"/>
      <c r="SCZ92" s="1"/>
      <c r="SDA92" s="1"/>
      <c r="SDB92" s="1"/>
      <c r="SDC92" s="1"/>
      <c r="SDD92" s="1"/>
      <c r="SDE92" s="1"/>
      <c r="SDF92" s="1"/>
      <c r="SDG92" s="1"/>
      <c r="SDH92" s="1"/>
      <c r="SDI92" s="1"/>
      <c r="SDJ92" s="1"/>
      <c r="SDK92" s="1"/>
      <c r="SDL92" s="1"/>
      <c r="SDM92" s="1"/>
      <c r="SDN92" s="1"/>
      <c r="SDO92" s="1"/>
      <c r="SDP92" s="1"/>
      <c r="SDQ92" s="1"/>
      <c r="SDR92" s="1"/>
      <c r="SDS92" s="1"/>
      <c r="SDT92" s="1"/>
      <c r="SDU92" s="1"/>
      <c r="SDV92" s="1"/>
      <c r="SDW92" s="1"/>
      <c r="SDX92" s="1"/>
      <c r="SDY92" s="1"/>
      <c r="SDZ92" s="1"/>
      <c r="SEA92" s="1"/>
      <c r="SEB92" s="1"/>
      <c r="SEC92" s="1"/>
      <c r="SED92" s="1"/>
      <c r="SEE92" s="1"/>
      <c r="SEF92" s="1"/>
      <c r="SEG92" s="1"/>
      <c r="SEH92" s="1"/>
      <c r="SEI92" s="1"/>
      <c r="SEJ92" s="1"/>
      <c r="SEK92" s="1"/>
      <c r="SEL92" s="1"/>
      <c r="SEM92" s="1"/>
      <c r="SEN92" s="1"/>
      <c r="SEO92" s="1"/>
      <c r="SEP92" s="1"/>
      <c r="SEQ92" s="1"/>
      <c r="SER92" s="1"/>
      <c r="SES92" s="1"/>
      <c r="SET92" s="1"/>
      <c r="SEU92" s="1"/>
      <c r="SEV92" s="1"/>
      <c r="SEW92" s="1"/>
      <c r="SEX92" s="1"/>
      <c r="SEY92" s="1"/>
      <c r="SEZ92" s="1"/>
      <c r="SFA92" s="1"/>
      <c r="SFB92" s="1"/>
      <c r="SFC92" s="1"/>
      <c r="SFD92" s="1"/>
      <c r="SFE92" s="1"/>
      <c r="SFF92" s="1"/>
      <c r="SFG92" s="1"/>
      <c r="SFH92" s="1"/>
      <c r="SFI92" s="1"/>
      <c r="SFJ92" s="1"/>
      <c r="SFK92" s="1"/>
      <c r="SFL92" s="1"/>
      <c r="SFM92" s="1"/>
      <c r="SFN92" s="1"/>
      <c r="SFO92" s="1"/>
      <c r="SFP92" s="1"/>
      <c r="SFQ92" s="1"/>
      <c r="SFR92" s="1"/>
      <c r="SFS92" s="1"/>
      <c r="SFT92" s="1"/>
      <c r="SFU92" s="1"/>
      <c r="SFV92" s="1"/>
      <c r="SFW92" s="1"/>
      <c r="SFX92" s="1"/>
      <c r="SFY92" s="1"/>
      <c r="SFZ92" s="1"/>
      <c r="SGA92" s="1"/>
      <c r="SGB92" s="1"/>
      <c r="SGC92" s="1"/>
      <c r="SGD92" s="1"/>
      <c r="SGE92" s="1"/>
      <c r="SGF92" s="1"/>
      <c r="SGG92" s="1"/>
      <c r="SGH92" s="1"/>
      <c r="SGI92" s="1"/>
      <c r="SGJ92" s="1"/>
      <c r="SGK92" s="1"/>
      <c r="SGL92" s="1"/>
      <c r="SGM92" s="1"/>
      <c r="SGN92" s="1"/>
      <c r="SGO92" s="1"/>
      <c r="SGP92" s="1"/>
      <c r="SGQ92" s="1"/>
      <c r="SGR92" s="1"/>
      <c r="SGS92" s="1"/>
      <c r="SGT92" s="1"/>
      <c r="SGU92" s="1"/>
      <c r="SGV92" s="1"/>
      <c r="SGW92" s="1"/>
      <c r="SGX92" s="1"/>
      <c r="SGY92" s="1"/>
      <c r="SGZ92" s="1"/>
      <c r="SHA92" s="1"/>
      <c r="SHB92" s="1"/>
      <c r="SHC92" s="1"/>
      <c r="SHD92" s="1"/>
      <c r="SHE92" s="1"/>
      <c r="SHF92" s="1"/>
      <c r="SHG92" s="1"/>
      <c r="SHH92" s="1"/>
      <c r="SHI92" s="1"/>
      <c r="SHJ92" s="1"/>
      <c r="SHK92" s="1"/>
      <c r="SHL92" s="1"/>
      <c r="SHM92" s="1"/>
      <c r="SHN92" s="1"/>
      <c r="SHO92" s="1"/>
      <c r="SHP92" s="1"/>
      <c r="SHQ92" s="1"/>
      <c r="SHR92" s="1"/>
      <c r="SHS92" s="1"/>
      <c r="SHT92" s="1"/>
      <c r="SHU92" s="1"/>
      <c r="SHV92" s="1"/>
      <c r="SHW92" s="1"/>
      <c r="SHX92" s="1"/>
      <c r="SHY92" s="1"/>
      <c r="SHZ92" s="1"/>
      <c r="SIA92" s="1"/>
      <c r="SIB92" s="1"/>
      <c r="SIC92" s="1"/>
      <c r="SID92" s="1"/>
      <c r="SIE92" s="1"/>
      <c r="SIF92" s="1"/>
      <c r="SIG92" s="1"/>
      <c r="SIH92" s="1"/>
      <c r="SII92" s="1"/>
      <c r="SIJ92" s="1"/>
      <c r="SIK92" s="1"/>
      <c r="SIL92" s="1"/>
      <c r="SIM92" s="1"/>
      <c r="SIN92" s="1"/>
      <c r="SIO92" s="1"/>
      <c r="SIP92" s="1"/>
      <c r="SIQ92" s="1"/>
      <c r="SIR92" s="1"/>
      <c r="SIS92" s="1"/>
      <c r="SIT92" s="1"/>
      <c r="SIU92" s="1"/>
      <c r="SIV92" s="1"/>
      <c r="SIW92" s="1"/>
      <c r="SIX92" s="1"/>
      <c r="SIY92" s="1"/>
      <c r="SIZ92" s="1"/>
      <c r="SJA92" s="1"/>
      <c r="SJB92" s="1"/>
      <c r="SJC92" s="1"/>
      <c r="SJD92" s="1"/>
      <c r="SJE92" s="1"/>
      <c r="SJF92" s="1"/>
      <c r="SJG92" s="1"/>
      <c r="SJH92" s="1"/>
      <c r="SJI92" s="1"/>
      <c r="SJJ92" s="1"/>
      <c r="SJK92" s="1"/>
      <c r="SJL92" s="1"/>
      <c r="SJM92" s="1"/>
      <c r="SJN92" s="1"/>
      <c r="SJO92" s="1"/>
      <c r="SJP92" s="1"/>
      <c r="SJQ92" s="1"/>
      <c r="SJR92" s="1"/>
      <c r="SJS92" s="1"/>
      <c r="SJT92" s="1"/>
      <c r="SJU92" s="1"/>
      <c r="SJV92" s="1"/>
      <c r="SJW92" s="1"/>
      <c r="SJX92" s="1"/>
      <c r="SJY92" s="1"/>
      <c r="SJZ92" s="1"/>
      <c r="SKA92" s="1"/>
      <c r="SKB92" s="1"/>
      <c r="SKC92" s="1"/>
      <c r="SKD92" s="1"/>
      <c r="SKE92" s="1"/>
      <c r="SKF92" s="1"/>
      <c r="SKG92" s="1"/>
      <c r="SKH92" s="1"/>
      <c r="SKI92" s="1"/>
      <c r="SKJ92" s="1"/>
      <c r="SKK92" s="1"/>
      <c r="SKL92" s="1"/>
      <c r="SKM92" s="1"/>
      <c r="SKN92" s="1"/>
      <c r="SKO92" s="1"/>
      <c r="SKP92" s="1"/>
      <c r="SKQ92" s="1"/>
      <c r="SKR92" s="1"/>
      <c r="SKS92" s="1"/>
      <c r="SKT92" s="1"/>
      <c r="SKU92" s="1"/>
      <c r="SKV92" s="1"/>
      <c r="SKW92" s="1"/>
      <c r="SKX92" s="1"/>
      <c r="SKY92" s="1"/>
      <c r="SKZ92" s="1"/>
      <c r="SLA92" s="1"/>
      <c r="SLB92" s="1"/>
      <c r="SLC92" s="1"/>
      <c r="SLD92" s="1"/>
      <c r="SLE92" s="1"/>
      <c r="SLF92" s="1"/>
      <c r="SLG92" s="1"/>
      <c r="SLH92" s="1"/>
      <c r="SLI92" s="1"/>
      <c r="SLJ92" s="1"/>
      <c r="SLK92" s="1"/>
      <c r="SLL92" s="1"/>
      <c r="SLM92" s="1"/>
      <c r="SLN92" s="1"/>
      <c r="SLO92" s="1"/>
      <c r="SLP92" s="1"/>
      <c r="SLQ92" s="1"/>
      <c r="SLR92" s="1"/>
      <c r="SLS92" s="1"/>
      <c r="SLT92" s="1"/>
      <c r="SLU92" s="1"/>
      <c r="SLV92" s="1"/>
      <c r="SLW92" s="1"/>
      <c r="SLX92" s="1"/>
      <c r="SLY92" s="1"/>
      <c r="SLZ92" s="1"/>
      <c r="SMA92" s="1"/>
      <c r="SMB92" s="1"/>
      <c r="SMC92" s="1"/>
      <c r="SMD92" s="1"/>
      <c r="SME92" s="1"/>
      <c r="SMF92" s="1"/>
      <c r="SMG92" s="1"/>
      <c r="SMH92" s="1"/>
      <c r="SMI92" s="1"/>
      <c r="SMJ92" s="1"/>
      <c r="SMK92" s="1"/>
      <c r="SML92" s="1"/>
      <c r="SMM92" s="1"/>
      <c r="SMN92" s="1"/>
      <c r="SMO92" s="1"/>
      <c r="SMP92" s="1"/>
      <c r="SMQ92" s="1"/>
      <c r="SMR92" s="1"/>
      <c r="SMS92" s="1"/>
      <c r="SMT92" s="1"/>
      <c r="SMU92" s="1"/>
      <c r="SMV92" s="1"/>
      <c r="SMW92" s="1"/>
      <c r="SMX92" s="1"/>
      <c r="SMY92" s="1"/>
      <c r="SMZ92" s="1"/>
      <c r="SNA92" s="1"/>
      <c r="SNB92" s="1"/>
      <c r="SNC92" s="1"/>
      <c r="SND92" s="1"/>
      <c r="SNE92" s="1"/>
      <c r="SNF92" s="1"/>
      <c r="SNG92" s="1"/>
      <c r="SNH92" s="1"/>
      <c r="SNI92" s="1"/>
      <c r="SNJ92" s="1"/>
      <c r="SNK92" s="1"/>
      <c r="SNL92" s="1"/>
      <c r="SNM92" s="1"/>
      <c r="SNN92" s="1"/>
      <c r="SNO92" s="1"/>
      <c r="SNP92" s="1"/>
      <c r="SNQ92" s="1"/>
      <c r="SNR92" s="1"/>
      <c r="SNS92" s="1"/>
      <c r="SNT92" s="1"/>
      <c r="SNU92" s="1"/>
      <c r="SNV92" s="1"/>
      <c r="SNW92" s="1"/>
      <c r="SNX92" s="1"/>
      <c r="SNY92" s="1"/>
      <c r="SNZ92" s="1"/>
      <c r="SOA92" s="1"/>
      <c r="SOB92" s="1"/>
      <c r="SOC92" s="1"/>
      <c r="SOD92" s="1"/>
      <c r="SOE92" s="1"/>
      <c r="SOF92" s="1"/>
      <c r="SOG92" s="1"/>
      <c r="SOH92" s="1"/>
      <c r="SOI92" s="1"/>
      <c r="SOJ92" s="1"/>
      <c r="SOK92" s="1"/>
      <c r="SOL92" s="1"/>
      <c r="SOM92" s="1"/>
      <c r="SON92" s="1"/>
      <c r="SOO92" s="1"/>
      <c r="SOP92" s="1"/>
      <c r="SOQ92" s="1"/>
      <c r="SOR92" s="1"/>
      <c r="SOS92" s="1"/>
      <c r="SOT92" s="1"/>
      <c r="SOU92" s="1"/>
      <c r="SOV92" s="1"/>
      <c r="SOW92" s="1"/>
      <c r="SOX92" s="1"/>
      <c r="SOY92" s="1"/>
      <c r="SOZ92" s="1"/>
      <c r="SPA92" s="1"/>
      <c r="SPB92" s="1"/>
      <c r="SPC92" s="1"/>
      <c r="SPD92" s="1"/>
      <c r="SPE92" s="1"/>
      <c r="SPF92" s="1"/>
      <c r="SPG92" s="1"/>
      <c r="SPH92" s="1"/>
      <c r="SPI92" s="1"/>
      <c r="SPJ92" s="1"/>
      <c r="SPK92" s="1"/>
      <c r="SPL92" s="1"/>
      <c r="SPM92" s="1"/>
      <c r="SPN92" s="1"/>
      <c r="SPO92" s="1"/>
      <c r="SPP92" s="1"/>
      <c r="SPQ92" s="1"/>
      <c r="SPR92" s="1"/>
      <c r="SPS92" s="1"/>
      <c r="SPT92" s="1"/>
      <c r="SPU92" s="1"/>
      <c r="SPV92" s="1"/>
      <c r="SPW92" s="1"/>
      <c r="SPX92" s="1"/>
      <c r="SPY92" s="1"/>
      <c r="SPZ92" s="1"/>
      <c r="SQA92" s="1"/>
      <c r="SQB92" s="1"/>
      <c r="SQC92" s="1"/>
      <c r="SQD92" s="1"/>
      <c r="SQE92" s="1"/>
      <c r="SQF92" s="1"/>
      <c r="SQG92" s="1"/>
      <c r="SQH92" s="1"/>
      <c r="SQI92" s="1"/>
      <c r="SQJ92" s="1"/>
      <c r="SQK92" s="1"/>
      <c r="SQL92" s="1"/>
      <c r="SQM92" s="1"/>
      <c r="SQN92" s="1"/>
      <c r="SQO92" s="1"/>
      <c r="SQP92" s="1"/>
      <c r="SQQ92" s="1"/>
      <c r="SQR92" s="1"/>
      <c r="SQS92" s="1"/>
      <c r="SQT92" s="1"/>
      <c r="SQU92" s="1"/>
      <c r="SQV92" s="1"/>
      <c r="SQW92" s="1"/>
      <c r="SQX92" s="1"/>
      <c r="SQY92" s="1"/>
      <c r="SQZ92" s="1"/>
      <c r="SRA92" s="1"/>
      <c r="SRB92" s="1"/>
      <c r="SRC92" s="1"/>
      <c r="SRD92" s="1"/>
      <c r="SRE92" s="1"/>
      <c r="SRF92" s="1"/>
      <c r="SRG92" s="1"/>
      <c r="SRH92" s="1"/>
      <c r="SRI92" s="1"/>
      <c r="SRJ92" s="1"/>
      <c r="SRK92" s="1"/>
      <c r="SRL92" s="1"/>
      <c r="SRM92" s="1"/>
      <c r="SRN92" s="1"/>
      <c r="SRO92" s="1"/>
      <c r="SRP92" s="1"/>
      <c r="SRQ92" s="1"/>
      <c r="SRR92" s="1"/>
      <c r="SRS92" s="1"/>
      <c r="SRT92" s="1"/>
      <c r="SRU92" s="1"/>
      <c r="SRV92" s="1"/>
      <c r="SRW92" s="1"/>
      <c r="SRX92" s="1"/>
      <c r="SRY92" s="1"/>
      <c r="SRZ92" s="1"/>
      <c r="SSA92" s="1"/>
      <c r="SSB92" s="1"/>
      <c r="SSC92" s="1"/>
      <c r="SSD92" s="1"/>
      <c r="SSE92" s="1"/>
      <c r="SSF92" s="1"/>
      <c r="SSG92" s="1"/>
      <c r="SSH92" s="1"/>
      <c r="SSI92" s="1"/>
      <c r="SSJ92" s="1"/>
      <c r="SSK92" s="1"/>
      <c r="SSL92" s="1"/>
      <c r="SSM92" s="1"/>
      <c r="SSN92" s="1"/>
      <c r="SSO92" s="1"/>
      <c r="SSP92" s="1"/>
      <c r="SSQ92" s="1"/>
      <c r="SSR92" s="1"/>
      <c r="SSS92" s="1"/>
      <c r="SST92" s="1"/>
      <c r="SSU92" s="1"/>
      <c r="SSV92" s="1"/>
      <c r="SSW92" s="1"/>
      <c r="SSX92" s="1"/>
      <c r="SSY92" s="1"/>
      <c r="SSZ92" s="1"/>
      <c r="STA92" s="1"/>
      <c r="STB92" s="1"/>
      <c r="STC92" s="1"/>
      <c r="STD92" s="1"/>
      <c r="STE92" s="1"/>
      <c r="STF92" s="1"/>
      <c r="STG92" s="1"/>
      <c r="STH92" s="1"/>
      <c r="STI92" s="1"/>
      <c r="STJ92" s="1"/>
      <c r="STK92" s="1"/>
      <c r="STL92" s="1"/>
      <c r="STM92" s="1"/>
      <c r="STN92" s="1"/>
      <c r="STO92" s="1"/>
      <c r="STP92" s="1"/>
      <c r="STQ92" s="1"/>
      <c r="STR92" s="1"/>
      <c r="STS92" s="1"/>
      <c r="STT92" s="1"/>
      <c r="STU92" s="1"/>
      <c r="STV92" s="1"/>
      <c r="STW92" s="1"/>
      <c r="STX92" s="1"/>
      <c r="STY92" s="1"/>
      <c r="STZ92" s="1"/>
      <c r="SUA92" s="1"/>
      <c r="SUB92" s="1"/>
      <c r="SUC92" s="1"/>
      <c r="SUD92" s="1"/>
      <c r="SUE92" s="1"/>
      <c r="SUF92" s="1"/>
      <c r="SUG92" s="1"/>
      <c r="SUH92" s="1"/>
      <c r="SUI92" s="1"/>
      <c r="SUJ92" s="1"/>
      <c r="SUK92" s="1"/>
      <c r="SUL92" s="1"/>
      <c r="SUM92" s="1"/>
      <c r="SUN92" s="1"/>
      <c r="SUO92" s="1"/>
      <c r="SUP92" s="1"/>
      <c r="SUQ92" s="1"/>
      <c r="SUR92" s="1"/>
      <c r="SUS92" s="1"/>
      <c r="SUT92" s="1"/>
      <c r="SUU92" s="1"/>
      <c r="SUV92" s="1"/>
      <c r="SUW92" s="1"/>
      <c r="SUX92" s="1"/>
      <c r="SUY92" s="1"/>
      <c r="SUZ92" s="1"/>
      <c r="SVA92" s="1"/>
      <c r="SVB92" s="1"/>
      <c r="SVC92" s="1"/>
      <c r="SVD92" s="1"/>
      <c r="SVE92" s="1"/>
      <c r="SVF92" s="1"/>
      <c r="SVG92" s="1"/>
      <c r="SVH92" s="1"/>
      <c r="SVI92" s="1"/>
      <c r="SVJ92" s="1"/>
      <c r="SVK92" s="1"/>
      <c r="SVL92" s="1"/>
      <c r="SVM92" s="1"/>
      <c r="SVN92" s="1"/>
      <c r="SVO92" s="1"/>
      <c r="SVP92" s="1"/>
      <c r="SVQ92" s="1"/>
      <c r="SVR92" s="1"/>
      <c r="SVS92" s="1"/>
      <c r="SVT92" s="1"/>
      <c r="SVU92" s="1"/>
      <c r="SVV92" s="1"/>
      <c r="SVW92" s="1"/>
      <c r="SVX92" s="1"/>
      <c r="SVY92" s="1"/>
      <c r="SVZ92" s="1"/>
      <c r="SWA92" s="1"/>
      <c r="SWB92" s="1"/>
      <c r="SWC92" s="1"/>
      <c r="SWD92" s="1"/>
      <c r="SWE92" s="1"/>
      <c r="SWF92" s="1"/>
      <c r="SWG92" s="1"/>
      <c r="SWH92" s="1"/>
      <c r="SWI92" s="1"/>
      <c r="SWJ92" s="1"/>
      <c r="SWK92" s="1"/>
      <c r="SWL92" s="1"/>
      <c r="SWM92" s="1"/>
      <c r="SWN92" s="1"/>
      <c r="SWO92" s="1"/>
      <c r="SWP92" s="1"/>
      <c r="SWQ92" s="1"/>
      <c r="SWR92" s="1"/>
      <c r="SWS92" s="1"/>
      <c r="SWT92" s="1"/>
      <c r="SWU92" s="1"/>
      <c r="SWV92" s="1"/>
      <c r="SWW92" s="1"/>
      <c r="SWX92" s="1"/>
      <c r="SWY92" s="1"/>
      <c r="SWZ92" s="1"/>
      <c r="SXA92" s="1"/>
      <c r="SXB92" s="1"/>
      <c r="SXC92" s="1"/>
      <c r="SXD92" s="1"/>
      <c r="SXE92" s="1"/>
      <c r="SXF92" s="1"/>
      <c r="SXG92" s="1"/>
      <c r="SXH92" s="1"/>
      <c r="SXI92" s="1"/>
      <c r="SXJ92" s="1"/>
      <c r="SXK92" s="1"/>
      <c r="SXL92" s="1"/>
      <c r="SXM92" s="1"/>
      <c r="SXN92" s="1"/>
      <c r="SXO92" s="1"/>
      <c r="SXP92" s="1"/>
      <c r="SXQ92" s="1"/>
      <c r="SXR92" s="1"/>
      <c r="SXS92" s="1"/>
      <c r="SXT92" s="1"/>
      <c r="SXU92" s="1"/>
      <c r="SXV92" s="1"/>
      <c r="SXW92" s="1"/>
      <c r="SXX92" s="1"/>
      <c r="SXY92" s="1"/>
      <c r="SXZ92" s="1"/>
      <c r="SYA92" s="1"/>
      <c r="SYB92" s="1"/>
      <c r="SYC92" s="1"/>
      <c r="SYD92" s="1"/>
      <c r="SYE92" s="1"/>
      <c r="SYF92" s="1"/>
      <c r="SYG92" s="1"/>
      <c r="SYH92" s="1"/>
      <c r="SYI92" s="1"/>
      <c r="SYJ92" s="1"/>
      <c r="SYK92" s="1"/>
      <c r="SYL92" s="1"/>
      <c r="SYM92" s="1"/>
      <c r="SYN92" s="1"/>
      <c r="SYO92" s="1"/>
      <c r="SYP92" s="1"/>
      <c r="SYQ92" s="1"/>
      <c r="SYR92" s="1"/>
      <c r="SYS92" s="1"/>
      <c r="SYT92" s="1"/>
      <c r="SYU92" s="1"/>
      <c r="SYV92" s="1"/>
      <c r="SYW92" s="1"/>
      <c r="SYX92" s="1"/>
      <c r="SYY92" s="1"/>
      <c r="SYZ92" s="1"/>
      <c r="SZA92" s="1"/>
      <c r="SZB92" s="1"/>
      <c r="SZC92" s="1"/>
      <c r="SZD92" s="1"/>
      <c r="SZE92" s="1"/>
      <c r="SZF92" s="1"/>
      <c r="SZG92" s="1"/>
      <c r="SZH92" s="1"/>
      <c r="SZI92" s="1"/>
      <c r="SZJ92" s="1"/>
      <c r="SZK92" s="1"/>
      <c r="SZL92" s="1"/>
      <c r="SZM92" s="1"/>
      <c r="SZN92" s="1"/>
      <c r="SZO92" s="1"/>
      <c r="SZP92" s="1"/>
      <c r="SZQ92" s="1"/>
      <c r="SZR92" s="1"/>
      <c r="SZS92" s="1"/>
      <c r="SZT92" s="1"/>
      <c r="SZU92" s="1"/>
      <c r="SZV92" s="1"/>
      <c r="SZW92" s="1"/>
      <c r="SZX92" s="1"/>
      <c r="SZY92" s="1"/>
      <c r="SZZ92" s="1"/>
      <c r="TAA92" s="1"/>
      <c r="TAB92" s="1"/>
      <c r="TAC92" s="1"/>
      <c r="TAD92" s="1"/>
      <c r="TAE92" s="1"/>
      <c r="TAF92" s="1"/>
      <c r="TAG92" s="1"/>
      <c r="TAH92" s="1"/>
      <c r="TAI92" s="1"/>
      <c r="TAJ92" s="1"/>
      <c r="TAK92" s="1"/>
      <c r="TAL92" s="1"/>
      <c r="TAM92" s="1"/>
      <c r="TAN92" s="1"/>
      <c r="TAO92" s="1"/>
      <c r="TAP92" s="1"/>
      <c r="TAQ92" s="1"/>
      <c r="TAR92" s="1"/>
      <c r="TAS92" s="1"/>
      <c r="TAT92" s="1"/>
      <c r="TAU92" s="1"/>
      <c r="TAV92" s="1"/>
      <c r="TAW92" s="1"/>
      <c r="TAX92" s="1"/>
      <c r="TAY92" s="1"/>
      <c r="TAZ92" s="1"/>
      <c r="TBA92" s="1"/>
      <c r="TBB92" s="1"/>
      <c r="TBC92" s="1"/>
      <c r="TBD92" s="1"/>
      <c r="TBE92" s="1"/>
      <c r="TBF92" s="1"/>
      <c r="TBG92" s="1"/>
      <c r="TBH92" s="1"/>
      <c r="TBI92" s="1"/>
      <c r="TBJ92" s="1"/>
      <c r="TBK92" s="1"/>
      <c r="TBL92" s="1"/>
      <c r="TBM92" s="1"/>
      <c r="TBN92" s="1"/>
      <c r="TBO92" s="1"/>
      <c r="TBP92" s="1"/>
      <c r="TBQ92" s="1"/>
      <c r="TBR92" s="1"/>
      <c r="TBS92" s="1"/>
      <c r="TBT92" s="1"/>
      <c r="TBU92" s="1"/>
      <c r="TBV92" s="1"/>
      <c r="TBW92" s="1"/>
      <c r="TBX92" s="1"/>
      <c r="TBY92" s="1"/>
      <c r="TBZ92" s="1"/>
      <c r="TCA92" s="1"/>
      <c r="TCB92" s="1"/>
      <c r="TCC92" s="1"/>
      <c r="TCD92" s="1"/>
      <c r="TCE92" s="1"/>
      <c r="TCF92" s="1"/>
      <c r="TCG92" s="1"/>
      <c r="TCH92" s="1"/>
      <c r="TCI92" s="1"/>
      <c r="TCJ92" s="1"/>
      <c r="TCK92" s="1"/>
      <c r="TCL92" s="1"/>
      <c r="TCM92" s="1"/>
      <c r="TCN92" s="1"/>
      <c r="TCO92" s="1"/>
      <c r="TCP92" s="1"/>
      <c r="TCQ92" s="1"/>
      <c r="TCR92" s="1"/>
      <c r="TCS92" s="1"/>
      <c r="TCT92" s="1"/>
      <c r="TCU92" s="1"/>
      <c r="TCV92" s="1"/>
      <c r="TCW92" s="1"/>
      <c r="TCX92" s="1"/>
      <c r="TCY92" s="1"/>
      <c r="TCZ92" s="1"/>
      <c r="TDA92" s="1"/>
      <c r="TDB92" s="1"/>
      <c r="TDC92" s="1"/>
      <c r="TDD92" s="1"/>
      <c r="TDE92" s="1"/>
      <c r="TDF92" s="1"/>
      <c r="TDG92" s="1"/>
      <c r="TDH92" s="1"/>
      <c r="TDI92" s="1"/>
      <c r="TDJ92" s="1"/>
      <c r="TDK92" s="1"/>
      <c r="TDL92" s="1"/>
      <c r="TDM92" s="1"/>
      <c r="TDN92" s="1"/>
      <c r="TDO92" s="1"/>
      <c r="TDP92" s="1"/>
      <c r="TDQ92" s="1"/>
      <c r="TDR92" s="1"/>
      <c r="TDS92" s="1"/>
      <c r="TDT92" s="1"/>
      <c r="TDU92" s="1"/>
      <c r="TDV92" s="1"/>
      <c r="TDW92" s="1"/>
      <c r="TDX92" s="1"/>
      <c r="TDY92" s="1"/>
      <c r="TDZ92" s="1"/>
      <c r="TEA92" s="1"/>
      <c r="TEB92" s="1"/>
      <c r="TEC92" s="1"/>
      <c r="TED92" s="1"/>
      <c r="TEE92" s="1"/>
      <c r="TEF92" s="1"/>
      <c r="TEG92" s="1"/>
      <c r="TEH92" s="1"/>
      <c r="TEI92" s="1"/>
      <c r="TEJ92" s="1"/>
      <c r="TEK92" s="1"/>
      <c r="TEL92" s="1"/>
      <c r="TEM92" s="1"/>
      <c r="TEN92" s="1"/>
      <c r="TEO92" s="1"/>
      <c r="TEP92" s="1"/>
      <c r="TEQ92" s="1"/>
      <c r="TER92" s="1"/>
      <c r="TES92" s="1"/>
      <c r="TET92" s="1"/>
      <c r="TEU92" s="1"/>
      <c r="TEV92" s="1"/>
      <c r="TEW92" s="1"/>
      <c r="TEX92" s="1"/>
      <c r="TEY92" s="1"/>
      <c r="TEZ92" s="1"/>
      <c r="TFA92" s="1"/>
      <c r="TFB92" s="1"/>
      <c r="TFC92" s="1"/>
      <c r="TFD92" s="1"/>
      <c r="TFE92" s="1"/>
      <c r="TFF92" s="1"/>
      <c r="TFG92" s="1"/>
      <c r="TFH92" s="1"/>
      <c r="TFI92" s="1"/>
      <c r="TFJ92" s="1"/>
      <c r="TFK92" s="1"/>
      <c r="TFL92" s="1"/>
      <c r="TFM92" s="1"/>
      <c r="TFN92" s="1"/>
      <c r="TFO92" s="1"/>
      <c r="TFP92" s="1"/>
      <c r="TFQ92" s="1"/>
      <c r="TFR92" s="1"/>
      <c r="TFS92" s="1"/>
      <c r="TFT92" s="1"/>
      <c r="TFU92" s="1"/>
      <c r="TFV92" s="1"/>
      <c r="TFW92" s="1"/>
      <c r="TFX92" s="1"/>
      <c r="TFY92" s="1"/>
      <c r="TFZ92" s="1"/>
      <c r="TGA92" s="1"/>
      <c r="TGB92" s="1"/>
      <c r="TGC92" s="1"/>
      <c r="TGD92" s="1"/>
      <c r="TGE92" s="1"/>
      <c r="TGF92" s="1"/>
      <c r="TGG92" s="1"/>
      <c r="TGH92" s="1"/>
      <c r="TGI92" s="1"/>
      <c r="TGJ92" s="1"/>
      <c r="TGK92" s="1"/>
      <c r="TGL92" s="1"/>
      <c r="TGM92" s="1"/>
      <c r="TGN92" s="1"/>
      <c r="TGO92" s="1"/>
      <c r="TGP92" s="1"/>
      <c r="TGQ92" s="1"/>
      <c r="TGR92" s="1"/>
      <c r="TGS92" s="1"/>
      <c r="TGT92" s="1"/>
      <c r="TGU92" s="1"/>
      <c r="TGV92" s="1"/>
      <c r="TGW92" s="1"/>
      <c r="TGX92" s="1"/>
      <c r="TGY92" s="1"/>
      <c r="TGZ92" s="1"/>
      <c r="THA92" s="1"/>
      <c r="THB92" s="1"/>
      <c r="THC92" s="1"/>
      <c r="THD92" s="1"/>
      <c r="THE92" s="1"/>
      <c r="THF92" s="1"/>
      <c r="THG92" s="1"/>
      <c r="THH92" s="1"/>
      <c r="THI92" s="1"/>
      <c r="THJ92" s="1"/>
      <c r="THK92" s="1"/>
      <c r="THL92" s="1"/>
      <c r="THM92" s="1"/>
      <c r="THN92" s="1"/>
      <c r="THO92" s="1"/>
      <c r="THP92" s="1"/>
      <c r="THQ92" s="1"/>
      <c r="THR92" s="1"/>
      <c r="THS92" s="1"/>
      <c r="THT92" s="1"/>
      <c r="THU92" s="1"/>
      <c r="THV92" s="1"/>
      <c r="THW92" s="1"/>
      <c r="THX92" s="1"/>
      <c r="THY92" s="1"/>
      <c r="THZ92" s="1"/>
      <c r="TIA92" s="1"/>
      <c r="TIB92" s="1"/>
      <c r="TIC92" s="1"/>
      <c r="TID92" s="1"/>
      <c r="TIE92" s="1"/>
      <c r="TIF92" s="1"/>
      <c r="TIG92" s="1"/>
      <c r="TIH92" s="1"/>
      <c r="TII92" s="1"/>
      <c r="TIJ92" s="1"/>
      <c r="TIK92" s="1"/>
      <c r="TIL92" s="1"/>
      <c r="TIM92" s="1"/>
      <c r="TIN92" s="1"/>
      <c r="TIO92" s="1"/>
      <c r="TIP92" s="1"/>
      <c r="TIQ92" s="1"/>
      <c r="TIR92" s="1"/>
      <c r="TIS92" s="1"/>
      <c r="TIT92" s="1"/>
      <c r="TIU92" s="1"/>
      <c r="TIV92" s="1"/>
      <c r="TIW92" s="1"/>
      <c r="TIX92" s="1"/>
      <c r="TIY92" s="1"/>
      <c r="TIZ92" s="1"/>
      <c r="TJA92" s="1"/>
      <c r="TJB92" s="1"/>
      <c r="TJC92" s="1"/>
      <c r="TJD92" s="1"/>
      <c r="TJE92" s="1"/>
      <c r="TJF92" s="1"/>
      <c r="TJG92" s="1"/>
      <c r="TJH92" s="1"/>
      <c r="TJI92" s="1"/>
      <c r="TJJ92" s="1"/>
      <c r="TJK92" s="1"/>
      <c r="TJL92" s="1"/>
      <c r="TJM92" s="1"/>
      <c r="TJN92" s="1"/>
      <c r="TJO92" s="1"/>
      <c r="TJP92" s="1"/>
      <c r="TJQ92" s="1"/>
      <c r="TJR92" s="1"/>
      <c r="TJS92" s="1"/>
      <c r="TJT92" s="1"/>
      <c r="TJU92" s="1"/>
      <c r="TJV92" s="1"/>
      <c r="TJW92" s="1"/>
      <c r="TJX92" s="1"/>
      <c r="TJY92" s="1"/>
      <c r="TJZ92" s="1"/>
      <c r="TKA92" s="1"/>
      <c r="TKB92" s="1"/>
      <c r="TKC92" s="1"/>
      <c r="TKD92" s="1"/>
      <c r="TKE92" s="1"/>
      <c r="TKF92" s="1"/>
      <c r="TKG92" s="1"/>
      <c r="TKH92" s="1"/>
      <c r="TKI92" s="1"/>
      <c r="TKJ92" s="1"/>
      <c r="TKK92" s="1"/>
      <c r="TKL92" s="1"/>
      <c r="TKM92" s="1"/>
      <c r="TKN92" s="1"/>
      <c r="TKO92" s="1"/>
      <c r="TKP92" s="1"/>
      <c r="TKQ92" s="1"/>
      <c r="TKR92" s="1"/>
      <c r="TKS92" s="1"/>
      <c r="TKT92" s="1"/>
      <c r="TKU92" s="1"/>
      <c r="TKV92" s="1"/>
      <c r="TKW92" s="1"/>
      <c r="TKX92" s="1"/>
      <c r="TKY92" s="1"/>
      <c r="TKZ92" s="1"/>
      <c r="TLA92" s="1"/>
      <c r="TLB92" s="1"/>
      <c r="TLC92" s="1"/>
      <c r="TLD92" s="1"/>
      <c r="TLE92" s="1"/>
      <c r="TLF92" s="1"/>
      <c r="TLG92" s="1"/>
      <c r="TLH92" s="1"/>
      <c r="TLI92" s="1"/>
      <c r="TLJ92" s="1"/>
      <c r="TLK92" s="1"/>
      <c r="TLL92" s="1"/>
      <c r="TLM92" s="1"/>
      <c r="TLN92" s="1"/>
      <c r="TLO92" s="1"/>
      <c r="TLP92" s="1"/>
      <c r="TLQ92" s="1"/>
      <c r="TLR92" s="1"/>
      <c r="TLS92" s="1"/>
      <c r="TLT92" s="1"/>
      <c r="TLU92" s="1"/>
      <c r="TLV92" s="1"/>
      <c r="TLW92" s="1"/>
      <c r="TLX92" s="1"/>
      <c r="TLY92" s="1"/>
      <c r="TLZ92" s="1"/>
      <c r="TMA92" s="1"/>
      <c r="TMB92" s="1"/>
      <c r="TMC92" s="1"/>
      <c r="TMD92" s="1"/>
      <c r="TME92" s="1"/>
      <c r="TMF92" s="1"/>
      <c r="TMG92" s="1"/>
      <c r="TMH92" s="1"/>
      <c r="TMI92" s="1"/>
      <c r="TMJ92" s="1"/>
      <c r="TMK92" s="1"/>
      <c r="TML92" s="1"/>
      <c r="TMM92" s="1"/>
      <c r="TMN92" s="1"/>
      <c r="TMO92" s="1"/>
      <c r="TMP92" s="1"/>
      <c r="TMQ92" s="1"/>
      <c r="TMR92" s="1"/>
      <c r="TMS92" s="1"/>
      <c r="TMT92" s="1"/>
      <c r="TMU92" s="1"/>
      <c r="TMV92" s="1"/>
      <c r="TMW92" s="1"/>
      <c r="TMX92" s="1"/>
      <c r="TMY92" s="1"/>
      <c r="TMZ92" s="1"/>
      <c r="TNA92" s="1"/>
      <c r="TNB92" s="1"/>
      <c r="TNC92" s="1"/>
      <c r="TND92" s="1"/>
      <c r="TNE92" s="1"/>
      <c r="TNF92" s="1"/>
      <c r="TNG92" s="1"/>
      <c r="TNH92" s="1"/>
      <c r="TNI92" s="1"/>
      <c r="TNJ92" s="1"/>
      <c r="TNK92" s="1"/>
      <c r="TNL92" s="1"/>
      <c r="TNM92" s="1"/>
      <c r="TNN92" s="1"/>
      <c r="TNO92" s="1"/>
      <c r="TNP92" s="1"/>
      <c r="TNQ92" s="1"/>
      <c r="TNR92" s="1"/>
      <c r="TNS92" s="1"/>
      <c r="TNT92" s="1"/>
      <c r="TNU92" s="1"/>
      <c r="TNV92" s="1"/>
      <c r="TNW92" s="1"/>
      <c r="TNX92" s="1"/>
      <c r="TNY92" s="1"/>
      <c r="TNZ92" s="1"/>
      <c r="TOA92" s="1"/>
      <c r="TOB92" s="1"/>
      <c r="TOC92" s="1"/>
      <c r="TOD92" s="1"/>
      <c r="TOE92" s="1"/>
      <c r="TOF92" s="1"/>
      <c r="TOG92" s="1"/>
      <c r="TOH92" s="1"/>
      <c r="TOI92" s="1"/>
      <c r="TOJ92" s="1"/>
      <c r="TOK92" s="1"/>
      <c r="TOL92" s="1"/>
      <c r="TOM92" s="1"/>
      <c r="TON92" s="1"/>
      <c r="TOO92" s="1"/>
      <c r="TOP92" s="1"/>
      <c r="TOQ92" s="1"/>
      <c r="TOR92" s="1"/>
      <c r="TOS92" s="1"/>
      <c r="TOT92" s="1"/>
      <c r="TOU92" s="1"/>
      <c r="TOV92" s="1"/>
      <c r="TOW92" s="1"/>
      <c r="TOX92" s="1"/>
      <c r="TOY92" s="1"/>
      <c r="TOZ92" s="1"/>
      <c r="TPA92" s="1"/>
      <c r="TPB92" s="1"/>
      <c r="TPC92" s="1"/>
      <c r="TPD92" s="1"/>
      <c r="TPE92" s="1"/>
      <c r="TPF92" s="1"/>
      <c r="TPG92" s="1"/>
      <c r="TPH92" s="1"/>
      <c r="TPI92" s="1"/>
      <c r="TPJ92" s="1"/>
      <c r="TPK92" s="1"/>
      <c r="TPL92" s="1"/>
      <c r="TPM92" s="1"/>
      <c r="TPN92" s="1"/>
      <c r="TPO92" s="1"/>
      <c r="TPP92" s="1"/>
      <c r="TPQ92" s="1"/>
      <c r="TPR92" s="1"/>
      <c r="TPS92" s="1"/>
      <c r="TPT92" s="1"/>
      <c r="TPU92" s="1"/>
      <c r="TPV92" s="1"/>
      <c r="TPW92" s="1"/>
      <c r="TPX92" s="1"/>
      <c r="TPY92" s="1"/>
      <c r="TPZ92" s="1"/>
      <c r="TQA92" s="1"/>
      <c r="TQB92" s="1"/>
      <c r="TQC92" s="1"/>
      <c r="TQD92" s="1"/>
      <c r="TQE92" s="1"/>
      <c r="TQF92" s="1"/>
      <c r="TQG92" s="1"/>
      <c r="TQH92" s="1"/>
      <c r="TQI92" s="1"/>
      <c r="TQJ92" s="1"/>
      <c r="TQK92" s="1"/>
      <c r="TQL92" s="1"/>
      <c r="TQM92" s="1"/>
      <c r="TQN92" s="1"/>
      <c r="TQO92" s="1"/>
      <c r="TQP92" s="1"/>
      <c r="TQQ92" s="1"/>
      <c r="TQR92" s="1"/>
      <c r="TQS92" s="1"/>
      <c r="TQT92" s="1"/>
      <c r="TQU92" s="1"/>
      <c r="TQV92" s="1"/>
      <c r="TQW92" s="1"/>
      <c r="TQX92" s="1"/>
      <c r="TQY92" s="1"/>
      <c r="TQZ92" s="1"/>
      <c r="TRA92" s="1"/>
      <c r="TRB92" s="1"/>
      <c r="TRC92" s="1"/>
      <c r="TRD92" s="1"/>
      <c r="TRE92" s="1"/>
      <c r="TRF92" s="1"/>
      <c r="TRG92" s="1"/>
      <c r="TRH92" s="1"/>
      <c r="TRI92" s="1"/>
      <c r="TRJ92" s="1"/>
      <c r="TRK92" s="1"/>
      <c r="TRL92" s="1"/>
      <c r="TRM92" s="1"/>
      <c r="TRN92" s="1"/>
      <c r="TRO92" s="1"/>
      <c r="TRP92" s="1"/>
      <c r="TRQ92" s="1"/>
      <c r="TRR92" s="1"/>
      <c r="TRS92" s="1"/>
      <c r="TRT92" s="1"/>
      <c r="TRU92" s="1"/>
      <c r="TRV92" s="1"/>
      <c r="TRW92" s="1"/>
      <c r="TRX92" s="1"/>
      <c r="TRY92" s="1"/>
      <c r="TRZ92" s="1"/>
      <c r="TSA92" s="1"/>
      <c r="TSB92" s="1"/>
      <c r="TSC92" s="1"/>
      <c r="TSD92" s="1"/>
      <c r="TSE92" s="1"/>
      <c r="TSF92" s="1"/>
      <c r="TSG92" s="1"/>
      <c r="TSH92" s="1"/>
      <c r="TSI92" s="1"/>
      <c r="TSJ92" s="1"/>
      <c r="TSK92" s="1"/>
      <c r="TSL92" s="1"/>
      <c r="TSM92" s="1"/>
      <c r="TSN92" s="1"/>
      <c r="TSO92" s="1"/>
      <c r="TSP92" s="1"/>
      <c r="TSQ92" s="1"/>
      <c r="TSR92" s="1"/>
      <c r="TSS92" s="1"/>
      <c r="TST92" s="1"/>
      <c r="TSU92" s="1"/>
      <c r="TSV92" s="1"/>
      <c r="TSW92" s="1"/>
      <c r="TSX92" s="1"/>
      <c r="TSY92" s="1"/>
      <c r="TSZ92" s="1"/>
      <c r="TTA92" s="1"/>
      <c r="TTB92" s="1"/>
      <c r="TTC92" s="1"/>
      <c r="TTD92" s="1"/>
      <c r="TTE92" s="1"/>
      <c r="TTF92" s="1"/>
      <c r="TTG92" s="1"/>
      <c r="TTH92" s="1"/>
      <c r="TTI92" s="1"/>
      <c r="TTJ92" s="1"/>
      <c r="TTK92" s="1"/>
      <c r="TTL92" s="1"/>
      <c r="TTM92" s="1"/>
      <c r="TTN92" s="1"/>
      <c r="TTO92" s="1"/>
      <c r="TTP92" s="1"/>
      <c r="TTQ92" s="1"/>
      <c r="TTR92" s="1"/>
      <c r="TTS92" s="1"/>
      <c r="TTT92" s="1"/>
      <c r="TTU92" s="1"/>
      <c r="TTV92" s="1"/>
      <c r="TTW92" s="1"/>
      <c r="TTX92" s="1"/>
      <c r="TTY92" s="1"/>
      <c r="TTZ92" s="1"/>
      <c r="TUA92" s="1"/>
      <c r="TUB92" s="1"/>
      <c r="TUC92" s="1"/>
      <c r="TUD92" s="1"/>
      <c r="TUE92" s="1"/>
      <c r="TUF92" s="1"/>
      <c r="TUG92" s="1"/>
      <c r="TUH92" s="1"/>
      <c r="TUI92" s="1"/>
      <c r="TUJ92" s="1"/>
      <c r="TUK92" s="1"/>
      <c r="TUL92" s="1"/>
      <c r="TUM92" s="1"/>
      <c r="TUN92" s="1"/>
      <c r="TUO92" s="1"/>
      <c r="TUP92" s="1"/>
      <c r="TUQ92" s="1"/>
      <c r="TUR92" s="1"/>
      <c r="TUS92" s="1"/>
      <c r="TUT92" s="1"/>
      <c r="TUU92" s="1"/>
      <c r="TUV92" s="1"/>
      <c r="TUW92" s="1"/>
      <c r="TUX92" s="1"/>
      <c r="TUY92" s="1"/>
      <c r="TUZ92" s="1"/>
      <c r="TVA92" s="1"/>
      <c r="TVB92" s="1"/>
      <c r="TVC92" s="1"/>
      <c r="TVD92" s="1"/>
      <c r="TVE92" s="1"/>
      <c r="TVF92" s="1"/>
      <c r="TVG92" s="1"/>
      <c r="TVH92" s="1"/>
      <c r="TVI92" s="1"/>
      <c r="TVJ92" s="1"/>
      <c r="TVK92" s="1"/>
      <c r="TVL92" s="1"/>
      <c r="TVM92" s="1"/>
      <c r="TVN92" s="1"/>
      <c r="TVO92" s="1"/>
      <c r="TVP92" s="1"/>
      <c r="TVQ92" s="1"/>
      <c r="TVR92" s="1"/>
      <c r="TVS92" s="1"/>
      <c r="TVT92" s="1"/>
      <c r="TVU92" s="1"/>
      <c r="TVV92" s="1"/>
      <c r="TVW92" s="1"/>
      <c r="TVX92" s="1"/>
      <c r="TVY92" s="1"/>
      <c r="TVZ92" s="1"/>
      <c r="TWA92" s="1"/>
      <c r="TWB92" s="1"/>
      <c r="TWC92" s="1"/>
      <c r="TWD92" s="1"/>
      <c r="TWE92" s="1"/>
      <c r="TWF92" s="1"/>
      <c r="TWG92" s="1"/>
      <c r="TWH92" s="1"/>
      <c r="TWI92" s="1"/>
      <c r="TWJ92" s="1"/>
      <c r="TWK92" s="1"/>
      <c r="TWL92" s="1"/>
      <c r="TWM92" s="1"/>
      <c r="TWN92" s="1"/>
      <c r="TWO92" s="1"/>
      <c r="TWP92" s="1"/>
      <c r="TWQ92" s="1"/>
      <c r="TWR92" s="1"/>
      <c r="TWS92" s="1"/>
      <c r="TWT92" s="1"/>
      <c r="TWU92" s="1"/>
      <c r="TWV92" s="1"/>
      <c r="TWW92" s="1"/>
      <c r="TWX92" s="1"/>
      <c r="TWY92" s="1"/>
      <c r="TWZ92" s="1"/>
      <c r="TXA92" s="1"/>
      <c r="TXB92" s="1"/>
      <c r="TXC92" s="1"/>
      <c r="TXD92" s="1"/>
      <c r="TXE92" s="1"/>
      <c r="TXF92" s="1"/>
      <c r="TXG92" s="1"/>
      <c r="TXH92" s="1"/>
      <c r="TXI92" s="1"/>
      <c r="TXJ92" s="1"/>
      <c r="TXK92" s="1"/>
      <c r="TXL92" s="1"/>
      <c r="TXM92" s="1"/>
      <c r="TXN92" s="1"/>
      <c r="TXO92" s="1"/>
      <c r="TXP92" s="1"/>
      <c r="TXQ92" s="1"/>
      <c r="TXR92" s="1"/>
      <c r="TXS92" s="1"/>
      <c r="TXT92" s="1"/>
      <c r="TXU92" s="1"/>
      <c r="TXV92" s="1"/>
      <c r="TXW92" s="1"/>
      <c r="TXX92" s="1"/>
      <c r="TXY92" s="1"/>
      <c r="TXZ92" s="1"/>
      <c r="TYA92" s="1"/>
      <c r="TYB92" s="1"/>
      <c r="TYC92" s="1"/>
      <c r="TYD92" s="1"/>
      <c r="TYE92" s="1"/>
      <c r="TYF92" s="1"/>
      <c r="TYG92" s="1"/>
      <c r="TYH92" s="1"/>
      <c r="TYI92" s="1"/>
      <c r="TYJ92" s="1"/>
      <c r="TYK92" s="1"/>
      <c r="TYL92" s="1"/>
      <c r="TYM92" s="1"/>
      <c r="TYN92" s="1"/>
      <c r="TYO92" s="1"/>
      <c r="TYP92" s="1"/>
      <c r="TYQ92" s="1"/>
      <c r="TYR92" s="1"/>
      <c r="TYS92" s="1"/>
      <c r="TYT92" s="1"/>
      <c r="TYU92" s="1"/>
      <c r="TYV92" s="1"/>
      <c r="TYW92" s="1"/>
      <c r="TYX92" s="1"/>
      <c r="TYY92" s="1"/>
      <c r="TYZ92" s="1"/>
      <c r="TZA92" s="1"/>
      <c r="TZB92" s="1"/>
      <c r="TZC92" s="1"/>
      <c r="TZD92" s="1"/>
      <c r="TZE92" s="1"/>
      <c r="TZF92" s="1"/>
      <c r="TZG92" s="1"/>
      <c r="TZH92" s="1"/>
      <c r="TZI92" s="1"/>
      <c r="TZJ92" s="1"/>
      <c r="TZK92" s="1"/>
      <c r="TZL92" s="1"/>
      <c r="TZM92" s="1"/>
      <c r="TZN92" s="1"/>
      <c r="TZO92" s="1"/>
      <c r="TZP92" s="1"/>
      <c r="TZQ92" s="1"/>
      <c r="TZR92" s="1"/>
      <c r="TZS92" s="1"/>
      <c r="TZT92" s="1"/>
      <c r="TZU92" s="1"/>
      <c r="TZV92" s="1"/>
      <c r="TZW92" s="1"/>
      <c r="TZX92" s="1"/>
      <c r="TZY92" s="1"/>
      <c r="TZZ92" s="1"/>
      <c r="UAA92" s="1"/>
      <c r="UAB92" s="1"/>
      <c r="UAC92" s="1"/>
      <c r="UAD92" s="1"/>
      <c r="UAE92" s="1"/>
      <c r="UAF92" s="1"/>
      <c r="UAG92" s="1"/>
      <c r="UAH92" s="1"/>
      <c r="UAI92" s="1"/>
      <c r="UAJ92" s="1"/>
      <c r="UAK92" s="1"/>
      <c r="UAL92" s="1"/>
      <c r="UAM92" s="1"/>
      <c r="UAN92" s="1"/>
      <c r="UAO92" s="1"/>
      <c r="UAP92" s="1"/>
      <c r="UAQ92" s="1"/>
      <c r="UAR92" s="1"/>
      <c r="UAS92" s="1"/>
      <c r="UAT92" s="1"/>
      <c r="UAU92" s="1"/>
      <c r="UAV92" s="1"/>
      <c r="UAW92" s="1"/>
      <c r="UAX92" s="1"/>
      <c r="UAY92" s="1"/>
      <c r="UAZ92" s="1"/>
      <c r="UBA92" s="1"/>
      <c r="UBB92" s="1"/>
      <c r="UBC92" s="1"/>
      <c r="UBD92" s="1"/>
      <c r="UBE92" s="1"/>
      <c r="UBF92" s="1"/>
      <c r="UBG92" s="1"/>
      <c r="UBH92" s="1"/>
      <c r="UBI92" s="1"/>
      <c r="UBJ92" s="1"/>
      <c r="UBK92" s="1"/>
      <c r="UBL92" s="1"/>
      <c r="UBM92" s="1"/>
      <c r="UBN92" s="1"/>
      <c r="UBO92" s="1"/>
      <c r="UBP92" s="1"/>
      <c r="UBQ92" s="1"/>
      <c r="UBR92" s="1"/>
      <c r="UBS92" s="1"/>
      <c r="UBT92" s="1"/>
      <c r="UBU92" s="1"/>
      <c r="UBV92" s="1"/>
      <c r="UBW92" s="1"/>
      <c r="UBX92" s="1"/>
      <c r="UBY92" s="1"/>
      <c r="UBZ92" s="1"/>
      <c r="UCA92" s="1"/>
      <c r="UCB92" s="1"/>
      <c r="UCC92" s="1"/>
      <c r="UCD92" s="1"/>
      <c r="UCE92" s="1"/>
      <c r="UCF92" s="1"/>
      <c r="UCG92" s="1"/>
      <c r="UCH92" s="1"/>
      <c r="UCI92" s="1"/>
      <c r="UCJ92" s="1"/>
      <c r="UCK92" s="1"/>
      <c r="UCL92" s="1"/>
      <c r="UCM92" s="1"/>
      <c r="UCN92" s="1"/>
      <c r="UCO92" s="1"/>
      <c r="UCP92" s="1"/>
      <c r="UCQ92" s="1"/>
      <c r="UCR92" s="1"/>
      <c r="UCS92" s="1"/>
      <c r="UCT92" s="1"/>
      <c r="UCU92" s="1"/>
      <c r="UCV92" s="1"/>
      <c r="UCW92" s="1"/>
      <c r="UCX92" s="1"/>
      <c r="UCY92" s="1"/>
      <c r="UCZ92" s="1"/>
      <c r="UDA92" s="1"/>
      <c r="UDB92" s="1"/>
      <c r="UDC92" s="1"/>
      <c r="UDD92" s="1"/>
      <c r="UDE92" s="1"/>
      <c r="UDF92" s="1"/>
      <c r="UDG92" s="1"/>
      <c r="UDH92" s="1"/>
      <c r="UDI92" s="1"/>
      <c r="UDJ92" s="1"/>
      <c r="UDK92" s="1"/>
      <c r="UDL92" s="1"/>
      <c r="UDM92" s="1"/>
      <c r="UDN92" s="1"/>
      <c r="UDO92" s="1"/>
      <c r="UDP92" s="1"/>
      <c r="UDQ92" s="1"/>
      <c r="UDR92" s="1"/>
      <c r="UDS92" s="1"/>
      <c r="UDT92" s="1"/>
      <c r="UDU92" s="1"/>
      <c r="UDV92" s="1"/>
      <c r="UDW92" s="1"/>
      <c r="UDX92" s="1"/>
      <c r="UDY92" s="1"/>
      <c r="UDZ92" s="1"/>
      <c r="UEA92" s="1"/>
      <c r="UEB92" s="1"/>
      <c r="UEC92" s="1"/>
      <c r="UED92" s="1"/>
      <c r="UEE92" s="1"/>
      <c r="UEF92" s="1"/>
      <c r="UEG92" s="1"/>
      <c r="UEH92" s="1"/>
      <c r="UEI92" s="1"/>
      <c r="UEJ92" s="1"/>
      <c r="UEK92" s="1"/>
      <c r="UEL92" s="1"/>
      <c r="UEM92" s="1"/>
      <c r="UEN92" s="1"/>
      <c r="UEO92" s="1"/>
      <c r="UEP92" s="1"/>
      <c r="UEQ92" s="1"/>
      <c r="UER92" s="1"/>
      <c r="UES92" s="1"/>
      <c r="UET92" s="1"/>
      <c r="UEU92" s="1"/>
      <c r="UEV92" s="1"/>
      <c r="UEW92" s="1"/>
      <c r="UEX92" s="1"/>
      <c r="UEY92" s="1"/>
      <c r="UEZ92" s="1"/>
      <c r="UFA92" s="1"/>
      <c r="UFB92" s="1"/>
      <c r="UFC92" s="1"/>
      <c r="UFD92" s="1"/>
      <c r="UFE92" s="1"/>
      <c r="UFF92" s="1"/>
      <c r="UFG92" s="1"/>
      <c r="UFH92" s="1"/>
      <c r="UFI92" s="1"/>
      <c r="UFJ92" s="1"/>
      <c r="UFK92" s="1"/>
      <c r="UFL92" s="1"/>
      <c r="UFM92" s="1"/>
      <c r="UFN92" s="1"/>
      <c r="UFO92" s="1"/>
      <c r="UFP92" s="1"/>
      <c r="UFQ92" s="1"/>
      <c r="UFR92" s="1"/>
      <c r="UFS92" s="1"/>
      <c r="UFT92" s="1"/>
      <c r="UFU92" s="1"/>
      <c r="UFV92" s="1"/>
      <c r="UFW92" s="1"/>
      <c r="UFX92" s="1"/>
      <c r="UFY92" s="1"/>
      <c r="UFZ92" s="1"/>
      <c r="UGA92" s="1"/>
      <c r="UGB92" s="1"/>
      <c r="UGC92" s="1"/>
      <c r="UGD92" s="1"/>
      <c r="UGE92" s="1"/>
      <c r="UGF92" s="1"/>
      <c r="UGG92" s="1"/>
      <c r="UGH92" s="1"/>
      <c r="UGI92" s="1"/>
      <c r="UGJ92" s="1"/>
      <c r="UGK92" s="1"/>
      <c r="UGL92" s="1"/>
      <c r="UGM92" s="1"/>
      <c r="UGN92" s="1"/>
      <c r="UGO92" s="1"/>
      <c r="UGP92" s="1"/>
      <c r="UGQ92" s="1"/>
      <c r="UGR92" s="1"/>
      <c r="UGS92" s="1"/>
      <c r="UGT92" s="1"/>
      <c r="UGU92" s="1"/>
      <c r="UGV92" s="1"/>
      <c r="UGW92" s="1"/>
      <c r="UGX92" s="1"/>
      <c r="UGY92" s="1"/>
      <c r="UGZ92" s="1"/>
      <c r="UHA92" s="1"/>
      <c r="UHB92" s="1"/>
      <c r="UHC92" s="1"/>
      <c r="UHD92" s="1"/>
      <c r="UHE92" s="1"/>
      <c r="UHF92" s="1"/>
      <c r="UHG92" s="1"/>
      <c r="UHH92" s="1"/>
      <c r="UHI92" s="1"/>
      <c r="UHJ92" s="1"/>
      <c r="UHK92" s="1"/>
      <c r="UHL92" s="1"/>
      <c r="UHM92" s="1"/>
      <c r="UHN92" s="1"/>
      <c r="UHO92" s="1"/>
      <c r="UHP92" s="1"/>
      <c r="UHQ92" s="1"/>
      <c r="UHR92" s="1"/>
      <c r="UHS92" s="1"/>
      <c r="UHT92" s="1"/>
      <c r="UHU92" s="1"/>
      <c r="UHV92" s="1"/>
      <c r="UHW92" s="1"/>
      <c r="UHX92" s="1"/>
      <c r="UHY92" s="1"/>
      <c r="UHZ92" s="1"/>
      <c r="UIA92" s="1"/>
      <c r="UIB92" s="1"/>
      <c r="UIC92" s="1"/>
      <c r="UID92" s="1"/>
      <c r="UIE92" s="1"/>
      <c r="UIF92" s="1"/>
      <c r="UIG92" s="1"/>
      <c r="UIH92" s="1"/>
      <c r="UII92" s="1"/>
      <c r="UIJ92" s="1"/>
      <c r="UIK92" s="1"/>
      <c r="UIL92" s="1"/>
      <c r="UIM92" s="1"/>
      <c r="UIN92" s="1"/>
      <c r="UIO92" s="1"/>
      <c r="UIP92" s="1"/>
      <c r="UIQ92" s="1"/>
      <c r="UIR92" s="1"/>
      <c r="UIS92" s="1"/>
      <c r="UIT92" s="1"/>
      <c r="UIU92" s="1"/>
      <c r="UIV92" s="1"/>
      <c r="UIW92" s="1"/>
      <c r="UIX92" s="1"/>
      <c r="UIY92" s="1"/>
      <c r="UIZ92" s="1"/>
      <c r="UJA92" s="1"/>
      <c r="UJB92" s="1"/>
      <c r="UJC92" s="1"/>
      <c r="UJD92" s="1"/>
      <c r="UJE92" s="1"/>
      <c r="UJF92" s="1"/>
      <c r="UJG92" s="1"/>
      <c r="UJH92" s="1"/>
      <c r="UJI92" s="1"/>
      <c r="UJJ92" s="1"/>
      <c r="UJK92" s="1"/>
      <c r="UJL92" s="1"/>
      <c r="UJM92" s="1"/>
      <c r="UJN92" s="1"/>
      <c r="UJO92" s="1"/>
      <c r="UJP92" s="1"/>
      <c r="UJQ92" s="1"/>
      <c r="UJR92" s="1"/>
      <c r="UJS92" s="1"/>
      <c r="UJT92" s="1"/>
      <c r="UJU92" s="1"/>
      <c r="UJV92" s="1"/>
      <c r="UJW92" s="1"/>
      <c r="UJX92" s="1"/>
      <c r="UJY92" s="1"/>
      <c r="UJZ92" s="1"/>
      <c r="UKA92" s="1"/>
      <c r="UKB92" s="1"/>
      <c r="UKC92" s="1"/>
      <c r="UKD92" s="1"/>
      <c r="UKE92" s="1"/>
      <c r="UKF92" s="1"/>
      <c r="UKG92" s="1"/>
      <c r="UKH92" s="1"/>
      <c r="UKI92" s="1"/>
      <c r="UKJ92" s="1"/>
      <c r="UKK92" s="1"/>
      <c r="UKL92" s="1"/>
      <c r="UKM92" s="1"/>
      <c r="UKN92" s="1"/>
      <c r="UKO92" s="1"/>
      <c r="UKP92" s="1"/>
      <c r="UKQ92" s="1"/>
      <c r="UKR92" s="1"/>
      <c r="UKS92" s="1"/>
      <c r="UKT92" s="1"/>
      <c r="UKU92" s="1"/>
      <c r="UKV92" s="1"/>
      <c r="UKW92" s="1"/>
      <c r="UKX92" s="1"/>
      <c r="UKY92" s="1"/>
      <c r="UKZ92" s="1"/>
      <c r="ULA92" s="1"/>
      <c r="ULB92" s="1"/>
      <c r="ULC92" s="1"/>
      <c r="ULD92" s="1"/>
      <c r="ULE92" s="1"/>
      <c r="ULF92" s="1"/>
      <c r="ULG92" s="1"/>
      <c r="ULH92" s="1"/>
      <c r="ULI92" s="1"/>
      <c r="ULJ92" s="1"/>
      <c r="ULK92" s="1"/>
      <c r="ULL92" s="1"/>
      <c r="ULM92" s="1"/>
      <c r="ULN92" s="1"/>
      <c r="ULO92" s="1"/>
      <c r="ULP92" s="1"/>
      <c r="ULQ92" s="1"/>
      <c r="ULR92" s="1"/>
      <c r="ULS92" s="1"/>
      <c r="ULT92" s="1"/>
      <c r="ULU92" s="1"/>
      <c r="ULV92" s="1"/>
      <c r="ULW92" s="1"/>
      <c r="ULX92" s="1"/>
      <c r="ULY92" s="1"/>
      <c r="ULZ92" s="1"/>
      <c r="UMA92" s="1"/>
      <c r="UMB92" s="1"/>
      <c r="UMC92" s="1"/>
      <c r="UMD92" s="1"/>
      <c r="UME92" s="1"/>
      <c r="UMF92" s="1"/>
      <c r="UMG92" s="1"/>
      <c r="UMH92" s="1"/>
      <c r="UMI92" s="1"/>
      <c r="UMJ92" s="1"/>
      <c r="UMK92" s="1"/>
      <c r="UML92" s="1"/>
      <c r="UMM92" s="1"/>
      <c r="UMN92" s="1"/>
      <c r="UMO92" s="1"/>
      <c r="UMP92" s="1"/>
      <c r="UMQ92" s="1"/>
      <c r="UMR92" s="1"/>
      <c r="UMS92" s="1"/>
      <c r="UMT92" s="1"/>
      <c r="UMU92" s="1"/>
      <c r="UMV92" s="1"/>
      <c r="UMW92" s="1"/>
      <c r="UMX92" s="1"/>
      <c r="UMY92" s="1"/>
      <c r="UMZ92" s="1"/>
      <c r="UNA92" s="1"/>
      <c r="UNB92" s="1"/>
      <c r="UNC92" s="1"/>
      <c r="UND92" s="1"/>
      <c r="UNE92" s="1"/>
      <c r="UNF92" s="1"/>
      <c r="UNG92" s="1"/>
      <c r="UNH92" s="1"/>
      <c r="UNI92" s="1"/>
      <c r="UNJ92" s="1"/>
      <c r="UNK92" s="1"/>
      <c r="UNL92" s="1"/>
      <c r="UNM92" s="1"/>
      <c r="UNN92" s="1"/>
      <c r="UNO92" s="1"/>
      <c r="UNP92" s="1"/>
      <c r="UNQ92" s="1"/>
      <c r="UNR92" s="1"/>
      <c r="UNS92" s="1"/>
      <c r="UNT92" s="1"/>
      <c r="UNU92" s="1"/>
      <c r="UNV92" s="1"/>
      <c r="UNW92" s="1"/>
      <c r="UNX92" s="1"/>
      <c r="UNY92" s="1"/>
      <c r="UNZ92" s="1"/>
      <c r="UOA92" s="1"/>
      <c r="UOB92" s="1"/>
      <c r="UOC92" s="1"/>
      <c r="UOD92" s="1"/>
      <c r="UOE92" s="1"/>
      <c r="UOF92" s="1"/>
      <c r="UOG92" s="1"/>
      <c r="UOH92" s="1"/>
      <c r="UOI92" s="1"/>
      <c r="UOJ92" s="1"/>
      <c r="UOK92" s="1"/>
      <c r="UOL92" s="1"/>
      <c r="UOM92" s="1"/>
      <c r="UON92" s="1"/>
      <c r="UOO92" s="1"/>
      <c r="UOP92" s="1"/>
      <c r="UOQ92" s="1"/>
      <c r="UOR92" s="1"/>
      <c r="UOS92" s="1"/>
      <c r="UOT92" s="1"/>
      <c r="UOU92" s="1"/>
      <c r="UOV92" s="1"/>
      <c r="UOW92" s="1"/>
      <c r="UOX92" s="1"/>
      <c r="UOY92" s="1"/>
      <c r="UOZ92" s="1"/>
      <c r="UPA92" s="1"/>
      <c r="UPB92" s="1"/>
      <c r="UPC92" s="1"/>
      <c r="UPD92" s="1"/>
      <c r="UPE92" s="1"/>
      <c r="UPF92" s="1"/>
      <c r="UPG92" s="1"/>
      <c r="UPH92" s="1"/>
      <c r="UPI92" s="1"/>
      <c r="UPJ92" s="1"/>
      <c r="UPK92" s="1"/>
      <c r="UPL92" s="1"/>
      <c r="UPM92" s="1"/>
      <c r="UPN92" s="1"/>
      <c r="UPO92" s="1"/>
      <c r="UPP92" s="1"/>
      <c r="UPQ92" s="1"/>
      <c r="UPR92" s="1"/>
      <c r="UPS92" s="1"/>
      <c r="UPT92" s="1"/>
      <c r="UPU92" s="1"/>
      <c r="UPV92" s="1"/>
      <c r="UPW92" s="1"/>
      <c r="UPX92" s="1"/>
      <c r="UPY92" s="1"/>
      <c r="UPZ92" s="1"/>
      <c r="UQA92" s="1"/>
      <c r="UQB92" s="1"/>
      <c r="UQC92" s="1"/>
      <c r="UQD92" s="1"/>
      <c r="UQE92" s="1"/>
      <c r="UQF92" s="1"/>
      <c r="UQG92" s="1"/>
      <c r="UQH92" s="1"/>
      <c r="UQI92" s="1"/>
      <c r="UQJ92" s="1"/>
      <c r="UQK92" s="1"/>
      <c r="UQL92" s="1"/>
      <c r="UQM92" s="1"/>
      <c r="UQN92" s="1"/>
      <c r="UQO92" s="1"/>
      <c r="UQP92" s="1"/>
      <c r="UQQ92" s="1"/>
      <c r="UQR92" s="1"/>
      <c r="UQS92" s="1"/>
      <c r="UQT92" s="1"/>
      <c r="UQU92" s="1"/>
      <c r="UQV92" s="1"/>
      <c r="UQW92" s="1"/>
      <c r="UQX92" s="1"/>
      <c r="UQY92" s="1"/>
      <c r="UQZ92" s="1"/>
      <c r="URA92" s="1"/>
      <c r="URB92" s="1"/>
      <c r="URC92" s="1"/>
      <c r="URD92" s="1"/>
      <c r="URE92" s="1"/>
      <c r="URF92" s="1"/>
      <c r="URG92" s="1"/>
      <c r="URH92" s="1"/>
      <c r="URI92" s="1"/>
      <c r="URJ92" s="1"/>
      <c r="URK92" s="1"/>
      <c r="URL92" s="1"/>
      <c r="URM92" s="1"/>
      <c r="URN92" s="1"/>
      <c r="URO92" s="1"/>
      <c r="URP92" s="1"/>
      <c r="URQ92" s="1"/>
      <c r="URR92" s="1"/>
      <c r="URS92" s="1"/>
      <c r="URT92" s="1"/>
      <c r="URU92" s="1"/>
      <c r="URV92" s="1"/>
      <c r="URW92" s="1"/>
      <c r="URX92" s="1"/>
      <c r="URY92" s="1"/>
      <c r="URZ92" s="1"/>
      <c r="USA92" s="1"/>
      <c r="USB92" s="1"/>
      <c r="USC92" s="1"/>
      <c r="USD92" s="1"/>
      <c r="USE92" s="1"/>
      <c r="USF92" s="1"/>
      <c r="USG92" s="1"/>
      <c r="USH92" s="1"/>
      <c r="USI92" s="1"/>
      <c r="USJ92" s="1"/>
      <c r="USK92" s="1"/>
      <c r="USL92" s="1"/>
      <c r="USM92" s="1"/>
      <c r="USN92" s="1"/>
      <c r="USO92" s="1"/>
      <c r="USP92" s="1"/>
      <c r="USQ92" s="1"/>
      <c r="USR92" s="1"/>
      <c r="USS92" s="1"/>
      <c r="UST92" s="1"/>
      <c r="USU92" s="1"/>
      <c r="USV92" s="1"/>
      <c r="USW92" s="1"/>
      <c r="USX92" s="1"/>
      <c r="USY92" s="1"/>
      <c r="USZ92" s="1"/>
      <c r="UTA92" s="1"/>
      <c r="UTB92" s="1"/>
      <c r="UTC92" s="1"/>
      <c r="UTD92" s="1"/>
      <c r="UTE92" s="1"/>
      <c r="UTF92" s="1"/>
      <c r="UTG92" s="1"/>
      <c r="UTH92" s="1"/>
      <c r="UTI92" s="1"/>
      <c r="UTJ92" s="1"/>
      <c r="UTK92" s="1"/>
      <c r="UTL92" s="1"/>
      <c r="UTM92" s="1"/>
      <c r="UTN92" s="1"/>
      <c r="UTO92" s="1"/>
      <c r="UTP92" s="1"/>
      <c r="UTQ92" s="1"/>
      <c r="UTR92" s="1"/>
      <c r="UTS92" s="1"/>
      <c r="UTT92" s="1"/>
      <c r="UTU92" s="1"/>
      <c r="UTV92" s="1"/>
      <c r="UTW92" s="1"/>
      <c r="UTX92" s="1"/>
      <c r="UTY92" s="1"/>
      <c r="UTZ92" s="1"/>
      <c r="UUA92" s="1"/>
      <c r="UUB92" s="1"/>
      <c r="UUC92" s="1"/>
      <c r="UUD92" s="1"/>
      <c r="UUE92" s="1"/>
      <c r="UUF92" s="1"/>
      <c r="UUG92" s="1"/>
      <c r="UUH92" s="1"/>
      <c r="UUI92" s="1"/>
      <c r="UUJ92" s="1"/>
      <c r="UUK92" s="1"/>
      <c r="UUL92" s="1"/>
      <c r="UUM92" s="1"/>
      <c r="UUN92" s="1"/>
      <c r="UUO92" s="1"/>
      <c r="UUP92" s="1"/>
      <c r="UUQ92" s="1"/>
      <c r="UUR92" s="1"/>
      <c r="UUS92" s="1"/>
      <c r="UUT92" s="1"/>
      <c r="UUU92" s="1"/>
      <c r="UUV92" s="1"/>
      <c r="UUW92" s="1"/>
      <c r="UUX92" s="1"/>
      <c r="UUY92" s="1"/>
      <c r="UUZ92" s="1"/>
      <c r="UVA92" s="1"/>
      <c r="UVB92" s="1"/>
      <c r="UVC92" s="1"/>
      <c r="UVD92" s="1"/>
      <c r="UVE92" s="1"/>
      <c r="UVF92" s="1"/>
      <c r="UVG92" s="1"/>
      <c r="UVH92" s="1"/>
      <c r="UVI92" s="1"/>
      <c r="UVJ92" s="1"/>
      <c r="UVK92" s="1"/>
      <c r="UVL92" s="1"/>
      <c r="UVM92" s="1"/>
      <c r="UVN92" s="1"/>
      <c r="UVO92" s="1"/>
      <c r="UVP92" s="1"/>
      <c r="UVQ92" s="1"/>
      <c r="UVR92" s="1"/>
      <c r="UVS92" s="1"/>
      <c r="UVT92" s="1"/>
      <c r="UVU92" s="1"/>
      <c r="UVV92" s="1"/>
      <c r="UVW92" s="1"/>
      <c r="UVX92" s="1"/>
      <c r="UVY92" s="1"/>
      <c r="UVZ92" s="1"/>
      <c r="UWA92" s="1"/>
      <c r="UWB92" s="1"/>
      <c r="UWC92" s="1"/>
      <c r="UWD92" s="1"/>
      <c r="UWE92" s="1"/>
      <c r="UWF92" s="1"/>
      <c r="UWG92" s="1"/>
      <c r="UWH92" s="1"/>
      <c r="UWI92" s="1"/>
      <c r="UWJ92" s="1"/>
      <c r="UWK92" s="1"/>
      <c r="UWL92" s="1"/>
      <c r="UWM92" s="1"/>
      <c r="UWN92" s="1"/>
      <c r="UWO92" s="1"/>
      <c r="UWP92" s="1"/>
      <c r="UWQ92" s="1"/>
      <c r="UWR92" s="1"/>
      <c r="UWS92" s="1"/>
      <c r="UWT92" s="1"/>
      <c r="UWU92" s="1"/>
      <c r="UWV92" s="1"/>
      <c r="UWW92" s="1"/>
      <c r="UWX92" s="1"/>
      <c r="UWY92" s="1"/>
      <c r="UWZ92" s="1"/>
      <c r="UXA92" s="1"/>
      <c r="UXB92" s="1"/>
      <c r="UXC92" s="1"/>
      <c r="UXD92" s="1"/>
      <c r="UXE92" s="1"/>
      <c r="UXF92" s="1"/>
      <c r="UXG92" s="1"/>
      <c r="UXH92" s="1"/>
      <c r="UXI92" s="1"/>
      <c r="UXJ92" s="1"/>
      <c r="UXK92" s="1"/>
      <c r="UXL92" s="1"/>
      <c r="UXM92" s="1"/>
      <c r="UXN92" s="1"/>
      <c r="UXO92" s="1"/>
      <c r="UXP92" s="1"/>
      <c r="UXQ92" s="1"/>
      <c r="UXR92" s="1"/>
      <c r="UXS92" s="1"/>
      <c r="UXT92" s="1"/>
      <c r="UXU92" s="1"/>
      <c r="UXV92" s="1"/>
      <c r="UXW92" s="1"/>
      <c r="UXX92" s="1"/>
      <c r="UXY92" s="1"/>
      <c r="UXZ92" s="1"/>
      <c r="UYA92" s="1"/>
      <c r="UYB92" s="1"/>
      <c r="UYC92" s="1"/>
      <c r="UYD92" s="1"/>
      <c r="UYE92" s="1"/>
      <c r="UYF92" s="1"/>
      <c r="UYG92" s="1"/>
      <c r="UYH92" s="1"/>
      <c r="UYI92" s="1"/>
      <c r="UYJ92" s="1"/>
      <c r="UYK92" s="1"/>
      <c r="UYL92" s="1"/>
      <c r="UYM92" s="1"/>
      <c r="UYN92" s="1"/>
      <c r="UYO92" s="1"/>
      <c r="UYP92" s="1"/>
      <c r="UYQ92" s="1"/>
      <c r="UYR92" s="1"/>
      <c r="UYS92" s="1"/>
      <c r="UYT92" s="1"/>
      <c r="UYU92" s="1"/>
      <c r="UYV92" s="1"/>
      <c r="UYW92" s="1"/>
      <c r="UYX92" s="1"/>
      <c r="UYY92" s="1"/>
      <c r="UYZ92" s="1"/>
      <c r="UZA92" s="1"/>
      <c r="UZB92" s="1"/>
      <c r="UZC92" s="1"/>
      <c r="UZD92" s="1"/>
      <c r="UZE92" s="1"/>
      <c r="UZF92" s="1"/>
      <c r="UZG92" s="1"/>
      <c r="UZH92" s="1"/>
      <c r="UZI92" s="1"/>
      <c r="UZJ92" s="1"/>
      <c r="UZK92" s="1"/>
      <c r="UZL92" s="1"/>
      <c r="UZM92" s="1"/>
      <c r="UZN92" s="1"/>
      <c r="UZO92" s="1"/>
      <c r="UZP92" s="1"/>
      <c r="UZQ92" s="1"/>
      <c r="UZR92" s="1"/>
      <c r="UZS92" s="1"/>
      <c r="UZT92" s="1"/>
      <c r="UZU92" s="1"/>
      <c r="UZV92" s="1"/>
      <c r="UZW92" s="1"/>
      <c r="UZX92" s="1"/>
      <c r="UZY92" s="1"/>
      <c r="UZZ92" s="1"/>
      <c r="VAA92" s="1"/>
      <c r="VAB92" s="1"/>
      <c r="VAC92" s="1"/>
      <c r="VAD92" s="1"/>
      <c r="VAE92" s="1"/>
      <c r="VAF92" s="1"/>
      <c r="VAG92" s="1"/>
      <c r="VAH92" s="1"/>
      <c r="VAI92" s="1"/>
      <c r="VAJ92" s="1"/>
      <c r="VAK92" s="1"/>
      <c r="VAL92" s="1"/>
      <c r="VAM92" s="1"/>
      <c r="VAN92" s="1"/>
      <c r="VAO92" s="1"/>
      <c r="VAP92" s="1"/>
      <c r="VAQ92" s="1"/>
      <c r="VAR92" s="1"/>
      <c r="VAS92" s="1"/>
      <c r="VAT92" s="1"/>
      <c r="VAU92" s="1"/>
      <c r="VAV92" s="1"/>
      <c r="VAW92" s="1"/>
      <c r="VAX92" s="1"/>
      <c r="VAY92" s="1"/>
      <c r="VAZ92" s="1"/>
      <c r="VBA92" s="1"/>
      <c r="VBB92" s="1"/>
      <c r="VBC92" s="1"/>
      <c r="VBD92" s="1"/>
      <c r="VBE92" s="1"/>
      <c r="VBF92" s="1"/>
      <c r="VBG92" s="1"/>
      <c r="VBH92" s="1"/>
      <c r="VBI92" s="1"/>
      <c r="VBJ92" s="1"/>
      <c r="VBK92" s="1"/>
      <c r="VBL92" s="1"/>
      <c r="VBM92" s="1"/>
      <c r="VBN92" s="1"/>
      <c r="VBO92" s="1"/>
      <c r="VBP92" s="1"/>
      <c r="VBQ92" s="1"/>
      <c r="VBR92" s="1"/>
      <c r="VBS92" s="1"/>
      <c r="VBT92" s="1"/>
      <c r="VBU92" s="1"/>
      <c r="VBV92" s="1"/>
      <c r="VBW92" s="1"/>
      <c r="VBX92" s="1"/>
      <c r="VBY92" s="1"/>
      <c r="VBZ92" s="1"/>
      <c r="VCA92" s="1"/>
      <c r="VCB92" s="1"/>
      <c r="VCC92" s="1"/>
      <c r="VCD92" s="1"/>
      <c r="VCE92" s="1"/>
      <c r="VCF92" s="1"/>
      <c r="VCG92" s="1"/>
      <c r="VCH92" s="1"/>
      <c r="VCI92" s="1"/>
      <c r="VCJ92" s="1"/>
      <c r="VCK92" s="1"/>
      <c r="VCL92" s="1"/>
      <c r="VCM92" s="1"/>
      <c r="VCN92" s="1"/>
      <c r="VCO92" s="1"/>
      <c r="VCP92" s="1"/>
      <c r="VCQ92" s="1"/>
      <c r="VCR92" s="1"/>
      <c r="VCS92" s="1"/>
      <c r="VCT92" s="1"/>
      <c r="VCU92" s="1"/>
      <c r="VCV92" s="1"/>
      <c r="VCW92" s="1"/>
      <c r="VCX92" s="1"/>
      <c r="VCY92" s="1"/>
      <c r="VCZ92" s="1"/>
      <c r="VDA92" s="1"/>
      <c r="VDB92" s="1"/>
      <c r="VDC92" s="1"/>
      <c r="VDD92" s="1"/>
      <c r="VDE92" s="1"/>
      <c r="VDF92" s="1"/>
      <c r="VDG92" s="1"/>
      <c r="VDH92" s="1"/>
      <c r="VDI92" s="1"/>
      <c r="VDJ92" s="1"/>
      <c r="VDK92" s="1"/>
      <c r="VDL92" s="1"/>
      <c r="VDM92" s="1"/>
      <c r="VDN92" s="1"/>
      <c r="VDO92" s="1"/>
      <c r="VDP92" s="1"/>
      <c r="VDQ92" s="1"/>
      <c r="VDR92" s="1"/>
      <c r="VDS92" s="1"/>
      <c r="VDT92" s="1"/>
      <c r="VDU92" s="1"/>
      <c r="VDV92" s="1"/>
      <c r="VDW92" s="1"/>
      <c r="VDX92" s="1"/>
      <c r="VDY92" s="1"/>
      <c r="VDZ92" s="1"/>
      <c r="VEA92" s="1"/>
      <c r="VEB92" s="1"/>
      <c r="VEC92" s="1"/>
      <c r="VED92" s="1"/>
      <c r="VEE92" s="1"/>
      <c r="VEF92" s="1"/>
      <c r="VEG92" s="1"/>
      <c r="VEH92" s="1"/>
      <c r="VEI92" s="1"/>
      <c r="VEJ92" s="1"/>
      <c r="VEK92" s="1"/>
      <c r="VEL92" s="1"/>
      <c r="VEM92" s="1"/>
      <c r="VEN92" s="1"/>
      <c r="VEO92" s="1"/>
      <c r="VEP92" s="1"/>
      <c r="VEQ92" s="1"/>
      <c r="VER92" s="1"/>
      <c r="VES92" s="1"/>
      <c r="VET92" s="1"/>
      <c r="VEU92" s="1"/>
      <c r="VEV92" s="1"/>
      <c r="VEW92" s="1"/>
      <c r="VEX92" s="1"/>
      <c r="VEY92" s="1"/>
      <c r="VEZ92" s="1"/>
      <c r="VFA92" s="1"/>
      <c r="VFB92" s="1"/>
      <c r="VFC92" s="1"/>
      <c r="VFD92" s="1"/>
      <c r="VFE92" s="1"/>
      <c r="VFF92" s="1"/>
      <c r="VFG92" s="1"/>
      <c r="VFH92" s="1"/>
      <c r="VFI92" s="1"/>
      <c r="VFJ92" s="1"/>
      <c r="VFK92" s="1"/>
      <c r="VFL92" s="1"/>
      <c r="VFM92" s="1"/>
      <c r="VFN92" s="1"/>
      <c r="VFO92" s="1"/>
      <c r="VFP92" s="1"/>
      <c r="VFQ92" s="1"/>
      <c r="VFR92" s="1"/>
      <c r="VFS92" s="1"/>
      <c r="VFT92" s="1"/>
      <c r="VFU92" s="1"/>
      <c r="VFV92" s="1"/>
      <c r="VFW92" s="1"/>
      <c r="VFX92" s="1"/>
      <c r="VFY92" s="1"/>
      <c r="VFZ92" s="1"/>
      <c r="VGA92" s="1"/>
      <c r="VGB92" s="1"/>
      <c r="VGC92" s="1"/>
      <c r="VGD92" s="1"/>
      <c r="VGE92" s="1"/>
      <c r="VGF92" s="1"/>
      <c r="VGG92" s="1"/>
      <c r="VGH92" s="1"/>
      <c r="VGI92" s="1"/>
      <c r="VGJ92" s="1"/>
      <c r="VGK92" s="1"/>
      <c r="VGL92" s="1"/>
      <c r="VGM92" s="1"/>
      <c r="VGN92" s="1"/>
      <c r="VGO92" s="1"/>
      <c r="VGP92" s="1"/>
      <c r="VGQ92" s="1"/>
      <c r="VGR92" s="1"/>
      <c r="VGS92" s="1"/>
      <c r="VGT92" s="1"/>
      <c r="VGU92" s="1"/>
      <c r="VGV92" s="1"/>
      <c r="VGW92" s="1"/>
      <c r="VGX92" s="1"/>
      <c r="VGY92" s="1"/>
      <c r="VGZ92" s="1"/>
      <c r="VHA92" s="1"/>
      <c r="VHB92" s="1"/>
      <c r="VHC92" s="1"/>
      <c r="VHD92" s="1"/>
      <c r="VHE92" s="1"/>
      <c r="VHF92" s="1"/>
      <c r="VHG92" s="1"/>
      <c r="VHH92" s="1"/>
      <c r="VHI92" s="1"/>
      <c r="VHJ92" s="1"/>
      <c r="VHK92" s="1"/>
      <c r="VHL92" s="1"/>
      <c r="VHM92" s="1"/>
      <c r="VHN92" s="1"/>
      <c r="VHO92" s="1"/>
      <c r="VHP92" s="1"/>
      <c r="VHQ92" s="1"/>
      <c r="VHR92" s="1"/>
      <c r="VHS92" s="1"/>
      <c r="VHT92" s="1"/>
      <c r="VHU92" s="1"/>
      <c r="VHV92" s="1"/>
      <c r="VHW92" s="1"/>
      <c r="VHX92" s="1"/>
      <c r="VHY92" s="1"/>
      <c r="VHZ92" s="1"/>
      <c r="VIA92" s="1"/>
      <c r="VIB92" s="1"/>
      <c r="VIC92" s="1"/>
      <c r="VID92" s="1"/>
      <c r="VIE92" s="1"/>
      <c r="VIF92" s="1"/>
      <c r="VIG92" s="1"/>
      <c r="VIH92" s="1"/>
      <c r="VII92" s="1"/>
      <c r="VIJ92" s="1"/>
      <c r="VIK92" s="1"/>
      <c r="VIL92" s="1"/>
      <c r="VIM92" s="1"/>
      <c r="VIN92" s="1"/>
      <c r="VIO92" s="1"/>
      <c r="VIP92" s="1"/>
      <c r="VIQ92" s="1"/>
      <c r="VIR92" s="1"/>
      <c r="VIS92" s="1"/>
      <c r="VIT92" s="1"/>
      <c r="VIU92" s="1"/>
      <c r="VIV92" s="1"/>
      <c r="VIW92" s="1"/>
      <c r="VIX92" s="1"/>
      <c r="VIY92" s="1"/>
      <c r="VIZ92" s="1"/>
      <c r="VJA92" s="1"/>
      <c r="VJB92" s="1"/>
      <c r="VJC92" s="1"/>
      <c r="VJD92" s="1"/>
      <c r="VJE92" s="1"/>
      <c r="VJF92" s="1"/>
      <c r="VJG92" s="1"/>
      <c r="VJH92" s="1"/>
      <c r="VJI92" s="1"/>
      <c r="VJJ92" s="1"/>
      <c r="VJK92" s="1"/>
      <c r="VJL92" s="1"/>
      <c r="VJM92" s="1"/>
      <c r="VJN92" s="1"/>
      <c r="VJO92" s="1"/>
      <c r="VJP92" s="1"/>
      <c r="VJQ92" s="1"/>
      <c r="VJR92" s="1"/>
      <c r="VJS92" s="1"/>
      <c r="VJT92" s="1"/>
      <c r="VJU92" s="1"/>
      <c r="VJV92" s="1"/>
      <c r="VJW92" s="1"/>
      <c r="VJX92" s="1"/>
      <c r="VJY92" s="1"/>
      <c r="VJZ92" s="1"/>
      <c r="VKA92" s="1"/>
      <c r="VKB92" s="1"/>
      <c r="VKC92" s="1"/>
      <c r="VKD92" s="1"/>
      <c r="VKE92" s="1"/>
      <c r="VKF92" s="1"/>
      <c r="VKG92" s="1"/>
      <c r="VKH92" s="1"/>
      <c r="VKI92" s="1"/>
      <c r="VKJ92" s="1"/>
      <c r="VKK92" s="1"/>
      <c r="VKL92" s="1"/>
      <c r="VKM92" s="1"/>
      <c r="VKN92" s="1"/>
      <c r="VKO92" s="1"/>
      <c r="VKP92" s="1"/>
      <c r="VKQ92" s="1"/>
      <c r="VKR92" s="1"/>
      <c r="VKS92" s="1"/>
      <c r="VKT92" s="1"/>
      <c r="VKU92" s="1"/>
      <c r="VKV92" s="1"/>
      <c r="VKW92" s="1"/>
      <c r="VKX92" s="1"/>
      <c r="VKY92" s="1"/>
      <c r="VKZ92" s="1"/>
      <c r="VLA92" s="1"/>
      <c r="VLB92" s="1"/>
      <c r="VLC92" s="1"/>
      <c r="VLD92" s="1"/>
      <c r="VLE92" s="1"/>
      <c r="VLF92" s="1"/>
      <c r="VLG92" s="1"/>
      <c r="VLH92" s="1"/>
      <c r="VLI92" s="1"/>
      <c r="VLJ92" s="1"/>
      <c r="VLK92" s="1"/>
      <c r="VLL92" s="1"/>
      <c r="VLM92" s="1"/>
      <c r="VLN92" s="1"/>
      <c r="VLO92" s="1"/>
      <c r="VLP92" s="1"/>
      <c r="VLQ92" s="1"/>
      <c r="VLR92" s="1"/>
      <c r="VLS92" s="1"/>
      <c r="VLT92" s="1"/>
      <c r="VLU92" s="1"/>
      <c r="VLV92" s="1"/>
      <c r="VLW92" s="1"/>
      <c r="VLX92" s="1"/>
      <c r="VLY92" s="1"/>
      <c r="VLZ92" s="1"/>
      <c r="VMA92" s="1"/>
      <c r="VMB92" s="1"/>
      <c r="VMC92" s="1"/>
      <c r="VMD92" s="1"/>
      <c r="VME92" s="1"/>
      <c r="VMF92" s="1"/>
      <c r="VMG92" s="1"/>
      <c r="VMH92" s="1"/>
      <c r="VMI92" s="1"/>
      <c r="VMJ92" s="1"/>
      <c r="VMK92" s="1"/>
      <c r="VML92" s="1"/>
      <c r="VMM92" s="1"/>
      <c r="VMN92" s="1"/>
      <c r="VMO92" s="1"/>
      <c r="VMP92" s="1"/>
      <c r="VMQ92" s="1"/>
      <c r="VMR92" s="1"/>
      <c r="VMS92" s="1"/>
      <c r="VMT92" s="1"/>
      <c r="VMU92" s="1"/>
      <c r="VMV92" s="1"/>
      <c r="VMW92" s="1"/>
      <c r="VMX92" s="1"/>
      <c r="VMY92" s="1"/>
      <c r="VMZ92" s="1"/>
      <c r="VNA92" s="1"/>
      <c r="VNB92" s="1"/>
      <c r="VNC92" s="1"/>
      <c r="VND92" s="1"/>
      <c r="VNE92" s="1"/>
      <c r="VNF92" s="1"/>
      <c r="VNG92" s="1"/>
      <c r="VNH92" s="1"/>
      <c r="VNI92" s="1"/>
      <c r="VNJ92" s="1"/>
      <c r="VNK92" s="1"/>
      <c r="VNL92" s="1"/>
      <c r="VNM92" s="1"/>
      <c r="VNN92" s="1"/>
      <c r="VNO92" s="1"/>
      <c r="VNP92" s="1"/>
      <c r="VNQ92" s="1"/>
      <c r="VNR92" s="1"/>
      <c r="VNS92" s="1"/>
      <c r="VNT92" s="1"/>
      <c r="VNU92" s="1"/>
      <c r="VNV92" s="1"/>
      <c r="VNW92" s="1"/>
      <c r="VNX92" s="1"/>
      <c r="VNY92" s="1"/>
      <c r="VNZ92" s="1"/>
      <c r="VOA92" s="1"/>
      <c r="VOB92" s="1"/>
      <c r="VOC92" s="1"/>
      <c r="VOD92" s="1"/>
      <c r="VOE92" s="1"/>
      <c r="VOF92" s="1"/>
      <c r="VOG92" s="1"/>
      <c r="VOH92" s="1"/>
      <c r="VOI92" s="1"/>
      <c r="VOJ92" s="1"/>
      <c r="VOK92" s="1"/>
      <c r="VOL92" s="1"/>
      <c r="VOM92" s="1"/>
      <c r="VON92" s="1"/>
      <c r="VOO92" s="1"/>
      <c r="VOP92" s="1"/>
      <c r="VOQ92" s="1"/>
      <c r="VOR92" s="1"/>
      <c r="VOS92" s="1"/>
      <c r="VOT92" s="1"/>
      <c r="VOU92" s="1"/>
      <c r="VOV92" s="1"/>
      <c r="VOW92" s="1"/>
      <c r="VOX92" s="1"/>
      <c r="VOY92" s="1"/>
      <c r="VOZ92" s="1"/>
      <c r="VPA92" s="1"/>
      <c r="VPB92" s="1"/>
      <c r="VPC92" s="1"/>
      <c r="VPD92" s="1"/>
      <c r="VPE92" s="1"/>
      <c r="VPF92" s="1"/>
      <c r="VPG92" s="1"/>
      <c r="VPH92" s="1"/>
      <c r="VPI92" s="1"/>
      <c r="VPJ92" s="1"/>
      <c r="VPK92" s="1"/>
      <c r="VPL92" s="1"/>
      <c r="VPM92" s="1"/>
      <c r="VPN92" s="1"/>
      <c r="VPO92" s="1"/>
      <c r="VPP92" s="1"/>
      <c r="VPQ92" s="1"/>
      <c r="VPR92" s="1"/>
      <c r="VPS92" s="1"/>
      <c r="VPT92" s="1"/>
      <c r="VPU92" s="1"/>
      <c r="VPV92" s="1"/>
      <c r="VPW92" s="1"/>
      <c r="VPX92" s="1"/>
      <c r="VPY92" s="1"/>
      <c r="VPZ92" s="1"/>
      <c r="VQA92" s="1"/>
      <c r="VQB92" s="1"/>
      <c r="VQC92" s="1"/>
      <c r="VQD92" s="1"/>
      <c r="VQE92" s="1"/>
      <c r="VQF92" s="1"/>
      <c r="VQG92" s="1"/>
      <c r="VQH92" s="1"/>
      <c r="VQI92" s="1"/>
      <c r="VQJ92" s="1"/>
      <c r="VQK92" s="1"/>
      <c r="VQL92" s="1"/>
      <c r="VQM92" s="1"/>
      <c r="VQN92" s="1"/>
      <c r="VQO92" s="1"/>
      <c r="VQP92" s="1"/>
      <c r="VQQ92" s="1"/>
      <c r="VQR92" s="1"/>
      <c r="VQS92" s="1"/>
      <c r="VQT92" s="1"/>
      <c r="VQU92" s="1"/>
      <c r="VQV92" s="1"/>
      <c r="VQW92" s="1"/>
      <c r="VQX92" s="1"/>
      <c r="VQY92" s="1"/>
      <c r="VQZ92" s="1"/>
      <c r="VRA92" s="1"/>
      <c r="VRB92" s="1"/>
      <c r="VRC92" s="1"/>
      <c r="VRD92" s="1"/>
      <c r="VRE92" s="1"/>
      <c r="VRF92" s="1"/>
      <c r="VRG92" s="1"/>
      <c r="VRH92" s="1"/>
      <c r="VRI92" s="1"/>
      <c r="VRJ92" s="1"/>
      <c r="VRK92" s="1"/>
      <c r="VRL92" s="1"/>
      <c r="VRM92" s="1"/>
      <c r="VRN92" s="1"/>
      <c r="VRO92" s="1"/>
      <c r="VRP92" s="1"/>
      <c r="VRQ92" s="1"/>
      <c r="VRR92" s="1"/>
      <c r="VRS92" s="1"/>
      <c r="VRT92" s="1"/>
      <c r="VRU92" s="1"/>
      <c r="VRV92" s="1"/>
      <c r="VRW92" s="1"/>
      <c r="VRX92" s="1"/>
      <c r="VRY92" s="1"/>
      <c r="VRZ92" s="1"/>
      <c r="VSA92" s="1"/>
      <c r="VSB92" s="1"/>
      <c r="VSC92" s="1"/>
      <c r="VSD92" s="1"/>
      <c r="VSE92" s="1"/>
      <c r="VSF92" s="1"/>
      <c r="VSG92" s="1"/>
      <c r="VSH92" s="1"/>
      <c r="VSI92" s="1"/>
      <c r="VSJ92" s="1"/>
      <c r="VSK92" s="1"/>
      <c r="VSL92" s="1"/>
      <c r="VSM92" s="1"/>
      <c r="VSN92" s="1"/>
      <c r="VSO92" s="1"/>
      <c r="VSP92" s="1"/>
      <c r="VSQ92" s="1"/>
      <c r="VSR92" s="1"/>
      <c r="VSS92" s="1"/>
      <c r="VST92" s="1"/>
      <c r="VSU92" s="1"/>
      <c r="VSV92" s="1"/>
      <c r="VSW92" s="1"/>
      <c r="VSX92" s="1"/>
      <c r="VSY92" s="1"/>
      <c r="VSZ92" s="1"/>
      <c r="VTA92" s="1"/>
      <c r="VTB92" s="1"/>
      <c r="VTC92" s="1"/>
      <c r="VTD92" s="1"/>
      <c r="VTE92" s="1"/>
      <c r="VTF92" s="1"/>
      <c r="VTG92" s="1"/>
      <c r="VTH92" s="1"/>
      <c r="VTI92" s="1"/>
      <c r="VTJ92" s="1"/>
      <c r="VTK92" s="1"/>
      <c r="VTL92" s="1"/>
      <c r="VTM92" s="1"/>
      <c r="VTN92" s="1"/>
      <c r="VTO92" s="1"/>
      <c r="VTP92" s="1"/>
      <c r="VTQ92" s="1"/>
      <c r="VTR92" s="1"/>
      <c r="VTS92" s="1"/>
      <c r="VTT92" s="1"/>
      <c r="VTU92" s="1"/>
      <c r="VTV92" s="1"/>
      <c r="VTW92" s="1"/>
      <c r="VTX92" s="1"/>
      <c r="VTY92" s="1"/>
      <c r="VTZ92" s="1"/>
      <c r="VUA92" s="1"/>
      <c r="VUB92" s="1"/>
      <c r="VUC92" s="1"/>
      <c r="VUD92" s="1"/>
      <c r="VUE92" s="1"/>
      <c r="VUF92" s="1"/>
      <c r="VUG92" s="1"/>
      <c r="VUH92" s="1"/>
      <c r="VUI92" s="1"/>
      <c r="VUJ92" s="1"/>
      <c r="VUK92" s="1"/>
      <c r="VUL92" s="1"/>
      <c r="VUM92" s="1"/>
      <c r="VUN92" s="1"/>
      <c r="VUO92" s="1"/>
      <c r="VUP92" s="1"/>
      <c r="VUQ92" s="1"/>
      <c r="VUR92" s="1"/>
      <c r="VUS92" s="1"/>
      <c r="VUT92" s="1"/>
      <c r="VUU92" s="1"/>
      <c r="VUV92" s="1"/>
      <c r="VUW92" s="1"/>
      <c r="VUX92" s="1"/>
      <c r="VUY92" s="1"/>
      <c r="VUZ92" s="1"/>
      <c r="VVA92" s="1"/>
      <c r="VVB92" s="1"/>
      <c r="VVC92" s="1"/>
      <c r="VVD92" s="1"/>
      <c r="VVE92" s="1"/>
      <c r="VVF92" s="1"/>
      <c r="VVG92" s="1"/>
      <c r="VVH92" s="1"/>
      <c r="VVI92" s="1"/>
      <c r="VVJ92" s="1"/>
      <c r="VVK92" s="1"/>
      <c r="VVL92" s="1"/>
      <c r="VVM92" s="1"/>
      <c r="VVN92" s="1"/>
      <c r="VVO92" s="1"/>
      <c r="VVP92" s="1"/>
      <c r="VVQ92" s="1"/>
      <c r="VVR92" s="1"/>
      <c r="VVS92" s="1"/>
      <c r="VVT92" s="1"/>
      <c r="VVU92" s="1"/>
      <c r="VVV92" s="1"/>
      <c r="VVW92" s="1"/>
      <c r="VVX92" s="1"/>
      <c r="VVY92" s="1"/>
      <c r="VVZ92" s="1"/>
      <c r="VWA92" s="1"/>
      <c r="VWB92" s="1"/>
      <c r="VWC92" s="1"/>
      <c r="VWD92" s="1"/>
      <c r="VWE92" s="1"/>
      <c r="VWF92" s="1"/>
      <c r="VWG92" s="1"/>
      <c r="VWH92" s="1"/>
      <c r="VWI92" s="1"/>
      <c r="VWJ92" s="1"/>
      <c r="VWK92" s="1"/>
      <c r="VWL92" s="1"/>
      <c r="VWM92" s="1"/>
      <c r="VWN92" s="1"/>
      <c r="VWO92" s="1"/>
      <c r="VWP92" s="1"/>
      <c r="VWQ92" s="1"/>
      <c r="VWR92" s="1"/>
      <c r="VWS92" s="1"/>
      <c r="VWT92" s="1"/>
      <c r="VWU92" s="1"/>
      <c r="VWV92" s="1"/>
      <c r="VWW92" s="1"/>
      <c r="VWX92" s="1"/>
      <c r="VWY92" s="1"/>
      <c r="VWZ92" s="1"/>
      <c r="VXA92" s="1"/>
      <c r="VXB92" s="1"/>
      <c r="VXC92" s="1"/>
      <c r="VXD92" s="1"/>
      <c r="VXE92" s="1"/>
      <c r="VXF92" s="1"/>
      <c r="VXG92" s="1"/>
      <c r="VXH92" s="1"/>
      <c r="VXI92" s="1"/>
      <c r="VXJ92" s="1"/>
      <c r="VXK92" s="1"/>
      <c r="VXL92" s="1"/>
      <c r="VXM92" s="1"/>
      <c r="VXN92" s="1"/>
      <c r="VXO92" s="1"/>
      <c r="VXP92" s="1"/>
      <c r="VXQ92" s="1"/>
      <c r="VXR92" s="1"/>
      <c r="VXS92" s="1"/>
      <c r="VXT92" s="1"/>
      <c r="VXU92" s="1"/>
      <c r="VXV92" s="1"/>
      <c r="VXW92" s="1"/>
      <c r="VXX92" s="1"/>
      <c r="VXY92" s="1"/>
      <c r="VXZ92" s="1"/>
      <c r="VYA92" s="1"/>
      <c r="VYB92" s="1"/>
      <c r="VYC92" s="1"/>
      <c r="VYD92" s="1"/>
      <c r="VYE92" s="1"/>
      <c r="VYF92" s="1"/>
      <c r="VYG92" s="1"/>
      <c r="VYH92" s="1"/>
      <c r="VYI92" s="1"/>
      <c r="VYJ92" s="1"/>
      <c r="VYK92" s="1"/>
      <c r="VYL92" s="1"/>
      <c r="VYM92" s="1"/>
      <c r="VYN92" s="1"/>
      <c r="VYO92" s="1"/>
      <c r="VYP92" s="1"/>
      <c r="VYQ92" s="1"/>
      <c r="VYR92" s="1"/>
      <c r="VYS92" s="1"/>
      <c r="VYT92" s="1"/>
      <c r="VYU92" s="1"/>
      <c r="VYV92" s="1"/>
      <c r="VYW92" s="1"/>
      <c r="VYX92" s="1"/>
      <c r="VYY92" s="1"/>
      <c r="VYZ92" s="1"/>
      <c r="VZA92" s="1"/>
      <c r="VZB92" s="1"/>
      <c r="VZC92" s="1"/>
      <c r="VZD92" s="1"/>
      <c r="VZE92" s="1"/>
      <c r="VZF92" s="1"/>
      <c r="VZG92" s="1"/>
      <c r="VZH92" s="1"/>
      <c r="VZI92" s="1"/>
      <c r="VZJ92" s="1"/>
      <c r="VZK92" s="1"/>
      <c r="VZL92" s="1"/>
      <c r="VZM92" s="1"/>
      <c r="VZN92" s="1"/>
      <c r="VZO92" s="1"/>
      <c r="VZP92" s="1"/>
      <c r="VZQ92" s="1"/>
      <c r="VZR92" s="1"/>
      <c r="VZS92" s="1"/>
      <c r="VZT92" s="1"/>
      <c r="VZU92" s="1"/>
      <c r="VZV92" s="1"/>
      <c r="VZW92" s="1"/>
      <c r="VZX92" s="1"/>
      <c r="VZY92" s="1"/>
      <c r="VZZ92" s="1"/>
      <c r="WAA92" s="1"/>
      <c r="WAB92" s="1"/>
      <c r="WAC92" s="1"/>
      <c r="WAD92" s="1"/>
      <c r="WAE92" s="1"/>
      <c r="WAF92" s="1"/>
      <c r="WAG92" s="1"/>
      <c r="WAH92" s="1"/>
      <c r="WAI92" s="1"/>
      <c r="WAJ92" s="1"/>
      <c r="WAK92" s="1"/>
      <c r="WAL92" s="1"/>
      <c r="WAM92" s="1"/>
      <c r="WAN92" s="1"/>
      <c r="WAO92" s="1"/>
      <c r="WAP92" s="1"/>
      <c r="WAQ92" s="1"/>
      <c r="WAR92" s="1"/>
      <c r="WAS92" s="1"/>
      <c r="WAT92" s="1"/>
      <c r="WAU92" s="1"/>
      <c r="WAV92" s="1"/>
      <c r="WAW92" s="1"/>
      <c r="WAX92" s="1"/>
      <c r="WAY92" s="1"/>
      <c r="WAZ92" s="1"/>
      <c r="WBA92" s="1"/>
      <c r="WBB92" s="1"/>
      <c r="WBC92" s="1"/>
      <c r="WBD92" s="1"/>
      <c r="WBE92" s="1"/>
      <c r="WBF92" s="1"/>
      <c r="WBG92" s="1"/>
      <c r="WBH92" s="1"/>
      <c r="WBI92" s="1"/>
      <c r="WBJ92" s="1"/>
      <c r="WBK92" s="1"/>
      <c r="WBL92" s="1"/>
      <c r="WBM92" s="1"/>
      <c r="WBN92" s="1"/>
      <c r="WBO92" s="1"/>
      <c r="WBP92" s="1"/>
      <c r="WBQ92" s="1"/>
      <c r="WBR92" s="1"/>
      <c r="WBS92" s="1"/>
      <c r="WBT92" s="1"/>
      <c r="WBU92" s="1"/>
      <c r="WBV92" s="1"/>
      <c r="WBW92" s="1"/>
      <c r="WBX92" s="1"/>
      <c r="WBY92" s="1"/>
      <c r="WBZ92" s="1"/>
      <c r="WCA92" s="1"/>
      <c r="WCB92" s="1"/>
      <c r="WCC92" s="1"/>
      <c r="WCD92" s="1"/>
      <c r="WCE92" s="1"/>
      <c r="WCF92" s="1"/>
      <c r="WCG92" s="1"/>
      <c r="WCH92" s="1"/>
      <c r="WCI92" s="1"/>
      <c r="WCJ92" s="1"/>
      <c r="WCK92" s="1"/>
      <c r="WCL92" s="1"/>
      <c r="WCM92" s="1"/>
      <c r="WCN92" s="1"/>
      <c r="WCO92" s="1"/>
      <c r="WCP92" s="1"/>
      <c r="WCQ92" s="1"/>
      <c r="WCR92" s="1"/>
      <c r="WCS92" s="1"/>
      <c r="WCT92" s="1"/>
      <c r="WCU92" s="1"/>
      <c r="WCV92" s="1"/>
      <c r="WCW92" s="1"/>
      <c r="WCX92" s="1"/>
      <c r="WCY92" s="1"/>
      <c r="WCZ92" s="1"/>
      <c r="WDA92" s="1"/>
      <c r="WDB92" s="1"/>
      <c r="WDC92" s="1"/>
      <c r="WDD92" s="1"/>
      <c r="WDE92" s="1"/>
      <c r="WDF92" s="1"/>
      <c r="WDG92" s="1"/>
      <c r="WDH92" s="1"/>
      <c r="WDI92" s="1"/>
      <c r="WDJ92" s="1"/>
      <c r="WDK92" s="1"/>
      <c r="WDL92" s="1"/>
      <c r="WDM92" s="1"/>
      <c r="WDN92" s="1"/>
      <c r="WDO92" s="1"/>
      <c r="WDP92" s="1"/>
      <c r="WDQ92" s="1"/>
      <c r="WDR92" s="1"/>
      <c r="WDS92" s="1"/>
      <c r="WDT92" s="1"/>
      <c r="WDU92" s="1"/>
      <c r="WDV92" s="1"/>
      <c r="WDW92" s="1"/>
      <c r="WDX92" s="1"/>
      <c r="WDY92" s="1"/>
      <c r="WDZ92" s="1"/>
      <c r="WEA92" s="1"/>
      <c r="WEB92" s="1"/>
      <c r="WEC92" s="1"/>
      <c r="WED92" s="1"/>
      <c r="WEE92" s="1"/>
      <c r="WEF92" s="1"/>
      <c r="WEG92" s="1"/>
      <c r="WEH92" s="1"/>
      <c r="WEI92" s="1"/>
      <c r="WEJ92" s="1"/>
      <c r="WEK92" s="1"/>
      <c r="WEL92" s="1"/>
      <c r="WEM92" s="1"/>
      <c r="WEN92" s="1"/>
      <c r="WEO92" s="1"/>
      <c r="WEP92" s="1"/>
      <c r="WEQ92" s="1"/>
      <c r="WER92" s="1"/>
      <c r="WES92" s="1"/>
      <c r="WET92" s="1"/>
      <c r="WEU92" s="1"/>
      <c r="WEV92" s="1"/>
      <c r="WEW92" s="1"/>
      <c r="WEX92" s="1"/>
      <c r="WEY92" s="1"/>
      <c r="WEZ92" s="1"/>
      <c r="WFA92" s="1"/>
      <c r="WFB92" s="1"/>
      <c r="WFC92" s="1"/>
      <c r="WFD92" s="1"/>
      <c r="WFE92" s="1"/>
      <c r="WFF92" s="1"/>
      <c r="WFG92" s="1"/>
      <c r="WFH92" s="1"/>
      <c r="WFI92" s="1"/>
      <c r="WFJ92" s="1"/>
      <c r="WFK92" s="1"/>
      <c r="WFL92" s="1"/>
      <c r="WFM92" s="1"/>
      <c r="WFN92" s="1"/>
      <c r="WFO92" s="1"/>
      <c r="WFP92" s="1"/>
      <c r="WFQ92" s="1"/>
      <c r="WFR92" s="1"/>
      <c r="WFS92" s="1"/>
      <c r="WFT92" s="1"/>
      <c r="WFU92" s="1"/>
      <c r="WFV92" s="1"/>
      <c r="WFW92" s="1"/>
      <c r="WFX92" s="1"/>
      <c r="WFY92" s="1"/>
      <c r="WFZ92" s="1"/>
      <c r="WGA92" s="1"/>
      <c r="WGB92" s="1"/>
      <c r="WGC92" s="1"/>
      <c r="WGD92" s="1"/>
      <c r="WGE92" s="1"/>
      <c r="WGF92" s="1"/>
      <c r="WGG92" s="1"/>
      <c r="WGH92" s="1"/>
      <c r="WGI92" s="1"/>
      <c r="WGJ92" s="1"/>
      <c r="WGK92" s="1"/>
      <c r="WGL92" s="1"/>
      <c r="WGM92" s="1"/>
      <c r="WGN92" s="1"/>
      <c r="WGO92" s="1"/>
      <c r="WGP92" s="1"/>
      <c r="WGQ92" s="1"/>
      <c r="WGR92" s="1"/>
      <c r="WGS92" s="1"/>
      <c r="WGT92" s="1"/>
      <c r="WGU92" s="1"/>
      <c r="WGV92" s="1"/>
      <c r="WGW92" s="1"/>
      <c r="WGX92" s="1"/>
      <c r="WGY92" s="1"/>
      <c r="WGZ92" s="1"/>
      <c r="WHA92" s="1"/>
      <c r="WHB92" s="1"/>
      <c r="WHC92" s="1"/>
      <c r="WHD92" s="1"/>
      <c r="WHE92" s="1"/>
      <c r="WHF92" s="1"/>
      <c r="WHG92" s="1"/>
      <c r="WHH92" s="1"/>
      <c r="WHI92" s="1"/>
      <c r="WHJ92" s="1"/>
      <c r="WHK92" s="1"/>
      <c r="WHL92" s="1"/>
      <c r="WHM92" s="1"/>
      <c r="WHN92" s="1"/>
      <c r="WHO92" s="1"/>
      <c r="WHP92" s="1"/>
      <c r="WHQ92" s="1"/>
      <c r="WHR92" s="1"/>
      <c r="WHS92" s="1"/>
      <c r="WHT92" s="1"/>
      <c r="WHU92" s="1"/>
      <c r="WHV92" s="1"/>
      <c r="WHW92" s="1"/>
      <c r="WHX92" s="1"/>
      <c r="WHY92" s="1"/>
      <c r="WHZ92" s="1"/>
      <c r="WIA92" s="1"/>
      <c r="WIB92" s="1"/>
      <c r="WIC92" s="1"/>
      <c r="WID92" s="1"/>
      <c r="WIE92" s="1"/>
      <c r="WIF92" s="1"/>
      <c r="WIG92" s="1"/>
      <c r="WIH92" s="1"/>
      <c r="WII92" s="1"/>
      <c r="WIJ92" s="1"/>
      <c r="WIK92" s="1"/>
      <c r="WIL92" s="1"/>
      <c r="WIM92" s="1"/>
      <c r="WIN92" s="1"/>
      <c r="WIO92" s="1"/>
      <c r="WIP92" s="1"/>
      <c r="WIQ92" s="1"/>
      <c r="WIR92" s="1"/>
      <c r="WIS92" s="1"/>
      <c r="WIT92" s="1"/>
      <c r="WIU92" s="1"/>
      <c r="WIV92" s="1"/>
      <c r="WIW92" s="1"/>
      <c r="WIX92" s="1"/>
      <c r="WIY92" s="1"/>
      <c r="WIZ92" s="1"/>
      <c r="WJA92" s="1"/>
      <c r="WJB92" s="1"/>
      <c r="WJC92" s="1"/>
      <c r="WJD92" s="1"/>
      <c r="WJE92" s="1"/>
      <c r="WJF92" s="1"/>
      <c r="WJG92" s="1"/>
      <c r="WJH92" s="1"/>
      <c r="WJI92" s="1"/>
      <c r="WJJ92" s="1"/>
      <c r="WJK92" s="1"/>
      <c r="WJL92" s="1"/>
      <c r="WJM92" s="1"/>
      <c r="WJN92" s="1"/>
      <c r="WJO92" s="1"/>
      <c r="WJP92" s="1"/>
      <c r="WJQ92" s="1"/>
      <c r="WJR92" s="1"/>
      <c r="WJS92" s="1"/>
      <c r="WJT92" s="1"/>
      <c r="WJU92" s="1"/>
      <c r="WJV92" s="1"/>
      <c r="WJW92" s="1"/>
      <c r="WJX92" s="1"/>
      <c r="WJY92" s="1"/>
      <c r="WJZ92" s="1"/>
      <c r="WKA92" s="1"/>
      <c r="WKB92" s="1"/>
      <c r="WKC92" s="1"/>
      <c r="WKD92" s="1"/>
      <c r="WKE92" s="1"/>
      <c r="WKF92" s="1"/>
      <c r="WKG92" s="1"/>
      <c r="WKH92" s="1"/>
      <c r="WKI92" s="1"/>
      <c r="WKJ92" s="1"/>
      <c r="WKK92" s="1"/>
      <c r="WKL92" s="1"/>
      <c r="WKM92" s="1"/>
      <c r="WKN92" s="1"/>
      <c r="WKO92" s="1"/>
      <c r="WKP92" s="1"/>
      <c r="WKQ92" s="1"/>
      <c r="WKR92" s="1"/>
      <c r="WKS92" s="1"/>
      <c r="WKT92" s="1"/>
      <c r="WKU92" s="1"/>
      <c r="WKV92" s="1"/>
      <c r="WKW92" s="1"/>
      <c r="WKX92" s="1"/>
      <c r="WKY92" s="1"/>
      <c r="WKZ92" s="1"/>
      <c r="WLA92" s="1"/>
      <c r="WLB92" s="1"/>
      <c r="WLC92" s="1"/>
      <c r="WLD92" s="1"/>
      <c r="WLE92" s="1"/>
      <c r="WLF92" s="1"/>
      <c r="WLG92" s="1"/>
      <c r="WLH92" s="1"/>
      <c r="WLI92" s="1"/>
      <c r="WLJ92" s="1"/>
      <c r="WLK92" s="1"/>
      <c r="WLL92" s="1"/>
      <c r="WLM92" s="1"/>
      <c r="WLN92" s="1"/>
      <c r="WLO92" s="1"/>
      <c r="WLP92" s="1"/>
      <c r="WLQ92" s="1"/>
      <c r="WLR92" s="1"/>
      <c r="WLS92" s="1"/>
      <c r="WLT92" s="1"/>
      <c r="WLU92" s="1"/>
      <c r="WLV92" s="1"/>
      <c r="WLW92" s="1"/>
      <c r="WLX92" s="1"/>
      <c r="WLY92" s="1"/>
      <c r="WLZ92" s="1"/>
      <c r="WMA92" s="1"/>
      <c r="WMB92" s="1"/>
      <c r="WMC92" s="1"/>
      <c r="WMD92" s="1"/>
      <c r="WME92" s="1"/>
      <c r="WMF92" s="1"/>
      <c r="WMG92" s="1"/>
      <c r="WMH92" s="1"/>
      <c r="WMI92" s="1"/>
      <c r="WMJ92" s="1"/>
      <c r="WMK92" s="1"/>
      <c r="WML92" s="1"/>
      <c r="WMM92" s="1"/>
      <c r="WMN92" s="1"/>
      <c r="WMO92" s="1"/>
      <c r="WMP92" s="1"/>
      <c r="WMQ92" s="1"/>
      <c r="WMR92" s="1"/>
      <c r="WMS92" s="1"/>
      <c r="WMT92" s="1"/>
      <c r="WMU92" s="1"/>
      <c r="WMV92" s="1"/>
      <c r="WMW92" s="1"/>
      <c r="WMX92" s="1"/>
      <c r="WMY92" s="1"/>
      <c r="WMZ92" s="1"/>
      <c r="WNA92" s="1"/>
      <c r="WNB92" s="1"/>
      <c r="WNC92" s="1"/>
      <c r="WND92" s="1"/>
      <c r="WNE92" s="1"/>
      <c r="WNF92" s="1"/>
      <c r="WNG92" s="1"/>
      <c r="WNH92" s="1"/>
      <c r="WNI92" s="1"/>
      <c r="WNJ92" s="1"/>
      <c r="WNK92" s="1"/>
      <c r="WNL92" s="1"/>
      <c r="WNM92" s="1"/>
      <c r="WNN92" s="1"/>
      <c r="WNO92" s="1"/>
      <c r="WNP92" s="1"/>
      <c r="WNQ92" s="1"/>
      <c r="WNR92" s="1"/>
      <c r="WNS92" s="1"/>
      <c r="WNT92" s="1"/>
      <c r="WNU92" s="1"/>
      <c r="WNV92" s="1"/>
      <c r="WNW92" s="1"/>
      <c r="WNX92" s="1"/>
      <c r="WNY92" s="1"/>
      <c r="WNZ92" s="1"/>
      <c r="WOA92" s="1"/>
      <c r="WOB92" s="1"/>
      <c r="WOC92" s="1"/>
      <c r="WOD92" s="1"/>
      <c r="WOE92" s="1"/>
      <c r="WOF92" s="1"/>
      <c r="WOG92" s="1"/>
      <c r="WOH92" s="1"/>
      <c r="WOI92" s="1"/>
      <c r="WOJ92" s="1"/>
      <c r="WOK92" s="1"/>
      <c r="WOL92" s="1"/>
      <c r="WOM92" s="1"/>
      <c r="WON92" s="1"/>
      <c r="WOO92" s="1"/>
      <c r="WOP92" s="1"/>
      <c r="WOQ92" s="1"/>
      <c r="WOR92" s="1"/>
      <c r="WOS92" s="1"/>
      <c r="WOT92" s="1"/>
      <c r="WOU92" s="1"/>
      <c r="WOV92" s="1"/>
      <c r="WOW92" s="1"/>
      <c r="WOX92" s="1"/>
      <c r="WOY92" s="1"/>
      <c r="WOZ92" s="1"/>
      <c r="WPA92" s="1"/>
      <c r="WPB92" s="1"/>
      <c r="WPC92" s="1"/>
      <c r="WPD92" s="1"/>
      <c r="WPE92" s="1"/>
      <c r="WPF92" s="1"/>
      <c r="WPG92" s="1"/>
      <c r="WPH92" s="1"/>
      <c r="WPI92" s="1"/>
      <c r="WPJ92" s="1"/>
      <c r="WPK92" s="1"/>
      <c r="WPL92" s="1"/>
      <c r="WPM92" s="1"/>
      <c r="WPN92" s="1"/>
      <c r="WPO92" s="1"/>
      <c r="WPP92" s="1"/>
      <c r="WPQ92" s="1"/>
      <c r="WPR92" s="1"/>
      <c r="WPS92" s="1"/>
      <c r="WPT92" s="1"/>
      <c r="WPU92" s="1"/>
      <c r="WPV92" s="1"/>
      <c r="WPW92" s="1"/>
      <c r="WPX92" s="1"/>
      <c r="WPY92" s="1"/>
      <c r="WPZ92" s="1"/>
      <c r="WQA92" s="1"/>
      <c r="WQB92" s="1"/>
      <c r="WQC92" s="1"/>
      <c r="WQD92" s="1"/>
      <c r="WQE92" s="1"/>
      <c r="WQF92" s="1"/>
      <c r="WQG92" s="1"/>
      <c r="WQH92" s="1"/>
      <c r="WQI92" s="1"/>
      <c r="WQJ92" s="1"/>
      <c r="WQK92" s="1"/>
      <c r="WQL92" s="1"/>
      <c r="WQM92" s="1"/>
      <c r="WQN92" s="1"/>
      <c r="WQO92" s="1"/>
      <c r="WQP92" s="1"/>
      <c r="WQQ92" s="1"/>
      <c r="WQR92" s="1"/>
      <c r="WQS92" s="1"/>
      <c r="WQT92" s="1"/>
      <c r="WQU92" s="1"/>
      <c r="WQV92" s="1"/>
      <c r="WQW92" s="1"/>
      <c r="WQX92" s="1"/>
      <c r="WQY92" s="1"/>
      <c r="WQZ92" s="1"/>
      <c r="WRA92" s="1"/>
      <c r="WRB92" s="1"/>
      <c r="WRC92" s="1"/>
      <c r="WRD92" s="1"/>
      <c r="WRE92" s="1"/>
      <c r="WRF92" s="1"/>
      <c r="WRG92" s="1"/>
      <c r="WRH92" s="1"/>
      <c r="WRI92" s="1"/>
      <c r="WRJ92" s="1"/>
      <c r="WRK92" s="1"/>
      <c r="WRL92" s="1"/>
      <c r="WRM92" s="1"/>
      <c r="WRN92" s="1"/>
      <c r="WRO92" s="1"/>
      <c r="WRP92" s="1"/>
      <c r="WRQ92" s="1"/>
      <c r="WRR92" s="1"/>
      <c r="WRS92" s="1"/>
      <c r="WRT92" s="1"/>
      <c r="WRU92" s="1"/>
      <c r="WRV92" s="1"/>
      <c r="WRW92" s="1"/>
      <c r="WRX92" s="1"/>
      <c r="WRY92" s="1"/>
      <c r="WRZ92" s="1"/>
      <c r="WSA92" s="1"/>
      <c r="WSB92" s="1"/>
      <c r="WSC92" s="1"/>
      <c r="WSD92" s="1"/>
      <c r="WSE92" s="1"/>
      <c r="WSF92" s="1"/>
      <c r="WSG92" s="1"/>
      <c r="WSH92" s="1"/>
      <c r="WSI92" s="1"/>
      <c r="WSJ92" s="1"/>
      <c r="WSK92" s="1"/>
      <c r="WSL92" s="1"/>
      <c r="WSM92" s="1"/>
      <c r="WSN92" s="1"/>
      <c r="WSO92" s="1"/>
      <c r="WSP92" s="1"/>
      <c r="WSQ92" s="1"/>
      <c r="WSR92" s="1"/>
      <c r="WSS92" s="1"/>
      <c r="WST92" s="1"/>
      <c r="WSU92" s="1"/>
      <c r="WSV92" s="1"/>
      <c r="WSW92" s="1"/>
      <c r="WSX92" s="1"/>
      <c r="WSY92" s="1"/>
      <c r="WSZ92" s="1"/>
      <c r="WTA92" s="1"/>
      <c r="WTB92" s="1"/>
      <c r="WTC92" s="1"/>
      <c r="WTD92" s="1"/>
      <c r="WTE92" s="1"/>
      <c r="WTF92" s="1"/>
      <c r="WTG92" s="1"/>
      <c r="WTH92" s="1"/>
      <c r="WTI92" s="1"/>
      <c r="WTJ92" s="1"/>
      <c r="WTK92" s="1"/>
      <c r="WTL92" s="1"/>
      <c r="WTM92" s="1"/>
      <c r="WTN92" s="1"/>
      <c r="WTO92" s="1"/>
      <c r="WTP92" s="1"/>
      <c r="WTQ92" s="1"/>
      <c r="WTR92" s="1"/>
      <c r="WTS92" s="1"/>
      <c r="WTT92" s="1"/>
      <c r="WTU92" s="1"/>
      <c r="WTV92" s="1"/>
      <c r="WTW92" s="1"/>
      <c r="WTX92" s="1"/>
      <c r="WTY92" s="1"/>
      <c r="WTZ92" s="1"/>
      <c r="WUA92" s="1"/>
      <c r="WUB92" s="1"/>
      <c r="WUC92" s="1"/>
      <c r="WUD92" s="1"/>
      <c r="WUE92" s="1"/>
      <c r="WUF92" s="1"/>
      <c r="WUG92" s="1"/>
      <c r="WUH92" s="1"/>
      <c r="WUI92" s="1"/>
      <c r="WUJ92" s="1"/>
      <c r="WUK92" s="1"/>
      <c r="WUL92" s="1"/>
      <c r="WUM92" s="1"/>
      <c r="WUN92" s="1"/>
      <c r="WUO92" s="1"/>
      <c r="WUP92" s="1"/>
      <c r="WUQ92" s="1"/>
      <c r="WUR92" s="1"/>
      <c r="WUS92" s="1"/>
      <c r="WUT92" s="1"/>
      <c r="WUU92" s="1"/>
      <c r="WUV92" s="1"/>
      <c r="WUW92" s="1"/>
      <c r="WUX92" s="1"/>
      <c r="WUY92" s="1"/>
      <c r="WUZ92" s="1"/>
      <c r="WVA92" s="1"/>
      <c r="WVB92" s="1"/>
      <c r="WVC92" s="1"/>
      <c r="WVD92" s="1"/>
      <c r="WVE92" s="1"/>
      <c r="WVF92" s="1"/>
      <c r="WVG92" s="1"/>
      <c r="WVH92" s="1"/>
      <c r="WVI92" s="1"/>
      <c r="WVJ92" s="1"/>
      <c r="WVK92" s="1"/>
      <c r="WVL92" s="1"/>
      <c r="WVM92" s="1"/>
      <c r="WVN92" s="1"/>
      <c r="WVO92" s="1"/>
      <c r="WVP92" s="1"/>
      <c r="WVQ92" s="1"/>
      <c r="WVR92" s="1"/>
      <c r="WVS92" s="1"/>
      <c r="WVT92" s="1"/>
      <c r="WVU92" s="1"/>
      <c r="WVV92" s="1"/>
      <c r="WVW92" s="1"/>
      <c r="WVX92" s="1"/>
      <c r="WVY92" s="1"/>
      <c r="WVZ92" s="1"/>
      <c r="WWA92" s="1"/>
      <c r="WWB92" s="1"/>
      <c r="WWC92" s="1"/>
      <c r="WWD92" s="1"/>
      <c r="WWE92" s="1"/>
      <c r="WWF92" s="1"/>
      <c r="WWG92" s="1"/>
      <c r="WWH92" s="1"/>
      <c r="WWI92" s="1"/>
      <c r="WWJ92" s="1"/>
      <c r="WWK92" s="1"/>
      <c r="WWL92" s="1"/>
      <c r="WWM92" s="1"/>
      <c r="WWN92" s="1"/>
      <c r="WWO92" s="1"/>
      <c r="WWP92" s="1"/>
      <c r="WWQ92" s="1"/>
      <c r="WWR92" s="1"/>
      <c r="WWS92" s="1"/>
      <c r="WWT92" s="1"/>
      <c r="WWU92" s="1"/>
      <c r="WWV92" s="1"/>
      <c r="WWW92" s="1"/>
      <c r="WWX92" s="1"/>
      <c r="WWY92" s="1"/>
      <c r="WWZ92" s="1"/>
      <c r="WXA92" s="1"/>
      <c r="WXB92" s="1"/>
      <c r="WXC92" s="1"/>
      <c r="WXD92" s="1"/>
      <c r="WXE92" s="1"/>
      <c r="WXF92" s="1"/>
      <c r="WXG92" s="1"/>
      <c r="WXH92" s="1"/>
      <c r="WXI92" s="1"/>
      <c r="WXJ92" s="1"/>
      <c r="WXK92" s="1"/>
      <c r="WXL92" s="1"/>
      <c r="WXM92" s="1"/>
      <c r="WXN92" s="1"/>
      <c r="WXO92" s="1"/>
      <c r="WXP92" s="1"/>
      <c r="WXQ92" s="1"/>
      <c r="WXR92" s="1"/>
      <c r="WXS92" s="1"/>
      <c r="WXT92" s="1"/>
      <c r="WXU92" s="1"/>
      <c r="WXV92" s="1"/>
      <c r="WXW92" s="1"/>
      <c r="WXX92" s="1"/>
      <c r="WXY92" s="1"/>
      <c r="WXZ92" s="1"/>
      <c r="WYA92" s="1"/>
      <c r="WYB92" s="1"/>
      <c r="WYC92" s="1"/>
      <c r="WYD92" s="1"/>
      <c r="WYE92" s="1"/>
      <c r="WYF92" s="1"/>
      <c r="WYG92" s="1"/>
      <c r="WYH92" s="1"/>
      <c r="WYI92" s="1"/>
      <c r="WYJ92" s="1"/>
      <c r="WYK92" s="1"/>
      <c r="WYL92" s="1"/>
      <c r="WYM92" s="1"/>
      <c r="WYN92" s="1"/>
      <c r="WYO92" s="1"/>
      <c r="WYP92" s="1"/>
      <c r="WYQ92" s="1"/>
      <c r="WYR92" s="1"/>
      <c r="WYS92" s="1"/>
      <c r="WYT92" s="1"/>
      <c r="WYU92" s="1"/>
      <c r="WYV92" s="1"/>
      <c r="WYW92" s="1"/>
      <c r="WYX92" s="1"/>
      <c r="WYY92" s="1"/>
      <c r="WYZ92" s="1"/>
      <c r="WZA92" s="1"/>
      <c r="WZB92" s="1"/>
      <c r="WZC92" s="1"/>
      <c r="WZD92" s="1"/>
      <c r="WZE92" s="1"/>
      <c r="WZF92" s="1"/>
      <c r="WZG92" s="1"/>
      <c r="WZH92" s="1"/>
      <c r="WZI92" s="1"/>
      <c r="WZJ92" s="1"/>
      <c r="WZK92" s="1"/>
      <c r="WZL92" s="1"/>
      <c r="WZM92" s="1"/>
      <c r="WZN92" s="1"/>
      <c r="WZO92" s="1"/>
      <c r="WZP92" s="1"/>
      <c r="WZQ92" s="1"/>
      <c r="WZR92" s="1"/>
      <c r="WZS92" s="1"/>
      <c r="WZT92" s="1"/>
      <c r="WZU92" s="1"/>
      <c r="WZV92" s="1"/>
      <c r="WZW92" s="1"/>
      <c r="WZX92" s="1"/>
      <c r="WZY92" s="1"/>
      <c r="WZZ92" s="1"/>
      <c r="XAA92" s="1"/>
      <c r="XAB92" s="1"/>
      <c r="XAC92" s="1"/>
      <c r="XAD92" s="1"/>
      <c r="XAE92" s="1"/>
      <c r="XAF92" s="1"/>
      <c r="XAG92" s="1"/>
      <c r="XAH92" s="1"/>
      <c r="XAI92" s="1"/>
      <c r="XAJ92" s="1"/>
      <c r="XAK92" s="1"/>
      <c r="XAL92" s="1"/>
      <c r="XAM92" s="1"/>
      <c r="XAN92" s="1"/>
      <c r="XAO92" s="1"/>
      <c r="XAP92" s="1"/>
      <c r="XAQ92" s="1"/>
      <c r="XAR92" s="1"/>
      <c r="XAS92" s="1"/>
      <c r="XAT92" s="1"/>
      <c r="XAU92" s="1"/>
      <c r="XAV92" s="1"/>
      <c r="XAW92" s="1"/>
      <c r="XAX92" s="1"/>
      <c r="XAY92" s="1"/>
      <c r="XAZ92" s="1"/>
      <c r="XBA92" s="1"/>
      <c r="XBB92" s="1"/>
      <c r="XBC92" s="1"/>
      <c r="XBD92" s="1"/>
      <c r="XBE92" s="1"/>
      <c r="XBF92" s="1"/>
      <c r="XBG92" s="1"/>
      <c r="XBH92" s="1"/>
      <c r="XBI92" s="1"/>
      <c r="XBJ92" s="1"/>
      <c r="XBK92" s="1"/>
      <c r="XBL92" s="1"/>
      <c r="XBM92" s="1"/>
      <c r="XBN92" s="1"/>
      <c r="XBO92" s="1"/>
      <c r="XBP92" s="1"/>
      <c r="XBQ92" s="1"/>
      <c r="XBR92" s="1"/>
      <c r="XBS92" s="1"/>
      <c r="XBT92" s="1"/>
      <c r="XBU92" s="1"/>
      <c r="XBV92" s="1"/>
      <c r="XBW92" s="1"/>
      <c r="XBX92" s="1"/>
      <c r="XBY92" s="1"/>
      <c r="XBZ92" s="1"/>
      <c r="XCA92" s="1"/>
      <c r="XCB92" s="1"/>
      <c r="XCC92" s="1"/>
      <c r="XCD92" s="1"/>
      <c r="XCE92" s="1"/>
      <c r="XCF92" s="1"/>
      <c r="XCG92" s="1"/>
      <c r="XCH92" s="1"/>
      <c r="XCI92" s="1"/>
      <c r="XCJ92" s="1"/>
      <c r="XCK92" s="1"/>
      <c r="XCL92" s="1"/>
      <c r="XCM92" s="1"/>
      <c r="XCN92" s="1"/>
      <c r="XCO92" s="1"/>
      <c r="XCP92" s="1"/>
      <c r="XCQ92" s="1"/>
      <c r="XCR92" s="1"/>
      <c r="XCS92" s="1"/>
      <c r="XCT92" s="1"/>
      <c r="XCU92" s="1"/>
      <c r="XCV92" s="1"/>
      <c r="XCW92" s="1"/>
      <c r="XCX92" s="1"/>
      <c r="XCY92" s="1"/>
      <c r="XCZ92" s="1"/>
      <c r="XDA92" s="1"/>
      <c r="XDB92" s="1"/>
      <c r="XDC92" s="1"/>
      <c r="XDD92" s="1"/>
      <c r="XDE92" s="1"/>
      <c r="XDF92" s="1"/>
      <c r="XDG92" s="1"/>
      <c r="XDH92" s="1"/>
      <c r="XDI92" s="1"/>
      <c r="XDJ92" s="1"/>
      <c r="XDK92" s="1"/>
      <c r="XDL92" s="1"/>
      <c r="XDM92" s="1"/>
      <c r="XDN92" s="1"/>
      <c r="XDO92" s="1"/>
      <c r="XDP92" s="1"/>
      <c r="XDQ92" s="1"/>
      <c r="XDR92" s="1"/>
      <c r="XDS92" s="1"/>
      <c r="XDT92" s="1"/>
      <c r="XDU92" s="1"/>
      <c r="XDV92" s="1"/>
      <c r="XDW92" s="1"/>
      <c r="XDX92" s="1"/>
      <c r="XDY92" s="1"/>
      <c r="XDZ92" s="1"/>
      <c r="XEA92" s="1"/>
      <c r="XEB92" s="1"/>
      <c r="XEC92" s="1"/>
      <c r="XED92" s="1"/>
      <c r="XEE92" s="1"/>
      <c r="XEF92" s="1"/>
      <c r="XEG92" s="1"/>
      <c r="XEH92" s="1"/>
      <c r="XEI92" s="1"/>
      <c r="XEJ92" s="1"/>
      <c r="XEK92" s="1"/>
      <c r="XEL92" s="1"/>
      <c r="XEM92" s="1"/>
      <c r="XEN92" s="1"/>
      <c r="XEO92" s="1"/>
      <c r="XEP92" s="1"/>
      <c r="XEQ92" s="1"/>
      <c r="XER92" s="1"/>
      <c r="XES92" s="1"/>
      <c r="XET92" s="1"/>
      <c r="XEU92" s="1"/>
      <c r="XEV92" s="1"/>
      <c r="XEW92" s="1"/>
      <c r="XEX92" s="1"/>
      <c r="XEY92" s="1"/>
      <c r="XEZ92" s="1"/>
      <c r="XFA92" s="1"/>
      <c r="XFB92" s="1"/>
      <c r="XFC92" s="1"/>
      <c r="XFD92" s="1"/>
    </row>
    <row r="93" spans="1:16384" ht="15" customHeight="1">
      <c r="F93" s="457" t="s">
        <v>548</v>
      </c>
      <c r="G93" s="1" t="s">
        <v>205</v>
      </c>
      <c r="H93" s="229">
        <v>486.61200000000002</v>
      </c>
      <c r="I93" s="229">
        <v>406.41199999999998</v>
      </c>
      <c r="J93" s="229">
        <v>462.46</v>
      </c>
      <c r="K93" s="229">
        <v>538.62400000000002</v>
      </c>
      <c r="L93" s="230">
        <v>526.19200000000001</v>
      </c>
      <c r="M93" s="230">
        <v>576.01099999999997</v>
      </c>
      <c r="N93" s="230">
        <v>602.94500000000005</v>
      </c>
      <c r="O93" s="230">
        <v>632.94399999999996</v>
      </c>
      <c r="P93" s="230">
        <v>663.83399999999995</v>
      </c>
      <c r="Q93" s="230">
        <v>696.45500000000004</v>
      </c>
      <c r="R93" s="70"/>
    </row>
    <row r="94" spans="1:16384" ht="15" customHeight="1">
      <c r="F94" s="58" t="s">
        <v>184</v>
      </c>
      <c r="G94" s="58"/>
      <c r="H94" s="231"/>
      <c r="I94" s="59">
        <f t="shared" ref="I94:Q94" si="55">I93/H93-1</f>
        <v>-0.16481303379283707</v>
      </c>
      <c r="J94" s="59">
        <f t="shared" si="55"/>
        <v>0.13790931370136716</v>
      </c>
      <c r="K94" s="59">
        <f t="shared" si="55"/>
        <v>0.16469316265190503</v>
      </c>
      <c r="L94" s="59">
        <f t="shared" si="55"/>
        <v>-2.3081036121673004E-2</v>
      </c>
      <c r="M94" s="59">
        <f t="shared" si="55"/>
        <v>9.4678368352236308E-2</v>
      </c>
      <c r="N94" s="59">
        <f t="shared" si="55"/>
        <v>4.6759523689651861E-2</v>
      </c>
      <c r="O94" s="59">
        <f t="shared" si="55"/>
        <v>4.9754123510436177E-2</v>
      </c>
      <c r="P94" s="59">
        <f t="shared" si="55"/>
        <v>4.8803685634116079E-2</v>
      </c>
      <c r="Q94" s="59">
        <f t="shared" si="55"/>
        <v>4.9140297122473475E-2</v>
      </c>
    </row>
    <row r="95" spans="1:16384" ht="15" customHeight="1">
      <c r="F95" s="23" t="s">
        <v>541</v>
      </c>
      <c r="G95" s="1" t="s">
        <v>205</v>
      </c>
      <c r="H95" s="1">
        <v>35.468000000000004</v>
      </c>
      <c r="I95" s="1">
        <v>36.972000000000001</v>
      </c>
      <c r="J95" s="1">
        <v>38.023000000000003</v>
      </c>
      <c r="K95" s="1">
        <v>39.736000000000004</v>
      </c>
      <c r="L95" s="1">
        <v>42.502000000000002</v>
      </c>
      <c r="M95" s="1">
        <v>43.161000000000001</v>
      </c>
      <c r="N95" s="1">
        <v>45.125999999999998</v>
      </c>
      <c r="O95" s="1">
        <v>46.523000000000003</v>
      </c>
      <c r="P95" s="1">
        <v>47.795000000000002</v>
      </c>
      <c r="Q95" s="1">
        <v>49.136000000000003</v>
      </c>
    </row>
    <row r="96" spans="1:16384" ht="15" customHeight="1">
      <c r="F96" s="28" t="s">
        <v>184</v>
      </c>
      <c r="G96" s="231"/>
      <c r="H96" s="231"/>
      <c r="I96" s="735">
        <f t="shared" ref="I96:Q96" si="56">I95/H95-1</f>
        <v>4.2404420886432703E-2</v>
      </c>
      <c r="J96" s="735">
        <f t="shared" si="56"/>
        <v>2.8426917667424112E-2</v>
      </c>
      <c r="K96" s="735">
        <f t="shared" si="56"/>
        <v>4.505167924677167E-2</v>
      </c>
      <c r="L96" s="735">
        <f t="shared" si="56"/>
        <v>6.9609422186430292E-2</v>
      </c>
      <c r="M96" s="735">
        <f t="shared" si="56"/>
        <v>1.5505152698696456E-2</v>
      </c>
      <c r="N96" s="735">
        <f t="shared" si="56"/>
        <v>4.5527212066448719E-2</v>
      </c>
      <c r="O96" s="735">
        <f t="shared" si="56"/>
        <v>3.0957762708859748E-2</v>
      </c>
      <c r="P96" s="735">
        <f t="shared" si="56"/>
        <v>2.7341315048470705E-2</v>
      </c>
      <c r="Q96" s="735">
        <f t="shared" si="56"/>
        <v>2.8057328172403029E-2</v>
      </c>
    </row>
    <row r="97" spans="6:18" ht="15" customHeight="1">
      <c r="F97" s="458" t="s">
        <v>540</v>
      </c>
      <c r="G97" s="1" t="s">
        <v>180</v>
      </c>
      <c r="H97" s="73">
        <f>H116+H118+H120</f>
        <v>9428.6643747667695</v>
      </c>
      <c r="I97" s="73">
        <f t="shared" ref="I97:P97" si="57">I116+I118+I120</f>
        <v>7862.7188208366169</v>
      </c>
      <c r="J97" s="73">
        <f t="shared" si="57"/>
        <v>8392.969907228975</v>
      </c>
      <c r="K97" s="73">
        <f t="shared" si="57"/>
        <v>10326.359360862501</v>
      </c>
      <c r="L97" s="73">
        <f t="shared" si="57"/>
        <v>11124.597914278886</v>
      </c>
      <c r="M97" s="73">
        <f t="shared" si="57"/>
        <v>11195.723598189106</v>
      </c>
      <c r="N97" s="73">
        <f t="shared" si="57"/>
        <v>12296.394726892522</v>
      </c>
      <c r="O97" s="73">
        <f t="shared" si="57"/>
        <v>12822.830583736071</v>
      </c>
      <c r="P97" s="73">
        <f t="shared" si="57"/>
        <v>13824.862431465919</v>
      </c>
      <c r="Q97" s="73">
        <f>Q116+Q118+Q120</f>
        <v>14791.51679972429</v>
      </c>
    </row>
    <row r="98" spans="6:18" ht="15" customHeight="1">
      <c r="F98" s="28" t="s">
        <v>184</v>
      </c>
      <c r="G98" s="58"/>
      <c r="H98" s="231"/>
      <c r="I98" s="59">
        <f t="shared" ref="I98:Q98" si="58">I97/H97-1</f>
        <v>-0.16608349726828497</v>
      </c>
      <c r="J98" s="59">
        <f t="shared" si="58"/>
        <v>6.7438642850506714E-2</v>
      </c>
      <c r="K98" s="59">
        <f t="shared" si="58"/>
        <v>0.23035820156679843</v>
      </c>
      <c r="L98" s="59">
        <f t="shared" si="58"/>
        <v>7.7301062796802711E-2</v>
      </c>
      <c r="M98" s="59">
        <f t="shared" si="58"/>
        <v>6.3935509811934299E-3</v>
      </c>
      <c r="N98" s="59">
        <f t="shared" si="58"/>
        <v>9.8311745466943101E-2</v>
      </c>
      <c r="O98" s="59">
        <f t="shared" si="58"/>
        <v>4.2812211915434162E-2</v>
      </c>
      <c r="P98" s="59">
        <f t="shared" si="58"/>
        <v>7.8144356753865329E-2</v>
      </c>
      <c r="Q98" s="59">
        <f t="shared" si="58"/>
        <v>6.9921445732308296E-2</v>
      </c>
    </row>
    <row r="99" spans="6:18" ht="15" customHeight="1">
      <c r="F99" s="458" t="s">
        <v>211</v>
      </c>
      <c r="G99" s="1" t="s">
        <v>200</v>
      </c>
      <c r="H99" s="73">
        <f>H83+H81</f>
        <v>16440.323</v>
      </c>
      <c r="I99" s="73">
        <f t="shared" ref="I99:Q99" si="59">I83+I81</f>
        <v>15257.275</v>
      </c>
      <c r="J99" s="73">
        <f t="shared" si="59"/>
        <v>16571.118999999999</v>
      </c>
      <c r="K99" s="73">
        <f t="shared" si="59"/>
        <v>17938.826000000001</v>
      </c>
      <c r="L99" s="73">
        <f t="shared" si="59"/>
        <v>18736.581825041318</v>
      </c>
      <c r="M99" s="73">
        <f t="shared" si="59"/>
        <v>19543.225239847256</v>
      </c>
      <c r="N99" s="73">
        <f t="shared" si="59"/>
        <v>20365.72863012406</v>
      </c>
      <c r="O99" s="73">
        <f t="shared" si="59"/>
        <v>21215.683593195623</v>
      </c>
      <c r="P99" s="73">
        <f t="shared" si="59"/>
        <v>22574.486719227825</v>
      </c>
      <c r="Q99" s="73">
        <f t="shared" si="59"/>
        <v>23853.790415676056</v>
      </c>
    </row>
    <row r="100" spans="6:18" ht="15" customHeight="1">
      <c r="F100" s="28" t="s">
        <v>184</v>
      </c>
      <c r="G100" s="58"/>
      <c r="H100" s="231"/>
      <c r="I100" s="59">
        <f t="shared" ref="I100:Q100" si="60">I99/H99-1</f>
        <v>-7.1960143362146844E-2</v>
      </c>
      <c r="J100" s="59">
        <f t="shared" si="60"/>
        <v>8.6112624960879236E-2</v>
      </c>
      <c r="K100" s="59">
        <f t="shared" si="60"/>
        <v>8.2535584953556951E-2</v>
      </c>
      <c r="L100" s="59">
        <f t="shared" si="60"/>
        <v>4.447090489875527E-2</v>
      </c>
      <c r="M100" s="59">
        <f t="shared" si="60"/>
        <v>4.305179153477523E-2</v>
      </c>
      <c r="N100" s="59">
        <f t="shared" si="60"/>
        <v>4.2086369070739593E-2</v>
      </c>
      <c r="O100" s="59">
        <f t="shared" si="60"/>
        <v>4.1734571765546846E-2</v>
      </c>
      <c r="P100" s="59">
        <f t="shared" si="60"/>
        <v>6.4047105532248905E-2</v>
      </c>
      <c r="Q100" s="59">
        <f t="shared" si="60"/>
        <v>5.6670333742675272E-2</v>
      </c>
    </row>
    <row r="101" spans="6:18" ht="15" customHeight="1">
      <c r="F101" s="72" t="s">
        <v>542</v>
      </c>
      <c r="G101" s="459"/>
      <c r="H101" s="460"/>
      <c r="I101" s="460"/>
      <c r="J101" s="460"/>
      <c r="K101" s="460"/>
      <c r="L101" s="460"/>
      <c r="M101" s="460"/>
      <c r="N101" s="460"/>
      <c r="O101" s="460"/>
      <c r="P101" s="460"/>
      <c r="Q101" s="460"/>
    </row>
    <row r="102" spans="6:18" ht="15" customHeight="1">
      <c r="F102" s="28" t="s">
        <v>184</v>
      </c>
      <c r="G102" s="58"/>
      <c r="H102" s="231"/>
      <c r="I102" s="59" t="e">
        <f t="shared" ref="I102:Q102" si="61">I101/H101-1</f>
        <v>#DIV/0!</v>
      </c>
      <c r="J102" s="59" t="e">
        <f t="shared" si="61"/>
        <v>#DIV/0!</v>
      </c>
      <c r="K102" s="59" t="e">
        <f t="shared" si="61"/>
        <v>#DIV/0!</v>
      </c>
      <c r="L102" s="59" t="e">
        <f t="shared" si="61"/>
        <v>#DIV/0!</v>
      </c>
      <c r="M102" s="59" t="e">
        <f t="shared" si="61"/>
        <v>#DIV/0!</v>
      </c>
      <c r="N102" s="59" t="e">
        <f t="shared" si="61"/>
        <v>#DIV/0!</v>
      </c>
      <c r="O102" s="59" t="e">
        <f t="shared" si="61"/>
        <v>#DIV/0!</v>
      </c>
      <c r="P102" s="59" t="e">
        <f t="shared" si="61"/>
        <v>#DIV/0!</v>
      </c>
      <c r="Q102" s="59" t="e">
        <f t="shared" si="61"/>
        <v>#DIV/0!</v>
      </c>
    </row>
    <row r="103" spans="6:18" ht="15" customHeight="1">
      <c r="F103" s="23" t="s">
        <v>549</v>
      </c>
      <c r="G103" s="1" t="s">
        <v>179</v>
      </c>
      <c r="H103" s="73">
        <f>(H89*1000000)/H81</f>
        <v>9246.9262295081971</v>
      </c>
      <c r="I103" s="73">
        <f t="shared" ref="I103:Q103" si="62">(I89*1000000)/I81</f>
        <v>9863.4877908094604</v>
      </c>
      <c r="J103" s="73">
        <f t="shared" si="62"/>
        <v>9380.3786574870919</v>
      </c>
      <c r="K103" s="73">
        <f t="shared" si="62"/>
        <v>8806.9280136085981</v>
      </c>
      <c r="L103" s="73">
        <f t="shared" si="62"/>
        <v>8635.3734452355184</v>
      </c>
      <c r="M103" s="73">
        <f>(M89*1000000)/M81</f>
        <v>8226.5255930667518</v>
      </c>
      <c r="N103" s="73">
        <f t="shared" si="62"/>
        <v>8155.4410224657222</v>
      </c>
      <c r="O103" s="73">
        <f>(O89*1000000)/O81</f>
        <v>7972.161373253316</v>
      </c>
      <c r="P103" s="73">
        <f t="shared" si="62"/>
        <v>7644.7484553919439</v>
      </c>
      <c r="Q103" s="73">
        <f t="shared" si="62"/>
        <v>7396.741685022299</v>
      </c>
    </row>
    <row r="104" spans="6:18" ht="15" customHeight="1">
      <c r="F104" s="28" t="s">
        <v>184</v>
      </c>
      <c r="G104" s="58"/>
      <c r="H104" s="231"/>
      <c r="I104" s="59">
        <f t="shared" ref="I104:Q104" si="63">I103/H103-1</f>
        <v>6.6677460812192058E-2</v>
      </c>
      <c r="J104" s="59">
        <f t="shared" si="63"/>
        <v>-4.8979543906620626E-2</v>
      </c>
      <c r="K104" s="59">
        <f t="shared" si="63"/>
        <v>-6.1132995246496291E-2</v>
      </c>
      <c r="L104" s="59">
        <f t="shared" si="63"/>
        <v>-1.9479501604644733E-2</v>
      </c>
      <c r="M104" s="59">
        <f t="shared" si="63"/>
        <v>-4.7345705980364361E-2</v>
      </c>
      <c r="N104" s="59">
        <f t="shared" si="63"/>
        <v>-8.6408982500387754E-3</v>
      </c>
      <c r="O104" s="59">
        <f t="shared" si="63"/>
        <v>-2.2473297116308855E-2</v>
      </c>
      <c r="P104" s="59">
        <f t="shared" si="63"/>
        <v>-4.1069529645981095E-2</v>
      </c>
      <c r="Q104" s="59">
        <f t="shared" si="63"/>
        <v>-3.2441455963763244E-2</v>
      </c>
    </row>
    <row r="105" spans="6:18" ht="15" customHeight="1">
      <c r="F105" s="25" t="s">
        <v>483</v>
      </c>
      <c r="H105" s="73">
        <f>(H91*1000000)/H83</f>
        <v>5081.9286245884641</v>
      </c>
      <c r="I105" s="73">
        <f t="shared" ref="I105:Q105" si="64">(I91*1000000)/I83</f>
        <v>4946.9906441962612</v>
      </c>
      <c r="J105" s="73">
        <f t="shared" si="64"/>
        <v>5004.3232651043127</v>
      </c>
      <c r="K105" s="73">
        <f t="shared" si="64"/>
        <v>5122.6311102303598</v>
      </c>
      <c r="L105" s="73">
        <f t="shared" si="64"/>
        <v>5088.7660497534735</v>
      </c>
      <c r="M105" s="73">
        <f t="shared" si="64"/>
        <v>5085.1575408215867</v>
      </c>
      <c r="N105" s="73">
        <f t="shared" si="64"/>
        <v>5146.8608749525256</v>
      </c>
      <c r="O105" s="73">
        <f t="shared" si="64"/>
        <v>5161.0850190334004</v>
      </c>
      <c r="P105" s="73">
        <f t="shared" si="64"/>
        <v>5141.5519133630442</v>
      </c>
      <c r="Q105" s="73">
        <f t="shared" si="64"/>
        <v>5096.386180261532</v>
      </c>
    </row>
    <row r="106" spans="6:18" ht="15" customHeight="1">
      <c r="F106" s="28" t="s">
        <v>184</v>
      </c>
      <c r="G106" s="58"/>
      <c r="H106" s="231"/>
      <c r="I106" s="59">
        <f t="shared" ref="I106:Q106" si="65">I105/H105-1</f>
        <v>-2.6552513889966378E-2</v>
      </c>
      <c r="J106" s="59">
        <f t="shared" si="65"/>
        <v>1.1589393437667628E-2</v>
      </c>
      <c r="K106" s="59">
        <f t="shared" si="65"/>
        <v>2.3641127652767935E-2</v>
      </c>
      <c r="L106" s="59">
        <f t="shared" si="65"/>
        <v>-6.6108723716714612E-3</v>
      </c>
      <c r="M106" s="59">
        <f t="shared" si="65"/>
        <v>-7.0911275869356416E-4</v>
      </c>
      <c r="N106" s="59">
        <f t="shared" si="65"/>
        <v>1.213400639716844E-2</v>
      </c>
      <c r="O106" s="59">
        <f t="shared" si="65"/>
        <v>2.763654279076766E-3</v>
      </c>
      <c r="P106" s="59">
        <f t="shared" si="65"/>
        <v>-3.7846897693645243E-3</v>
      </c>
      <c r="Q106" s="59">
        <f t="shared" si="65"/>
        <v>-8.7844553283854543E-3</v>
      </c>
    </row>
    <row r="107" spans="6:18" ht="15" customHeight="1">
      <c r="F107" s="72" t="s">
        <v>550</v>
      </c>
      <c r="G107" s="459" t="s">
        <v>215</v>
      </c>
      <c r="H107" s="460"/>
      <c r="I107" s="460"/>
      <c r="J107" s="460"/>
      <c r="K107" s="460"/>
      <c r="L107" s="460"/>
      <c r="M107" s="460"/>
      <c r="N107" s="460"/>
      <c r="O107" s="460"/>
      <c r="P107" s="460"/>
      <c r="Q107" s="460"/>
      <c r="R107" s="70"/>
    </row>
    <row r="108" spans="6:18" ht="15" customHeight="1">
      <c r="F108" s="28" t="s">
        <v>184</v>
      </c>
      <c r="G108" s="58"/>
      <c r="H108" s="231"/>
      <c r="I108" s="59" t="e">
        <f t="shared" ref="I108:Q108" si="66">I107/H107-1</f>
        <v>#DIV/0!</v>
      </c>
      <c r="J108" s="59" t="e">
        <f t="shared" si="66"/>
        <v>#DIV/0!</v>
      </c>
      <c r="K108" s="59" t="e">
        <f t="shared" si="66"/>
        <v>#DIV/0!</v>
      </c>
      <c r="L108" s="59" t="e">
        <f t="shared" si="66"/>
        <v>#DIV/0!</v>
      </c>
      <c r="M108" s="59" t="e">
        <f t="shared" si="66"/>
        <v>#DIV/0!</v>
      </c>
      <c r="N108" s="59" t="e">
        <f t="shared" si="66"/>
        <v>#DIV/0!</v>
      </c>
      <c r="O108" s="59" t="e">
        <f t="shared" si="66"/>
        <v>#DIV/0!</v>
      </c>
      <c r="P108" s="59" t="e">
        <f t="shared" si="66"/>
        <v>#DIV/0!</v>
      </c>
      <c r="Q108" s="59" t="e">
        <f t="shared" si="66"/>
        <v>#DIV/0!</v>
      </c>
      <c r="R108" s="77"/>
    </row>
    <row r="109" spans="6:18" ht="15" customHeight="1">
      <c r="F109" s="1" t="s">
        <v>213</v>
      </c>
      <c r="G109" s="1" t="s">
        <v>205</v>
      </c>
      <c r="H109" s="1">
        <v>19.309999999999999</v>
      </c>
      <c r="I109" s="1">
        <v>21.678999999999998</v>
      </c>
      <c r="J109" s="1">
        <v>20.675999999999998</v>
      </c>
      <c r="K109" s="1">
        <v>22.318000000000001</v>
      </c>
      <c r="L109" s="1">
        <v>23.925000000000001</v>
      </c>
      <c r="M109" s="1">
        <v>24.111999999999998</v>
      </c>
      <c r="N109" s="1">
        <v>25.152999999999999</v>
      </c>
      <c r="O109" s="1">
        <v>25.814</v>
      </c>
      <c r="P109" s="1">
        <v>26.58</v>
      </c>
      <c r="Q109" s="1">
        <v>27.606000000000002</v>
      </c>
      <c r="R109" s="70"/>
    </row>
    <row r="110" spans="6:18" ht="15" customHeight="1">
      <c r="F110" s="28" t="s">
        <v>184</v>
      </c>
      <c r="G110" s="28"/>
      <c r="H110" s="59"/>
      <c r="I110" s="59">
        <f t="shared" ref="I110:Q110" si="67">I109/H109-1</f>
        <v>0.12268254790264121</v>
      </c>
      <c r="J110" s="59">
        <f t="shared" si="67"/>
        <v>-4.6265971677660445E-2</v>
      </c>
      <c r="K110" s="59">
        <f t="shared" si="67"/>
        <v>7.941574772683313E-2</v>
      </c>
      <c r="L110" s="59">
        <f t="shared" si="67"/>
        <v>7.2004659915763103E-2</v>
      </c>
      <c r="M110" s="59">
        <f t="shared" si="67"/>
        <v>7.8160919540228857E-3</v>
      </c>
      <c r="N110" s="59">
        <f t="shared" si="67"/>
        <v>4.3173523556735205E-2</v>
      </c>
      <c r="O110" s="59">
        <f t="shared" si="67"/>
        <v>2.6279171470599882E-2</v>
      </c>
      <c r="P110" s="59">
        <f t="shared" si="67"/>
        <v>2.9673820407530638E-2</v>
      </c>
      <c r="Q110" s="59">
        <f t="shared" si="67"/>
        <v>3.8600451467268648E-2</v>
      </c>
    </row>
    <row r="111" spans="6:18" ht="15" customHeight="1">
      <c r="F111" s="72" t="s">
        <v>214</v>
      </c>
      <c r="G111" s="459" t="s">
        <v>215</v>
      </c>
      <c r="H111" s="460"/>
      <c r="I111" s="460"/>
      <c r="J111" s="460"/>
      <c r="K111" s="460"/>
      <c r="L111" s="460"/>
      <c r="M111" s="460"/>
      <c r="N111" s="460"/>
      <c r="O111" s="460"/>
      <c r="P111" s="460"/>
      <c r="Q111" s="460"/>
    </row>
    <row r="112" spans="6:18" ht="15" customHeight="1">
      <c r="F112" s="28"/>
      <c r="G112" s="28"/>
      <c r="H112" s="59"/>
      <c r="I112" s="59" t="e">
        <f t="shared" ref="I112:Q112" si="68">I111/H111-1</f>
        <v>#DIV/0!</v>
      </c>
      <c r="J112" s="59" t="e">
        <f t="shared" si="68"/>
        <v>#DIV/0!</v>
      </c>
      <c r="K112" s="59" t="e">
        <f t="shared" si="68"/>
        <v>#DIV/0!</v>
      </c>
      <c r="L112" s="59" t="e">
        <f t="shared" si="68"/>
        <v>#DIV/0!</v>
      </c>
      <c r="M112" s="59" t="e">
        <f t="shared" si="68"/>
        <v>#DIV/0!</v>
      </c>
      <c r="N112" s="59" t="e">
        <f t="shared" si="68"/>
        <v>#DIV/0!</v>
      </c>
      <c r="O112" s="59" t="e">
        <f t="shared" si="68"/>
        <v>#DIV/0!</v>
      </c>
      <c r="P112" s="59" t="e">
        <f t="shared" si="68"/>
        <v>#DIV/0!</v>
      </c>
      <c r="Q112" s="59" t="e">
        <f t="shared" si="68"/>
        <v>#DIV/0!</v>
      </c>
      <c r="R112" s="461"/>
    </row>
    <row r="115" spans="6:17" ht="15" customHeight="1">
      <c r="J115" s="32"/>
    </row>
    <row r="116" spans="6:17" ht="15" customHeight="1">
      <c r="F116" s="1" t="s">
        <v>551</v>
      </c>
      <c r="G116" s="1" t="s">
        <v>393</v>
      </c>
      <c r="H116" s="33">
        <v>642.34300486975394</v>
      </c>
      <c r="I116" s="33">
        <v>578.3054407917715</v>
      </c>
      <c r="J116" s="33">
        <v>587.53790972468698</v>
      </c>
      <c r="K116" s="33">
        <v>685.81396196569176</v>
      </c>
      <c r="L116" s="644">
        <f t="shared" ref="L116:Q116" si="69">FORECAST(L91,H116:K116,H91:K91)</f>
        <v>690.27825159640258</v>
      </c>
      <c r="M116" s="644">
        <f t="shared" si="69"/>
        <v>743.71902630479474</v>
      </c>
      <c r="N116" s="644">
        <f t="shared" si="69"/>
        <v>844.68904807718445</v>
      </c>
      <c r="O116" s="644">
        <f t="shared" si="69"/>
        <v>895.81647175638909</v>
      </c>
      <c r="P116" s="644">
        <f t="shared" si="69"/>
        <v>951.8334341720124</v>
      </c>
      <c r="Q116" s="644">
        <f t="shared" si="69"/>
        <v>992.99213316634166</v>
      </c>
    </row>
    <row r="117" spans="6:17" ht="15" customHeight="1">
      <c r="H117" s="33"/>
      <c r="I117" s="32">
        <f>I116/H116-1</f>
        <v>-9.9693720632899496E-2</v>
      </c>
      <c r="J117" s="32">
        <f t="shared" ref="J117:Q117" si="70">J116/I116-1</f>
        <v>1.5964693190980705E-2</v>
      </c>
      <c r="K117" s="32">
        <f t="shared" si="70"/>
        <v>0.16726759348525388</v>
      </c>
      <c r="L117" s="32">
        <f t="shared" si="70"/>
        <v>6.5094761528552425E-3</v>
      </c>
      <c r="M117" s="32">
        <f t="shared" si="70"/>
        <v>7.7419177824015195E-2</v>
      </c>
      <c r="N117" s="32">
        <f t="shared" si="70"/>
        <v>0.13576366638630222</v>
      </c>
      <c r="O117" s="32">
        <f t="shared" si="70"/>
        <v>6.0528100601741075E-2</v>
      </c>
      <c r="P117" s="32">
        <f t="shared" si="70"/>
        <v>6.253173968301029E-2</v>
      </c>
      <c r="Q117" s="32">
        <f t="shared" si="70"/>
        <v>4.3241493224213778E-2</v>
      </c>
    </row>
    <row r="118" spans="6:17" ht="15" customHeight="1">
      <c r="F118" s="1" t="s">
        <v>552</v>
      </c>
      <c r="G118" s="1" t="str">
        <f t="shared" ref="G118:G120" si="71">G$97</f>
        <v>US$ Million</v>
      </c>
      <c r="H118" s="33">
        <v>4087.7026951770899</v>
      </c>
      <c r="I118" s="33">
        <v>3808.9583487738269</v>
      </c>
      <c r="J118" s="33">
        <v>4084.3707781964426</v>
      </c>
      <c r="K118" s="33">
        <v>4938.8108226317408</v>
      </c>
      <c r="L118" s="644">
        <f t="shared" ref="L118:Q118" si="72">FORECAST(L87,H118:K118,H87:K87)</f>
        <v>5371.1993061628591</v>
      </c>
      <c r="M118" s="644">
        <f t="shared" si="72"/>
        <v>5479.8139175467868</v>
      </c>
      <c r="N118" s="644">
        <f t="shared" si="72"/>
        <v>5785.8608425995953</v>
      </c>
      <c r="O118" s="644">
        <f t="shared" si="72"/>
        <v>5952.6117043923214</v>
      </c>
      <c r="P118" s="644">
        <f t="shared" si="72"/>
        <v>6264.8712495606642</v>
      </c>
      <c r="Q118" s="644">
        <f t="shared" si="72"/>
        <v>6581.6946155693786</v>
      </c>
    </row>
    <row r="119" spans="6:17" ht="15" customHeight="1">
      <c r="H119" s="33"/>
      <c r="I119" s="32">
        <f>I118/H118-1</f>
        <v>-6.8190953987955605E-2</v>
      </c>
      <c r="J119" s="32">
        <f t="shared" ref="J119:Q119" si="73">J118/I118-1</f>
        <v>7.2306495425783712E-2</v>
      </c>
      <c r="K119" s="32">
        <f t="shared" si="73"/>
        <v>0.20919747271637212</v>
      </c>
      <c r="L119" s="32">
        <f t="shared" si="73"/>
        <v>8.7549108289333377E-2</v>
      </c>
      <c r="M119" s="32">
        <f t="shared" si="73"/>
        <v>2.0221668419435623E-2</v>
      </c>
      <c r="N119" s="32">
        <f t="shared" si="73"/>
        <v>5.5849875499024204E-2</v>
      </c>
      <c r="O119" s="32">
        <f t="shared" si="73"/>
        <v>2.8820406561628431E-2</v>
      </c>
      <c r="P119" s="32">
        <f t="shared" si="73"/>
        <v>5.245757000039708E-2</v>
      </c>
      <c r="Q119" s="32">
        <f t="shared" si="73"/>
        <v>5.0571408954482866E-2</v>
      </c>
    </row>
    <row r="120" spans="6:17" ht="15" customHeight="1">
      <c r="F120" s="1" t="s">
        <v>553</v>
      </c>
      <c r="G120" s="1" t="str">
        <f t="shared" si="71"/>
        <v>US$ Million</v>
      </c>
      <c r="H120" s="33">
        <v>4698.6186747199245</v>
      </c>
      <c r="I120" s="33">
        <v>3475.4550312710189</v>
      </c>
      <c r="J120" s="33">
        <v>3721.061219307845</v>
      </c>
      <c r="K120" s="33">
        <v>4701.7345762650693</v>
      </c>
      <c r="L120" s="644">
        <f t="shared" ref="L120:Q120" si="74">FORECAST(L89,H120:K120,H89:K89)</f>
        <v>5063.1203565196247</v>
      </c>
      <c r="M120" s="644">
        <f t="shared" si="74"/>
        <v>4972.1906543375244</v>
      </c>
      <c r="N120" s="644">
        <f t="shared" si="74"/>
        <v>5665.8448362157433</v>
      </c>
      <c r="O120" s="644">
        <f t="shared" si="74"/>
        <v>5974.4024075873604</v>
      </c>
      <c r="P120" s="644">
        <f t="shared" si="74"/>
        <v>6608.157747733243</v>
      </c>
      <c r="Q120" s="644">
        <f t="shared" si="74"/>
        <v>7216.8300509885703</v>
      </c>
    </row>
    <row r="121" spans="6:17" ht="15" customHeight="1">
      <c r="H121" s="32"/>
      <c r="I121" s="32">
        <f>I120/H120-1</f>
        <v>-0.26032409270195056</v>
      </c>
      <c r="J121" s="32">
        <f t="shared" ref="J121:Q121" si="75">J120/I120-1</f>
        <v>7.0668786051593546E-2</v>
      </c>
      <c r="K121" s="32">
        <f t="shared" si="75"/>
        <v>0.26354668713019436</v>
      </c>
      <c r="L121" s="32">
        <f t="shared" si="75"/>
        <v>7.6862224864600925E-2</v>
      </c>
      <c r="M121" s="32">
        <f t="shared" si="75"/>
        <v>-1.7959221938110392E-2</v>
      </c>
      <c r="N121" s="32">
        <f t="shared" si="75"/>
        <v>0.1395067546883193</v>
      </c>
      <c r="O121" s="32">
        <f t="shared" si="75"/>
        <v>5.4459234287415503E-2</v>
      </c>
      <c r="P121" s="32">
        <f t="shared" si="75"/>
        <v>0.1060784488405111</v>
      </c>
      <c r="Q121" s="32">
        <f t="shared" si="75"/>
        <v>9.2109227184250742E-2</v>
      </c>
    </row>
    <row r="122" spans="6:17" ht="15" customHeight="1">
      <c r="H122" s="33"/>
      <c r="I122" s="33"/>
      <c r="J122" s="33"/>
      <c r="K122" s="33"/>
      <c r="L122" s="33"/>
      <c r="M122" s="33"/>
      <c r="N122" s="33"/>
      <c r="O122" s="33"/>
      <c r="P122" s="33"/>
      <c r="Q122" s="33"/>
    </row>
    <row r="123" spans="6:17" ht="15" customHeight="1">
      <c r="H123" s="33"/>
      <c r="I123" s="33"/>
      <c r="J123" s="33"/>
      <c r="K123" s="33"/>
      <c r="L123" s="33"/>
      <c r="M123" s="33"/>
      <c r="N123" s="33"/>
      <c r="O123" s="33"/>
      <c r="P123" s="33"/>
      <c r="Q123" s="33"/>
    </row>
    <row r="130" spans="10:12" ht="15" customHeight="1">
      <c r="J130" s="462"/>
      <c r="K130" s="462"/>
      <c r="L130" s="462"/>
    </row>
    <row r="131" spans="10:12" ht="15" customHeight="1">
      <c r="J131" s="462"/>
      <c r="K131" s="462"/>
      <c r="L131" s="462"/>
    </row>
    <row r="132" spans="10:12" ht="15" customHeight="1">
      <c r="J132" s="462"/>
      <c r="K132" s="462"/>
      <c r="L132" s="462"/>
    </row>
  </sheetData>
  <customSheetViews>
    <customSheetView guid="{BD5E9955-DC4B-4EA0-9160-9EF1C693DE04}" showGridLines="0" topLeftCell="G1">
      <pane ySplit="1" topLeftCell="A47" activePane="bottomLeft" state="frozen"/>
      <selection pane="bottomLeft"/>
      <pageMargins left="0.7" right="0.7" top="0.75" bottom="0.75" header="0.3" footer="0.3"/>
      <pageSetup orientation="portrait" r:id="rId1"/>
    </customSheetView>
    <customSheetView guid="{1ACDCC85-59E3-4410-927D-E7E5C71B61F5}" showGridLines="0" topLeftCell="F1">
      <pane ySplit="1" topLeftCell="A2" activePane="bottomLeft" state="frozen"/>
      <selection pane="bottomLeft" activeCell="Q5" sqref="Q5"/>
      <pageMargins left="0.7" right="0.7" top="0.75" bottom="0.75" header="0.3" footer="0.3"/>
      <pageSetup orientation="portrait" r:id="rId2"/>
    </customSheetView>
    <customSheetView guid="{9144D9B3-2327-4B3A-89B1-6A595780C3C5}" showGridLines="0" state="hidden" topLeftCell="G1">
      <pane ySplit="1" topLeftCell="A47" activePane="bottomLeft" state="frozen"/>
      <selection pane="bottomLeft" activeCell="L63" sqref="L63"/>
      <pageMargins left="0.7" right="0.7" top="0.75" bottom="0.75" header="0.3" footer="0.3"/>
      <pageSetup orientation="portrait" r:id="rId3"/>
    </customSheetView>
    <customSheetView guid="{513032B5-C585-49C2-98E7-9FDE6F7A4BA7}" showGridLines="0" topLeftCell="G1">
      <pane ySplit="1" topLeftCell="A47" activePane="bottomLeft" state="frozen"/>
      <selection pane="bottomLeft"/>
      <pageMargins left="0.7" right="0.7" top="0.75" bottom="0.75" header="0.3" footer="0.3"/>
      <pageSetup orientation="portrait" r:id="rId4"/>
    </customSheetView>
    <customSheetView guid="{AF983ECA-536A-40E6-8A04-FF0A375E9ACC}" showGridLines="0" topLeftCell="G1">
      <pane ySplit="1" topLeftCell="A47" activePane="bottomLeft" state="frozen"/>
      <selection pane="bottomLeft" activeCell="L63" sqref="L63"/>
      <pageMargins left="0.7" right="0.7" top="0.75" bottom="0.75" header="0.3" footer="0.3"/>
      <pageSetup orientation="portrait" r:id="rId5"/>
    </customSheetView>
  </customSheetViews>
  <pageMargins left="0.7" right="0.7" top="0.75" bottom="0.75" header="0.3" footer="0.3"/>
  <pageSetup orientation="portrait" r:id="rId6"/>
</worksheet>
</file>

<file path=xl/worksheets/sheet26.xml><?xml version="1.0" encoding="utf-8"?>
<worksheet xmlns="http://schemas.openxmlformats.org/spreadsheetml/2006/main" xmlns:r="http://schemas.openxmlformats.org/officeDocument/2006/relationships">
  <dimension ref="A1:T171"/>
  <sheetViews>
    <sheetView showGridLines="0" topLeftCell="D62" workbookViewId="0">
      <selection activeCell="R1" sqref="R1:R1048576"/>
    </sheetView>
  </sheetViews>
  <sheetFormatPr defaultRowHeight="15"/>
  <cols>
    <col min="2" max="2" width="30" bestFit="1" customWidth="1"/>
    <col min="3" max="3" width="65.140625" customWidth="1"/>
    <col min="4" max="4" width="27" bestFit="1" customWidth="1"/>
    <col min="7" max="7" width="11" bestFit="1" customWidth="1"/>
    <col min="8" max="8" width="13.28515625" hidden="1" customWidth="1"/>
    <col min="9" max="17" width="13.28515625" bestFit="1" customWidth="1"/>
    <col min="18" max="18" width="13.28515625" customWidth="1"/>
  </cols>
  <sheetData>
    <row r="1" spans="1:20">
      <c r="A1" s="5" t="str">
        <f>'[6]Final Sheet -US$'!A1</f>
        <v>Country</v>
      </c>
      <c r="B1" s="5" t="str">
        <f>'[6]Final Sheet -US$'!B1</f>
        <v>Subject</v>
      </c>
      <c r="C1" s="5" t="str">
        <f>'[6]Final Sheet -US$'!C1</f>
        <v>Metric</v>
      </c>
      <c r="D1" s="5" t="str">
        <f>'[6]Final Sheet -US$'!D1</f>
        <v>Metric-1</v>
      </c>
      <c r="E1" s="5" t="str">
        <f>'[6]Final Sheet -US$'!E1</f>
        <v>Metric-2</v>
      </c>
      <c r="F1" s="5" t="str">
        <f>'[6]Final Sheet -US$'!F1</f>
        <v>Metric-3</v>
      </c>
      <c r="G1" s="5" t="str">
        <f>'[6]Final Sheet -US$'!G1</f>
        <v>Unit</v>
      </c>
      <c r="H1" s="5">
        <v>2008</v>
      </c>
      <c r="I1" s="5">
        <v>2009</v>
      </c>
      <c r="J1" s="5">
        <v>2010</v>
      </c>
      <c r="K1" s="5">
        <v>2011</v>
      </c>
      <c r="L1" s="5">
        <v>2012</v>
      </c>
      <c r="M1" s="5">
        <v>2013</v>
      </c>
      <c r="N1" s="5">
        <v>2014</v>
      </c>
      <c r="O1" s="5">
        <v>2015</v>
      </c>
      <c r="P1" s="5">
        <v>2016</v>
      </c>
      <c r="Q1" s="5">
        <v>2017</v>
      </c>
      <c r="R1" s="5"/>
      <c r="S1" s="5" t="s">
        <v>515</v>
      </c>
      <c r="T1" s="5" t="s">
        <v>139</v>
      </c>
    </row>
    <row r="3" spans="1:20" s="410" customFormat="1">
      <c r="A3" s="410" t="str">
        <f>Home!B1</f>
        <v>Hungary</v>
      </c>
      <c r="B3" s="410" t="str">
        <f>'[6]Final Sheet -US$'!B2</f>
        <v>Tourism Receipts &amp; Expenditure</v>
      </c>
    </row>
    <row r="4" spans="1:20">
      <c r="A4" t="str">
        <f>Home!$B$1</f>
        <v>Hungary</v>
      </c>
      <c r="B4" t="str">
        <f>'[6]Final Sheet -US$'!B3</f>
        <v>Tourism Receipts &amp; Expenditure</v>
      </c>
      <c r="C4" s="114" t="str">
        <f>'[6]Final Sheet -US$'!C3</f>
        <v>Domestic Tourist Expenditure by Sector</v>
      </c>
      <c r="D4" s="114"/>
      <c r="G4" t="s">
        <v>176</v>
      </c>
    </row>
    <row r="5" spans="1:20">
      <c r="A5" t="str">
        <f>Home!$B$1</f>
        <v>Hungary</v>
      </c>
      <c r="B5" t="str">
        <f>'[6]Final Sheet -US$'!B4</f>
        <v>Tourism Receipts &amp; Expenditure</v>
      </c>
      <c r="C5" s="114" t="str">
        <f>'[6]Final Sheet -US$'!C4</f>
        <v>Domestic Tourist Expenditure by Sector</v>
      </c>
      <c r="D5" s="114" t="str">
        <f>'[6]Final Sheet -US$'!D4</f>
        <v>Accommodation</v>
      </c>
      <c r="G5" t="s">
        <v>176</v>
      </c>
      <c r="H5" s="83">
        <f>'Tourism Medium DB-US$'!G50/'Tourism Medium DB-US$'!G$49</f>
        <v>9.5546169101791895E-2</v>
      </c>
      <c r="I5" s="83">
        <f>'Tourism Medium DB-US$'!H50/'Tourism Medium DB-US$'!H$49</f>
        <v>9.5095320824855556E-2</v>
      </c>
      <c r="J5" s="83">
        <f>'Tourism Medium DB-US$'!I50/'Tourism Medium DB-US$'!I$49</f>
        <v>9.4530026737335737E-2</v>
      </c>
      <c r="K5" s="83">
        <f>'Tourism Medium DB-US$'!J50/'Tourism Medium DB-US$'!J$49</f>
        <v>9.4247002705188015E-2</v>
      </c>
      <c r="L5" s="83">
        <f>'Tourism Medium DB-US$'!K50/'Tourism Medium DB-US$'!K$49</f>
        <v>9.3681520688956896E-2</v>
      </c>
      <c r="M5" s="83">
        <f>'Tourism Medium DB-US$'!L50/'Tourism Medium DB-US$'!L$49</f>
        <v>9.2620834583065845E-2</v>
      </c>
      <c r="N5" s="83">
        <f>'Tourism Medium DB-US$'!M50/'Tourism Medium DB-US$'!M$49</f>
        <v>9.2403391243089078E-2</v>
      </c>
      <c r="O5" s="83">
        <f>'Tourism Medium DB-US$'!N50/'Tourism Medium DB-US$'!N$49</f>
        <v>9.2585802760099131E-2</v>
      </c>
      <c r="P5" s="83">
        <f>'Tourism Medium DB-US$'!O50/'Tourism Medium DB-US$'!O$49</f>
        <v>9.2129644741385894E-2</v>
      </c>
      <c r="Q5" s="83">
        <f>'Tourism Medium DB-US$'!P50/'Tourism Medium DB-US$'!P$49</f>
        <v>9.1642248387119915E-2</v>
      </c>
      <c r="R5" s="83"/>
    </row>
    <row r="6" spans="1:20">
      <c r="A6" t="str">
        <f>Home!$B$1</f>
        <v>Hungary</v>
      </c>
      <c r="B6" t="str">
        <f>'[6]Final Sheet -US$'!B5</f>
        <v>Tourism Receipts &amp; Expenditure</v>
      </c>
      <c r="C6" s="114" t="str">
        <f>'[6]Final Sheet -US$'!C5</f>
        <v>Domestic Tourist Expenditure by Sector</v>
      </c>
      <c r="D6" s="114" t="str">
        <f>'[6]Final Sheet -US$'!D5</f>
        <v>Entertainment &amp; Sightseeing</v>
      </c>
      <c r="G6" t="s">
        <v>176</v>
      </c>
      <c r="H6" s="83">
        <f>'Tourism Medium DB-US$'!G51/'Tourism Medium DB-US$'!G$49</f>
        <v>4.8901532498172952E-2</v>
      </c>
      <c r="I6" s="83">
        <f>'Tourism Medium DB-US$'!H51/'Tourism Medium DB-US$'!H$49</f>
        <v>4.8989657138606243E-2</v>
      </c>
      <c r="J6" s="83">
        <f>'Tourism Medium DB-US$'!I51/'Tourism Medium DB-US$'!I$49</f>
        <v>4.8865153037590994E-2</v>
      </c>
      <c r="K6" s="83">
        <f>'Tourism Medium DB-US$'!J51/'Tourism Medium DB-US$'!J$49</f>
        <v>4.9003712893759814E-2</v>
      </c>
      <c r="L6" s="83">
        <f>'Tourism Medium DB-US$'!K51/'Tourism Medium DB-US$'!K$49</f>
        <v>4.9150724032441084E-2</v>
      </c>
      <c r="M6" s="83">
        <f>'Tourism Medium DB-US$'!L51/'Tourism Medium DB-US$'!L$49</f>
        <v>4.9214246688410249E-2</v>
      </c>
      <c r="N6" s="83">
        <f>'Tourism Medium DB-US$'!M51/'Tourism Medium DB-US$'!M$49</f>
        <v>4.9172401760186626E-2</v>
      </c>
      <c r="O6" s="83">
        <f>'Tourism Medium DB-US$'!N51/'Tourism Medium DB-US$'!N$49</f>
        <v>4.8876271267423534E-2</v>
      </c>
      <c r="P6" s="83">
        <f>'Tourism Medium DB-US$'!O51/'Tourism Medium DB-US$'!O$49</f>
        <v>4.8915064710879579E-2</v>
      </c>
      <c r="Q6" s="83">
        <f>'Tourism Medium DB-US$'!P51/'Tourism Medium DB-US$'!P$49</f>
        <v>4.8958295893945923E-2</v>
      </c>
      <c r="R6" s="83"/>
    </row>
    <row r="7" spans="1:20">
      <c r="A7" t="str">
        <f>Home!$B$1</f>
        <v>Hungary</v>
      </c>
      <c r="B7" t="str">
        <f>'[6]Final Sheet -US$'!B6</f>
        <v>Tourism Receipts &amp; Expenditure</v>
      </c>
      <c r="C7" s="114" t="str">
        <f>'[6]Final Sheet -US$'!C6</f>
        <v>Domestic Tourist Expenditure by Sector</v>
      </c>
      <c r="D7" s="114" t="str">
        <f>'[6]Final Sheet -US$'!D6</f>
        <v>Foodservice</v>
      </c>
      <c r="G7" t="s">
        <v>176</v>
      </c>
      <c r="H7" s="83">
        <f>'Tourism Medium DB-US$'!G52/'Tourism Medium DB-US$'!G$49</f>
        <v>0.15978447600068599</v>
      </c>
      <c r="I7" s="83">
        <f>'Tourism Medium DB-US$'!H52/'Tourism Medium DB-US$'!H$49</f>
        <v>0.16030414194648251</v>
      </c>
      <c r="J7" s="83">
        <f>'Tourism Medium DB-US$'!I52/'Tourism Medium DB-US$'!I$49</f>
        <v>0.16060995292496499</v>
      </c>
      <c r="K7" s="83">
        <f>'Tourism Medium DB-US$'!J52/'Tourism Medium DB-US$'!J$49</f>
        <v>0.15992521254953182</v>
      </c>
      <c r="L7" s="83">
        <f>'Tourism Medium DB-US$'!K52/'Tourism Medium DB-US$'!K$49</f>
        <v>0.16152446467502712</v>
      </c>
      <c r="M7" s="83">
        <f>'Tourism Medium DB-US$'!L52/'Tourism Medium DB-US$'!L$49</f>
        <v>0.16125684950942371</v>
      </c>
      <c r="N7" s="83">
        <f>'Tourism Medium DB-US$'!M52/'Tourism Medium DB-US$'!M$49</f>
        <v>0.16067931288627171</v>
      </c>
      <c r="O7" s="83">
        <f>'Tourism Medium DB-US$'!N52/'Tourism Medium DB-US$'!N$49</f>
        <v>0.16202441235057008</v>
      </c>
      <c r="P7" s="83">
        <f>'Tourism Medium DB-US$'!O52/'Tourism Medium DB-US$'!O$49</f>
        <v>0.16308637152077968</v>
      </c>
      <c r="Q7" s="83">
        <f>'Tourism Medium DB-US$'!P52/'Tourism Medium DB-US$'!P$49</f>
        <v>0.16292014665219598</v>
      </c>
      <c r="R7" s="83"/>
    </row>
    <row r="8" spans="1:20">
      <c r="A8" t="str">
        <f>Home!$B$1</f>
        <v>Hungary</v>
      </c>
      <c r="B8" t="str">
        <f>'[6]Final Sheet -US$'!B7</f>
        <v>Tourism Receipts &amp; Expenditure</v>
      </c>
      <c r="C8" s="114" t="str">
        <f>'[6]Final Sheet -US$'!C7</f>
        <v>Domestic Tourist Expenditure by Sector</v>
      </c>
      <c r="D8" s="114" t="str">
        <f>'[6]Final Sheet -US$'!D7</f>
        <v>Retail</v>
      </c>
      <c r="G8" t="s">
        <v>176</v>
      </c>
      <c r="H8" s="83">
        <f>'Tourism Medium DB-US$'!G53/'Tourism Medium DB-US$'!G$49</f>
        <v>0.1694931551295133</v>
      </c>
      <c r="I8" s="83">
        <f>'Tourism Medium DB-US$'!H53/'Tourism Medium DB-US$'!H$49</f>
        <v>0.16874973530759424</v>
      </c>
      <c r="J8" s="83">
        <f>'Tourism Medium DB-US$'!I53/'Tourism Medium DB-US$'!I$49</f>
        <v>0.16858064807281598</v>
      </c>
      <c r="K8" s="83">
        <f>'Tourism Medium DB-US$'!J53/'Tourism Medium DB-US$'!J$49</f>
        <v>0.16757017465779411</v>
      </c>
      <c r="L8" s="83">
        <f>'Tourism Medium DB-US$'!K53/'Tourism Medium DB-US$'!K$49</f>
        <v>0.16706746413382073</v>
      </c>
      <c r="M8" s="83">
        <f>'Tourism Medium DB-US$'!L53/'Tourism Medium DB-US$'!L$49</f>
        <v>0.16690499934427208</v>
      </c>
      <c r="N8" s="83">
        <f>'Tourism Medium DB-US$'!M53/'Tourism Medium DB-US$'!M$49</f>
        <v>0.16758285104815196</v>
      </c>
      <c r="O8" s="83">
        <f>'Tourism Medium DB-US$'!N53/'Tourism Medium DB-US$'!N$49</f>
        <v>0.16776072938924894</v>
      </c>
      <c r="P8" s="83">
        <f>'Tourism Medium DB-US$'!O53/'Tourism Medium DB-US$'!O$49</f>
        <v>0.16700683051207277</v>
      </c>
      <c r="Q8" s="83">
        <f>'Tourism Medium DB-US$'!P53/'Tourism Medium DB-US$'!P$49</f>
        <v>0.16747542447035074</v>
      </c>
      <c r="R8" s="83"/>
    </row>
    <row r="9" spans="1:20">
      <c r="A9" t="str">
        <f>Home!$B$1</f>
        <v>Hungary</v>
      </c>
      <c r="B9" t="str">
        <f>'[6]Final Sheet -US$'!B8</f>
        <v>Tourism Receipts &amp; Expenditure</v>
      </c>
      <c r="C9" s="114" t="str">
        <f>'[6]Final Sheet -US$'!C8</f>
        <v>Domestic Tourist Expenditure by Sector</v>
      </c>
      <c r="D9" s="114" t="str">
        <f>'[6]Final Sheet -US$'!D8</f>
        <v>Transportation</v>
      </c>
      <c r="G9" t="s">
        <v>176</v>
      </c>
      <c r="H9" s="83">
        <f>'Tourism Medium DB-US$'!G54/'Tourism Medium DB-US$'!G$49</f>
        <v>0.31650394703452361</v>
      </c>
      <c r="I9" s="83">
        <f>'Tourism Medium DB-US$'!H54/'Tourism Medium DB-US$'!H$49</f>
        <v>0.31591879802405753</v>
      </c>
      <c r="J9" s="83">
        <f>'Tourism Medium DB-US$'!I54/'Tourism Medium DB-US$'!I$49</f>
        <v>0.31617093131238527</v>
      </c>
      <c r="K9" s="83">
        <f>'Tourism Medium DB-US$'!J54/'Tourism Medium DB-US$'!J$49</f>
        <v>0.31710384554045112</v>
      </c>
      <c r="L9" s="83">
        <f>'Tourism Medium DB-US$'!K54/'Tourism Medium DB-US$'!K$49</f>
        <v>0.31520122246720844</v>
      </c>
      <c r="M9" s="83">
        <f>'Tourism Medium DB-US$'!L54/'Tourism Medium DB-US$'!L$49</f>
        <v>0.31511603970836444</v>
      </c>
      <c r="N9" s="83">
        <f>'Tourism Medium DB-US$'!M54/'Tourism Medium DB-US$'!M$49</f>
        <v>0.31395349624758784</v>
      </c>
      <c r="O9" s="83">
        <f>'Tourism Medium DB-US$'!N54/'Tourism Medium DB-US$'!N$49</f>
        <v>0.31404118212777238</v>
      </c>
      <c r="P9" s="83">
        <f>'Tourism Medium DB-US$'!O54/'Tourism Medium DB-US$'!O$49</f>
        <v>0.31331271995802695</v>
      </c>
      <c r="Q9" s="83">
        <f>'Tourism Medium DB-US$'!P54/'Tourism Medium DB-US$'!P$49</f>
        <v>0.31284964001531335</v>
      </c>
      <c r="R9" s="83"/>
    </row>
    <row r="10" spans="1:20">
      <c r="A10" t="str">
        <f>Home!$B$1</f>
        <v>Hungary</v>
      </c>
      <c r="B10" t="str">
        <f>'[6]Final Sheet -US$'!B9</f>
        <v>Tourism Receipts &amp; Expenditure</v>
      </c>
      <c r="C10" s="114" t="str">
        <f>'[6]Final Sheet -US$'!C9</f>
        <v>Domestic Tourist Expenditure by Sector</v>
      </c>
      <c r="D10" s="114" t="str">
        <f>'[6]Final Sheet -US$'!D9</f>
        <v>Travel Intermediation</v>
      </c>
      <c r="G10" t="s">
        <v>176</v>
      </c>
      <c r="H10" s="83">
        <f>'Tourism Medium DB-US$'!G55/'Tourism Medium DB-US$'!G$49</f>
        <v>3.1405361937339907E-2</v>
      </c>
      <c r="I10" s="83">
        <f>'Tourism Medium DB-US$'!H55/'Tourism Medium DB-US$'!H$49</f>
        <v>3.1219678909919356E-2</v>
      </c>
      <c r="J10" s="83">
        <f>'Tourism Medium DB-US$'!I55/'Tourism Medium DB-US$'!I$49</f>
        <v>3.1051848694485011E-2</v>
      </c>
      <c r="K10" s="83">
        <f>'Tourism Medium DB-US$'!J55/'Tourism Medium DB-US$'!J$49</f>
        <v>3.1300263484040899E-2</v>
      </c>
      <c r="L10" s="83">
        <f>'Tourism Medium DB-US$'!K55/'Tourism Medium DB-US$'!K$49</f>
        <v>3.1675866645849392E-2</v>
      </c>
      <c r="M10" s="83">
        <f>'Tourism Medium DB-US$'!L55/'Tourism Medium DB-US$'!L$49</f>
        <v>3.1645139162144759E-2</v>
      </c>
      <c r="N10" s="83">
        <f>'Tourism Medium DB-US$'!M55/'Tourism Medium DB-US$'!M$49</f>
        <v>3.2083366436915256E-2</v>
      </c>
      <c r="O10" s="83">
        <f>'Tourism Medium DB-US$'!N55/'Tourism Medium DB-US$'!N$49</f>
        <v>3.1757511765912988E-2</v>
      </c>
      <c r="P10" s="83">
        <f>'Tourism Medium DB-US$'!O55/'Tourism Medium DB-US$'!O$49</f>
        <v>3.2093188612598494E-2</v>
      </c>
      <c r="Q10" s="83">
        <f>'Tourism Medium DB-US$'!P55/'Tourism Medium DB-US$'!P$49</f>
        <v>3.2210516642274943E-2</v>
      </c>
      <c r="R10" s="83"/>
    </row>
    <row r="11" spans="1:20">
      <c r="A11" t="str">
        <f>Home!$B$1</f>
        <v>Hungary</v>
      </c>
      <c r="B11" t="str">
        <f>'[6]Final Sheet -US$'!B10</f>
        <v>Tourism Receipts &amp; Expenditure</v>
      </c>
      <c r="C11" s="114" t="str">
        <f>'[6]Final Sheet -US$'!C10</f>
        <v>Domestic Tourist Expenditure by Sector</v>
      </c>
      <c r="D11" s="114" t="str">
        <f>'[6]Final Sheet -US$'!D10</f>
        <v>Other Sectors</v>
      </c>
      <c r="G11" t="s">
        <v>176</v>
      </c>
      <c r="H11" s="83">
        <f>'Tourism Medium DB-US$'!G56/'Tourism Medium DB-US$'!G$49</f>
        <v>0.1783653582979722</v>
      </c>
      <c r="I11" s="83">
        <f>'Tourism Medium DB-US$'!H56/'Tourism Medium DB-US$'!H$49</f>
        <v>0.17972266784848462</v>
      </c>
      <c r="J11" s="83">
        <f>'Tourism Medium DB-US$'!I56/'Tourism Medium DB-US$'!I$49</f>
        <v>0.18019143922042208</v>
      </c>
      <c r="K11" s="83">
        <f>'Tourism Medium DB-US$'!J56/'Tourism Medium DB-US$'!J$49</f>
        <v>0.18084978816923414</v>
      </c>
      <c r="L11" s="83">
        <f>'Tourism Medium DB-US$'!K56/'Tourism Medium DB-US$'!K$49</f>
        <v>0.18169873735669642</v>
      </c>
      <c r="M11" s="83">
        <f>'Tourism Medium DB-US$'!L56/'Tourism Medium DB-US$'!L$49</f>
        <v>0.18324189100431912</v>
      </c>
      <c r="N11" s="83">
        <f>'Tourism Medium DB-US$'!M56/'Tourism Medium DB-US$'!M$49</f>
        <v>0.18412518037779757</v>
      </c>
      <c r="O11" s="83">
        <f>'Tourism Medium DB-US$'!N56/'Tourism Medium DB-US$'!N$49</f>
        <v>0.18295409033897303</v>
      </c>
      <c r="P11" s="83">
        <f>'Tourism Medium DB-US$'!O56/'Tourism Medium DB-US$'!O$49</f>
        <v>0.18345617994425656</v>
      </c>
      <c r="Q11" s="83">
        <f>'Tourism Medium DB-US$'!P56/'Tourism Medium DB-US$'!P$49</f>
        <v>0.18394372793879932</v>
      </c>
      <c r="R11" s="83"/>
    </row>
    <row r="12" spans="1:20">
      <c r="C12" s="114"/>
      <c r="D12" s="114"/>
      <c r="H12" s="83"/>
      <c r="I12" s="83"/>
      <c r="J12" s="83"/>
      <c r="K12" s="83"/>
      <c r="L12" s="83"/>
      <c r="M12" s="83"/>
      <c r="N12" s="83"/>
      <c r="O12" s="83"/>
      <c r="P12" s="83"/>
      <c r="Q12" s="83"/>
      <c r="R12" s="83"/>
    </row>
    <row r="13" spans="1:20">
      <c r="A13" t="str">
        <f t="shared" ref="A13:A21" si="0">$T$1</f>
        <v>Norway</v>
      </c>
      <c r="B13" t="s">
        <v>34</v>
      </c>
      <c r="C13" s="114"/>
      <c r="D13" s="114"/>
      <c r="H13" s="83"/>
      <c r="I13" s="83"/>
      <c r="J13" s="83"/>
      <c r="K13" s="83"/>
      <c r="L13" s="83"/>
      <c r="M13" s="83"/>
      <c r="N13" s="83"/>
      <c r="O13" s="83"/>
      <c r="P13" s="83"/>
      <c r="Q13" s="83"/>
      <c r="R13" s="83"/>
    </row>
    <row r="14" spans="1:20">
      <c r="A14" t="str">
        <f t="shared" si="0"/>
        <v>Norway</v>
      </c>
      <c r="B14" t="s">
        <v>34</v>
      </c>
      <c r="C14" s="114" t="s">
        <v>35</v>
      </c>
      <c r="D14" s="114"/>
      <c r="G14" t="s">
        <v>176</v>
      </c>
      <c r="H14" s="86"/>
      <c r="I14" s="86"/>
      <c r="J14" s="86"/>
      <c r="K14" s="86"/>
      <c r="L14" s="86"/>
      <c r="M14" s="86"/>
      <c r="N14" s="86"/>
      <c r="O14" s="86"/>
      <c r="P14" s="86"/>
      <c r="Q14" s="86"/>
      <c r="R14" s="86"/>
    </row>
    <row r="15" spans="1:20">
      <c r="A15" t="str">
        <f t="shared" si="0"/>
        <v>Norway</v>
      </c>
      <c r="B15" t="s">
        <v>34</v>
      </c>
      <c r="C15" s="114" t="s">
        <v>35</v>
      </c>
      <c r="D15" s="114" t="s">
        <v>36</v>
      </c>
      <c r="G15" t="s">
        <v>176</v>
      </c>
      <c r="H15" s="86">
        <v>9.7695469429235099E-2</v>
      </c>
      <c r="I15" s="86">
        <v>9.4247096952285003E-2</v>
      </c>
      <c r="J15" s="86">
        <v>9.4341344049237247E-2</v>
      </c>
      <c r="K15" s="86">
        <v>9.4247002705188015E-2</v>
      </c>
      <c r="L15" s="86">
        <v>9.4042048102206205E-2</v>
      </c>
      <c r="M15" s="86">
        <v>9.3322255817467614E-2</v>
      </c>
      <c r="N15" s="86">
        <v>9.3664890453471816E-2</v>
      </c>
      <c r="O15" s="86">
        <v>9.3521716775957067E-2</v>
      </c>
      <c r="P15" s="86">
        <v>9.2720645050229852E-2</v>
      </c>
      <c r="Q15" s="86">
        <v>9.2720645050229852E-2</v>
      </c>
      <c r="R15" s="86"/>
    </row>
    <row r="16" spans="1:20">
      <c r="A16" t="str">
        <f t="shared" si="0"/>
        <v>Norway</v>
      </c>
      <c r="B16" t="s">
        <v>34</v>
      </c>
      <c r="C16" s="114" t="s">
        <v>35</v>
      </c>
      <c r="D16" s="114" t="s">
        <v>37</v>
      </c>
      <c r="G16" t="s">
        <v>176</v>
      </c>
      <c r="H16" s="86">
        <v>5.0833193865044653E-2</v>
      </c>
      <c r="I16" s="86">
        <v>5.4132217832714082E-2</v>
      </c>
      <c r="J16" s="86">
        <v>5.4294614486212214E-2</v>
      </c>
      <c r="K16" s="86">
        <v>5.3968846799294937E-2</v>
      </c>
      <c r="L16" s="86">
        <v>5.4222401523700475E-2</v>
      </c>
      <c r="M16" s="86">
        <v>5.5504152499818091E-2</v>
      </c>
      <c r="N16" s="86">
        <v>5.4877112382026104E-2</v>
      </c>
      <c r="O16" s="86">
        <v>5.5138384405010857E-2</v>
      </c>
      <c r="P16" s="86">
        <v>5.5625469588003344E-2</v>
      </c>
      <c r="Q16" s="86">
        <v>5.5625469588003344E-2</v>
      </c>
      <c r="R16" s="86"/>
    </row>
    <row r="17" spans="1:18">
      <c r="A17" t="str">
        <f t="shared" si="0"/>
        <v>Norway</v>
      </c>
      <c r="B17" t="s">
        <v>34</v>
      </c>
      <c r="C17" s="114" t="s">
        <v>35</v>
      </c>
      <c r="D17" s="114" t="s">
        <v>38</v>
      </c>
      <c r="G17" t="s">
        <v>176</v>
      </c>
      <c r="H17" s="86">
        <v>0.16337880981665234</v>
      </c>
      <c r="I17" s="86">
        <v>0.16441450456049489</v>
      </c>
      <c r="J17" s="86">
        <v>0.16523657708329731</v>
      </c>
      <c r="K17" s="86">
        <v>0.16589752339163055</v>
      </c>
      <c r="L17" s="86">
        <v>0.16521320099940437</v>
      </c>
      <c r="M17" s="86">
        <v>0.16773635872722101</v>
      </c>
      <c r="N17" s="86">
        <v>0.16883005255086281</v>
      </c>
      <c r="O17" s="86">
        <v>0.16981183436428648</v>
      </c>
      <c r="P17" s="86">
        <v>0.17101963423830968</v>
      </c>
      <c r="Q17" s="86">
        <v>0.17101963423830968</v>
      </c>
      <c r="R17" s="86"/>
    </row>
    <row r="18" spans="1:18">
      <c r="A18" t="str">
        <f t="shared" si="0"/>
        <v>Norway</v>
      </c>
      <c r="B18" t="s">
        <v>34</v>
      </c>
      <c r="C18" s="114" t="s">
        <v>35</v>
      </c>
      <c r="D18" s="114" t="s">
        <v>39</v>
      </c>
      <c r="G18" t="s">
        <v>176</v>
      </c>
      <c r="H18" s="86">
        <v>0.16376150254059257</v>
      </c>
      <c r="I18" s="86">
        <v>0.16874973530759421</v>
      </c>
      <c r="J18" s="86">
        <v>0.16841223583697901</v>
      </c>
      <c r="K18" s="86">
        <v>0.16757017465779411</v>
      </c>
      <c r="L18" s="86">
        <v>0.16740327294296428</v>
      </c>
      <c r="M18" s="86">
        <v>0.16759554889173153</v>
      </c>
      <c r="N18" s="86">
        <v>0.16542400391533887</v>
      </c>
      <c r="O18" s="86">
        <v>0.16428978983220796</v>
      </c>
      <c r="P18" s="86">
        <v>0.16365662258786626</v>
      </c>
      <c r="Q18" s="86">
        <v>0.16365662258786626</v>
      </c>
      <c r="R18" s="86"/>
    </row>
    <row r="19" spans="1:18">
      <c r="A19" t="str">
        <f t="shared" si="0"/>
        <v>Norway</v>
      </c>
      <c r="B19" t="s">
        <v>34</v>
      </c>
      <c r="C19" s="114" t="s">
        <v>35</v>
      </c>
      <c r="D19" s="114" t="s">
        <v>40</v>
      </c>
      <c r="G19" t="s">
        <v>176</v>
      </c>
      <c r="H19" s="86">
        <v>0.31650394703452361</v>
      </c>
      <c r="I19" s="86">
        <v>0.30087504573719759</v>
      </c>
      <c r="J19" s="86">
        <v>0.29997242059998597</v>
      </c>
      <c r="K19" s="86">
        <v>0.30057236544118593</v>
      </c>
      <c r="L19" s="86">
        <v>0.29962351143272242</v>
      </c>
      <c r="M19" s="86">
        <v>0.29729597302270183</v>
      </c>
      <c r="N19" s="86">
        <v>0.29935454875112716</v>
      </c>
      <c r="O19" s="86">
        <v>0.29847248195092241</v>
      </c>
      <c r="P19" s="86">
        <v>0.29917409181974292</v>
      </c>
      <c r="Q19" s="86">
        <v>0.29917409181974292</v>
      </c>
      <c r="R19" s="86"/>
    </row>
    <row r="20" spans="1:18">
      <c r="A20" t="str">
        <f t="shared" si="0"/>
        <v>Norway</v>
      </c>
      <c r="B20" t="s">
        <v>34</v>
      </c>
      <c r="C20" s="114" t="s">
        <v>35</v>
      </c>
      <c r="D20" s="114" t="s">
        <v>41</v>
      </c>
      <c r="G20" t="s">
        <v>176</v>
      </c>
      <c r="H20" s="86">
        <v>3.2782214965908052E-2</v>
      </c>
      <c r="I20" s="86">
        <v>3.2588391346471138E-2</v>
      </c>
      <c r="J20" s="86">
        <v>3.2686156520510545E-2</v>
      </c>
      <c r="K20" s="86">
        <v>3.294764577267463E-2</v>
      </c>
      <c r="L20" s="86">
        <v>3.3160833396493235E-2</v>
      </c>
      <c r="M20" s="86">
        <v>3.29678361527386E-2</v>
      </c>
      <c r="N20" s="86">
        <v>3.2853469213621533E-2</v>
      </c>
      <c r="O20" s="86">
        <v>3.2860404733674284E-2</v>
      </c>
      <c r="P20" s="86">
        <v>3.3028763787263403E-2</v>
      </c>
      <c r="Q20" s="86">
        <v>3.3028763787263403E-2</v>
      </c>
      <c r="R20" s="86"/>
    </row>
    <row r="21" spans="1:18">
      <c r="A21" t="str">
        <f t="shared" si="0"/>
        <v>Norway</v>
      </c>
      <c r="B21" t="s">
        <v>34</v>
      </c>
      <c r="C21" s="114" t="s">
        <v>35</v>
      </c>
      <c r="D21" s="114" t="s">
        <v>42</v>
      </c>
      <c r="G21" t="s">
        <v>176</v>
      </c>
      <c r="H21" s="86">
        <v>0.1750448623480437</v>
      </c>
      <c r="I21" s="86">
        <v>0.18499300826324314</v>
      </c>
      <c r="J21" s="86">
        <v>0.18505665142377778</v>
      </c>
      <c r="K21" s="86">
        <v>0.18479644123223196</v>
      </c>
      <c r="L21" s="86">
        <v>0.18633473160250905</v>
      </c>
      <c r="M21" s="86">
        <v>0.18557787488832142</v>
      </c>
      <c r="N21" s="86">
        <v>0.18499592273355156</v>
      </c>
      <c r="O21" s="86">
        <v>0.18590538793794084</v>
      </c>
      <c r="P21" s="86">
        <v>0.18477477292858457</v>
      </c>
      <c r="Q21" s="86">
        <v>0.18477477292858457</v>
      </c>
      <c r="R21" s="86"/>
    </row>
    <row r="22" spans="1:18">
      <c r="C22" s="114"/>
      <c r="D22" s="114"/>
    </row>
    <row r="23" spans="1:18" hidden="1">
      <c r="A23" t="str">
        <f>'[6]Final Sheet -US$'!A11</f>
        <v>Egypt</v>
      </c>
      <c r="B23" t="str">
        <f>'[6]Final Sheet -US$'!B11</f>
        <v>Tourism Receipts &amp; Expenditure</v>
      </c>
      <c r="C23" s="114" t="str">
        <f>'[6]Final Sheet -US$'!C11</f>
        <v>Inbound Tourist Expenditure by Sector</v>
      </c>
      <c r="D23" s="114"/>
    </row>
    <row r="24" spans="1:18" hidden="1">
      <c r="A24" t="str">
        <f>'[6]Final Sheet -US$'!A12</f>
        <v>Egypt</v>
      </c>
      <c r="B24" t="str">
        <f>'[6]Final Sheet -US$'!B12</f>
        <v>Tourism Receipts &amp; Expenditure</v>
      </c>
      <c r="C24" s="114" t="str">
        <f>'[6]Final Sheet -US$'!C12</f>
        <v>Inbound Tourist Expenditure by Sector</v>
      </c>
      <c r="D24" s="114" t="str">
        <f>'[6]Final Sheet -US$'!D12</f>
        <v>Accommodation</v>
      </c>
      <c r="G24" t="s">
        <v>176</v>
      </c>
      <c r="H24" s="83">
        <f>'[6]Final Sheet -US$'!H12/'[6]Final Sheet -US$'!H$11</f>
        <v>0.24991217140186447</v>
      </c>
      <c r="I24" s="83">
        <f>'[6]Final Sheet -US$'!I12/'[6]Final Sheet -US$'!I$11</f>
        <v>0.25111800084261604</v>
      </c>
      <c r="J24" s="83">
        <f>'[6]Final Sheet -US$'!J12/'[6]Final Sheet -US$'!J$11</f>
        <v>0.24968495559315296</v>
      </c>
      <c r="K24" s="83">
        <f>'[6]Final Sheet -US$'!K12/'[6]Final Sheet -US$'!K$11</f>
        <v>0.25121655194764997</v>
      </c>
      <c r="L24" s="83">
        <f>'[6]Final Sheet -US$'!L12/'[6]Final Sheet -US$'!L$11</f>
        <v>0.24965998959419367</v>
      </c>
      <c r="M24" s="83">
        <f>'[6]Final Sheet -US$'!M12/'[6]Final Sheet -US$'!M$11</f>
        <v>0.25101251100117966</v>
      </c>
      <c r="N24" s="83">
        <f>'[6]Final Sheet -US$'!N12/'[6]Final Sheet -US$'!N$11</f>
        <v>0.25234641623594672</v>
      </c>
      <c r="O24" s="83">
        <f>'[6]Final Sheet -US$'!O12/'[6]Final Sheet -US$'!O$11</f>
        <v>0.25276865165154583</v>
      </c>
      <c r="P24" s="83">
        <f>'[6]Final Sheet -US$'!P12/'[6]Final Sheet -US$'!P$11</f>
        <v>0.2511996693233437</v>
      </c>
      <c r="Q24" s="83">
        <f>'[6]Final Sheet -US$'!Q12/'[6]Final Sheet -US$'!Q$11</f>
        <v>0.25165278431672528</v>
      </c>
      <c r="R24" s="83"/>
    </row>
    <row r="25" spans="1:18" hidden="1">
      <c r="A25" t="str">
        <f>'[6]Final Sheet -US$'!A13</f>
        <v>Egypt</v>
      </c>
      <c r="B25" t="str">
        <f>'[6]Final Sheet -US$'!B13</f>
        <v>Tourism Receipts &amp; Expenditure</v>
      </c>
      <c r="C25" s="114" t="str">
        <f>'[6]Final Sheet -US$'!C13</f>
        <v>Inbound Tourist Expenditure by Sector</v>
      </c>
      <c r="D25" s="114" t="str">
        <f>'[6]Final Sheet -US$'!D13</f>
        <v>Entertainment &amp; Sightseeing</v>
      </c>
      <c r="G25" t="s">
        <v>176</v>
      </c>
      <c r="H25" s="83">
        <f>'[6]Final Sheet -US$'!H13/'[6]Final Sheet -US$'!H$11</f>
        <v>9.541726366084009E-3</v>
      </c>
      <c r="I25" s="83">
        <f>'[6]Final Sheet -US$'!I13/'[6]Final Sheet -US$'!I$11</f>
        <v>9.5684159534794207E-3</v>
      </c>
      <c r="J25" s="83">
        <f>'[6]Final Sheet -US$'!J13/'[6]Final Sheet -US$'!J$11</f>
        <v>9.541726366084009E-3</v>
      </c>
      <c r="K25" s="83">
        <f>'[6]Final Sheet -US$'!K13/'[6]Final Sheet -US$'!K$11</f>
        <v>9.5721710724373469E-3</v>
      </c>
      <c r="L25" s="83">
        <f>'[6]Final Sheet -US$'!L13/'[6]Final Sheet -US$'!L$11</f>
        <v>9.5417263660840107E-3</v>
      </c>
      <c r="M25" s="83">
        <f>'[6]Final Sheet -US$'!M13/'[6]Final Sheet -US$'!M$11</f>
        <v>9.6377623563164896E-3</v>
      </c>
      <c r="N25" s="83">
        <f>'[6]Final Sheet -US$'!N13/'[6]Final Sheet -US$'!N$11</f>
        <v>9.7193114846428185E-3</v>
      </c>
      <c r="O25" s="83">
        <f>'[6]Final Sheet -US$'!O13/'[6]Final Sheet -US$'!O$11</f>
        <v>9.6920577672615152E-3</v>
      </c>
      <c r="P25" s="83">
        <f>'[6]Final Sheet -US$'!P13/'[6]Final Sheet -US$'!P$11</f>
        <v>9.7259004376864557E-3</v>
      </c>
      <c r="Q25" s="83">
        <f>'[6]Final Sheet -US$'!Q13/'[6]Final Sheet -US$'!Q$11</f>
        <v>9.7758686021492333E-3</v>
      </c>
      <c r="R25" s="83"/>
    </row>
    <row r="26" spans="1:18" hidden="1">
      <c r="A26" t="str">
        <f>'[6]Final Sheet -US$'!A14</f>
        <v>Egypt</v>
      </c>
      <c r="B26" t="str">
        <f>'[6]Final Sheet -US$'!B14</f>
        <v>Tourism Receipts &amp; Expenditure</v>
      </c>
      <c r="C26" s="114" t="str">
        <f>'[6]Final Sheet -US$'!C14</f>
        <v>Inbound Tourist Expenditure by Sector</v>
      </c>
      <c r="D26" s="114" t="str">
        <f>'[6]Final Sheet -US$'!D14</f>
        <v>Foodservice</v>
      </c>
      <c r="G26" t="s">
        <v>176</v>
      </c>
      <c r="H26" s="83">
        <f>'[6]Final Sheet -US$'!H14/'[6]Final Sheet -US$'!H$11</f>
        <v>4.6807468784734331E-2</v>
      </c>
      <c r="I26" s="83">
        <f>'[6]Final Sheet -US$'!I14/'[6]Final Sheet -US$'!I$11</f>
        <v>4.7126714578230533E-2</v>
      </c>
      <c r="J26" s="83">
        <f>'[6]Final Sheet -US$'!J14/'[6]Final Sheet -US$'!J$11</f>
        <v>4.6807468784734331E-2</v>
      </c>
      <c r="K26" s="83">
        <f>'[6]Final Sheet -US$'!K14/'[6]Final Sheet -US$'!K$11</f>
        <v>4.6627130203903674E-2</v>
      </c>
      <c r="L26" s="83">
        <f>'[6]Final Sheet -US$'!L14/'[6]Final Sheet -US$'!L$11</f>
        <v>4.6807468784734338E-2</v>
      </c>
      <c r="M26" s="83">
        <f>'[6]Final Sheet -US$'!M14/'[6]Final Sheet -US$'!M$11</f>
        <v>4.6906475202869655E-2</v>
      </c>
      <c r="N26" s="83">
        <f>'[6]Final Sheet -US$'!N14/'[6]Final Sheet -US$'!N$11</f>
        <v>4.6755092834612981E-2</v>
      </c>
      <c r="O26" s="83">
        <f>'[6]Final Sheet -US$'!O14/'[6]Final Sheet -US$'!O$11</f>
        <v>4.6371856139563232E-2</v>
      </c>
      <c r="P26" s="83">
        <f>'[6]Final Sheet -US$'!P14/'[6]Final Sheet -US$'!P$11</f>
        <v>4.6443834144962892E-2</v>
      </c>
      <c r="Q26" s="83">
        <f>'[6]Final Sheet -US$'!Q14/'[6]Final Sheet -US$'!Q$11</f>
        <v>4.6230803860613838E-2</v>
      </c>
      <c r="R26" s="83"/>
    </row>
    <row r="27" spans="1:18" hidden="1">
      <c r="A27" t="str">
        <f>'[6]Final Sheet -US$'!A15</f>
        <v>Egypt</v>
      </c>
      <c r="B27" t="str">
        <f>'[6]Final Sheet -US$'!B15</f>
        <v>Tourism Receipts &amp; Expenditure</v>
      </c>
      <c r="C27" s="114" t="str">
        <f>'[6]Final Sheet -US$'!C15</f>
        <v>Inbound Tourist Expenditure by Sector</v>
      </c>
      <c r="D27" s="114" t="str">
        <f>'[6]Final Sheet -US$'!D15</f>
        <v>Retail</v>
      </c>
      <c r="G27" t="s">
        <v>176</v>
      </c>
      <c r="H27" s="83">
        <f>'[6]Final Sheet -US$'!H15/'[6]Final Sheet -US$'!H$11</f>
        <v>0.28199999999999997</v>
      </c>
      <c r="I27" s="83">
        <f>'[6]Final Sheet -US$'!I15/'[6]Final Sheet -US$'!I$11</f>
        <v>0.28143599999999996</v>
      </c>
      <c r="J27" s="83">
        <f>'[6]Final Sheet -US$'!J15/'[6]Final Sheet -US$'!J$11</f>
        <v>0.28199999999999997</v>
      </c>
      <c r="K27" s="83">
        <f>'[6]Final Sheet -US$'!K15/'[6]Final Sheet -US$'!K$11</f>
        <v>0.28115399999999996</v>
      </c>
      <c r="L27" s="83">
        <f>'[6]Final Sheet -US$'!L15/'[6]Final Sheet -US$'!L$11</f>
        <v>0.28199999999999997</v>
      </c>
      <c r="M27" s="83">
        <f>'[6]Final Sheet -US$'!M15/'[6]Final Sheet -US$'!M$11</f>
        <v>0.28064100840816469</v>
      </c>
      <c r="N27" s="83">
        <f>'[6]Final Sheet -US$'!N15/'[6]Final Sheet -US$'!N$11</f>
        <v>0.28148450222082311</v>
      </c>
      <c r="O27" s="83">
        <f>'[6]Final Sheet -US$'!O15/'[6]Final Sheet -US$'!O$11</f>
        <v>0.28202989281522517</v>
      </c>
      <c r="P27" s="83">
        <f>'[6]Final Sheet -US$'!P15/'[6]Final Sheet -US$'!P$11</f>
        <v>0.28115099260762239</v>
      </c>
      <c r="Q27" s="83">
        <f>'[6]Final Sheet -US$'!Q15/'[6]Final Sheet -US$'!Q$11</f>
        <v>0.2827543077596596</v>
      </c>
      <c r="R27" s="83"/>
    </row>
    <row r="28" spans="1:18" hidden="1">
      <c r="A28" t="str">
        <f>'[6]Final Sheet -US$'!A16</f>
        <v>Egypt</v>
      </c>
      <c r="B28" t="str">
        <f>'[6]Final Sheet -US$'!B16</f>
        <v>Tourism Receipts &amp; Expenditure</v>
      </c>
      <c r="C28" s="114" t="str">
        <f>'[6]Final Sheet -US$'!C16</f>
        <v>Inbound Tourist Expenditure by Sector</v>
      </c>
      <c r="D28" s="114" t="str">
        <f>'[6]Final Sheet -US$'!D16</f>
        <v>Transportation</v>
      </c>
      <c r="G28" t="s">
        <v>176</v>
      </c>
      <c r="H28" s="83">
        <f>'[6]Final Sheet -US$'!H16/'[6]Final Sheet -US$'!H$11</f>
        <v>0.23003511980900865</v>
      </c>
      <c r="I28" s="83">
        <f>'[6]Final Sheet -US$'!I16/'[6]Final Sheet -US$'!I$11</f>
        <v>0.22905895252325145</v>
      </c>
      <c r="J28" s="83">
        <f>'[6]Final Sheet -US$'!J16/'[6]Final Sheet -US$'!J$11</f>
        <v>0.23003511980900868</v>
      </c>
      <c r="K28" s="83">
        <f>'[6]Final Sheet -US$'!K16/'[6]Final Sheet -US$'!K$11</f>
        <v>0.22914884656833523</v>
      </c>
      <c r="L28" s="83">
        <f>'[6]Final Sheet -US$'!L16/'[6]Final Sheet -US$'!L$11</f>
        <v>0.23072869303456353</v>
      </c>
      <c r="M28" s="83">
        <f>'[6]Final Sheet -US$'!M16/'[6]Final Sheet -US$'!M$11</f>
        <v>0.23014150750087931</v>
      </c>
      <c r="N28" s="83">
        <f>'[6]Final Sheet -US$'!N16/'[6]Final Sheet -US$'!N$11</f>
        <v>0.22897332228056796</v>
      </c>
      <c r="O28" s="83">
        <f>'[6]Final Sheet -US$'!O16/'[6]Final Sheet -US$'!O$11</f>
        <v>0.22757036360636637</v>
      </c>
      <c r="P28" s="83">
        <f>'[6]Final Sheet -US$'!P16/'[6]Final Sheet -US$'!P$11</f>
        <v>0.22945503043857177</v>
      </c>
      <c r="Q28" s="83">
        <f>'[6]Final Sheet -US$'!Q16/'[6]Final Sheet -US$'!Q$11</f>
        <v>0.22802458019117852</v>
      </c>
      <c r="R28" s="83"/>
    </row>
    <row r="29" spans="1:18" hidden="1">
      <c r="A29" t="str">
        <f>'[6]Final Sheet -US$'!A17</f>
        <v>Egypt</v>
      </c>
      <c r="B29" t="str">
        <f>'[6]Final Sheet -US$'!B17</f>
        <v>Tourism Receipts &amp; Expenditure</v>
      </c>
      <c r="C29" s="114" t="str">
        <f>'[6]Final Sheet -US$'!C17</f>
        <v>Inbound Tourist Expenditure by Sector</v>
      </c>
      <c r="D29" s="114" t="str">
        <f>'[6]Final Sheet -US$'!D17</f>
        <v>Travel Intermediation</v>
      </c>
      <c r="G29" t="s">
        <v>176</v>
      </c>
      <c r="H29" s="83">
        <f>'[6]Final Sheet -US$'!H17/'[6]Final Sheet -US$'!H$11</f>
        <v>0.14760494905914859</v>
      </c>
      <c r="I29" s="83">
        <f>'[6]Final Sheet -US$'!I17/'[6]Final Sheet -US$'!I$11</f>
        <v>0.1471270421637384</v>
      </c>
      <c r="J29" s="83">
        <f>'[6]Final Sheet -US$'!J17/'[6]Final Sheet -US$'!J$11</f>
        <v>0.14760494905914856</v>
      </c>
      <c r="K29" s="83">
        <f>'[6]Final Sheet -US$'!K17/'[6]Final Sheet -US$'!K$11</f>
        <v>0.14777886798241324</v>
      </c>
      <c r="L29" s="83">
        <f>'[6]Final Sheet -US$'!L17/'[6]Final Sheet -US$'!L$11</f>
        <v>0.14730825569420558</v>
      </c>
      <c r="M29" s="83">
        <f>'[6]Final Sheet -US$'!M17/'[6]Final Sheet -US$'!M$11</f>
        <v>0.14744316362164561</v>
      </c>
      <c r="N29" s="83">
        <f>'[6]Final Sheet -US$'!N17/'[6]Final Sheet -US$'!N$11</f>
        <v>0.14618769291751502</v>
      </c>
      <c r="O29" s="83">
        <f>'[6]Final Sheet -US$'!O17/'[6]Final Sheet -US$'!O$11</f>
        <v>0.1473662639367794</v>
      </c>
      <c r="P29" s="83">
        <f>'[6]Final Sheet -US$'!P17/'[6]Final Sheet -US$'!P$11</f>
        <v>0.14815459696600186</v>
      </c>
      <c r="Q29" s="83">
        <f>'[6]Final Sheet -US$'!Q17/'[6]Final Sheet -US$'!Q$11</f>
        <v>0.14807979180812761</v>
      </c>
      <c r="R29" s="83"/>
    </row>
    <row r="30" spans="1:18" hidden="1">
      <c r="A30" t="str">
        <f>'[6]Final Sheet -US$'!A18</f>
        <v>Egypt</v>
      </c>
      <c r="B30" t="str">
        <f>'[6]Final Sheet -US$'!B18</f>
        <v>Tourism Receipts &amp; Expenditure</v>
      </c>
      <c r="C30" s="114" t="str">
        <f>'[6]Final Sheet -US$'!C18</f>
        <v>Inbound Tourist Expenditure by Sector</v>
      </c>
      <c r="D30" s="114" t="str">
        <f>'[6]Final Sheet -US$'!D18</f>
        <v>Other Sectors</v>
      </c>
      <c r="G30" t="s">
        <v>176</v>
      </c>
      <c r="H30" s="83">
        <f>'[6]Final Sheet -US$'!H18/'[6]Final Sheet -US$'!H$11</f>
        <v>3.4098564579160003E-2</v>
      </c>
      <c r="I30" s="83">
        <f>'[6]Final Sheet -US$'!I18/'[6]Final Sheet -US$'!I$11</f>
        <v>3.4564873938684314E-2</v>
      </c>
      <c r="J30" s="83">
        <f>'[6]Final Sheet -US$'!J18/'[6]Final Sheet -US$'!J$11</f>
        <v>3.432578038787145E-2</v>
      </c>
      <c r="K30" s="83">
        <f>'[6]Final Sheet -US$'!K18/'[6]Final Sheet -US$'!K$11</f>
        <v>3.4502432225260643E-2</v>
      </c>
      <c r="L30" s="83">
        <f>'[6]Final Sheet -US$'!L18/'[6]Final Sheet -US$'!L$11</f>
        <v>3.395386652621895E-2</v>
      </c>
      <c r="M30" s="83">
        <f>'[6]Final Sheet -US$'!M18/'[6]Final Sheet -US$'!M$11</f>
        <v>3.4217571908944359E-2</v>
      </c>
      <c r="N30" s="83">
        <f>'[6]Final Sheet -US$'!N18/'[6]Final Sheet -US$'!N$11</f>
        <v>3.4533662025891254E-2</v>
      </c>
      <c r="O30" s="83">
        <f>'[6]Final Sheet -US$'!O18/'[6]Final Sheet -US$'!O$11</f>
        <v>3.420091408325842E-2</v>
      </c>
      <c r="P30" s="83">
        <f>'[6]Final Sheet -US$'!P18/'[6]Final Sheet -US$'!P$11</f>
        <v>3.386997608181086E-2</v>
      </c>
      <c r="Q30" s="83">
        <f>'[6]Final Sheet -US$'!Q18/'[6]Final Sheet -US$'!Q$11</f>
        <v>3.3481863461545802E-2</v>
      </c>
      <c r="R30" s="83"/>
    </row>
    <row r="31" spans="1:18" hidden="1">
      <c r="C31" s="114"/>
      <c r="D31" s="114"/>
      <c r="H31" s="86"/>
      <c r="I31" s="86"/>
      <c r="J31" s="86"/>
      <c r="K31" s="86"/>
      <c r="L31" s="86"/>
      <c r="M31" s="86"/>
      <c r="N31" s="86"/>
      <c r="O31" s="86"/>
      <c r="P31" s="86"/>
      <c r="Q31" s="86"/>
      <c r="R31" s="86"/>
    </row>
    <row r="32" spans="1:18" hidden="1">
      <c r="C32" s="114"/>
      <c r="D32" s="114"/>
    </row>
    <row r="33" spans="1:18" hidden="1">
      <c r="A33" t="str">
        <f t="shared" ref="A33:A40" si="1">$T$1</f>
        <v>Norway</v>
      </c>
      <c r="B33" t="s">
        <v>34</v>
      </c>
      <c r="C33" s="114" t="s">
        <v>43</v>
      </c>
      <c r="D33" s="114"/>
      <c r="G33" t="s">
        <v>176</v>
      </c>
    </row>
    <row r="34" spans="1:18" hidden="1">
      <c r="A34" t="str">
        <f t="shared" si="1"/>
        <v>Norway</v>
      </c>
      <c r="B34" t="s">
        <v>34</v>
      </c>
      <c r="C34" s="114" t="s">
        <v>43</v>
      </c>
      <c r="D34" s="114" t="s">
        <v>36</v>
      </c>
      <c r="G34" t="s">
        <v>176</v>
      </c>
      <c r="H34" s="83">
        <v>0.16754901479515194</v>
      </c>
      <c r="I34" s="83">
        <v>0.16732930101232615</v>
      </c>
      <c r="J34" s="83">
        <v>0.17003538840322927</v>
      </c>
      <c r="K34" s="83">
        <v>0.1602024700051842</v>
      </c>
      <c r="L34" s="83">
        <v>0.16627904355397288</v>
      </c>
      <c r="M34" s="83">
        <v>0.16691101533015362</v>
      </c>
      <c r="N34" s="83">
        <v>0.16670219944983533</v>
      </c>
      <c r="O34" s="83">
        <v>0.16703141439489563</v>
      </c>
      <c r="P34" s="83">
        <v>0.16720663880977868</v>
      </c>
      <c r="Q34" s="83">
        <v>0.16837016993689766</v>
      </c>
      <c r="R34" s="83"/>
    </row>
    <row r="35" spans="1:18" hidden="1">
      <c r="A35" t="str">
        <f t="shared" si="1"/>
        <v>Norway</v>
      </c>
      <c r="B35" t="s">
        <v>34</v>
      </c>
      <c r="C35" s="114" t="s">
        <v>43</v>
      </c>
      <c r="D35" s="114" t="s">
        <v>37</v>
      </c>
      <c r="G35" t="s">
        <v>176</v>
      </c>
      <c r="H35" s="83">
        <v>4.8576985681935782E-2</v>
      </c>
      <c r="I35" s="83">
        <v>4.6590634951668493E-2</v>
      </c>
      <c r="J35" s="83">
        <v>5.0566673386242156E-2</v>
      </c>
      <c r="K35" s="83">
        <v>4.4332034658340916E-2</v>
      </c>
      <c r="L35" s="83">
        <v>4.7516582169546837E-2</v>
      </c>
      <c r="M35" s="83">
        <v>4.7568874987187933E-2</v>
      </c>
      <c r="N35" s="83">
        <v>4.7816627617345994E-2</v>
      </c>
      <c r="O35" s="83">
        <v>4.7949391052045286E-2</v>
      </c>
      <c r="P35" s="83">
        <v>4.7759481054876679E-2</v>
      </c>
      <c r="Q35" s="83">
        <v>4.8064073478534586E-2</v>
      </c>
      <c r="R35" s="83"/>
    </row>
    <row r="36" spans="1:18" hidden="1">
      <c r="A36" t="str">
        <f t="shared" si="1"/>
        <v>Norway</v>
      </c>
      <c r="B36" t="s">
        <v>34</v>
      </c>
      <c r="C36" s="114" t="s">
        <v>43</v>
      </c>
      <c r="D36" s="114" t="s">
        <v>38</v>
      </c>
      <c r="G36" t="s">
        <v>176</v>
      </c>
      <c r="H36" s="83">
        <v>0.12700380729462912</v>
      </c>
      <c r="I36" s="83">
        <v>0.12000224345936418</v>
      </c>
      <c r="J36" s="83">
        <v>0.12685455683711247</v>
      </c>
      <c r="K36" s="83">
        <v>0.11747443773820584</v>
      </c>
      <c r="L36" s="83">
        <v>0.12283376133232789</v>
      </c>
      <c r="M36" s="83">
        <v>0.12385470098976256</v>
      </c>
      <c r="N36" s="83">
        <v>0.12365824382069315</v>
      </c>
      <c r="O36" s="83">
        <v>0.12381552667640382</v>
      </c>
      <c r="P36" s="83">
        <v>0.12348791694262864</v>
      </c>
      <c r="Q36" s="83">
        <v>0.12398016447932533</v>
      </c>
      <c r="R36" s="83"/>
    </row>
    <row r="37" spans="1:18" hidden="1">
      <c r="A37" t="str">
        <f t="shared" si="1"/>
        <v>Norway</v>
      </c>
      <c r="B37" t="s">
        <v>34</v>
      </c>
      <c r="C37" s="114" t="s">
        <v>43</v>
      </c>
      <c r="D37" s="114" t="s">
        <v>39</v>
      </c>
      <c r="G37" t="s">
        <v>176</v>
      </c>
      <c r="H37" s="83">
        <v>0.15395950777878184</v>
      </c>
      <c r="I37" s="83">
        <v>0.14345516454978358</v>
      </c>
      <c r="J37" s="83">
        <v>0.14168153236091166</v>
      </c>
      <c r="K37" s="83">
        <v>0.12493366718249288</v>
      </c>
      <c r="L37" s="83">
        <v>0.14100746796799249</v>
      </c>
      <c r="M37" s="83">
        <v>0.14195732037107364</v>
      </c>
      <c r="N37" s="83">
        <v>0.14203172257055163</v>
      </c>
      <c r="O37" s="83">
        <v>0.14235614860467999</v>
      </c>
      <c r="P37" s="83">
        <v>0.14141159547253149</v>
      </c>
      <c r="Q37" s="83">
        <v>0.14070310643236969</v>
      </c>
      <c r="R37" s="83"/>
    </row>
    <row r="38" spans="1:18" hidden="1">
      <c r="A38" t="str">
        <f t="shared" si="1"/>
        <v>Norway</v>
      </c>
      <c r="B38" t="s">
        <v>34</v>
      </c>
      <c r="C38" s="114" t="s">
        <v>43</v>
      </c>
      <c r="D38" s="114" t="s">
        <v>40</v>
      </c>
      <c r="G38" t="s">
        <v>176</v>
      </c>
      <c r="H38" s="83">
        <v>0.42243897092955329</v>
      </c>
      <c r="I38" s="83">
        <v>0.44207257530884103</v>
      </c>
      <c r="J38" s="83">
        <v>0.44631636489993265</v>
      </c>
      <c r="K38" s="83">
        <v>0.48698123222997336</v>
      </c>
      <c r="L38" s="83">
        <v>0.44945228584207508</v>
      </c>
      <c r="M38" s="83">
        <v>0.44804847863052139</v>
      </c>
      <c r="N38" s="83">
        <v>0.44834978974682199</v>
      </c>
      <c r="O38" s="83">
        <v>0.44845175016999783</v>
      </c>
      <c r="P38" s="83">
        <v>0.45028100880958694</v>
      </c>
      <c r="Q38" s="83">
        <v>0.45042620238146514</v>
      </c>
      <c r="R38" s="83"/>
    </row>
    <row r="39" spans="1:18" hidden="1">
      <c r="A39" t="str">
        <f t="shared" si="1"/>
        <v>Norway</v>
      </c>
      <c r="B39" t="s">
        <v>34</v>
      </c>
      <c r="C39" s="114" t="s">
        <v>43</v>
      </c>
      <c r="D39" s="114" t="s">
        <v>41</v>
      </c>
      <c r="G39" t="s">
        <v>176</v>
      </c>
      <c r="H39" s="83">
        <v>3.968995691467931E-3</v>
      </c>
      <c r="I39" s="83">
        <v>3.833968139761969E-3</v>
      </c>
      <c r="J39" s="83">
        <v>4.5350700619299156E-3</v>
      </c>
      <c r="K39" s="83">
        <v>4.3922642621740879E-3</v>
      </c>
      <c r="L39" s="83">
        <v>4.1825745388334758E-3</v>
      </c>
      <c r="M39" s="83">
        <v>4.1605077800461569E-3</v>
      </c>
      <c r="N39" s="83">
        <v>4.1433295374651881E-3</v>
      </c>
      <c r="O39" s="83">
        <v>4.1248237112043486E-3</v>
      </c>
      <c r="P39" s="83">
        <v>4.1119685243175665E-3</v>
      </c>
      <c r="Q39" s="83">
        <v>4.1084756288198472E-3</v>
      </c>
      <c r="R39" s="83"/>
    </row>
    <row r="40" spans="1:18" hidden="1">
      <c r="A40" t="str">
        <f t="shared" si="1"/>
        <v>Norway</v>
      </c>
      <c r="B40" t="s">
        <v>34</v>
      </c>
      <c r="C40" s="114" t="s">
        <v>43</v>
      </c>
      <c r="D40" s="114" t="s">
        <v>42</v>
      </c>
      <c r="G40" t="s">
        <v>176</v>
      </c>
      <c r="H40" s="83">
        <v>7.6502717828480102E-2</v>
      </c>
      <c r="I40" s="83">
        <v>7.6716112578254655E-2</v>
      </c>
      <c r="J40" s="83">
        <v>6.0010414050641801E-2</v>
      </c>
      <c r="K40" s="83">
        <v>6.1683893923628545E-2</v>
      </c>
      <c r="L40" s="83">
        <v>6.8728284595251266E-2</v>
      </c>
      <c r="M40" s="83">
        <v>6.7499101911254744E-2</v>
      </c>
      <c r="N40" s="83">
        <v>6.7298087257286587E-2</v>
      </c>
      <c r="O40" s="83">
        <v>6.6270945390773064E-2</v>
      </c>
      <c r="P40" s="83">
        <v>6.5741390386279908E-2</v>
      </c>
      <c r="Q40" s="83">
        <v>6.4347807662587853E-2</v>
      </c>
      <c r="R40" s="83"/>
    </row>
    <row r="41" spans="1:18">
      <c r="C41" s="114"/>
      <c r="D41" s="114"/>
    </row>
    <row r="42" spans="1:18">
      <c r="C42" s="114"/>
      <c r="D42" s="114"/>
    </row>
    <row r="43" spans="1:18">
      <c r="C43" s="114"/>
      <c r="D43" s="114"/>
    </row>
    <row r="44" spans="1:18">
      <c r="A44" t="str">
        <f>Home!$B$1</f>
        <v>Hungary</v>
      </c>
      <c r="B44" t="str">
        <f>'[6]Final Sheet -US$'!B169</f>
        <v>Tourism Spend Factors</v>
      </c>
      <c r="C44" s="114" t="str">
        <f>'[6]Final Sheet -US$'!C169</f>
        <v>Average Expenditure per Domestic Tourist by Sector</v>
      </c>
      <c r="D44" s="114"/>
      <c r="G44" s="5" t="str">
        <f>'[6]Final Sheet -US$'!G169</f>
        <v>US$</v>
      </c>
      <c r="H44" s="411">
        <v>75.590800664847208</v>
      </c>
      <c r="I44" s="411">
        <v>82.94507787025492</v>
      </c>
      <c r="J44" s="411">
        <v>97.38417133289154</v>
      </c>
      <c r="K44" s="411">
        <v>103.72955615130184</v>
      </c>
      <c r="L44" s="411">
        <v>108.69321681992969</v>
      </c>
      <c r="M44" s="411">
        <v>107.82000667161903</v>
      </c>
      <c r="N44" s="411">
        <v>110.67491885696965</v>
      </c>
      <c r="O44" s="411">
        <v>114.69894147694166</v>
      </c>
      <c r="P44" s="411">
        <v>119.32447529338496</v>
      </c>
      <c r="Q44" s="411">
        <v>123.01847066093509</v>
      </c>
      <c r="R44" s="411"/>
    </row>
    <row r="45" spans="1:18">
      <c r="A45" t="str">
        <f>Home!$B$1</f>
        <v>Hungary</v>
      </c>
      <c r="B45" t="str">
        <f>'[6]Final Sheet -US$'!B170</f>
        <v>Tourism Spend Factors</v>
      </c>
      <c r="C45" s="114" t="str">
        <f>'[6]Final Sheet -US$'!C170</f>
        <v>Average Expenditure per Domestic Tourist by Sector</v>
      </c>
      <c r="D45" s="114" t="str">
        <f>'[6]Final Sheet -US$'!D170</f>
        <v>Accommodation</v>
      </c>
      <c r="G45" t="str">
        <f>'[6]Final Sheet -US$'!G170</f>
        <v>US$</v>
      </c>
      <c r="H45" s="412">
        <v>13.239597998736429</v>
      </c>
      <c r="I45" s="412">
        <v>14.556454628602729</v>
      </c>
      <c r="J45" s="412">
        <v>17.044830314643029</v>
      </c>
      <c r="K45" s="412">
        <v>18.248071897564451</v>
      </c>
      <c r="L45" s="412">
        <v>19.218339891970395</v>
      </c>
      <c r="M45" s="412">
        <v>19.005972382245734</v>
      </c>
      <c r="N45" s="412">
        <v>19.613319755942829</v>
      </c>
      <c r="O45" s="412">
        <v>20.565098985320109</v>
      </c>
      <c r="P45" s="412">
        <v>21.398087717418122</v>
      </c>
      <c r="Q45" s="412">
        <v>22.164226019231155</v>
      </c>
      <c r="R45" s="412"/>
    </row>
    <row r="46" spans="1:18">
      <c r="A46" t="str">
        <f>Home!$B$1</f>
        <v>Hungary</v>
      </c>
      <c r="B46" t="str">
        <f>'[6]Final Sheet -US$'!B171</f>
        <v>Tourism Spend Factors</v>
      </c>
      <c r="C46" s="114" t="str">
        <f>'[6]Final Sheet -US$'!C171</f>
        <v>Average Expenditure per Domestic Tourist by Sector</v>
      </c>
      <c r="D46" s="114" t="str">
        <f>'[6]Final Sheet -US$'!D171</f>
        <v>Entertainment &amp; Sightseeing</v>
      </c>
      <c r="G46" t="str">
        <f>'[6]Final Sheet -US$'!G171</f>
        <v>US$</v>
      </c>
      <c r="H46" s="412">
        <v>8.3675569636329161</v>
      </c>
      <c r="I46" s="412">
        <v>9.2200920138438818</v>
      </c>
      <c r="J46" s="412">
        <v>10.779983725759164</v>
      </c>
      <c r="K46" s="412">
        <v>11.505822338943053</v>
      </c>
      <c r="L46" s="412">
        <v>12.031843495530252</v>
      </c>
      <c r="M46" s="412">
        <v>11.916594902451049</v>
      </c>
      <c r="N46" s="412">
        <v>12.187363900590656</v>
      </c>
      <c r="O46" s="412">
        <v>12.741422743596036</v>
      </c>
      <c r="P46" s="412">
        <v>13.25863409440621</v>
      </c>
      <c r="Q46" s="412">
        <v>13.744508187295613</v>
      </c>
      <c r="R46" s="412"/>
    </row>
    <row r="47" spans="1:18">
      <c r="A47" t="str">
        <f>Home!$B$1</f>
        <v>Hungary</v>
      </c>
      <c r="B47" t="str">
        <f>'[6]Final Sheet -US$'!B172</f>
        <v>Tourism Spend Factors</v>
      </c>
      <c r="C47" s="114" t="str">
        <f>'[6]Final Sheet -US$'!C172</f>
        <v>Average Expenditure per Domestic Tourist by Sector</v>
      </c>
      <c r="D47" s="114" t="str">
        <f>'[6]Final Sheet -US$'!D172</f>
        <v>Foodservice</v>
      </c>
      <c r="G47" t="str">
        <f>'[6]Final Sheet -US$'!G172</f>
        <v>US$</v>
      </c>
      <c r="H47" s="412">
        <v>12.138503749476724</v>
      </c>
      <c r="I47" s="412">
        <v>13.245973177176086</v>
      </c>
      <c r="J47" s="412">
        <v>15.628444494655287</v>
      </c>
      <c r="K47" s="412">
        <v>16.695728090731439</v>
      </c>
      <c r="L47" s="412">
        <v>17.385562672373695</v>
      </c>
      <c r="M47" s="412">
        <v>17.291000384970452</v>
      </c>
      <c r="N47" s="412">
        <v>17.831838945889746</v>
      </c>
      <c r="O47" s="412">
        <v>18.397712111153016</v>
      </c>
      <c r="P47" s="412">
        <v>19.094862344631654</v>
      </c>
      <c r="Q47" s="412">
        <v>19.714218380877792</v>
      </c>
      <c r="R47" s="412"/>
    </row>
    <row r="48" spans="1:18">
      <c r="A48" t="str">
        <f>Home!$B$1</f>
        <v>Hungary</v>
      </c>
      <c r="B48" t="str">
        <f>'[6]Final Sheet -US$'!B173</f>
        <v>Tourism Spend Factors</v>
      </c>
      <c r="C48" s="114" t="str">
        <f>'[6]Final Sheet -US$'!C173</f>
        <v>Average Expenditure per Domestic Tourist by Sector</v>
      </c>
      <c r="D48" s="114" t="str">
        <f>'[6]Final Sheet -US$'!D173</f>
        <v>Retail</v>
      </c>
      <c r="G48" t="str">
        <f>'[6]Final Sheet -US$'!G173</f>
        <v>US$</v>
      </c>
      <c r="H48" s="412">
        <v>21.076282321263776</v>
      </c>
      <c r="I48" s="412">
        <v>23.068620248802489</v>
      </c>
      <c r="J48" s="412">
        <v>27.223917912042783</v>
      </c>
      <c r="K48" s="412">
        <v>28.844432333979981</v>
      </c>
      <c r="L48" s="412">
        <v>30.319772091462781</v>
      </c>
      <c r="M48" s="412">
        <v>30.184950443817822</v>
      </c>
      <c r="N48" s="412">
        <v>30.926198537456081</v>
      </c>
      <c r="O48" s="412">
        <v>31.766569558286221</v>
      </c>
      <c r="P48" s="412">
        <v>33.297224608090616</v>
      </c>
      <c r="Q48" s="412">
        <v>34.226405273316104</v>
      </c>
      <c r="R48" s="412"/>
    </row>
    <row r="49" spans="1:18">
      <c r="A49" t="str">
        <f>Home!$B$1</f>
        <v>Hungary</v>
      </c>
      <c r="B49" t="str">
        <f>'[6]Final Sheet -US$'!B174</f>
        <v>Tourism Spend Factors</v>
      </c>
      <c r="C49" s="114" t="str">
        <f>'[6]Final Sheet -US$'!C174</f>
        <v>Average Expenditure per Domestic Tourist by Sector</v>
      </c>
      <c r="D49" s="114" t="str">
        <f>'[6]Final Sheet -US$'!D174</f>
        <v>Transportation</v>
      </c>
      <c r="G49" t="str">
        <f>'[6]Final Sheet -US$'!G174</f>
        <v>US$</v>
      </c>
      <c r="H49" s="412">
        <v>14.454545926855777</v>
      </c>
      <c r="I49" s="412">
        <v>15.944164203885132</v>
      </c>
      <c r="J49" s="412">
        <v>18.43752011808234</v>
      </c>
      <c r="K49" s="412">
        <v>19.658916833082905</v>
      </c>
      <c r="L49" s="412">
        <v>20.473642528011549</v>
      </c>
      <c r="M49" s="412">
        <v>20.188556750182826</v>
      </c>
      <c r="N49" s="412">
        <v>20.66752790098575</v>
      </c>
      <c r="O49" s="412">
        <v>21.503012970189641</v>
      </c>
      <c r="P49" s="412">
        <v>22.200092062183053</v>
      </c>
      <c r="Q49" s="412">
        <v>22.740314042393297</v>
      </c>
      <c r="R49" s="412"/>
    </row>
    <row r="50" spans="1:18">
      <c r="A50" t="str">
        <f>Home!$B$1</f>
        <v>Hungary</v>
      </c>
      <c r="B50" t="str">
        <f>'[6]Final Sheet -US$'!B175</f>
        <v>Tourism Spend Factors</v>
      </c>
      <c r="C50" s="114" t="str">
        <f>'[6]Final Sheet -US$'!C175</f>
        <v>Average Expenditure per Domestic Tourist by Sector</v>
      </c>
      <c r="D50" s="114" t="str">
        <f>'[6]Final Sheet -US$'!D175</f>
        <v>Travel Intermediation</v>
      </c>
      <c r="G50" t="str">
        <f>'[6]Final Sheet -US$'!G175</f>
        <v>US$</v>
      </c>
      <c r="H50" s="412">
        <v>3.3738248815848126</v>
      </c>
      <c r="I50" s="412">
        <v>3.6946623230898821</v>
      </c>
      <c r="J50" s="412">
        <v>4.5033561209677373</v>
      </c>
      <c r="K50" s="412">
        <v>4.7920141244296488</v>
      </c>
      <c r="L50" s="412">
        <v>5.0013160405492822</v>
      </c>
      <c r="M50" s="412">
        <v>4.9866121983889684</v>
      </c>
      <c r="N50" s="412">
        <v>5.1225391312359356</v>
      </c>
      <c r="O50" s="412">
        <v>5.2918566263764077</v>
      </c>
      <c r="P50" s="412">
        <v>5.4768611710677542</v>
      </c>
      <c r="Q50" s="412">
        <v>5.7019483790361578</v>
      </c>
      <c r="R50" s="412"/>
    </row>
    <row r="51" spans="1:18">
      <c r="A51" t="str">
        <f>Home!$B$1</f>
        <v>Hungary</v>
      </c>
      <c r="B51" t="str">
        <f>'[6]Final Sheet -US$'!B176</f>
        <v>Tourism Spend Factors</v>
      </c>
      <c r="C51" s="114" t="str">
        <f>'[6]Final Sheet -US$'!C176</f>
        <v>Average Expenditure per Domestic Tourist by Sector</v>
      </c>
      <c r="D51" s="114" t="str">
        <f>'[6]Final Sheet -US$'!D176</f>
        <v>Other Sectors</v>
      </c>
      <c r="G51" t="str">
        <f>'[6]Final Sheet -US$'!G176</f>
        <v>US$</v>
      </c>
      <c r="H51" s="412">
        <v>2.9404888232967799</v>
      </c>
      <c r="I51" s="412">
        <v>3.2151112748547317</v>
      </c>
      <c r="J51" s="412">
        <v>3.7661186467411985</v>
      </c>
      <c r="K51" s="412">
        <v>3.9845705325703791</v>
      </c>
      <c r="L51" s="412">
        <v>4.2627401000317358</v>
      </c>
      <c r="M51" s="412">
        <v>4.2463196095621791</v>
      </c>
      <c r="N51" s="412">
        <v>4.3261306848686436</v>
      </c>
      <c r="O51" s="412">
        <v>4.4332684820202282</v>
      </c>
      <c r="P51" s="412">
        <v>4.5987132955875536</v>
      </c>
      <c r="Q51" s="412">
        <v>4.7268503787849587</v>
      </c>
      <c r="R51" s="412"/>
    </row>
    <row r="52" spans="1:18">
      <c r="C52" s="114"/>
      <c r="D52" s="114"/>
      <c r="H52" s="412"/>
      <c r="I52" s="412"/>
      <c r="J52" s="412"/>
      <c r="K52" s="412"/>
      <c r="L52" s="412"/>
      <c r="M52" s="412"/>
      <c r="N52" s="412"/>
      <c r="O52" s="412"/>
      <c r="P52" s="412"/>
      <c r="Q52" s="412"/>
      <c r="R52" s="412"/>
    </row>
    <row r="53" spans="1:18">
      <c r="A53" t="str">
        <f t="shared" ref="A53:A60" si="2">$T$1</f>
        <v>Norway</v>
      </c>
      <c r="B53" t="s">
        <v>49</v>
      </c>
      <c r="C53" s="114" t="s">
        <v>54</v>
      </c>
      <c r="D53" s="114"/>
      <c r="G53" s="5" t="s">
        <v>179</v>
      </c>
      <c r="H53" s="411">
        <v>124.28159981704894</v>
      </c>
      <c r="I53" s="411">
        <v>116.1878141461206</v>
      </c>
      <c r="J53" s="411">
        <v>122.04613554711291</v>
      </c>
      <c r="K53" s="411">
        <v>145.22959881585973</v>
      </c>
      <c r="L53" s="411">
        <v>143.44905033376128</v>
      </c>
      <c r="M53" s="411">
        <v>147.43368924653871</v>
      </c>
      <c r="N53" s="411">
        <v>151.79791256916587</v>
      </c>
      <c r="O53" s="411">
        <v>156.12598161181171</v>
      </c>
      <c r="P53" s="411">
        <v>160.88841582246761</v>
      </c>
      <c r="Q53" s="411">
        <f>[6]Checks_UAE!Q44</f>
        <v>399.26808435094688</v>
      </c>
      <c r="R53" s="411"/>
    </row>
    <row r="54" spans="1:18">
      <c r="A54" t="str">
        <f t="shared" si="2"/>
        <v>Norway</v>
      </c>
      <c r="B54" t="s">
        <v>49</v>
      </c>
      <c r="C54" s="114" t="s">
        <v>54</v>
      </c>
      <c r="D54" s="114" t="s">
        <v>36</v>
      </c>
      <c r="G54" t="s">
        <v>179</v>
      </c>
      <c r="H54" s="413">
        <v>12.141749235542935</v>
      </c>
      <c r="I54" s="413">
        <v>10.950364184503499</v>
      </c>
      <c r="J54" s="413">
        <v>11.513996463530024</v>
      </c>
      <c r="K54" s="413">
        <v>13.687454392471702</v>
      </c>
      <c r="L54" s="413">
        <v>13.490242491703373</v>
      </c>
      <c r="M54" s="413">
        <v>13.758844463978509</v>
      </c>
      <c r="N54" s="413">
        <v>14.218134851856615</v>
      </c>
      <c r="O54" s="413">
        <v>14.601169833668136</v>
      </c>
      <c r="P54" s="413">
        <v>14.917677696168804</v>
      </c>
      <c r="Q54" s="413">
        <f>[6]Checks_UAE!Q45</f>
        <v>74.614762887337406</v>
      </c>
      <c r="R54" s="413"/>
    </row>
    <row r="55" spans="1:18">
      <c r="A55" t="str">
        <f t="shared" si="2"/>
        <v>Norway</v>
      </c>
      <c r="B55" t="s">
        <v>49</v>
      </c>
      <c r="C55" s="114" t="s">
        <v>54</v>
      </c>
      <c r="D55" s="114" t="s">
        <v>37</v>
      </c>
      <c r="G55" t="s">
        <v>179</v>
      </c>
      <c r="H55" s="413">
        <v>6.3176306573579453</v>
      </c>
      <c r="I55" s="413">
        <v>6.2895040648646994</v>
      </c>
      <c r="J55" s="413">
        <v>6.6264478790624946</v>
      </c>
      <c r="K55" s="413">
        <v>7.8378739692161981</v>
      </c>
      <c r="L55" s="413">
        <v>7.7781520053907212</v>
      </c>
      <c r="M55" s="413">
        <v>8.1831819715506739</v>
      </c>
      <c r="N55" s="413">
        <v>8.3302311074150879</v>
      </c>
      <c r="O55" s="413">
        <v>8.608534389721731</v>
      </c>
      <c r="P55" s="413">
        <v>8.9494936813947081</v>
      </c>
      <c r="Q55" s="413">
        <f>[6]Checks_UAE!Q46</f>
        <v>44.825786855389502</v>
      </c>
      <c r="R55" s="413"/>
    </row>
    <row r="56" spans="1:18">
      <c r="A56" t="str">
        <f t="shared" si="2"/>
        <v>Norway</v>
      </c>
      <c r="B56" t="s">
        <v>49</v>
      </c>
      <c r="C56" s="114" t="s">
        <v>54</v>
      </c>
      <c r="D56" s="114" t="s">
        <v>38</v>
      </c>
      <c r="G56" t="s">
        <v>179</v>
      </c>
      <c r="H56" s="413">
        <v>20.304979860218932</v>
      </c>
      <c r="I56" s="413">
        <v>19.102961898801279</v>
      </c>
      <c r="J56" s="413">
        <v>20.166485684049075</v>
      </c>
      <c r="K56" s="413">
        <v>24.093230766711201</v>
      </c>
      <c r="L56" s="413">
        <v>23.699676785965369</v>
      </c>
      <c r="M56" s="413">
        <v>24.729990187935041</v>
      </c>
      <c r="N56" s="413">
        <v>25.628049556163557</v>
      </c>
      <c r="O56" s="413">
        <v>26.512039329426614</v>
      </c>
      <c r="P56" s="413">
        <v>27.515078027139488</v>
      </c>
      <c r="Q56" s="413">
        <f>[6]Checks_UAE!Q47</f>
        <v>65.716112707284793</v>
      </c>
      <c r="R56" s="413"/>
    </row>
    <row r="57" spans="1:18">
      <c r="A57" t="str">
        <f t="shared" si="2"/>
        <v>Norway</v>
      </c>
      <c r="B57" t="s">
        <v>49</v>
      </c>
      <c r="C57" s="114" t="s">
        <v>54</v>
      </c>
      <c r="D57" s="114" t="s">
        <v>39</v>
      </c>
      <c r="G57" t="s">
        <v>179</v>
      </c>
      <c r="H57" s="413">
        <v>20.35254152418857</v>
      </c>
      <c r="I57" s="413">
        <v>19.6066628831258</v>
      </c>
      <c r="J57" s="413">
        <v>20.554062562752289</v>
      </c>
      <c r="K57" s="413">
        <v>24.336149239054979</v>
      </c>
      <c r="L57" s="413">
        <v>24.013840526431657</v>
      </c>
      <c r="M57" s="413">
        <v>24.70923007440663</v>
      </c>
      <c r="N57" s="413">
        <v>25.111018483181962</v>
      </c>
      <c r="O57" s="413">
        <v>25.649904706351712</v>
      </c>
      <c r="P57" s="413">
        <v>26.330454747017274</v>
      </c>
      <c r="Q57" s="413">
        <f>[6]Checks_UAE!Q48</f>
        <v>113.97795385683948</v>
      </c>
      <c r="R57" s="413"/>
    </row>
    <row r="58" spans="1:18">
      <c r="A58" t="str">
        <f t="shared" si="2"/>
        <v>Norway</v>
      </c>
      <c r="B58" t="s">
        <v>49</v>
      </c>
      <c r="C58" s="114" t="s">
        <v>54</v>
      </c>
      <c r="D58" s="114" t="s">
        <v>40</v>
      </c>
      <c r="G58" t="s">
        <v>179</v>
      </c>
      <c r="H58" s="413">
        <v>39.335616885861114</v>
      </c>
      <c r="I58" s="413">
        <v>34.958013895319048</v>
      </c>
      <c r="J58" s="413">
        <v>36.610474704941453</v>
      </c>
      <c r="K58" s="413">
        <v>43.652004048157401</v>
      </c>
      <c r="L58" s="413">
        <v>42.980708172690889</v>
      </c>
      <c r="M58" s="413">
        <v>43.831442100876366</v>
      </c>
      <c r="N58" s="413">
        <v>45.441395618505702</v>
      </c>
      <c r="O58" s="413">
        <v>46.599309228701514</v>
      </c>
      <c r="P58" s="413">
        <v>48.133645688003909</v>
      </c>
      <c r="Q58" s="413">
        <f>[6]Checks_UAE!Q49</f>
        <v>75.562201585650527</v>
      </c>
      <c r="R58" s="413"/>
    </row>
    <row r="59" spans="1:18">
      <c r="A59" t="str">
        <f t="shared" si="2"/>
        <v>Norway</v>
      </c>
      <c r="B59" t="s">
        <v>49</v>
      </c>
      <c r="C59" s="114" t="s">
        <v>54</v>
      </c>
      <c r="D59" s="114" t="s">
        <v>41</v>
      </c>
      <c r="G59" t="s">
        <v>179</v>
      </c>
      <c r="H59" s="413">
        <v>4.0742261215094562</v>
      </c>
      <c r="I59" s="413">
        <v>3.7863739570848334</v>
      </c>
      <c r="J59" s="413">
        <v>3.9892190892163786</v>
      </c>
      <c r="K59" s="413">
        <v>4.7849733774925927</v>
      </c>
      <c r="L59" s="413">
        <v>4.7568900590030294</v>
      </c>
      <c r="M59" s="413">
        <v>4.8605697104736674</v>
      </c>
      <c r="N59" s="413">
        <v>4.9870880472831045</v>
      </c>
      <c r="O59" s="413">
        <v>5.1303629452063229</v>
      </c>
      <c r="P59" s="413">
        <v>5.313945482307294</v>
      </c>
      <c r="Q59" s="413">
        <f>[6]Checks_UAE!Q50</f>
        <v>17.915542110762839</v>
      </c>
      <c r="R59" s="413"/>
    </row>
    <row r="60" spans="1:18">
      <c r="A60" t="str">
        <f t="shared" si="2"/>
        <v>Norway</v>
      </c>
      <c r="B60" t="s">
        <v>49</v>
      </c>
      <c r="C60" s="114" t="s">
        <v>54</v>
      </c>
      <c r="D60" s="114" t="s">
        <v>42</v>
      </c>
      <c r="G60" t="s">
        <v>179</v>
      </c>
      <c r="H60" s="413">
        <v>21.754855532369984</v>
      </c>
      <c r="I60" s="413">
        <v>21.493933262421443</v>
      </c>
      <c r="J60" s="413">
        <v>22.585449163561208</v>
      </c>
      <c r="K60" s="413">
        <v>26.837913022755643</v>
      </c>
      <c r="L60" s="413">
        <v>26.729540292576214</v>
      </c>
      <c r="M60" s="413">
        <v>27.36043073731782</v>
      </c>
      <c r="N60" s="413">
        <v>28.081994904759828</v>
      </c>
      <c r="O60" s="413">
        <v>29.024661178735681</v>
      </c>
      <c r="P60" s="413">
        <v>29.728120500436148</v>
      </c>
      <c r="Q60" s="413">
        <f>[6]Checks_UAE!Q51</f>
        <v>6.6557243476823595</v>
      </c>
      <c r="R60" s="413"/>
    </row>
    <row r="61" spans="1:18">
      <c r="C61" s="114"/>
      <c r="D61" s="114"/>
    </row>
    <row r="62" spans="1:18">
      <c r="A62" t="str">
        <f>Home!$B$1</f>
        <v>Hungary</v>
      </c>
      <c r="B62" t="str">
        <f>'[6]Final Sheet -US$'!B11</f>
        <v>Tourism Receipts &amp; Expenditure</v>
      </c>
      <c r="C62" s="114" t="str">
        <f>'[6]Final Sheet -US$'!C11</f>
        <v>Inbound Tourist Expenditure by Sector</v>
      </c>
      <c r="D62" s="114"/>
    </row>
    <row r="63" spans="1:18">
      <c r="A63" t="str">
        <f>Home!$B$1</f>
        <v>Hungary</v>
      </c>
      <c r="B63" t="str">
        <f>'[6]Final Sheet -US$'!B12</f>
        <v>Tourism Receipts &amp; Expenditure</v>
      </c>
      <c r="C63" s="114" t="str">
        <f>'[6]Final Sheet -US$'!C12</f>
        <v>Inbound Tourist Expenditure by Sector</v>
      </c>
      <c r="D63" s="114" t="str">
        <f>'[6]Final Sheet -US$'!D12</f>
        <v>Accommodation</v>
      </c>
      <c r="G63" t="s">
        <v>176</v>
      </c>
      <c r="H63" s="101">
        <f>'Tourism Medium DB-US$'!G58/'Tourism Medium DB-US$'!G$57</f>
        <v>0.12832282801832978</v>
      </c>
      <c r="I63" s="101">
        <f>'Tourism Medium DB-US$'!H58/'Tourism Medium DB-US$'!H$57</f>
        <v>0.12882189087334098</v>
      </c>
      <c r="J63" s="101">
        <f>'Tourism Medium DB-US$'!I58/'Tourism Medium DB-US$'!I$57</f>
        <v>0.12909244260855321</v>
      </c>
      <c r="K63" s="101">
        <f>'Tourism Medium DB-US$'!J58/'Tourism Medium DB-US$'!J$57</f>
        <v>0.1293506274937703</v>
      </c>
      <c r="L63" s="101">
        <f>'Tourism Medium DB-US$'!K58/'Tourism Medium DB-US$'!K$57</f>
        <v>0.12857452372880768</v>
      </c>
      <c r="M63" s="101">
        <f>'Tourism Medium DB-US$'!L58/'Tourism Medium DB-US$'!L$57</f>
        <v>0.12955969694637043</v>
      </c>
      <c r="N63" s="101">
        <f>'Tourism Medium DB-US$'!M58/'Tourism Medium DB-US$'!M$57</f>
        <v>0.12929016139559976</v>
      </c>
      <c r="O63" s="101">
        <f>'Tourism Medium DB-US$'!N58/'Tourism Medium DB-US$'!N$57</f>
        <v>0.12892066122841345</v>
      </c>
      <c r="P63" s="101">
        <f>'Tourism Medium DB-US$'!O58/'Tourism Medium DB-US$'!O$57</f>
        <v>0.12856803285637766</v>
      </c>
      <c r="Q63" s="101">
        <f>'Tourism Medium DB-US$'!P58/'Tourism Medium DB-US$'!P$57</f>
        <v>0.12844361460990653</v>
      </c>
      <c r="R63" s="101"/>
    </row>
    <row r="64" spans="1:18">
      <c r="A64" t="str">
        <f>Home!$B$1</f>
        <v>Hungary</v>
      </c>
      <c r="B64" t="str">
        <f>'[6]Final Sheet -US$'!B13</f>
        <v>Tourism Receipts &amp; Expenditure</v>
      </c>
      <c r="C64" s="114" t="str">
        <f>'[6]Final Sheet -US$'!C13</f>
        <v>Inbound Tourist Expenditure by Sector</v>
      </c>
      <c r="D64" s="114" t="str">
        <f>'[6]Final Sheet -US$'!D13</f>
        <v>Entertainment &amp; Sightseeing</v>
      </c>
      <c r="G64" t="s">
        <v>176</v>
      </c>
      <c r="H64" s="101">
        <f>'Tourism Medium DB-US$'!G59/'Tourism Medium DB-US$'!G$57</f>
        <v>2.4109542068019574E-2</v>
      </c>
      <c r="I64" s="101">
        <f>'Tourism Medium DB-US$'!H59/'Tourism Medium DB-US$'!H$57</f>
        <v>2.4251417335736519E-2</v>
      </c>
      <c r="J64" s="101">
        <f>'Tourism Medium DB-US$'!I59/'Tourism Medium DB-US$'!I$57</f>
        <v>2.4349083073898079E-2</v>
      </c>
      <c r="K64" s="101">
        <f>'Tourism Medium DB-US$'!J59/'Tourism Medium DB-US$'!J$57</f>
        <v>2.429940605013927E-2</v>
      </c>
      <c r="L64" s="101">
        <f>'Tourism Medium DB-US$'!K59/'Tourism Medium DB-US$'!K$57</f>
        <v>2.4420903080389963E-2</v>
      </c>
      <c r="M64" s="101">
        <f>'Tourism Medium DB-US$'!L59/'Tourism Medium DB-US$'!L$57</f>
        <v>2.4555676533454678E-2</v>
      </c>
      <c r="N64" s="101">
        <f>'Tourism Medium DB-US$'!M59/'Tourism Medium DB-US$'!M$57</f>
        <v>2.447970236948576E-2</v>
      </c>
      <c r="O64" s="101">
        <f>'Tourism Medium DB-US$'!N59/'Tourism Medium DB-US$'!N$57</f>
        <v>2.4541776959705275E-2</v>
      </c>
      <c r="P64" s="101">
        <f>'Tourism Medium DB-US$'!O59/'Tourism Medium DB-US$'!O$57</f>
        <v>2.4757480895616867E-2</v>
      </c>
      <c r="Q64" s="101">
        <f>'Tourism Medium DB-US$'!P59/'Tourism Medium DB-US$'!P$57</f>
        <v>2.484780337233054E-2</v>
      </c>
      <c r="R64" s="101"/>
    </row>
    <row r="65" spans="1:18">
      <c r="A65" t="str">
        <f>Home!$B$1</f>
        <v>Hungary</v>
      </c>
      <c r="B65" t="str">
        <f>'[6]Final Sheet -US$'!B14</f>
        <v>Tourism Receipts &amp; Expenditure</v>
      </c>
      <c r="C65" s="114" t="str">
        <f>'[6]Final Sheet -US$'!C14</f>
        <v>Inbound Tourist Expenditure by Sector</v>
      </c>
      <c r="D65" s="114" t="str">
        <f>'[6]Final Sheet -US$'!D14</f>
        <v>Foodservice</v>
      </c>
      <c r="G65" t="s">
        <v>176</v>
      </c>
      <c r="H65" s="101">
        <f>'Tourism Medium DB-US$'!G60/'Tourism Medium DB-US$'!G$57</f>
        <v>0.17764964618597834</v>
      </c>
      <c r="I65" s="101">
        <f>'Tourism Medium DB-US$'!H60/'Tourism Medium DB-US$'!H$57</f>
        <v>0.17737669998361463</v>
      </c>
      <c r="J65" s="101">
        <f>'Tourism Medium DB-US$'!I60/'Tourism Medium DB-US$'!I$57</f>
        <v>0.1785942274291332</v>
      </c>
      <c r="K65" s="101">
        <f>'Tourism Medium DB-US$'!J60/'Tourism Medium DB-US$'!J$57</f>
        <v>0.17755372193019825</v>
      </c>
      <c r="L65" s="101">
        <f>'Tourism Medium DB-US$'!K60/'Tourism Medium DB-US$'!K$57</f>
        <v>0.17790882937405866</v>
      </c>
      <c r="M65" s="101">
        <f>'Tourism Medium DB-US$'!L60/'Tourism Medium DB-US$'!L$57</f>
        <v>0.1780553759332433</v>
      </c>
      <c r="N65" s="101">
        <f>'Tourism Medium DB-US$'!M60/'Tourism Medium DB-US$'!M$57</f>
        <v>0.17888231268844615</v>
      </c>
      <c r="O65" s="101">
        <f>'Tourism Medium DB-US$'!N60/'Tourism Medium DB-US$'!N$57</f>
        <v>0.17792649394249818</v>
      </c>
      <c r="P65" s="101">
        <f>'Tourism Medium DB-US$'!O60/'Tourism Medium DB-US$'!O$57</f>
        <v>0.17817712193384699</v>
      </c>
      <c r="Q65" s="101">
        <f>'Tourism Medium DB-US$'!P60/'Tourism Medium DB-US$'!P$57</f>
        <v>0.17883342210175904</v>
      </c>
      <c r="R65" s="101"/>
    </row>
    <row r="66" spans="1:18">
      <c r="A66" t="str">
        <f>Home!$B$1</f>
        <v>Hungary</v>
      </c>
      <c r="B66" t="str">
        <f>'[6]Final Sheet -US$'!B15</f>
        <v>Tourism Receipts &amp; Expenditure</v>
      </c>
      <c r="C66" s="114" t="str">
        <f>'[6]Final Sheet -US$'!C15</f>
        <v>Inbound Tourist Expenditure by Sector</v>
      </c>
      <c r="D66" s="114" t="str">
        <f>'[6]Final Sheet -US$'!D15</f>
        <v>Retail</v>
      </c>
      <c r="G66" t="s">
        <v>176</v>
      </c>
      <c r="H66" s="101">
        <f>'Tourism Medium DB-US$'!G61/'Tourism Medium DB-US$'!G$57</f>
        <v>0.26102394089591324</v>
      </c>
      <c r="I66" s="101">
        <f>'Tourism Medium DB-US$'!H61/'Tourism Medium DB-US$'!H$57</f>
        <v>0.26266950679993445</v>
      </c>
      <c r="J66" s="101">
        <f>'Tourism Medium DB-US$'!I61/'Tourism Medium DB-US$'!I$57</f>
        <v>0.26240842601999015</v>
      </c>
      <c r="K66" s="101">
        <f>'Tourism Medium DB-US$'!J61/'Tourism Medium DB-US$'!J$57</f>
        <v>0.26372575331476322</v>
      </c>
      <c r="L66" s="101">
        <f>'Tourism Medium DB-US$'!K61/'Tourism Medium DB-US$'!K$57</f>
        <v>0.26240712454818937</v>
      </c>
      <c r="M66" s="101">
        <f>'Tourism Medium DB-US$'!L61/'Tourism Medium DB-US$'!L$57</f>
        <v>0.26227396964175503</v>
      </c>
      <c r="N66" s="101">
        <f>'Tourism Medium DB-US$'!M61/'Tourism Medium DB-US$'!M$57</f>
        <v>0.2615847808073965</v>
      </c>
      <c r="O66" s="101">
        <f>'Tourism Medium DB-US$'!N61/'Tourism Medium DB-US$'!N$57</f>
        <v>0.2608457603424908</v>
      </c>
      <c r="P66" s="101">
        <f>'Tourism Medium DB-US$'!O61/'Tourism Medium DB-US$'!O$57</f>
        <v>0.26041160223132576</v>
      </c>
      <c r="Q66" s="101">
        <f>'Tourism Medium DB-US$'!P61/'Tourism Medium DB-US$'!P$57</f>
        <v>0.26032718561204821</v>
      </c>
      <c r="R66" s="101"/>
    </row>
    <row r="67" spans="1:18">
      <c r="A67" t="str">
        <f>Home!$B$1</f>
        <v>Hungary</v>
      </c>
      <c r="B67" t="str">
        <f>'[6]Final Sheet -US$'!B16</f>
        <v>Tourism Receipts &amp; Expenditure</v>
      </c>
      <c r="C67" s="114" t="str">
        <f>'[6]Final Sheet -US$'!C16</f>
        <v>Inbound Tourist Expenditure by Sector</v>
      </c>
      <c r="D67" s="114" t="str">
        <f>'[6]Final Sheet -US$'!D16</f>
        <v>Transportation</v>
      </c>
      <c r="G67" t="s">
        <v>176</v>
      </c>
      <c r="H67" s="101">
        <f>'Tourism Medium DB-US$'!G62/'Tourism Medium DB-US$'!G$57</f>
        <v>0.32637537104561171</v>
      </c>
      <c r="I67" s="101">
        <f>'Tourism Medium DB-US$'!H62/'Tourism Medium DB-US$'!H$57</f>
        <v>0.32547238007026202</v>
      </c>
      <c r="J67" s="101">
        <f>'Tourism Medium DB-US$'!I62/'Tourism Medium DB-US$'!I$57</f>
        <v>0.32464504814329137</v>
      </c>
      <c r="K67" s="101">
        <f>'Tourism Medium DB-US$'!J62/'Tourism Medium DB-US$'!J$57</f>
        <v>0.32397590208075744</v>
      </c>
      <c r="L67" s="101">
        <f>'Tourism Medium DB-US$'!K62/'Tourism Medium DB-US$'!K$57</f>
        <v>0.32624373339532264</v>
      </c>
      <c r="M67" s="101">
        <f>'Tourism Medium DB-US$'!L62/'Tourism Medium DB-US$'!L$57</f>
        <v>0.32481158250912978</v>
      </c>
      <c r="N67" s="101">
        <f>'Tourism Medium DB-US$'!M62/'Tourism Medium DB-US$'!M$57</f>
        <v>0.32533946402273078</v>
      </c>
      <c r="O67" s="101">
        <f>'Tourism Medium DB-US$'!N62/'Tourism Medium DB-US$'!N$57</f>
        <v>0.32714895319406173</v>
      </c>
      <c r="P67" s="101">
        <f>'Tourism Medium DB-US$'!O62/'Tourism Medium DB-US$'!O$57</f>
        <v>0.32763263978978635</v>
      </c>
      <c r="Q67" s="101">
        <f>'Tourism Medium DB-US$'!P62/'Tourism Medium DB-US$'!P$57</f>
        <v>0.32750104137569669</v>
      </c>
      <c r="R67" s="101"/>
    </row>
    <row r="68" spans="1:18">
      <c r="A68" t="str">
        <f>Home!$B$1</f>
        <v>Hungary</v>
      </c>
      <c r="B68" t="str">
        <f>'[6]Final Sheet -US$'!B17</f>
        <v>Tourism Receipts &amp; Expenditure</v>
      </c>
      <c r="C68" s="114" t="str">
        <f>'[6]Final Sheet -US$'!C17</f>
        <v>Inbound Tourist Expenditure by Sector</v>
      </c>
      <c r="D68" s="114" t="str">
        <f>'[6]Final Sheet -US$'!D17</f>
        <v>Travel Intermediation</v>
      </c>
      <c r="G68" t="s">
        <v>176</v>
      </c>
      <c r="H68" s="101">
        <f>'Tourism Medium DB-US$'!G63/'Tourism Medium DB-US$'!G$57</f>
        <v>2.1891972234475278E-3</v>
      </c>
      <c r="I68" s="101">
        <f>'Tourism Medium DB-US$'!H63/'Tourism Medium DB-US$'!H$57</f>
        <v>2.1802033234183229E-3</v>
      </c>
      <c r="J68" s="101">
        <f>'Tourism Medium DB-US$'!I63/'Tourism Medium DB-US$'!I$57</f>
        <v>2.1709633070651551E-3</v>
      </c>
      <c r="K68" s="101">
        <f>'Tourism Medium DB-US$'!J63/'Tourism Medium DB-US$'!J$57</f>
        <v>2.16212164757366E-3</v>
      </c>
      <c r="L68" s="101">
        <f>'Tourism Medium DB-US$'!K63/'Tourism Medium DB-US$'!K$57</f>
        <v>2.1491489176882184E-3</v>
      </c>
      <c r="M68" s="101">
        <f>'Tourism Medium DB-US$'!L63/'Tourism Medium DB-US$'!L$57</f>
        <v>2.1692045472389131E-3</v>
      </c>
      <c r="N68" s="101">
        <f>'Tourism Medium DB-US$'!M63/'Tourism Medium DB-US$'!M$57</f>
        <v>2.1523989116042186E-3</v>
      </c>
      <c r="O68" s="101">
        <f>'Tourism Medium DB-US$'!N63/'Tourism Medium DB-US$'!N$57</f>
        <v>2.1717369817791741E-3</v>
      </c>
      <c r="P68" s="101">
        <f>'Tourism Medium DB-US$'!O63/'Tourism Medium DB-US$'!O$57</f>
        <v>2.1879552977906668E-3</v>
      </c>
      <c r="Q68" s="101">
        <f>'Tourism Medium DB-US$'!P63/'Tourism Medium DB-US$'!P$57</f>
        <v>2.1982896961345558E-3</v>
      </c>
      <c r="R68" s="101"/>
    </row>
    <row r="69" spans="1:18">
      <c r="A69" t="str">
        <f>Home!$B$1</f>
        <v>Hungary</v>
      </c>
      <c r="B69" t="str">
        <f>'[6]Final Sheet -US$'!B18</f>
        <v>Tourism Receipts &amp; Expenditure</v>
      </c>
      <c r="C69" s="114" t="str">
        <f>'[6]Final Sheet -US$'!C18</f>
        <v>Inbound Tourist Expenditure by Sector</v>
      </c>
      <c r="D69" s="114" t="str">
        <f>'[6]Final Sheet -US$'!D18</f>
        <v>Other Sectors</v>
      </c>
      <c r="G69" t="s">
        <v>176</v>
      </c>
      <c r="H69" s="101">
        <f>'Tourism Medium DB-US$'!G64/'Tourism Medium DB-US$'!G$57</f>
        <v>8.0329474562699787E-2</v>
      </c>
      <c r="I69" s="101">
        <f>'Tourism Medium DB-US$'!H64/'Tourism Medium DB-US$'!H$57</f>
        <v>7.9227901613693252E-2</v>
      </c>
      <c r="J69" s="101">
        <f>'Tourism Medium DB-US$'!I64/'Tourism Medium DB-US$'!I$57</f>
        <v>7.8739809418068962E-2</v>
      </c>
      <c r="K69" s="101">
        <f>'Tourism Medium DB-US$'!J64/'Tourism Medium DB-US$'!J$57</f>
        <v>7.8932467482797905E-2</v>
      </c>
      <c r="L69" s="101">
        <f>'Tourism Medium DB-US$'!K64/'Tourism Medium DB-US$'!K$57</f>
        <v>7.8295736955543344E-2</v>
      </c>
      <c r="M69" s="101">
        <f>'Tourism Medium DB-US$'!L64/'Tourism Medium DB-US$'!L$57</f>
        <v>7.8574493888808009E-2</v>
      </c>
      <c r="N69" s="101">
        <f>'Tourism Medium DB-US$'!M64/'Tourism Medium DB-US$'!M$57</f>
        <v>7.8271179804736982E-2</v>
      </c>
      <c r="O69" s="101">
        <f>'Tourism Medium DB-US$'!N64/'Tourism Medium DB-US$'!N$57</f>
        <v>7.844461735105146E-2</v>
      </c>
      <c r="P69" s="101">
        <f>'Tourism Medium DB-US$'!O64/'Tourism Medium DB-US$'!O$57</f>
        <v>7.8265166995255764E-2</v>
      </c>
      <c r="Q69" s="101">
        <f>'Tourism Medium DB-US$'!P64/'Tourism Medium DB-US$'!P$57</f>
        <v>7.784864323212462E-2</v>
      </c>
      <c r="R69" s="101"/>
    </row>
    <row r="70" spans="1:18">
      <c r="C70" s="114"/>
      <c r="D70" s="114"/>
    </row>
    <row r="71" spans="1:18">
      <c r="A71" t="str">
        <f t="shared" ref="A71:A78" si="3">$T$1</f>
        <v>Norway</v>
      </c>
      <c r="B71" t="s">
        <v>34</v>
      </c>
      <c r="C71" s="114" t="s">
        <v>43</v>
      </c>
      <c r="D71" s="114"/>
    </row>
    <row r="72" spans="1:18">
      <c r="A72" t="str">
        <f t="shared" si="3"/>
        <v>Norway</v>
      </c>
      <c r="B72" t="s">
        <v>34</v>
      </c>
      <c r="C72" s="114" t="s">
        <v>43</v>
      </c>
      <c r="D72" s="114" t="s">
        <v>36</v>
      </c>
      <c r="G72" t="s">
        <v>176</v>
      </c>
      <c r="H72" s="157">
        <v>0.12883818074129494</v>
      </c>
      <c r="I72" s="157">
        <v>0.12882189087334098</v>
      </c>
      <c r="J72" s="157">
        <v>0.12883477306242833</v>
      </c>
      <c r="K72" s="157">
        <v>0.12909244260855321</v>
      </c>
      <c r="L72" s="157">
        <v>0.12945463025820889</v>
      </c>
      <c r="M72" s="157">
        <v>0.12926980419916928</v>
      </c>
      <c r="N72" s="157">
        <v>0.12914323561965971</v>
      </c>
      <c r="O72" s="157">
        <v>0.12899681571953092</v>
      </c>
      <c r="P72" s="157">
        <v>0.12892275119471752</v>
      </c>
      <c r="Q72" s="157">
        <v>0.25265660883099678</v>
      </c>
      <c r="R72" s="157"/>
    </row>
    <row r="73" spans="1:18">
      <c r="A73" t="str">
        <f t="shared" si="3"/>
        <v>Norway</v>
      </c>
      <c r="B73" t="s">
        <v>34</v>
      </c>
      <c r="C73" s="114" t="s">
        <v>43</v>
      </c>
      <c r="D73" s="114" t="s">
        <v>37</v>
      </c>
      <c r="G73" t="s">
        <v>176</v>
      </c>
      <c r="H73" s="157">
        <v>2.4626702827394872E-2</v>
      </c>
      <c r="I73" s="157">
        <v>2.4446993281992461E-2</v>
      </c>
      <c r="J73" s="157">
        <v>2.4471440275274457E-2</v>
      </c>
      <c r="K73" s="157">
        <v>2.4544854596100271E-2</v>
      </c>
      <c r="L73" s="157">
        <v>2.4515077921354371E-2</v>
      </c>
      <c r="M73" s="157">
        <v>2.4451489902518109E-2</v>
      </c>
      <c r="N73" s="157">
        <v>2.4592430102635683E-2</v>
      </c>
      <c r="O73" s="157">
        <v>2.4503347236050434E-2</v>
      </c>
      <c r="P73" s="157">
        <v>2.4406521528654357E-2</v>
      </c>
      <c r="Q73" s="157">
        <v>3.244293246896604E-2</v>
      </c>
      <c r="R73" s="157"/>
    </row>
    <row r="74" spans="1:18">
      <c r="A74" t="str">
        <f t="shared" si="3"/>
        <v>Norway</v>
      </c>
      <c r="B74" t="s">
        <v>34</v>
      </c>
      <c r="C74" s="114" t="s">
        <v>43</v>
      </c>
      <c r="D74" s="114" t="s">
        <v>38</v>
      </c>
      <c r="G74" t="s">
        <v>176</v>
      </c>
      <c r="H74" s="157">
        <v>0.17297920758128371</v>
      </c>
      <c r="I74" s="157">
        <v>0.17221038833360641</v>
      </c>
      <c r="J74" s="157">
        <v>0.17255480911027363</v>
      </c>
      <c r="K74" s="157">
        <v>0.17238225430116336</v>
      </c>
      <c r="L74" s="157">
        <v>0.17247681159052572</v>
      </c>
      <c r="M74" s="157">
        <v>0.17275343938307761</v>
      </c>
      <c r="N74" s="157">
        <v>0.17217152600997257</v>
      </c>
      <c r="O74" s="157">
        <v>0.17282078276019353</v>
      </c>
      <c r="P74" s="157">
        <v>0.1725571008193674</v>
      </c>
      <c r="Q74" s="157">
        <v>0.13378425802626701</v>
      </c>
      <c r="R74" s="157"/>
    </row>
    <row r="75" spans="1:18">
      <c r="A75" t="str">
        <f t="shared" si="3"/>
        <v>Norway</v>
      </c>
      <c r="B75" t="s">
        <v>34</v>
      </c>
      <c r="C75" s="114" t="s">
        <v>43</v>
      </c>
      <c r="D75" s="114" t="s">
        <v>39</v>
      </c>
      <c r="G75" t="s">
        <v>176</v>
      </c>
      <c r="H75" s="157">
        <v>0.26662302440849156</v>
      </c>
      <c r="I75" s="157">
        <v>0.26478780927412743</v>
      </c>
      <c r="J75" s="157">
        <v>0.26425823365557921</v>
      </c>
      <c r="K75" s="157">
        <v>0.26505100835654599</v>
      </c>
      <c r="L75" s="157">
        <v>0.26448610223374297</v>
      </c>
      <c r="M75" s="157">
        <v>0.2647767320610368</v>
      </c>
      <c r="N75" s="157">
        <v>0.26493792591200688</v>
      </c>
      <c r="O75" s="157">
        <v>0.26531933257494283</v>
      </c>
      <c r="P75" s="157">
        <v>0.26566800601987528</v>
      </c>
      <c r="Q75" s="157">
        <v>0.28275430775965948</v>
      </c>
      <c r="R75" s="157"/>
    </row>
    <row r="76" spans="1:18">
      <c r="A76" t="str">
        <f t="shared" si="3"/>
        <v>Norway</v>
      </c>
      <c r="B76" t="s">
        <v>34</v>
      </c>
      <c r="C76" s="114" t="s">
        <v>43</v>
      </c>
      <c r="D76" s="114" t="s">
        <v>40</v>
      </c>
      <c r="G76" t="s">
        <v>176</v>
      </c>
      <c r="H76" s="157">
        <v>0.32768611550764232</v>
      </c>
      <c r="I76" s="157">
        <v>0.33093277078826838</v>
      </c>
      <c r="J76" s="157">
        <v>0.33093277078826849</v>
      </c>
      <c r="K76" s="157">
        <v>0.33126370355905665</v>
      </c>
      <c r="L76" s="157">
        <v>0.33080769387798986</v>
      </c>
      <c r="M76" s="157">
        <v>0.32989256376586512</v>
      </c>
      <c r="N76" s="157">
        <v>0.33040707161167815</v>
      </c>
      <c r="O76" s="157">
        <v>0.32898648047209311</v>
      </c>
      <c r="P76" s="157">
        <v>0.3293204072241131</v>
      </c>
      <c r="Q76" s="157">
        <v>0.22831246701002142</v>
      </c>
      <c r="R76" s="157"/>
    </row>
    <row r="77" spans="1:18">
      <c r="A77" t="str">
        <f t="shared" si="3"/>
        <v>Norway</v>
      </c>
      <c r="B77" t="s">
        <v>34</v>
      </c>
      <c r="C77" s="114" t="s">
        <v>43</v>
      </c>
      <c r="D77" s="114" t="s">
        <v>41</v>
      </c>
      <c r="G77" t="s">
        <v>176</v>
      </c>
      <c r="H77" s="157">
        <v>2.187010213234294E-3</v>
      </c>
      <c r="I77" s="157">
        <v>2.2476322921838377E-3</v>
      </c>
      <c r="J77" s="157">
        <v>2.2543751890603896E-3</v>
      </c>
      <c r="K77" s="157">
        <v>2.2498664386822686E-3</v>
      </c>
      <c r="L77" s="157">
        <v>2.253561196170953E-3</v>
      </c>
      <c r="M77" s="157">
        <v>2.2630375624835795E-3</v>
      </c>
      <c r="N77" s="157">
        <v>2.2636722195861795E-3</v>
      </c>
      <c r="O77" s="157">
        <v>2.264815797346601E-3</v>
      </c>
      <c r="P77" s="157">
        <v>2.2695779825293604E-3</v>
      </c>
      <c r="Q77" s="157">
        <v>4.4138242006293488E-2</v>
      </c>
      <c r="R77" s="157"/>
    </row>
    <row r="78" spans="1:18">
      <c r="A78" t="str">
        <f t="shared" si="3"/>
        <v>Norway</v>
      </c>
      <c r="B78" t="s">
        <v>34</v>
      </c>
      <c r="C78" s="114" t="s">
        <v>43</v>
      </c>
      <c r="D78" s="114" t="s">
        <v>42</v>
      </c>
      <c r="G78" t="s">
        <v>176</v>
      </c>
      <c r="H78" s="157">
        <v>7.7059758720658372E-2</v>
      </c>
      <c r="I78" s="157">
        <v>7.6552515156480413E-2</v>
      </c>
      <c r="J78" s="157">
        <v>7.6693597919115494E-2</v>
      </c>
      <c r="K78" s="157">
        <v>7.5415870139898256E-2</v>
      </c>
      <c r="L78" s="157">
        <v>7.6006122922007494E-2</v>
      </c>
      <c r="M78" s="157">
        <v>7.6592933125849583E-2</v>
      </c>
      <c r="N78" s="157">
        <v>7.6484138524460676E-2</v>
      </c>
      <c r="O78" s="157">
        <v>7.7108425439842407E-2</v>
      </c>
      <c r="P78" s="157">
        <v>7.6855635230743014E-2</v>
      </c>
      <c r="Q78" s="157">
        <v>2.5911183897795675E-2</v>
      </c>
      <c r="R78" s="157"/>
    </row>
    <row r="79" spans="1:18">
      <c r="C79" s="114"/>
      <c r="D79" s="114"/>
    </row>
    <row r="80" spans="1:18">
      <c r="A80" t="str">
        <f>Home!$B$1</f>
        <v>Hungary</v>
      </c>
      <c r="B80" t="str">
        <f>'[6]Final Sheet -US$'!B177</f>
        <v>Tourism Spend Factors</v>
      </c>
      <c r="C80" s="114" t="str">
        <f>'[6]Final Sheet -US$'!C177</f>
        <v>Average Expenditure per International Tourist by Sector</v>
      </c>
      <c r="D80" s="114"/>
      <c r="G80" t="str">
        <f>'[6]Final Sheet -US$'!G177</f>
        <v>US$</v>
      </c>
      <c r="H80" s="411">
        <f>'Tourism Medium DB-US$'!G109</f>
        <v>54.34466727928811</v>
      </c>
      <c r="I80" s="411">
        <f>'Tourism Medium DB-US$'!H109</f>
        <v>47.506097005576805</v>
      </c>
      <c r="J80" s="411">
        <f>'Tourism Medium DB-US$'!I109</f>
        <v>46.46739785626766</v>
      </c>
      <c r="K80" s="411">
        <f>'Tourism Medium DB-US$'!J109</f>
        <v>49.341001190931742</v>
      </c>
      <c r="L80" s="411">
        <f>'Tourism Medium DB-US$'!K109</f>
        <v>45.616472451038099</v>
      </c>
      <c r="M80" s="411">
        <f>'Tourism Medium DB-US$'!L109</f>
        <v>46.591310616387126</v>
      </c>
      <c r="N80" s="411">
        <f>'Tourism Medium DB-US$'!M109</f>
        <v>47.670912037683401</v>
      </c>
      <c r="O80" s="411">
        <f>'Tourism Medium DB-US$'!N109</f>
        <v>49.967319942324337</v>
      </c>
      <c r="P80" s="411">
        <f>'Tourism Medium DB-US$'!O109</f>
        <v>51.710510391400902</v>
      </c>
      <c r="Q80" s="411">
        <f>'Tourism Medium DB-US$'!P109</f>
        <v>52.545327413853684</v>
      </c>
      <c r="R80" s="411"/>
    </row>
    <row r="81" spans="1:18">
      <c r="A81" t="str">
        <f>Home!$B$1</f>
        <v>Hungary</v>
      </c>
      <c r="B81" t="str">
        <f>'[6]Final Sheet -US$'!B178</f>
        <v>Tourism Spend Factors</v>
      </c>
      <c r="C81" s="114" t="str">
        <f>'[6]Final Sheet -US$'!C178</f>
        <v>Average Expenditure per International Tourist by Sector</v>
      </c>
      <c r="D81" s="114" t="str">
        <f>'[6]Final Sheet -US$'!D178</f>
        <v>Accommodation</v>
      </c>
      <c r="G81" t="str">
        <f>'[6]Final Sheet -US$'!G178</f>
        <v>US$</v>
      </c>
      <c r="H81" s="412">
        <f>'Tourism Medium DB-US$'!G110</f>
        <v>6.9736613929934403</v>
      </c>
      <c r="I81" s="412">
        <f>'Tourism Medium DB-US$'!H110</f>
        <v>6.119825244270765</v>
      </c>
      <c r="J81" s="412">
        <f>'Tourism Medium DB-US$'!I110</f>
        <v>5.9985898909290398</v>
      </c>
      <c r="K81" s="412">
        <f>'Tourism Medium DB-US$'!J110</f>
        <v>6.3822894652178874</v>
      </c>
      <c r="L81" s="412">
        <f>'Tourism Medium DB-US$'!K110</f>
        <v>5.8651162195805</v>
      </c>
      <c r="M81" s="412">
        <f>'Tourism Medium DB-US$'!L110</f>
        <v>6.0363560837933257</v>
      </c>
      <c r="N81" s="412">
        <f>'Tourism Medium DB-US$'!M110</f>
        <v>6.1633799112275263</v>
      </c>
      <c r="O81" s="412">
        <f>'Tourism Medium DB-US$'!N110</f>
        <v>6.4418199267761453</v>
      </c>
      <c r="P81" s="412">
        <f>'Tourism Medium DB-US$'!O110</f>
        <v>6.6483185990216898</v>
      </c>
      <c r="Q81" s="412">
        <f>'Tourism Medium DB-US$'!P110</f>
        <v>6.749111783896379</v>
      </c>
      <c r="R81" s="412"/>
    </row>
    <row r="82" spans="1:18">
      <c r="A82" t="str">
        <f>Home!$B$1</f>
        <v>Hungary</v>
      </c>
      <c r="B82" t="str">
        <f>'[6]Final Sheet -US$'!B179</f>
        <v>Tourism Spend Factors</v>
      </c>
      <c r="C82" s="114" t="str">
        <f>'[6]Final Sheet -US$'!C179</f>
        <v>Average Expenditure per International Tourist by Sector</v>
      </c>
      <c r="D82" s="114" t="str">
        <f>'[6]Final Sheet -US$'!D179</f>
        <v>Entertainment &amp; Sightseeing</v>
      </c>
      <c r="G82" t="str">
        <f>'[6]Final Sheet -US$'!G179</f>
        <v>US$</v>
      </c>
      <c r="H82" s="412">
        <f>'Tourism Medium DB-US$'!G111</f>
        <v>1.3102250419425234</v>
      </c>
      <c r="I82" s="412">
        <f>'Tourism Medium DB-US$'!H111</f>
        <v>1.1520901844742262</v>
      </c>
      <c r="J82" s="412">
        <f>'Tourism Medium DB-US$'!I111</f>
        <v>1.1314385306301347</v>
      </c>
      <c r="K82" s="412">
        <f>'Tourism Medium DB-US$'!J111</f>
        <v>1.1989570228588555</v>
      </c>
      <c r="L82" s="412">
        <f>'Tourism Medium DB-US$'!K111</f>
        <v>1.11399545259608</v>
      </c>
      <c r="M82" s="412">
        <f>'Tourism Medium DB-US$'!L111</f>
        <v>1.1440811527657151</v>
      </c>
      <c r="N82" s="412">
        <f>'Tourism Medium DB-US$'!M111</f>
        <v>1.1669697383644255</v>
      </c>
      <c r="O82" s="412">
        <f>'Tourism Medium DB-US$'!N111</f>
        <v>1.2262868212987574</v>
      </c>
      <c r="P82" s="412">
        <f>'Tourism Medium DB-US$'!O111</f>
        <v>1.2802219731177051</v>
      </c>
      <c r="Q82" s="412">
        <f>'Tourism Medium DB-US$'!P111</f>
        <v>1.3056359637141657</v>
      </c>
      <c r="R82" s="412"/>
    </row>
    <row r="83" spans="1:18">
      <c r="A83" t="str">
        <f>Home!$B$1</f>
        <v>Hungary</v>
      </c>
      <c r="B83" t="str">
        <f>'[6]Final Sheet -US$'!B180</f>
        <v>Tourism Spend Factors</v>
      </c>
      <c r="C83" s="114" t="str">
        <f>'[6]Final Sheet -US$'!C180</f>
        <v>Average Expenditure per International Tourist by Sector</v>
      </c>
      <c r="D83" s="114" t="str">
        <f>'[6]Final Sheet -US$'!D180</f>
        <v>Foodservice</v>
      </c>
      <c r="G83" t="str">
        <f>'[6]Final Sheet -US$'!G180</f>
        <v>US$</v>
      </c>
      <c r="H83" s="412">
        <f>'Tourism Medium DB-US$'!G112</f>
        <v>9.6543109142602468</v>
      </c>
      <c r="I83" s="412">
        <f>'Tourism Medium DB-US$'!H112</f>
        <v>8.4264747159506896</v>
      </c>
      <c r="J83" s="412">
        <f>'Tourism Medium DB-US$'!I112</f>
        <v>8.2988090207822811</v>
      </c>
      <c r="K83" s="412">
        <f>'Tourism Medium DB-US$'!J112</f>
        <v>8.7606784052122748</v>
      </c>
      <c r="L83" s="412">
        <f>'Tourism Medium DB-US$'!K112</f>
        <v>8.115573213938184</v>
      </c>
      <c r="M83" s="412">
        <f>'Tourism Medium DB-US$'!L112</f>
        <v>8.2958333270233187</v>
      </c>
      <c r="N83" s="412">
        <f>'Tourism Medium DB-US$'!M112</f>
        <v>8.5274829932682934</v>
      </c>
      <c r="O83" s="412">
        <f>'Tourism Medium DB-US$'!N112</f>
        <v>8.8905100490408415</v>
      </c>
      <c r="P83" s="412">
        <f>'Tourism Medium DB-US$'!O112</f>
        <v>9.2136299152700989</v>
      </c>
      <c r="Q83" s="412">
        <f>'Tourism Medium DB-US$'!P112</f>
        <v>9.3968607168768266</v>
      </c>
      <c r="R83" s="412"/>
    </row>
    <row r="84" spans="1:18">
      <c r="A84" t="str">
        <f>Home!$B$1</f>
        <v>Hungary</v>
      </c>
      <c r="B84" t="str">
        <f>'[6]Final Sheet -US$'!B181</f>
        <v>Tourism Spend Factors</v>
      </c>
      <c r="C84" s="114" t="str">
        <f>'[6]Final Sheet -US$'!C181</f>
        <v>Average Expenditure per International Tourist by Sector</v>
      </c>
      <c r="D84" s="114" t="str">
        <f>'[6]Final Sheet -US$'!D181</f>
        <v>Retail</v>
      </c>
      <c r="G84" t="str">
        <f>'[6]Final Sheet -US$'!G181</f>
        <v>US$</v>
      </c>
      <c r="H84" s="412">
        <f>'Tourism Medium DB-US$'!G113</f>
        <v>14.185259219916968</v>
      </c>
      <c r="I84" s="412">
        <f>'Tourism Medium DB-US$'!H113</f>
        <v>12.478403070444704</v>
      </c>
      <c r="J84" s="412">
        <f>'Tourism Medium DB-US$'!I113</f>
        <v>12.193436732707859</v>
      </c>
      <c r="K84" s="412">
        <f>'Tourism Medium DB-US$'!J113</f>
        <v>13.012492708383101</v>
      </c>
      <c r="L84" s="412">
        <f>'Tourism Medium DB-US$'!K113</f>
        <v>11.970087367908604</v>
      </c>
      <c r="M84" s="412">
        <f>'Tourism Medium DB-US$'!L113</f>
        <v>12.219687986171893</v>
      </c>
      <c r="N84" s="412">
        <f>'Tourism Medium DB-US$'!M113</f>
        <v>12.46998507626609</v>
      </c>
      <c r="O84" s="412">
        <f>'Tourism Medium DB-US$'!N113</f>
        <v>13.033763562632096</v>
      </c>
      <c r="P84" s="412">
        <f>'Tourism Medium DB-US$'!O113</f>
        <v>13.466016863224329</v>
      </c>
      <c r="Q84" s="412">
        <f>'Tourism Medium DB-US$'!P113</f>
        <v>13.678977202712133</v>
      </c>
      <c r="R84" s="412"/>
    </row>
    <row r="85" spans="1:18">
      <c r="A85" t="str">
        <f>Home!$B$1</f>
        <v>Hungary</v>
      </c>
      <c r="B85" t="str">
        <f>'[6]Final Sheet -US$'!B182</f>
        <v>Tourism Spend Factors</v>
      </c>
      <c r="C85" s="114" t="str">
        <f>'[6]Final Sheet -US$'!C182</f>
        <v>Average Expenditure per International Tourist by Sector</v>
      </c>
      <c r="D85" s="114" t="str">
        <f>'[6]Final Sheet -US$'!D182</f>
        <v>Transportation</v>
      </c>
      <c r="G85" t="str">
        <f>'[6]Final Sheet -US$'!G182</f>
        <v>US$</v>
      </c>
      <c r="H85" s="412">
        <f>'Tourism Medium DB-US$'!G114</f>
        <v>17.736760947627971</v>
      </c>
      <c r="I85" s="412">
        <f>'Tourism Medium DB-US$'!H114</f>
        <v>15.461922460253831</v>
      </c>
      <c r="J85" s="412">
        <f>'Tourism Medium DB-US$'!I114</f>
        <v>15.085410614141486</v>
      </c>
      <c r="K85" s="412">
        <f>'Tourism Medium DB-US$'!J114</f>
        <v>15.985295370399836</v>
      </c>
      <c r="L85" s="412">
        <f>'Tourism Medium DB-US$'!K114</f>
        <v>14.882088276751556</v>
      </c>
      <c r="M85" s="412">
        <f>'Tourism Medium DB-US$'!L114</f>
        <v>15.133397332483121</v>
      </c>
      <c r="N85" s="412">
        <f>'Tourism Medium DB-US$'!M114</f>
        <v>15.509228971814657</v>
      </c>
      <c r="O85" s="412">
        <f>'Tourism Medium DB-US$'!N114</f>
        <v>16.346756413044172</v>
      </c>
      <c r="P85" s="412">
        <f>'Tourism Medium DB-US$'!O114</f>
        <v>16.942051024411857</v>
      </c>
      <c r="Q85" s="412">
        <f>'Tourism Medium DB-US$'!P114</f>
        <v>17.208649447464023</v>
      </c>
      <c r="R85" s="412"/>
    </row>
    <row r="86" spans="1:18">
      <c r="A86" t="str">
        <f>Home!$B$1</f>
        <v>Hungary</v>
      </c>
      <c r="B86" t="str">
        <f>'[6]Final Sheet -US$'!B183</f>
        <v>Tourism Spend Factors</v>
      </c>
      <c r="C86" s="114" t="str">
        <f>'[6]Final Sheet -US$'!C183</f>
        <v>Average Expenditure per International Tourist by Sector</v>
      </c>
      <c r="D86" s="114" t="str">
        <f>'[6]Final Sheet -US$'!D183</f>
        <v>Travel Intermediation</v>
      </c>
      <c r="G86" t="str">
        <f>'[6]Final Sheet -US$'!G183</f>
        <v>US$</v>
      </c>
      <c r="H86" s="412">
        <f>'Tourism Medium DB-US$'!G115</f>
        <v>0.11897119471699721</v>
      </c>
      <c r="I86" s="412">
        <f>'Tourism Medium DB-US$'!H115</f>
        <v>0.10357295057419179</v>
      </c>
      <c r="J86" s="412">
        <f>'Tourism Medium DB-US$'!I115</f>
        <v>0.10087901572075512</v>
      </c>
      <c r="K86" s="412">
        <f>'Tourism Medium DB-US$'!J115</f>
        <v>0.10668124678787125</v>
      </c>
      <c r="L86" s="412">
        <f>'Tourism Medium DB-US$'!K115</f>
        <v>9.8036592396902961E-2</v>
      </c>
      <c r="M86" s="412">
        <f>'Tourism Medium DB-US$'!L115</f>
        <v>0.10106608285088758</v>
      </c>
      <c r="N86" s="412">
        <f>'Tourism Medium DB-US$'!M115</f>
        <v>0.10260681918509017</v>
      </c>
      <c r="O86" s="412">
        <f>'Tourism Medium DB-US$'!N115</f>
        <v>0.10851587659913779</v>
      </c>
      <c r="P86" s="412">
        <f>'Tourism Medium DB-US$'!O115</f>
        <v>0.11314028516232494</v>
      </c>
      <c r="Q86" s="412">
        <f>'Tourism Medium DB-US$'!P115</f>
        <v>0.11550985183389112</v>
      </c>
      <c r="R86" s="412"/>
    </row>
    <row r="87" spans="1:18">
      <c r="A87" t="str">
        <f>Home!$B$1</f>
        <v>Hungary</v>
      </c>
      <c r="B87" t="str">
        <f>'[6]Final Sheet -US$'!B184</f>
        <v>Tourism Spend Factors</v>
      </c>
      <c r="C87" s="114" t="str">
        <f>'[6]Final Sheet -US$'!C184</f>
        <v>Average Expenditure per International Tourist by Sector</v>
      </c>
      <c r="D87" s="114" t="str">
        <f>'[6]Final Sheet -US$'!D184</f>
        <v>Other Sectors</v>
      </c>
      <c r="G87" t="str">
        <f>'[6]Final Sheet -US$'!G184</f>
        <v>US$</v>
      </c>
      <c r="H87" s="412">
        <f>'Tourism Medium DB-US$'!G116</f>
        <v>4.3654785678299568</v>
      </c>
      <c r="I87" s="412">
        <f>'Tourism Medium DB-US$'!H116</f>
        <v>3.7638083796084061</v>
      </c>
      <c r="J87" s="412">
        <f>'Tourism Medium DB-US$'!I116</f>
        <v>3.6588340513561013</v>
      </c>
      <c r="K87" s="412">
        <f>'Tourism Medium DB-US$'!J116</f>
        <v>3.8946069720719123</v>
      </c>
      <c r="L87" s="412">
        <f>'Tourism Medium DB-US$'!K116</f>
        <v>3.571575327866269</v>
      </c>
      <c r="M87" s="412">
        <f>'Tourism Medium DB-US$'!L116</f>
        <v>3.660888651298865</v>
      </c>
      <c r="N87" s="412">
        <f>'Tourism Medium DB-US$'!M116</f>
        <v>3.7312585275573174</v>
      </c>
      <c r="O87" s="412">
        <f>'Tourism Medium DB-US$'!N116</f>
        <v>3.9196672929331959</v>
      </c>
      <c r="P87" s="412">
        <f>'Tourism Medium DB-US$'!O116</f>
        <v>4.0471317311929003</v>
      </c>
      <c r="Q87" s="412">
        <f>'Tourism Medium DB-US$'!P116</f>
        <v>4.0905824473562715</v>
      </c>
      <c r="R87" s="412"/>
    </row>
    <row r="88" spans="1:18">
      <c r="C88" s="114"/>
      <c r="D88" s="114"/>
    </row>
    <row r="89" spans="1:18">
      <c r="A89" t="str">
        <f t="shared" ref="A89:A96" si="4">$T$1</f>
        <v>Norway</v>
      </c>
      <c r="B89" t="s">
        <v>49</v>
      </c>
      <c r="C89" s="114" t="s">
        <v>55</v>
      </c>
      <c r="D89" s="114"/>
      <c r="G89" s="5" t="s">
        <v>179</v>
      </c>
      <c r="H89" s="411">
        <v>1327.5850241545895</v>
      </c>
      <c r="I89" s="411">
        <v>1123.423838011965</v>
      </c>
      <c r="J89" s="411">
        <v>1091.6822219614219</v>
      </c>
      <c r="K89" s="411">
        <v>1142.489630094665</v>
      </c>
      <c r="L89" s="411">
        <v>1102.5973109615679</v>
      </c>
      <c r="M89" s="411">
        <v>1108.1473749556681</v>
      </c>
      <c r="N89" s="411">
        <v>1115.927795090354</v>
      </c>
      <c r="O89" s="411">
        <v>1123.1110123326037</v>
      </c>
      <c r="P89" s="411">
        <v>1134.2546394509907</v>
      </c>
      <c r="Q89" s="411">
        <v>858.82054849366307</v>
      </c>
      <c r="R89" s="411"/>
    </row>
    <row r="90" spans="1:18">
      <c r="A90" t="str">
        <f t="shared" si="4"/>
        <v>Norway</v>
      </c>
      <c r="B90" t="s">
        <v>49</v>
      </c>
      <c r="C90" s="114" t="s">
        <v>55</v>
      </c>
      <c r="D90" s="114" t="s">
        <v>36</v>
      </c>
      <c r="G90" t="s">
        <v>179</v>
      </c>
      <c r="H90" s="413">
        <v>171.04363929146538</v>
      </c>
      <c r="I90" s="413">
        <v>144.72158306488726</v>
      </c>
      <c r="J90" s="413">
        <v>140.64663132268728</v>
      </c>
      <c r="K90" s="413">
        <v>147.4867770038627</v>
      </c>
      <c r="L90" s="413">
        <v>142.7363272142251</v>
      </c>
      <c r="M90" s="413">
        <v>143.24999418434263</v>
      </c>
      <c r="N90" s="413">
        <v>144.11452617588097</v>
      </c>
      <c r="O90" s="413">
        <v>144.8777442904447</v>
      </c>
      <c r="P90" s="413">
        <v>146.2312286733941</v>
      </c>
      <c r="Q90" s="413">
        <v>216.1245822568475</v>
      </c>
      <c r="R90" s="413"/>
    </row>
    <row r="91" spans="1:18">
      <c r="A91" t="str">
        <f t="shared" si="4"/>
        <v>Norway</v>
      </c>
      <c r="B91" t="s">
        <v>49</v>
      </c>
      <c r="C91" s="114" t="s">
        <v>55</v>
      </c>
      <c r="D91" s="114" t="s">
        <v>37</v>
      </c>
      <c r="G91" t="s">
        <v>179</v>
      </c>
      <c r="H91" s="413">
        <v>32.694041867954915</v>
      </c>
      <c r="I91" s="413">
        <v>27.464335020708699</v>
      </c>
      <c r="J91" s="413">
        <v>26.715036294307847</v>
      </c>
      <c r="K91" s="413">
        <v>28.042241848225942</v>
      </c>
      <c r="L91" s="413">
        <v>27.030258994098631</v>
      </c>
      <c r="M91" s="413">
        <v>27.095854349230464</v>
      </c>
      <c r="N91" s="413">
        <v>27.443376300347889</v>
      </c>
      <c r="O91" s="413">
        <v>27.519979119817908</v>
      </c>
      <c r="P91" s="413">
        <v>27.683210276736695</v>
      </c>
      <c r="Q91" s="413">
        <v>8.395716834899785</v>
      </c>
      <c r="R91" s="413"/>
    </row>
    <row r="92" spans="1:18">
      <c r="A92" t="str">
        <f t="shared" si="4"/>
        <v>Norway</v>
      </c>
      <c r="B92" t="s">
        <v>49</v>
      </c>
      <c r="C92" s="114" t="s">
        <v>55</v>
      </c>
      <c r="D92" s="114" t="s">
        <v>38</v>
      </c>
      <c r="G92" t="s">
        <v>179</v>
      </c>
      <c r="H92" s="413">
        <v>229.64460547504027</v>
      </c>
      <c r="I92" s="413">
        <v>193.46525540727109</v>
      </c>
      <c r="J92" s="413">
        <v>188.37501741963251</v>
      </c>
      <c r="K92" s="413">
        <v>196.94493795142063</v>
      </c>
      <c r="L92" s="413">
        <v>190.17246866293863</v>
      </c>
      <c r="M92" s="413">
        <v>191.43627036692052</v>
      </c>
      <c r="N92" s="413">
        <v>192.13099139765026</v>
      </c>
      <c r="O92" s="413">
        <v>194.09692427791393</v>
      </c>
      <c r="P92" s="413">
        <v>195.72369217457981</v>
      </c>
      <c r="Q92" s="413">
        <v>39.70396432887533</v>
      </c>
      <c r="R92" s="413"/>
    </row>
    <row r="93" spans="1:18">
      <c r="A93" t="str">
        <f t="shared" si="4"/>
        <v>Norway</v>
      </c>
      <c r="B93" t="s">
        <v>49</v>
      </c>
      <c r="C93" s="114" t="s">
        <v>55</v>
      </c>
      <c r="D93" s="114" t="s">
        <v>39</v>
      </c>
      <c r="G93" t="s">
        <v>179</v>
      </c>
      <c r="H93" s="413">
        <v>353.96473429951692</v>
      </c>
      <c r="I93" s="413">
        <v>297.46893695352048</v>
      </c>
      <c r="J93" s="413">
        <v>288.48601568872334</v>
      </c>
      <c r="K93" s="413">
        <v>302.81802849348816</v>
      </c>
      <c r="L93" s="413">
        <v>291.62166510963129</v>
      </c>
      <c r="M93" s="413">
        <v>293.4116405827782</v>
      </c>
      <c r="N93" s="413">
        <v>295.65159549879746</v>
      </c>
      <c r="O93" s="413">
        <v>297.98306419965479</v>
      </c>
      <c r="P93" s="413">
        <v>301.33516838173728</v>
      </c>
      <c r="Q93" s="413">
        <v>242.83520967909686</v>
      </c>
      <c r="R93" s="413"/>
    </row>
    <row r="94" spans="1:18">
      <c r="A94" t="str">
        <f t="shared" si="4"/>
        <v>Norway</v>
      </c>
      <c r="B94" t="s">
        <v>49</v>
      </c>
      <c r="C94" s="114" t="s">
        <v>55</v>
      </c>
      <c r="D94" s="114" t="s">
        <v>40</v>
      </c>
      <c r="G94" t="s">
        <v>179</v>
      </c>
      <c r="H94" s="413">
        <v>435.03117957133685</v>
      </c>
      <c r="I94" s="413">
        <v>371.77776348289046</v>
      </c>
      <c r="J94" s="413">
        <v>361.27342253398683</v>
      </c>
      <c r="K94" s="413">
        <v>378.46534614297536</v>
      </c>
      <c r="L94" s="413">
        <v>364.74767371526912</v>
      </c>
      <c r="M94" s="413">
        <v>365.56957855453874</v>
      </c>
      <c r="N94" s="413">
        <v>368.71043490588073</v>
      </c>
      <c r="O94" s="413">
        <v>369.48833912675286</v>
      </c>
      <c r="P94" s="413">
        <v>373.53319975983976</v>
      </c>
      <c r="Q94" s="413">
        <v>195.83219502982521</v>
      </c>
      <c r="R94" s="413"/>
    </row>
    <row r="95" spans="1:18">
      <c r="A95" t="str">
        <f t="shared" si="4"/>
        <v>Norway</v>
      </c>
      <c r="B95" t="s">
        <v>49</v>
      </c>
      <c r="C95" s="114" t="s">
        <v>55</v>
      </c>
      <c r="D95" s="114" t="s">
        <v>41</v>
      </c>
      <c r="G95" t="s">
        <v>179</v>
      </c>
      <c r="H95" s="413">
        <v>2.903442006762984</v>
      </c>
      <c r="I95" s="413">
        <v>2.5250436961247975</v>
      </c>
      <c r="J95" s="413">
        <v>2.4610613155281467</v>
      </c>
      <c r="K95" s="413">
        <v>2.5704490752925064</v>
      </c>
      <c r="L95" s="413">
        <v>2.4847705149854273</v>
      </c>
      <c r="M95" s="413">
        <v>2.5077791342922517</v>
      </c>
      <c r="N95" s="413">
        <v>2.5260947488100935</v>
      </c>
      <c r="O95" s="413">
        <v>2.5436395629048136</v>
      </c>
      <c r="P95" s="413">
        <v>2.5742793562797468</v>
      </c>
      <c r="Q95" s="413">
        <v>127.17396802148357</v>
      </c>
      <c r="R95" s="413"/>
    </row>
    <row r="96" spans="1:18">
      <c r="A96" t="str">
        <f t="shared" si="4"/>
        <v>Norway</v>
      </c>
      <c r="B96" t="s">
        <v>49</v>
      </c>
      <c r="C96" s="114" t="s">
        <v>55</v>
      </c>
      <c r="D96" s="114" t="s">
        <v>42</v>
      </c>
      <c r="G96" t="s">
        <v>179</v>
      </c>
      <c r="H96" s="413">
        <v>102.30338164251208</v>
      </c>
      <c r="I96" s="413">
        <v>86.000920386562356</v>
      </c>
      <c r="J96" s="413">
        <v>83.725037386555883</v>
      </c>
      <c r="K96" s="413">
        <v>86.161849579399657</v>
      </c>
      <c r="L96" s="413">
        <v>83.804146750419847</v>
      </c>
      <c r="M96" s="413">
        <v>84.876257783565237</v>
      </c>
      <c r="N96" s="413">
        <v>85.350776062986611</v>
      </c>
      <c r="O96" s="413">
        <v>86.601321755114512</v>
      </c>
      <c r="P96" s="413">
        <v>87.173860828423273</v>
      </c>
      <c r="Q96" s="413">
        <v>28.7549123426347</v>
      </c>
      <c r="R96" s="413"/>
    </row>
    <row r="97" spans="1:18">
      <c r="C97" s="114"/>
      <c r="D97" s="114"/>
    </row>
    <row r="98" spans="1:18">
      <c r="A98" t="str">
        <f>Home!$B$1</f>
        <v>Hungary</v>
      </c>
      <c r="B98" t="str">
        <f>'[6]Final Sheet -US$'!B19</f>
        <v>Tourism Receipts &amp; Expenditure</v>
      </c>
      <c r="C98" s="114" t="str">
        <f>'[6]Final Sheet -US$'!C19</f>
        <v>Total Outbound Tourist Expenditure by Sector</v>
      </c>
      <c r="D98" s="114"/>
      <c r="G98" t="s">
        <v>176</v>
      </c>
    </row>
    <row r="99" spans="1:18">
      <c r="A99" t="str">
        <f>Home!$B$1</f>
        <v>Hungary</v>
      </c>
      <c r="B99" t="str">
        <f>'[6]Final Sheet -US$'!B20</f>
        <v>Tourism Receipts &amp; Expenditure</v>
      </c>
      <c r="C99" s="114" t="str">
        <f>'[6]Final Sheet -US$'!C20</f>
        <v>Total Outbound Tourist Expenditure by Sector</v>
      </c>
      <c r="D99" s="114" t="str">
        <f>'[6]Final Sheet -US$'!D20</f>
        <v>Accommodation</v>
      </c>
      <c r="G99" t="s">
        <v>176</v>
      </c>
      <c r="H99" s="101">
        <f>'Tourism Medium DB-US$'!G66/'Tourism Medium DB-US$'!G$65</f>
        <v>0.30436140353762259</v>
      </c>
      <c r="I99" s="101">
        <f>'Tourism Medium DB-US$'!H66/'Tourism Medium DB-US$'!H$65</f>
        <v>0.30184239985971073</v>
      </c>
      <c r="J99" s="101">
        <f>'Tourism Medium DB-US$'!I66/'Tourism Medium DB-US$'!I$65</f>
        <v>0.30088368495927126</v>
      </c>
      <c r="K99" s="101">
        <f>'Tourism Medium DB-US$'!J66/'Tourism Medium DB-US$'!J$65</f>
        <v>0.29899312449094934</v>
      </c>
      <c r="L99" s="101">
        <f>'Tourism Medium DB-US$'!K66/'Tourism Medium DB-US$'!K$65</f>
        <v>0.29979111346684828</v>
      </c>
      <c r="M99" s="101">
        <f>'Tourism Medium DB-US$'!L66/'Tourism Medium DB-US$'!L$65</f>
        <v>0.29788596755883118</v>
      </c>
      <c r="N99" s="101">
        <f>'Tourism Medium DB-US$'!M66/'Tourism Medium DB-US$'!M$65</f>
        <v>0.29735058263782976</v>
      </c>
      <c r="O99" s="101">
        <f>'Tourism Medium DB-US$'!N66/'Tourism Medium DB-US$'!N$65</f>
        <v>0.29595510091783317</v>
      </c>
      <c r="P99" s="101">
        <f>'Tourism Medium DB-US$'!O66/'Tourism Medium DB-US$'!O$65</f>
        <v>0.29501412810056399</v>
      </c>
      <c r="Q99" s="101">
        <f>'Tourism Medium DB-US$'!P66/'Tourism Medium DB-US$'!P$65</f>
        <v>0.29331733476406147</v>
      </c>
      <c r="R99" s="101"/>
    </row>
    <row r="100" spans="1:18">
      <c r="A100" t="str">
        <f>Home!$B$1</f>
        <v>Hungary</v>
      </c>
      <c r="B100" t="str">
        <f>'[6]Final Sheet -US$'!B21</f>
        <v>Tourism Receipts &amp; Expenditure</v>
      </c>
      <c r="C100" s="114" t="str">
        <f>'[6]Final Sheet -US$'!C21</f>
        <v>Total Outbound Tourist Expenditure by Sector</v>
      </c>
      <c r="D100" s="114" t="str">
        <f>'[6]Final Sheet -US$'!D21</f>
        <v>Entertainment &amp; Sightseeing</v>
      </c>
      <c r="G100" t="s">
        <v>176</v>
      </c>
      <c r="H100" s="101">
        <f>'Tourism Medium DB-US$'!G67/'Tourism Medium DB-US$'!G$65</f>
        <v>6.6116669345805137E-2</v>
      </c>
      <c r="I100" s="101">
        <f>'Tourism Medium DB-US$'!H67/'Tourism Medium DB-US$'!H$65</f>
        <v>6.6485751925612291E-2</v>
      </c>
      <c r="J100" s="101">
        <f>'Tourism Medium DB-US$'!I67/'Tourism Medium DB-US$'!I$65</f>
        <v>6.6597282315344064E-2</v>
      </c>
      <c r="K100" s="101">
        <f>'Tourism Medium DB-US$'!J67/'Tourism Medium DB-US$'!J$65</f>
        <v>6.572549435574572E-2</v>
      </c>
      <c r="L100" s="101">
        <f>'Tourism Medium DB-US$'!K67/'Tourism Medium DB-US$'!K$65</f>
        <v>6.5441354241834004E-2</v>
      </c>
      <c r="M100" s="101">
        <f>'Tourism Medium DB-US$'!L67/'Tourism Medium DB-US$'!L$65</f>
        <v>6.5282060035423042E-2</v>
      </c>
      <c r="N100" s="101">
        <f>'Tourism Medium DB-US$'!M67/'Tourism Medium DB-US$'!M$65</f>
        <v>6.4987517974283593E-2</v>
      </c>
      <c r="O100" s="101">
        <f>'Tourism Medium DB-US$'!N67/'Tourism Medium DB-US$'!N$65</f>
        <v>6.4608944924726117E-2</v>
      </c>
      <c r="P100" s="101">
        <f>'Tourism Medium DB-US$'!O67/'Tourism Medium DB-US$'!O$65</f>
        <v>6.469052019339272E-2</v>
      </c>
      <c r="Q100" s="101">
        <f>'Tourism Medium DB-US$'!P67/'Tourism Medium DB-US$'!P$65</f>
        <v>6.4659609570228399E-2</v>
      </c>
      <c r="R100" s="101"/>
    </row>
    <row r="101" spans="1:18">
      <c r="A101" t="str">
        <f>Home!$B$1</f>
        <v>Hungary</v>
      </c>
      <c r="B101" t="str">
        <f>'[6]Final Sheet -US$'!B22</f>
        <v>Tourism Receipts &amp; Expenditure</v>
      </c>
      <c r="C101" s="114" t="str">
        <f>'[6]Final Sheet -US$'!C22</f>
        <v>Total Outbound Tourist Expenditure by Sector</v>
      </c>
      <c r="D101" s="114" t="str">
        <f>'[6]Final Sheet -US$'!D22</f>
        <v>Foodservice</v>
      </c>
      <c r="G101" t="s">
        <v>176</v>
      </c>
      <c r="H101" s="101">
        <f>'Tourism Medium DB-US$'!G68/'Tourism Medium DB-US$'!G$65</f>
        <v>0.18244131340134309</v>
      </c>
      <c r="I101" s="101">
        <f>'Tourism Medium DB-US$'!H68/'Tourism Medium DB-US$'!H$65</f>
        <v>0.18161679229109692</v>
      </c>
      <c r="J101" s="101">
        <f>'Tourism Medium DB-US$'!I68/'Tourism Medium DB-US$'!I$65</f>
        <v>0.18191361772811798</v>
      </c>
      <c r="K101" s="101">
        <f>'Tourism Medium DB-US$'!J68/'Tourism Medium DB-US$'!J$65</f>
        <v>0.17954982427616567</v>
      </c>
      <c r="L101" s="101">
        <f>'Tourism Medium DB-US$'!K68/'Tourism Medium DB-US$'!K$65</f>
        <v>0.17930818617432712</v>
      </c>
      <c r="M101" s="101">
        <f>'Tourism Medium DB-US$'!L68/'Tourism Medium DB-US$'!L$65</f>
        <v>0.17802449070066792</v>
      </c>
      <c r="N101" s="101">
        <f>'Tourism Medium DB-US$'!M68/'Tourism Medium DB-US$'!M$65</f>
        <v>0.17688962687745893</v>
      </c>
      <c r="O101" s="101">
        <f>'Tourism Medium DB-US$'!N68/'Tourism Medium DB-US$'!N$65</f>
        <v>0.17626703541078859</v>
      </c>
      <c r="P101" s="101">
        <f>'Tourism Medium DB-US$'!O68/'Tourism Medium DB-US$'!O$65</f>
        <v>0.17563263457489287</v>
      </c>
      <c r="Q101" s="101">
        <f>'Tourism Medium DB-US$'!P68/'Tourism Medium DB-US$'!P$65</f>
        <v>0.17429285407578352</v>
      </c>
      <c r="R101" s="101"/>
    </row>
    <row r="102" spans="1:18">
      <c r="A102" t="str">
        <f>Home!$B$1</f>
        <v>Hungary</v>
      </c>
      <c r="B102" t="str">
        <f>'[6]Final Sheet -US$'!B23</f>
        <v>Tourism Receipts &amp; Expenditure</v>
      </c>
      <c r="C102" s="114" t="str">
        <f>'[6]Final Sheet -US$'!C23</f>
        <v>Total Outbound Tourist Expenditure by Sector</v>
      </c>
      <c r="D102" s="114" t="str">
        <f>'[6]Final Sheet -US$'!D23</f>
        <v>Retail</v>
      </c>
      <c r="G102" t="s">
        <v>176</v>
      </c>
      <c r="H102" s="101">
        <f>'Tourism Medium DB-US$'!G69/'Tourism Medium DB-US$'!G$65</f>
        <v>0.14769505447359493</v>
      </c>
      <c r="I102" s="101">
        <f>'Tourism Medium DB-US$'!H69/'Tourism Medium DB-US$'!H$65</f>
        <v>0.14894555870068951</v>
      </c>
      <c r="J102" s="101">
        <f>'Tourism Medium DB-US$'!I69/'Tourism Medium DB-US$'!I$65</f>
        <v>0.14974880532401458</v>
      </c>
      <c r="K102" s="101">
        <f>'Tourism Medium DB-US$'!J69/'Tourism Medium DB-US$'!J$65</f>
        <v>0.14901384940300974</v>
      </c>
      <c r="L102" s="101">
        <f>'Tourism Medium DB-US$'!K69/'Tourism Medium DB-US$'!K$65</f>
        <v>0.15015129197906482</v>
      </c>
      <c r="M102" s="101">
        <f>'Tourism Medium DB-US$'!L69/'Tourism Medium DB-US$'!L$65</f>
        <v>0.15223334787535001</v>
      </c>
      <c r="N102" s="101">
        <f>'Tourism Medium DB-US$'!M69/'Tourism Medium DB-US$'!M$65</f>
        <v>0.15228589853802701</v>
      </c>
      <c r="O102" s="101">
        <f>'Tourism Medium DB-US$'!N69/'Tourism Medium DB-US$'!N$65</f>
        <v>0.15237096116317028</v>
      </c>
      <c r="P102" s="101">
        <f>'Tourism Medium DB-US$'!O69/'Tourism Medium DB-US$'!O$65</f>
        <v>0.1535468240568881</v>
      </c>
      <c r="Q102" s="101">
        <f>'Tourism Medium DB-US$'!P69/'Tourism Medium DB-US$'!P$65</f>
        <v>0.15434062708032065</v>
      </c>
      <c r="R102" s="101"/>
    </row>
    <row r="103" spans="1:18">
      <c r="A103" t="str">
        <f>Home!$B$1</f>
        <v>Hungary</v>
      </c>
      <c r="B103" t="str">
        <f>'[6]Final Sheet -US$'!B24</f>
        <v>Tourism Receipts &amp; Expenditure</v>
      </c>
      <c r="C103" s="114" t="str">
        <f>'[6]Final Sheet -US$'!C24</f>
        <v>Total Outbound Tourist Expenditure by Sector</v>
      </c>
      <c r="D103" s="114" t="str">
        <f>'[6]Final Sheet -US$'!D24</f>
        <v>Transportation</v>
      </c>
      <c r="G103" t="s">
        <v>176</v>
      </c>
      <c r="H103" s="101">
        <f>'Tourism Medium DB-US$'!G70/'Tourism Medium DB-US$'!G$65</f>
        <v>9.5076124601093853E-2</v>
      </c>
      <c r="I103" s="101">
        <f>'Tourism Medium DB-US$'!H70/'Tourism Medium DB-US$'!H$65</f>
        <v>9.9578157071243414E-2</v>
      </c>
      <c r="J103" s="101">
        <f>'Tourism Medium DB-US$'!I70/'Tourism Medium DB-US$'!I$65</f>
        <v>9.857921770501013E-2</v>
      </c>
      <c r="K103" s="101">
        <f>'Tourism Medium DB-US$'!J70/'Tourism Medium DB-US$'!J$65</f>
        <v>0.10442013251187254</v>
      </c>
      <c r="L103" s="101">
        <f>'Tourism Medium DB-US$'!K70/'Tourism Medium DB-US$'!K$65</f>
        <v>0.10384822084378292</v>
      </c>
      <c r="M103" s="101">
        <f>'Tourism Medium DB-US$'!L70/'Tourism Medium DB-US$'!L$65</f>
        <v>0.10650378395218872</v>
      </c>
      <c r="N103" s="101">
        <f>'Tourism Medium DB-US$'!M70/'Tourism Medium DB-US$'!M$65</f>
        <v>0.10781391601896365</v>
      </c>
      <c r="O103" s="101">
        <f>'Tourism Medium DB-US$'!N70/'Tourism Medium DB-US$'!N$65</f>
        <v>0.10950525665674499</v>
      </c>
      <c r="P103" s="101">
        <f>'Tourism Medium DB-US$'!O70/'Tourism Medium DB-US$'!O$65</f>
        <v>0.10988836169525765</v>
      </c>
      <c r="Q103" s="101">
        <f>'Tourism Medium DB-US$'!P70/'Tourism Medium DB-US$'!P$65</f>
        <v>0.11237713703323005</v>
      </c>
      <c r="R103" s="101"/>
    </row>
    <row r="104" spans="1:18">
      <c r="A104" t="str">
        <f>Home!$B$1</f>
        <v>Hungary</v>
      </c>
      <c r="B104" t="str">
        <f>'[6]Final Sheet -US$'!B25</f>
        <v>Tourism Receipts &amp; Expenditure</v>
      </c>
      <c r="C104" s="114" t="str">
        <f>'[6]Final Sheet -US$'!C25</f>
        <v>Total Outbound Tourist Expenditure by Sector</v>
      </c>
      <c r="D104" s="114" t="str">
        <f>'[6]Final Sheet -US$'!D25</f>
        <v>Travel Intermediation</v>
      </c>
      <c r="G104" t="s">
        <v>176</v>
      </c>
      <c r="H104" s="101">
        <f>'Tourism Medium DB-US$'!G71/'Tourism Medium DB-US$'!G$65</f>
        <v>0.14943322945203305</v>
      </c>
      <c r="I104" s="101">
        <f>'Tourism Medium DB-US$'!H71/'Tourism Medium DB-US$'!H$65</f>
        <v>0.14821157712270897</v>
      </c>
      <c r="J104" s="101">
        <f>'Tourism Medium DB-US$'!I71/'Tourism Medium DB-US$'!I$65</f>
        <v>0.14920208159554885</v>
      </c>
      <c r="K104" s="101">
        <f>'Tourism Medium DB-US$'!J71/'Tourism Medium DB-US$'!J$65</f>
        <v>0.14800766277329871</v>
      </c>
      <c r="L104" s="101">
        <f>'Tourism Medium DB-US$'!K71/'Tourism Medium DB-US$'!K$65</f>
        <v>0.1475710672398326</v>
      </c>
      <c r="M104" s="101">
        <f>'Tourism Medium DB-US$'!L71/'Tourism Medium DB-US$'!L$65</f>
        <v>0.14660606231965281</v>
      </c>
      <c r="N104" s="101">
        <f>'Tourism Medium DB-US$'!M71/'Tourism Medium DB-US$'!M$65</f>
        <v>0.14658872039146703</v>
      </c>
      <c r="O104" s="101">
        <f>'Tourism Medium DB-US$'!N71/'Tourism Medium DB-US$'!N$65</f>
        <v>0.14617396386153747</v>
      </c>
      <c r="P104" s="101">
        <f>'Tourism Medium DB-US$'!O71/'Tourism Medium DB-US$'!O$65</f>
        <v>0.14674552922012585</v>
      </c>
      <c r="Q104" s="101">
        <f>'Tourism Medium DB-US$'!P71/'Tourism Medium DB-US$'!P$65</f>
        <v>0.14591501405041371</v>
      </c>
      <c r="R104" s="101"/>
    </row>
    <row r="105" spans="1:18">
      <c r="A105" t="str">
        <f>Home!$B$1</f>
        <v>Hungary</v>
      </c>
      <c r="B105" t="str">
        <f>'[6]Final Sheet -US$'!B26</f>
        <v>Tourism Receipts &amp; Expenditure</v>
      </c>
      <c r="C105" s="114" t="str">
        <f>'[6]Final Sheet -US$'!C26</f>
        <v>Total Outbound Tourist Expenditure by Sector</v>
      </c>
      <c r="D105" s="114" t="str">
        <f>'[6]Final Sheet -US$'!D26</f>
        <v>Other Sectors</v>
      </c>
      <c r="G105" t="s">
        <v>176</v>
      </c>
      <c r="H105" s="101">
        <f>'Tourism Medium DB-US$'!G72/'Tourism Medium DB-US$'!G$65</f>
        <v>5.4876205188507644E-2</v>
      </c>
      <c r="I105" s="101">
        <f>'Tourism Medium DB-US$'!H72/'Tourism Medium DB-US$'!H$65</f>
        <v>5.3319763028938087E-2</v>
      </c>
      <c r="J105" s="101">
        <f>'Tourism Medium DB-US$'!I72/'Tourism Medium DB-US$'!I$65</f>
        <v>5.3075310372693148E-2</v>
      </c>
      <c r="K105" s="101">
        <f>'Tourism Medium DB-US$'!J72/'Tourism Medium DB-US$'!J$65</f>
        <v>5.4289912188958296E-2</v>
      </c>
      <c r="L105" s="101">
        <f>'Tourism Medium DB-US$'!K72/'Tourism Medium DB-US$'!K$65</f>
        <v>5.3888766054310366E-2</v>
      </c>
      <c r="M105" s="101">
        <f>'Tourism Medium DB-US$'!L72/'Tourism Medium DB-US$'!L$65</f>
        <v>5.3464287557886118E-2</v>
      </c>
      <c r="N105" s="101">
        <f>'Tourism Medium DB-US$'!M72/'Tourism Medium DB-US$'!M$65</f>
        <v>5.4083737561970047E-2</v>
      </c>
      <c r="O105" s="101">
        <f>'Tourism Medium DB-US$'!N72/'Tourism Medium DB-US$'!N$65</f>
        <v>5.5118737065199208E-2</v>
      </c>
      <c r="P105" s="101">
        <f>'Tourism Medium DB-US$'!O72/'Tourism Medium DB-US$'!O$65</f>
        <v>5.4482002158878773E-2</v>
      </c>
      <c r="Q105" s="101">
        <f>'Tourism Medium DB-US$'!P72/'Tourism Medium DB-US$'!P$65</f>
        <v>5.509742342596248E-2</v>
      </c>
      <c r="R105" s="101"/>
    </row>
    <row r="106" spans="1:18">
      <c r="C106" s="114"/>
      <c r="D106" s="114"/>
    </row>
    <row r="107" spans="1:18">
      <c r="A107" t="str">
        <f t="shared" ref="A107:A114" si="5">$T$1</f>
        <v>Norway</v>
      </c>
      <c r="B107" t="s">
        <v>34</v>
      </c>
      <c r="C107" s="114" t="s">
        <v>44</v>
      </c>
      <c r="D107" s="114"/>
      <c r="G107" t="s">
        <v>176</v>
      </c>
    </row>
    <row r="108" spans="1:18">
      <c r="A108" t="str">
        <f t="shared" si="5"/>
        <v>Norway</v>
      </c>
      <c r="B108" t="s">
        <v>34</v>
      </c>
      <c r="C108" s="114" t="s">
        <v>44</v>
      </c>
      <c r="D108" s="114" t="s">
        <v>36</v>
      </c>
      <c r="G108" t="s">
        <v>176</v>
      </c>
      <c r="H108" s="157">
        <v>0.2761729920298045</v>
      </c>
      <c r="I108" s="157">
        <v>0.27562611481786431</v>
      </c>
      <c r="J108" s="157">
        <v>0.27338332397156695</v>
      </c>
      <c r="K108" s="157">
        <v>0.27394952498753222</v>
      </c>
      <c r="L108" s="157">
        <v>0.27333135730244551</v>
      </c>
      <c r="M108" s="157">
        <v>0.27302715447641185</v>
      </c>
      <c r="N108" s="157">
        <v>0.27203299601184966</v>
      </c>
      <c r="O108" s="157">
        <v>0.27276590512176352</v>
      </c>
      <c r="P108" s="157">
        <v>0.27147605579906986</v>
      </c>
      <c r="Q108" s="157">
        <v>0.13092027368684059</v>
      </c>
      <c r="R108" s="157"/>
    </row>
    <row r="109" spans="1:18">
      <c r="A109" t="str">
        <f t="shared" si="5"/>
        <v>Norway</v>
      </c>
      <c r="B109" t="s">
        <v>34</v>
      </c>
      <c r="C109" s="114" t="s">
        <v>44</v>
      </c>
      <c r="D109" s="114" t="s">
        <v>37</v>
      </c>
      <c r="G109" t="s">
        <v>176</v>
      </c>
      <c r="H109" s="157">
        <v>6.0484265691850406E-2</v>
      </c>
      <c r="I109" s="157">
        <v>6.0604872403100349E-2</v>
      </c>
      <c r="J109" s="157">
        <v>5.9942862224652844E-2</v>
      </c>
      <c r="K109" s="157">
        <v>6.013132883374564E-2</v>
      </c>
      <c r="L109" s="157">
        <v>6.0641430326573639E-2</v>
      </c>
      <c r="M109" s="157">
        <v>6.0940060947768229E-2</v>
      </c>
      <c r="N109" s="157">
        <v>6.1276096532267156E-2</v>
      </c>
      <c r="O109" s="157">
        <v>6.2066036556039726E-2</v>
      </c>
      <c r="P109" s="157">
        <v>6.2731940058776456E-2</v>
      </c>
      <c r="Q109" s="157">
        <v>1.1872150426240867E-2</v>
      </c>
      <c r="R109" s="157"/>
    </row>
    <row r="110" spans="1:18">
      <c r="A110" t="str">
        <f t="shared" si="5"/>
        <v>Norway</v>
      </c>
      <c r="B110" t="s">
        <v>34</v>
      </c>
      <c r="C110" s="114" t="s">
        <v>44</v>
      </c>
      <c r="D110" s="114" t="s">
        <v>38</v>
      </c>
      <c r="G110" t="s">
        <v>176</v>
      </c>
      <c r="H110" s="157">
        <v>0.16668330872495274</v>
      </c>
      <c r="I110" s="157">
        <v>0.16618574660935587</v>
      </c>
      <c r="J110" s="157">
        <v>0.1673792684055338</v>
      </c>
      <c r="K110" s="157">
        <v>0.16724155035889299</v>
      </c>
      <c r="L110" s="157">
        <v>0.16738505255296218</v>
      </c>
      <c r="M110" s="157">
        <v>0.16781321673451441</v>
      </c>
      <c r="N110" s="157">
        <v>0.16715227543087199</v>
      </c>
      <c r="O110" s="157">
        <v>0.16791970147975083</v>
      </c>
      <c r="P110" s="157">
        <v>0.16775825750229911</v>
      </c>
      <c r="Q110" s="157">
        <v>0.23215776164439114</v>
      </c>
      <c r="R110" s="157"/>
    </row>
    <row r="111" spans="1:18">
      <c r="A111" t="str">
        <f t="shared" si="5"/>
        <v>Norway</v>
      </c>
      <c r="B111" t="s">
        <v>34</v>
      </c>
      <c r="C111" s="114" t="s">
        <v>44</v>
      </c>
      <c r="D111" s="114" t="s">
        <v>39</v>
      </c>
      <c r="G111" t="s">
        <v>176</v>
      </c>
      <c r="H111" s="157">
        <v>0.1361031680427354</v>
      </c>
      <c r="I111" s="157">
        <v>0.13678504764214786</v>
      </c>
      <c r="J111" s="157">
        <v>0.13904662455237368</v>
      </c>
      <c r="K111" s="157">
        <v>0.13920925166830592</v>
      </c>
      <c r="L111" s="157">
        <v>0.13902510777373991</v>
      </c>
      <c r="M111" s="157">
        <v>0.13829321950641954</v>
      </c>
      <c r="N111" s="157">
        <v>0.13870582699291573</v>
      </c>
      <c r="O111" s="157">
        <v>0.1378800884420687</v>
      </c>
      <c r="P111" s="157">
        <v>0.13848833158332452</v>
      </c>
      <c r="Q111" s="157">
        <v>0.10576633309450545</v>
      </c>
      <c r="R111" s="157"/>
    </row>
    <row r="112" spans="1:18">
      <c r="A112" t="str">
        <f t="shared" si="5"/>
        <v>Norway</v>
      </c>
      <c r="B112" t="s">
        <v>34</v>
      </c>
      <c r="C112" s="114" t="s">
        <v>44</v>
      </c>
      <c r="D112" s="114" t="s">
        <v>40</v>
      </c>
      <c r="G112" t="s">
        <v>176</v>
      </c>
      <c r="H112" s="157">
        <v>0.16034979229698723</v>
      </c>
      <c r="I112" s="157">
        <v>0.16163003015963781</v>
      </c>
      <c r="J112" s="157">
        <v>0.16358894952841399</v>
      </c>
      <c r="K112" s="157">
        <v>0.16437668339450004</v>
      </c>
      <c r="L112" s="157">
        <v>0.16386918368318545</v>
      </c>
      <c r="M112" s="157">
        <v>0.16377684671497048</v>
      </c>
      <c r="N112" s="157">
        <v>0.1643921534788281</v>
      </c>
      <c r="O112" s="157">
        <v>0.16386658988212416</v>
      </c>
      <c r="P112" s="157">
        <v>0.16421021238540195</v>
      </c>
      <c r="Q112" s="157">
        <v>0.1209806968565621</v>
      </c>
      <c r="R112" s="157"/>
    </row>
    <row r="113" spans="1:18">
      <c r="A113" t="str">
        <f t="shared" si="5"/>
        <v>Norway</v>
      </c>
      <c r="B113" t="s">
        <v>34</v>
      </c>
      <c r="C113" s="114" t="s">
        <v>44</v>
      </c>
      <c r="D113" s="114" t="s">
        <v>41</v>
      </c>
      <c r="G113" t="s">
        <v>176</v>
      </c>
      <c r="H113" s="157">
        <v>0.15148462353948833</v>
      </c>
      <c r="I113" s="157">
        <v>0.15044614380029137</v>
      </c>
      <c r="J113" s="157">
        <v>0.14838413970458619</v>
      </c>
      <c r="K113" s="157">
        <v>0.14779805123719761</v>
      </c>
      <c r="L113" s="157">
        <v>0.14808481209417301</v>
      </c>
      <c r="M113" s="157">
        <v>0.1486060490072233</v>
      </c>
      <c r="N113" s="157">
        <v>0.14928157109654105</v>
      </c>
      <c r="O113" s="157">
        <v>0.14831926845162199</v>
      </c>
      <c r="P113" s="157">
        <v>0.1476729031172018</v>
      </c>
      <c r="Q113" s="157">
        <v>0.31277024959172262</v>
      </c>
      <c r="R113" s="157"/>
    </row>
    <row r="114" spans="1:18">
      <c r="A114" t="str">
        <f t="shared" si="5"/>
        <v>Norway</v>
      </c>
      <c r="B114" t="s">
        <v>34</v>
      </c>
      <c r="C114" s="114" t="s">
        <v>44</v>
      </c>
      <c r="D114" s="114" t="s">
        <v>42</v>
      </c>
      <c r="G114" t="s">
        <v>176</v>
      </c>
      <c r="H114" s="157">
        <v>4.8721849674181521E-2</v>
      </c>
      <c r="I114" s="157">
        <v>4.8722044567602471E-2</v>
      </c>
      <c r="J114" s="157">
        <v>4.8274831612872611E-2</v>
      </c>
      <c r="K114" s="157">
        <v>4.7293609519825655E-2</v>
      </c>
      <c r="L114" s="157">
        <v>4.7663056266920238E-2</v>
      </c>
      <c r="M114" s="157">
        <v>4.7543452612692327E-2</v>
      </c>
      <c r="N114" s="157">
        <v>4.715908045672635E-2</v>
      </c>
      <c r="O114" s="157">
        <v>4.718241006663116E-2</v>
      </c>
      <c r="P114" s="157">
        <v>4.7662299553926424E-2</v>
      </c>
      <c r="Q114" s="157">
        <v>8.5532534699737317E-2</v>
      </c>
      <c r="R114" s="157"/>
    </row>
    <row r="115" spans="1:18">
      <c r="C115" s="114"/>
      <c r="D115" s="114"/>
    </row>
    <row r="116" spans="1:18">
      <c r="A116" s="238" t="str">
        <f>Home!$B$1</f>
        <v>Hungary</v>
      </c>
      <c r="B116" s="5" t="str">
        <f>'[6]Final Sheet -US$'!B185</f>
        <v>Tourism Spend Factors</v>
      </c>
      <c r="C116" s="239" t="str">
        <f>'[6]Final Sheet -US$'!C185</f>
        <v>Average Overseas Tourism Expenditure per Resident by Sector</v>
      </c>
      <c r="D116" s="239"/>
      <c r="E116" s="5"/>
      <c r="F116" s="5"/>
      <c r="G116" s="5" t="str">
        <f>'[6]Final Sheet -US$'!G185</f>
        <v>US$</v>
      </c>
      <c r="H116" s="414">
        <f>'Tourism Medium DB-US$'!G117</f>
        <v>3281.9545081189754</v>
      </c>
      <c r="I116" s="414">
        <f>'Tourism Medium DB-US$'!H117</f>
        <v>2971.4857071636966</v>
      </c>
      <c r="J116" s="414">
        <f>'Tourism Medium DB-US$'!I117</f>
        <v>3473.7477270578515</v>
      </c>
      <c r="K116" s="414">
        <f>'Tourism Medium DB-US$'!J117</f>
        <v>4007.7089179113445</v>
      </c>
      <c r="L116" s="414">
        <f>'Tourism Medium DB-US$'!K117</f>
        <v>4369.185923551453</v>
      </c>
      <c r="M116" s="414">
        <f>'Tourism Medium DB-US$'!L117</f>
        <v>4718.7609573378104</v>
      </c>
      <c r="N116" s="414">
        <f>'Tourism Medium DB-US$'!M117</f>
        <v>5200.0705648895828</v>
      </c>
      <c r="O116" s="414">
        <f>'Tourism Medium DB-US$'!N117</f>
        <v>5597.5203992688575</v>
      </c>
      <c r="P116" s="414">
        <f>'Tourism Medium DB-US$'!O117</f>
        <v>6201.4009665448475</v>
      </c>
      <c r="Q116" s="414">
        <f>'Tourism Medium DB-US$'!P117</f>
        <v>6757.6123089229341</v>
      </c>
      <c r="R116" s="414"/>
    </row>
    <row r="117" spans="1:18">
      <c r="A117" t="str">
        <f>Home!$B$1</f>
        <v>Hungary</v>
      </c>
      <c r="B117" t="str">
        <f>'[6]Final Sheet -US$'!B186</f>
        <v>Tourism Spend Factors</v>
      </c>
      <c r="C117" s="114" t="str">
        <f>'[6]Final Sheet -US$'!C186</f>
        <v>Average Overseas Tourism Expenditure per Resident by Sector</v>
      </c>
      <c r="D117" s="114" t="str">
        <f>'[6]Final Sheet -US$'!D186</f>
        <v>Accommodation</v>
      </c>
      <c r="G117" t="str">
        <f>'[6]Final Sheet -US$'!G186</f>
        <v>US$</v>
      </c>
      <c r="H117" s="412">
        <f>'Tourism Medium DB-US$'!G118</f>
        <v>998.90028043771895</v>
      </c>
      <c r="I117" s="412">
        <f>'Tourism Medium DB-US$'!H118</f>
        <v>896.92037699911987</v>
      </c>
      <c r="J117" s="412">
        <f>'Tourism Medium DB-US$'!I118</f>
        <v>1045.1940167360592</v>
      </c>
      <c r="K117" s="412">
        <f>'Tourism Medium DB-US$'!J118</f>
        <v>1198.2774114165545</v>
      </c>
      <c r="L117" s="412">
        <f>'Tourism Medium DB-US$'!K118</f>
        <v>1309.8431129651699</v>
      </c>
      <c r="M117" s="412">
        <f>'Tourism Medium DB-US$'!L118</f>
        <v>1405.6526734554102</v>
      </c>
      <c r="N117" s="412">
        <f>'Tourism Medium DB-US$'!M118</f>
        <v>1546.2440122277462</v>
      </c>
      <c r="O117" s="412">
        <f>'Tourism Medium DB-US$'!N118</f>
        <v>1656.6147146552448</v>
      </c>
      <c r="P117" s="412">
        <f>'Tourism Medium DB-US$'!O118</f>
        <v>1829.500899147223</v>
      </c>
      <c r="Q117" s="412">
        <f>'Tourism Medium DB-US$'!P118</f>
        <v>1982.1248318220905</v>
      </c>
      <c r="R117" s="412"/>
    </row>
    <row r="118" spans="1:18">
      <c r="A118" t="str">
        <f>Home!$B$1</f>
        <v>Hungary</v>
      </c>
      <c r="B118" t="str">
        <f>'[6]Final Sheet -US$'!B187</f>
        <v>Tourism Spend Factors</v>
      </c>
      <c r="C118" s="114" t="str">
        <f>'[6]Final Sheet -US$'!C187</f>
        <v>Average Overseas Tourism Expenditure per Resident by Sector</v>
      </c>
      <c r="D118" s="114" t="str">
        <f>'[6]Final Sheet -US$'!D187</f>
        <v>Entertainment &amp; Sightseeing</v>
      </c>
      <c r="G118" t="str">
        <f>'[6]Final Sheet -US$'!G187</f>
        <v>US$</v>
      </c>
      <c r="H118" s="412">
        <f>'Tourism Medium DB-US$'!G119</f>
        <v>216.99190102127685</v>
      </c>
      <c r="I118" s="412">
        <f>'Tourism Medium DB-US$'!H119</f>
        <v>197.56146157698817</v>
      </c>
      <c r="J118" s="412">
        <f>'Tourism Medium DB-US$'!I119</f>
        <v>231.34215807115649</v>
      </c>
      <c r="K118" s="412">
        <f>'Tourism Medium DB-US$'!J119</f>
        <v>263.40864986365386</v>
      </c>
      <c r="L118" s="412">
        <f>'Tourism Medium DB-US$'!K119</f>
        <v>285.92544377156526</v>
      </c>
      <c r="M118" s="412">
        <f>'Tourism Medium DB-US$'!L119</f>
        <v>308.05043610973729</v>
      </c>
      <c r="N118" s="412">
        <f>'Tourism Medium DB-US$'!M119</f>
        <v>337.9396793033049</v>
      </c>
      <c r="O118" s="412">
        <f>'Tourism Medium DB-US$'!N119</f>
        <v>361.64988719139262</v>
      </c>
      <c r="P118" s="412">
        <f>'Tourism Medium DB-US$'!O119</f>
        <v>401.17185445359462</v>
      </c>
      <c r="Q118" s="412">
        <f>'Tourism Medium DB-US$'!P119</f>
        <v>436.94457352192654</v>
      </c>
      <c r="R118" s="412"/>
    </row>
    <row r="119" spans="1:18">
      <c r="A119" t="str">
        <f>Home!$B$1</f>
        <v>Hungary</v>
      </c>
      <c r="B119" t="str">
        <f>'[6]Final Sheet -US$'!B188</f>
        <v>Tourism Spend Factors</v>
      </c>
      <c r="C119" s="114" t="str">
        <f>'[6]Final Sheet -US$'!C188</f>
        <v>Average Overseas Tourism Expenditure per Resident by Sector</v>
      </c>
      <c r="D119" s="114" t="str">
        <f>'[6]Final Sheet -US$'!D188</f>
        <v>Foodservice</v>
      </c>
      <c r="G119" t="str">
        <f>'[6]Final Sheet -US$'!G188</f>
        <v>US$</v>
      </c>
      <c r="H119" s="412">
        <f>'Tourism Medium DB-US$'!G120</f>
        <v>598.76409098468469</v>
      </c>
      <c r="I119" s="412">
        <f>'Tourism Medium DB-US$'!H120</f>
        <v>539.67170247391232</v>
      </c>
      <c r="J119" s="412">
        <f>'Tourism Medium DB-US$'!I120</f>
        <v>631.92201610392067</v>
      </c>
      <c r="K119" s="412">
        <f>'Tourism Medium DB-US$'!J120</f>
        <v>719.58343196100395</v>
      </c>
      <c r="L119" s="412">
        <f>'Tourism Medium DB-US$'!K120</f>
        <v>783.43080301041323</v>
      </c>
      <c r="M119" s="412">
        <f>'Tourism Medium DB-US$'!L120</f>
        <v>840.05501616825995</v>
      </c>
      <c r="N119" s="412">
        <f>'Tourism Medium DB-US$'!M120</f>
        <v>919.83854195977551</v>
      </c>
      <c r="O119" s="412">
        <f>'Tourism Medium DB-US$'!N120</f>
        <v>986.65832643053534</v>
      </c>
      <c r="P119" s="412">
        <f>'Tourism Medium DB-US$'!O120</f>
        <v>1089.1683898095587</v>
      </c>
      <c r="Q119" s="412">
        <f>'Tourism Medium DB-US$'!P120</f>
        <v>1177.8035360598233</v>
      </c>
      <c r="R119" s="412"/>
    </row>
    <row r="120" spans="1:18">
      <c r="A120" t="str">
        <f>Home!$B$1</f>
        <v>Hungary</v>
      </c>
      <c r="B120" t="str">
        <f>'[6]Final Sheet -US$'!B189</f>
        <v>Tourism Spend Factors</v>
      </c>
      <c r="C120" s="114" t="str">
        <f>'[6]Final Sheet -US$'!C189</f>
        <v>Average Overseas Tourism Expenditure per Resident by Sector</v>
      </c>
      <c r="D120" s="114" t="str">
        <f>'[6]Final Sheet -US$'!D189</f>
        <v>Retail</v>
      </c>
      <c r="G120" t="str">
        <f>'[6]Final Sheet -US$'!G189</f>
        <v>US$</v>
      </c>
      <c r="H120" s="412">
        <f>'Tourism Medium DB-US$'!G121</f>
        <v>484.72844985649249</v>
      </c>
      <c r="I120" s="412">
        <f>'Tourism Medium DB-US$'!H121</f>
        <v>442.58959882461033</v>
      </c>
      <c r="J120" s="412">
        <f>'Tourism Medium DB-US$'!I121</f>
        <v>520.18957212392422</v>
      </c>
      <c r="K120" s="412">
        <f>'Tourism Medium DB-US$'!J121</f>
        <v>597.20413314474013</v>
      </c>
      <c r="L120" s="412">
        <f>'Tourism Medium DB-US$'!K121</f>
        <v>656.03891131799412</v>
      </c>
      <c r="M120" s="412">
        <f>'Tourism Medium DB-US$'!L121</f>
        <v>718.3527783590265</v>
      </c>
      <c r="N120" s="412">
        <f>'Tourism Medium DB-US$'!M121</f>
        <v>791.89741843535603</v>
      </c>
      <c r="O120" s="412">
        <f>'Tourism Medium DB-US$'!N121</f>
        <v>852.89956336704847</v>
      </c>
      <c r="P120" s="412">
        <f>'Tourism Medium DB-US$'!O121</f>
        <v>952.20542311627764</v>
      </c>
      <c r="Q120" s="412">
        <f>'Tourism Medium DB-US$'!P121</f>
        <v>1042.974121324859</v>
      </c>
      <c r="R120" s="412"/>
    </row>
    <row r="121" spans="1:18">
      <c r="A121" t="str">
        <f>Home!$B$1</f>
        <v>Hungary</v>
      </c>
      <c r="B121" t="str">
        <f>'[6]Final Sheet -US$'!B190</f>
        <v>Tourism Spend Factors</v>
      </c>
      <c r="C121" s="114" t="str">
        <f>'[6]Final Sheet -US$'!C190</f>
        <v>Average Overseas Tourism Expenditure per Resident by Sector</v>
      </c>
      <c r="D121" s="114" t="str">
        <f>'[6]Final Sheet -US$'!D190</f>
        <v>Transportation</v>
      </c>
      <c r="G121" t="str">
        <f>'[6]Final Sheet -US$'!G190</f>
        <v>US$</v>
      </c>
      <c r="H121" s="412">
        <f>'Tourism Medium DB-US$'!G122</f>
        <v>312.03551574904139</v>
      </c>
      <c r="I121" s="412">
        <f>'Tourism Medium DB-US$'!H122</f>
        <v>295.89507048290142</v>
      </c>
      <c r="J121" s="412">
        <f>'Tourism Medium DB-US$'!I122</f>
        <v>342.43933343791997</v>
      </c>
      <c r="K121" s="412">
        <f>'Tourism Medium DB-US$'!J122</f>
        <v>418.48549627731586</v>
      </c>
      <c r="L121" s="412">
        <f>'Tourism Medium DB-US$'!K122</f>
        <v>453.73218469651897</v>
      </c>
      <c r="M121" s="412">
        <f>'Tourism Medium DB-US$'!L122</f>
        <v>502.56589752232941</v>
      </c>
      <c r="N121" s="412">
        <f>'Tourism Medium DB-US$'!M122</f>
        <v>560.63997117569033</v>
      </c>
      <c r="O121" s="412">
        <f>'Tourism Medium DB-US$'!N122</f>
        <v>612.95790796330198</v>
      </c>
      <c r="P121" s="412">
        <f>'Tourism Medium DB-US$'!O122</f>
        <v>681.46179242900064</v>
      </c>
      <c r="Q121" s="412">
        <f>'Tourism Medium DB-US$'!P122</f>
        <v>759.40112445727436</v>
      </c>
      <c r="R121" s="412"/>
    </row>
    <row r="122" spans="1:18">
      <c r="A122" t="str">
        <f>Home!$B$1</f>
        <v>Hungary</v>
      </c>
      <c r="B122" t="str">
        <f>'[6]Final Sheet -US$'!B191</f>
        <v>Tourism Spend Factors</v>
      </c>
      <c r="C122" s="114" t="str">
        <f>'[6]Final Sheet -US$'!C191</f>
        <v>Average Overseas Tourism Expenditure per Resident by Sector</v>
      </c>
      <c r="D122" s="114" t="str">
        <f>'[6]Final Sheet -US$'!D191</f>
        <v>Travel Intermediation</v>
      </c>
      <c r="G122" t="str">
        <f>'[6]Final Sheet -US$'!G191</f>
        <v>US$</v>
      </c>
      <c r="H122" s="412">
        <f>'Tourism Medium DB-US$'!G123</f>
        <v>490.43306106287713</v>
      </c>
      <c r="I122" s="412">
        <f>'Tourism Medium DB-US$'!H123</f>
        <v>440.40858305631957</v>
      </c>
      <c r="J122" s="412">
        <f>'Tourism Medium DB-US$'!I123</f>
        <v>518.2903918148379</v>
      </c>
      <c r="K122" s="412">
        <f>'Tourism Medium DB-US$'!J123</f>
        <v>593.17163001576409</v>
      </c>
      <c r="L122" s="412">
        <f>'Tourism Medium DB-US$'!K123</f>
        <v>644.76542970774165</v>
      </c>
      <c r="M122" s="412">
        <f>'Tourism Medium DB-US$'!L123</f>
        <v>643.21700330449323</v>
      </c>
      <c r="N122" s="412">
        <f>'Tourism Medium DB-US$'!M123</f>
        <v>693.68761897847003</v>
      </c>
      <c r="O122" s="412">
        <f>'Tourism Medium DB-US$'!N123</f>
        <v>781.85368806596989</v>
      </c>
      <c r="P122" s="412">
        <f>'Tourism Medium DB-US$'!O123</f>
        <v>832.33323274241968</v>
      </c>
      <c r="Q122" s="412">
        <f>'Tourism Medium DB-US$'!P123</f>
        <v>911.39824667855748</v>
      </c>
      <c r="R122" s="412"/>
    </row>
    <row r="123" spans="1:18">
      <c r="A123" t="str">
        <f>Home!$B$1</f>
        <v>Hungary</v>
      </c>
      <c r="B123" t="str">
        <f>'[6]Final Sheet -US$'!B192</f>
        <v>Tourism Spend Factors</v>
      </c>
      <c r="C123" s="114" t="str">
        <f>'[6]Final Sheet -US$'!C192</f>
        <v>Average Overseas Tourism Expenditure per Resident by Sector</v>
      </c>
      <c r="D123" s="114" t="str">
        <f>'[6]Final Sheet -US$'!D192</f>
        <v>Other Sectors</v>
      </c>
      <c r="G123" t="str">
        <f>'[6]Final Sheet -US$'!G192</f>
        <v>US$</v>
      </c>
      <c r="H123" s="412">
        <f>'Tourism Medium DB-US$'!G124</f>
        <v>180.10120900688455</v>
      </c>
      <c r="I123" s="412">
        <f>'Tourism Medium DB-US$'!H124</f>
        <v>158.43891374984483</v>
      </c>
      <c r="J123" s="412">
        <f>'Tourism Medium DB-US$'!I124</f>
        <v>184.37023877003281</v>
      </c>
      <c r="K123" s="412">
        <f>'Tourism Medium DB-US$'!J124</f>
        <v>217.57816523231193</v>
      </c>
      <c r="L123" s="412">
        <f>'Tourism Medium DB-US$'!K124</f>
        <v>235.45003808205024</v>
      </c>
      <c r="M123" s="412">
        <f>'Tourism Medium DB-US$'!L124</f>
        <v>252.28519274003469</v>
      </c>
      <c r="N123" s="412">
        <f>'Tourism Medium DB-US$'!M124</f>
        <v>281.23925173521354</v>
      </c>
      <c r="O123" s="412">
        <f>'Tourism Medium DB-US$'!N124</f>
        <v>308.52825510438907</v>
      </c>
      <c r="P123" s="412">
        <f>'Tourism Medium DB-US$'!O124</f>
        <v>337.86474084736932</v>
      </c>
      <c r="Q123" s="412">
        <f>'Tourism Medium DB-US$'!P124</f>
        <v>372.32702673322279</v>
      </c>
      <c r="R123" s="412"/>
    </row>
    <row r="124" spans="1:18">
      <c r="C124" s="114"/>
      <c r="D124" s="114"/>
    </row>
    <row r="125" spans="1:18">
      <c r="A125" s="5" t="str">
        <f t="shared" ref="A125:A132" si="6">$T$1</f>
        <v>Norway</v>
      </c>
      <c r="B125" s="5" t="s">
        <v>49</v>
      </c>
      <c r="C125" s="239" t="s">
        <v>56</v>
      </c>
      <c r="D125" s="239"/>
      <c r="E125" s="5"/>
      <c r="F125" s="5"/>
      <c r="G125" s="5" t="s">
        <v>179</v>
      </c>
      <c r="H125" s="411">
        <v>1226.5943621738213</v>
      </c>
      <c r="I125" s="411">
        <v>1040.422557529447</v>
      </c>
      <c r="J125" s="411">
        <v>1118.1527300019263</v>
      </c>
      <c r="K125" s="411">
        <v>1245.1089098113137</v>
      </c>
      <c r="L125" s="411">
        <v>1214.0147533754157</v>
      </c>
      <c r="M125" s="411">
        <v>1232.4440861559515</v>
      </c>
      <c r="N125" s="411">
        <v>1251.8794090319061</v>
      </c>
      <c r="O125" s="411">
        <v>1276.2887663562065</v>
      </c>
      <c r="P125" s="411">
        <v>1305.6010061756997</v>
      </c>
      <c r="Q125" s="411">
        <v>603.71925501240298</v>
      </c>
      <c r="R125" s="411"/>
    </row>
    <row r="126" spans="1:18">
      <c r="A126" t="str">
        <f t="shared" si="6"/>
        <v>Norway</v>
      </c>
      <c r="B126" t="s">
        <v>49</v>
      </c>
      <c r="C126" s="114" t="s">
        <v>56</v>
      </c>
      <c r="D126" s="114" t="s">
        <v>36</v>
      </c>
      <c r="G126" t="s">
        <v>179</v>
      </c>
      <c r="H126" s="413">
        <v>338.7522350084339</v>
      </c>
      <c r="I126" s="413">
        <v>286.76762730070737</v>
      </c>
      <c r="J126" s="413">
        <v>305.68431003580855</v>
      </c>
      <c r="K126" s="413">
        <v>341.09699440055351</v>
      </c>
      <c r="L126" s="413">
        <v>331.82830032529603</v>
      </c>
      <c r="M126" s="413">
        <v>336.49070189444114</v>
      </c>
      <c r="N126" s="413">
        <v>340.55250628449323</v>
      </c>
      <c r="O126" s="413">
        <v>348.12806055188958</v>
      </c>
      <c r="P126" s="413">
        <v>354.43941160387607</v>
      </c>
      <c r="Q126" s="413">
        <v>79.03909009623932</v>
      </c>
      <c r="R126" s="413"/>
    </row>
    <row r="127" spans="1:18">
      <c r="A127" t="str">
        <f t="shared" si="6"/>
        <v>Norway</v>
      </c>
      <c r="B127" t="s">
        <v>49</v>
      </c>
      <c r="C127" s="114" t="s">
        <v>56</v>
      </c>
      <c r="D127" s="114" t="s">
        <v>37</v>
      </c>
      <c r="G127" t="s">
        <v>179</v>
      </c>
      <c r="H127" s="413">
        <v>74.189659297847186</v>
      </c>
      <c r="I127" s="413">
        <v>63.054676344379459</v>
      </c>
      <c r="J127" s="413">
        <v>67.025275040624905</v>
      </c>
      <c r="K127" s="413">
        <v>74.870053289690645</v>
      </c>
      <c r="L127" s="413">
        <v>73.619591082247766</v>
      </c>
      <c r="M127" s="413">
        <v>75.1052177250602</v>
      </c>
      <c r="N127" s="413">
        <v>76.710283514596625</v>
      </c>
      <c r="O127" s="413">
        <v>79.214185228727146</v>
      </c>
      <c r="P127" s="413">
        <v>81.902884060092219</v>
      </c>
      <c r="Q127" s="413">
        <v>7.1674458107253187</v>
      </c>
      <c r="R127" s="413"/>
    </row>
    <row r="128" spans="1:18">
      <c r="A128" t="str">
        <f t="shared" si="6"/>
        <v>Norway</v>
      </c>
      <c r="B128" t="s">
        <v>49</v>
      </c>
      <c r="C128" s="114" t="s">
        <v>56</v>
      </c>
      <c r="D128" s="114" t="s">
        <v>38</v>
      </c>
      <c r="G128" t="s">
        <v>179</v>
      </c>
      <c r="H128" s="413">
        <v>204.45280675050552</v>
      </c>
      <c r="I128" s="413">
        <v>172.90339951224669</v>
      </c>
      <c r="J128" s="413">
        <v>187.15558591337273</v>
      </c>
      <c r="K128" s="413">
        <v>208.23394444251514</v>
      </c>
      <c r="L128" s="413">
        <v>203.20792329381536</v>
      </c>
      <c r="M128" s="413">
        <v>206.8204065432592</v>
      </c>
      <c r="N128" s="413">
        <v>209.25449178473843</v>
      </c>
      <c r="O128" s="413">
        <v>214.3140286484936</v>
      </c>
      <c r="P128" s="413">
        <v>219.02534978928384</v>
      </c>
      <c r="Q128" s="413">
        <v>140.15811090529883</v>
      </c>
      <c r="R128" s="413"/>
    </row>
    <row r="129" spans="1:18">
      <c r="A129" t="str">
        <f t="shared" si="6"/>
        <v>Norway</v>
      </c>
      <c r="B129" t="s">
        <v>49</v>
      </c>
      <c r="C129" s="114" t="s">
        <v>56</v>
      </c>
      <c r="D129" s="114" t="s">
        <v>39</v>
      </c>
      <c r="G129" t="s">
        <v>179</v>
      </c>
      <c r="H129" s="413">
        <v>166.94337859521545</v>
      </c>
      <c r="I129" s="413">
        <v>142.31424909963076</v>
      </c>
      <c r="J129" s="413">
        <v>155.4753628407895</v>
      </c>
      <c r="K129" s="413">
        <v>173.33067958037319</v>
      </c>
      <c r="L129" s="413">
        <v>168.77853192692743</v>
      </c>
      <c r="M129" s="413">
        <v>170.43866053615361</v>
      </c>
      <c r="N129" s="413">
        <v>173.64296872517318</v>
      </c>
      <c r="O129" s="413">
        <v>175.97480798281245</v>
      </c>
      <c r="P129" s="413">
        <v>180.81050505878244</v>
      </c>
      <c r="Q129" s="413">
        <v>63.853171821208491</v>
      </c>
      <c r="R129" s="413"/>
    </row>
    <row r="130" spans="1:18">
      <c r="A130" t="str">
        <f t="shared" si="6"/>
        <v>Norway</v>
      </c>
      <c r="B130" t="s">
        <v>49</v>
      </c>
      <c r="C130" s="114" t="s">
        <v>56</v>
      </c>
      <c r="D130" s="114" t="s">
        <v>40</v>
      </c>
      <c r="G130" t="s">
        <v>179</v>
      </c>
      <c r="H130" s="413">
        <v>196.68415120722776</v>
      </c>
      <c r="I130" s="413">
        <v>168.163529352252</v>
      </c>
      <c r="J130" s="413">
        <v>182.91743051334342</v>
      </c>
      <c r="K130" s="413">
        <v>204.66687305972542</v>
      </c>
      <c r="L130" s="413">
        <v>198.93960661497309</v>
      </c>
      <c r="M130" s="413">
        <v>201.84580618313515</v>
      </c>
      <c r="N130" s="413">
        <v>205.79915194655774</v>
      </c>
      <c r="O130" s="413">
        <v>209.14108784765466</v>
      </c>
      <c r="P130" s="413">
        <v>214.39301851470614</v>
      </c>
      <c r="Q130" s="413">
        <v>73.038376177125031</v>
      </c>
      <c r="R130" s="413"/>
    </row>
    <row r="131" spans="1:18">
      <c r="A131" t="str">
        <f t="shared" si="6"/>
        <v>Norway</v>
      </c>
      <c r="B131" t="s">
        <v>49</v>
      </c>
      <c r="C131" s="114" t="s">
        <v>56</v>
      </c>
      <c r="D131" s="114" t="s">
        <v>41</v>
      </c>
      <c r="G131" t="s">
        <v>179</v>
      </c>
      <c r="H131" s="413">
        <v>185.81018518956014</v>
      </c>
      <c r="I131" s="413">
        <v>156.52756170314208</v>
      </c>
      <c r="J131" s="413">
        <v>165.91613089967029</v>
      </c>
      <c r="K131" s="413">
        <v>184.02467044818377</v>
      </c>
      <c r="L131" s="413">
        <v>179.77714663315223</v>
      </c>
      <c r="M131" s="413">
        <v>183.14864626595383</v>
      </c>
      <c r="N131" s="413">
        <v>186.88252500369228</v>
      </c>
      <c r="O131" s="413">
        <v>189.29821615897558</v>
      </c>
      <c r="P131" s="413">
        <v>192.80189089470525</v>
      </c>
      <c r="Q131" s="413">
        <v>188.82542207355812</v>
      </c>
      <c r="R131" s="413"/>
    </row>
    <row r="132" spans="1:18">
      <c r="A132" t="str">
        <f t="shared" si="6"/>
        <v>Norway</v>
      </c>
      <c r="B132" t="s">
        <v>49</v>
      </c>
      <c r="C132" s="114" t="s">
        <v>56</v>
      </c>
      <c r="D132" s="114" t="s">
        <v>42</v>
      </c>
      <c r="G132" t="s">
        <v>179</v>
      </c>
      <c r="H132" s="413">
        <v>59.761946125031493</v>
      </c>
      <c r="I132" s="413">
        <v>50.69151421708866</v>
      </c>
      <c r="J132" s="413">
        <v>53.978634758316808</v>
      </c>
      <c r="K132" s="413">
        <v>58.885694590272088</v>
      </c>
      <c r="L132" s="413">
        <v>57.863653499003739</v>
      </c>
      <c r="M132" s="413">
        <v>58.594647007948382</v>
      </c>
      <c r="N132" s="413">
        <v>59.037481772654694</v>
      </c>
      <c r="O132" s="413">
        <v>60.218379937653332</v>
      </c>
      <c r="P132" s="413">
        <v>62.227946254253943</v>
      </c>
      <c r="Q132" s="413">
        <v>51.637638128247922</v>
      </c>
      <c r="R132" s="413"/>
    </row>
    <row r="133" spans="1:18">
      <c r="C133" s="114"/>
      <c r="D133" s="114"/>
      <c r="H133" s="412"/>
      <c r="I133" s="412"/>
      <c r="J133" s="412"/>
      <c r="K133" s="412"/>
      <c r="L133" s="412"/>
      <c r="M133" s="412"/>
      <c r="N133" s="412"/>
      <c r="O133" s="412"/>
      <c r="P133" s="412"/>
      <c r="Q133" s="412"/>
      <c r="R133" s="412"/>
    </row>
    <row r="134" spans="1:18">
      <c r="A134" t="str">
        <f>Home!$B$1</f>
        <v>Hungary</v>
      </c>
      <c r="B134" t="str">
        <f>'[6]Final Sheet -US$'!B27</f>
        <v>Tourism Receipts &amp; Expenditure</v>
      </c>
      <c r="C134" s="114" t="s">
        <v>516</v>
      </c>
      <c r="D134" s="114"/>
      <c r="H134" s="412">
        <f>'Tourism Medium DB-US$'!G74/'Tourism Medium DB-US$'!G75</f>
        <v>8.5812327430466566E-3</v>
      </c>
      <c r="I134" s="412">
        <f>'Tourism Medium DB-US$'!H74/'Tourism Medium DB-US$'!H75</f>
        <v>7.9544103043046616E-3</v>
      </c>
      <c r="J134" s="412">
        <f>'Tourism Medium DB-US$'!I74/'Tourism Medium DB-US$'!I75</f>
        <v>6.9321606262578543E-3</v>
      </c>
      <c r="K134" s="412">
        <f>'Tourism Medium DB-US$'!J74/'Tourism Medium DB-US$'!J75</f>
        <v>6.5720671989703463E-3</v>
      </c>
      <c r="L134" s="412">
        <f>'Tourism Medium DB-US$'!K74/'Tourism Medium DB-US$'!K75</f>
        <v>5.8877945048734686E-3</v>
      </c>
      <c r="M134" s="412">
        <f>'Tourism Medium DB-US$'!L74/'Tourism Medium DB-US$'!L75</f>
        <v>5.6149598633594353E-3</v>
      </c>
      <c r="N134" s="412">
        <f>'Tourism Medium DB-US$'!M74/'Tourism Medium DB-US$'!M75</f>
        <v>5.208062049263538E-3</v>
      </c>
      <c r="O134" s="412">
        <f>'Tourism Medium DB-US$'!N74/'Tourism Medium DB-US$'!N75</f>
        <v>4.8246472455980892E-3</v>
      </c>
      <c r="P134" s="412">
        <f>'Tourism Medium DB-US$'!O74/'Tourism Medium DB-US$'!O75</f>
        <v>4.4626401551966033E-3</v>
      </c>
      <c r="Q134" s="412">
        <f>'Tourism Medium DB-US$'!P74/'Tourism Medium DB-US$'!P75</f>
        <v>4.1422415676662721E-3</v>
      </c>
      <c r="R134" s="412"/>
    </row>
    <row r="135" spans="1:18">
      <c r="C135" s="114"/>
      <c r="D135" s="114"/>
      <c r="H135" s="412"/>
      <c r="I135" s="412"/>
      <c r="J135" s="412"/>
      <c r="K135" s="412"/>
      <c r="L135" s="412"/>
      <c r="M135" s="412"/>
      <c r="N135" s="412"/>
      <c r="O135" s="412"/>
      <c r="P135" s="412"/>
      <c r="Q135" s="412"/>
      <c r="R135" s="412"/>
    </row>
    <row r="136" spans="1:18">
      <c r="A136" t="str">
        <f>$T$1</f>
        <v>Norway</v>
      </c>
      <c r="B136" t="s">
        <v>34</v>
      </c>
      <c r="C136" s="114" t="s">
        <v>516</v>
      </c>
      <c r="D136" s="114"/>
      <c r="H136" s="412">
        <v>0.10250213193282565</v>
      </c>
      <c r="I136" s="412">
        <v>0.10576269231433247</v>
      </c>
      <c r="J136" s="412">
        <v>9.1428719151425392E-2</v>
      </c>
      <c r="K136" s="412">
        <v>8.3956595148332092E-2</v>
      </c>
      <c r="L136" s="412">
        <v>8.02405886157605E-2</v>
      </c>
      <c r="M136" s="412">
        <v>7.6262876065464377E-2</v>
      </c>
      <c r="N136" s="412">
        <v>7.5663437418141216E-2</v>
      </c>
      <c r="O136" s="412">
        <v>7.2583415491632414E-2</v>
      </c>
      <c r="P136" s="412">
        <v>7.0605263601492815E-2</v>
      </c>
      <c r="Q136" s="412">
        <v>0.77382462106447369</v>
      </c>
      <c r="R136" s="412"/>
    </row>
    <row r="137" spans="1:18">
      <c r="C137" s="114"/>
      <c r="D137" s="114"/>
    </row>
    <row r="138" spans="1:18">
      <c r="A138" t="str">
        <f>A134</f>
        <v>Hungary</v>
      </c>
      <c r="B138" t="s">
        <v>524</v>
      </c>
      <c r="C138" s="114"/>
      <c r="D138" s="114"/>
    </row>
    <row r="139" spans="1:18">
      <c r="C139" s="114"/>
      <c r="D139" s="114"/>
    </row>
    <row r="140" spans="1:18">
      <c r="A140" t="str">
        <f>A136</f>
        <v>Norway</v>
      </c>
      <c r="B140" t="s">
        <v>524</v>
      </c>
      <c r="C140" s="114"/>
      <c r="D140" s="114"/>
    </row>
    <row r="141" spans="1:18">
      <c r="C141" s="114"/>
      <c r="D141" s="114"/>
    </row>
    <row r="142" spans="1:18">
      <c r="A142" t="str">
        <f>Home!$B$1</f>
        <v>Hungary</v>
      </c>
      <c r="B142" t="str">
        <f>'[6]Final Sheet -US$'!B147</f>
        <v>Tourism Spend Factors</v>
      </c>
      <c r="C142" s="114" t="str">
        <f>'[6]Final Sheet -US$'!C147</f>
        <v>Average National Tourism Spend per Day of Trip</v>
      </c>
      <c r="D142" s="114" t="str">
        <f>'[6]Final Sheet -US$'!D147</f>
        <v>Domestic Trips</v>
      </c>
      <c r="G142" t="str">
        <f>'[6]Final Sheet -US$'!G147</f>
        <v>US$</v>
      </c>
      <c r="H142" s="85">
        <f>'Tourism Medium DB-US$'!G79</f>
        <v>8.23319189574649</v>
      </c>
      <c r="I142" s="85">
        <f>'Tourism Medium DB-US$'!H79</f>
        <v>7.5517587897902931</v>
      </c>
      <c r="J142" s="85">
        <f>'Tourism Medium DB-US$'!I79</f>
        <v>5.9768476400899573</v>
      </c>
      <c r="K142" s="85">
        <f>'Tourism Medium DB-US$'!J79</f>
        <v>6.5484307882032855</v>
      </c>
      <c r="L142" s="85">
        <f>'Tourism Medium DB-US$'!K79</f>
        <v>5.7317016159022094</v>
      </c>
      <c r="M142" s="85">
        <f>'Tourism Medium DB-US$'!L79</f>
        <v>6.1471318629109319</v>
      </c>
      <c r="N142" s="85">
        <f>'Tourism Medium DB-US$'!M79</f>
        <v>5.7959038530292437</v>
      </c>
      <c r="O142" s="85">
        <f>'Tourism Medium DB-US$'!N79</f>
        <v>5.8506997254441977</v>
      </c>
      <c r="P142" s="85">
        <f>'Tourism Medium DB-US$'!O79</f>
        <v>5.8619341432736789</v>
      </c>
      <c r="Q142" s="85">
        <f>'Tourism Medium DB-US$'!P79</f>
        <v>5.8170145388451759</v>
      </c>
      <c r="R142" s="85"/>
    </row>
    <row r="143" spans="1:18">
      <c r="A143" t="str">
        <f>Home!$B$1</f>
        <v>Hungary</v>
      </c>
      <c r="B143" t="str">
        <f>'[6]Final Sheet -US$'!B148</f>
        <v>Tourism Spend Factors</v>
      </c>
      <c r="C143" s="114" t="str">
        <f>'[6]Final Sheet -US$'!C148</f>
        <v>Average National Tourism Spend per Day of Trip</v>
      </c>
      <c r="D143" s="114" t="str">
        <f>'[6]Final Sheet -US$'!D148</f>
        <v>International Trips</v>
      </c>
      <c r="G143" t="str">
        <f>'[6]Final Sheet -US$'!G148</f>
        <v>US$</v>
      </c>
      <c r="H143" s="85">
        <f>'Tourism Medium DB-US$'!G80</f>
        <v>202.7312578285383</v>
      </c>
      <c r="I143" s="85">
        <f>'Tourism Medium DB-US$'!H80</f>
        <v>183.00680777517468</v>
      </c>
      <c r="J143" s="85">
        <f>'Tourism Medium DB-US$'!I80</f>
        <v>188.92273615904796</v>
      </c>
      <c r="K143" s="85">
        <f>'Tourism Medium DB-US$'!J80</f>
        <v>198.6001176638141</v>
      </c>
      <c r="L143" s="85">
        <f>'Tourism Medium DB-US$'!K80</f>
        <v>193.19299286179833</v>
      </c>
      <c r="M143" s="85">
        <f>'Tourism Medium DB-US$'!L80</f>
        <v>192.75173219803867</v>
      </c>
      <c r="N143" s="85">
        <f>'Tourism Medium DB-US$'!M80</f>
        <v>196.84715188760504</v>
      </c>
      <c r="O143" s="85">
        <f>'Tourism Medium DB-US$'!N80</f>
        <v>194.62502145526992</v>
      </c>
      <c r="P143" s="85">
        <f>'Tourism Medium DB-US$'!O80</f>
        <v>206.08398036589577</v>
      </c>
      <c r="Q143" s="85">
        <f>'Tourism Medium DB-US$'!P80</f>
        <v>218.11420115326192</v>
      </c>
      <c r="R143" s="85"/>
    </row>
    <row r="144" spans="1:18">
      <c r="C144" s="114"/>
      <c r="D144" s="114"/>
    </row>
    <row r="145" spans="1:18">
      <c r="A145" t="str">
        <f>$T$1</f>
        <v>Norway</v>
      </c>
      <c r="B145" t="s">
        <v>49</v>
      </c>
      <c r="C145" s="114" t="s">
        <v>50</v>
      </c>
      <c r="D145" s="114" t="s">
        <v>14</v>
      </c>
      <c r="G145" t="s">
        <v>179</v>
      </c>
      <c r="H145" s="244">
        <v>34.638206988825523</v>
      </c>
      <c r="I145" s="244">
        <v>33.818288051745448</v>
      </c>
      <c r="J145" s="244">
        <v>37.054680141210021</v>
      </c>
      <c r="K145" s="244">
        <v>39.834464924728344</v>
      </c>
      <c r="L145" s="244">
        <v>38.840992337628947</v>
      </c>
      <c r="M145" s="244">
        <v>39.762679782467615</v>
      </c>
      <c r="N145" s="244">
        <v>40.663685704685911</v>
      </c>
      <c r="O145" s="244">
        <v>41.134989178552246</v>
      </c>
      <c r="P145" s="244">
        <v>41.244684472178619</v>
      </c>
      <c r="Q145" s="244">
        <v>50.687920328737576</v>
      </c>
      <c r="R145" s="244"/>
    </row>
    <row r="146" spans="1:18">
      <c r="A146" t="str">
        <f>$T$1</f>
        <v>Norway</v>
      </c>
      <c r="B146" t="s">
        <v>49</v>
      </c>
      <c r="C146" s="114" t="s">
        <v>50</v>
      </c>
      <c r="D146" s="114" t="s">
        <v>15</v>
      </c>
      <c r="G146" t="s">
        <v>179</v>
      </c>
      <c r="H146" s="244">
        <v>185.2935232065403</v>
      </c>
      <c r="I146" s="244">
        <v>136.94662609529945</v>
      </c>
      <c r="J146" s="244">
        <v>161.42459939580567</v>
      </c>
      <c r="K146" s="244">
        <v>195.83675017124438</v>
      </c>
      <c r="L146" s="244">
        <v>188.72502564753688</v>
      </c>
      <c r="M146" s="244">
        <v>189.1584181712098</v>
      </c>
      <c r="N146" s="244">
        <v>190.7470011693502</v>
      </c>
      <c r="O146" s="244">
        <v>190.76562464343283</v>
      </c>
      <c r="P146" s="244">
        <v>190.9478443504812</v>
      </c>
      <c r="Q146" s="244">
        <v>74.301951202352868</v>
      </c>
      <c r="R146" s="244"/>
    </row>
    <row r="147" spans="1:18">
      <c r="C147" s="114"/>
      <c r="D147" s="114"/>
    </row>
    <row r="148" spans="1:18">
      <c r="A148" t="str">
        <f>Home!$B$1</f>
        <v>Hungary</v>
      </c>
      <c r="B148" t="str">
        <f>'[6]Final Sheet -US$'!B150</f>
        <v>Tourism Spend Factors</v>
      </c>
      <c r="C148" s="114" t="str">
        <f>'[6]Final Sheet -US$'!C150</f>
        <v>Percentage of Total Resident Income Spent on Tourism</v>
      </c>
      <c r="D148" s="114" t="str">
        <f>'[6]Final Sheet -US$'!D150</f>
        <v>Domestic Trips</v>
      </c>
      <c r="G148" t="str">
        <f>'[6]Final Sheet -US$'!G150</f>
        <v>%</v>
      </c>
      <c r="H148" s="101">
        <f>'Tourism Medium DB-US$'!G82</f>
        <v>3.1803632508965386E-3</v>
      </c>
      <c r="I148" s="101">
        <f>'Tourism Medium DB-US$'!H82</f>
        <v>3.3140771288598441E-3</v>
      </c>
      <c r="J148" s="101">
        <f>'Tourism Medium DB-US$'!I82</f>
        <v>2.8437641424577799E-3</v>
      </c>
      <c r="K148" s="101">
        <f>'Tourism Medium DB-US$'!J82</f>
        <v>2.6427509396056057E-3</v>
      </c>
      <c r="L148" s="101">
        <f>'Tourism Medium DB-US$'!K82</f>
        <v>2.4341291759419747E-3</v>
      </c>
      <c r="M148" s="101">
        <f>'Tourism Medium DB-US$'!L82</f>
        <v>2.4547580320928644E-3</v>
      </c>
      <c r="N148" s="101">
        <f>'Tourism Medium DB-US$'!M82</f>
        <v>2.3906189375719109E-3</v>
      </c>
      <c r="O148" s="101">
        <f>'Tourism Medium DB-US$'!N82</f>
        <v>2.4178517148276584E-3</v>
      </c>
      <c r="P148" s="101">
        <f>'Tourism Medium DB-US$'!O82</f>
        <v>2.4639569848056353E-3</v>
      </c>
      <c r="Q148" s="101">
        <f>'Tourism Medium DB-US$'!P82</f>
        <v>2.4475090856541006E-3</v>
      </c>
      <c r="R148" s="101"/>
    </row>
    <row r="149" spans="1:18">
      <c r="A149" t="str">
        <f>Home!$B$1</f>
        <v>Hungary</v>
      </c>
      <c r="B149" t="str">
        <f>'[6]Final Sheet -US$'!B151</f>
        <v>Tourism Spend Factors</v>
      </c>
      <c r="C149" s="114" t="str">
        <f>'[6]Final Sheet -US$'!C151</f>
        <v>Percentage of Total Resident Income Spent on Tourism</v>
      </c>
      <c r="D149" s="114" t="str">
        <f>'[6]Final Sheet -US$'!D151</f>
        <v>International Trips</v>
      </c>
      <c r="G149" t="str">
        <f>'[6]Final Sheet -US$'!G151</f>
        <v>%</v>
      </c>
      <c r="H149" s="101">
        <f>'Tourism Medium DB-US$'!G83</f>
        <v>6.8235001042581817E-2</v>
      </c>
      <c r="I149" s="101">
        <f>'Tourism Medium DB-US$'!H83</f>
        <v>6.4548541832636322E-2</v>
      </c>
      <c r="J149" s="101">
        <f>'Tourism Medium DB-US$'!I83</f>
        <v>6.6466496651622381E-2</v>
      </c>
      <c r="K149" s="101">
        <f>'Tourism Medium DB-US$'!J83</f>
        <v>6.6194044730115989E-2</v>
      </c>
      <c r="L149" s="101">
        <f>'Tourism Medium DB-US$'!K83</f>
        <v>6.6560920147028996E-2</v>
      </c>
      <c r="M149" s="101">
        <f>'Tourism Medium DB-US$'!L83</f>
        <v>6.1746644034097777E-2</v>
      </c>
      <c r="N149" s="101">
        <f>'Tourism Medium DB-US$'!M83</f>
        <v>6.2387618177745296E-2</v>
      </c>
      <c r="O149" s="101">
        <f>'Tourism Medium DB-US$'!N83</f>
        <v>6.6374401228568927E-2</v>
      </c>
      <c r="P149" s="101">
        <f>'Tourism Medium DB-US$'!O83</f>
        <v>7.6177940265804642E-2</v>
      </c>
      <c r="Q149" s="101">
        <f>'Tourism Medium DB-US$'!P83</f>
        <v>8.4743686430582763E-2</v>
      </c>
      <c r="R149" s="101"/>
    </row>
    <row r="150" spans="1:18">
      <c r="C150" s="114"/>
      <c r="D150" s="114"/>
      <c r="H150" s="101"/>
      <c r="I150" s="101"/>
      <c r="J150" s="101"/>
      <c r="K150" s="101"/>
      <c r="L150" s="101"/>
      <c r="M150" s="101"/>
      <c r="N150" s="101"/>
      <c r="O150" s="101"/>
      <c r="P150" s="101"/>
      <c r="Q150" s="101"/>
      <c r="R150" s="101"/>
    </row>
    <row r="151" spans="1:18">
      <c r="A151" t="str">
        <f>$T$1</f>
        <v>Norway</v>
      </c>
      <c r="B151" t="s">
        <v>49</v>
      </c>
      <c r="C151" s="114" t="s">
        <v>51</v>
      </c>
      <c r="D151" s="114" t="s">
        <v>14</v>
      </c>
      <c r="G151" t="s">
        <v>176</v>
      </c>
      <c r="H151" s="101">
        <v>1.4832180393374389E-2</v>
      </c>
      <c r="I151" s="101">
        <v>1.6229190158884535E-2</v>
      </c>
      <c r="J151" s="101">
        <v>1.5450449486525658E-2</v>
      </c>
      <c r="K151" s="101">
        <v>1.596650952540303E-2</v>
      </c>
      <c r="L151" s="101">
        <v>1.5438714648970906E-2</v>
      </c>
      <c r="M151" s="101">
        <v>1.5714928284398577E-2</v>
      </c>
      <c r="N151" s="101">
        <v>1.5878986122536125E-2</v>
      </c>
      <c r="O151" s="101">
        <v>1.6155576563267885E-2</v>
      </c>
      <c r="P151" s="101">
        <v>1.6527494617784855E-2</v>
      </c>
      <c r="Q151" s="101">
        <v>6.1031270670830001E-2</v>
      </c>
      <c r="R151" s="101"/>
    </row>
    <row r="152" spans="1:18">
      <c r="A152" t="str">
        <f>$T$1</f>
        <v>Norway</v>
      </c>
      <c r="B152" t="s">
        <v>49</v>
      </c>
      <c r="C152" s="114" t="s">
        <v>51</v>
      </c>
      <c r="D152" s="114" t="s">
        <v>15</v>
      </c>
      <c r="G152" t="s">
        <v>176</v>
      </c>
      <c r="H152" s="101">
        <v>2.7496199908991451E-2</v>
      </c>
      <c r="I152" s="101">
        <v>2.6080577763611196E-2</v>
      </c>
      <c r="J152" s="101">
        <v>2.8360812923734637E-2</v>
      </c>
      <c r="K152" s="101">
        <v>3.1684542017939049E-2</v>
      </c>
      <c r="L152" s="101">
        <v>3.1162782106124571E-2</v>
      </c>
      <c r="M152" s="101">
        <v>3.2057828506611409E-2</v>
      </c>
      <c r="N152" s="101">
        <v>3.3217584052783251E-2</v>
      </c>
      <c r="O152" s="101">
        <v>3.4299548881140667E-2</v>
      </c>
      <c r="P152" s="101">
        <v>3.530290029124044E-2</v>
      </c>
      <c r="Q152" s="101">
        <v>1.907257336717591E-2</v>
      </c>
      <c r="R152" s="101"/>
    </row>
    <row r="153" spans="1:18">
      <c r="C153" s="114"/>
      <c r="D153" s="114"/>
    </row>
    <row r="154" spans="1:18">
      <c r="A154" t="str">
        <f>Home!$B$1</f>
        <v>Hungary</v>
      </c>
      <c r="B154" t="str">
        <f>'[6]Final Sheet -US$'!B153</f>
        <v>Tourism Spend Factors</v>
      </c>
      <c r="C154" s="114" t="s">
        <v>517</v>
      </c>
      <c r="D154" s="114"/>
      <c r="H154" s="85">
        <f>'Tourism Medium DB-US$'!G49/'Tourism Medium DB-US$'!G65</f>
        <v>4.6608971968972984E-2</v>
      </c>
      <c r="I154" s="85">
        <f>'Tourism Medium DB-US$'!H49/'Tourism Medium DB-US$'!H65</f>
        <v>5.1342401156833216E-2</v>
      </c>
      <c r="J154" s="85">
        <f>'Tourism Medium DB-US$'!I49/'Tourism Medium DB-US$'!I65</f>
        <v>4.2784926026161581E-2</v>
      </c>
      <c r="K154" s="85">
        <f>'Tourism Medium DB-US$'!J49/'Tourism Medium DB-US$'!J65</f>
        <v>3.9924300598045283E-2</v>
      </c>
      <c r="L154" s="85">
        <f>'Tourism Medium DB-US$'!K49/'Tourism Medium DB-US$'!K65</f>
        <v>3.6569944804926563E-2</v>
      </c>
      <c r="M154" s="85">
        <f>'Tourism Medium DB-US$'!L49/'Tourism Medium DB-US$'!L65</f>
        <v>3.9755327119273008E-2</v>
      </c>
      <c r="N154" s="85">
        <f>'Tourism Medium DB-US$'!M49/'Tourism Medium DB-US$'!M65</f>
        <v>3.8318804394181602E-2</v>
      </c>
      <c r="O154" s="85">
        <f>'Tourism Medium DB-US$'!N49/'Tourism Medium DB-US$'!N65</f>
        <v>3.6427473093150316E-2</v>
      </c>
      <c r="P154" s="85">
        <f>'Tourism Medium DB-US$'!O49/'Tourism Medium DB-US$'!O65</f>
        <v>3.2344757238227349E-2</v>
      </c>
      <c r="Q154" s="85">
        <f>'Tourism Medium DB-US$'!P49/'Tourism Medium DB-US$'!P65</f>
        <v>2.8881314806371582E-2</v>
      </c>
      <c r="R154" s="85"/>
    </row>
    <row r="155" spans="1:18">
      <c r="C155" s="114"/>
      <c r="D155" s="114"/>
      <c r="H155" s="85"/>
      <c r="I155" s="85"/>
      <c r="J155" s="85"/>
      <c r="K155" s="85"/>
      <c r="L155" s="85"/>
      <c r="M155" s="85"/>
      <c r="N155" s="85"/>
      <c r="O155" s="85"/>
      <c r="P155" s="85"/>
      <c r="Q155" s="85"/>
      <c r="R155" s="85"/>
    </row>
    <row r="156" spans="1:18">
      <c r="A156" t="str">
        <f>$T$1</f>
        <v>Norway</v>
      </c>
      <c r="B156" t="str">
        <f>'[6]Final Sheet -US$'!B155</f>
        <v>Tourism Spend Factors</v>
      </c>
      <c r="C156" s="114" t="s">
        <v>517</v>
      </c>
      <c r="D156" s="114"/>
      <c r="H156" s="85">
        <v>0.53942655503185222</v>
      </c>
      <c r="I156" s="85">
        <v>0.62227111323922568</v>
      </c>
      <c r="J156" s="85">
        <v>0.54478161567771788</v>
      </c>
      <c r="K156" s="85">
        <v>0.50392110816571578</v>
      </c>
      <c r="L156" s="85">
        <v>0.49542157681539811</v>
      </c>
      <c r="M156" s="85">
        <v>0.49020563826266733</v>
      </c>
      <c r="N156" s="85">
        <v>0.47802953090460082</v>
      </c>
      <c r="O156" s="85">
        <v>0.47101425792077695</v>
      </c>
      <c r="P156" s="85">
        <v>0.46816251586801638</v>
      </c>
      <c r="Q156" s="85">
        <v>3.1999494507576745</v>
      </c>
      <c r="R156" s="85"/>
    </row>
    <row r="157" spans="1:18">
      <c r="C157" s="114"/>
      <c r="D157" s="114"/>
    </row>
    <row r="158" spans="1:18">
      <c r="A158" t="str">
        <f>Home!$B$1</f>
        <v>Hungary</v>
      </c>
      <c r="B158" t="str">
        <f>'[6]Final Sheet -US$'!B155</f>
        <v>Tourism Spend Factors</v>
      </c>
      <c r="C158" s="114" t="s">
        <v>518</v>
      </c>
      <c r="D158" s="114" t="str">
        <f>'[6]Final Sheet -US$'!D155</f>
        <v>International Trips</v>
      </c>
      <c r="E158" t="str">
        <f>'[6]Final Sheet -US$'!E155</f>
        <v>Africa</v>
      </c>
      <c r="G158" t="s">
        <v>176</v>
      </c>
      <c r="H158" s="83">
        <v>1.8278131578947365E-2</v>
      </c>
      <c r="I158" s="83">
        <v>1.7972472096530918E-2</v>
      </c>
      <c r="J158" s="83">
        <v>1.8023461173459307E-2</v>
      </c>
      <c r="K158" s="83">
        <v>1.807249763106037E-2</v>
      </c>
      <c r="L158" s="83">
        <v>1.8237528917526773E-2</v>
      </c>
      <c r="M158" s="83">
        <v>1.8207119223357542E-2</v>
      </c>
      <c r="N158" s="83">
        <v>1.8177549770698909E-2</v>
      </c>
      <c r="O158" s="83">
        <v>1.8255004866132917E-2</v>
      </c>
      <c r="P158" s="83">
        <v>1.8438661124972965E-2</v>
      </c>
      <c r="Q158" s="83">
        <f>'Tourism Medium DB-US$'!P87/'Tourism Medium DB-US$'!P$86</f>
        <v>0.11364979356713852</v>
      </c>
      <c r="R158" s="83"/>
    </row>
    <row r="159" spans="1:18">
      <c r="A159" t="str">
        <f>Home!$B$1</f>
        <v>Hungary</v>
      </c>
      <c r="B159" t="str">
        <f>'[6]Final Sheet -US$'!B156</f>
        <v>Tourism Spend Factors</v>
      </c>
      <c r="C159" s="114" t="s">
        <v>518</v>
      </c>
      <c r="D159" s="114" t="str">
        <f>'[6]Final Sheet -US$'!D156</f>
        <v>International Trips</v>
      </c>
      <c r="E159" t="str">
        <f>'[6]Final Sheet -US$'!E156</f>
        <v>Asia-Pacific</v>
      </c>
      <c r="G159" t="s">
        <v>176</v>
      </c>
      <c r="H159" s="83">
        <v>3.5447565789473681E-2</v>
      </c>
      <c r="I159" s="83">
        <v>3.5379260935143292E-2</v>
      </c>
      <c r="J159" s="83">
        <v>3.5546985671079945E-2</v>
      </c>
      <c r="K159" s="83">
        <v>3.530092257181737E-2</v>
      </c>
      <c r="L159" s="83">
        <v>3.5415584114406352E-2</v>
      </c>
      <c r="M159" s="83">
        <v>3.5271747748653028E-2</v>
      </c>
      <c r="N159" s="83">
        <v>3.5137611709123072E-2</v>
      </c>
      <c r="O159" s="83">
        <v>3.5036006994302586E-2</v>
      </c>
      <c r="P159" s="83">
        <v>3.4956905783476773E-2</v>
      </c>
      <c r="Q159" s="83">
        <f>'Tourism Medium DB-US$'!P88/'Tourism Medium DB-US$'!P$86</f>
        <v>0.1077854977632072</v>
      </c>
      <c r="R159" s="83"/>
    </row>
    <row r="160" spans="1:18">
      <c r="A160" t="str">
        <f>Home!$B$1</f>
        <v>Hungary</v>
      </c>
      <c r="B160" t="str">
        <f>'[6]Final Sheet -US$'!B157</f>
        <v>Tourism Spend Factors</v>
      </c>
      <c r="C160" s="114" t="s">
        <v>518</v>
      </c>
      <c r="D160" s="114" t="str">
        <f>'[6]Final Sheet -US$'!D157</f>
        <v>International Trips</v>
      </c>
      <c r="E160" t="str">
        <f>'[6]Final Sheet -US$'!E157</f>
        <v>Europe</v>
      </c>
      <c r="G160" t="s">
        <v>176</v>
      </c>
      <c r="H160" s="83">
        <v>0.9042802178476449</v>
      </c>
      <c r="I160" s="83">
        <v>0.90570927521487921</v>
      </c>
      <c r="J160" s="83">
        <v>0.90558101486454312</v>
      </c>
      <c r="K160" s="83">
        <v>0.90554513918121815</v>
      </c>
      <c r="L160" s="83">
        <v>0.90504493720513857</v>
      </c>
      <c r="M160" s="83">
        <v>0.90487278442709551</v>
      </c>
      <c r="N160" s="83">
        <v>0.90524898794826258</v>
      </c>
      <c r="O160" s="83">
        <v>0.90524068917765588</v>
      </c>
      <c r="P160" s="83">
        <v>0.90514937337032864</v>
      </c>
      <c r="Q160" s="83">
        <f>'Tourism Medium DB-US$'!P89/'Tourism Medium DB-US$'!P$86</f>
        <v>0.90866778594618924</v>
      </c>
      <c r="R160" s="83"/>
    </row>
    <row r="161" spans="1:18">
      <c r="A161" t="str">
        <f>Home!$B$1</f>
        <v>Hungary</v>
      </c>
      <c r="B161" t="str">
        <f>'[6]Final Sheet -US$'!B158</f>
        <v>Tourism Spend Factors</v>
      </c>
      <c r="C161" s="114" t="s">
        <v>518</v>
      </c>
      <c r="D161" s="114" t="str">
        <f>'[6]Final Sheet -US$'!D158</f>
        <v>International Trips</v>
      </c>
      <c r="E161" t="str">
        <f>'[6]Final Sheet -US$'!E158</f>
        <v>Middle East</v>
      </c>
      <c r="G161" t="s">
        <v>176</v>
      </c>
      <c r="H161" s="83">
        <v>2.8857222102240329E-3</v>
      </c>
      <c r="I161" s="83">
        <v>2.8894675375125316E-3</v>
      </c>
      <c r="J161" s="83">
        <v>2.9242351948490677E-3</v>
      </c>
      <c r="K161" s="83">
        <v>2.9150370002394557E-3</v>
      </c>
      <c r="L161" s="83">
        <v>2.9270861766618568E-3</v>
      </c>
      <c r="M161" s="83">
        <v>2.9218695246099693E-3</v>
      </c>
      <c r="N161" s="83">
        <v>2.9055553008782323E-3</v>
      </c>
      <c r="O161" s="83">
        <v>2.9004388721049676E-3</v>
      </c>
      <c r="P161" s="83">
        <v>2.8968007771438078E-3</v>
      </c>
      <c r="Q161" s="83">
        <f>'Tourism Medium DB-US$'!P90/'Tourism Medium DB-US$'!P$86</f>
        <v>1.853902665781057E-2</v>
      </c>
      <c r="R161" s="83"/>
    </row>
    <row r="162" spans="1:18">
      <c r="A162" t="str">
        <f>Home!$B$1</f>
        <v>Hungary</v>
      </c>
      <c r="B162" t="str">
        <f>'[6]Final Sheet -US$'!B159</f>
        <v>Tourism Spend Factors</v>
      </c>
      <c r="C162" s="114" t="s">
        <v>518</v>
      </c>
      <c r="D162" s="114" t="str">
        <f>'[6]Final Sheet -US$'!D159</f>
        <v>International Trips</v>
      </c>
      <c r="E162" t="str">
        <f>'[6]Final Sheet -US$'!E159</f>
        <v>North America</v>
      </c>
      <c r="G162" t="s">
        <v>176</v>
      </c>
      <c r="H162" s="83">
        <v>2.6449500000000001E-2</v>
      </c>
      <c r="I162" s="83">
        <v>2.6024871794871795E-2</v>
      </c>
      <c r="J162" s="83">
        <v>2.6149075487012882E-2</v>
      </c>
      <c r="K162" s="83">
        <v>2.6376202699161973E-2</v>
      </c>
      <c r="L162" s="83">
        <v>2.6500894939483689E-2</v>
      </c>
      <c r="M162" s="83">
        <v>2.6693859912893293E-2</v>
      </c>
      <c r="N162" s="83">
        <v>2.6438984477868507E-2</v>
      </c>
      <c r="O162" s="83">
        <v>2.6511962552280423E-2</v>
      </c>
      <c r="P162" s="83">
        <v>2.6563036059720234E-2</v>
      </c>
      <c r="Q162" s="83">
        <f>'Tourism Medium DB-US$'!P91/'Tourism Medium DB-US$'!P$86</f>
        <v>8.9743197391577087E-3</v>
      </c>
      <c r="R162" s="83"/>
    </row>
    <row r="163" spans="1:18">
      <c r="A163" t="str">
        <f>Home!$B$1</f>
        <v>Hungary</v>
      </c>
      <c r="B163" t="str">
        <f>'[6]Final Sheet -US$'!B160</f>
        <v>Tourism Spend Factors</v>
      </c>
      <c r="C163" s="114" t="s">
        <v>518</v>
      </c>
      <c r="D163" s="114" t="str">
        <f>'[6]Final Sheet -US$'!D160</f>
        <v>International Trips</v>
      </c>
      <c r="E163" t="str">
        <f>'[6]Final Sheet -US$'!E160</f>
        <v>South &amp; Central America</v>
      </c>
      <c r="G163" t="s">
        <v>176</v>
      </c>
      <c r="H163" s="83">
        <v>1.2658862573709885E-2</v>
      </c>
      <c r="I163" s="83">
        <v>1.2024652421062047E-2</v>
      </c>
      <c r="J163" s="83">
        <v>1.1775227609055654E-2</v>
      </c>
      <c r="K163" s="83">
        <v>1.1790200916502905E-2</v>
      </c>
      <c r="L163" s="83">
        <v>1.1873968646782695E-2</v>
      </c>
      <c r="M163" s="83">
        <v>1.2032619163390712E-2</v>
      </c>
      <c r="N163" s="83">
        <v>1.209131079316883E-2</v>
      </c>
      <c r="O163" s="83">
        <v>1.205589753752323E-2</v>
      </c>
      <c r="P163" s="83">
        <v>1.1995222884357502E-2</v>
      </c>
      <c r="Q163" s="83">
        <f>'Tourism Medium DB-US$'!P92/'Tourism Medium DB-US$'!P$86</f>
        <v>-0.15761642367350293</v>
      </c>
      <c r="R163" s="83"/>
    </row>
    <row r="164" spans="1:18">
      <c r="A164" t="str">
        <f>Home!$B$1</f>
        <v>Hungary</v>
      </c>
      <c r="B164" t="str">
        <f>'[6]Final Sheet -US$'!B161</f>
        <v>Tourism Spend Factors</v>
      </c>
      <c r="C164" s="114"/>
      <c r="D164" s="114"/>
    </row>
    <row r="165" spans="1:18">
      <c r="C165" s="114"/>
      <c r="D165" s="114"/>
    </row>
    <row r="166" spans="1:18">
      <c r="A166" t="str">
        <f t="shared" ref="A166:A171" si="7">T$1</f>
        <v>Norway</v>
      </c>
      <c r="B166" t="s">
        <v>49</v>
      </c>
      <c r="C166" s="114" t="s">
        <v>518</v>
      </c>
      <c r="D166" s="114" t="s">
        <v>15</v>
      </c>
      <c r="E166" t="s">
        <v>23</v>
      </c>
      <c r="G166" t="s">
        <v>176</v>
      </c>
      <c r="H166" s="86">
        <v>0.24411189704953348</v>
      </c>
      <c r="I166" s="86">
        <v>0.2485645290338995</v>
      </c>
      <c r="J166" s="86">
        <v>0.24900548890685809</v>
      </c>
      <c r="K166" s="86">
        <v>0.25026377035943759</v>
      </c>
      <c r="L166" s="86">
        <v>0.25357428069747356</v>
      </c>
      <c r="M166" s="86">
        <v>0.25625263733508075</v>
      </c>
      <c r="N166" s="86">
        <v>0.25821153615196468</v>
      </c>
      <c r="O166" s="86">
        <v>0.26056574533562188</v>
      </c>
      <c r="P166" s="86">
        <v>0.26583889925995263</v>
      </c>
      <c r="Q166" s="86">
        <v>0.27168661056030063</v>
      </c>
      <c r="R166" s="86"/>
    </row>
    <row r="167" spans="1:18">
      <c r="A167" t="str">
        <f t="shared" si="7"/>
        <v>Norway</v>
      </c>
      <c r="B167" t="s">
        <v>49</v>
      </c>
      <c r="C167" s="114" t="s">
        <v>518</v>
      </c>
      <c r="D167" s="114" t="s">
        <v>15</v>
      </c>
      <c r="E167" t="s">
        <v>24</v>
      </c>
      <c r="G167" t="s">
        <v>176</v>
      </c>
      <c r="H167" s="86">
        <v>0.10356021390482043</v>
      </c>
      <c r="I167" s="86">
        <v>0.10483230535794169</v>
      </c>
      <c r="J167" s="86">
        <v>0.10526728155312054</v>
      </c>
      <c r="K167" s="86">
        <v>0.10318879911146575</v>
      </c>
      <c r="L167" s="86">
        <v>0.10225437530221164</v>
      </c>
      <c r="M167" s="86">
        <v>0.1019406896570728</v>
      </c>
      <c r="N167" s="86">
        <v>0.10062295323756308</v>
      </c>
      <c r="O167" s="86">
        <v>9.9514146526719249E-2</v>
      </c>
      <c r="P167" s="86">
        <v>9.8606253242192785E-2</v>
      </c>
      <c r="Q167" s="86">
        <v>9.7704972056887843E-2</v>
      </c>
      <c r="R167" s="86"/>
    </row>
    <row r="168" spans="1:18">
      <c r="A168" t="str">
        <f t="shared" si="7"/>
        <v>Norway</v>
      </c>
      <c r="B168" t="s">
        <v>49</v>
      </c>
      <c r="C168" s="114" t="s">
        <v>518</v>
      </c>
      <c r="D168" s="114" t="s">
        <v>15</v>
      </c>
      <c r="E168" t="s">
        <v>25</v>
      </c>
      <c r="G168" t="s">
        <v>176</v>
      </c>
      <c r="H168" s="86">
        <v>4.7457278920194787E-2</v>
      </c>
      <c r="I168" s="86">
        <v>4.7805624894223686E-2</v>
      </c>
      <c r="J168" s="86">
        <v>4.871550443651064E-2</v>
      </c>
      <c r="K168" s="86">
        <v>4.9244843721841194E-2</v>
      </c>
      <c r="L168" s="86">
        <v>4.8900335808116313E-2</v>
      </c>
      <c r="M168" s="86">
        <v>4.8528886229794142E-2</v>
      </c>
      <c r="N168" s="86">
        <v>4.9052384719275095E-2</v>
      </c>
      <c r="O168" s="86">
        <v>4.8891283323946315E-2</v>
      </c>
      <c r="P168" s="86">
        <v>4.8852093860053881E-2</v>
      </c>
      <c r="Q168" s="86">
        <v>4.8888880852000667E-2</v>
      </c>
      <c r="R168" s="86"/>
    </row>
    <row r="169" spans="1:18">
      <c r="A169" t="str">
        <f t="shared" si="7"/>
        <v>Norway</v>
      </c>
      <c r="B169" t="s">
        <v>49</v>
      </c>
      <c r="C169" s="114" t="s">
        <v>518</v>
      </c>
      <c r="D169" s="114" t="s">
        <v>15</v>
      </c>
      <c r="E169" t="s">
        <v>26</v>
      </c>
      <c r="G169" t="s">
        <v>176</v>
      </c>
      <c r="H169" s="86">
        <v>0.59638854517150064</v>
      </c>
      <c r="I169" s="86">
        <v>0.59059709710106256</v>
      </c>
      <c r="J169" s="86">
        <v>0.58894827622610224</v>
      </c>
      <c r="K169" s="86">
        <v>0.58929819150823914</v>
      </c>
      <c r="L169" s="86">
        <v>0.58722422595358481</v>
      </c>
      <c r="M169" s="86">
        <v>0.58524771233655015</v>
      </c>
      <c r="N169" s="86">
        <v>0.58394714996065189</v>
      </c>
      <c r="O169" s="86">
        <v>0.58276178845957827</v>
      </c>
      <c r="P169" s="86">
        <v>0.57823335226926231</v>
      </c>
      <c r="Q169" s="86">
        <v>0.57312718958762077</v>
      </c>
      <c r="R169" s="86"/>
    </row>
    <row r="170" spans="1:18">
      <c r="A170" t="str">
        <f t="shared" si="7"/>
        <v>Norway</v>
      </c>
      <c r="B170" t="s">
        <v>49</v>
      </c>
      <c r="C170" s="114" t="s">
        <v>518</v>
      </c>
      <c r="D170" s="114" t="s">
        <v>15</v>
      </c>
      <c r="E170" t="s">
        <v>27</v>
      </c>
      <c r="G170" t="s">
        <v>176</v>
      </c>
      <c r="H170" s="86">
        <v>3.2668061421774121E-4</v>
      </c>
      <c r="I170" s="86">
        <v>3.2915364769616157E-4</v>
      </c>
      <c r="J170" s="86">
        <v>3.2507784547614765E-4</v>
      </c>
      <c r="K170" s="86">
        <v>3.2533248316407348E-4</v>
      </c>
      <c r="L170" s="86">
        <v>3.2599693606525688E-4</v>
      </c>
      <c r="M170" s="86">
        <v>3.2256797780520931E-4</v>
      </c>
      <c r="N170" s="86">
        <v>3.2671921310944003E-4</v>
      </c>
      <c r="O170" s="86">
        <v>3.26803717462794E-4</v>
      </c>
      <c r="P170" s="86">
        <v>3.304442900849786E-4</v>
      </c>
      <c r="Q170" s="86">
        <v>3.34881232248224E-4</v>
      </c>
      <c r="R170" s="86"/>
    </row>
    <row r="171" spans="1:18">
      <c r="A171" t="str">
        <f t="shared" si="7"/>
        <v>Norway</v>
      </c>
      <c r="B171" t="s">
        <v>49</v>
      </c>
      <c r="C171" s="114" t="s">
        <v>518</v>
      </c>
      <c r="D171" s="114" t="s">
        <v>15</v>
      </c>
      <c r="E171" t="s">
        <v>28</v>
      </c>
      <c r="G171" t="s">
        <v>176</v>
      </c>
      <c r="H171" s="86">
        <v>8.1553843397329778E-3</v>
      </c>
      <c r="I171" s="86">
        <v>7.8712899651762688E-3</v>
      </c>
      <c r="J171" s="86">
        <v>7.7383710319324957E-3</v>
      </c>
      <c r="K171" s="86">
        <v>7.6790628158522221E-3</v>
      </c>
      <c r="L171" s="86">
        <v>7.7207853025485721E-3</v>
      </c>
      <c r="M171" s="86">
        <v>7.7075064636970012E-3</v>
      </c>
      <c r="N171" s="86">
        <v>7.8392567174355721E-3</v>
      </c>
      <c r="O171" s="86">
        <v>7.9402326366714293E-3</v>
      </c>
      <c r="P171" s="86">
        <v>8.1389570784533571E-3</v>
      </c>
      <c r="Q171" s="86">
        <v>8.2574657109421024E-3</v>
      </c>
      <c r="R171" s="86"/>
    </row>
  </sheetData>
  <customSheetViews>
    <customSheetView guid="{BD5E9955-DC4B-4EA0-9160-9EF1C693DE04}" showGridLines="0" hiddenRows="1" hiddenColumns="1" topLeftCell="D62">
      <selection activeCell="R1" sqref="R1:R1048576"/>
      <pageMargins left="0.7" right="0.7" top="0.75" bottom="0.75" header="0.3" footer="0.3"/>
      <pageSetup orientation="portrait" r:id="rId1"/>
    </customSheetView>
    <customSheetView guid="{1ACDCC85-59E3-4410-927D-E7E5C71B61F5}" showGridLines="0" hiddenRows="1" hiddenColumns="1" topLeftCell="D62">
      <selection activeCell="J11" sqref="J11"/>
      <pageMargins left="0.7" right="0.7" top="0.75" bottom="0.75" header="0.3" footer="0.3"/>
      <pageSetup orientation="portrait" r:id="rId2"/>
    </customSheetView>
    <customSheetView guid="{63078F6D-D19C-47E9-B618-80B24EAAED3A}" showGridLines="0" hiddenRows="1" topLeftCell="A138">
      <selection activeCell="A141" sqref="A141:XFD141"/>
      <pageMargins left="0.7" right="0.7" top="0.75" bottom="0.75" header="0.3" footer="0.3"/>
      <pageSetup orientation="portrait" r:id="rId3"/>
    </customSheetView>
    <customSheetView guid="{92F60ACF-D6F3-4086-9F2B-BC0D304DAC43}" showGridLines="0" hiddenRows="1" topLeftCell="A138">
      <selection activeCell="A141" sqref="A141:XFD141"/>
      <pageMargins left="0.7" right="0.7" top="0.75" bottom="0.75" header="0.3" footer="0.3"/>
      <pageSetup orientation="portrait" r:id="rId4"/>
    </customSheetView>
    <customSheetView guid="{9144D9B3-2327-4B3A-89B1-6A595780C3C5}" showGridLines="0" hiddenRows="1" state="hidden" topLeftCell="A177">
      <selection activeCell="A144" sqref="A144"/>
      <pageMargins left="0.7" right="0.7" top="0.75" bottom="0.75" header="0.3" footer="0.3"/>
      <pageSetup orientation="portrait" r:id="rId5"/>
    </customSheetView>
    <customSheetView guid="{513032B5-C585-49C2-98E7-9FDE6F7A4BA7}" showGridLines="0" hiddenRows="1" hiddenColumns="1" topLeftCell="D62">
      <pageMargins left="0.7" right="0.7" top="0.75" bottom="0.75" header="0.3" footer="0.3"/>
      <pageSetup orientation="portrait" r:id="rId6"/>
    </customSheetView>
    <customSheetView guid="{AF983ECA-536A-40E6-8A04-FF0A375E9ACC}" showGridLines="0" hiddenRows="1">
      <selection activeCell="H142" sqref="H142"/>
      <pageMargins left="0.7" right="0.7" top="0.75" bottom="0.75" header="0.3" footer="0.3"/>
      <pageSetup orientation="portrait" r:id="rId7"/>
    </customSheetView>
  </customSheetViews>
  <pageMargins left="0.7" right="0.7" top="0.75" bottom="0.75" header="0.3" footer="0.3"/>
  <pageSetup orientation="portrait" r:id="rId8"/>
  <legacyDrawing r:id="rId9"/>
</worksheet>
</file>

<file path=xl/worksheets/sheet27.xml><?xml version="1.0" encoding="utf-8"?>
<worksheet xmlns="http://schemas.openxmlformats.org/spreadsheetml/2006/main" xmlns:r="http://schemas.openxmlformats.org/officeDocument/2006/relationships">
  <dimension ref="A1:XFB567"/>
  <sheetViews>
    <sheetView showGridLines="0" topLeftCell="H1" workbookViewId="0">
      <pane ySplit="1" topLeftCell="A337" activePane="bottomLeft" state="frozen"/>
      <selection pane="bottomLeft" activeCell="S21" sqref="S21"/>
    </sheetView>
  </sheetViews>
  <sheetFormatPr defaultRowHeight="15" customHeight="1" outlineLevelRow="1"/>
  <cols>
    <col min="1" max="1" width="9.85546875" style="1" customWidth="1"/>
    <col min="2" max="2" width="27" style="6" bestFit="1" customWidth="1"/>
    <col min="3" max="3" width="18.5703125" style="1" customWidth="1"/>
    <col min="4" max="4" width="24" style="1" bestFit="1" customWidth="1"/>
    <col min="5" max="5" width="12" style="1" customWidth="1"/>
    <col min="6" max="6" width="23.140625" style="1" customWidth="1"/>
    <col min="7" max="7" width="8.42578125" style="1" customWidth="1"/>
    <col min="8" max="9" width="12.7109375" style="165" customWidth="1"/>
    <col min="10" max="10" width="11" style="165" customWidth="1"/>
    <col min="11" max="11" width="12" style="165" bestFit="1" customWidth="1"/>
    <col min="12" max="12" width="12.28515625" style="165" customWidth="1"/>
    <col min="13" max="13" width="10.42578125" style="165" customWidth="1"/>
    <col min="14" max="14" width="10.85546875" style="165" customWidth="1"/>
    <col min="15" max="15" width="10.140625" style="165" customWidth="1"/>
    <col min="16" max="16" width="9.85546875" style="165" customWidth="1"/>
    <col min="17" max="17" width="10.42578125" style="165" customWidth="1"/>
    <col min="18" max="18" width="9.85546875" style="165" customWidth="1"/>
    <col min="19" max="19" width="8.28515625" style="1" customWidth="1"/>
    <col min="20" max="24" width="10.140625" style="1" hidden="1" customWidth="1"/>
    <col min="25" max="25" width="10.140625" style="1" customWidth="1"/>
    <col min="26" max="26" width="10.140625" customWidth="1"/>
    <col min="27" max="28" width="10.140625" style="1" customWidth="1"/>
    <col min="29" max="16384" width="9.140625" style="1"/>
  </cols>
  <sheetData>
    <row r="1" spans="1:26">
      <c r="A1" s="3" t="s">
        <v>106</v>
      </c>
      <c r="B1" s="3" t="s">
        <v>0</v>
      </c>
      <c r="C1" s="3" t="s">
        <v>1</v>
      </c>
      <c r="D1" s="3" t="s">
        <v>2</v>
      </c>
      <c r="E1" s="3" t="s">
        <v>3</v>
      </c>
      <c r="F1" s="3" t="s">
        <v>329</v>
      </c>
      <c r="G1" s="3" t="s">
        <v>313</v>
      </c>
      <c r="H1" s="131">
        <v>2007</v>
      </c>
      <c r="I1" s="131">
        <v>2008</v>
      </c>
      <c r="J1" s="131">
        <v>2009</v>
      </c>
      <c r="K1" s="131">
        <v>2010</v>
      </c>
      <c r="L1" s="131">
        <v>2011</v>
      </c>
      <c r="M1" s="131">
        <v>2012</v>
      </c>
      <c r="N1" s="131">
        <v>2013</v>
      </c>
      <c r="O1" s="131">
        <v>2014</v>
      </c>
      <c r="P1" s="131">
        <v>2015</v>
      </c>
      <c r="Q1" s="131">
        <v>2016</v>
      </c>
      <c r="R1" s="131">
        <v>2017</v>
      </c>
      <c r="S1" s="3" t="s">
        <v>330</v>
      </c>
      <c r="T1" s="163" t="s">
        <v>331</v>
      </c>
      <c r="U1" s="163" t="s">
        <v>332</v>
      </c>
      <c r="V1" s="163" t="s">
        <v>333</v>
      </c>
      <c r="W1" s="163" t="s">
        <v>334</v>
      </c>
      <c r="X1" s="163" t="s">
        <v>335</v>
      </c>
    </row>
    <row r="2" spans="1:26">
      <c r="C2" s="164"/>
      <c r="G2" s="164"/>
    </row>
    <row r="3" spans="1:26">
      <c r="A3" s="122" t="str">
        <f>'[7]Input sheet'!A2</f>
        <v>Turkey</v>
      </c>
      <c r="B3" s="122" t="s">
        <v>336</v>
      </c>
      <c r="C3" s="123"/>
      <c r="D3" s="123"/>
      <c r="E3" s="123"/>
      <c r="F3" s="123"/>
      <c r="G3" s="123"/>
      <c r="H3" s="124"/>
      <c r="I3" s="124"/>
      <c r="J3" s="124"/>
      <c r="K3" s="124"/>
      <c r="L3" s="124"/>
      <c r="M3" s="124"/>
      <c r="N3" s="124"/>
      <c r="O3" s="124"/>
      <c r="P3" s="124"/>
      <c r="Q3" s="124"/>
      <c r="R3" s="124"/>
      <c r="S3" s="166"/>
    </row>
    <row r="4" spans="1:26">
      <c r="C4" s="164"/>
      <c r="G4" s="164"/>
    </row>
    <row r="5" spans="1:26" ht="11.25">
      <c r="A5" s="125" t="str">
        <f>'[7]Input sheet'!A3</f>
        <v>Turkey</v>
      </c>
      <c r="B5" s="125" t="str">
        <f>'[7]Input sheet'!B3</f>
        <v>Tourism Receipts &amp; Expenditure</v>
      </c>
      <c r="C5" s="134" t="str">
        <f>'[7]Input sheet'!C3</f>
        <v>Domestic Tourist Expenditure by Sector</v>
      </c>
      <c r="D5" s="135"/>
      <c r="E5" s="135"/>
      <c r="F5" s="135"/>
      <c r="G5" s="134" t="str">
        <f>'Tourism Medium DB-LCU'!F48</f>
        <v>Foriant Million</v>
      </c>
      <c r="H5" s="167">
        <f>'Tourism Medium DB-LCU'!G48</f>
        <v>124398.04478439735</v>
      </c>
      <c r="I5" s="167">
        <f>'Tourism Medium DB-LCU'!H48</f>
        <v>133159.4462424785</v>
      </c>
      <c r="J5" s="167">
        <f>'Tourism Medium DB-LCU'!I48</f>
        <v>140651.07996968244</v>
      </c>
      <c r="K5" s="167">
        <f>'Tourism Medium DB-LCU'!J48</f>
        <v>135928.08462116896</v>
      </c>
      <c r="L5" s="167">
        <f>'Tourism Medium DB-LCU'!K48</f>
        <v>142001.32699014113</v>
      </c>
      <c r="M5" s="167">
        <f>'Tourism Medium DB-LCU'!L48</f>
        <v>145699.39307754498</v>
      </c>
      <c r="N5" s="167">
        <f>N357*N$496/1000</f>
        <v>150692.53072623166</v>
      </c>
      <c r="O5" s="167">
        <f t="shared" ref="O5:Q5" si="0">O357*O$496/1000</f>
        <v>148144.6361860891</v>
      </c>
      <c r="P5" s="167">
        <f>P357*P$496/1000</f>
        <v>148043.0606268548</v>
      </c>
      <c r="Q5" s="167">
        <f t="shared" si="0"/>
        <v>150332.67883442971</v>
      </c>
      <c r="R5" s="167">
        <f>R357*R$496/1000</f>
        <v>151226.34808952539</v>
      </c>
      <c r="T5" s="1" t="str">
        <f>'[7]Input sheet'!S3</f>
        <v>Exists</v>
      </c>
      <c r="U5" s="1" t="e">
        <f>'[7]Input sheet'!T3</f>
        <v>#REF!</v>
      </c>
      <c r="V5" s="1" t="str">
        <f>'[7]Input sheet'!U3</f>
        <v>http://www.statssa.gov.za/publications/Report-04-05-07/Report-04-05-072009.pdf</v>
      </c>
      <c r="W5" s="1">
        <f>'[7]Input sheet'!W3</f>
        <v>0</v>
      </c>
      <c r="X5" s="1" t="e">
        <f>'[7]Input sheet'!X3</f>
        <v>#REF!</v>
      </c>
      <c r="Z5" s="1"/>
    </row>
    <row r="6" spans="1:26">
      <c r="C6" s="164" t="s">
        <v>184</v>
      </c>
      <c r="G6" s="164" t="s">
        <v>176</v>
      </c>
      <c r="J6" s="168">
        <f t="shared" ref="J6:R6" si="1">J5/I5-1</f>
        <v>5.6260625427669186E-2</v>
      </c>
      <c r="K6" s="168">
        <f t="shared" si="1"/>
        <v>-3.3579517125154834E-2</v>
      </c>
      <c r="L6" s="168">
        <f t="shared" si="1"/>
        <v>4.4679820111482194E-2</v>
      </c>
      <c r="M6" s="168">
        <f t="shared" si="1"/>
        <v>2.6042475558419209E-2</v>
      </c>
      <c r="N6" s="168">
        <f>N5/M5-1</f>
        <v>3.4270133479754383E-2</v>
      </c>
      <c r="O6" s="168">
        <f t="shared" si="1"/>
        <v>-1.6907901989989149E-2</v>
      </c>
      <c r="P6" s="168">
        <f t="shared" si="1"/>
        <v>-6.8565127870512388E-4</v>
      </c>
      <c r="Q6" s="168">
        <f t="shared" si="1"/>
        <v>1.54658934899079E-2</v>
      </c>
      <c r="R6" s="168">
        <f t="shared" si="1"/>
        <v>5.9446107261877934E-3</v>
      </c>
      <c r="Y6" s="754"/>
      <c r="Z6" s="1"/>
    </row>
    <row r="7" spans="1:26">
      <c r="A7" s="4" t="str">
        <f>'[7]Input sheet'!A4</f>
        <v>Turkey</v>
      </c>
      <c r="B7" s="129" t="str">
        <f>'[7]Input sheet'!B4</f>
        <v>Tourism Receipts &amp; Expenditure</v>
      </c>
      <c r="C7" s="4" t="str">
        <f>'[7]Input sheet'!C4</f>
        <v>Domestic Tourist Expenditure by Sector</v>
      </c>
      <c r="D7" s="2" t="str">
        <f>'[7]Input sheet'!D4</f>
        <v>Accommodation</v>
      </c>
      <c r="G7" s="1" t="str">
        <f>$G5</f>
        <v>Foriant Million</v>
      </c>
      <c r="H7" s="169">
        <f>'Tourism Medium DB-LCU'!G49</f>
        <v>11924.768964397977</v>
      </c>
      <c r="I7" s="169">
        <f>'Tourism Medium DB-LCU'!H49</f>
        <v>12722.87496818482</v>
      </c>
      <c r="J7" s="169">
        <f>'Tourism Medium DB-LCU'!I49</f>
        <v>13375.259574079366</v>
      </c>
      <c r="K7" s="169">
        <f>'Tourism Medium DB-LCU'!J49</f>
        <v>12849.285473593936</v>
      </c>
      <c r="L7" s="169">
        <f>'Tourism Medium DB-LCU'!K49</f>
        <v>13383.199448980118</v>
      </c>
      <c r="M7" s="169">
        <f>'Tourism Medium DB-LCU'!L49</f>
        <v>13649.340706962494</v>
      </c>
      <c r="N7" s="169">
        <f>N359*N$496/1000</f>
        <v>13957.26796129787</v>
      </c>
      <c r="O7" s="169">
        <f t="shared" ref="O7:Q19" si="2">O359*O$496/1000</f>
        <v>13689.066778068283</v>
      </c>
      <c r="P7" s="169">
        <f t="shared" si="2"/>
        <v>13706.685611199377</v>
      </c>
      <c r="Q7" s="169">
        <f t="shared" si="2"/>
        <v>13850.09629403687</v>
      </c>
      <c r="R7" s="169">
        <f>R359*R$496/1000</f>
        <v>13858.722554297343</v>
      </c>
      <c r="T7" s="1" t="str">
        <f>'[7]Input sheet'!S4</f>
        <v>Exists</v>
      </c>
      <c r="U7" s="1" t="e">
        <f>'[7]Input sheet'!T4</f>
        <v>#REF!</v>
      </c>
      <c r="V7" s="1">
        <f>'[7]Input sheet'!U4</f>
        <v>0</v>
      </c>
      <c r="W7" s="1" t="e">
        <f>'[7]Input sheet'!W4</f>
        <v>#REF!</v>
      </c>
      <c r="X7" s="1" t="e">
        <f>'[7]Input sheet'!X4</f>
        <v>#REF!</v>
      </c>
      <c r="Y7" s="752"/>
      <c r="Z7" s="1"/>
    </row>
    <row r="8" spans="1:26">
      <c r="C8" s="164" t="s">
        <v>184</v>
      </c>
      <c r="G8" s="164" t="s">
        <v>176</v>
      </c>
      <c r="J8" s="170">
        <f t="shared" ref="J8:R8" si="3">J7/I7-1</f>
        <v>5.1276508456297609E-2</v>
      </c>
      <c r="K8" s="170">
        <f t="shared" si="3"/>
        <v>-3.9324403206704384E-2</v>
      </c>
      <c r="L8" s="170">
        <f t="shared" si="3"/>
        <v>4.1552036218932775E-2</v>
      </c>
      <c r="M8" s="170">
        <f t="shared" si="3"/>
        <v>1.9886220705068958E-2</v>
      </c>
      <c r="N8" s="170">
        <f t="shared" si="3"/>
        <v>2.2559862849514944E-2</v>
      </c>
      <c r="O8" s="170">
        <f t="shared" si="3"/>
        <v>-1.9215879782009115E-2</v>
      </c>
      <c r="P8" s="170">
        <f t="shared" si="3"/>
        <v>1.2870733569159132E-3</v>
      </c>
      <c r="Q8" s="170">
        <f t="shared" si="3"/>
        <v>1.0462827185611978E-2</v>
      </c>
      <c r="R8" s="170">
        <f t="shared" si="3"/>
        <v>6.2283034553245464E-4</v>
      </c>
      <c r="Y8" s="751"/>
      <c r="Z8" s="1"/>
    </row>
    <row r="9" spans="1:26">
      <c r="A9" s="4" t="str">
        <f>'[7]Input sheet'!A5</f>
        <v>Turkey</v>
      </c>
      <c r="B9" s="129" t="str">
        <f>'[7]Input sheet'!B5</f>
        <v>Tourism Receipts &amp; Expenditure</v>
      </c>
      <c r="C9" s="4" t="str">
        <f>'[7]Input sheet'!C5</f>
        <v>Domestic Tourist Expenditure by Sector</v>
      </c>
      <c r="D9" s="2" t="str">
        <f>'[7]Input sheet'!D5</f>
        <v>Entertainment &amp; Sightseeing</v>
      </c>
      <c r="G9" s="1" t="str">
        <f>$G7</f>
        <v>Foriant Million</v>
      </c>
      <c r="H9" s="169">
        <f>'Tourism Medium DB-LCU'!G50</f>
        <v>6068.6658455180432</v>
      </c>
      <c r="I9" s="169">
        <f>'Tourism Medium DB-LCU'!H50</f>
        <v>6511.7009878652771</v>
      </c>
      <c r="J9" s="169">
        <f>'Tourism Medium DB-LCU'!I50</f>
        <v>6890.4481838894299</v>
      </c>
      <c r="K9" s="169">
        <f>'Tourism Medium DB-LCU'!J50</f>
        <v>6642.1466571200399</v>
      </c>
      <c r="L9" s="169">
        <f>'Tourism Medium DB-LCU'!K50</f>
        <v>6958.5922583577812</v>
      </c>
      <c r="M9" s="169">
        <f>'Tourism Medium DB-LCU'!L50</f>
        <v>7161.2306608485706</v>
      </c>
      <c r="N9" s="169">
        <f>N361*N$496/1000</f>
        <v>7416.2193812616069</v>
      </c>
      <c r="O9" s="169">
        <f>O361*O$496/1000</f>
        <v>7284.6275691590554</v>
      </c>
      <c r="P9" s="169">
        <f t="shared" si="2"/>
        <v>7235.7927904577837</v>
      </c>
      <c r="Q9" s="169">
        <f t="shared" si="2"/>
        <v>7353.5327133460069</v>
      </c>
      <c r="R9" s="169">
        <f>R361*R$496/1000</f>
        <v>7403.7842967278475</v>
      </c>
      <c r="T9" s="1" t="str">
        <f>'[7]Input sheet'!S5</f>
        <v>New</v>
      </c>
      <c r="U9" s="1" t="e">
        <f>'[7]Input sheet'!T5</f>
        <v>#REF!</v>
      </c>
      <c r="V9" s="1">
        <f>'[7]Input sheet'!U5</f>
        <v>0</v>
      </c>
      <c r="W9" s="1" t="e">
        <f>'[7]Input sheet'!W5</f>
        <v>#REF!</v>
      </c>
      <c r="X9" s="1" t="e">
        <f>'[7]Input sheet'!X5</f>
        <v>#REF!</v>
      </c>
      <c r="Y9" s="751"/>
      <c r="Z9" s="1"/>
    </row>
    <row r="10" spans="1:26">
      <c r="C10" s="164" t="s">
        <v>184</v>
      </c>
      <c r="G10" s="164" t="s">
        <v>176</v>
      </c>
      <c r="J10" s="170">
        <f t="shared" ref="J10:R10" si="4">J9/I9-1</f>
        <v>5.8164095177275277E-2</v>
      </c>
      <c r="K10" s="170">
        <f t="shared" si="4"/>
        <v>-3.6035613379974962E-2</v>
      </c>
      <c r="L10" s="170">
        <f t="shared" si="4"/>
        <v>4.7642067779176234E-2</v>
      </c>
      <c r="M10" s="170">
        <f t="shared" si="4"/>
        <v>2.9120602985094557E-2</v>
      </c>
      <c r="N10" s="170">
        <f t="shared" si="4"/>
        <v>3.5606829676230856E-2</v>
      </c>
      <c r="O10" s="170">
        <f t="shared" si="4"/>
        <v>-1.7743786333376477E-2</v>
      </c>
      <c r="P10" s="170">
        <f t="shared" si="4"/>
        <v>-6.7038126846763468E-3</v>
      </c>
      <c r="Q10" s="170">
        <f t="shared" si="4"/>
        <v>1.6271875977915462E-2</v>
      </c>
      <c r="R10" s="170">
        <f t="shared" si="4"/>
        <v>6.8336655782652578E-3</v>
      </c>
      <c r="Y10" s="752"/>
      <c r="Z10" s="1"/>
    </row>
    <row r="11" spans="1:26" ht="10.5" customHeight="1">
      <c r="A11" s="4" t="str">
        <f>'[7]Input sheet'!A6</f>
        <v>Turkey</v>
      </c>
      <c r="B11" s="129" t="str">
        <f>'[7]Input sheet'!B6</f>
        <v>Tourism Receipts &amp; Expenditure</v>
      </c>
      <c r="C11" s="4" t="str">
        <f>'[7]Input sheet'!C6</f>
        <v>Domestic Tourist Expenditure by Sector</v>
      </c>
      <c r="D11" s="2" t="str">
        <f>'[7]Input sheet'!D6</f>
        <v>Foodservice</v>
      </c>
      <c r="G11" s="1" t="str">
        <f>$G9</f>
        <v>Foriant Million</v>
      </c>
      <c r="H11" s="169">
        <f>'Tourism Medium DB-LCU'!G51</f>
        <v>19934.84104654409</v>
      </c>
      <c r="I11" s="169">
        <f>'Tourism Medium DB-LCU'!H51</f>
        <v>21276.812342395944</v>
      </c>
      <c r="J11" s="169">
        <f>'Tourism Medium DB-LCU'!I51</f>
        <v>22546.950688386038</v>
      </c>
      <c r="K11" s="169">
        <f>'Tourism Medium DB-LCU'!J51</f>
        <v>21831.403272186606</v>
      </c>
      <c r="L11" s="169">
        <f>'Tourism Medium DB-LCU'!K51</f>
        <v>22709.592401213889</v>
      </c>
      <c r="M11" s="169">
        <f>'Tourism Medium DB-LCU'!L51</f>
        <v>23534.016470326806</v>
      </c>
      <c r="N11" s="169">
        <f>N363*N$496/1000</f>
        <v>24300.202749514145</v>
      </c>
      <c r="O11" s="169">
        <f t="shared" si="2"/>
        <v>23803.7783501675</v>
      </c>
      <c r="P11" s="169">
        <f t="shared" si="2"/>
        <v>23986.589900645966</v>
      </c>
      <c r="Q11" s="169">
        <f t="shared" si="2"/>
        <v>24517.211112105859</v>
      </c>
      <c r="R11" s="169">
        <f>R363*R$496/1000</f>
        <v>24637.818808421511</v>
      </c>
      <c r="T11" s="1" t="str">
        <f>'[7]Input sheet'!S6</f>
        <v>Exists</v>
      </c>
      <c r="U11" s="1" t="e">
        <f>'[7]Input sheet'!T6</f>
        <v>#REF!</v>
      </c>
      <c r="V11" s="1">
        <f>'[7]Input sheet'!U6</f>
        <v>0</v>
      </c>
      <c r="W11" s="1" t="e">
        <f>'[7]Input sheet'!W6</f>
        <v>#REF!</v>
      </c>
      <c r="X11" s="1" t="e">
        <f>'[7]Input sheet'!X6</f>
        <v>#REF!</v>
      </c>
      <c r="Y11" s="751"/>
      <c r="Z11" s="1"/>
    </row>
    <row r="12" spans="1:26">
      <c r="C12" s="164" t="s">
        <v>184</v>
      </c>
      <c r="G12" s="164" t="s">
        <v>176</v>
      </c>
      <c r="J12" s="170">
        <f t="shared" ref="J12:R12" si="5">J11/I11-1</f>
        <v>5.9695894551799356E-2</v>
      </c>
      <c r="K12" s="170">
        <f t="shared" si="5"/>
        <v>-3.1735884203978437E-2</v>
      </c>
      <c r="L12" s="170">
        <f t="shared" si="5"/>
        <v>4.0225958820801155E-2</v>
      </c>
      <c r="M12" s="170">
        <f t="shared" si="5"/>
        <v>3.6302900314003406E-2</v>
      </c>
      <c r="N12" s="170">
        <f t="shared" si="5"/>
        <v>3.2556545549859539E-2</v>
      </c>
      <c r="O12" s="170">
        <f t="shared" si="5"/>
        <v>-2.0428817177526204E-2</v>
      </c>
      <c r="P12" s="170">
        <f t="shared" si="5"/>
        <v>7.6799383605914429E-3</v>
      </c>
      <c r="Q12" s="170">
        <f t="shared" si="5"/>
        <v>2.2121577667261638E-2</v>
      </c>
      <c r="R12" s="170">
        <f t="shared" si="5"/>
        <v>4.9193073292133072E-3</v>
      </c>
      <c r="Y12" s="752"/>
      <c r="Z12" s="1"/>
    </row>
    <row r="13" spans="1:26">
      <c r="A13" s="4" t="str">
        <f>'[7]Input sheet'!A7</f>
        <v>Turkey</v>
      </c>
      <c r="B13" s="129" t="str">
        <f>'[7]Input sheet'!B7</f>
        <v>Tourism Receipts &amp; Expenditure</v>
      </c>
      <c r="C13" s="4" t="str">
        <f>'[7]Input sheet'!C7</f>
        <v>Domestic Tourist Expenditure by Sector</v>
      </c>
      <c r="D13" s="2" t="str">
        <f>'[7]Input sheet'!D7</f>
        <v>Retail</v>
      </c>
      <c r="G13" s="1" t="str">
        <f>$G11</f>
        <v>Foriant Million</v>
      </c>
      <c r="H13" s="169">
        <f>'Tourism Medium DB-LCU'!G52</f>
        <v>21217.769986743206</v>
      </c>
      <c r="I13" s="169">
        <f>'Tourism Medium DB-LCU'!H52</f>
        <v>22569.614678936498</v>
      </c>
      <c r="J13" s="169">
        <f>'Tourism Medium DB-LCU'!I52</f>
        <v>23734.832515611179</v>
      </c>
      <c r="K13" s="169">
        <f>'Tourism Medium DB-LCU'!J52</f>
        <v>22914.844596733234</v>
      </c>
      <c r="L13" s="169">
        <f>'Tourism Medium DB-LCU'!K52</f>
        <v>23795.187165376479</v>
      </c>
      <c r="M13" s="169">
        <f>'Tourism Medium DB-LCU'!L52</f>
        <v>24341.628127302192</v>
      </c>
      <c r="N13" s="169">
        <f>N365*N$496/1000</f>
        <v>25151.336742048399</v>
      </c>
      <c r="O13" s="169">
        <f t="shared" si="2"/>
        <v>24826.500499556034</v>
      </c>
      <c r="P13" s="169">
        <f t="shared" si="2"/>
        <v>24835.811831777963</v>
      </c>
      <c r="Q13" s="169">
        <f t="shared" si="2"/>
        <v>25106.584214527473</v>
      </c>
      <c r="R13" s="169">
        <f>R365*R$496/1000</f>
        <v>25326.69683739428</v>
      </c>
      <c r="T13" s="1" t="str">
        <f>'[7]Input sheet'!S7</f>
        <v>Exists</v>
      </c>
      <c r="U13" s="1" t="e">
        <f>'[7]Input sheet'!T7</f>
        <v>#REF!</v>
      </c>
      <c r="V13" s="1">
        <f>'[7]Input sheet'!U7</f>
        <v>0</v>
      </c>
      <c r="W13" s="1" t="e">
        <f>'[7]Input sheet'!W7</f>
        <v>#REF!</v>
      </c>
      <c r="X13" s="1" t="e">
        <f>'[7]Input sheet'!X7</f>
        <v>#REF!</v>
      </c>
      <c r="Y13" s="752"/>
      <c r="Z13" s="1"/>
    </row>
    <row r="14" spans="1:26">
      <c r="C14" s="164" t="s">
        <v>184</v>
      </c>
      <c r="G14" s="164" t="s">
        <v>176</v>
      </c>
      <c r="J14" s="170">
        <f t="shared" ref="J14:R14" si="6">J13/I13-1</f>
        <v>5.1627723966512384E-2</v>
      </c>
      <c r="K14" s="170">
        <f t="shared" si="6"/>
        <v>-3.4547870448995655E-2</v>
      </c>
      <c r="L14" s="170">
        <f t="shared" si="6"/>
        <v>3.8418003007916868E-2</v>
      </c>
      <c r="M14" s="170">
        <f t="shared" si="6"/>
        <v>2.2964348131744083E-2</v>
      </c>
      <c r="N14" s="170">
        <f t="shared" si="6"/>
        <v>3.3264357277647205E-2</v>
      </c>
      <c r="O14" s="170">
        <f t="shared" si="6"/>
        <v>-1.2915267519332252E-2</v>
      </c>
      <c r="P14" s="170">
        <f t="shared" si="6"/>
        <v>3.7505617121080803E-4</v>
      </c>
      <c r="Q14" s="170">
        <f t="shared" si="6"/>
        <v>1.0902497755400642E-2</v>
      </c>
      <c r="R14" s="170">
        <f t="shared" si="6"/>
        <v>8.7671274190872506E-3</v>
      </c>
      <c r="Y14" s="752"/>
      <c r="Z14" s="1"/>
    </row>
    <row r="15" spans="1:26">
      <c r="A15" s="4" t="str">
        <f>'[7]Input sheet'!A8</f>
        <v>Turkey</v>
      </c>
      <c r="B15" s="129" t="str">
        <f>'[7]Input sheet'!B8</f>
        <v>Tourism Receipts &amp; Expenditure</v>
      </c>
      <c r="C15" s="4" t="str">
        <f>'[7]Input sheet'!C8</f>
        <v>Domestic Tourist Expenditure by Sector</v>
      </c>
      <c r="D15" s="2" t="str">
        <f>'[7]Input sheet'!D8</f>
        <v>Transportation</v>
      </c>
      <c r="G15" s="1" t="str">
        <f>$G13</f>
        <v>Foriant Million</v>
      </c>
      <c r="H15" s="169">
        <f>'Tourism Medium DB-LCU'!G53</f>
        <v>39054.858307642098</v>
      </c>
      <c r="I15" s="169">
        <f>'Tourism Medium DB-LCU'!H53</f>
        <v>42145.490320675912</v>
      </c>
      <c r="J15" s="169">
        <f>'Tourism Medium DB-LCU'!I53</f>
        <v>44434.320124807666</v>
      </c>
      <c r="K15" s="169">
        <f>'Tourism Medium DB-LCU'!J53</f>
        <v>42976.509106183701</v>
      </c>
      <c r="L15" s="169">
        <f>'Tourism Medium DB-LCU'!K53</f>
        <v>45029.166860420803</v>
      </c>
      <c r="M15" s="169">
        <f>'Tourism Medium DB-LCU'!L53</f>
        <v>45924.626810772505</v>
      </c>
      <c r="N15" s="169">
        <f>N367*N$496/1000</f>
        <v>47485.633496081144</v>
      </c>
      <c r="O15" s="169">
        <f t="shared" si="2"/>
        <v>46510.526480949593</v>
      </c>
      <c r="P15" s="169">
        <f>P367*P$496/1000</f>
        <v>46491.617765070951</v>
      </c>
      <c r="Q15" s="169">
        <f t="shared" si="2"/>
        <v>47101.140504191688</v>
      </c>
      <c r="R15" s="169">
        <f>R367*R$496/1000</f>
        <v>47311.10856063848</v>
      </c>
      <c r="T15" s="1" t="str">
        <f>'[7]Input sheet'!S8</f>
        <v>Exists</v>
      </c>
      <c r="U15" s="1" t="e">
        <f>'[7]Input sheet'!T8</f>
        <v>#REF!</v>
      </c>
      <c r="V15" s="1">
        <f>'[7]Input sheet'!U8</f>
        <v>0</v>
      </c>
      <c r="W15" s="1" t="e">
        <f>'[7]Input sheet'!W8</f>
        <v>#REF!</v>
      </c>
      <c r="X15" s="1" t="e">
        <f>'[7]Input sheet'!X8</f>
        <v>#REF!</v>
      </c>
      <c r="Y15" s="752"/>
      <c r="Z15" s="1"/>
    </row>
    <row r="16" spans="1:26" ht="11.25">
      <c r="C16" s="164" t="s">
        <v>184</v>
      </c>
      <c r="G16" s="164" t="s">
        <v>176</v>
      </c>
      <c r="J16" s="170">
        <f t="shared" ref="J16:R16" si="7">J15/I15-1</f>
        <v>5.430782241982568E-2</v>
      </c>
      <c r="K16" s="170">
        <f t="shared" si="7"/>
        <v>-3.2808221539774807E-2</v>
      </c>
      <c r="L16" s="170">
        <f t="shared" si="7"/>
        <v>4.7762319390938002E-2</v>
      </c>
      <c r="M16" s="170">
        <f t="shared" si="7"/>
        <v>1.9886220705068958E-2</v>
      </c>
      <c r="N16" s="170">
        <f t="shared" si="7"/>
        <v>3.3990623195276015E-2</v>
      </c>
      <c r="O16" s="170">
        <f t="shared" si="7"/>
        <v>-2.0534779539416403E-2</v>
      </c>
      <c r="P16" s="170">
        <f t="shared" si="7"/>
        <v>-4.0654701869236032E-4</v>
      </c>
      <c r="Q16" s="170">
        <f t="shared" si="7"/>
        <v>1.3110379212888379E-2</v>
      </c>
      <c r="R16" s="170">
        <f t="shared" si="7"/>
        <v>4.4578125752201547E-3</v>
      </c>
      <c r="Z16" s="1"/>
    </row>
    <row r="17" spans="1:28" ht="11.25">
      <c r="A17" s="4" t="str">
        <f>'[7]Input sheet'!A9</f>
        <v>Turkey</v>
      </c>
      <c r="B17" s="129" t="str">
        <f>'[7]Input sheet'!B9</f>
        <v>Tourism Receipts &amp; Expenditure</v>
      </c>
      <c r="C17" s="4" t="str">
        <f>'[7]Input sheet'!C9</f>
        <v>Domestic Tourist Expenditure by Sector</v>
      </c>
      <c r="D17" s="2" t="str">
        <f>'[7]Input sheet'!D9</f>
        <v>Travel Intermediation</v>
      </c>
      <c r="G17" s="1" t="str">
        <f>$G15</f>
        <v>Foriant Million</v>
      </c>
      <c r="H17" s="169">
        <f>'Tourism Medium DB-LCU'!G54</f>
        <v>3946.7690933193126</v>
      </c>
      <c r="I17" s="169">
        <f>'Tourism Medium DB-LCU'!H54</f>
        <v>4181.9206046207946</v>
      </c>
      <c r="J17" s="169">
        <f>'Tourism Medium DB-LCU'!I54</f>
        <v>4391.0815549868748</v>
      </c>
      <c r="K17" s="169">
        <f>'Tourism Medium DB-LCU'!J54</f>
        <v>4220.8183169876938</v>
      </c>
      <c r="L17" s="169">
        <f>'Tourism Medium DB-LCU'!K54</f>
        <v>4444.6789498748658</v>
      </c>
      <c r="M17" s="169">
        <f>'Tourism Medium DB-LCU'!L54</f>
        <v>4615.1545455055066</v>
      </c>
      <c r="N17" s="169">
        <f>N369*N$496/1000</f>
        <v>4768.6861055273757</v>
      </c>
      <c r="O17" s="169">
        <f t="shared" si="2"/>
        <v>4752.9786484217921</v>
      </c>
      <c r="P17" s="169">
        <f t="shared" si="2"/>
        <v>4701.4792397191113</v>
      </c>
      <c r="Q17" s="169">
        <f t="shared" si="2"/>
        <v>4824.6550164705468</v>
      </c>
      <c r="R17" s="169">
        <f>R369*R$496/1000</f>
        <v>4871.0788018881212</v>
      </c>
      <c r="T17" s="1" t="str">
        <f>'[7]Input sheet'!S9</f>
        <v>New</v>
      </c>
      <c r="U17" s="1" t="e">
        <f>'[7]Input sheet'!T9</f>
        <v>#REF!</v>
      </c>
      <c r="V17" s="1">
        <f>'[7]Input sheet'!U9</f>
        <v>0</v>
      </c>
      <c r="W17" s="1" t="e">
        <f>'[7]Input sheet'!W9</f>
        <v>#REF!</v>
      </c>
      <c r="X17" s="1" t="e">
        <f>'[7]Input sheet'!X9</f>
        <v>#REF!</v>
      </c>
      <c r="Z17" s="1"/>
    </row>
    <row r="18" spans="1:28" ht="11.25">
      <c r="C18" s="164" t="s">
        <v>184</v>
      </c>
      <c r="G18" s="164" t="s">
        <v>176</v>
      </c>
      <c r="J18" s="177">
        <f t="shared" ref="J18:R18" si="8">J17/I17-1</f>
        <v>5.0015523999898281E-2</v>
      </c>
      <c r="K18" s="170">
        <f t="shared" si="8"/>
        <v>-3.8774783812843605E-2</v>
      </c>
      <c r="L18" s="170">
        <f t="shared" si="8"/>
        <v>5.303725867237441E-2</v>
      </c>
      <c r="M18" s="170">
        <f t="shared" si="8"/>
        <v>3.8354985265120378E-2</v>
      </c>
      <c r="N18" s="170">
        <f t="shared" si="8"/>
        <v>3.3266829638757489E-2</v>
      </c>
      <c r="O18" s="170">
        <f t="shared" si="8"/>
        <v>-3.2938752431990181E-3</v>
      </c>
      <c r="P18" s="170">
        <f t="shared" si="8"/>
        <v>-1.0835186208922098E-2</v>
      </c>
      <c r="Q18" s="170">
        <f t="shared" si="8"/>
        <v>2.6199366299614724E-2</v>
      </c>
      <c r="R18" s="170">
        <f t="shared" si="8"/>
        <v>9.6221979103359168E-3</v>
      </c>
      <c r="Z18" s="1"/>
    </row>
    <row r="19" spans="1:28" ht="11.25">
      <c r="A19" s="4" t="str">
        <f>'[7]Input sheet'!A10</f>
        <v>Turkey</v>
      </c>
      <c r="B19" s="129" t="str">
        <f>'[7]Input sheet'!B10</f>
        <v>Tourism Receipts &amp; Expenditure</v>
      </c>
      <c r="C19" s="4" t="str">
        <f>'[7]Input sheet'!C10</f>
        <v>Domestic Tourist Expenditure by Sector</v>
      </c>
      <c r="D19" s="2" t="str">
        <f>'[7]Input sheet'!D10</f>
        <v>Other Sectors</v>
      </c>
      <c r="G19" s="1" t="str">
        <f>$G17</f>
        <v>Foriant Million</v>
      </c>
      <c r="H19" s="169">
        <f>'Tourism Medium DB-LCU'!G55</f>
        <v>22250.37154023262</v>
      </c>
      <c r="I19" s="169">
        <f>'Tourism Medium DB-LCU'!H55</f>
        <v>23751.032339799247</v>
      </c>
      <c r="J19" s="169">
        <f>'Tourism Medium DB-LCU'!I55</f>
        <v>25278.187327921885</v>
      </c>
      <c r="K19" s="169">
        <f>'Tourism Medium DB-LCU'!J55</f>
        <v>24493.077198363753</v>
      </c>
      <c r="L19" s="169">
        <f>'Tourism Medium DB-LCU'!K55</f>
        <v>25680.909905917171</v>
      </c>
      <c r="M19" s="169">
        <f>'Tourism Medium DB-LCU'!L55</f>
        <v>26473.395755826918</v>
      </c>
      <c r="N19" s="169">
        <f>N371*N$496/1000</f>
        <v>27613.184290501151</v>
      </c>
      <c r="O19" s="169">
        <f t="shared" si="2"/>
        <v>27277.157859766852</v>
      </c>
      <c r="P19" s="169">
        <f t="shared" si="2"/>
        <v>27085.083487983655</v>
      </c>
      <c r="Q19" s="169">
        <f t="shared" si="2"/>
        <v>27579.458979751267</v>
      </c>
      <c r="R19" s="169">
        <f>R371*R$496/1000</f>
        <v>27817.138230157823</v>
      </c>
      <c r="T19" s="1" t="str">
        <f>'[7]Input sheet'!S10</f>
        <v>New</v>
      </c>
      <c r="U19" s="1" t="e">
        <f>'[7]Input sheet'!T10</f>
        <v>#REF!</v>
      </c>
      <c r="V19" s="1">
        <f>'[7]Input sheet'!U10</f>
        <v>0</v>
      </c>
      <c r="W19" s="1" t="e">
        <f>'[7]Input sheet'!W10</f>
        <v>#REF!</v>
      </c>
      <c r="X19" s="1" t="e">
        <f>'[7]Input sheet'!X10</f>
        <v>#REF!</v>
      </c>
      <c r="Z19" s="1"/>
    </row>
    <row r="20" spans="1:28" ht="11.25">
      <c r="C20" s="164" t="s">
        <v>184</v>
      </c>
      <c r="G20" s="164" t="s">
        <v>176</v>
      </c>
      <c r="J20" s="170">
        <f t="shared" ref="J20:R20" si="9">J19/I19-1</f>
        <v>6.4298467800222969E-2</v>
      </c>
      <c r="K20" s="170">
        <f t="shared" si="9"/>
        <v>-3.1058798614523764E-2</v>
      </c>
      <c r="L20" s="170">
        <f t="shared" si="9"/>
        <v>4.8496671036204919E-2</v>
      </c>
      <c r="M20" s="170">
        <f t="shared" si="9"/>
        <v>3.0858947475500109E-2</v>
      </c>
      <c r="N20" s="170">
        <f t="shared" si="9"/>
        <v>4.3054111576274146E-2</v>
      </c>
      <c r="O20" s="170">
        <f t="shared" si="9"/>
        <v>-1.2169057621141177E-2</v>
      </c>
      <c r="P20" s="170">
        <f t="shared" si="9"/>
        <v>-7.0415830260125434E-3</v>
      </c>
      <c r="Q20" s="170">
        <f t="shared" si="9"/>
        <v>1.8252684802944952E-2</v>
      </c>
      <c r="R20" s="170">
        <f t="shared" si="9"/>
        <v>8.6179808886410747E-3</v>
      </c>
      <c r="Z20" s="1"/>
    </row>
    <row r="21" spans="1:28" ht="14.25" customHeight="1">
      <c r="A21" s="125" t="str">
        <f>'[7]Input sheet'!A11</f>
        <v>Turkey</v>
      </c>
      <c r="B21" s="125" t="str">
        <f>'[7]Input sheet'!B11</f>
        <v>Tourism Receipts &amp; Expenditure</v>
      </c>
      <c r="C21" s="134" t="str">
        <f>'[7]Input sheet'!C11</f>
        <v>Inbound Tourist Expenditure by Sector</v>
      </c>
      <c r="D21" s="134"/>
      <c r="E21" s="134"/>
      <c r="F21" s="134"/>
      <c r="G21" s="134" t="str">
        <f>$G5</f>
        <v>Foriant Million</v>
      </c>
      <c r="H21" s="167">
        <f>'Tourism Medium DB-LCU'!G56</f>
        <v>75814</v>
      </c>
      <c r="I21" s="167">
        <f>'Tourism Medium DB-LCU'!H56</f>
        <v>81540</v>
      </c>
      <c r="J21" s="167">
        <f>'Tourism Medium DB-LCU'!I56</f>
        <v>88860</v>
      </c>
      <c r="K21" s="167">
        <f>'Tourism Medium DB-LCU'!J56</f>
        <v>90381</v>
      </c>
      <c r="L21" s="167">
        <f>'Tourism Medium DB-LCU'!K56</f>
        <v>98797</v>
      </c>
      <c r="M21" s="167">
        <f>'Tourism Medium DB-LCU'!L56</f>
        <v>112069.08825269554</v>
      </c>
      <c r="N21" s="167">
        <f>N$500*N395/1000</f>
        <v>121355.6051476904</v>
      </c>
      <c r="O21" s="167">
        <f>O$500*O395/1000</f>
        <v>130028.25406223479</v>
      </c>
      <c r="P21" s="167">
        <f>P$500*P395/1000</f>
        <v>139488.68337824085</v>
      </c>
      <c r="Q21" s="167">
        <f>Q$500*Q395/1000</f>
        <v>148931.38434316029</v>
      </c>
      <c r="R21" s="167">
        <f>R$500*R395/1000</f>
        <v>157772.63893860756</v>
      </c>
      <c r="T21" s="1" t="str">
        <f>'[7]Input sheet'!S11</f>
        <v>Exists</v>
      </c>
      <c r="U21" s="1" t="e">
        <f>'[7]Input sheet'!T11</f>
        <v>#REF!</v>
      </c>
      <c r="V21" s="166" t="str">
        <f>'[7]Input sheet'!U11</f>
        <v>http://www.statssa.gov.za/publications/Report-04-05-07/Report-04-05-072009.pdf</v>
      </c>
      <c r="W21" s="1">
        <f>'[7]Input sheet'!W11</f>
        <v>0</v>
      </c>
      <c r="X21" s="1" t="e">
        <f>'[7]Input sheet'!X11</f>
        <v>#REF!</v>
      </c>
      <c r="Y21" s="752"/>
      <c r="Z21" s="752"/>
    </row>
    <row r="22" spans="1:28">
      <c r="C22" s="164" t="s">
        <v>184</v>
      </c>
      <c r="G22" s="164" t="s">
        <v>176</v>
      </c>
      <c r="J22" s="170">
        <f t="shared" ref="J22:R22" si="10">J21/I21-1</f>
        <v>8.9771891096394496E-2</v>
      </c>
      <c r="K22" s="170">
        <f t="shared" si="10"/>
        <v>1.7116812964213413E-2</v>
      </c>
      <c r="L22" s="170">
        <f t="shared" si="10"/>
        <v>9.3116916166008368E-2</v>
      </c>
      <c r="M22" s="170">
        <f t="shared" si="10"/>
        <v>0.13433695610894603</v>
      </c>
      <c r="N22" s="170">
        <f t="shared" si="10"/>
        <v>8.2864213850436963E-2</v>
      </c>
      <c r="O22" s="170">
        <f t="shared" si="10"/>
        <v>7.1464757676332535E-2</v>
      </c>
      <c r="P22" s="170">
        <f t="shared" si="10"/>
        <v>7.2756720331552449E-2</v>
      </c>
      <c r="Q22" s="170">
        <f t="shared" si="10"/>
        <v>6.7695104263866268E-2</v>
      </c>
      <c r="R22" s="170">
        <f t="shared" si="10"/>
        <v>5.9364617031126832E-2</v>
      </c>
      <c r="Y22" s="752"/>
      <c r="Z22" s="752"/>
    </row>
    <row r="23" spans="1:28">
      <c r="A23" s="4" t="str">
        <f>'[7]Input sheet'!A12</f>
        <v>Turkey</v>
      </c>
      <c r="B23" s="129" t="str">
        <f>'[7]Input sheet'!B12</f>
        <v>Tourism Receipts &amp; Expenditure</v>
      </c>
      <c r="C23" s="4" t="str">
        <f>'[7]Input sheet'!C12</f>
        <v>Inbound Tourist Expenditure by Sector</v>
      </c>
      <c r="D23" s="2" t="str">
        <f>'[7]Input sheet'!D12</f>
        <v>Accommodation</v>
      </c>
      <c r="G23" s="1" t="str">
        <f>$G7</f>
        <v>Foriant Million</v>
      </c>
      <c r="H23" s="169">
        <f>'Tourism Medium DB-LCU'!G57</f>
        <v>9681.8291363400058</v>
      </c>
      <c r="I23" s="169">
        <f>'Tourism Medium DB-LCU'!H57</f>
        <v>10463.44339661461</v>
      </c>
      <c r="J23" s="169">
        <f>'Tourism Medium DB-LCU'!I57</f>
        <v>11447.113223005079</v>
      </c>
      <c r="K23" s="169">
        <f>'Tourism Medium DB-LCU'!J57</f>
        <v>11667.504055403646</v>
      </c>
      <c r="L23" s="169">
        <f>'Tourism Medium DB-LCU'!K57</f>
        <v>12779.453944502024</v>
      </c>
      <c r="M23" s="169">
        <f>'Tourism Medium DB-LCU'!L57</f>
        <v>14409.229646812046</v>
      </c>
      <c r="N23" s="169">
        <f>N$500*N397/1000</f>
        <v>15722.795425678156</v>
      </c>
      <c r="O23" s="169">
        <f t="shared" ref="O23:R23" si="11">O$500*O397/1000</f>
        <v>16811.373953694383</v>
      </c>
      <c r="P23" s="169">
        <f t="shared" si="11"/>
        <v>17982.973295003616</v>
      </c>
      <c r="Q23" s="169">
        <f t="shared" si="11"/>
        <v>19147.815115577243</v>
      </c>
      <c r="R23" s="169">
        <f t="shared" si="11"/>
        <v>20264.888031818442</v>
      </c>
      <c r="T23" s="1" t="str">
        <f>'[7]Input sheet'!S12</f>
        <v>Exists</v>
      </c>
      <c r="U23" s="1" t="e">
        <f>'[7]Input sheet'!T12</f>
        <v>#REF!</v>
      </c>
      <c r="V23" s="1">
        <f>'[7]Input sheet'!U12</f>
        <v>0</v>
      </c>
      <c r="W23" s="1" t="e">
        <f>'[7]Input sheet'!W12</f>
        <v>#REF!</v>
      </c>
      <c r="X23" s="1" t="e">
        <f>'[7]Input sheet'!X12</f>
        <v>#REF!</v>
      </c>
      <c r="Y23" s="752"/>
      <c r="Z23" s="752"/>
    </row>
    <row r="24" spans="1:28">
      <c r="C24" s="164" t="s">
        <v>184</v>
      </c>
      <c r="G24" s="164" t="s">
        <v>176</v>
      </c>
      <c r="J24" s="170">
        <f t="shared" ref="J24:R24" si="12">J23/I23-1</f>
        <v>9.4010144567583831E-2</v>
      </c>
      <c r="K24" s="170">
        <f t="shared" si="12"/>
        <v>1.9252961694800952E-2</v>
      </c>
      <c r="L24" s="170">
        <f t="shared" si="12"/>
        <v>9.5303149998340331E-2</v>
      </c>
      <c r="M24" s="170">
        <f t="shared" si="12"/>
        <v>0.12753093437229257</v>
      </c>
      <c r="N24" s="170">
        <f t="shared" si="12"/>
        <v>9.1161416055071998E-2</v>
      </c>
      <c r="O24" s="170">
        <f t="shared" si="12"/>
        <v>6.9235686056080326E-2</v>
      </c>
      <c r="P24" s="170">
        <f t="shared" si="12"/>
        <v>6.9690873841502299E-2</v>
      </c>
      <c r="Q24" s="170">
        <f t="shared" si="12"/>
        <v>6.4774706688646821E-2</v>
      </c>
      <c r="R24" s="170">
        <f t="shared" si="12"/>
        <v>5.8339445492787911E-2</v>
      </c>
      <c r="Y24" s="752"/>
      <c r="Z24" s="751"/>
      <c r="AB24" s="166"/>
    </row>
    <row r="25" spans="1:28">
      <c r="A25" s="4" t="str">
        <f>'[7]Input sheet'!A13</f>
        <v>Turkey</v>
      </c>
      <c r="B25" s="129" t="str">
        <f>'[7]Input sheet'!B13</f>
        <v>Tourism Receipts &amp; Expenditure</v>
      </c>
      <c r="C25" s="4" t="str">
        <f>'[7]Input sheet'!C13</f>
        <v>Inbound Tourist Expenditure by Sector</v>
      </c>
      <c r="D25" s="2" t="str">
        <f>'[7]Input sheet'!D13</f>
        <v>Entertainment &amp; Sightseeing</v>
      </c>
      <c r="G25" s="1" t="str">
        <f>$G9</f>
        <v>Foriant Million</v>
      </c>
      <c r="H25" s="169">
        <f>'Tourism Medium DB-LCU'!G58</f>
        <v>1830.9686999610087</v>
      </c>
      <c r="I25" s="169">
        <f>'Tourism Medium DB-LCU'!H58</f>
        <v>1965.8920602263161</v>
      </c>
      <c r="J25" s="169">
        <f>'Tourism Medium DB-LCU'!I58</f>
        <v>2154.9809444535472</v>
      </c>
      <c r="K25" s="169">
        <f>'Tourism Medium DB-LCU'!J58</f>
        <v>2200.6944773019823</v>
      </c>
      <c r="L25" s="169">
        <f>'Tourism Medium DB-LCU'!K58</f>
        <v>2400.7084195356092</v>
      </c>
      <c r="M25" s="169">
        <f>'Tourism Medium DB-LCU'!L58</f>
        <v>2736.8283425267468</v>
      </c>
      <c r="N25" s="169">
        <f t="shared" ref="N25:R25" si="13">N$500*N399/1000</f>
        <v>2979.9689855283327</v>
      </c>
      <c r="O25" s="169">
        <f t="shared" si="13"/>
        <v>3183.052959067385</v>
      </c>
      <c r="P25" s="169">
        <f t="shared" si="13"/>
        <v>3423.3001558717351</v>
      </c>
      <c r="Q25" s="169">
        <f t="shared" si="13"/>
        <v>3687.1659026335637</v>
      </c>
      <c r="R25" s="169">
        <f t="shared" si="13"/>
        <v>3920.3035098802216</v>
      </c>
      <c r="T25" s="1" t="str">
        <f>'[7]Input sheet'!S13</f>
        <v>New</v>
      </c>
      <c r="U25" s="1" t="e">
        <f>'[7]Input sheet'!T13</f>
        <v>#REF!</v>
      </c>
      <c r="V25" s="1">
        <f>'[7]Input sheet'!U13</f>
        <v>0</v>
      </c>
      <c r="W25" s="1" t="e">
        <f>'[7]Input sheet'!W13</f>
        <v>#REF!</v>
      </c>
      <c r="X25" s="1" t="e">
        <f>'[7]Input sheet'!X13</f>
        <v>#REF!</v>
      </c>
      <c r="Y25" s="752"/>
      <c r="Z25" s="752"/>
    </row>
    <row r="26" spans="1:28">
      <c r="C26" s="164" t="s">
        <v>184</v>
      </c>
      <c r="G26" s="164" t="s">
        <v>176</v>
      </c>
      <c r="J26" s="170">
        <f t="shared" ref="J26:R26" si="14">J25/I25-1</f>
        <v>9.6184774359108438E-2</v>
      </c>
      <c r="K26" s="170">
        <f t="shared" si="14"/>
        <v>2.1212963839003729E-2</v>
      </c>
      <c r="L26" s="170">
        <f t="shared" si="14"/>
        <v>9.088673793503621E-2</v>
      </c>
      <c r="M26" s="170">
        <f t="shared" si="14"/>
        <v>0.1400086408894905</v>
      </c>
      <c r="N26" s="170">
        <f t="shared" si="14"/>
        <v>8.8840297078007113E-2</v>
      </c>
      <c r="O26" s="170">
        <f t="shared" si="14"/>
        <v>6.8149693679797396E-2</v>
      </c>
      <c r="P26" s="170">
        <f t="shared" si="14"/>
        <v>7.5476971289456962E-2</v>
      </c>
      <c r="Q26" s="170">
        <f t="shared" si="14"/>
        <v>7.7079348800086711E-2</v>
      </c>
      <c r="R26" s="170">
        <f t="shared" si="14"/>
        <v>6.32294866580696E-2</v>
      </c>
      <c r="Y26" s="752"/>
      <c r="Z26" s="752"/>
    </row>
    <row r="27" spans="1:28">
      <c r="A27" s="4" t="str">
        <f>'[7]Input sheet'!A14</f>
        <v>Turkey</v>
      </c>
      <c r="B27" s="129" t="str">
        <f>'[7]Input sheet'!B14</f>
        <v>Tourism Receipts &amp; Expenditure</v>
      </c>
      <c r="C27" s="4" t="str">
        <f>'[7]Input sheet'!C14</f>
        <v>Inbound Tourist Expenditure by Sector</v>
      </c>
      <c r="D27" s="2" t="str">
        <f>'[7]Input sheet'!D14</f>
        <v>Foodservice</v>
      </c>
      <c r="G27" s="1" t="str">
        <f>$G11</f>
        <v>Foriant Million</v>
      </c>
      <c r="H27" s="169">
        <f>'Tourism Medium DB-LCU'!G59</f>
        <v>13434.457087665713</v>
      </c>
      <c r="I27" s="169">
        <f>'Tourism Medium DB-LCU'!H59</f>
        <v>14485.552150004674</v>
      </c>
      <c r="J27" s="169">
        <f>'Tourism Medium DB-LCU'!I59</f>
        <v>15761.693560543994</v>
      </c>
      <c r="K27" s="169">
        <f>'Tourism Medium DB-LCU'!J59</f>
        <v>16141.524869272487</v>
      </c>
      <c r="L27" s="169">
        <f>'Tourism Medium DB-LCU'!K59</f>
        <v>17541.775065537797</v>
      </c>
      <c r="M27" s="169">
        <f>'Tourism Medium DB-LCU'!L59</f>
        <v>19938.080300055131</v>
      </c>
      <c r="N27" s="169">
        <f>N$500*N401/1000</f>
        <v>21608.017896178248</v>
      </c>
      <c r="O27" s="169">
        <f t="shared" ref="O27:R27" si="15">O$500*O401/1000</f>
        <v>23259.7548014934</v>
      </c>
      <c r="P27" s="169">
        <f t="shared" si="15"/>
        <v>24818.732378145618</v>
      </c>
      <c r="Q27" s="169">
        <f t="shared" si="15"/>
        <v>26536.1654278879</v>
      </c>
      <c r="R27" s="169">
        <f t="shared" si="15"/>
        <v>28215.020935416429</v>
      </c>
      <c r="T27" s="1" t="str">
        <f>'[7]Input sheet'!S14</f>
        <v>Exists</v>
      </c>
      <c r="U27" s="1" t="e">
        <f>'[7]Input sheet'!T14</f>
        <v>#REF!</v>
      </c>
      <c r="V27" s="1">
        <f>'[7]Input sheet'!U14</f>
        <v>0</v>
      </c>
      <c r="W27" s="1" t="e">
        <f>'[7]Input sheet'!W14</f>
        <v>#REF!</v>
      </c>
      <c r="X27" s="1" t="e">
        <f>'[7]Input sheet'!X14</f>
        <v>#REF!</v>
      </c>
      <c r="Y27" s="752"/>
      <c r="Z27" s="752"/>
    </row>
    <row r="28" spans="1:28" ht="11.25">
      <c r="C28" s="164" t="s">
        <v>184</v>
      </c>
      <c r="G28" s="164" t="s">
        <v>176</v>
      </c>
      <c r="J28" s="170">
        <f t="shared" ref="J28:R28" si="16">J27/I27-1</f>
        <v>8.8097533136761275E-2</v>
      </c>
      <c r="K28" s="170">
        <f t="shared" si="16"/>
        <v>2.4098381767763799E-2</v>
      </c>
      <c r="L28" s="170">
        <f t="shared" si="16"/>
        <v>8.674832195878035E-2</v>
      </c>
      <c r="M28" s="170">
        <f t="shared" si="16"/>
        <v>0.13660563002116399</v>
      </c>
      <c r="N28" s="170">
        <f t="shared" si="16"/>
        <v>8.3756187706722107E-2</v>
      </c>
      <c r="O28" s="170">
        <f t="shared" si="16"/>
        <v>7.6440926384427454E-2</v>
      </c>
      <c r="P28" s="170">
        <f t="shared" si="16"/>
        <v>6.7024678031091023E-2</v>
      </c>
      <c r="Q28" s="170">
        <f t="shared" si="16"/>
        <v>6.9199063980180719E-2</v>
      </c>
      <c r="R28" s="170">
        <f t="shared" si="16"/>
        <v>6.326669586420941E-2</v>
      </c>
      <c r="Z28" s="1"/>
    </row>
    <row r="29" spans="1:28" ht="11.25">
      <c r="A29" s="4" t="str">
        <f>'[7]Input sheet'!A15</f>
        <v>Turkey</v>
      </c>
      <c r="B29" s="129" t="str">
        <f>'[7]Input sheet'!B15</f>
        <v>Tourism Receipts &amp; Expenditure</v>
      </c>
      <c r="C29" s="4" t="str">
        <f>'[7]Input sheet'!C15</f>
        <v>Inbound Tourist Expenditure by Sector</v>
      </c>
      <c r="D29" s="2" t="str">
        <f>'[7]Input sheet'!D15</f>
        <v>Retail</v>
      </c>
      <c r="G29" s="1" t="str">
        <f>$G13</f>
        <v>Foriant Million</v>
      </c>
      <c r="H29" s="169">
        <f>'Tourism Medium DB-LCU'!G60</f>
        <v>19834.268701585654</v>
      </c>
      <c r="I29" s="169">
        <f>'Tourism Medium DB-LCU'!H60</f>
        <v>21283.892140652766</v>
      </c>
      <c r="J29" s="169">
        <f>'Tourism Medium DB-LCU'!I60</f>
        <v>23340.812374242178</v>
      </c>
      <c r="K29" s="169">
        <f>'Tourism Medium DB-LCU'!J60</f>
        <v>23716.735952112729</v>
      </c>
      <c r="L29" s="169">
        <f>'Tourism Medium DB-LCU'!K60</f>
        <v>26055.313250238662</v>
      </c>
      <c r="M29" s="169">
        <f>'Tourism Medium DB-LCU'!L60</f>
        <v>29407.727199127108</v>
      </c>
      <c r="N29" s="169">
        <f t="shared" ref="N29:R29" si="17">N$500*N403/1000</f>
        <v>31828.416300362158</v>
      </c>
      <c r="O29" s="169">
        <f t="shared" si="17"/>
        <v>34013.412337638147</v>
      </c>
      <c r="P29" s="169">
        <f t="shared" si="17"/>
        <v>36385.031674970189</v>
      </c>
      <c r="Q29" s="169">
        <f t="shared" si="17"/>
        <v>38783.460419331757</v>
      </c>
      <c r="R29" s="169">
        <f t="shared" si="17"/>
        <v>41072.507061473552</v>
      </c>
      <c r="T29" s="1" t="str">
        <f>'[7]Input sheet'!S15</f>
        <v>Exists</v>
      </c>
      <c r="U29" s="1" t="e">
        <f>'[7]Input sheet'!T15</f>
        <v>#REF!</v>
      </c>
      <c r="V29" s="1">
        <f>'[7]Input sheet'!U15</f>
        <v>0</v>
      </c>
      <c r="W29" s="1" t="e">
        <f>'[7]Input sheet'!W15</f>
        <v>#REF!</v>
      </c>
      <c r="X29" s="1" t="e">
        <f>'[7]Input sheet'!X15</f>
        <v>#REF!</v>
      </c>
      <c r="Z29" s="1"/>
    </row>
    <row r="30" spans="1:28" ht="11.25">
      <c r="C30" s="164" t="s">
        <v>184</v>
      </c>
      <c r="G30" s="164" t="s">
        <v>176</v>
      </c>
      <c r="J30" s="170">
        <f t="shared" ref="J30:R30" si="18">J29/I29-1</f>
        <v>9.6642109441094304E-2</v>
      </c>
      <c r="K30" s="170">
        <f t="shared" si="18"/>
        <v>1.6105848067456519E-2</v>
      </c>
      <c r="L30" s="170">
        <f t="shared" si="18"/>
        <v>9.860451720033625E-2</v>
      </c>
      <c r="M30" s="170">
        <f t="shared" si="18"/>
        <v>0.12866527132840133</v>
      </c>
      <c r="N30" s="170">
        <f t="shared" si="18"/>
        <v>8.2314729215350546E-2</v>
      </c>
      <c r="O30" s="170">
        <f t="shared" si="18"/>
        <v>6.8649222652373387E-2</v>
      </c>
      <c r="P30" s="170">
        <f t="shared" si="18"/>
        <v>6.9726004371154726E-2</v>
      </c>
      <c r="Q30" s="170">
        <f t="shared" si="18"/>
        <v>6.5918006222638104E-2</v>
      </c>
      <c r="R30" s="170">
        <f t="shared" si="18"/>
        <v>5.9021206911202162E-2</v>
      </c>
      <c r="Z30" s="1"/>
    </row>
    <row r="31" spans="1:28" ht="11.25">
      <c r="A31" s="4" t="str">
        <f>'[7]Input sheet'!A16</f>
        <v>Turkey</v>
      </c>
      <c r="B31" s="129" t="str">
        <f>'[7]Input sheet'!B16</f>
        <v>Tourism Receipts &amp; Expenditure</v>
      </c>
      <c r="C31" s="4" t="str">
        <f>'[7]Input sheet'!C16</f>
        <v>Inbound Tourist Expenditure by Sector</v>
      </c>
      <c r="D31" s="2" t="str">
        <f>'[7]Input sheet'!D16</f>
        <v>Transportation</v>
      </c>
      <c r="G31" s="1" t="str">
        <f>$G15</f>
        <v>Foriant Million</v>
      </c>
      <c r="H31" s="169">
        <f>'Tourism Medium DB-LCU'!G61</f>
        <v>24754.838135574471</v>
      </c>
      <c r="I31" s="169">
        <f>'Tourism Medium DB-LCU'!H61</f>
        <v>26612.647755059181</v>
      </c>
      <c r="J31" s="169">
        <f>'Tourism Medium DB-LCU'!I61</f>
        <v>28921.475693043481</v>
      </c>
      <c r="K31" s="169">
        <f>'Tourism Medium DB-LCU'!J61</f>
        <v>29341.744096238814</v>
      </c>
      <c r="L31" s="169">
        <f>'Tourism Medium DB-LCU'!K61</f>
        <v>32007.84719787259</v>
      </c>
      <c r="M31" s="169">
        <f>'Tourism Medium DB-LCU'!L61</f>
        <v>36561.837749769293</v>
      </c>
      <c r="N31" s="169">
        <f t="shared" ref="N31:R31" si="19">N$500*N405/1000</f>
        <v>39417.706154374413</v>
      </c>
      <c r="O31" s="169">
        <f t="shared" si="19"/>
        <v>42303.322484418924</v>
      </c>
      <c r="P31" s="169">
        <f t="shared" si="19"/>
        <v>45633.576749609412</v>
      </c>
      <c r="Q31" s="169">
        <f t="shared" si="19"/>
        <v>48794.782599896862</v>
      </c>
      <c r="R31" s="169">
        <f t="shared" si="19"/>
        <v>51670.703552985768</v>
      </c>
      <c r="T31" s="1" t="str">
        <f>'[7]Input sheet'!S16</f>
        <v>Exists</v>
      </c>
      <c r="U31" s="1" t="e">
        <f>'[7]Input sheet'!T16</f>
        <v>#REF!</v>
      </c>
      <c r="V31" s="1">
        <f>'[7]Input sheet'!U16</f>
        <v>0</v>
      </c>
      <c r="W31" s="1" t="e">
        <f>'[7]Input sheet'!W16</f>
        <v>#REF!</v>
      </c>
      <c r="X31" s="1" t="e">
        <f>'[7]Input sheet'!X16</f>
        <v>#REF!</v>
      </c>
      <c r="Z31" s="1"/>
    </row>
    <row r="32" spans="1:28" ht="11.25">
      <c r="C32" s="164" t="s">
        <v>184</v>
      </c>
      <c r="G32" s="164" t="s">
        <v>176</v>
      </c>
      <c r="J32" s="170">
        <f t="shared" ref="J32:R32" si="20">J31/I31-1</f>
        <v>8.675679170425199E-2</v>
      </c>
      <c r="K32" s="170">
        <f t="shared" si="20"/>
        <v>1.4531360973963681E-2</v>
      </c>
      <c r="L32" s="170">
        <f t="shared" si="20"/>
        <v>9.0863825029935175E-2</v>
      </c>
      <c r="M32" s="170">
        <f t="shared" si="20"/>
        <v>0.14227731480170847</v>
      </c>
      <c r="N32" s="170">
        <f t="shared" si="20"/>
        <v>7.8110636126958344E-2</v>
      </c>
      <c r="O32" s="170">
        <f t="shared" si="20"/>
        <v>7.3206094711431469E-2</v>
      </c>
      <c r="P32" s="170">
        <f t="shared" si="20"/>
        <v>7.8723231878939925E-2</v>
      </c>
      <c r="Q32" s="170">
        <f t="shared" si="20"/>
        <v>6.9273681255206609E-2</v>
      </c>
      <c r="R32" s="170">
        <f t="shared" si="20"/>
        <v>5.8939107827790327E-2</v>
      </c>
      <c r="Z32" s="1"/>
    </row>
    <row r="33" spans="1:26" ht="11.25">
      <c r="A33" s="4" t="str">
        <f>'[7]Input sheet'!A17</f>
        <v>Turkey</v>
      </c>
      <c r="B33" s="129" t="str">
        <f>'[7]Input sheet'!B17</f>
        <v>Tourism Receipts &amp; Expenditure</v>
      </c>
      <c r="C33" s="4" t="str">
        <f>'[7]Input sheet'!C17</f>
        <v>Inbound Tourist Expenditure by Sector</v>
      </c>
      <c r="D33" s="2" t="str">
        <f>'[7]Input sheet'!D17</f>
        <v>Travel Intermediation</v>
      </c>
      <c r="G33" s="1" t="str">
        <f>$G17</f>
        <v>Foriant Million</v>
      </c>
      <c r="H33" s="169">
        <f>'Tourism Medium DB-LCU'!G62</f>
        <v>165.45473256953892</v>
      </c>
      <c r="I33" s="169">
        <f>'Tourism Medium DB-LCU'!H62</f>
        <v>178.50714159991139</v>
      </c>
      <c r="J33" s="169">
        <f>'Tourism Medium DB-LCU'!I62</f>
        <v>193.73286731895217</v>
      </c>
      <c r="K33" s="169">
        <f>'Tourism Medium DB-LCU'!J62</f>
        <v>196.21383465585578</v>
      </c>
      <c r="L33" s="169">
        <f>'Tourism Medium DB-LCU'!K62</f>
        <v>213.61113241533488</v>
      </c>
      <c r="M33" s="169">
        <f>'Tourism Medium DB-LCU'!L62</f>
        <v>240.85315972458602</v>
      </c>
      <c r="N33" s="169">
        <f t="shared" ref="N33:R33" si="21">N$500*N407/1000</f>
        <v>263.24513051930001</v>
      </c>
      <c r="O33" s="169">
        <f t="shared" si="21"/>
        <v>279.87267252135092</v>
      </c>
      <c r="P33" s="169">
        <f t="shared" si="21"/>
        <v>302.93273223221161</v>
      </c>
      <c r="Q33" s="169">
        <f t="shared" si="21"/>
        <v>325.85521138091553</v>
      </c>
      <c r="R33" s="169">
        <f t="shared" si="21"/>
        <v>346.82996651069857</v>
      </c>
      <c r="T33" s="1" t="str">
        <f>'[7]Input sheet'!S17</f>
        <v>New</v>
      </c>
      <c r="U33" s="1" t="e">
        <f>'[7]Input sheet'!T17</f>
        <v>#REF!</v>
      </c>
      <c r="V33" s="1">
        <f>'[7]Input sheet'!U17</f>
        <v>0</v>
      </c>
      <c r="W33" s="1" t="e">
        <f>'[7]Input sheet'!W17</f>
        <v>#REF!</v>
      </c>
      <c r="X33" s="1" t="e">
        <f>'[7]Input sheet'!X17</f>
        <v>#REF!</v>
      </c>
      <c r="Z33" s="1"/>
    </row>
    <row r="34" spans="1:26" ht="11.25">
      <c r="C34" s="164" t="s">
        <v>184</v>
      </c>
      <c r="G34" s="164" t="s">
        <v>176</v>
      </c>
      <c r="J34" s="170">
        <f t="shared" ref="J34:R34" si="22">J33/I33-1</f>
        <v>8.529477074461389E-2</v>
      </c>
      <c r="K34" s="170">
        <f t="shared" si="22"/>
        <v>1.2806125110506272E-2</v>
      </c>
      <c r="L34" s="170">
        <f t="shared" si="22"/>
        <v>8.866499036621267E-2</v>
      </c>
      <c r="M34" s="170">
        <f t="shared" si="22"/>
        <v>0.12753093437229235</v>
      </c>
      <c r="N34" s="170">
        <f t="shared" si="22"/>
        <v>9.2969387739480158E-2</v>
      </c>
      <c r="O34" s="170">
        <f t="shared" si="22"/>
        <v>6.3163721088591362E-2</v>
      </c>
      <c r="P34" s="170">
        <f t="shared" si="22"/>
        <v>8.2394824414668388E-2</v>
      </c>
      <c r="Q34" s="170">
        <f t="shared" si="22"/>
        <v>7.5668545223871009E-2</v>
      </c>
      <c r="R34" s="170">
        <f t="shared" si="22"/>
        <v>6.4368328009534626E-2</v>
      </c>
      <c r="Z34" s="1"/>
    </row>
    <row r="35" spans="1:26" ht="11.25">
      <c r="A35" s="4" t="str">
        <f>'[7]Input sheet'!A18</f>
        <v>Turkey</v>
      </c>
      <c r="B35" s="129" t="str">
        <f>'[7]Input sheet'!B18</f>
        <v>Tourism Receipts &amp; Expenditure</v>
      </c>
      <c r="C35" s="4" t="str">
        <f>'[7]Input sheet'!C18</f>
        <v>Inbound Tourist Expenditure by Sector</v>
      </c>
      <c r="D35" s="2" t="str">
        <f>'[7]Input sheet'!D18</f>
        <v>Other Sectors</v>
      </c>
      <c r="G35" s="1" t="str">
        <f>$G19</f>
        <v>Foriant Million</v>
      </c>
      <c r="H35" s="169">
        <f>'Tourism Medium DB-LCU'!G63</f>
        <v>6112.1835063036124</v>
      </c>
      <c r="I35" s="169">
        <f>'Tourism Medium DB-LCU'!H63</f>
        <v>6550.0653558425402</v>
      </c>
      <c r="J35" s="169">
        <f>'Tourism Medium DB-LCU'!I63</f>
        <v>7040.1913373927819</v>
      </c>
      <c r="K35" s="169">
        <f>'Tourism Medium DB-LCU'!J63</f>
        <v>7116.5827150144905</v>
      </c>
      <c r="L35" s="169">
        <f>'Tourism Medium DB-LCU'!K63</f>
        <v>7798.2909898979851</v>
      </c>
      <c r="M35" s="169">
        <f>'Tourism Medium DB-LCU'!L63</f>
        <v>8774.5318546806229</v>
      </c>
      <c r="N35" s="169">
        <f>N$500*N409/1000</f>
        <v>9535.4552550497956</v>
      </c>
      <c r="O35" s="169">
        <f>O$500*O409/1000</f>
        <v>10177.464853401199</v>
      </c>
      <c r="P35" s="169">
        <f>P$500*P409/1000</f>
        <v>10942.136392408074</v>
      </c>
      <c r="Q35" s="169">
        <f>Q$500*Q409/1000</f>
        <v>11656.13966645206</v>
      </c>
      <c r="R35" s="169">
        <f>R$500*R409/1000</f>
        <v>12282.385880522472</v>
      </c>
      <c r="T35" s="1" t="str">
        <f>'[7]Input sheet'!S18</f>
        <v>New</v>
      </c>
      <c r="U35" s="1" t="e">
        <f>'[7]Input sheet'!T18</f>
        <v>#REF!</v>
      </c>
      <c r="V35" s="1">
        <f>'[7]Input sheet'!U18</f>
        <v>0</v>
      </c>
      <c r="W35" s="1" t="e">
        <f>'[7]Input sheet'!W18</f>
        <v>#REF!</v>
      </c>
      <c r="X35" s="1" t="e">
        <f>'[7]Input sheet'!X18</f>
        <v>#REF!</v>
      </c>
      <c r="Z35" s="1"/>
    </row>
    <row r="36" spans="1:26" ht="11.25">
      <c r="C36" s="164" t="s">
        <v>184</v>
      </c>
      <c r="G36" s="164" t="s">
        <v>176</v>
      </c>
      <c r="J36" s="170">
        <f t="shared" ref="J36:R36" si="23">J35/I35-1</f>
        <v>7.4827647500197658E-2</v>
      </c>
      <c r="K36" s="170">
        <f t="shared" si="23"/>
        <v>1.0850753049276962E-2</v>
      </c>
      <c r="L36" s="170">
        <f t="shared" si="23"/>
        <v>9.5791519916607504E-2</v>
      </c>
      <c r="M36" s="170">
        <f t="shared" si="23"/>
        <v>0.12518651407690151</v>
      </c>
      <c r="N36" s="170">
        <f t="shared" si="23"/>
        <v>8.6719543899458351E-2</v>
      </c>
      <c r="O36" s="170">
        <f t="shared" si="23"/>
        <v>6.7328678199334746E-2</v>
      </c>
      <c r="P36" s="170">
        <f t="shared" si="23"/>
        <v>7.5133793142142746E-2</v>
      </c>
      <c r="Q36" s="170">
        <f t="shared" si="23"/>
        <v>6.5252638830144649E-2</v>
      </c>
      <c r="R36" s="170">
        <f t="shared" si="23"/>
        <v>5.3726725313083978E-2</v>
      </c>
      <c r="Z36" s="1"/>
    </row>
    <row r="37" spans="1:26" ht="11.25">
      <c r="A37" s="125" t="str">
        <f>'[7]Input sheet'!A19</f>
        <v>Turkey</v>
      </c>
      <c r="B37" s="125" t="str">
        <f>'[7]Input sheet'!B19</f>
        <v>Tourism Receipts &amp; Expenditure</v>
      </c>
      <c r="C37" s="134" t="str">
        <f>'[7]Input sheet'!C19</f>
        <v>Total Outbound Tourist Expenditure by Sector</v>
      </c>
      <c r="D37" s="134"/>
      <c r="E37" s="134"/>
      <c r="F37" s="134"/>
      <c r="G37" s="134" t="str">
        <f>G21</f>
        <v>Foriant Million</v>
      </c>
      <c r="H37" s="167">
        <f>'Tourism Medium DB-LCU'!G64</f>
        <v>2826386.3076646924</v>
      </c>
      <c r="I37" s="167">
        <f>'Tourism Medium DB-LCU'!H64</f>
        <v>2856948.7937026611</v>
      </c>
      <c r="J37" s="167">
        <f>'Tourism Medium DB-LCU'!I64</f>
        <v>2739472.1867417577</v>
      </c>
      <c r="K37" s="167">
        <f>'Tourism Medium DB-LCU'!J64</f>
        <v>3177008.7562627406</v>
      </c>
      <c r="L37" s="167">
        <f>'Tourism Medium DB-LCU'!K64</f>
        <v>3556764.2980098589</v>
      </c>
      <c r="M37" s="167">
        <f>'Tourism Medium DB-LCU'!L64</f>
        <v>3984129.4225283298</v>
      </c>
      <c r="N37" s="167">
        <f>N433*N$498/1000</f>
        <v>3790499.076365978</v>
      </c>
      <c r="O37" s="167">
        <f>O433*O$498/1000</f>
        <v>3866107.9991468536</v>
      </c>
      <c r="P37" s="167">
        <f>P433*P$498/1000</f>
        <v>4064049.6871217848</v>
      </c>
      <c r="Q37" s="167">
        <f>Q433*Q$498/1000</f>
        <v>4647822.1409173477</v>
      </c>
      <c r="R37" s="167">
        <f>R433*R$498/1000</f>
        <v>5236131.0107725067</v>
      </c>
      <c r="T37" s="1" t="str">
        <f>'[7]Input sheet'!S19</f>
        <v>New</v>
      </c>
      <c r="U37" s="1" t="e">
        <f>'[7]Input sheet'!T19</f>
        <v>#REF!</v>
      </c>
      <c r="V37" s="1" t="str">
        <f>'[7]Input sheet'!U19</f>
        <v>http://www.statssa.gov.za/publications/Report-04-05-07/Report-04-05-072009.pdf</v>
      </c>
      <c r="W37" s="1" t="e">
        <f>'[7]Input sheet'!W19</f>
        <v>#REF!</v>
      </c>
      <c r="X37" s="1" t="e">
        <f>'[7]Input sheet'!X19</f>
        <v>#REF!</v>
      </c>
      <c r="Z37" s="1"/>
    </row>
    <row r="38" spans="1:26" ht="11.25">
      <c r="C38" s="164" t="s">
        <v>184</v>
      </c>
      <c r="G38" s="164" t="s">
        <v>176</v>
      </c>
      <c r="J38" s="177">
        <f t="shared" ref="J38:R38" si="24">J37/I37-1</f>
        <v>-4.1119605370543377E-2</v>
      </c>
      <c r="K38" s="177">
        <f t="shared" si="24"/>
        <v>0.15971564582350273</v>
      </c>
      <c r="L38" s="177">
        <f t="shared" si="24"/>
        <v>0.11953241897697575</v>
      </c>
      <c r="M38" s="177">
        <f t="shared" si="24"/>
        <v>0.12015559331766723</v>
      </c>
      <c r="N38" s="170">
        <f t="shared" si="24"/>
        <v>-4.8600415706243294E-2</v>
      </c>
      <c r="O38" s="170">
        <f t="shared" si="24"/>
        <v>1.9946957183633707E-2</v>
      </c>
      <c r="P38" s="170">
        <f t="shared" si="24"/>
        <v>5.1199213270454846E-2</v>
      </c>
      <c r="Q38" s="170">
        <f t="shared" si="24"/>
        <v>0.14364304049860133</v>
      </c>
      <c r="R38" s="170">
        <f t="shared" si="24"/>
        <v>0.12657731987546406</v>
      </c>
      <c r="Z38" s="1"/>
    </row>
    <row r="39" spans="1:26">
      <c r="A39" s="4" t="str">
        <f>'[7]Input sheet'!A20</f>
        <v>Turkey</v>
      </c>
      <c r="B39" s="129" t="str">
        <f>'[7]Input sheet'!B20</f>
        <v>Tourism Receipts &amp; Expenditure</v>
      </c>
      <c r="C39" s="4" t="str">
        <f>'[7]Input sheet'!C20</f>
        <v>Total Outbound Tourist Expenditure by Sector</v>
      </c>
      <c r="D39" s="2" t="str">
        <f>'[7]Input sheet'!D20</f>
        <v>Accommodation</v>
      </c>
      <c r="G39" s="1" t="str">
        <f>G23</f>
        <v>Foriant Million</v>
      </c>
      <c r="H39" s="169">
        <f>'Tourism Medium DB-LCU'!G65</f>
        <v>853301.21272844495</v>
      </c>
      <c r="I39" s="169">
        <f>'Tourism Medium DB-LCU'!H65</f>
        <v>869544.94468645949</v>
      </c>
      <c r="J39" s="203">
        <f>'Tourism Medium DB-LCU'!I65</f>
        <v>826888.85919506173</v>
      </c>
      <c r="K39" s="203">
        <f>'Tourism Medium DB-LCU'!J65</f>
        <v>955910.10173220467</v>
      </c>
      <c r="L39" s="203">
        <f>'Tourism Medium DB-LCU'!K65</f>
        <v>1063448.0705398258</v>
      </c>
      <c r="M39" s="203">
        <f>'Tourism Medium DB-LCU'!L65</f>
        <v>1194406.5957757994</v>
      </c>
      <c r="N39" s="67">
        <f>N435*N$498/1000</f>
        <v>1129136.4848941353</v>
      </c>
      <c r="O39" s="67">
        <f t="shared" ref="O39:R51" si="25">O435*O$498/1000</f>
        <v>1149589.4660870912</v>
      </c>
      <c r="P39" s="67">
        <f t="shared" si="25"/>
        <v>1202776.2352872163</v>
      </c>
      <c r="Q39" s="67">
        <f t="shared" si="25"/>
        <v>1371173.196469228</v>
      </c>
      <c r="R39" s="67">
        <f>R435*R$498/1000</f>
        <v>1535847.992555243</v>
      </c>
      <c r="S39" s="752"/>
      <c r="T39" s="752"/>
      <c r="U39" s="752"/>
      <c r="V39" s="752"/>
      <c r="W39" s="752"/>
      <c r="X39" s="752"/>
      <c r="Y39" s="752"/>
      <c r="Z39" s="752"/>
    </row>
    <row r="40" spans="1:26">
      <c r="C40" s="164" t="s">
        <v>184</v>
      </c>
      <c r="G40" s="164" t="s">
        <v>176</v>
      </c>
      <c r="J40" s="177">
        <f t="shared" ref="J40:R40" si="26">J39/I39-1</f>
        <v>-4.9055641979240838E-2</v>
      </c>
      <c r="K40" s="177">
        <f t="shared" si="26"/>
        <v>0.15603214519390085</v>
      </c>
      <c r="L40" s="177">
        <f t="shared" si="26"/>
        <v>0.1124979939146491</v>
      </c>
      <c r="M40" s="177">
        <f t="shared" si="26"/>
        <v>0.12314519990571471</v>
      </c>
      <c r="N40" s="170">
        <f t="shared" si="26"/>
        <v>-5.4646475590893195E-2</v>
      </c>
      <c r="O40" s="170">
        <f t="shared" si="26"/>
        <v>1.8113825446773646E-2</v>
      </c>
      <c r="P40" s="170">
        <f t="shared" si="26"/>
        <v>4.6265880794088332E-2</v>
      </c>
      <c r="Q40" s="170">
        <f t="shared" si="26"/>
        <v>0.14000689092580831</v>
      </c>
      <c r="R40" s="170">
        <f t="shared" si="26"/>
        <v>0.12009773565444015</v>
      </c>
      <c r="S40" s="752"/>
      <c r="T40" s="752"/>
      <c r="U40" s="752"/>
      <c r="V40" s="752"/>
      <c r="W40" s="752"/>
      <c r="X40" s="752"/>
      <c r="Y40" s="751"/>
      <c r="Z40" s="752"/>
    </row>
    <row r="41" spans="1:26">
      <c r="A41" s="4" t="str">
        <f>'[7]Input sheet'!A21</f>
        <v>Turkey</v>
      </c>
      <c r="B41" s="129" t="str">
        <f>'[7]Input sheet'!B21</f>
        <v>Tourism Receipts &amp; Expenditure</v>
      </c>
      <c r="C41" s="4" t="str">
        <f>'[7]Input sheet'!C21</f>
        <v>Total Outbound Tourist Expenditure by Sector</v>
      </c>
      <c r="D41" s="2" t="str">
        <f>'[7]Input sheet'!D21</f>
        <v>Entertainment &amp; Sightseeing</v>
      </c>
      <c r="G41" s="1" t="str">
        <f>G25</f>
        <v>Foriant Million</v>
      </c>
      <c r="H41" s="169">
        <f>'Tourism Medium DB-LCU'!G66</f>
        <v>188553.15237562163</v>
      </c>
      <c r="I41" s="169">
        <f>'Tourism Medium DB-LCU'!H66</f>
        <v>188891.93873113568</v>
      </c>
      <c r="J41" s="203">
        <f>'Tourism Medium DB-LCU'!I66</f>
        <v>182135.86821482712</v>
      </c>
      <c r="K41" s="203">
        <f>'Tourism Medium DB-LCU'!J66</f>
        <v>211580.14905914987</v>
      </c>
      <c r="L41" s="203">
        <f>'Tourism Medium DB-LCU'!K66</f>
        <v>233770.09179356488</v>
      </c>
      <c r="M41" s="203">
        <f>'Tourism Medium DB-LCU'!L66</f>
        <v>260726.82488498997</v>
      </c>
      <c r="N41" s="67">
        <f>N437*N$498/1000</f>
        <v>247451.5882675394</v>
      </c>
      <c r="O41" s="67">
        <f t="shared" si="25"/>
        <v>251248.76308507775</v>
      </c>
      <c r="P41" s="67">
        <f t="shared" si="25"/>
        <v>262573.96240660182</v>
      </c>
      <c r="Q41" s="67">
        <f>Q437*Q$498/1000</f>
        <v>300670.03206231148</v>
      </c>
      <c r="R41" s="67">
        <f t="shared" si="25"/>
        <v>338566.18681511568</v>
      </c>
      <c r="S41" s="752"/>
      <c r="T41" s="752"/>
      <c r="U41" s="752"/>
      <c r="V41" s="752"/>
      <c r="W41" s="752"/>
      <c r="X41" s="752"/>
      <c r="Y41" s="751"/>
      <c r="Z41" s="753"/>
    </row>
    <row r="42" spans="1:26">
      <c r="C42" s="164" t="s">
        <v>184</v>
      </c>
      <c r="G42" s="164" t="s">
        <v>176</v>
      </c>
      <c r="J42" s="177">
        <f t="shared" ref="J42:R42" si="27">J41/I41-1</f>
        <v>-3.5766854645528312E-2</v>
      </c>
      <c r="K42" s="177">
        <f t="shared" si="27"/>
        <v>0.16166107825391962</v>
      </c>
      <c r="L42" s="177">
        <f t="shared" si="27"/>
        <v>0.10487724313026892</v>
      </c>
      <c r="M42" s="177">
        <f t="shared" si="27"/>
        <v>0.11531301067901256</v>
      </c>
      <c r="N42" s="170">
        <f t="shared" si="27"/>
        <v>-5.0916266952226508E-2</v>
      </c>
      <c r="O42" s="170">
        <f t="shared" si="27"/>
        <v>1.5345122026183766E-2</v>
      </c>
      <c r="P42" s="177">
        <f t="shared" si="27"/>
        <v>4.507564209456083E-2</v>
      </c>
      <c r="Q42" s="177">
        <f t="shared" si="27"/>
        <v>0.14508700446359191</v>
      </c>
      <c r="R42" s="170">
        <f t="shared" si="27"/>
        <v>0.12603901523830796</v>
      </c>
      <c r="S42" s="752"/>
      <c r="T42" s="752"/>
      <c r="U42" s="752"/>
      <c r="V42" s="752"/>
      <c r="W42" s="752"/>
      <c r="X42" s="752"/>
      <c r="Y42" s="751"/>
      <c r="Z42" s="752"/>
    </row>
    <row r="43" spans="1:26">
      <c r="A43" s="4" t="str">
        <f>'[7]Input sheet'!A22</f>
        <v>Turkey</v>
      </c>
      <c r="B43" s="129" t="str">
        <f>'[7]Input sheet'!B22</f>
        <v>Tourism Receipts &amp; Expenditure</v>
      </c>
      <c r="C43" s="4" t="str">
        <f>'[7]Input sheet'!C22</f>
        <v>Total Outbound Tourist Expenditure by Sector</v>
      </c>
      <c r="D43" s="2" t="str">
        <f>'[7]Input sheet'!D22</f>
        <v>Foodservice</v>
      </c>
      <c r="G43" s="1" t="str">
        <f>G27</f>
        <v>Foriant Million</v>
      </c>
      <c r="H43" s="169">
        <f>'Tourism Medium DB-LCU'!G67</f>
        <v>516442.57197489688</v>
      </c>
      <c r="I43" s="169">
        <f>'Tourism Medium DB-LCU'!H67</f>
        <v>521225.4902434962</v>
      </c>
      <c r="J43" s="203">
        <f>'Tourism Medium DB-LCU'!I67</f>
        <v>497534.15112671489</v>
      </c>
      <c r="K43" s="203">
        <f>'Tourism Medium DB-LCU'!J67</f>
        <v>577941.1564056637</v>
      </c>
      <c r="L43" s="203">
        <f>'Tourism Medium DB-LCU'!K67</f>
        <v>638616.40469940996</v>
      </c>
      <c r="M43" s="203">
        <f>'Tourism Medium DB-LCU'!L67</f>
        <v>714387.02023732418</v>
      </c>
      <c r="N43" s="67">
        <f>N439*N$498/1000</f>
        <v>674801.66757140541</v>
      </c>
      <c r="O43" s="67">
        <f>O439*O$498/1000</f>
        <v>683874.40143704624</v>
      </c>
      <c r="P43" s="67">
        <f>P439*P$498/1000</f>
        <v>716357.99011109991</v>
      </c>
      <c r="Q43" s="67">
        <f t="shared" si="25"/>
        <v>816309.24764483271</v>
      </c>
      <c r="R43" s="67">
        <f>R439*R$498/1000</f>
        <v>912620.21818225726</v>
      </c>
      <c r="S43" s="752"/>
      <c r="T43" s="752"/>
      <c r="U43" s="752"/>
      <c r="V43" s="752"/>
      <c r="W43" s="752"/>
      <c r="X43" s="752"/>
      <c r="Y43" s="751"/>
      <c r="Z43" s="752"/>
    </row>
    <row r="44" spans="1:26">
      <c r="C44" s="164" t="s">
        <v>184</v>
      </c>
      <c r="G44" s="164" t="s">
        <v>176</v>
      </c>
      <c r="J44" s="177">
        <f t="shared" ref="J44:R44" si="28">J43/I43-1</f>
        <v>-4.5453147553688567E-2</v>
      </c>
      <c r="K44" s="177">
        <f t="shared" si="28"/>
        <v>0.16161102729703924</v>
      </c>
      <c r="L44" s="177">
        <f t="shared" si="28"/>
        <v>0.10498516608697384</v>
      </c>
      <c r="M44" s="177">
        <f t="shared" si="28"/>
        <v>0.1186480882425478</v>
      </c>
      <c r="N44" s="170">
        <f t="shared" si="28"/>
        <v>-5.5411634792536191E-2</v>
      </c>
      <c r="O44" s="170">
        <f t="shared" si="28"/>
        <v>1.3445037707588092E-2</v>
      </c>
      <c r="P44" s="170">
        <f t="shared" si="28"/>
        <v>4.7499348719289625E-2</v>
      </c>
      <c r="Q44" s="170">
        <f t="shared" si="28"/>
        <v>0.1395269668426975</v>
      </c>
      <c r="R44" s="170">
        <f t="shared" si="28"/>
        <v>0.11798343681061474</v>
      </c>
      <c r="S44" s="752"/>
      <c r="T44" s="752"/>
      <c r="U44" s="752"/>
      <c r="V44" s="752"/>
      <c r="W44" s="752"/>
      <c r="X44" s="752"/>
      <c r="Y44" s="751"/>
      <c r="Z44" s="752"/>
    </row>
    <row r="45" spans="1:26">
      <c r="A45" s="4" t="str">
        <f>'[7]Input sheet'!A23</f>
        <v>Turkey</v>
      </c>
      <c r="B45" s="129" t="str">
        <f>'[7]Input sheet'!B23</f>
        <v>Tourism Receipts &amp; Expenditure</v>
      </c>
      <c r="C45" s="4" t="str">
        <f>'[7]Input sheet'!C23</f>
        <v>Total Outbound Tourist Expenditure by Sector</v>
      </c>
      <c r="D45" s="2" t="str">
        <f>'[7]Input sheet'!D23</f>
        <v>Retail</v>
      </c>
      <c r="G45" s="1" t="str">
        <f>G29</f>
        <v>Foriant Million</v>
      </c>
      <c r="H45" s="169">
        <f>'Tourism Medium DB-LCU'!G68</f>
        <v>422969.45479211817</v>
      </c>
      <c r="I45" s="169">
        <f>'Tourism Medium DB-LCU'!H68</f>
        <v>421957.20771418582</v>
      </c>
      <c r="J45" s="203">
        <f>'Tourism Medium DB-LCU'!I68</f>
        <v>408032.21539925074</v>
      </c>
      <c r="K45" s="203">
        <f>'Tourism Medium DB-LCU'!J68</f>
        <v>475753.26575427881</v>
      </c>
      <c r="L45" s="203">
        <f>'Tourism Medium DB-LCU'!K68</f>
        <v>530007.13946564274</v>
      </c>
      <c r="M45" s="203">
        <f>'Tourism Medium DB-LCU'!L68</f>
        <v>598222.1802044342</v>
      </c>
      <c r="N45" s="67">
        <f>N441*N$498/1000</f>
        <v>577040.3645136148</v>
      </c>
      <c r="O45" s="67">
        <f t="shared" si="25"/>
        <v>588753.73049513239</v>
      </c>
      <c r="P45" s="67">
        <f t="shared" si="25"/>
        <v>619243.1570416278</v>
      </c>
      <c r="Q45" s="67">
        <f>Q441*Q$498/1000</f>
        <v>713658.32851914503</v>
      </c>
      <c r="R45" s="67">
        <f t="shared" si="25"/>
        <v>808147.74367734184</v>
      </c>
      <c r="S45" s="752"/>
      <c r="T45" s="752"/>
      <c r="U45" s="752"/>
      <c r="V45" s="752"/>
      <c r="W45" s="752"/>
      <c r="X45" s="752"/>
      <c r="Y45" s="752"/>
      <c r="Z45" s="752"/>
    </row>
    <row r="46" spans="1:26">
      <c r="C46" s="164" t="s">
        <v>184</v>
      </c>
      <c r="G46" s="164" t="s">
        <v>176</v>
      </c>
      <c r="J46" s="177">
        <f t="shared" ref="J46:R46" si="29">J45/I45-1</f>
        <v>-3.3000958534087244E-2</v>
      </c>
      <c r="K46" s="177">
        <f t="shared" si="29"/>
        <v>0.16596986169036798</v>
      </c>
      <c r="L46" s="177">
        <f t="shared" si="29"/>
        <v>0.11403783771267983</v>
      </c>
      <c r="M46" s="177">
        <f t="shared" si="29"/>
        <v>0.12870589027832047</v>
      </c>
      <c r="N46" s="170">
        <f t="shared" si="29"/>
        <v>-3.5407941048893887E-2</v>
      </c>
      <c r="O46" s="170">
        <f t="shared" si="29"/>
        <v>2.0299040936920809E-2</v>
      </c>
      <c r="P46" s="170">
        <f t="shared" si="29"/>
        <v>5.1786383622324239E-2</v>
      </c>
      <c r="Q46" s="170">
        <f t="shared" si="29"/>
        <v>0.15246865533173803</v>
      </c>
      <c r="R46" s="170">
        <f t="shared" si="29"/>
        <v>0.1324014747424922</v>
      </c>
      <c r="S46" s="752"/>
      <c r="T46" s="752"/>
      <c r="U46" s="752"/>
      <c r="V46" s="752"/>
      <c r="W46" s="752"/>
      <c r="X46" s="752"/>
      <c r="Y46" s="752"/>
      <c r="Z46" s="752"/>
    </row>
    <row r="47" spans="1:26">
      <c r="A47" s="4" t="str">
        <f>'[7]Input sheet'!A24</f>
        <v>Turkey</v>
      </c>
      <c r="B47" s="129" t="str">
        <f>'[7]Input sheet'!B24</f>
        <v>Tourism Receipts &amp; Expenditure</v>
      </c>
      <c r="C47" s="4" t="str">
        <f>'[7]Input sheet'!C24</f>
        <v>Total Outbound Tourist Expenditure by Sector</v>
      </c>
      <c r="D47" s="2" t="str">
        <f>'[7]Input sheet'!D24</f>
        <v>Transportation</v>
      </c>
      <c r="G47" s="1" t="str">
        <f>G31</f>
        <v>Foriant Million</v>
      </c>
      <c r="H47" s="169">
        <f>'Tourism Medium DB-LCU'!G69</f>
        <v>259745.00475098411</v>
      </c>
      <c r="I47" s="169">
        <f>'Tourism Medium DB-LCU'!H69</f>
        <v>271627.61948901898</v>
      </c>
      <c r="J47" s="203">
        <f>'Tourism Medium DB-LCU'!I69</f>
        <v>272791.59170367342</v>
      </c>
      <c r="K47" s="203">
        <f>'Tourism Medium DB-LCU'!J69</f>
        <v>313187.03783434816</v>
      </c>
      <c r="L47" s="203">
        <f>'Tourism Medium DB-LCU'!K69</f>
        <v>371397.79931168677</v>
      </c>
      <c r="M47" s="203">
        <f>'Tourism Medium DB-LCU'!L69</f>
        <v>413744.75214093539</v>
      </c>
      <c r="N47" s="67">
        <f>N443*N$498/1000</f>
        <v>403702.49470025307</v>
      </c>
      <c r="O47" s="67">
        <f t="shared" si="25"/>
        <v>416820.24314026244</v>
      </c>
      <c r="P47" s="67">
        <f t="shared" si="25"/>
        <v>445034.80405403522</v>
      </c>
      <c r="Q47" s="67">
        <f>Q443*Q$498/1000</f>
        <v>510741.56051635224</v>
      </c>
      <c r="R47" s="67">
        <f t="shared" si="25"/>
        <v>588421.41212152725</v>
      </c>
      <c r="S47" s="752"/>
      <c r="T47" s="752"/>
      <c r="U47" s="752"/>
      <c r="V47" s="752"/>
      <c r="W47" s="752"/>
      <c r="X47" s="752"/>
      <c r="Y47" s="752"/>
      <c r="Z47" s="752"/>
    </row>
    <row r="48" spans="1:26">
      <c r="C48" s="164" t="s">
        <v>184</v>
      </c>
      <c r="G48" s="164" t="s">
        <v>176</v>
      </c>
      <c r="J48" s="177">
        <f t="shared" ref="J48:R48" si="30">J47/I47-1</f>
        <v>4.2851762160418527E-3</v>
      </c>
      <c r="K48" s="177">
        <f t="shared" si="30"/>
        <v>0.14808171277711257</v>
      </c>
      <c r="L48" s="177">
        <f t="shared" si="30"/>
        <v>0.18586580683498033</v>
      </c>
      <c r="M48" s="177">
        <f t="shared" si="30"/>
        <v>0.11402047321693987</v>
      </c>
      <c r="N48" s="170">
        <f t="shared" si="30"/>
        <v>-2.4271624929907532E-2</v>
      </c>
      <c r="O48" s="170">
        <f t="shared" si="30"/>
        <v>3.2493602621279871E-2</v>
      </c>
      <c r="P48" s="170">
        <f t="shared" si="30"/>
        <v>6.7689996774648931E-2</v>
      </c>
      <c r="Q48" s="170">
        <f t="shared" si="30"/>
        <v>0.14764408505528714</v>
      </c>
      <c r="R48" s="170">
        <f t="shared" si="30"/>
        <v>0.15209228621740079</v>
      </c>
      <c r="S48" s="752"/>
      <c r="T48" s="752"/>
      <c r="U48" s="752"/>
      <c r="V48" s="752"/>
      <c r="W48" s="752"/>
      <c r="X48" s="752"/>
      <c r="Y48" s="752"/>
      <c r="Z48" s="752"/>
    </row>
    <row r="49" spans="1:26" ht="11.25">
      <c r="A49" s="4" t="str">
        <f>'[7]Input sheet'!A25</f>
        <v>Turkey</v>
      </c>
      <c r="B49" s="129" t="str">
        <f>'[7]Input sheet'!B25</f>
        <v>Tourism Receipts &amp; Expenditure</v>
      </c>
      <c r="C49" s="4" t="str">
        <f>'[7]Input sheet'!C25</f>
        <v>Total Outbound Tourist Expenditure by Sector</v>
      </c>
      <c r="D49" s="2" t="str">
        <f>'[7]Input sheet'!D25</f>
        <v>Travel Intermediation</v>
      </c>
      <c r="G49" s="1" t="str">
        <f>G33</f>
        <v>Foriant Million</v>
      </c>
      <c r="H49" s="169">
        <f>'Tourism Medium DB-LCU'!G70</f>
        <v>431675.96804516582</v>
      </c>
      <c r="I49" s="169">
        <f>'Tourism Medium DB-LCU'!H70</f>
        <v>426923.08462207875</v>
      </c>
      <c r="J49" s="203">
        <f>'Tourism Medium DB-LCU'!I70</f>
        <v>406021.4932807922</v>
      </c>
      <c r="K49" s="203">
        <f>'Tourism Medium DB-LCU'!J70</f>
        <v>474016.31968168664</v>
      </c>
      <c r="L49" s="203">
        <f>'Tourism Medium DB-LCU'!K70</f>
        <v>526428.37078395172</v>
      </c>
      <c r="M49" s="203">
        <f>'Tourism Medium DB-LCU'!L70</f>
        <v>587942.23090412363</v>
      </c>
      <c r="N49" s="67">
        <f>N445*N$498/1000</f>
        <v>555710.14381229703</v>
      </c>
      <c r="O49" s="67">
        <f t="shared" si="25"/>
        <v>566727.82449015218</v>
      </c>
      <c r="P49" s="67">
        <f t="shared" si="25"/>
        <v>594058.25209683238</v>
      </c>
      <c r="Q49" s="67">
        <f t="shared" si="25"/>
        <v>682047.11978993448</v>
      </c>
      <c r="R49" s="67">
        <f t="shared" si="25"/>
        <v>764030.13000667724</v>
      </c>
      <c r="T49" s="1" t="str">
        <f>'[7]Input sheet'!S25</f>
        <v>New</v>
      </c>
      <c r="U49" s="1" t="e">
        <f>'[7]Input sheet'!T25</f>
        <v>#REF!</v>
      </c>
      <c r="V49" s="1">
        <f>'[7]Input sheet'!U25</f>
        <v>0</v>
      </c>
      <c r="W49" s="1" t="e">
        <f>'[7]Input sheet'!W25</f>
        <v>#REF!</v>
      </c>
      <c r="X49" s="1" t="e">
        <f>'[7]Input sheet'!X25</f>
        <v>#REF!</v>
      </c>
      <c r="Z49" s="1"/>
    </row>
    <row r="50" spans="1:26" ht="11.25">
      <c r="C50" s="164" t="s">
        <v>184</v>
      </c>
      <c r="G50" s="164" t="s">
        <v>176</v>
      </c>
      <c r="J50" s="177">
        <f t="shared" ref="J50:R50" si="31">J49/I49-1</f>
        <v>-4.8958681538125437E-2</v>
      </c>
      <c r="K50" s="177">
        <f t="shared" si="31"/>
        <v>0.16746607636820654</v>
      </c>
      <c r="L50" s="177">
        <f t="shared" si="31"/>
        <v>0.11057014057545755</v>
      </c>
      <c r="M50" s="177">
        <f t="shared" si="31"/>
        <v>0.11685133920226631</v>
      </c>
      <c r="N50" s="170">
        <f t="shared" si="31"/>
        <v>-5.482186071624906E-2</v>
      </c>
      <c r="O50" s="170">
        <f t="shared" si="31"/>
        <v>1.9826308374130797E-2</v>
      </c>
      <c r="P50" s="170">
        <f t="shared" si="31"/>
        <v>4.8224961658213328E-2</v>
      </c>
      <c r="Q50" s="170">
        <f t="shared" si="31"/>
        <v>0.14811488163413267</v>
      </c>
      <c r="R50" s="170">
        <f t="shared" si="31"/>
        <v>0.12020138761379551</v>
      </c>
      <c r="Z50" s="1"/>
    </row>
    <row r="51" spans="1:26" ht="11.25">
      <c r="A51" s="4" t="str">
        <f>'[7]Input sheet'!A26</f>
        <v>Turkey</v>
      </c>
      <c r="B51" s="129" t="str">
        <f>'[7]Input sheet'!B26</f>
        <v>Tourism Receipts &amp; Expenditure</v>
      </c>
      <c r="C51" s="4" t="str">
        <f>'[7]Input sheet'!C26</f>
        <v>Total Outbound Tourist Expenditure by Sector</v>
      </c>
      <c r="D51" s="2" t="str">
        <f>'[7]Input sheet'!D26</f>
        <v>Other Sectors</v>
      </c>
      <c r="G51" s="1" t="str">
        <f>G35</f>
        <v>Foriant Million</v>
      </c>
      <c r="H51" s="169">
        <f>'Tourism Medium DB-LCU'!G71</f>
        <v>153698.94299746127</v>
      </c>
      <c r="I51" s="169">
        <f>'Tourism Medium DB-LCU'!H71</f>
        <v>156778.5082162866</v>
      </c>
      <c r="J51" s="203">
        <f>'Tourism Medium DB-LCU'!I71</f>
        <v>146068.00782143735</v>
      </c>
      <c r="K51" s="203">
        <f>'Tourism Medium DB-LCU'!J71</f>
        <v>168620.7257954088</v>
      </c>
      <c r="L51" s="203">
        <f>'Tourism Medium DB-LCU'!K71</f>
        <v>193096.42141577712</v>
      </c>
      <c r="M51" s="203">
        <f>'Tourism Medium DB-LCU'!L71</f>
        <v>214699.81838072382</v>
      </c>
      <c r="N51" s="67">
        <f>N447*N$498/1000</f>
        <v>202656.33260673238</v>
      </c>
      <c r="O51" s="67">
        <f t="shared" si="25"/>
        <v>209093.57041209156</v>
      </c>
      <c r="P51" s="67">
        <f t="shared" si="25"/>
        <v>224005.28612437076</v>
      </c>
      <c r="Q51" s="67">
        <f t="shared" si="25"/>
        <v>253222.6559155435</v>
      </c>
      <c r="R51" s="67">
        <f t="shared" si="25"/>
        <v>288497.32741434569</v>
      </c>
      <c r="T51" s="1" t="str">
        <f>'[7]Input sheet'!S26</f>
        <v>New</v>
      </c>
      <c r="U51" s="1" t="e">
        <f>'[7]Input sheet'!T26</f>
        <v>#REF!</v>
      </c>
      <c r="V51" s="1">
        <f>'[7]Input sheet'!U26</f>
        <v>0</v>
      </c>
      <c r="W51" s="1" t="e">
        <f>'[7]Input sheet'!W26</f>
        <v>#REF!</v>
      </c>
      <c r="X51" s="1" t="e">
        <f>'[7]Input sheet'!X26</f>
        <v>#REF!</v>
      </c>
      <c r="Z51" s="1"/>
    </row>
    <row r="52" spans="1:26" ht="11.25">
      <c r="C52" s="164" t="s">
        <v>184</v>
      </c>
      <c r="G52" s="164" t="s">
        <v>176</v>
      </c>
      <c r="J52" s="177">
        <f t="shared" ref="J52:R52" si="32">J51/I51-1</f>
        <v>-6.8316126468516924E-2</v>
      </c>
      <c r="K52" s="177">
        <f t="shared" si="32"/>
        <v>0.15439875103617018</v>
      </c>
      <c r="L52" s="177">
        <f t="shared" si="32"/>
        <v>0.1451523560043575</v>
      </c>
      <c r="M52" s="177">
        <f t="shared" si="32"/>
        <v>0.11187880545144879</v>
      </c>
      <c r="N52" s="170">
        <f t="shared" si="32"/>
        <v>-5.6094531727245878E-2</v>
      </c>
      <c r="O52" s="170">
        <f t="shared" si="32"/>
        <v>3.1764306215148252E-2</v>
      </c>
      <c r="P52" s="170">
        <f t="shared" si="32"/>
        <v>7.1315993518549892E-2</v>
      </c>
      <c r="Q52" s="170">
        <f t="shared" si="32"/>
        <v>0.13043160854226832</v>
      </c>
      <c r="R52" s="170">
        <f t="shared" si="32"/>
        <v>0.13930298365785743</v>
      </c>
      <c r="Z52" s="1"/>
    </row>
    <row r="53" spans="1:26" ht="11.25">
      <c r="A53" s="125" t="str">
        <f>'[7]Input sheet'!A27</f>
        <v>Turkey</v>
      </c>
      <c r="B53" s="125" t="str">
        <f>'[7]Input sheet'!B27</f>
        <v>Tourism Receipts &amp; Expenditure</v>
      </c>
      <c r="C53" s="134" t="str">
        <f>'[7]Input sheet'!C27</f>
        <v>Outbound Tourist Expenditure by Location of Provider</v>
      </c>
      <c r="D53" s="135"/>
      <c r="E53" s="135"/>
      <c r="F53" s="134"/>
      <c r="G53" s="134" t="str">
        <f>G37</f>
        <v>Foriant Million</v>
      </c>
      <c r="H53" s="167">
        <f>H55+H57</f>
        <v>2826386.3076646924</v>
      </c>
      <c r="I53" s="167">
        <f>I55+I57</f>
        <v>2856948.7937026611</v>
      </c>
      <c r="J53" s="167">
        <f t="shared" ref="J53:M53" si="33">J55+J57</f>
        <v>2739472.1867417577</v>
      </c>
      <c r="K53" s="167">
        <f t="shared" si="33"/>
        <v>3177008.7562627406</v>
      </c>
      <c r="L53" s="167">
        <f t="shared" si="33"/>
        <v>3556764.2980098589</v>
      </c>
      <c r="M53" s="167">
        <f t="shared" si="33"/>
        <v>3984129.4225283298</v>
      </c>
      <c r="N53" s="173">
        <f>N37</f>
        <v>3790499.076365978</v>
      </c>
      <c r="O53" s="173">
        <f>O37</f>
        <v>3866107.9991468536</v>
      </c>
      <c r="P53" s="173">
        <f>P37</f>
        <v>4064049.6871217848</v>
      </c>
      <c r="Q53" s="173">
        <f>Q37</f>
        <v>4647822.1409173477</v>
      </c>
      <c r="R53" s="173">
        <f>R37</f>
        <v>5236131.0107725067</v>
      </c>
      <c r="T53" s="1" t="str">
        <f>'[7]Input sheet'!S27</f>
        <v>Exists</v>
      </c>
      <c r="U53" s="1" t="e">
        <f>'[7]Input sheet'!T27</f>
        <v>#REF!</v>
      </c>
      <c r="V53" s="1">
        <f>'[7]Input sheet'!U27</f>
        <v>0</v>
      </c>
      <c r="W53" s="1" t="e">
        <f>'[7]Input sheet'!W27</f>
        <v>#REF!</v>
      </c>
      <c r="X53" s="1" t="e">
        <f>'[7]Input sheet'!X27</f>
        <v>#REF!</v>
      </c>
      <c r="Z53" s="1"/>
    </row>
    <row r="54" spans="1:26" ht="11.25">
      <c r="C54" s="164" t="s">
        <v>184</v>
      </c>
      <c r="G54" s="164" t="s">
        <v>176</v>
      </c>
      <c r="J54" s="170">
        <f t="shared" ref="J54:R54" si="34">J53/I53-1</f>
        <v>-4.1119605370543377E-2</v>
      </c>
      <c r="K54" s="170">
        <f t="shared" si="34"/>
        <v>0.15971564582350273</v>
      </c>
      <c r="L54" s="170">
        <f t="shared" si="34"/>
        <v>0.11953241897697575</v>
      </c>
      <c r="M54" s="170">
        <f t="shared" si="34"/>
        <v>0.12015559331766723</v>
      </c>
      <c r="N54" s="170">
        <f t="shared" si="34"/>
        <v>-4.8600415706243294E-2</v>
      </c>
      <c r="O54" s="170">
        <f t="shared" si="34"/>
        <v>1.9946957183633707E-2</v>
      </c>
      <c r="P54" s="170">
        <f t="shared" si="34"/>
        <v>5.1199213270454846E-2</v>
      </c>
      <c r="Q54" s="170">
        <f t="shared" si="34"/>
        <v>0.14364304049860133</v>
      </c>
      <c r="R54" s="170">
        <f t="shared" si="34"/>
        <v>0.12657731987546406</v>
      </c>
      <c r="Z54" s="1"/>
    </row>
    <row r="55" spans="1:26" ht="11.25">
      <c r="A55" s="4" t="str">
        <f>'[7]Input sheet'!A28</f>
        <v>Turkey</v>
      </c>
      <c r="B55" s="129" t="str">
        <f>'[7]Input sheet'!B28</f>
        <v>Tourism Receipts &amp; Expenditure</v>
      </c>
      <c r="C55" s="4" t="str">
        <f>'[7]Input sheet'!C28</f>
        <v>Outbound Tourist Expenditure by Location of Provider</v>
      </c>
      <c r="D55" s="2" t="str">
        <f>'[7]Input sheet'!D28</f>
        <v>Domestic Providers</v>
      </c>
      <c r="G55" s="1" t="str">
        <f>G39</f>
        <v>Foriant Million</v>
      </c>
      <c r="H55" s="169">
        <f>'Tourism Medium DB-LCU'!G73</f>
        <v>21868.955215602644</v>
      </c>
      <c r="I55" s="169">
        <f>'Tourism Medium DB-LCU'!H73</f>
        <v>24307.553757521513</v>
      </c>
      <c r="J55" s="169">
        <f>'Tourism Medium DB-LCU'!I73</f>
        <v>21618.92003031756</v>
      </c>
      <c r="K55" s="169">
        <f>'Tourism Medium DB-LCU'!J73</f>
        <v>21871.915378831032</v>
      </c>
      <c r="L55" s="169">
        <f>'Tourism Medium DB-LCU'!K73</f>
        <v>23222.673009858874</v>
      </c>
      <c r="M55" s="169">
        <f>'Tourism Medium DB-LCU'!L73</f>
        <v>23320.429424450438</v>
      </c>
      <c r="N55" s="169">
        <f>N$53*N59</f>
        <v>21164.661451325195</v>
      </c>
      <c r="O55" s="169">
        <f>O53*O59</f>
        <v>20030.609690557918</v>
      </c>
      <c r="P55" s="169">
        <f>P53*P59</f>
        <v>19513.460565178022</v>
      </c>
      <c r="Q55" s="169">
        <f>Q53*Q59</f>
        <v>20649.406848088332</v>
      </c>
      <c r="R55" s="169">
        <f>R53*R59</f>
        <v>21599.847739406858</v>
      </c>
      <c r="T55" s="1" t="str">
        <f>'[7]Input sheet'!S28</f>
        <v>Exists</v>
      </c>
      <c r="U55" s="1" t="e">
        <f>'[7]Input sheet'!T28</f>
        <v>#REF!</v>
      </c>
      <c r="V55" s="1">
        <f>'[7]Input sheet'!U28</f>
        <v>0</v>
      </c>
      <c r="W55" s="1" t="e">
        <f>'[7]Input sheet'!W28</f>
        <v>#REF!</v>
      </c>
      <c r="X55" s="1" t="e">
        <f>'[7]Input sheet'!X28</f>
        <v>#REF!</v>
      </c>
      <c r="Z55" s="1"/>
    </row>
    <row r="56" spans="1:26" ht="11.25">
      <c r="C56" s="164" t="s">
        <v>184</v>
      </c>
      <c r="G56" s="164" t="s">
        <v>176</v>
      </c>
      <c r="J56" s="170">
        <f t="shared" ref="J56:R56" si="35">J55/I55-1</f>
        <v>-0.11060897999133323</v>
      </c>
      <c r="K56" s="177">
        <f t="shared" si="35"/>
        <v>1.1702497079349117E-2</v>
      </c>
      <c r="L56" s="177">
        <f t="shared" si="35"/>
        <v>6.17576287962045E-2</v>
      </c>
      <c r="M56" s="177">
        <f t="shared" si="35"/>
        <v>4.2095246550670762E-3</v>
      </c>
      <c r="N56" s="170">
        <f t="shared" si="35"/>
        <v>-9.2441178242842148E-2</v>
      </c>
      <c r="O56" s="170">
        <f t="shared" si="35"/>
        <v>-5.3582324639370515E-2</v>
      </c>
      <c r="P56" s="170">
        <f t="shared" si="35"/>
        <v>-2.5817942307750696E-2</v>
      </c>
      <c r="Q56" s="170">
        <f t="shared" si="35"/>
        <v>5.8213471624680491E-2</v>
      </c>
      <c r="R56" s="170">
        <f t="shared" si="35"/>
        <v>4.6027515381465545E-2</v>
      </c>
      <c r="Z56" s="1"/>
    </row>
    <row r="57" spans="1:26" ht="11.25">
      <c r="A57" s="4" t="str">
        <f>'[7]Input sheet'!A29</f>
        <v>Turkey</v>
      </c>
      <c r="B57" s="129" t="str">
        <f>'[7]Input sheet'!B29</f>
        <v>Tourism Receipts &amp; Expenditure</v>
      </c>
      <c r="C57" s="4" t="str">
        <f>'[7]Input sheet'!C29</f>
        <v>Outbound Tourist Expenditure by Location of Provider</v>
      </c>
      <c r="D57" s="2" t="str">
        <f>'[7]Input sheet'!D29</f>
        <v>International Providers</v>
      </c>
      <c r="G57" s="1" t="str">
        <f>G41</f>
        <v>Foriant Million</v>
      </c>
      <c r="H57" s="169">
        <f>'Tourism Medium DB-LCU'!G74</f>
        <v>2804517.3524490898</v>
      </c>
      <c r="I57" s="169">
        <f>'Tourism Medium DB-LCU'!H74</f>
        <v>2832641.2399451397</v>
      </c>
      <c r="J57" s="169">
        <f>'Tourism Medium DB-LCU'!I74</f>
        <v>2717853.2667114399</v>
      </c>
      <c r="K57" s="169">
        <f>'Tourism Medium DB-LCU'!J74</f>
        <v>3155136.8408839097</v>
      </c>
      <c r="L57" s="169">
        <f>'Tourism Medium DB-LCU'!K74</f>
        <v>3533541.625</v>
      </c>
      <c r="M57" s="169">
        <f>'Tourism Medium DB-LCU'!L74</f>
        <v>3960808.9931038795</v>
      </c>
      <c r="N57" s="169">
        <f t="shared" ref="N57:R57" si="36">N$53*N61</f>
        <v>3769334.4149146527</v>
      </c>
      <c r="O57" s="169">
        <f t="shared" si="36"/>
        <v>3846077.3894562959</v>
      </c>
      <c r="P57" s="169">
        <f t="shared" si="36"/>
        <v>4044536.2265566066</v>
      </c>
      <c r="Q57" s="169">
        <f t="shared" si="36"/>
        <v>4627172.7340692598</v>
      </c>
      <c r="R57" s="169">
        <f t="shared" si="36"/>
        <v>5214531.1630330998</v>
      </c>
      <c r="T57" s="1" t="str">
        <f>'[7]Input sheet'!S29</f>
        <v>New</v>
      </c>
      <c r="U57" s="1" t="e">
        <f>'[7]Input sheet'!T29</f>
        <v>#REF!</v>
      </c>
      <c r="V57" s="1" t="e">
        <f>'[7]Input sheet'!U29</f>
        <v>#REF!</v>
      </c>
      <c r="W57" s="1" t="e">
        <f>'[7]Input sheet'!W29</f>
        <v>#REF!</v>
      </c>
      <c r="X57" s="1" t="e">
        <f>'[7]Input sheet'!X29</f>
        <v>#REF!</v>
      </c>
      <c r="Z57" s="1"/>
    </row>
    <row r="58" spans="1:26" ht="11.25">
      <c r="C58" s="164" t="s">
        <v>184</v>
      </c>
      <c r="G58" s="164" t="s">
        <v>176</v>
      </c>
      <c r="J58" s="170">
        <f t="shared" ref="J58:R58" si="37">J57/I57-1</f>
        <v>-4.0523300873753776E-2</v>
      </c>
      <c r="K58" s="177">
        <f t="shared" si="37"/>
        <v>0.16089300313904586</v>
      </c>
      <c r="L58" s="177">
        <f t="shared" si="37"/>
        <v>0.11993292310265713</v>
      </c>
      <c r="M58" s="177">
        <f t="shared" si="37"/>
        <v>0.12091759867237428</v>
      </c>
      <c r="N58" s="170">
        <f t="shared" si="37"/>
        <v>-4.8342290305490865E-2</v>
      </c>
      <c r="O58" s="170">
        <f t="shared" si="37"/>
        <v>2.0359821149851687E-2</v>
      </c>
      <c r="P58" s="170">
        <f t="shared" si="37"/>
        <v>5.1600323395563752E-2</v>
      </c>
      <c r="Q58" s="170">
        <f t="shared" si="37"/>
        <v>0.14405520803276173</v>
      </c>
      <c r="R58" s="170">
        <f t="shared" si="37"/>
        <v>0.12693678466749203</v>
      </c>
      <c r="Z58" s="1"/>
    </row>
    <row r="59" spans="1:26" outlineLevel="1">
      <c r="A59" s="34"/>
      <c r="B59" s="34"/>
      <c r="C59" s="174" t="s">
        <v>337</v>
      </c>
      <c r="D59" s="175" t="s">
        <v>46</v>
      </c>
      <c r="E59" s="34"/>
      <c r="F59" s="34"/>
      <c r="G59" s="174"/>
      <c r="H59" s="176">
        <f>H55/H$53</f>
        <v>7.7374261106125698E-3</v>
      </c>
      <c r="I59" s="176">
        <f>I55/I$53</f>
        <v>8.5082217123039344E-3</v>
      </c>
      <c r="J59" s="176">
        <f>J55/J$53</f>
        <v>7.8916369857473991E-3</v>
      </c>
      <c r="K59" s="176">
        <f>K55/K$53</f>
        <v>6.8844366058845733E-3</v>
      </c>
      <c r="L59" s="176">
        <f>L55/L$53</f>
        <v>6.5291571394969347E-3</v>
      </c>
      <c r="M59" s="176">
        <f>L59*(1+(((L59/I59)^(1/3))-1))*1.02</f>
        <v>6.0971947498410853E-3</v>
      </c>
      <c r="N59" s="176">
        <f>M59*(1+(((M59/J59)^(1/3))-1))*0.998</f>
        <v>5.5836081278289483E-3</v>
      </c>
      <c r="O59" s="176">
        <f>N59*(1+(((N59/K59)^(1/3))-1))*0.995</f>
        <v>5.1810786700677109E-3</v>
      </c>
      <c r="P59" s="176">
        <f>O59*(1+(((O59/L59)^(1/3))-1))*1.001</f>
        <v>4.8014817897065916E-3</v>
      </c>
      <c r="Q59" s="176">
        <f>P59*(1+(((P59/M59)^(1/3))-1))*1.002</f>
        <v>4.4428134773704412E-3</v>
      </c>
      <c r="R59" s="176">
        <f>Q59*(1+(((Q59/N59)^(1/3))-1))*1.002</f>
        <v>4.1251541825383297E-3</v>
      </c>
      <c r="Y59" s="751"/>
      <c r="Z59" s="1"/>
    </row>
    <row r="60" spans="1:26" ht="11.25" outlineLevel="1">
      <c r="A60" s="34"/>
      <c r="B60" s="34"/>
      <c r="C60" s="174"/>
      <c r="D60" s="34"/>
      <c r="E60" s="34"/>
      <c r="F60" s="34"/>
      <c r="G60" s="174"/>
      <c r="H60" s="176"/>
      <c r="I60" s="176"/>
      <c r="J60" s="176"/>
      <c r="K60" s="176"/>
      <c r="L60" s="176"/>
      <c r="M60" s="176"/>
      <c r="N60" s="176"/>
      <c r="O60" s="176"/>
      <c r="P60" s="176"/>
      <c r="Q60" s="176"/>
      <c r="R60" s="176"/>
      <c r="Z60" s="1"/>
    </row>
    <row r="61" spans="1:26" ht="11.25" outlineLevel="1">
      <c r="A61" s="34"/>
      <c r="B61" s="34"/>
      <c r="C61" s="174"/>
      <c r="D61" s="175" t="s">
        <v>47</v>
      </c>
      <c r="E61" s="34"/>
      <c r="F61" s="34"/>
      <c r="G61" s="174"/>
      <c r="H61" s="176">
        <f>H57/H$53</f>
        <v>0.99226257388938743</v>
      </c>
      <c r="I61" s="176">
        <f>I57/I$53</f>
        <v>0.99149177828769608</v>
      </c>
      <c r="J61" s="176">
        <f>J57/J$53</f>
        <v>0.99210836301425254</v>
      </c>
      <c r="K61" s="176">
        <f>K57/K$53</f>
        <v>0.99311556339411544</v>
      </c>
      <c r="L61" s="176">
        <f>L57/L$53</f>
        <v>0.99347084286050302</v>
      </c>
      <c r="M61" s="176">
        <f t="shared" ref="M61:R61" si="38">1-M59</f>
        <v>0.99390280525015895</v>
      </c>
      <c r="N61" s="176">
        <f t="shared" si="38"/>
        <v>0.99441639187217101</v>
      </c>
      <c r="O61" s="176">
        <f t="shared" si="38"/>
        <v>0.99481892132993233</v>
      </c>
      <c r="P61" s="176">
        <f t="shared" si="38"/>
        <v>0.99519851821029337</v>
      </c>
      <c r="Q61" s="176">
        <f t="shared" si="38"/>
        <v>0.99555718652262959</v>
      </c>
      <c r="R61" s="176">
        <f t="shared" si="38"/>
        <v>0.99587484581746166</v>
      </c>
      <c r="Z61" s="1"/>
    </row>
    <row r="62" spans="1:26" ht="18.75" customHeight="1">
      <c r="A62" s="125" t="str">
        <f>'[7]Input sheet'!A30</f>
        <v>Turkey</v>
      </c>
      <c r="B62" s="125" t="str">
        <f>'[7]Input sheet'!B30</f>
        <v>Tourism Receipts &amp; Expenditure</v>
      </c>
      <c r="C62" s="134" t="str">
        <f>'[7]Input sheet'!C30</f>
        <v>Tourism Balance of Payments</v>
      </c>
      <c r="D62" s="135"/>
      <c r="E62" s="135"/>
      <c r="F62" s="135"/>
      <c r="G62" s="134" t="str">
        <f>'[7]Input sheet'!G30</f>
        <v>TRY Million</v>
      </c>
      <c r="H62" s="167">
        <f>'Tourism Medium DB-LCU'!G75</f>
        <v>-2728703.3524490898</v>
      </c>
      <c r="I62" s="167">
        <f>'Tourism Medium DB-LCU'!H75</f>
        <v>-2751101.2399451397</v>
      </c>
      <c r="J62" s="167">
        <f>'Tourism Medium DB-LCU'!I75</f>
        <v>-2628993.2667114399</v>
      </c>
      <c r="K62" s="167">
        <f>'Tourism Medium DB-LCU'!J75</f>
        <v>-3064755.8408839097</v>
      </c>
      <c r="L62" s="167">
        <f>'Tourism Medium DB-LCU'!K75</f>
        <v>-3434744.625</v>
      </c>
      <c r="M62" s="167">
        <f>'Tourism Medium DB-LCU'!L75</f>
        <v>-3848739.9048511838</v>
      </c>
      <c r="N62" s="167">
        <f>N21-N57</f>
        <v>-3647978.8097669622</v>
      </c>
      <c r="O62" s="167">
        <f>O21-O57</f>
        <v>-3716049.135394061</v>
      </c>
      <c r="P62" s="167">
        <f>P21-P57</f>
        <v>-3905047.5431783656</v>
      </c>
      <c r="Q62" s="167">
        <f>Q21-Q57</f>
        <v>-4478241.3497260995</v>
      </c>
      <c r="R62" s="167">
        <f>R21-R57</f>
        <v>-5056758.5240944922</v>
      </c>
      <c r="T62" s="1" t="str">
        <f>'[7]Input sheet'!S30</f>
        <v>New</v>
      </c>
      <c r="U62" s="1" t="e">
        <f>'[7]Input sheet'!T30</f>
        <v>#REF!</v>
      </c>
      <c r="V62" s="166">
        <f>'[7]Input sheet'!U30</f>
        <v>0</v>
      </c>
      <c r="W62" s="1" t="e">
        <f>'[7]Input sheet'!W30</f>
        <v>#REF!</v>
      </c>
      <c r="X62" s="1" t="e">
        <f>'[7]Input sheet'!X30</f>
        <v>#REF!</v>
      </c>
      <c r="Z62" s="1"/>
    </row>
    <row r="63" spans="1:26" ht="11.25">
      <c r="C63" s="164" t="s">
        <v>184</v>
      </c>
      <c r="G63" s="164" t="s">
        <v>176</v>
      </c>
      <c r="J63" s="170">
        <f t="shared" ref="J63:R63" si="39">J62/I62-1</f>
        <v>-4.4385125294820083E-2</v>
      </c>
      <c r="K63" s="170">
        <f t="shared" si="39"/>
        <v>0.16575263987555111</v>
      </c>
      <c r="L63" s="170">
        <f t="shared" si="39"/>
        <v>0.12072373896165955</v>
      </c>
      <c r="M63" s="170">
        <f t="shared" si="39"/>
        <v>0.12053160425316456</v>
      </c>
      <c r="N63" s="170">
        <f t="shared" si="39"/>
        <v>-5.2162811737724857E-2</v>
      </c>
      <c r="O63" s="170">
        <f t="shared" si="39"/>
        <v>1.8659737124801845E-2</v>
      </c>
      <c r="P63" s="170">
        <f t="shared" si="39"/>
        <v>5.0860040031269094E-2</v>
      </c>
      <c r="Q63" s="170">
        <f t="shared" si="39"/>
        <v>0.14678279847041353</v>
      </c>
      <c r="R63" s="170">
        <f t="shared" si="39"/>
        <v>0.12918400979075773</v>
      </c>
      <c r="Z63" s="1"/>
    </row>
    <row r="64" spans="1:26" ht="11.25" hidden="1">
      <c r="A64" s="125" t="str">
        <f>'[7]Input sheet'!A31</f>
        <v>Turkey</v>
      </c>
      <c r="B64" s="125" t="str">
        <f>'[7]Input sheet'!B31</f>
        <v>Tourism Receipts &amp; Expenditure</v>
      </c>
      <c r="C64" s="134" t="str">
        <f>'[7]Input sheet'!C31</f>
        <v>Direct Tourism Output by Sector</v>
      </c>
      <c r="D64" s="134"/>
      <c r="E64" s="135"/>
      <c r="F64" s="135"/>
      <c r="G64" s="260" t="str">
        <f>Home!$B$2&amp;" Million"</f>
        <v>Foriant Million</v>
      </c>
      <c r="H64" s="167"/>
      <c r="I64" s="167"/>
      <c r="J64" s="167"/>
      <c r="K64" s="167"/>
      <c r="L64" s="167"/>
      <c r="M64" s="167"/>
      <c r="N64" s="167">
        <f>N5+N21+N55</f>
        <v>293212.7973252472</v>
      </c>
      <c r="O64" s="167">
        <f>O5+O21+O55</f>
        <v>298203.49993888184</v>
      </c>
      <c r="P64" s="167">
        <f>P5+P21+P55</f>
        <v>307045.20457027369</v>
      </c>
      <c r="Q64" s="167">
        <f>Q5+Q21+Q55</f>
        <v>319913.47002567834</v>
      </c>
      <c r="R64" s="167">
        <f>R5+R21+R55</f>
        <v>330598.83476753981</v>
      </c>
      <c r="T64" s="1" t="str">
        <f>'[7]Input sheet'!S31</f>
        <v>New</v>
      </c>
      <c r="U64" s="1" t="e">
        <f>'[7]Input sheet'!T31</f>
        <v>#REF!</v>
      </c>
      <c r="V64" s="1" t="e">
        <f>'[7]Input sheet'!U31</f>
        <v>#REF!</v>
      </c>
      <c r="W64" s="1" t="e">
        <f>'[7]Input sheet'!W31</f>
        <v>#REF!</v>
      </c>
      <c r="X64" s="1" t="e">
        <f>'[7]Input sheet'!X31</f>
        <v>#REF!</v>
      </c>
      <c r="Z64" s="1"/>
    </row>
    <row r="65" spans="1:28" ht="11.25" hidden="1">
      <c r="C65" s="164" t="s">
        <v>184</v>
      </c>
      <c r="G65" s="164" t="s">
        <v>176</v>
      </c>
      <c r="J65" s="170" t="e">
        <f t="shared" ref="J65:R65" si="40">J64/I64-1</f>
        <v>#DIV/0!</v>
      </c>
      <c r="K65" s="170" t="e">
        <f t="shared" si="40"/>
        <v>#DIV/0!</v>
      </c>
      <c r="L65" s="170" t="e">
        <f t="shared" si="40"/>
        <v>#DIV/0!</v>
      </c>
      <c r="M65" s="170" t="e">
        <f t="shared" si="40"/>
        <v>#DIV/0!</v>
      </c>
      <c r="N65" s="170" t="e">
        <f t="shared" si="40"/>
        <v>#DIV/0!</v>
      </c>
      <c r="O65" s="170">
        <f t="shared" si="40"/>
        <v>1.7020753047482629E-2</v>
      </c>
      <c r="P65" s="170">
        <f t="shared" si="40"/>
        <v>2.9649902275473039E-2</v>
      </c>
      <c r="Q65" s="170">
        <f t="shared" si="40"/>
        <v>4.1910003034942189E-2</v>
      </c>
      <c r="R65" s="170">
        <f t="shared" si="40"/>
        <v>3.3400796599792448E-2</v>
      </c>
      <c r="Z65" s="1"/>
      <c r="AB65" s="166"/>
    </row>
    <row r="66" spans="1:28" ht="11.25" hidden="1">
      <c r="A66" s="4" t="str">
        <f>'[7]Input sheet'!A32</f>
        <v>Turkey</v>
      </c>
      <c r="B66" s="129" t="str">
        <f>'[7]Input sheet'!B32</f>
        <v>Tourism Receipts &amp; Expenditure</v>
      </c>
      <c r="C66" s="4" t="str">
        <f>'[7]Input sheet'!C32</f>
        <v>Direct Tourism Output by Sector</v>
      </c>
      <c r="D66" s="2" t="str">
        <f>'[7]Input sheet'!D32</f>
        <v>Accommodation</v>
      </c>
      <c r="G66" s="1" t="str">
        <f>Home!$B$2&amp;" Million"</f>
        <v>Foriant Million</v>
      </c>
      <c r="H66" s="169"/>
      <c r="I66" s="169"/>
      <c r="J66" s="169"/>
      <c r="K66" s="169"/>
      <c r="L66" s="169"/>
      <c r="M66" s="169"/>
      <c r="N66" s="169" t="e">
        <f>N$64*N80</f>
        <v>#DIV/0!</v>
      </c>
      <c r="O66" s="169" t="e">
        <f>O$64*O80</f>
        <v>#DIV/0!</v>
      </c>
      <c r="P66" s="169" t="e">
        <f>P$64*P80</f>
        <v>#DIV/0!</v>
      </c>
      <c r="Q66" s="169" t="e">
        <f>Q$64*Q80</f>
        <v>#DIV/0!</v>
      </c>
      <c r="R66" s="169" t="e">
        <f>R$64*R80</f>
        <v>#DIV/0!</v>
      </c>
      <c r="T66" s="1" t="str">
        <f>'[7]Input sheet'!S32</f>
        <v>New</v>
      </c>
      <c r="U66" s="1" t="str">
        <f>'[7]Input sheet'!T32</f>
        <v>Used the direct tourism output numbers from the tourism satellite accounts - Note that this will include inflationary effects</v>
      </c>
      <c r="V66" s="1">
        <f>'[7]Input sheet'!U32</f>
        <v>0</v>
      </c>
      <c r="W66" s="1">
        <f>'[7]Input sheet'!W32</f>
        <v>0</v>
      </c>
      <c r="X66" s="1">
        <f>'[7]Input sheet'!X32</f>
        <v>0</v>
      </c>
      <c r="Z66" s="1"/>
    </row>
    <row r="67" spans="1:28" ht="11.25" hidden="1">
      <c r="C67" s="164" t="s">
        <v>184</v>
      </c>
      <c r="G67" s="164" t="s">
        <v>176</v>
      </c>
      <c r="J67" s="170" t="e">
        <f t="shared" ref="J67:R67" si="41">J66/I66-1</f>
        <v>#DIV/0!</v>
      </c>
      <c r="K67" s="170" t="e">
        <f t="shared" si="41"/>
        <v>#DIV/0!</v>
      </c>
      <c r="L67" s="170" t="e">
        <f t="shared" si="41"/>
        <v>#DIV/0!</v>
      </c>
      <c r="M67" s="170" t="e">
        <f t="shared" si="41"/>
        <v>#DIV/0!</v>
      </c>
      <c r="N67" s="170" t="e">
        <f t="shared" si="41"/>
        <v>#DIV/0!</v>
      </c>
      <c r="O67" s="170" t="e">
        <f t="shared" si="41"/>
        <v>#DIV/0!</v>
      </c>
      <c r="P67" s="170" t="e">
        <f t="shared" si="41"/>
        <v>#DIV/0!</v>
      </c>
      <c r="Q67" s="170" t="e">
        <f t="shared" si="41"/>
        <v>#DIV/0!</v>
      </c>
      <c r="R67" s="170" t="e">
        <f t="shared" si="41"/>
        <v>#DIV/0!</v>
      </c>
      <c r="Z67" s="1"/>
    </row>
    <row r="68" spans="1:28" ht="11.25" hidden="1">
      <c r="A68" s="4" t="str">
        <f>'[7]Input sheet'!A33</f>
        <v>Turkey</v>
      </c>
      <c r="B68" s="129" t="str">
        <f>'[7]Input sheet'!B33</f>
        <v>Tourism Receipts &amp; Expenditure</v>
      </c>
      <c r="C68" s="4" t="str">
        <f>'[7]Input sheet'!C33</f>
        <v>Direct Tourism Output by Sector</v>
      </c>
      <c r="D68" s="2" t="str">
        <f>'[7]Input sheet'!D33</f>
        <v>Entertainment &amp; Sightseeing</v>
      </c>
      <c r="G68" s="1" t="str">
        <f>Home!$B$2&amp;" Million"</f>
        <v>Foriant Million</v>
      </c>
      <c r="H68" s="169"/>
      <c r="I68" s="169"/>
      <c r="J68" s="169"/>
      <c r="K68" s="169"/>
      <c r="L68" s="169"/>
      <c r="M68" s="169"/>
      <c r="N68" s="169" t="e">
        <f>N64*N81</f>
        <v>#DIV/0!</v>
      </c>
      <c r="O68" s="169" t="e">
        <f>O64*O81</f>
        <v>#DIV/0!</v>
      </c>
      <c r="P68" s="169" t="e">
        <f>P64*P81</f>
        <v>#DIV/0!</v>
      </c>
      <c r="Q68" s="169" t="e">
        <f>Q64*Q81</f>
        <v>#DIV/0!</v>
      </c>
      <c r="R68" s="169" t="e">
        <f>R64*R81</f>
        <v>#DIV/0!</v>
      </c>
      <c r="T68" s="1" t="str">
        <f>'[7]Input sheet'!S33</f>
        <v>New</v>
      </c>
      <c r="U68" s="1" t="str">
        <f>'[7]Input sheet'!T33</f>
        <v>Used the direct tourism output numbers from the tourism satellite accounts - Note that this will include inflationary effects</v>
      </c>
      <c r="V68" s="1">
        <f>'[7]Input sheet'!U33</f>
        <v>0</v>
      </c>
      <c r="W68" s="1">
        <f>'[7]Input sheet'!W33</f>
        <v>0</v>
      </c>
      <c r="X68" s="1">
        <f>'[7]Input sheet'!X33</f>
        <v>0</v>
      </c>
      <c r="Z68" s="1"/>
    </row>
    <row r="69" spans="1:28" ht="11.25" hidden="1">
      <c r="C69" s="164" t="s">
        <v>184</v>
      </c>
      <c r="G69" s="164" t="s">
        <v>176</v>
      </c>
      <c r="J69" s="170" t="e">
        <f t="shared" ref="J69:R69" si="42">J68/I68-1</f>
        <v>#DIV/0!</v>
      </c>
      <c r="K69" s="170" t="e">
        <f t="shared" si="42"/>
        <v>#DIV/0!</v>
      </c>
      <c r="L69" s="170" t="e">
        <f t="shared" si="42"/>
        <v>#DIV/0!</v>
      </c>
      <c r="M69" s="170" t="e">
        <f t="shared" si="42"/>
        <v>#DIV/0!</v>
      </c>
      <c r="N69" s="170" t="e">
        <f t="shared" si="42"/>
        <v>#DIV/0!</v>
      </c>
      <c r="O69" s="170" t="e">
        <f t="shared" si="42"/>
        <v>#DIV/0!</v>
      </c>
      <c r="P69" s="170" t="e">
        <f t="shared" si="42"/>
        <v>#DIV/0!</v>
      </c>
      <c r="Q69" s="170" t="e">
        <f t="shared" si="42"/>
        <v>#DIV/0!</v>
      </c>
      <c r="R69" s="170" t="e">
        <f t="shared" si="42"/>
        <v>#DIV/0!</v>
      </c>
      <c r="Z69" s="1"/>
    </row>
    <row r="70" spans="1:28" ht="11.25" hidden="1">
      <c r="A70" s="4" t="str">
        <f>'[7]Input sheet'!A34</f>
        <v>Turkey</v>
      </c>
      <c r="B70" s="129" t="str">
        <f>'[7]Input sheet'!B34</f>
        <v>Tourism Receipts &amp; Expenditure</v>
      </c>
      <c r="C70" s="4" t="str">
        <f>'[7]Input sheet'!C34</f>
        <v>Direct Tourism Output by Sector</v>
      </c>
      <c r="D70" s="2" t="str">
        <f>'[7]Input sheet'!D34</f>
        <v>Foodservice</v>
      </c>
      <c r="G70" s="1" t="str">
        <f>Home!$B$2&amp;" Million"</f>
        <v>Foriant Million</v>
      </c>
      <c r="H70" s="169"/>
      <c r="I70" s="169"/>
      <c r="J70" s="169"/>
      <c r="K70" s="169"/>
      <c r="L70" s="169"/>
      <c r="M70" s="169"/>
      <c r="N70" s="169" t="e">
        <f>N64*N82</f>
        <v>#DIV/0!</v>
      </c>
      <c r="O70" s="169" t="e">
        <f>O64*O82</f>
        <v>#DIV/0!</v>
      </c>
      <c r="P70" s="169" t="e">
        <f>P64*P82</f>
        <v>#DIV/0!</v>
      </c>
      <c r="Q70" s="169" t="e">
        <f>Q64*Q82</f>
        <v>#DIV/0!</v>
      </c>
      <c r="R70" s="169" t="e">
        <f>R64*R82</f>
        <v>#DIV/0!</v>
      </c>
      <c r="T70" s="1" t="str">
        <f>'[7]Input sheet'!S34</f>
        <v>New</v>
      </c>
      <c r="U70" s="1" t="str">
        <f>'[7]Input sheet'!T34</f>
        <v>Used the direct tourism output numbers from the tourism satellite accounts - Note that this will include inflationary effects</v>
      </c>
      <c r="V70" s="1">
        <f>'[7]Input sheet'!U34</f>
        <v>0</v>
      </c>
      <c r="W70" s="1">
        <f>'[7]Input sheet'!W34</f>
        <v>0</v>
      </c>
      <c r="X70" s="1">
        <f>'[7]Input sheet'!X34</f>
        <v>0</v>
      </c>
      <c r="Z70" s="1"/>
    </row>
    <row r="71" spans="1:28" ht="11.25" hidden="1">
      <c r="C71" s="164" t="s">
        <v>184</v>
      </c>
      <c r="G71" s="164" t="s">
        <v>176</v>
      </c>
      <c r="J71" s="170" t="e">
        <f t="shared" ref="J71:R71" si="43">J70/I70-1</f>
        <v>#DIV/0!</v>
      </c>
      <c r="K71" s="170" t="e">
        <f t="shared" si="43"/>
        <v>#DIV/0!</v>
      </c>
      <c r="L71" s="170" t="e">
        <f t="shared" si="43"/>
        <v>#DIV/0!</v>
      </c>
      <c r="M71" s="170" t="e">
        <f t="shared" si="43"/>
        <v>#DIV/0!</v>
      </c>
      <c r="N71" s="170" t="e">
        <f t="shared" si="43"/>
        <v>#DIV/0!</v>
      </c>
      <c r="O71" s="170" t="e">
        <f t="shared" si="43"/>
        <v>#DIV/0!</v>
      </c>
      <c r="P71" s="170" t="e">
        <f t="shared" si="43"/>
        <v>#DIV/0!</v>
      </c>
      <c r="Q71" s="170" t="e">
        <f t="shared" si="43"/>
        <v>#DIV/0!</v>
      </c>
      <c r="R71" s="170" t="e">
        <f t="shared" si="43"/>
        <v>#DIV/0!</v>
      </c>
      <c r="Z71" s="1"/>
    </row>
    <row r="72" spans="1:28" ht="11.25" hidden="1">
      <c r="A72" s="4" t="str">
        <f>'[7]Input sheet'!A35</f>
        <v>Turkey</v>
      </c>
      <c r="B72" s="129" t="str">
        <f>'[7]Input sheet'!B35</f>
        <v>Tourism Receipts &amp; Expenditure</v>
      </c>
      <c r="C72" s="4" t="str">
        <f>'[7]Input sheet'!C35</f>
        <v>Direct Tourism Output by Sector</v>
      </c>
      <c r="D72" s="2" t="str">
        <f>'[7]Input sheet'!D35</f>
        <v>Retail</v>
      </c>
      <c r="G72" s="1" t="str">
        <f>Home!$B$2&amp;" Million"</f>
        <v>Foriant Million</v>
      </c>
      <c r="H72" s="169"/>
      <c r="I72" s="169"/>
      <c r="J72" s="169"/>
      <c r="K72" s="169"/>
      <c r="L72" s="169"/>
      <c r="M72" s="169"/>
      <c r="N72" s="169" t="e">
        <f>N64*N83</f>
        <v>#DIV/0!</v>
      </c>
      <c r="O72" s="169" t="e">
        <f>O64*O83</f>
        <v>#DIV/0!</v>
      </c>
      <c r="P72" s="169" t="e">
        <f>P64*P83</f>
        <v>#DIV/0!</v>
      </c>
      <c r="Q72" s="169" t="e">
        <f>Q64*Q83</f>
        <v>#DIV/0!</v>
      </c>
      <c r="R72" s="169" t="e">
        <f>R64*R83</f>
        <v>#DIV/0!</v>
      </c>
      <c r="T72" s="1" t="str">
        <f>'[7]Input sheet'!S35</f>
        <v>New</v>
      </c>
      <c r="U72" s="1" t="str">
        <f>'[7]Input sheet'!T35</f>
        <v>Used the direct tourism output numbers from the tourism satellite accounts - Note that this will include inflationary effects</v>
      </c>
      <c r="V72" s="1">
        <f>'[7]Input sheet'!U35</f>
        <v>0</v>
      </c>
      <c r="W72" s="1">
        <f>'[7]Input sheet'!W35</f>
        <v>0</v>
      </c>
      <c r="X72" s="1">
        <f>'[7]Input sheet'!X35</f>
        <v>0</v>
      </c>
      <c r="Z72" s="1"/>
    </row>
    <row r="73" spans="1:28" ht="11.25" hidden="1">
      <c r="C73" s="164" t="s">
        <v>184</v>
      </c>
      <c r="G73" s="164" t="s">
        <v>176</v>
      </c>
      <c r="J73" s="170" t="e">
        <f t="shared" ref="J73:R73" si="44">J72/I72-1</f>
        <v>#DIV/0!</v>
      </c>
      <c r="K73" s="170" t="e">
        <f t="shared" si="44"/>
        <v>#DIV/0!</v>
      </c>
      <c r="L73" s="170" t="e">
        <f t="shared" si="44"/>
        <v>#DIV/0!</v>
      </c>
      <c r="M73" s="170" t="e">
        <f t="shared" si="44"/>
        <v>#DIV/0!</v>
      </c>
      <c r="N73" s="170" t="e">
        <f t="shared" si="44"/>
        <v>#DIV/0!</v>
      </c>
      <c r="O73" s="170" t="e">
        <f t="shared" si="44"/>
        <v>#DIV/0!</v>
      </c>
      <c r="P73" s="170" t="e">
        <f t="shared" si="44"/>
        <v>#DIV/0!</v>
      </c>
      <c r="Q73" s="170" t="e">
        <f t="shared" si="44"/>
        <v>#DIV/0!</v>
      </c>
      <c r="R73" s="170" t="e">
        <f t="shared" si="44"/>
        <v>#DIV/0!</v>
      </c>
      <c r="Z73" s="1"/>
    </row>
    <row r="74" spans="1:28" ht="11.25" hidden="1">
      <c r="A74" s="4" t="str">
        <f>'[7]Input sheet'!A36</f>
        <v>Turkey</v>
      </c>
      <c r="B74" s="129" t="str">
        <f>'[7]Input sheet'!B36</f>
        <v>Tourism Receipts &amp; Expenditure</v>
      </c>
      <c r="C74" s="4" t="str">
        <f>'[7]Input sheet'!C36</f>
        <v>Direct Tourism Output by Sector</v>
      </c>
      <c r="D74" s="2" t="str">
        <f>'[7]Input sheet'!D36</f>
        <v>Transportation</v>
      </c>
      <c r="G74" s="1" t="str">
        <f>Home!$B$2&amp;" Million"</f>
        <v>Foriant Million</v>
      </c>
      <c r="H74" s="169"/>
      <c r="I74" s="169"/>
      <c r="J74" s="169"/>
      <c r="K74" s="169"/>
      <c r="L74" s="169"/>
      <c r="M74" s="169"/>
      <c r="N74" s="169" t="e">
        <f>N64*N84</f>
        <v>#DIV/0!</v>
      </c>
      <c r="O74" s="169" t="e">
        <f>O64*O84</f>
        <v>#DIV/0!</v>
      </c>
      <c r="P74" s="169" t="e">
        <f>P64*P84</f>
        <v>#DIV/0!</v>
      </c>
      <c r="Q74" s="169" t="e">
        <f>Q64*Q84</f>
        <v>#DIV/0!</v>
      </c>
      <c r="R74" s="169" t="e">
        <f>R64*R84</f>
        <v>#DIV/0!</v>
      </c>
      <c r="T74" s="1" t="str">
        <f>'[7]Input sheet'!S36</f>
        <v>New</v>
      </c>
      <c r="U74" s="1" t="str">
        <f>'[7]Input sheet'!T36</f>
        <v>Used the direct tourism output numbers from the tourism satellite accounts - Note that this will include inflationary effects</v>
      </c>
      <c r="V74" s="1">
        <f>'[7]Input sheet'!U36</f>
        <v>0</v>
      </c>
      <c r="W74" s="1">
        <f>'[7]Input sheet'!W36</f>
        <v>0</v>
      </c>
      <c r="X74" s="1">
        <f>'[7]Input sheet'!X36</f>
        <v>0</v>
      </c>
      <c r="Z74" s="1"/>
    </row>
    <row r="75" spans="1:28" ht="11.25" hidden="1">
      <c r="C75" s="164" t="s">
        <v>184</v>
      </c>
      <c r="G75" s="164" t="s">
        <v>176</v>
      </c>
      <c r="J75" s="170" t="e">
        <f t="shared" ref="J75:R75" si="45">J74/I74-1</f>
        <v>#DIV/0!</v>
      </c>
      <c r="K75" s="170" t="e">
        <f t="shared" si="45"/>
        <v>#DIV/0!</v>
      </c>
      <c r="L75" s="170" t="e">
        <f t="shared" si="45"/>
        <v>#DIV/0!</v>
      </c>
      <c r="M75" s="177" t="e">
        <f t="shared" si="45"/>
        <v>#DIV/0!</v>
      </c>
      <c r="N75" s="170" t="e">
        <f t="shared" si="45"/>
        <v>#DIV/0!</v>
      </c>
      <c r="O75" s="170" t="e">
        <f t="shared" si="45"/>
        <v>#DIV/0!</v>
      </c>
      <c r="P75" s="170" t="e">
        <f t="shared" si="45"/>
        <v>#DIV/0!</v>
      </c>
      <c r="Q75" s="170" t="e">
        <f t="shared" si="45"/>
        <v>#DIV/0!</v>
      </c>
      <c r="R75" s="170" t="e">
        <f t="shared" si="45"/>
        <v>#DIV/0!</v>
      </c>
      <c r="Z75" s="1"/>
    </row>
    <row r="76" spans="1:28" ht="11.25" hidden="1">
      <c r="A76" s="4" t="str">
        <f>'[7]Input sheet'!A37</f>
        <v>Turkey</v>
      </c>
      <c r="B76" s="129" t="str">
        <f>'[7]Input sheet'!B37</f>
        <v>Tourism Receipts &amp; Expenditure</v>
      </c>
      <c r="C76" s="4" t="str">
        <f>'[7]Input sheet'!C37</f>
        <v>Direct Tourism Output by Sector</v>
      </c>
      <c r="D76" s="2" t="str">
        <f>'[7]Input sheet'!D37</f>
        <v>Travel Intermediation</v>
      </c>
      <c r="G76" s="1" t="str">
        <f>Home!$B$2&amp;" Million"</f>
        <v>Foriant Million</v>
      </c>
      <c r="H76" s="169"/>
      <c r="I76" s="169"/>
      <c r="J76" s="169"/>
      <c r="K76" s="169"/>
      <c r="L76" s="169"/>
      <c r="M76" s="169"/>
      <c r="N76" s="169" t="e">
        <f>N64*N85</f>
        <v>#DIV/0!</v>
      </c>
      <c r="O76" s="169" t="e">
        <f>O64*O85</f>
        <v>#DIV/0!</v>
      </c>
      <c r="P76" s="169" t="e">
        <f>P64*P85</f>
        <v>#DIV/0!</v>
      </c>
      <c r="Q76" s="169" t="e">
        <f>Q64*Q85</f>
        <v>#DIV/0!</v>
      </c>
      <c r="R76" s="169" t="e">
        <f>R64*R85</f>
        <v>#DIV/0!</v>
      </c>
      <c r="T76" s="1" t="str">
        <f>'[7]Input sheet'!S37</f>
        <v>New</v>
      </c>
      <c r="U76" s="1" t="str">
        <f>'[7]Input sheet'!T37</f>
        <v>Used the direct tourism output numbers from the tourism satellite accounts - Note that this will include inflationary effects</v>
      </c>
      <c r="V76" s="1">
        <f>'[7]Input sheet'!U37</f>
        <v>0</v>
      </c>
      <c r="W76" s="1">
        <f>'[7]Input sheet'!W37</f>
        <v>0</v>
      </c>
      <c r="X76" s="1">
        <f>'[7]Input sheet'!X37</f>
        <v>0</v>
      </c>
      <c r="Z76" s="1"/>
    </row>
    <row r="77" spans="1:28" ht="11.25" hidden="1">
      <c r="C77" s="164" t="s">
        <v>184</v>
      </c>
      <c r="G77" s="164" t="s">
        <v>176</v>
      </c>
      <c r="J77" s="170" t="e">
        <f t="shared" ref="J77:R77" si="46">J76/I76-1</f>
        <v>#DIV/0!</v>
      </c>
      <c r="K77" s="170" t="e">
        <f t="shared" si="46"/>
        <v>#DIV/0!</v>
      </c>
      <c r="L77" s="170" t="e">
        <f t="shared" si="46"/>
        <v>#DIV/0!</v>
      </c>
      <c r="M77" s="177" t="e">
        <f t="shared" si="46"/>
        <v>#DIV/0!</v>
      </c>
      <c r="N77" s="170" t="e">
        <f t="shared" si="46"/>
        <v>#DIV/0!</v>
      </c>
      <c r="O77" s="170" t="e">
        <f t="shared" si="46"/>
        <v>#DIV/0!</v>
      </c>
      <c r="P77" s="170" t="e">
        <f t="shared" si="46"/>
        <v>#DIV/0!</v>
      </c>
      <c r="Q77" s="170" t="e">
        <f t="shared" si="46"/>
        <v>#DIV/0!</v>
      </c>
      <c r="R77" s="170" t="e">
        <f t="shared" si="46"/>
        <v>#DIV/0!</v>
      </c>
      <c r="Z77" s="1"/>
    </row>
    <row r="78" spans="1:28" ht="11.25" hidden="1">
      <c r="A78" s="4" t="str">
        <f>'[7]Input sheet'!A38</f>
        <v>Turkey</v>
      </c>
      <c r="B78" s="129" t="str">
        <f>'[7]Input sheet'!B38</f>
        <v>Tourism Receipts &amp; Expenditure</v>
      </c>
      <c r="C78" s="4" t="str">
        <f>'[7]Input sheet'!C38</f>
        <v>Direct Tourism Output by Sector</v>
      </c>
      <c r="D78" s="2" t="str">
        <f>'[7]Input sheet'!D38</f>
        <v>Other Sectors</v>
      </c>
      <c r="G78" s="1" t="str">
        <f>Home!$B$2&amp;" Million"</f>
        <v>Foriant Million</v>
      </c>
      <c r="H78" s="169"/>
      <c r="I78" s="169"/>
      <c r="J78" s="169"/>
      <c r="K78" s="169"/>
      <c r="L78" s="169"/>
      <c r="M78" s="169"/>
      <c r="N78" s="169" t="e">
        <f>N64*N86</f>
        <v>#DIV/0!</v>
      </c>
      <c r="O78" s="169" t="e">
        <f>O64*O86</f>
        <v>#DIV/0!</v>
      </c>
      <c r="P78" s="169" t="e">
        <f>P64*P86</f>
        <v>#DIV/0!</v>
      </c>
      <c r="Q78" s="169" t="e">
        <f>Q64*Q86</f>
        <v>#DIV/0!</v>
      </c>
      <c r="R78" s="169" t="e">
        <f>R64*R86</f>
        <v>#DIV/0!</v>
      </c>
      <c r="T78" s="1" t="str">
        <f>'[7]Input sheet'!S38</f>
        <v>New</v>
      </c>
      <c r="U78" s="1" t="str">
        <f>'[7]Input sheet'!T38</f>
        <v>Used the direct tourism output numbers from the tourism satellite accounts - Note that this will include inflationary effects</v>
      </c>
      <c r="V78" s="1">
        <f>'[7]Input sheet'!U38</f>
        <v>0</v>
      </c>
      <c r="W78" s="1">
        <f>'[7]Input sheet'!W38</f>
        <v>0</v>
      </c>
      <c r="X78" s="1">
        <f>'[7]Input sheet'!X38</f>
        <v>0</v>
      </c>
      <c r="Z78" s="1"/>
    </row>
    <row r="79" spans="1:28" ht="11.25" hidden="1">
      <c r="C79" s="164" t="s">
        <v>184</v>
      </c>
      <c r="G79" s="164" t="s">
        <v>176</v>
      </c>
      <c r="J79" s="170" t="e">
        <f t="shared" ref="J79:R79" si="47">J78/I78-1</f>
        <v>#DIV/0!</v>
      </c>
      <c r="K79" s="170" t="e">
        <f t="shared" si="47"/>
        <v>#DIV/0!</v>
      </c>
      <c r="L79" s="170" t="e">
        <f t="shared" si="47"/>
        <v>#DIV/0!</v>
      </c>
      <c r="M79" s="170" t="e">
        <f t="shared" si="47"/>
        <v>#DIV/0!</v>
      </c>
      <c r="N79" s="170" t="e">
        <f t="shared" si="47"/>
        <v>#DIV/0!</v>
      </c>
      <c r="O79" s="170" t="e">
        <f t="shared" si="47"/>
        <v>#DIV/0!</v>
      </c>
      <c r="P79" s="170" t="e">
        <f t="shared" si="47"/>
        <v>#DIV/0!</v>
      </c>
      <c r="Q79" s="170" t="e">
        <f t="shared" si="47"/>
        <v>#DIV/0!</v>
      </c>
      <c r="R79" s="170" t="e">
        <f t="shared" si="47"/>
        <v>#DIV/0!</v>
      </c>
      <c r="Z79" s="1"/>
    </row>
    <row r="80" spans="1:28" hidden="1" outlineLevel="1">
      <c r="B80" s="34"/>
      <c r="C80" s="174" t="s">
        <v>338</v>
      </c>
      <c r="D80" s="175"/>
      <c r="E80" s="34"/>
      <c r="F80" s="34"/>
      <c r="G80" s="174"/>
      <c r="H80" s="178" t="e">
        <f t="shared" ref="H80:M80" si="48">H66/H$64</f>
        <v>#DIV/0!</v>
      </c>
      <c r="I80" s="178" t="e">
        <f t="shared" si="48"/>
        <v>#DIV/0!</v>
      </c>
      <c r="J80" s="178" t="e">
        <f t="shared" si="48"/>
        <v>#DIV/0!</v>
      </c>
      <c r="K80" s="178" t="e">
        <f t="shared" si="48"/>
        <v>#DIV/0!</v>
      </c>
      <c r="L80" s="178" t="e">
        <f t="shared" si="48"/>
        <v>#DIV/0!</v>
      </c>
      <c r="M80" s="178" t="e">
        <f t="shared" si="48"/>
        <v>#DIV/0!</v>
      </c>
      <c r="N80" s="56" t="e">
        <f>M80*(1+(((M80/I80)^(1/4))-1))*0.9999</f>
        <v>#DIV/0!</v>
      </c>
      <c r="O80" s="56" t="e">
        <f>N80*(1+(((N80/J80)^(1/4))-1))*0.98</f>
        <v>#DIV/0!</v>
      </c>
      <c r="P80" s="56" t="e">
        <f>O80*(1+(((O80/K80)^(1/4))-1))*0.975</f>
        <v>#DIV/0!</v>
      </c>
      <c r="Q80" s="56" t="e">
        <f>P80*(1+(((P80/L80)^(1/4))-1))*0.97</f>
        <v>#DIV/0!</v>
      </c>
      <c r="R80" s="56" t="e">
        <f>Q80*(1+(((Q80/M80)^(1/4))-1))</f>
        <v>#DIV/0!</v>
      </c>
      <c r="Z80" s="1"/>
    </row>
    <row r="81" spans="1:26" hidden="1" outlineLevel="1">
      <c r="B81" s="34"/>
      <c r="C81" s="174" t="s">
        <v>339</v>
      </c>
      <c r="D81" s="175"/>
      <c r="E81" s="34"/>
      <c r="F81" s="34"/>
      <c r="G81" s="174"/>
      <c r="H81" s="178" t="e">
        <f t="shared" ref="H81:M81" si="49">H68/H64</f>
        <v>#DIV/0!</v>
      </c>
      <c r="I81" s="178" t="e">
        <f t="shared" si="49"/>
        <v>#DIV/0!</v>
      </c>
      <c r="J81" s="178" t="e">
        <f t="shared" si="49"/>
        <v>#DIV/0!</v>
      </c>
      <c r="K81" s="178" t="e">
        <f t="shared" si="49"/>
        <v>#DIV/0!</v>
      </c>
      <c r="L81" s="178" t="e">
        <f t="shared" si="49"/>
        <v>#DIV/0!</v>
      </c>
      <c r="M81" s="178" t="e">
        <f t="shared" si="49"/>
        <v>#DIV/0!</v>
      </c>
      <c r="N81" s="56" t="e">
        <f>M81*(1+(((M81/I81)^(1/4))-1)*0.05)</f>
        <v>#DIV/0!</v>
      </c>
      <c r="O81" s="56" t="e">
        <f>N81*(1+(((N81/J81)^(1/4))-1))*1.09</f>
        <v>#DIV/0!</v>
      </c>
      <c r="P81" s="56" t="e">
        <f>O81*(1+(((O81/K81)^(1/4))-1))*1.025</f>
        <v>#DIV/0!</v>
      </c>
      <c r="Q81" s="56" t="e">
        <f>P81*(1+(((P81/L81)^(1/4))-1))*1.057</f>
        <v>#DIV/0!</v>
      </c>
      <c r="R81" s="56" t="e">
        <f>Q81*(1+(((Q81/M81)^(1/4))-1))*0.995</f>
        <v>#DIV/0!</v>
      </c>
      <c r="Z81" s="1"/>
    </row>
    <row r="82" spans="1:26" hidden="1" outlineLevel="1">
      <c r="B82" s="34"/>
      <c r="C82" s="174" t="s">
        <v>340</v>
      </c>
      <c r="D82" s="175"/>
      <c r="E82" s="34"/>
      <c r="F82" s="34"/>
      <c r="G82" s="174"/>
      <c r="H82" s="178" t="e">
        <f t="shared" ref="H82:M82" si="50">H70/H64</f>
        <v>#DIV/0!</v>
      </c>
      <c r="I82" s="178" t="e">
        <f t="shared" si="50"/>
        <v>#DIV/0!</v>
      </c>
      <c r="J82" s="178" t="e">
        <f t="shared" si="50"/>
        <v>#DIV/0!</v>
      </c>
      <c r="K82" s="178" t="e">
        <f t="shared" si="50"/>
        <v>#DIV/0!</v>
      </c>
      <c r="L82" s="178" t="e">
        <f t="shared" si="50"/>
        <v>#DIV/0!</v>
      </c>
      <c r="M82" s="178" t="e">
        <f t="shared" si="50"/>
        <v>#DIV/0!</v>
      </c>
      <c r="N82" s="56" t="e">
        <f>M82*(1+(((M82/I82)^(1/4))-1))*0.982</f>
        <v>#DIV/0!</v>
      </c>
      <c r="O82" s="56" t="e">
        <f>N82*(1+(((N82/J82)^(1/4))-1))*0.988</f>
        <v>#DIV/0!</v>
      </c>
      <c r="P82" s="56" t="e">
        <f>O82*(1+(((O82/K82)^(1/4))-1))*0.998</f>
        <v>#DIV/0!</v>
      </c>
      <c r="Q82" s="56" t="e">
        <f t="shared" ref="Q82:R83" si="51">P82*(1+(((P82/L82)^(1/4))-1))</f>
        <v>#DIV/0!</v>
      </c>
      <c r="R82" s="56" t="e">
        <f>Q82*(1+(((Q82/M82)^(1/4))-1))*1.001</f>
        <v>#DIV/0!</v>
      </c>
      <c r="Z82" s="1"/>
    </row>
    <row r="83" spans="1:26" hidden="1" outlineLevel="1">
      <c r="B83" s="34"/>
      <c r="C83" s="174" t="s">
        <v>341</v>
      </c>
      <c r="D83" s="175"/>
      <c r="E83" s="34"/>
      <c r="F83" s="34"/>
      <c r="G83" s="174"/>
      <c r="H83" s="178" t="e">
        <f t="shared" ref="H83:M83" si="52">H72/H64</f>
        <v>#DIV/0!</v>
      </c>
      <c r="I83" s="178" t="e">
        <f t="shared" si="52"/>
        <v>#DIV/0!</v>
      </c>
      <c r="J83" s="178" t="e">
        <f t="shared" si="52"/>
        <v>#DIV/0!</v>
      </c>
      <c r="K83" s="178" t="e">
        <f t="shared" si="52"/>
        <v>#DIV/0!</v>
      </c>
      <c r="L83" s="178" t="e">
        <f t="shared" si="52"/>
        <v>#DIV/0!</v>
      </c>
      <c r="M83" s="178" t="e">
        <f t="shared" si="52"/>
        <v>#DIV/0!</v>
      </c>
      <c r="N83" s="56" t="e">
        <f>M83*(1+(((M83/I83)^(1/4))-1))*1.015</f>
        <v>#DIV/0!</v>
      </c>
      <c r="O83" s="56" t="e">
        <f>N83*(1+(((N83/J83)^(1/4))-1))*1.017</f>
        <v>#DIV/0!</v>
      </c>
      <c r="P83" s="56" t="e">
        <f>O83*(1+(((O83/K83)^(1/4))-1))*1.012</f>
        <v>#DIV/0!</v>
      </c>
      <c r="Q83" s="56" t="e">
        <f>P83*(1+(((P83/L83)^(1/4))-1))*0.995</f>
        <v>#DIV/0!</v>
      </c>
      <c r="R83" s="56" t="e">
        <f t="shared" si="51"/>
        <v>#DIV/0!</v>
      </c>
      <c r="Z83" s="1"/>
    </row>
    <row r="84" spans="1:26" hidden="1" outlineLevel="1">
      <c r="B84" s="34"/>
      <c r="C84" s="174" t="s">
        <v>342</v>
      </c>
      <c r="D84" s="175"/>
      <c r="E84" s="34"/>
      <c r="F84" s="34"/>
      <c r="G84" s="174"/>
      <c r="H84" s="178" t="e">
        <f t="shared" ref="H84:M84" si="53">H74/H64</f>
        <v>#DIV/0!</v>
      </c>
      <c r="I84" s="178" t="e">
        <f t="shared" si="53"/>
        <v>#DIV/0!</v>
      </c>
      <c r="J84" s="178" t="e">
        <f t="shared" si="53"/>
        <v>#DIV/0!</v>
      </c>
      <c r="K84" s="178" t="e">
        <f t="shared" si="53"/>
        <v>#DIV/0!</v>
      </c>
      <c r="L84" s="178" t="e">
        <f t="shared" si="53"/>
        <v>#DIV/0!</v>
      </c>
      <c r="M84" s="178" t="e">
        <f t="shared" si="53"/>
        <v>#DIV/0!</v>
      </c>
      <c r="N84" s="56" t="e">
        <f>M84*(1+(((M84/I84)^(1/4))-1))*0.998</f>
        <v>#DIV/0!</v>
      </c>
      <c r="O84" s="56" t="e">
        <f>N84*(1+(((N84/J84)^(1/4))-1))*1.007</f>
        <v>#DIV/0!</v>
      </c>
      <c r="P84" s="56" t="e">
        <f>O84*(1+(((O84/K84)^(1/4))-1))*0.995</f>
        <v>#DIV/0!</v>
      </c>
      <c r="Q84" s="56" t="e">
        <f>P84*(1+(((P84/L84)^(1/4))-1))*1.001</f>
        <v>#DIV/0!</v>
      </c>
      <c r="R84" s="56" t="e">
        <f>Q84*(1+(((Q84/M84)^(1/4))-1))*0.998</f>
        <v>#DIV/0!</v>
      </c>
      <c r="Z84" s="1"/>
    </row>
    <row r="85" spans="1:26" hidden="1" outlineLevel="1">
      <c r="B85" s="34"/>
      <c r="C85" s="174" t="s">
        <v>343</v>
      </c>
      <c r="D85" s="175"/>
      <c r="E85" s="34"/>
      <c r="F85" s="34"/>
      <c r="G85" s="174"/>
      <c r="H85" s="178" t="e">
        <f t="shared" ref="H85:M85" si="54">H76/H64</f>
        <v>#DIV/0!</v>
      </c>
      <c r="I85" s="178" t="e">
        <f t="shared" si="54"/>
        <v>#DIV/0!</v>
      </c>
      <c r="J85" s="178" t="e">
        <f t="shared" si="54"/>
        <v>#DIV/0!</v>
      </c>
      <c r="K85" s="178" t="e">
        <f t="shared" si="54"/>
        <v>#DIV/0!</v>
      </c>
      <c r="L85" s="178" t="e">
        <f t="shared" si="54"/>
        <v>#DIV/0!</v>
      </c>
      <c r="M85" s="178" t="e">
        <f t="shared" si="54"/>
        <v>#DIV/0!</v>
      </c>
      <c r="N85" s="56" t="e">
        <f>M85*(1+(((M85/I85)^(1/4))-1))*0.972</f>
        <v>#DIV/0!</v>
      </c>
      <c r="O85" s="56" t="e">
        <f>N85*(1+(((N85/J85)^(1/4))-1))*0.973</f>
        <v>#DIV/0!</v>
      </c>
      <c r="P85" s="56" t="e">
        <f>O85*(1+(((O85/K85)^(1/4))-1))*0.992</f>
        <v>#DIV/0!</v>
      </c>
      <c r="Q85" s="56" t="e">
        <f>P85*(1+(((P85/L85)^(1/4))-1))*1.003</f>
        <v>#DIV/0!</v>
      </c>
      <c r="R85" s="56" t="e">
        <f t="shared" ref="R85" si="55">Q85*(1+(((Q85/M85)^(1/4))-1))</f>
        <v>#DIV/0!</v>
      </c>
      <c r="Z85" s="1"/>
    </row>
    <row r="86" spans="1:26" ht="11.25" hidden="1" outlineLevel="1">
      <c r="B86" s="34"/>
      <c r="C86" s="174" t="s">
        <v>344</v>
      </c>
      <c r="D86" s="175"/>
      <c r="E86" s="34"/>
      <c r="F86" s="34"/>
      <c r="G86" s="174"/>
      <c r="H86" s="178" t="e">
        <f t="shared" ref="H86:M86" si="56">H78/H64</f>
        <v>#DIV/0!</v>
      </c>
      <c r="I86" s="178" t="e">
        <f t="shared" si="56"/>
        <v>#DIV/0!</v>
      </c>
      <c r="J86" s="178" t="e">
        <f t="shared" si="56"/>
        <v>#DIV/0!</v>
      </c>
      <c r="K86" s="178" t="e">
        <f t="shared" si="56"/>
        <v>#DIV/0!</v>
      </c>
      <c r="L86" s="178" t="e">
        <f t="shared" si="56"/>
        <v>#DIV/0!</v>
      </c>
      <c r="M86" s="178" t="e">
        <f t="shared" si="56"/>
        <v>#DIV/0!</v>
      </c>
      <c r="N86" s="178" t="e">
        <f>1-SUM(N80:N85)</f>
        <v>#DIV/0!</v>
      </c>
      <c r="O86" s="178" t="e">
        <f>1-SUM(O80:O85)</f>
        <v>#DIV/0!</v>
      </c>
      <c r="P86" s="178" t="e">
        <f>1-SUM(P80:P85)</f>
        <v>#DIV/0!</v>
      </c>
      <c r="Q86" s="178" t="e">
        <f>1-SUM(Q80:Q85)</f>
        <v>#DIV/0!</v>
      </c>
      <c r="R86" s="178" t="e">
        <f>1-SUM(R80:R85)</f>
        <v>#DIV/0!</v>
      </c>
      <c r="Z86" s="1"/>
    </row>
    <row r="87" spans="1:26" ht="11.25" hidden="1">
      <c r="A87" s="125" t="str">
        <f>'[7]Input sheet'!A39</f>
        <v>Turkey</v>
      </c>
      <c r="B87" s="125" t="str">
        <f>'[7]Input sheet'!B39</f>
        <v>Tourism Receipts &amp; Expenditure</v>
      </c>
      <c r="C87" s="134" t="str">
        <f>'[7]Input sheet'!C39</f>
        <v>Indirect Tourism Output by Sector</v>
      </c>
      <c r="D87" s="134"/>
      <c r="E87" s="135"/>
      <c r="F87" s="135"/>
      <c r="G87" s="260" t="str">
        <f>Home!$B$2&amp;" Million"</f>
        <v>Foriant Million</v>
      </c>
      <c r="H87" s="167"/>
      <c r="I87" s="167"/>
      <c r="J87" s="167"/>
      <c r="K87" s="167"/>
      <c r="L87" s="167"/>
      <c r="M87" s="167"/>
      <c r="N87" s="167" t="e">
        <f>N89+N91+N93+N95+N97+N99+N101</f>
        <v>#DIV/0!</v>
      </c>
      <c r="O87" s="167" t="e">
        <f>O89+O91+O93+O95+O97+O99+O101</f>
        <v>#DIV/0!</v>
      </c>
      <c r="P87" s="167" t="e">
        <f>P89+P91+P93+P95+P97+P99+P101</f>
        <v>#DIV/0!</v>
      </c>
      <c r="Q87" s="167" t="e">
        <f>Q89+Q91+Q93+Q95+Q97+Q99+Q101</f>
        <v>#DIV/0!</v>
      </c>
      <c r="R87" s="167" t="e">
        <f>R89+R91+R93+R95+R97+R99+R101</f>
        <v>#DIV/0!</v>
      </c>
      <c r="T87" s="1" t="str">
        <f>'[7]Input sheet'!S39</f>
        <v>New</v>
      </c>
      <c r="U87" s="1" t="str">
        <f>'[7]Input sheet'!T39</f>
        <v>Total tourism output - direct tourism output</v>
      </c>
      <c r="V87" s="1" t="e">
        <f>'[7]Input sheet'!U39</f>
        <v>#REF!</v>
      </c>
      <c r="W87" s="1" t="e">
        <f>'[7]Input sheet'!W39</f>
        <v>#REF!</v>
      </c>
      <c r="X87" s="1">
        <f>'[7]Input sheet'!X39</f>
        <v>0</v>
      </c>
      <c r="Z87" s="1"/>
    </row>
    <row r="88" spans="1:26" ht="11.25" hidden="1">
      <c r="C88" s="164" t="s">
        <v>184</v>
      </c>
      <c r="G88" s="164" t="s">
        <v>176</v>
      </c>
      <c r="J88" s="170" t="e">
        <f t="shared" ref="J88:R88" si="57">J87/I87-1</f>
        <v>#DIV/0!</v>
      </c>
      <c r="K88" s="170" t="e">
        <f t="shared" si="57"/>
        <v>#DIV/0!</v>
      </c>
      <c r="L88" s="170" t="e">
        <f t="shared" si="57"/>
        <v>#DIV/0!</v>
      </c>
      <c r="M88" s="170" t="e">
        <f t="shared" si="57"/>
        <v>#DIV/0!</v>
      </c>
      <c r="N88" s="170" t="e">
        <f t="shared" si="57"/>
        <v>#DIV/0!</v>
      </c>
      <c r="O88" s="170" t="e">
        <f t="shared" si="57"/>
        <v>#DIV/0!</v>
      </c>
      <c r="P88" s="170" t="e">
        <f t="shared" si="57"/>
        <v>#DIV/0!</v>
      </c>
      <c r="Q88" s="170" t="e">
        <f t="shared" si="57"/>
        <v>#DIV/0!</v>
      </c>
      <c r="R88" s="170" t="e">
        <f t="shared" si="57"/>
        <v>#DIV/0!</v>
      </c>
      <c r="Z88" s="1"/>
    </row>
    <row r="89" spans="1:26" ht="11.25" hidden="1">
      <c r="A89" s="4" t="str">
        <f>'[7]Input sheet'!A40</f>
        <v>Turkey</v>
      </c>
      <c r="B89" s="129" t="str">
        <f>'[7]Input sheet'!B40</f>
        <v>Tourism Receipts &amp; Expenditure</v>
      </c>
      <c r="C89" s="4" t="str">
        <f>'[7]Input sheet'!C40</f>
        <v>Indirect Tourism Output by Sector</v>
      </c>
      <c r="D89" s="2" t="str">
        <f>'[7]Input sheet'!D40</f>
        <v>Accommodation</v>
      </c>
      <c r="G89" s="1" t="str">
        <f>Home!$B$2&amp;" Million"</f>
        <v>Foriant Million</v>
      </c>
      <c r="H89" s="169"/>
      <c r="I89" s="169"/>
      <c r="J89" s="169"/>
      <c r="K89" s="169"/>
      <c r="L89" s="169"/>
      <c r="M89" s="169"/>
      <c r="N89" s="169" t="e">
        <f>N104*N66</f>
        <v>#DIV/0!</v>
      </c>
      <c r="O89" s="169" t="e">
        <f>O104*O66</f>
        <v>#DIV/0!</v>
      </c>
      <c r="P89" s="169" t="e">
        <f>P104*P66</f>
        <v>#DIV/0!</v>
      </c>
      <c r="Q89" s="169" t="e">
        <f>Q104*Q66</f>
        <v>#DIV/0!</v>
      </c>
      <c r="R89" s="169" t="e">
        <f>R104*R66</f>
        <v>#DIV/0!</v>
      </c>
      <c r="T89" s="1" t="str">
        <f>'[7]Input sheet'!S40</f>
        <v>New</v>
      </c>
      <c r="U89" s="1" t="str">
        <f>'[7]Input sheet'!T40</f>
        <v>Total tourism output - direct tourism output</v>
      </c>
      <c r="V89" s="1" t="e">
        <f>'[7]Input sheet'!U40</f>
        <v>#REF!</v>
      </c>
      <c r="W89" s="1" t="e">
        <f>'[7]Input sheet'!W40</f>
        <v>#REF!</v>
      </c>
      <c r="X89" s="1" t="e">
        <f>'[7]Input sheet'!X40</f>
        <v>#REF!</v>
      </c>
      <c r="Z89" s="1"/>
    </row>
    <row r="90" spans="1:26" ht="11.25" hidden="1">
      <c r="C90" s="164" t="s">
        <v>184</v>
      </c>
      <c r="G90" s="164" t="s">
        <v>176</v>
      </c>
      <c r="J90" s="170" t="e">
        <f t="shared" ref="J90:R90" si="58">J89/I89-1</f>
        <v>#DIV/0!</v>
      </c>
      <c r="K90" s="170" t="e">
        <f t="shared" si="58"/>
        <v>#DIV/0!</v>
      </c>
      <c r="L90" s="170" t="e">
        <f t="shared" si="58"/>
        <v>#DIV/0!</v>
      </c>
      <c r="M90" s="170" t="e">
        <f t="shared" si="58"/>
        <v>#DIV/0!</v>
      </c>
      <c r="N90" s="170" t="e">
        <f t="shared" si="58"/>
        <v>#DIV/0!</v>
      </c>
      <c r="O90" s="170" t="e">
        <f t="shared" si="58"/>
        <v>#DIV/0!</v>
      </c>
      <c r="P90" s="170" t="e">
        <f t="shared" si="58"/>
        <v>#DIV/0!</v>
      </c>
      <c r="Q90" s="170" t="e">
        <f t="shared" si="58"/>
        <v>#DIV/0!</v>
      </c>
      <c r="R90" s="170" t="e">
        <f t="shared" si="58"/>
        <v>#DIV/0!</v>
      </c>
      <c r="Z90" s="1"/>
    </row>
    <row r="91" spans="1:26" ht="11.25" hidden="1">
      <c r="A91" s="4" t="str">
        <f>'[7]Input sheet'!A41</f>
        <v>Turkey</v>
      </c>
      <c r="B91" s="129" t="str">
        <f>'[7]Input sheet'!B41</f>
        <v>Tourism Receipts &amp; Expenditure</v>
      </c>
      <c r="C91" s="4" t="str">
        <f>'[7]Input sheet'!C41</f>
        <v>Indirect Tourism Output by Sector</v>
      </c>
      <c r="D91" s="2" t="str">
        <f>'[7]Input sheet'!D41</f>
        <v>Entertainment &amp; Sightseeing</v>
      </c>
      <c r="G91" s="1" t="str">
        <f>Home!$B$2&amp;" Million"</f>
        <v>Foriant Million</v>
      </c>
      <c r="H91" s="169"/>
      <c r="I91" s="169"/>
      <c r="J91" s="169"/>
      <c r="K91" s="169"/>
      <c r="L91" s="169"/>
      <c r="M91" s="169"/>
      <c r="N91" s="169" t="e">
        <f>N105*N68</f>
        <v>#DIV/0!</v>
      </c>
      <c r="O91" s="169" t="e">
        <f>O105*O68</f>
        <v>#DIV/0!</v>
      </c>
      <c r="P91" s="169" t="e">
        <f>P105*P68</f>
        <v>#DIV/0!</v>
      </c>
      <c r="Q91" s="169" t="e">
        <f>Q105*Q68</f>
        <v>#DIV/0!</v>
      </c>
      <c r="R91" s="169" t="e">
        <f>R105*R68</f>
        <v>#DIV/0!</v>
      </c>
      <c r="T91" s="1" t="str">
        <f>'[7]Input sheet'!S41</f>
        <v>New</v>
      </c>
      <c r="U91" s="1" t="str">
        <f>'[7]Input sheet'!T41</f>
        <v>Total tourism output - direct tourism output</v>
      </c>
      <c r="V91" s="1" t="e">
        <f>'[7]Input sheet'!U41</f>
        <v>#REF!</v>
      </c>
      <c r="W91" s="1" t="e">
        <f>'[7]Input sheet'!W41</f>
        <v>#REF!</v>
      </c>
      <c r="X91" s="1" t="e">
        <f>'[7]Input sheet'!X41</f>
        <v>#REF!</v>
      </c>
      <c r="Z91" s="1"/>
    </row>
    <row r="92" spans="1:26" ht="11.25" hidden="1">
      <c r="C92" s="164" t="s">
        <v>184</v>
      </c>
      <c r="G92" s="164" t="s">
        <v>176</v>
      </c>
      <c r="J92" s="170" t="e">
        <f t="shared" ref="J92:R92" si="59">J91/I91-1</f>
        <v>#DIV/0!</v>
      </c>
      <c r="K92" s="170" t="e">
        <f t="shared" si="59"/>
        <v>#DIV/0!</v>
      </c>
      <c r="L92" s="170" t="e">
        <f t="shared" si="59"/>
        <v>#DIV/0!</v>
      </c>
      <c r="M92" s="170" t="e">
        <f t="shared" si="59"/>
        <v>#DIV/0!</v>
      </c>
      <c r="N92" s="170" t="e">
        <f t="shared" si="59"/>
        <v>#DIV/0!</v>
      </c>
      <c r="O92" s="170" t="e">
        <f t="shared" si="59"/>
        <v>#DIV/0!</v>
      </c>
      <c r="P92" s="170" t="e">
        <f t="shared" si="59"/>
        <v>#DIV/0!</v>
      </c>
      <c r="Q92" s="170" t="e">
        <f t="shared" si="59"/>
        <v>#DIV/0!</v>
      </c>
      <c r="R92" s="170" t="e">
        <f t="shared" si="59"/>
        <v>#DIV/0!</v>
      </c>
      <c r="Z92" s="1"/>
    </row>
    <row r="93" spans="1:26" ht="11.25" hidden="1">
      <c r="A93" s="4" t="str">
        <f>'[7]Input sheet'!A42</f>
        <v>Turkey</v>
      </c>
      <c r="B93" s="129" t="str">
        <f>'[7]Input sheet'!B42</f>
        <v>Tourism Receipts &amp; Expenditure</v>
      </c>
      <c r="C93" s="4" t="str">
        <f>'[7]Input sheet'!C42</f>
        <v>Indirect Tourism Output by Sector</v>
      </c>
      <c r="D93" s="2" t="str">
        <f>'[7]Input sheet'!D42</f>
        <v>Foodservice</v>
      </c>
      <c r="G93" s="1" t="str">
        <f>Home!$B$2&amp;" Million"</f>
        <v>Foriant Million</v>
      </c>
      <c r="H93" s="169"/>
      <c r="I93" s="169"/>
      <c r="J93" s="169"/>
      <c r="K93" s="169"/>
      <c r="L93" s="169"/>
      <c r="M93" s="169"/>
      <c r="N93" s="169" t="e">
        <f>N106*N70</f>
        <v>#DIV/0!</v>
      </c>
      <c r="O93" s="169" t="e">
        <f>O106*O70</f>
        <v>#DIV/0!</v>
      </c>
      <c r="P93" s="169" t="e">
        <f>P106*P70</f>
        <v>#DIV/0!</v>
      </c>
      <c r="Q93" s="169" t="e">
        <f>Q106*Q70</f>
        <v>#DIV/0!</v>
      </c>
      <c r="R93" s="169" t="e">
        <f>R106*R70</f>
        <v>#DIV/0!</v>
      </c>
      <c r="T93" s="1" t="str">
        <f>'[7]Input sheet'!S42</f>
        <v>New</v>
      </c>
      <c r="U93" s="1" t="str">
        <f>'[7]Input sheet'!T42</f>
        <v>Total tourism output - direct tourism output</v>
      </c>
      <c r="V93" s="1" t="e">
        <f>'[7]Input sheet'!U42</f>
        <v>#REF!</v>
      </c>
      <c r="W93" s="1" t="e">
        <f>'[7]Input sheet'!W42</f>
        <v>#REF!</v>
      </c>
      <c r="X93" s="1" t="e">
        <f>'[7]Input sheet'!X42</f>
        <v>#REF!</v>
      </c>
      <c r="Z93" s="1"/>
    </row>
    <row r="94" spans="1:26" ht="11.25" hidden="1">
      <c r="C94" s="164" t="s">
        <v>184</v>
      </c>
      <c r="G94" s="164" t="s">
        <v>176</v>
      </c>
      <c r="J94" s="170" t="e">
        <f t="shared" ref="J94:R94" si="60">J93/I93-1</f>
        <v>#DIV/0!</v>
      </c>
      <c r="K94" s="170" t="e">
        <f t="shared" si="60"/>
        <v>#DIV/0!</v>
      </c>
      <c r="L94" s="170" t="e">
        <f t="shared" si="60"/>
        <v>#DIV/0!</v>
      </c>
      <c r="M94" s="170" t="e">
        <f t="shared" si="60"/>
        <v>#DIV/0!</v>
      </c>
      <c r="N94" s="170" t="e">
        <f t="shared" si="60"/>
        <v>#DIV/0!</v>
      </c>
      <c r="O94" s="170" t="e">
        <f t="shared" si="60"/>
        <v>#DIV/0!</v>
      </c>
      <c r="P94" s="170" t="e">
        <f t="shared" si="60"/>
        <v>#DIV/0!</v>
      </c>
      <c r="Q94" s="170" t="e">
        <f t="shared" si="60"/>
        <v>#DIV/0!</v>
      </c>
      <c r="R94" s="170" t="e">
        <f t="shared" si="60"/>
        <v>#DIV/0!</v>
      </c>
      <c r="Z94" s="1"/>
    </row>
    <row r="95" spans="1:26" ht="11.25" hidden="1">
      <c r="A95" s="4" t="str">
        <f>'[7]Input sheet'!A43</f>
        <v>Turkey</v>
      </c>
      <c r="B95" s="129" t="str">
        <f>'[7]Input sheet'!B43</f>
        <v>Tourism Receipts &amp; Expenditure</v>
      </c>
      <c r="C95" s="4" t="str">
        <f>'[7]Input sheet'!C43</f>
        <v>Indirect Tourism Output by Sector</v>
      </c>
      <c r="D95" s="2" t="str">
        <f>'[7]Input sheet'!D43</f>
        <v>Retail</v>
      </c>
      <c r="G95" s="1" t="str">
        <f>Home!$B$2&amp;" Million"</f>
        <v>Foriant Million</v>
      </c>
      <c r="H95" s="169"/>
      <c r="I95" s="169"/>
      <c r="J95" s="169"/>
      <c r="K95" s="169"/>
      <c r="L95" s="169"/>
      <c r="M95" s="169"/>
      <c r="N95" s="169" t="e">
        <f>N107*N72</f>
        <v>#DIV/0!</v>
      </c>
      <c r="O95" s="169" t="e">
        <f>O107*O72</f>
        <v>#DIV/0!</v>
      </c>
      <c r="P95" s="169" t="e">
        <f>P107*P72</f>
        <v>#DIV/0!</v>
      </c>
      <c r="Q95" s="169" t="e">
        <f>Q107*Q72</f>
        <v>#DIV/0!</v>
      </c>
      <c r="R95" s="169" t="e">
        <f>R107*R72</f>
        <v>#DIV/0!</v>
      </c>
      <c r="T95" s="1" t="str">
        <f>'[7]Input sheet'!S43</f>
        <v>New</v>
      </c>
      <c r="U95" s="1" t="str">
        <f>'[7]Input sheet'!T43</f>
        <v>Total tourism output - direct tourism output</v>
      </c>
      <c r="V95" s="1" t="e">
        <f>'[7]Input sheet'!U43</f>
        <v>#REF!</v>
      </c>
      <c r="W95" s="1" t="e">
        <f>'[7]Input sheet'!W43</f>
        <v>#REF!</v>
      </c>
      <c r="X95" s="1" t="e">
        <f>'[7]Input sheet'!X43</f>
        <v>#REF!</v>
      </c>
      <c r="Z95" s="1"/>
    </row>
    <row r="96" spans="1:26" ht="11.25" hidden="1">
      <c r="C96" s="164" t="s">
        <v>184</v>
      </c>
      <c r="G96" s="164" t="s">
        <v>176</v>
      </c>
      <c r="J96" s="170" t="e">
        <f t="shared" ref="J96:R96" si="61">J95/I95-1</f>
        <v>#DIV/0!</v>
      </c>
      <c r="K96" s="170" t="e">
        <f t="shared" si="61"/>
        <v>#DIV/0!</v>
      </c>
      <c r="L96" s="170" t="e">
        <f t="shared" si="61"/>
        <v>#DIV/0!</v>
      </c>
      <c r="M96" s="170" t="e">
        <f t="shared" si="61"/>
        <v>#DIV/0!</v>
      </c>
      <c r="N96" s="170" t="e">
        <f t="shared" si="61"/>
        <v>#DIV/0!</v>
      </c>
      <c r="O96" s="170" t="e">
        <f t="shared" si="61"/>
        <v>#DIV/0!</v>
      </c>
      <c r="P96" s="170" t="e">
        <f t="shared" si="61"/>
        <v>#DIV/0!</v>
      </c>
      <c r="Q96" s="170" t="e">
        <f t="shared" si="61"/>
        <v>#DIV/0!</v>
      </c>
      <c r="R96" s="170" t="e">
        <f t="shared" si="61"/>
        <v>#DIV/0!</v>
      </c>
      <c r="Z96" s="1"/>
    </row>
    <row r="97" spans="1:29" ht="11.25" hidden="1">
      <c r="A97" s="4" t="str">
        <f>'[7]Input sheet'!A44</f>
        <v>Turkey</v>
      </c>
      <c r="B97" s="129" t="str">
        <f>'[7]Input sheet'!B44</f>
        <v>Tourism Receipts &amp; Expenditure</v>
      </c>
      <c r="C97" s="4" t="str">
        <f>'[7]Input sheet'!C44</f>
        <v>Indirect Tourism Output by Sector</v>
      </c>
      <c r="D97" s="2" t="str">
        <f>'[7]Input sheet'!D44</f>
        <v>Transportation</v>
      </c>
      <c r="G97" s="1" t="str">
        <f>Home!$B$2&amp;" Million"</f>
        <v>Foriant Million</v>
      </c>
      <c r="H97" s="169"/>
      <c r="I97" s="169"/>
      <c r="J97" s="169"/>
      <c r="K97" s="169"/>
      <c r="L97" s="169"/>
      <c r="M97" s="169"/>
      <c r="N97" s="169" t="e">
        <f>N108*N74</f>
        <v>#DIV/0!</v>
      </c>
      <c r="O97" s="169" t="e">
        <f>O108*O74</f>
        <v>#DIV/0!</v>
      </c>
      <c r="P97" s="169" t="e">
        <f>P108*P74</f>
        <v>#DIV/0!</v>
      </c>
      <c r="Q97" s="169" t="e">
        <f>Q108*Q74</f>
        <v>#DIV/0!</v>
      </c>
      <c r="R97" s="169" t="e">
        <f>R108*R74</f>
        <v>#DIV/0!</v>
      </c>
      <c r="T97" s="1" t="str">
        <f>'[7]Input sheet'!S44</f>
        <v>New</v>
      </c>
      <c r="U97" s="1" t="str">
        <f>'[7]Input sheet'!T44</f>
        <v>Total tourism output - direct tourism output</v>
      </c>
      <c r="V97" s="1" t="e">
        <f>'[7]Input sheet'!U44</f>
        <v>#REF!</v>
      </c>
      <c r="W97" s="1" t="e">
        <f>'[7]Input sheet'!W44</f>
        <v>#REF!</v>
      </c>
      <c r="X97" s="1" t="e">
        <f>'[7]Input sheet'!X44</f>
        <v>#REF!</v>
      </c>
      <c r="Z97" s="1"/>
    </row>
    <row r="98" spans="1:29" ht="11.25" hidden="1">
      <c r="C98" s="164" t="s">
        <v>184</v>
      </c>
      <c r="G98" s="164" t="s">
        <v>176</v>
      </c>
      <c r="J98" s="170" t="e">
        <f t="shared" ref="J98:R98" si="62">J97/I97-1</f>
        <v>#DIV/0!</v>
      </c>
      <c r="K98" s="170" t="e">
        <f t="shared" si="62"/>
        <v>#DIV/0!</v>
      </c>
      <c r="L98" s="170" t="e">
        <f t="shared" si="62"/>
        <v>#DIV/0!</v>
      </c>
      <c r="M98" s="170" t="e">
        <f t="shared" si="62"/>
        <v>#DIV/0!</v>
      </c>
      <c r="N98" s="170" t="e">
        <f t="shared" si="62"/>
        <v>#DIV/0!</v>
      </c>
      <c r="O98" s="170" t="e">
        <f t="shared" si="62"/>
        <v>#DIV/0!</v>
      </c>
      <c r="P98" s="170" t="e">
        <f t="shared" si="62"/>
        <v>#DIV/0!</v>
      </c>
      <c r="Q98" s="170" t="e">
        <f t="shared" si="62"/>
        <v>#DIV/0!</v>
      </c>
      <c r="R98" s="170" t="e">
        <f t="shared" si="62"/>
        <v>#DIV/0!</v>
      </c>
      <c r="Z98" s="1"/>
    </row>
    <row r="99" spans="1:29" ht="11.25" hidden="1">
      <c r="A99" s="4" t="str">
        <f>'[7]Input sheet'!A45</f>
        <v>Turkey</v>
      </c>
      <c r="B99" s="129" t="str">
        <f>'[7]Input sheet'!B45</f>
        <v>Tourism Receipts &amp; Expenditure</v>
      </c>
      <c r="C99" s="4" t="str">
        <f>'[7]Input sheet'!C45</f>
        <v>Indirect Tourism Output by Sector</v>
      </c>
      <c r="D99" s="2" t="str">
        <f>'[7]Input sheet'!D45</f>
        <v>Travel Intermediation</v>
      </c>
      <c r="G99" s="1" t="str">
        <f>Home!$B$2&amp;" Million"</f>
        <v>Foriant Million</v>
      </c>
      <c r="H99" s="169"/>
      <c r="I99" s="169"/>
      <c r="J99" s="169"/>
      <c r="K99" s="169"/>
      <c r="L99" s="169"/>
      <c r="M99" s="169"/>
      <c r="N99" s="169" t="e">
        <f>N109*N76</f>
        <v>#DIV/0!</v>
      </c>
      <c r="O99" s="169" t="e">
        <f>O109*O76</f>
        <v>#DIV/0!</v>
      </c>
      <c r="P99" s="169" t="e">
        <f>P109*P76</f>
        <v>#DIV/0!</v>
      </c>
      <c r="Q99" s="169" t="e">
        <f>Q109*Q76</f>
        <v>#DIV/0!</v>
      </c>
      <c r="R99" s="169" t="e">
        <f>R109*R76</f>
        <v>#DIV/0!</v>
      </c>
      <c r="T99" s="1" t="str">
        <f>'[7]Input sheet'!S45</f>
        <v>New</v>
      </c>
      <c r="U99" s="1" t="str">
        <f>'[7]Input sheet'!T45</f>
        <v>Total tourism output - direct tourism output</v>
      </c>
      <c r="V99" s="1" t="e">
        <f>'[7]Input sheet'!U45</f>
        <v>#REF!</v>
      </c>
      <c r="W99" s="1" t="e">
        <f>'[7]Input sheet'!W45</f>
        <v>#REF!</v>
      </c>
      <c r="X99" s="1" t="e">
        <f>'[7]Input sheet'!X45</f>
        <v>#REF!</v>
      </c>
      <c r="Z99" s="1"/>
    </row>
    <row r="100" spans="1:29" ht="11.25" hidden="1">
      <c r="C100" s="164" t="s">
        <v>184</v>
      </c>
      <c r="G100" s="164" t="s">
        <v>176</v>
      </c>
      <c r="J100" s="170" t="e">
        <f t="shared" ref="J100:R100" si="63">J99/I99-1</f>
        <v>#DIV/0!</v>
      </c>
      <c r="K100" s="170" t="e">
        <f t="shared" si="63"/>
        <v>#DIV/0!</v>
      </c>
      <c r="L100" s="170" t="e">
        <f t="shared" si="63"/>
        <v>#DIV/0!</v>
      </c>
      <c r="M100" s="170" t="e">
        <f t="shared" si="63"/>
        <v>#DIV/0!</v>
      </c>
      <c r="N100" s="170" t="e">
        <f t="shared" si="63"/>
        <v>#DIV/0!</v>
      </c>
      <c r="O100" s="170" t="e">
        <f t="shared" si="63"/>
        <v>#DIV/0!</v>
      </c>
      <c r="P100" s="170" t="e">
        <f t="shared" si="63"/>
        <v>#DIV/0!</v>
      </c>
      <c r="Q100" s="170" t="e">
        <f t="shared" si="63"/>
        <v>#DIV/0!</v>
      </c>
      <c r="R100" s="170" t="e">
        <f t="shared" si="63"/>
        <v>#DIV/0!</v>
      </c>
      <c r="Z100" s="1"/>
    </row>
    <row r="101" spans="1:29" ht="11.25" hidden="1">
      <c r="A101" s="4" t="str">
        <f>'[7]Input sheet'!A46</f>
        <v>Turkey</v>
      </c>
      <c r="B101" s="129" t="str">
        <f>'[7]Input sheet'!B46</f>
        <v>Tourism Receipts &amp; Expenditure</v>
      </c>
      <c r="C101" s="4" t="str">
        <f>'[7]Input sheet'!C46</f>
        <v>Indirect Tourism Output by Sector</v>
      </c>
      <c r="D101" s="2" t="str">
        <f>'[7]Input sheet'!D46</f>
        <v>Other Sectors</v>
      </c>
      <c r="G101" s="1" t="str">
        <f>Home!$B$2&amp;" Million"</f>
        <v>Foriant Million</v>
      </c>
      <c r="H101" s="169"/>
      <c r="I101" s="169"/>
      <c r="J101" s="169"/>
      <c r="K101" s="169"/>
      <c r="L101" s="169"/>
      <c r="M101" s="169"/>
      <c r="N101" s="169" t="e">
        <f>N110*N78</f>
        <v>#DIV/0!</v>
      </c>
      <c r="O101" s="169" t="e">
        <f>O110*O78</f>
        <v>#DIV/0!</v>
      </c>
      <c r="P101" s="169" t="e">
        <f>P110*P78</f>
        <v>#DIV/0!</v>
      </c>
      <c r="Q101" s="169" t="e">
        <f>Q110*Q78</f>
        <v>#DIV/0!</v>
      </c>
      <c r="R101" s="169" t="e">
        <f>R110*R78</f>
        <v>#DIV/0!</v>
      </c>
      <c r="T101" s="1" t="str">
        <f>'[7]Input sheet'!S46</f>
        <v>New</v>
      </c>
      <c r="U101" s="1" t="str">
        <f>'[7]Input sheet'!T46</f>
        <v>Total tourism output - direct tourism output</v>
      </c>
      <c r="V101" s="1" t="e">
        <f>'[7]Input sheet'!U46</f>
        <v>#REF!</v>
      </c>
      <c r="W101" s="1" t="e">
        <f>'[7]Input sheet'!W46</f>
        <v>#REF!</v>
      </c>
      <c r="X101" s="1" t="e">
        <f>'[7]Input sheet'!X46</f>
        <v>#REF!</v>
      </c>
      <c r="Z101" s="1"/>
    </row>
    <row r="102" spans="1:29" ht="11.25" hidden="1">
      <c r="C102" s="164" t="s">
        <v>184</v>
      </c>
      <c r="G102" s="164" t="s">
        <v>176</v>
      </c>
      <c r="J102" s="170" t="e">
        <f t="shared" ref="J102:R102" si="64">J101/I101-1</f>
        <v>#DIV/0!</v>
      </c>
      <c r="K102" s="170" t="e">
        <f t="shared" si="64"/>
        <v>#DIV/0!</v>
      </c>
      <c r="L102" s="170" t="e">
        <f t="shared" si="64"/>
        <v>#DIV/0!</v>
      </c>
      <c r="M102" s="170" t="e">
        <f t="shared" si="64"/>
        <v>#DIV/0!</v>
      </c>
      <c r="N102" s="170" t="e">
        <f t="shared" si="64"/>
        <v>#DIV/0!</v>
      </c>
      <c r="O102" s="170" t="e">
        <f t="shared" si="64"/>
        <v>#DIV/0!</v>
      </c>
      <c r="P102" s="170" t="e">
        <f t="shared" si="64"/>
        <v>#DIV/0!</v>
      </c>
      <c r="Q102" s="170" t="e">
        <f t="shared" si="64"/>
        <v>#DIV/0!</v>
      </c>
      <c r="R102" s="170" t="e">
        <f t="shared" si="64"/>
        <v>#DIV/0!</v>
      </c>
      <c r="Z102" s="1"/>
    </row>
    <row r="103" spans="1:29" s="34" customFormat="1" ht="11.25" hidden="1">
      <c r="C103" s="174" t="s">
        <v>345</v>
      </c>
      <c r="G103" s="174"/>
      <c r="H103" s="179" t="e">
        <f>H87/H64</f>
        <v>#DIV/0!</v>
      </c>
      <c r="I103" s="179" t="e">
        <f>I87/I64</f>
        <v>#DIV/0!</v>
      </c>
      <c r="J103" s="179" t="e">
        <f t="shared" ref="J103:R103" si="65">J87/J64</f>
        <v>#DIV/0!</v>
      </c>
      <c r="K103" s="179" t="e">
        <f t="shared" si="65"/>
        <v>#DIV/0!</v>
      </c>
      <c r="L103" s="179" t="e">
        <f t="shared" si="65"/>
        <v>#DIV/0!</v>
      </c>
      <c r="M103" s="179" t="e">
        <f t="shared" si="65"/>
        <v>#DIV/0!</v>
      </c>
      <c r="N103" s="179" t="e">
        <f t="shared" si="65"/>
        <v>#DIV/0!</v>
      </c>
      <c r="O103" s="179" t="e">
        <f t="shared" si="65"/>
        <v>#DIV/0!</v>
      </c>
      <c r="P103" s="179" t="e">
        <f t="shared" si="65"/>
        <v>#DIV/0!</v>
      </c>
      <c r="Q103" s="179" t="e">
        <f t="shared" si="65"/>
        <v>#DIV/0!</v>
      </c>
      <c r="R103" s="179" t="e">
        <f t="shared" si="65"/>
        <v>#DIV/0!</v>
      </c>
      <c r="Y103" s="1"/>
      <c r="Z103" s="1"/>
      <c r="AA103" s="1"/>
      <c r="AB103" s="1"/>
      <c r="AC103" s="1"/>
    </row>
    <row r="104" spans="1:29" s="34" customFormat="1" ht="11.25" hidden="1">
      <c r="C104" s="174"/>
      <c r="D104" s="175" t="s">
        <v>36</v>
      </c>
      <c r="G104" s="174"/>
      <c r="H104" s="180" t="e">
        <f t="shared" ref="H104:M104" si="66">H89/H66</f>
        <v>#DIV/0!</v>
      </c>
      <c r="I104" s="180" t="e">
        <f t="shared" si="66"/>
        <v>#DIV/0!</v>
      </c>
      <c r="J104" s="180" t="e">
        <f t="shared" si="66"/>
        <v>#DIV/0!</v>
      </c>
      <c r="K104" s="180" t="e">
        <f t="shared" si="66"/>
        <v>#DIV/0!</v>
      </c>
      <c r="L104" s="180" t="e">
        <f t="shared" si="66"/>
        <v>#DIV/0!</v>
      </c>
      <c r="M104" s="180" t="e">
        <f t="shared" si="66"/>
        <v>#DIV/0!</v>
      </c>
      <c r="N104" s="181" t="e">
        <f t="shared" ref="N104:N107" si="67">M104*(1+(((M104/J104)^(1/4))-1)*0.4)</f>
        <v>#DIV/0!</v>
      </c>
      <c r="O104" s="181" t="e">
        <f>N104*(1+(((N104/K104)^(1/4))-1)*0.4)</f>
        <v>#DIV/0!</v>
      </c>
      <c r="P104" s="181" t="e">
        <f t="shared" ref="P104:R108" si="68">O104*(1+(((O104/L104)^(1/4))-1)*0.4)</f>
        <v>#DIV/0!</v>
      </c>
      <c r="Q104" s="181" t="e">
        <f>P104*(1+(((P104/M104)^(1/4))-1))*1.012</f>
        <v>#DIV/0!</v>
      </c>
      <c r="R104" s="181" t="e">
        <f>Q104*(1+(((Q104/N104)^(1/4))-1))*1.018</f>
        <v>#DIV/0!</v>
      </c>
      <c r="Y104" s="1"/>
      <c r="Z104" s="1"/>
      <c r="AA104" s="1"/>
      <c r="AB104" s="1"/>
      <c r="AC104" s="1"/>
    </row>
    <row r="105" spans="1:29" s="34" customFormat="1" ht="11.25" hidden="1">
      <c r="C105" s="174"/>
      <c r="D105" s="175" t="s">
        <v>37</v>
      </c>
      <c r="G105" s="174"/>
      <c r="H105" s="180" t="e">
        <f t="shared" ref="H105:M105" si="69">H91/H68</f>
        <v>#DIV/0!</v>
      </c>
      <c r="I105" s="180" t="e">
        <f t="shared" si="69"/>
        <v>#DIV/0!</v>
      </c>
      <c r="J105" s="180" t="e">
        <f t="shared" si="69"/>
        <v>#DIV/0!</v>
      </c>
      <c r="K105" s="180" t="e">
        <f t="shared" si="69"/>
        <v>#DIV/0!</v>
      </c>
      <c r="L105" s="180" t="e">
        <f t="shared" si="69"/>
        <v>#DIV/0!</v>
      </c>
      <c r="M105" s="180" t="e">
        <f t="shared" si="69"/>
        <v>#DIV/0!</v>
      </c>
      <c r="N105" s="181" t="e">
        <f>M105*(1+(((M105/J105)^(1/4))-1)*0.25)</f>
        <v>#DIV/0!</v>
      </c>
      <c r="O105" s="181" t="e">
        <f>N105*(1+(((N105/K105)^(1/4))-1)*-0.1)</f>
        <v>#DIV/0!</v>
      </c>
      <c r="P105" s="181" t="e">
        <f>O105*(1+(((O105/L105)^(1/4))-1)*0.2)</f>
        <v>#DIV/0!</v>
      </c>
      <c r="Q105" s="181" t="e">
        <f>P105*(1+(((P105/M105)^(1/4))-1)*1.5)</f>
        <v>#DIV/0!</v>
      </c>
      <c r="R105" s="181" t="e">
        <f>Q105*(1+(((Q105/N105)^(1/4))-1))*1.015</f>
        <v>#DIV/0!</v>
      </c>
      <c r="Y105" s="1"/>
      <c r="Z105" s="1"/>
      <c r="AA105" s="1"/>
      <c r="AB105" s="1"/>
      <c r="AC105" s="1"/>
    </row>
    <row r="106" spans="1:29" s="34" customFormat="1" ht="11.25" hidden="1">
      <c r="C106" s="174"/>
      <c r="D106" s="175" t="s">
        <v>38</v>
      </c>
      <c r="G106" s="174"/>
      <c r="H106" s="180" t="e">
        <f t="shared" ref="H106:M106" si="70">H93/H70</f>
        <v>#DIV/0!</v>
      </c>
      <c r="I106" s="180" t="e">
        <f t="shared" si="70"/>
        <v>#DIV/0!</v>
      </c>
      <c r="J106" s="180" t="e">
        <f t="shared" si="70"/>
        <v>#DIV/0!</v>
      </c>
      <c r="K106" s="180" t="e">
        <f t="shared" si="70"/>
        <v>#DIV/0!</v>
      </c>
      <c r="L106" s="180" t="e">
        <f t="shared" si="70"/>
        <v>#DIV/0!</v>
      </c>
      <c r="M106" s="180" t="e">
        <f t="shared" si="70"/>
        <v>#DIV/0!</v>
      </c>
      <c r="N106" s="181" t="e">
        <f>M106*(1+(((M106/J106)^(1/4))-1)*-0.1)</f>
        <v>#DIV/0!</v>
      </c>
      <c r="O106" s="181" t="e">
        <f>N106*(1+(((N106/K106)^(1/4))-1)*0.7)</f>
        <v>#DIV/0!</v>
      </c>
      <c r="P106" s="181" t="e">
        <f>O106*(1+(((O106/L106)^(1/4))-1)*0.8)</f>
        <v>#DIV/0!</v>
      </c>
      <c r="Q106" s="181" t="e">
        <f>P106*(1+(((P106/M106)^(1/4))-1))*1.005</f>
        <v>#DIV/0!</v>
      </c>
      <c r="R106" s="181" t="e">
        <f>Q106*(1+(((Q106/N106)^(1/4))-1)*-1.1)</f>
        <v>#DIV/0!</v>
      </c>
    </row>
    <row r="107" spans="1:29" s="34" customFormat="1" ht="11.25" hidden="1">
      <c r="C107" s="174"/>
      <c r="D107" s="175" t="s">
        <v>39</v>
      </c>
      <c r="G107" s="174"/>
      <c r="H107" s="180" t="e">
        <f t="shared" ref="H107:M107" si="71">H95/H72</f>
        <v>#DIV/0!</v>
      </c>
      <c r="I107" s="180" t="e">
        <f t="shared" si="71"/>
        <v>#DIV/0!</v>
      </c>
      <c r="J107" s="180" t="e">
        <f t="shared" si="71"/>
        <v>#DIV/0!</v>
      </c>
      <c r="K107" s="180" t="e">
        <f t="shared" si="71"/>
        <v>#DIV/0!</v>
      </c>
      <c r="L107" s="180" t="e">
        <f t="shared" si="71"/>
        <v>#DIV/0!</v>
      </c>
      <c r="M107" s="180" t="e">
        <f t="shared" si="71"/>
        <v>#DIV/0!</v>
      </c>
      <c r="N107" s="181" t="e">
        <f t="shared" si="67"/>
        <v>#DIV/0!</v>
      </c>
      <c r="O107" s="181" t="e">
        <f>N107*(1+(((N107/K107)^(1/4))-1)*0.4)</f>
        <v>#DIV/0!</v>
      </c>
      <c r="P107" s="181" t="e">
        <f>O107*(1+(((O107/L107)^(1/4))-1)*1.2)</f>
        <v>#DIV/0!</v>
      </c>
      <c r="Q107" s="181" t="e">
        <f>P107*(1+(((P107/M107)^(1/4))-1)*-0.5)</f>
        <v>#DIV/0!</v>
      </c>
      <c r="R107" s="181" t="e">
        <f>Q107*(1+(((Q107/N107)^(1/4))-1)*-0.4)</f>
        <v>#DIV/0!</v>
      </c>
    </row>
    <row r="108" spans="1:29" s="34" customFormat="1" ht="11.25" hidden="1">
      <c r="C108" s="174"/>
      <c r="D108" s="175" t="s">
        <v>40</v>
      </c>
      <c r="G108" s="174"/>
      <c r="H108" s="180" t="e">
        <f t="shared" ref="H108:M108" si="72">H97/H74</f>
        <v>#DIV/0!</v>
      </c>
      <c r="I108" s="180" t="e">
        <f t="shared" si="72"/>
        <v>#DIV/0!</v>
      </c>
      <c r="J108" s="180" t="e">
        <f t="shared" si="72"/>
        <v>#DIV/0!</v>
      </c>
      <c r="K108" s="180" t="e">
        <f t="shared" si="72"/>
        <v>#DIV/0!</v>
      </c>
      <c r="L108" s="180" t="e">
        <f t="shared" si="72"/>
        <v>#DIV/0!</v>
      </c>
      <c r="M108" s="180" t="e">
        <f t="shared" si="72"/>
        <v>#DIV/0!</v>
      </c>
      <c r="N108" s="181" t="e">
        <f>M108*(1+(((M108/J108)^(1/4))-1))*1.012</f>
        <v>#DIV/0!</v>
      </c>
      <c r="O108" s="181" t="e">
        <f>N108*(1+(((N108/K108)^(1/4))-1)*0.4)</f>
        <v>#DIV/0!</v>
      </c>
      <c r="P108" s="181" t="e">
        <f>O108*(1+(((O108/L108)^(1/4))-1)*2.1)</f>
        <v>#DIV/0!</v>
      </c>
      <c r="Q108" s="181" t="e">
        <f>P108*(1+(((P108/M108)^(1/4))-1)*-1.5)</f>
        <v>#DIV/0!</v>
      </c>
      <c r="R108" s="181" t="e">
        <f t="shared" si="68"/>
        <v>#DIV/0!</v>
      </c>
    </row>
    <row r="109" spans="1:29" s="34" customFormat="1" ht="11.25" hidden="1">
      <c r="C109" s="174"/>
      <c r="D109" s="175" t="s">
        <v>41</v>
      </c>
      <c r="G109" s="174"/>
      <c r="H109" s="180" t="e">
        <f t="shared" ref="H109:M109" si="73">H99/H76</f>
        <v>#DIV/0!</v>
      </c>
      <c r="I109" s="180" t="e">
        <f t="shared" si="73"/>
        <v>#DIV/0!</v>
      </c>
      <c r="J109" s="180" t="e">
        <f t="shared" si="73"/>
        <v>#DIV/0!</v>
      </c>
      <c r="K109" s="180" t="e">
        <f t="shared" si="73"/>
        <v>#DIV/0!</v>
      </c>
      <c r="L109" s="180" t="e">
        <f t="shared" si="73"/>
        <v>#DIV/0!</v>
      </c>
      <c r="M109" s="180" t="e">
        <f t="shared" si="73"/>
        <v>#DIV/0!</v>
      </c>
      <c r="N109" s="181" t="e">
        <f>M109*(1+(((M109/J109)^(1/4))-1)*0.4)*0.999</f>
        <v>#DIV/0!</v>
      </c>
      <c r="O109" s="181" t="e">
        <f>N109*(1+(((N109/K109)^(1/4))-1)*-0.65)</f>
        <v>#DIV/0!</v>
      </c>
      <c r="P109" s="181" t="e">
        <f>O109*(1+(((O109/L109)^(1/4))-1)*1.4)</f>
        <v>#DIV/0!</v>
      </c>
      <c r="Q109" s="181" t="e">
        <f>P109*(1+(((P109/M109)^(1/4))-1))</f>
        <v>#DIV/0!</v>
      </c>
      <c r="R109" s="181" t="e">
        <f>Q109*(1+(((Q109/N109)^(1/4))-1))*0.998</f>
        <v>#DIV/0!</v>
      </c>
    </row>
    <row r="110" spans="1:29" s="34" customFormat="1" ht="11.25" hidden="1">
      <c r="C110" s="174"/>
      <c r="D110" s="175" t="s">
        <v>42</v>
      </c>
      <c r="G110" s="174"/>
      <c r="H110" s="180" t="e">
        <f t="shared" ref="H110:M110" si="74">H101/H78</f>
        <v>#DIV/0!</v>
      </c>
      <c r="I110" s="180" t="e">
        <f t="shared" si="74"/>
        <v>#DIV/0!</v>
      </c>
      <c r="J110" s="180" t="e">
        <f t="shared" si="74"/>
        <v>#DIV/0!</v>
      </c>
      <c r="K110" s="180" t="e">
        <f t="shared" si="74"/>
        <v>#DIV/0!</v>
      </c>
      <c r="L110" s="180" t="e">
        <f t="shared" si="74"/>
        <v>#DIV/0!</v>
      </c>
      <c r="M110" s="180" t="e">
        <f t="shared" si="74"/>
        <v>#DIV/0!</v>
      </c>
      <c r="N110" s="181" t="e">
        <f>M110*(1+(((M110/J110)^(1/4))-1)*0.2)</f>
        <v>#DIV/0!</v>
      </c>
      <c r="O110" s="181" t="e">
        <f>N110*(1+(((N110/K110)^(1/4))-1)*0.4)</f>
        <v>#DIV/0!</v>
      </c>
      <c r="P110" s="181" t="e">
        <f>O110*(1+(((O110/L110)^(1/4))-1)*0.1)</f>
        <v>#DIV/0!</v>
      </c>
      <c r="Q110" s="181" t="e">
        <f>P110*(1+(((P110/M110)^(1/4))-1)*-0.7)</f>
        <v>#DIV/0!</v>
      </c>
      <c r="R110" s="181" t="e">
        <f>Q110*(1+(((Q110/N110)^(1/4))-1)*-0.4)</f>
        <v>#DIV/0!</v>
      </c>
    </row>
    <row r="111" spans="1:29" ht="11.25" hidden="1">
      <c r="A111" s="125" t="str">
        <f>'[7]Input sheet'!A47</f>
        <v>Turkey</v>
      </c>
      <c r="B111" s="125" t="str">
        <f>'[7]Input sheet'!B47</f>
        <v>Tourism Receipts &amp; Expenditure</v>
      </c>
      <c r="C111" s="134" t="str">
        <f>'[7]Input sheet'!C47</f>
        <v>Total Tourism Output by Sector</v>
      </c>
      <c r="D111" s="134"/>
      <c r="E111" s="135"/>
      <c r="F111" s="135"/>
      <c r="G111" s="260" t="str">
        <f>Home!$B$2&amp;" Million"</f>
        <v>Foriant Million</v>
      </c>
      <c r="H111" s="167">
        <f>H64+H87</f>
        <v>0</v>
      </c>
      <c r="I111" s="167">
        <f>I64+I87</f>
        <v>0</v>
      </c>
      <c r="J111" s="167">
        <f t="shared" ref="J111:R111" si="75">J64+J87</f>
        <v>0</v>
      </c>
      <c r="K111" s="167">
        <f t="shared" si="75"/>
        <v>0</v>
      </c>
      <c r="L111" s="167">
        <f t="shared" si="75"/>
        <v>0</v>
      </c>
      <c r="M111" s="167">
        <f t="shared" si="75"/>
        <v>0</v>
      </c>
      <c r="N111" s="167" t="e">
        <f t="shared" si="75"/>
        <v>#DIV/0!</v>
      </c>
      <c r="O111" s="167" t="e">
        <f t="shared" si="75"/>
        <v>#DIV/0!</v>
      </c>
      <c r="P111" s="167" t="e">
        <f t="shared" si="75"/>
        <v>#DIV/0!</v>
      </c>
      <c r="Q111" s="167" t="e">
        <f t="shared" si="75"/>
        <v>#DIV/0!</v>
      </c>
      <c r="R111" s="167" t="e">
        <f t="shared" si="75"/>
        <v>#DIV/0!</v>
      </c>
      <c r="T111" s="1" t="str">
        <f>'[7]Input sheet'!S47</f>
        <v>New</v>
      </c>
      <c r="U111" s="1" t="str">
        <f>'[7]Input sheet'!T47</f>
        <v>Used the total tourism-related output numbers from the Tourism Satellite Account</v>
      </c>
      <c r="V111" s="1" t="e">
        <f>'[7]Input sheet'!U47</f>
        <v>#REF!</v>
      </c>
      <c r="W111" s="1" t="e">
        <f>'[7]Input sheet'!W47</f>
        <v>#REF!</v>
      </c>
      <c r="X111" s="1" t="e">
        <f>'[7]Input sheet'!X47</f>
        <v>#REF!</v>
      </c>
      <c r="Y111" s="34"/>
      <c r="Z111" s="34"/>
      <c r="AA111" s="34"/>
      <c r="AB111" s="34"/>
      <c r="AC111" s="34"/>
    </row>
    <row r="112" spans="1:29" ht="11.25" hidden="1">
      <c r="C112" s="164" t="s">
        <v>184</v>
      </c>
      <c r="G112" s="164" t="s">
        <v>176</v>
      </c>
      <c r="J112" s="170" t="e">
        <f t="shared" ref="J112:R112" si="76">J111/I111-1</f>
        <v>#DIV/0!</v>
      </c>
      <c r="K112" s="170" t="e">
        <f t="shared" si="76"/>
        <v>#DIV/0!</v>
      </c>
      <c r="L112" s="170" t="e">
        <f t="shared" si="76"/>
        <v>#DIV/0!</v>
      </c>
      <c r="M112" s="170" t="e">
        <f t="shared" si="76"/>
        <v>#DIV/0!</v>
      </c>
      <c r="N112" s="170" t="e">
        <f t="shared" si="76"/>
        <v>#DIV/0!</v>
      </c>
      <c r="O112" s="170" t="e">
        <f t="shared" si="76"/>
        <v>#DIV/0!</v>
      </c>
      <c r="P112" s="170" t="e">
        <f t="shared" si="76"/>
        <v>#DIV/0!</v>
      </c>
      <c r="Q112" s="170" t="e">
        <f t="shared" si="76"/>
        <v>#DIV/0!</v>
      </c>
      <c r="R112" s="170" t="e">
        <f t="shared" si="76"/>
        <v>#DIV/0!</v>
      </c>
      <c r="Y112" s="34"/>
      <c r="Z112" s="34"/>
      <c r="AA112" s="34"/>
      <c r="AB112" s="34"/>
      <c r="AC112" s="34"/>
    </row>
    <row r="113" spans="1:29" ht="11.25" hidden="1">
      <c r="A113" s="4" t="str">
        <f>'[7]Input sheet'!A48</f>
        <v>Turkey</v>
      </c>
      <c r="B113" s="129" t="str">
        <f>'[7]Input sheet'!B48</f>
        <v>Tourism Receipts &amp; Expenditure</v>
      </c>
      <c r="C113" s="4" t="str">
        <f>'[7]Input sheet'!C48</f>
        <v>Total Tourism Output by Sector</v>
      </c>
      <c r="D113" s="2" t="str">
        <f>'[7]Input sheet'!D48</f>
        <v>Accommodation</v>
      </c>
      <c r="G113" s="1" t="str">
        <f>Home!$B$2&amp;" Million"</f>
        <v>Foriant Million</v>
      </c>
      <c r="H113" s="169">
        <f>H66+H89</f>
        <v>0</v>
      </c>
      <c r="I113" s="169">
        <f>I66+I89</f>
        <v>0</v>
      </c>
      <c r="J113" s="169">
        <f t="shared" ref="J113:R125" si="77">J66+J89</f>
        <v>0</v>
      </c>
      <c r="K113" s="169">
        <f t="shared" si="77"/>
        <v>0</v>
      </c>
      <c r="L113" s="169">
        <f t="shared" si="77"/>
        <v>0</v>
      </c>
      <c r="M113" s="169">
        <f t="shared" si="77"/>
        <v>0</v>
      </c>
      <c r="N113" s="169" t="e">
        <f t="shared" si="77"/>
        <v>#DIV/0!</v>
      </c>
      <c r="O113" s="169" t="e">
        <f t="shared" si="77"/>
        <v>#DIV/0!</v>
      </c>
      <c r="P113" s="169" t="e">
        <f t="shared" si="77"/>
        <v>#DIV/0!</v>
      </c>
      <c r="Q113" s="169" t="e">
        <f t="shared" si="77"/>
        <v>#DIV/0!</v>
      </c>
      <c r="R113" s="169" t="e">
        <f t="shared" si="77"/>
        <v>#DIV/0!</v>
      </c>
      <c r="T113" s="1" t="str">
        <f>'[7]Input sheet'!S48</f>
        <v>New</v>
      </c>
      <c r="U113" s="1" t="str">
        <f>'[7]Input sheet'!T48</f>
        <v>Used the total tourism-related output numbers from the Tourism Satellite Account</v>
      </c>
      <c r="V113" s="1" t="e">
        <f>'[7]Input sheet'!U48</f>
        <v>#REF!</v>
      </c>
      <c r="W113" s="1" t="e">
        <f>'[7]Input sheet'!W48</f>
        <v>#REF!</v>
      </c>
      <c r="X113" s="1" t="e">
        <f>'[7]Input sheet'!X48</f>
        <v>#REF!</v>
      </c>
      <c r="Y113" s="34"/>
      <c r="Z113" s="34"/>
      <c r="AA113" s="34"/>
      <c r="AB113" s="34"/>
      <c r="AC113" s="34"/>
    </row>
    <row r="114" spans="1:29" ht="11.25" hidden="1">
      <c r="C114" s="164" t="s">
        <v>184</v>
      </c>
      <c r="G114" s="164" t="s">
        <v>176</v>
      </c>
      <c r="J114" s="170" t="e">
        <f t="shared" ref="J114:R114" si="78">J113/I113-1</f>
        <v>#DIV/0!</v>
      </c>
      <c r="K114" s="170" t="e">
        <f t="shared" si="78"/>
        <v>#DIV/0!</v>
      </c>
      <c r="L114" s="170" t="e">
        <f t="shared" si="78"/>
        <v>#DIV/0!</v>
      </c>
      <c r="M114" s="170" t="e">
        <f t="shared" si="78"/>
        <v>#DIV/0!</v>
      </c>
      <c r="N114" s="170" t="e">
        <f t="shared" si="78"/>
        <v>#DIV/0!</v>
      </c>
      <c r="O114" s="170" t="e">
        <f t="shared" si="78"/>
        <v>#DIV/0!</v>
      </c>
      <c r="P114" s="170" t="e">
        <f t="shared" si="78"/>
        <v>#DIV/0!</v>
      </c>
      <c r="Q114" s="170" t="e">
        <f t="shared" si="78"/>
        <v>#DIV/0!</v>
      </c>
      <c r="R114" s="170" t="e">
        <f t="shared" si="78"/>
        <v>#DIV/0!</v>
      </c>
      <c r="Z114" s="1"/>
    </row>
    <row r="115" spans="1:29" ht="11.25" hidden="1">
      <c r="A115" s="4" t="str">
        <f>'[7]Input sheet'!A49</f>
        <v>Turkey</v>
      </c>
      <c r="B115" s="129" t="str">
        <f>'[7]Input sheet'!B49</f>
        <v>Tourism Receipts &amp; Expenditure</v>
      </c>
      <c r="C115" s="4" t="str">
        <f>'[7]Input sheet'!C49</f>
        <v>Total Tourism Output by Sector</v>
      </c>
      <c r="D115" s="2" t="str">
        <f>'[7]Input sheet'!D49</f>
        <v>Entertainment &amp; Sightseeing</v>
      </c>
      <c r="G115" s="1" t="str">
        <f>Home!$B$2&amp;" Million"</f>
        <v>Foriant Million</v>
      </c>
      <c r="H115" s="169">
        <f>H68+H91</f>
        <v>0</v>
      </c>
      <c r="I115" s="169">
        <f>I68+I91</f>
        <v>0</v>
      </c>
      <c r="J115" s="169">
        <f t="shared" si="77"/>
        <v>0</v>
      </c>
      <c r="K115" s="169">
        <f t="shared" si="77"/>
        <v>0</v>
      </c>
      <c r="L115" s="169">
        <f t="shared" si="77"/>
        <v>0</v>
      </c>
      <c r="M115" s="169">
        <f t="shared" si="77"/>
        <v>0</v>
      </c>
      <c r="N115" s="169" t="e">
        <f t="shared" si="77"/>
        <v>#DIV/0!</v>
      </c>
      <c r="O115" s="169" t="e">
        <f t="shared" si="77"/>
        <v>#DIV/0!</v>
      </c>
      <c r="P115" s="169" t="e">
        <f t="shared" si="77"/>
        <v>#DIV/0!</v>
      </c>
      <c r="Q115" s="169" t="e">
        <f t="shared" si="77"/>
        <v>#DIV/0!</v>
      </c>
      <c r="R115" s="169" t="e">
        <f t="shared" si="77"/>
        <v>#DIV/0!</v>
      </c>
      <c r="T115" s="1" t="str">
        <f>'[7]Input sheet'!S49</f>
        <v>New</v>
      </c>
      <c r="U115" s="1" t="str">
        <f>'[7]Input sheet'!T49</f>
        <v>Used the total tourism-related output numbers from the Tourism Satellite Account</v>
      </c>
      <c r="V115" s="1" t="e">
        <f>'[7]Input sheet'!U49</f>
        <v>#REF!</v>
      </c>
      <c r="W115" s="1" t="e">
        <f>'[7]Input sheet'!W49</f>
        <v>#REF!</v>
      </c>
      <c r="X115" s="1" t="e">
        <f>'[7]Input sheet'!X49</f>
        <v>#REF!</v>
      </c>
      <c r="Z115" s="1"/>
    </row>
    <row r="116" spans="1:29" ht="11.25" hidden="1">
      <c r="C116" s="164" t="s">
        <v>184</v>
      </c>
      <c r="G116" s="164" t="s">
        <v>176</v>
      </c>
      <c r="J116" s="170" t="e">
        <f t="shared" ref="J116:R116" si="79">J115/I115-1</f>
        <v>#DIV/0!</v>
      </c>
      <c r="K116" s="170" t="e">
        <f t="shared" si="79"/>
        <v>#DIV/0!</v>
      </c>
      <c r="L116" s="170" t="e">
        <f t="shared" si="79"/>
        <v>#DIV/0!</v>
      </c>
      <c r="M116" s="170" t="e">
        <f t="shared" si="79"/>
        <v>#DIV/0!</v>
      </c>
      <c r="N116" s="170" t="e">
        <f t="shared" si="79"/>
        <v>#DIV/0!</v>
      </c>
      <c r="O116" s="170" t="e">
        <f t="shared" si="79"/>
        <v>#DIV/0!</v>
      </c>
      <c r="P116" s="170" t="e">
        <f t="shared" si="79"/>
        <v>#DIV/0!</v>
      </c>
      <c r="Q116" s="170" t="e">
        <f t="shared" si="79"/>
        <v>#DIV/0!</v>
      </c>
      <c r="R116" s="170" t="e">
        <f t="shared" si="79"/>
        <v>#DIV/0!</v>
      </c>
      <c r="Z116" s="1"/>
    </row>
    <row r="117" spans="1:29" ht="11.25" hidden="1">
      <c r="A117" s="4" t="str">
        <f>'[7]Input sheet'!A50</f>
        <v>Turkey</v>
      </c>
      <c r="B117" s="129" t="str">
        <f>'[7]Input sheet'!B50</f>
        <v>Tourism Receipts &amp; Expenditure</v>
      </c>
      <c r="C117" s="4" t="str">
        <f>'[7]Input sheet'!C50</f>
        <v>Total Tourism Output by Sector</v>
      </c>
      <c r="D117" s="2" t="str">
        <f>'[7]Input sheet'!D50</f>
        <v>Foodservice</v>
      </c>
      <c r="G117" s="1" t="str">
        <f>Home!$B$2&amp;" Million"</f>
        <v>Foriant Million</v>
      </c>
      <c r="H117" s="169">
        <f>H70+H93</f>
        <v>0</v>
      </c>
      <c r="I117" s="169">
        <f>I70+I93</f>
        <v>0</v>
      </c>
      <c r="J117" s="169">
        <f t="shared" si="77"/>
        <v>0</v>
      </c>
      <c r="K117" s="169">
        <f t="shared" si="77"/>
        <v>0</v>
      </c>
      <c r="L117" s="169">
        <f t="shared" si="77"/>
        <v>0</v>
      </c>
      <c r="M117" s="169">
        <f t="shared" si="77"/>
        <v>0</v>
      </c>
      <c r="N117" s="169" t="e">
        <f t="shared" si="77"/>
        <v>#DIV/0!</v>
      </c>
      <c r="O117" s="169" t="e">
        <f t="shared" si="77"/>
        <v>#DIV/0!</v>
      </c>
      <c r="P117" s="169" t="e">
        <f t="shared" si="77"/>
        <v>#DIV/0!</v>
      </c>
      <c r="Q117" s="169" t="e">
        <f t="shared" si="77"/>
        <v>#DIV/0!</v>
      </c>
      <c r="R117" s="169" t="e">
        <f t="shared" si="77"/>
        <v>#DIV/0!</v>
      </c>
      <c r="T117" s="1" t="str">
        <f>'[7]Input sheet'!S50</f>
        <v>New</v>
      </c>
      <c r="U117" s="1" t="str">
        <f>'[7]Input sheet'!T50</f>
        <v>Used the total tourism-related output numbers from the Tourism Satellite Account</v>
      </c>
      <c r="V117" s="1" t="e">
        <f>'[7]Input sheet'!U50</f>
        <v>#REF!</v>
      </c>
      <c r="W117" s="1" t="e">
        <f>'[7]Input sheet'!W50</f>
        <v>#REF!</v>
      </c>
      <c r="X117" s="1" t="e">
        <f>'[7]Input sheet'!X50</f>
        <v>#REF!</v>
      </c>
      <c r="Z117" s="1"/>
    </row>
    <row r="118" spans="1:29" ht="11.25" hidden="1">
      <c r="C118" s="164" t="s">
        <v>184</v>
      </c>
      <c r="G118" s="164" t="s">
        <v>176</v>
      </c>
      <c r="J118" s="170" t="e">
        <f t="shared" ref="J118:R118" si="80">J117/I117-1</f>
        <v>#DIV/0!</v>
      </c>
      <c r="K118" s="170" t="e">
        <f t="shared" si="80"/>
        <v>#DIV/0!</v>
      </c>
      <c r="L118" s="170" t="e">
        <f t="shared" si="80"/>
        <v>#DIV/0!</v>
      </c>
      <c r="M118" s="170" t="e">
        <f t="shared" si="80"/>
        <v>#DIV/0!</v>
      </c>
      <c r="N118" s="170" t="e">
        <f t="shared" si="80"/>
        <v>#DIV/0!</v>
      </c>
      <c r="O118" s="170" t="e">
        <f t="shared" si="80"/>
        <v>#DIV/0!</v>
      </c>
      <c r="P118" s="170" t="e">
        <f t="shared" si="80"/>
        <v>#DIV/0!</v>
      </c>
      <c r="Q118" s="170" t="e">
        <f t="shared" si="80"/>
        <v>#DIV/0!</v>
      </c>
      <c r="R118" s="170" t="e">
        <f t="shared" si="80"/>
        <v>#DIV/0!</v>
      </c>
      <c r="Z118" s="1"/>
    </row>
    <row r="119" spans="1:29" ht="11.25" hidden="1">
      <c r="A119" s="4" t="str">
        <f>'[7]Input sheet'!A51</f>
        <v>Turkey</v>
      </c>
      <c r="B119" s="129" t="str">
        <f>'[7]Input sheet'!B51</f>
        <v>Tourism Receipts &amp; Expenditure</v>
      </c>
      <c r="C119" s="4" t="str">
        <f>'[7]Input sheet'!C51</f>
        <v>Total Tourism Output by Sector</v>
      </c>
      <c r="D119" s="2" t="str">
        <f>'[7]Input sheet'!D51</f>
        <v>Retail</v>
      </c>
      <c r="G119" s="1" t="str">
        <f>Home!$B$2&amp;" Million"</f>
        <v>Foriant Million</v>
      </c>
      <c r="H119" s="169">
        <f>H72+H95</f>
        <v>0</v>
      </c>
      <c r="I119" s="169">
        <f>I72+I95</f>
        <v>0</v>
      </c>
      <c r="J119" s="169">
        <f t="shared" si="77"/>
        <v>0</v>
      </c>
      <c r="K119" s="169">
        <f t="shared" si="77"/>
        <v>0</v>
      </c>
      <c r="L119" s="169">
        <f t="shared" si="77"/>
        <v>0</v>
      </c>
      <c r="M119" s="169">
        <f t="shared" si="77"/>
        <v>0</v>
      </c>
      <c r="N119" s="169" t="e">
        <f t="shared" si="77"/>
        <v>#DIV/0!</v>
      </c>
      <c r="O119" s="169" t="e">
        <f t="shared" si="77"/>
        <v>#DIV/0!</v>
      </c>
      <c r="P119" s="169" t="e">
        <f t="shared" si="77"/>
        <v>#DIV/0!</v>
      </c>
      <c r="Q119" s="169" t="e">
        <f t="shared" si="77"/>
        <v>#DIV/0!</v>
      </c>
      <c r="R119" s="169" t="e">
        <f t="shared" si="77"/>
        <v>#DIV/0!</v>
      </c>
      <c r="T119" s="1" t="str">
        <f>'[7]Input sheet'!S51</f>
        <v>New</v>
      </c>
      <c r="U119" s="1" t="str">
        <f>'[7]Input sheet'!T51</f>
        <v>Used the total tourism-related output numbers from the Tourism Satellite Account</v>
      </c>
      <c r="V119" s="1" t="e">
        <f>'[7]Input sheet'!U51</f>
        <v>#REF!</v>
      </c>
      <c r="W119" s="1" t="e">
        <f>'[7]Input sheet'!W51</f>
        <v>#REF!</v>
      </c>
      <c r="X119" s="1" t="e">
        <f>'[7]Input sheet'!X51</f>
        <v>#REF!</v>
      </c>
      <c r="Z119" s="1"/>
    </row>
    <row r="120" spans="1:29" ht="11.25" hidden="1">
      <c r="C120" s="164" t="s">
        <v>184</v>
      </c>
      <c r="G120" s="164" t="s">
        <v>176</v>
      </c>
      <c r="J120" s="170" t="e">
        <f t="shared" ref="J120:R120" si="81">J119/I119-1</f>
        <v>#DIV/0!</v>
      </c>
      <c r="K120" s="170" t="e">
        <f t="shared" si="81"/>
        <v>#DIV/0!</v>
      </c>
      <c r="L120" s="170" t="e">
        <f t="shared" si="81"/>
        <v>#DIV/0!</v>
      </c>
      <c r="M120" s="170" t="e">
        <f t="shared" si="81"/>
        <v>#DIV/0!</v>
      </c>
      <c r="N120" s="170" t="e">
        <f t="shared" si="81"/>
        <v>#DIV/0!</v>
      </c>
      <c r="O120" s="170" t="e">
        <f t="shared" si="81"/>
        <v>#DIV/0!</v>
      </c>
      <c r="P120" s="170" t="e">
        <f t="shared" si="81"/>
        <v>#DIV/0!</v>
      </c>
      <c r="Q120" s="170" t="e">
        <f t="shared" si="81"/>
        <v>#DIV/0!</v>
      </c>
      <c r="R120" s="170" t="e">
        <f t="shared" si="81"/>
        <v>#DIV/0!</v>
      </c>
      <c r="Z120" s="1"/>
    </row>
    <row r="121" spans="1:29" ht="11.25" hidden="1">
      <c r="A121" s="4" t="str">
        <f>'[7]Input sheet'!A52</f>
        <v>Turkey</v>
      </c>
      <c r="B121" s="129" t="str">
        <f>'[7]Input sheet'!B52</f>
        <v>Tourism Receipts &amp; Expenditure</v>
      </c>
      <c r="C121" s="4" t="str">
        <f>'[7]Input sheet'!C52</f>
        <v>Total Tourism Output by Sector</v>
      </c>
      <c r="D121" s="2" t="str">
        <f>'[7]Input sheet'!D52</f>
        <v>Transportation</v>
      </c>
      <c r="G121" s="1" t="str">
        <f>Home!$B$2&amp;" Million"</f>
        <v>Foriant Million</v>
      </c>
      <c r="H121" s="169">
        <f>H74+H97</f>
        <v>0</v>
      </c>
      <c r="I121" s="169">
        <f>I74+I97</f>
        <v>0</v>
      </c>
      <c r="J121" s="169">
        <f t="shared" si="77"/>
        <v>0</v>
      </c>
      <c r="K121" s="169">
        <f t="shared" si="77"/>
        <v>0</v>
      </c>
      <c r="L121" s="169">
        <f t="shared" si="77"/>
        <v>0</v>
      </c>
      <c r="M121" s="169">
        <f t="shared" si="77"/>
        <v>0</v>
      </c>
      <c r="N121" s="169" t="e">
        <f t="shared" si="77"/>
        <v>#DIV/0!</v>
      </c>
      <c r="O121" s="169" t="e">
        <f t="shared" si="77"/>
        <v>#DIV/0!</v>
      </c>
      <c r="P121" s="169" t="e">
        <f t="shared" si="77"/>
        <v>#DIV/0!</v>
      </c>
      <c r="Q121" s="169" t="e">
        <f t="shared" si="77"/>
        <v>#DIV/0!</v>
      </c>
      <c r="R121" s="169" t="e">
        <f t="shared" si="77"/>
        <v>#DIV/0!</v>
      </c>
      <c r="T121" s="1" t="str">
        <f>'[7]Input sheet'!S52</f>
        <v>New</v>
      </c>
      <c r="U121" s="1" t="str">
        <f>'[7]Input sheet'!T52</f>
        <v>Used the total tourism-related output numbers from the Tourism Satellite Account</v>
      </c>
      <c r="V121" s="1" t="e">
        <f>'[7]Input sheet'!U52</f>
        <v>#REF!</v>
      </c>
      <c r="W121" s="1" t="e">
        <f>'[7]Input sheet'!W52</f>
        <v>#REF!</v>
      </c>
      <c r="X121" s="1" t="e">
        <f>'[7]Input sheet'!X52</f>
        <v>#REF!</v>
      </c>
      <c r="Z121" s="1"/>
    </row>
    <row r="122" spans="1:29" ht="11.25" hidden="1">
      <c r="C122" s="164" t="s">
        <v>184</v>
      </c>
      <c r="G122" s="164" t="s">
        <v>176</v>
      </c>
      <c r="J122" s="170" t="e">
        <f t="shared" ref="J122:R122" si="82">J121/I121-1</f>
        <v>#DIV/0!</v>
      </c>
      <c r="K122" s="170" t="e">
        <f t="shared" si="82"/>
        <v>#DIV/0!</v>
      </c>
      <c r="L122" s="170" t="e">
        <f t="shared" si="82"/>
        <v>#DIV/0!</v>
      </c>
      <c r="M122" s="170" t="e">
        <f t="shared" si="82"/>
        <v>#DIV/0!</v>
      </c>
      <c r="N122" s="170" t="e">
        <f t="shared" si="82"/>
        <v>#DIV/0!</v>
      </c>
      <c r="O122" s="170" t="e">
        <f t="shared" si="82"/>
        <v>#DIV/0!</v>
      </c>
      <c r="P122" s="170" t="e">
        <f t="shared" si="82"/>
        <v>#DIV/0!</v>
      </c>
      <c r="Q122" s="170" t="e">
        <f t="shared" si="82"/>
        <v>#DIV/0!</v>
      </c>
      <c r="R122" s="170" t="e">
        <f t="shared" si="82"/>
        <v>#DIV/0!</v>
      </c>
      <c r="Z122" s="1"/>
    </row>
    <row r="123" spans="1:29" ht="11.25" hidden="1">
      <c r="A123" s="4" t="str">
        <f>'[7]Input sheet'!A53</f>
        <v>Turkey</v>
      </c>
      <c r="B123" s="129" t="str">
        <f>'[7]Input sheet'!B53</f>
        <v>Tourism Receipts &amp; Expenditure</v>
      </c>
      <c r="C123" s="4" t="str">
        <f>'[7]Input sheet'!C53</f>
        <v>Total Tourism Output by Sector</v>
      </c>
      <c r="D123" s="2" t="str">
        <f>'[7]Input sheet'!D53</f>
        <v>Travel Intermediation</v>
      </c>
      <c r="G123" s="1" t="str">
        <f>Home!$B$2&amp;" Million"</f>
        <v>Foriant Million</v>
      </c>
      <c r="H123" s="169">
        <f>H76+H99</f>
        <v>0</v>
      </c>
      <c r="I123" s="169">
        <f>I76+I99</f>
        <v>0</v>
      </c>
      <c r="J123" s="169">
        <f t="shared" si="77"/>
        <v>0</v>
      </c>
      <c r="K123" s="169">
        <f t="shared" si="77"/>
        <v>0</v>
      </c>
      <c r="L123" s="169">
        <f t="shared" si="77"/>
        <v>0</v>
      </c>
      <c r="M123" s="169">
        <f t="shared" si="77"/>
        <v>0</v>
      </c>
      <c r="N123" s="169" t="e">
        <f t="shared" si="77"/>
        <v>#DIV/0!</v>
      </c>
      <c r="O123" s="169" t="e">
        <f t="shared" si="77"/>
        <v>#DIV/0!</v>
      </c>
      <c r="P123" s="169" t="e">
        <f t="shared" si="77"/>
        <v>#DIV/0!</v>
      </c>
      <c r="Q123" s="169" t="e">
        <f t="shared" si="77"/>
        <v>#DIV/0!</v>
      </c>
      <c r="R123" s="169" t="e">
        <f t="shared" si="77"/>
        <v>#DIV/0!</v>
      </c>
      <c r="T123" s="1" t="str">
        <f>'[7]Input sheet'!S53</f>
        <v>New</v>
      </c>
      <c r="U123" s="1" t="str">
        <f>'[7]Input sheet'!T53</f>
        <v>Used the total tourism-related output numbers from the Tourism Satellite Account</v>
      </c>
      <c r="V123" s="1" t="e">
        <f>'[7]Input sheet'!U53</f>
        <v>#REF!</v>
      </c>
      <c r="W123" s="1" t="e">
        <f>'[7]Input sheet'!W53</f>
        <v>#REF!</v>
      </c>
      <c r="X123" s="1" t="e">
        <f>'[7]Input sheet'!X53</f>
        <v>#REF!</v>
      </c>
      <c r="Z123" s="1"/>
    </row>
    <row r="124" spans="1:29" ht="11.25" hidden="1">
      <c r="C124" s="164" t="s">
        <v>184</v>
      </c>
      <c r="G124" s="164" t="s">
        <v>176</v>
      </c>
      <c r="J124" s="170" t="e">
        <f t="shared" ref="J124:R124" si="83">J123/I123-1</f>
        <v>#DIV/0!</v>
      </c>
      <c r="K124" s="170" t="e">
        <f t="shared" si="83"/>
        <v>#DIV/0!</v>
      </c>
      <c r="L124" s="170" t="e">
        <f t="shared" si="83"/>
        <v>#DIV/0!</v>
      </c>
      <c r="M124" s="170" t="e">
        <f t="shared" si="83"/>
        <v>#DIV/0!</v>
      </c>
      <c r="N124" s="170" t="e">
        <f t="shared" si="83"/>
        <v>#DIV/0!</v>
      </c>
      <c r="O124" s="170" t="e">
        <f t="shared" si="83"/>
        <v>#DIV/0!</v>
      </c>
      <c r="P124" s="170" t="e">
        <f t="shared" si="83"/>
        <v>#DIV/0!</v>
      </c>
      <c r="Q124" s="170" t="e">
        <f t="shared" si="83"/>
        <v>#DIV/0!</v>
      </c>
      <c r="R124" s="170" t="e">
        <f t="shared" si="83"/>
        <v>#DIV/0!</v>
      </c>
      <c r="Z124" s="1"/>
    </row>
    <row r="125" spans="1:29" ht="11.25" hidden="1">
      <c r="A125" s="4" t="str">
        <f>'[7]Input sheet'!A54</f>
        <v>Turkey</v>
      </c>
      <c r="B125" s="129" t="str">
        <f>'[7]Input sheet'!B54</f>
        <v>Tourism Receipts &amp; Expenditure</v>
      </c>
      <c r="C125" s="4" t="str">
        <f>'[7]Input sheet'!C54</f>
        <v>Total Tourism Output by Sector</v>
      </c>
      <c r="D125" s="2" t="str">
        <f>'[7]Input sheet'!D54</f>
        <v>Other Sectors</v>
      </c>
      <c r="G125" s="1" t="str">
        <f>Home!$B$2&amp;" Million"</f>
        <v>Foriant Million</v>
      </c>
      <c r="H125" s="169">
        <f>H78+H101</f>
        <v>0</v>
      </c>
      <c r="I125" s="169">
        <f>I78+I101</f>
        <v>0</v>
      </c>
      <c r="J125" s="169">
        <f t="shared" si="77"/>
        <v>0</v>
      </c>
      <c r="K125" s="169">
        <f t="shared" si="77"/>
        <v>0</v>
      </c>
      <c r="L125" s="169">
        <f t="shared" si="77"/>
        <v>0</v>
      </c>
      <c r="M125" s="169">
        <f t="shared" si="77"/>
        <v>0</v>
      </c>
      <c r="N125" s="169" t="e">
        <f t="shared" si="77"/>
        <v>#DIV/0!</v>
      </c>
      <c r="O125" s="169" t="e">
        <f t="shared" si="77"/>
        <v>#DIV/0!</v>
      </c>
      <c r="P125" s="169" t="e">
        <f t="shared" si="77"/>
        <v>#DIV/0!</v>
      </c>
      <c r="Q125" s="169" t="e">
        <f t="shared" si="77"/>
        <v>#DIV/0!</v>
      </c>
      <c r="R125" s="169" t="e">
        <f t="shared" si="77"/>
        <v>#DIV/0!</v>
      </c>
      <c r="T125" s="1" t="str">
        <f>'[7]Input sheet'!S54</f>
        <v>New</v>
      </c>
      <c r="U125" s="1" t="str">
        <f>'[7]Input sheet'!T54</f>
        <v>Used the total tourism-related output numbers from the Tourism Satellite Account</v>
      </c>
      <c r="V125" s="1" t="e">
        <f>'[7]Input sheet'!U54</f>
        <v>#REF!</v>
      </c>
      <c r="W125" s="1" t="e">
        <f>'[7]Input sheet'!W54</f>
        <v>#REF!</v>
      </c>
      <c r="X125" s="1" t="e">
        <f>'[7]Input sheet'!X54</f>
        <v>#REF!</v>
      </c>
      <c r="Z125" s="1"/>
    </row>
    <row r="126" spans="1:29" ht="11.25" hidden="1">
      <c r="C126" s="164" t="s">
        <v>184</v>
      </c>
      <c r="G126" s="164" t="s">
        <v>176</v>
      </c>
      <c r="J126" s="170" t="e">
        <f t="shared" ref="J126:R126" si="84">J125/I125-1</f>
        <v>#DIV/0!</v>
      </c>
      <c r="K126" s="170" t="e">
        <f t="shared" si="84"/>
        <v>#DIV/0!</v>
      </c>
      <c r="L126" s="170" t="e">
        <f t="shared" si="84"/>
        <v>#DIV/0!</v>
      </c>
      <c r="M126" s="170" t="e">
        <f t="shared" si="84"/>
        <v>#DIV/0!</v>
      </c>
      <c r="N126" s="170" t="e">
        <f t="shared" si="84"/>
        <v>#DIV/0!</v>
      </c>
      <c r="O126" s="170" t="e">
        <f t="shared" si="84"/>
        <v>#DIV/0!</v>
      </c>
      <c r="P126" s="170" t="e">
        <f t="shared" si="84"/>
        <v>#DIV/0!</v>
      </c>
      <c r="Q126" s="170" t="e">
        <f t="shared" si="84"/>
        <v>#DIV/0!</v>
      </c>
      <c r="R126" s="170" t="e">
        <f t="shared" si="84"/>
        <v>#DIV/0!</v>
      </c>
      <c r="Z126" s="1"/>
    </row>
    <row r="127" spans="1:29" ht="11.25" hidden="1">
      <c r="A127" s="122" t="str">
        <f>'[7]Input sheet'!A55</f>
        <v>Turkey</v>
      </c>
      <c r="B127" s="122" t="str">
        <f>'[7]Input sheet'!B55</f>
        <v>Employment</v>
      </c>
      <c r="C127" s="123"/>
      <c r="D127" s="123"/>
      <c r="E127" s="123"/>
      <c r="F127" s="123"/>
      <c r="G127" s="123"/>
      <c r="H127" s="124"/>
      <c r="I127" s="124"/>
      <c r="J127" s="124"/>
      <c r="K127" s="124"/>
      <c r="L127" s="124"/>
      <c r="M127" s="124"/>
      <c r="N127" s="124"/>
      <c r="O127" s="124"/>
      <c r="P127" s="124"/>
      <c r="Q127" s="124"/>
      <c r="R127" s="124"/>
      <c r="S127" s="166"/>
      <c r="T127" s="1" t="str">
        <f>'[7]Input sheet'!S55</f>
        <v>N/A</v>
      </c>
      <c r="U127" s="1" t="e">
        <f>'[7]Input sheet'!T55</f>
        <v>#REF!</v>
      </c>
      <c r="V127" s="1" t="e">
        <f>'[7]Input sheet'!U55</f>
        <v>#REF!</v>
      </c>
      <c r="W127" s="1" t="e">
        <f>'[7]Input sheet'!W55</f>
        <v>#REF!</v>
      </c>
      <c r="X127" s="1" t="e">
        <f>'[7]Input sheet'!X55</f>
        <v>#REF!</v>
      </c>
      <c r="Z127" s="1"/>
    </row>
    <row r="128" spans="1:29" ht="11.25" hidden="1">
      <c r="C128" s="164"/>
      <c r="G128" s="164"/>
      <c r="J128" s="182"/>
      <c r="K128" s="182"/>
      <c r="L128" s="182"/>
      <c r="M128" s="182"/>
      <c r="Z128" s="1"/>
      <c r="AA128" s="1">
        <f>'[8]Input sheet'!Z57</f>
        <v>0</v>
      </c>
      <c r="AB128" s="1">
        <f>'[8]Input sheet'!AA57</f>
        <v>0</v>
      </c>
      <c r="AC128" s="1">
        <f>'[8]Input sheet'!AC57</f>
        <v>0</v>
      </c>
    </row>
    <row r="129" spans="1:29" ht="11.25" hidden="1">
      <c r="A129" s="125" t="str">
        <f>'[7]Input sheet'!A56</f>
        <v>Turkey</v>
      </c>
      <c r="B129" s="125" t="str">
        <f>'[7]Input sheet'!B56</f>
        <v>Employment</v>
      </c>
      <c r="C129" s="134" t="str">
        <f>'[7]Input sheet'!C56</f>
        <v>Direct Tourism Employment by Sector</v>
      </c>
      <c r="D129" s="135"/>
      <c r="E129" s="135"/>
      <c r="F129" s="135"/>
      <c r="G129" s="134" t="str">
        <f>'[7]Input sheet'!G56</f>
        <v>Thousands</v>
      </c>
      <c r="H129" s="167"/>
      <c r="I129" s="167"/>
      <c r="J129" s="167"/>
      <c r="K129" s="167"/>
      <c r="L129" s="167"/>
      <c r="M129" s="167"/>
      <c r="N129" s="167" t="e">
        <f>N131+N133+N135+N137+N139+N141+N143</f>
        <v>#DIV/0!</v>
      </c>
      <c r="O129" s="167" t="e">
        <f>O131+O133+O135+O137+O139+O141+O143</f>
        <v>#DIV/0!</v>
      </c>
      <c r="P129" s="167" t="e">
        <f>P131+P133+P135+P137+P139+P141+P143</f>
        <v>#DIV/0!</v>
      </c>
      <c r="Q129" s="167" t="e">
        <f>Q131+Q133+Q135+Q137+Q139+Q141+Q143</f>
        <v>#DIV/0!</v>
      </c>
      <c r="R129" s="167" t="e">
        <f>R131+R133+R135+R137+R139+R141+R143</f>
        <v>#DIV/0!</v>
      </c>
      <c r="T129" s="1" t="str">
        <f>'[7]Input sheet'!S56</f>
        <v>New</v>
      </c>
      <c r="U129" s="1" t="str">
        <f>'[7]Input sheet'!T56</f>
        <v>Used the direct tourism employment numbers from the tourism satellite accounts</v>
      </c>
      <c r="V129" s="1">
        <f>'[7]Input sheet'!U56</f>
        <v>18139.497250299009</v>
      </c>
      <c r="W129" s="1" t="e">
        <f>'[7]Input sheet'!W56</f>
        <v>#REF!</v>
      </c>
      <c r="X129" s="1" t="e">
        <f>'[7]Input sheet'!X56</f>
        <v>#REF!</v>
      </c>
      <c r="Z129" s="1"/>
    </row>
    <row r="130" spans="1:29" ht="11.25" hidden="1">
      <c r="C130" s="164" t="s">
        <v>184</v>
      </c>
      <c r="G130" s="164" t="s">
        <v>176</v>
      </c>
      <c r="J130" s="170" t="e">
        <f t="shared" ref="J130:R130" si="85">J129/I129-1</f>
        <v>#DIV/0!</v>
      </c>
      <c r="K130" s="170" t="e">
        <f t="shared" si="85"/>
        <v>#DIV/0!</v>
      </c>
      <c r="L130" s="177" t="e">
        <f t="shared" si="85"/>
        <v>#DIV/0!</v>
      </c>
      <c r="M130" s="170" t="e">
        <f t="shared" si="85"/>
        <v>#DIV/0!</v>
      </c>
      <c r="N130" s="170" t="e">
        <f t="shared" si="85"/>
        <v>#DIV/0!</v>
      </c>
      <c r="O130" s="170" t="e">
        <f t="shared" si="85"/>
        <v>#DIV/0!</v>
      </c>
      <c r="P130" s="170" t="e">
        <f t="shared" si="85"/>
        <v>#DIV/0!</v>
      </c>
      <c r="Q130" s="170" t="e">
        <f t="shared" si="85"/>
        <v>#DIV/0!</v>
      </c>
      <c r="R130" s="170" t="e">
        <f t="shared" si="85"/>
        <v>#DIV/0!</v>
      </c>
      <c r="Y130" s="166"/>
      <c r="Z130" s="1"/>
      <c r="AA130" s="1">
        <f>'[8]Input sheet'!Z58</f>
        <v>0</v>
      </c>
      <c r="AB130" s="1">
        <f>'[8]Input sheet'!AA58</f>
        <v>0</v>
      </c>
      <c r="AC130" s="1">
        <f>'[8]Input sheet'!AC58</f>
        <v>0</v>
      </c>
    </row>
    <row r="131" spans="1:29" ht="11.25" hidden="1">
      <c r="A131" s="4" t="str">
        <f>'[7]Input sheet'!A57</f>
        <v>Turkey</v>
      </c>
      <c r="B131" s="129" t="str">
        <f>'[7]Input sheet'!B57</f>
        <v>Employment</v>
      </c>
      <c r="C131" s="4" t="str">
        <f>'[7]Input sheet'!C57</f>
        <v>Direct Tourism Employment by Sector</v>
      </c>
      <c r="D131" s="2" t="str">
        <f>'[7]Input sheet'!D57</f>
        <v>Accommodation</v>
      </c>
      <c r="G131" s="1" t="str">
        <f>'[7]Input sheet'!G57</f>
        <v>Thousands</v>
      </c>
      <c r="H131" s="169"/>
      <c r="I131" s="169"/>
      <c r="J131" s="169"/>
      <c r="K131" s="169"/>
      <c r="L131" s="203"/>
      <c r="M131" s="169"/>
      <c r="N131" s="169" t="e">
        <f>N66*1000/N146</f>
        <v>#DIV/0!</v>
      </c>
      <c r="O131" s="169" t="e">
        <f>O66*1000/O146</f>
        <v>#DIV/0!</v>
      </c>
      <c r="P131" s="169" t="e">
        <f>P66*1000/P146</f>
        <v>#DIV/0!</v>
      </c>
      <c r="Q131" s="169" t="e">
        <f>Q66*1000/Q146</f>
        <v>#DIV/0!</v>
      </c>
      <c r="R131" s="169" t="e">
        <f>R66*1000/R146</f>
        <v>#DIV/0!</v>
      </c>
      <c r="T131" s="1" t="str">
        <f>'[7]Input sheet'!S57</f>
        <v>New</v>
      </c>
      <c r="U131" s="1" t="str">
        <f>'[7]Input sheet'!T57</f>
        <v>Used the direct tourism employment numbers from the tourism satellite accounts</v>
      </c>
      <c r="V131" s="1">
        <f>'[7]Input sheet'!U57</f>
        <v>0</v>
      </c>
      <c r="W131" s="1">
        <f>'[7]Input sheet'!W57</f>
        <v>0</v>
      </c>
      <c r="X131" s="1">
        <f>'[7]Input sheet'!X57</f>
        <v>0</v>
      </c>
      <c r="Z131" s="1"/>
    </row>
    <row r="132" spans="1:29" ht="11.25" hidden="1">
      <c r="C132" s="164" t="s">
        <v>184</v>
      </c>
      <c r="G132" s="164" t="s">
        <v>176</v>
      </c>
      <c r="J132" s="170" t="e">
        <f t="shared" ref="J132:R132" si="86">J131/I131-1</f>
        <v>#DIV/0!</v>
      </c>
      <c r="K132" s="170" t="e">
        <f t="shared" si="86"/>
        <v>#DIV/0!</v>
      </c>
      <c r="L132" s="177" t="e">
        <f t="shared" si="86"/>
        <v>#DIV/0!</v>
      </c>
      <c r="M132" s="170" t="e">
        <f t="shared" si="86"/>
        <v>#DIV/0!</v>
      </c>
      <c r="N132" s="170" t="e">
        <f t="shared" si="86"/>
        <v>#DIV/0!</v>
      </c>
      <c r="O132" s="170" t="e">
        <f t="shared" si="86"/>
        <v>#DIV/0!</v>
      </c>
      <c r="P132" s="170" t="e">
        <f t="shared" si="86"/>
        <v>#DIV/0!</v>
      </c>
      <c r="Q132" s="170" t="e">
        <f t="shared" si="86"/>
        <v>#DIV/0!</v>
      </c>
      <c r="R132" s="170" t="e">
        <f t="shared" si="86"/>
        <v>#DIV/0!</v>
      </c>
      <c r="Z132" s="1"/>
    </row>
    <row r="133" spans="1:29" hidden="1">
      <c r="A133" s="4" t="str">
        <f>'[7]Input sheet'!A58</f>
        <v>Turkey</v>
      </c>
      <c r="B133" s="129" t="str">
        <f>'[7]Input sheet'!B58</f>
        <v>Employment</v>
      </c>
      <c r="C133" s="4" t="str">
        <f>'[7]Input sheet'!C58</f>
        <v>Direct Tourism Employment by Sector</v>
      </c>
      <c r="D133" s="2" t="str">
        <f>'[7]Input sheet'!D58</f>
        <v>Entertainment &amp; Sightseeing</v>
      </c>
      <c r="G133" s="1" t="str">
        <f>'[7]Input sheet'!G58</f>
        <v>Thousands</v>
      </c>
      <c r="H133" s="169"/>
      <c r="I133" s="169"/>
      <c r="J133" s="169"/>
      <c r="K133" s="169"/>
      <c r="L133" s="203"/>
      <c r="M133" s="169"/>
      <c r="N133" s="169" t="e">
        <f>N68*1000/N147</f>
        <v>#DIV/0!</v>
      </c>
      <c r="O133" s="169" t="e">
        <f>O68*1000/O147</f>
        <v>#DIV/0!</v>
      </c>
      <c r="P133" s="169" t="e">
        <f>P68*1000/P147</f>
        <v>#DIV/0!</v>
      </c>
      <c r="Q133" s="169" t="e">
        <f>Q68*1000/Q147</f>
        <v>#DIV/0!</v>
      </c>
      <c r="R133" s="169" t="e">
        <f>R68*1000/R147</f>
        <v>#DIV/0!</v>
      </c>
      <c r="T133" s="1" t="str">
        <f>'[7]Input sheet'!S58</f>
        <v>New</v>
      </c>
      <c r="U133" s="1" t="str">
        <f>'[7]Input sheet'!T58</f>
        <v>Used the direct tourism employment numbers from the tourism satellite accounts</v>
      </c>
      <c r="V133" s="1">
        <f>'[7]Input sheet'!U58</f>
        <v>0</v>
      </c>
      <c r="W133" s="1">
        <f>'[7]Input sheet'!W58</f>
        <v>0</v>
      </c>
      <c r="X133" s="1">
        <f>'[7]Input sheet'!X58</f>
        <v>0</v>
      </c>
      <c r="Y133" s="751"/>
      <c r="Z133" s="1"/>
    </row>
    <row r="134" spans="1:29" ht="11.25" hidden="1">
      <c r="C134" s="164" t="s">
        <v>184</v>
      </c>
      <c r="G134" s="164" t="s">
        <v>176</v>
      </c>
      <c r="J134" s="170" t="e">
        <f t="shared" ref="J134:R134" si="87">J133/I133-1</f>
        <v>#DIV/0!</v>
      </c>
      <c r="K134" s="170" t="e">
        <f t="shared" si="87"/>
        <v>#DIV/0!</v>
      </c>
      <c r="L134" s="177" t="e">
        <f t="shared" si="87"/>
        <v>#DIV/0!</v>
      </c>
      <c r="M134" s="170" t="e">
        <f t="shared" si="87"/>
        <v>#DIV/0!</v>
      </c>
      <c r="N134" s="170" t="e">
        <f t="shared" si="87"/>
        <v>#DIV/0!</v>
      </c>
      <c r="O134" s="170" t="e">
        <f t="shared" si="87"/>
        <v>#DIV/0!</v>
      </c>
      <c r="P134" s="170" t="e">
        <f t="shared" si="87"/>
        <v>#DIV/0!</v>
      </c>
      <c r="Q134" s="170" t="e">
        <f t="shared" si="87"/>
        <v>#DIV/0!</v>
      </c>
      <c r="R134" s="170" t="e">
        <f t="shared" si="87"/>
        <v>#DIV/0!</v>
      </c>
      <c r="Z134" s="1"/>
    </row>
    <row r="135" spans="1:29" ht="11.25" hidden="1">
      <c r="A135" s="4" t="str">
        <f>'[7]Input sheet'!A59</f>
        <v>Turkey</v>
      </c>
      <c r="B135" s="129" t="str">
        <f>'[7]Input sheet'!B59</f>
        <v>Employment</v>
      </c>
      <c r="C135" s="4" t="str">
        <f>'[7]Input sheet'!C59</f>
        <v>Direct Tourism Employment by Sector</v>
      </c>
      <c r="D135" s="2" t="str">
        <f>'[7]Input sheet'!D59</f>
        <v>Foodservice</v>
      </c>
      <c r="G135" s="1" t="str">
        <f>'[7]Input sheet'!G59</f>
        <v>Thousands</v>
      </c>
      <c r="H135" s="169"/>
      <c r="I135" s="169"/>
      <c r="J135" s="169"/>
      <c r="K135" s="169"/>
      <c r="L135" s="169"/>
      <c r="M135" s="169"/>
      <c r="N135" s="169" t="e">
        <f>N70*1000/N148</f>
        <v>#DIV/0!</v>
      </c>
      <c r="O135" s="169" t="e">
        <f>O70*1000/O148</f>
        <v>#DIV/0!</v>
      </c>
      <c r="P135" s="169" t="e">
        <f>P70*1000/P148</f>
        <v>#DIV/0!</v>
      </c>
      <c r="Q135" s="169" t="e">
        <f>Q70*1000/Q148</f>
        <v>#DIV/0!</v>
      </c>
      <c r="R135" s="169" t="e">
        <f>R70*1000/R148</f>
        <v>#DIV/0!</v>
      </c>
      <c r="T135" s="1" t="str">
        <f>'[7]Input sheet'!S59</f>
        <v>New</v>
      </c>
      <c r="U135" s="1" t="str">
        <f>'[7]Input sheet'!T59</f>
        <v>Used the direct tourism employment numbers from the tourism satellite accounts</v>
      </c>
      <c r="V135" s="1">
        <f>'[7]Input sheet'!U59</f>
        <v>0</v>
      </c>
      <c r="W135" s="1">
        <f>'[7]Input sheet'!W59</f>
        <v>0</v>
      </c>
      <c r="X135" s="1">
        <f>'[7]Input sheet'!X59</f>
        <v>0</v>
      </c>
      <c r="Z135" s="1"/>
    </row>
    <row r="136" spans="1:29" ht="11.25" hidden="1">
      <c r="C136" s="164" t="s">
        <v>184</v>
      </c>
      <c r="G136" s="164" t="s">
        <v>176</v>
      </c>
      <c r="J136" s="170" t="e">
        <f t="shared" ref="J136:R136" si="88">J135/I135-1</f>
        <v>#DIV/0!</v>
      </c>
      <c r="K136" s="170" t="e">
        <f t="shared" si="88"/>
        <v>#DIV/0!</v>
      </c>
      <c r="L136" s="170" t="e">
        <f t="shared" si="88"/>
        <v>#DIV/0!</v>
      </c>
      <c r="M136" s="170" t="e">
        <f t="shared" si="88"/>
        <v>#DIV/0!</v>
      </c>
      <c r="N136" s="170" t="e">
        <f t="shared" si="88"/>
        <v>#DIV/0!</v>
      </c>
      <c r="O136" s="170" t="e">
        <f t="shared" si="88"/>
        <v>#DIV/0!</v>
      </c>
      <c r="P136" s="170" t="e">
        <f t="shared" si="88"/>
        <v>#DIV/0!</v>
      </c>
      <c r="Q136" s="170" t="e">
        <f t="shared" si="88"/>
        <v>#DIV/0!</v>
      </c>
      <c r="R136" s="170" t="e">
        <f t="shared" si="88"/>
        <v>#DIV/0!</v>
      </c>
      <c r="Z136" s="1"/>
    </row>
    <row r="137" spans="1:29" ht="11.25" hidden="1">
      <c r="A137" s="4" t="str">
        <f>'[7]Input sheet'!A60</f>
        <v>Turkey</v>
      </c>
      <c r="B137" s="129" t="str">
        <f>'[7]Input sheet'!B60</f>
        <v>Employment</v>
      </c>
      <c r="C137" s="4" t="str">
        <f>'[7]Input sheet'!C60</f>
        <v>Direct Tourism Employment by Sector</v>
      </c>
      <c r="D137" s="2" t="str">
        <f>'[7]Input sheet'!D60</f>
        <v>Retail</v>
      </c>
      <c r="G137" s="1" t="str">
        <f>'[7]Input sheet'!G60</f>
        <v>Thousands</v>
      </c>
      <c r="H137" s="169"/>
      <c r="I137" s="169"/>
      <c r="J137" s="169"/>
      <c r="K137" s="169"/>
      <c r="L137" s="169"/>
      <c r="M137" s="169"/>
      <c r="N137" s="169" t="e">
        <f>N72*1000/N149</f>
        <v>#DIV/0!</v>
      </c>
      <c r="O137" s="169" t="e">
        <f>O72*1000/O149</f>
        <v>#DIV/0!</v>
      </c>
      <c r="P137" s="169" t="e">
        <f>P72*1000/P149</f>
        <v>#DIV/0!</v>
      </c>
      <c r="Q137" s="169" t="e">
        <f>Q72*1000/Q149</f>
        <v>#DIV/0!</v>
      </c>
      <c r="R137" s="169" t="e">
        <f>R72*1000/R149</f>
        <v>#DIV/0!</v>
      </c>
      <c r="T137" s="1" t="str">
        <f>'[7]Input sheet'!S60</f>
        <v>New</v>
      </c>
      <c r="U137" s="1" t="str">
        <f>'[7]Input sheet'!T60</f>
        <v>Used the direct tourism employment numbers from the tourism satellite accounts</v>
      </c>
      <c r="V137" s="1">
        <f>'[7]Input sheet'!U60</f>
        <v>0</v>
      </c>
      <c r="W137" s="1">
        <f>'[7]Input sheet'!W60</f>
        <v>0</v>
      </c>
      <c r="X137" s="1">
        <f>'[7]Input sheet'!X60</f>
        <v>0</v>
      </c>
      <c r="Z137" s="1"/>
    </row>
    <row r="138" spans="1:29" ht="11.25" hidden="1">
      <c r="C138" s="164" t="s">
        <v>184</v>
      </c>
      <c r="G138" s="164" t="s">
        <v>176</v>
      </c>
      <c r="J138" s="170" t="e">
        <f t="shared" ref="J138:R138" si="89">J137/I137-1</f>
        <v>#DIV/0!</v>
      </c>
      <c r="K138" s="170" t="e">
        <f t="shared" si="89"/>
        <v>#DIV/0!</v>
      </c>
      <c r="L138" s="170" t="e">
        <f t="shared" si="89"/>
        <v>#DIV/0!</v>
      </c>
      <c r="M138" s="170" t="e">
        <f t="shared" si="89"/>
        <v>#DIV/0!</v>
      </c>
      <c r="N138" s="170" t="e">
        <f t="shared" si="89"/>
        <v>#DIV/0!</v>
      </c>
      <c r="O138" s="170" t="e">
        <f t="shared" si="89"/>
        <v>#DIV/0!</v>
      </c>
      <c r="P138" s="170" t="e">
        <f t="shared" si="89"/>
        <v>#DIV/0!</v>
      </c>
      <c r="Q138" s="170" t="e">
        <f t="shared" si="89"/>
        <v>#DIV/0!</v>
      </c>
      <c r="R138" s="170" t="e">
        <f t="shared" si="89"/>
        <v>#DIV/0!</v>
      </c>
      <c r="Z138" s="1"/>
    </row>
    <row r="139" spans="1:29" customFormat="1" hidden="1">
      <c r="A139" s="4" t="str">
        <f>'[7]Input sheet'!A61</f>
        <v>Turkey</v>
      </c>
      <c r="B139" s="129" t="str">
        <f>'[7]Input sheet'!B61</f>
        <v>Employment</v>
      </c>
      <c r="C139" s="4" t="str">
        <f>'[7]Input sheet'!C61</f>
        <v>Direct Tourism Employment by Sector</v>
      </c>
      <c r="D139" s="2" t="str">
        <f>'[7]Input sheet'!D61</f>
        <v>Transportation</v>
      </c>
      <c r="E139" s="1"/>
      <c r="F139" s="1"/>
      <c r="G139" s="1" t="str">
        <f>'[7]Input sheet'!G61</f>
        <v>Thousands</v>
      </c>
      <c r="H139" s="169"/>
      <c r="I139" s="169"/>
      <c r="J139" s="169"/>
      <c r="K139" s="169"/>
      <c r="L139" s="169"/>
      <c r="M139" s="169"/>
      <c r="N139" s="169" t="e">
        <f>N74*1000/N150</f>
        <v>#DIV/0!</v>
      </c>
      <c r="O139" s="169" t="e">
        <f>O74*1000/O150</f>
        <v>#DIV/0!</v>
      </c>
      <c r="P139" s="169" t="e">
        <f>P74*1000/P150</f>
        <v>#DIV/0!</v>
      </c>
      <c r="Q139" s="169" t="e">
        <f>Q74*1000/Q150</f>
        <v>#DIV/0!</v>
      </c>
      <c r="R139" s="169" t="e">
        <f>R74*1000/R150</f>
        <v>#DIV/0!</v>
      </c>
      <c r="S139" s="1"/>
      <c r="T139" s="1" t="str">
        <f>'[7]Input sheet'!S61</f>
        <v>New</v>
      </c>
      <c r="U139" s="1" t="str">
        <f>'[7]Input sheet'!T61</f>
        <v>Used the direct tourism employment numbers from the tourism satellite accounts</v>
      </c>
      <c r="V139" s="1">
        <f>'[7]Input sheet'!U61</f>
        <v>0</v>
      </c>
      <c r="W139" s="1">
        <f>'[7]Input sheet'!W61</f>
        <v>0</v>
      </c>
      <c r="X139" s="1">
        <f>'[7]Input sheet'!X61</f>
        <v>0</v>
      </c>
      <c r="Y139" s="1"/>
      <c r="Z139" s="1"/>
      <c r="AA139" s="1"/>
      <c r="AB139" s="1"/>
      <c r="AC139" s="1"/>
    </row>
    <row r="140" spans="1:29" customFormat="1" hidden="1">
      <c r="A140" s="1"/>
      <c r="B140" s="6"/>
      <c r="C140" s="164" t="s">
        <v>184</v>
      </c>
      <c r="D140" s="1"/>
      <c r="E140" s="1"/>
      <c r="F140" s="1"/>
      <c r="G140" s="164" t="s">
        <v>176</v>
      </c>
      <c r="H140" s="165"/>
      <c r="I140" s="165"/>
      <c r="J140" s="170" t="e">
        <f t="shared" ref="J140:R140" si="90">J139/I139-1</f>
        <v>#DIV/0!</v>
      </c>
      <c r="K140" s="170" t="e">
        <f t="shared" si="90"/>
        <v>#DIV/0!</v>
      </c>
      <c r="L140" s="170" t="e">
        <f t="shared" si="90"/>
        <v>#DIV/0!</v>
      </c>
      <c r="M140" s="170" t="e">
        <f t="shared" si="90"/>
        <v>#DIV/0!</v>
      </c>
      <c r="N140" s="170" t="e">
        <f t="shared" si="90"/>
        <v>#DIV/0!</v>
      </c>
      <c r="O140" s="170" t="e">
        <f t="shared" si="90"/>
        <v>#DIV/0!</v>
      </c>
      <c r="P140" s="170" t="e">
        <f t="shared" si="90"/>
        <v>#DIV/0!</v>
      </c>
      <c r="Q140" s="170" t="e">
        <f t="shared" si="90"/>
        <v>#DIV/0!</v>
      </c>
      <c r="R140" s="170" t="e">
        <f t="shared" si="90"/>
        <v>#DIV/0!</v>
      </c>
      <c r="S140" s="1"/>
      <c r="T140" s="1"/>
      <c r="U140" s="1"/>
      <c r="V140" s="1"/>
      <c r="W140" s="1"/>
      <c r="X140" s="1"/>
      <c r="Y140" s="1"/>
      <c r="Z140" s="1"/>
      <c r="AA140" s="1"/>
      <c r="AB140" s="1"/>
      <c r="AC140" s="1"/>
    </row>
    <row r="141" spans="1:29" customFormat="1" hidden="1">
      <c r="A141" s="4" t="str">
        <f>'[7]Input sheet'!A62</f>
        <v>Turkey</v>
      </c>
      <c r="B141" s="129" t="str">
        <f>'[7]Input sheet'!B62</f>
        <v>Employment</v>
      </c>
      <c r="C141" s="4" t="str">
        <f>'[7]Input sheet'!C62</f>
        <v>Direct Tourism Employment by Sector</v>
      </c>
      <c r="D141" s="2" t="str">
        <f>'[7]Input sheet'!D62</f>
        <v>Travel Intermediation</v>
      </c>
      <c r="E141" s="1"/>
      <c r="F141" s="1"/>
      <c r="G141" s="1" t="str">
        <f>'[7]Input sheet'!G62</f>
        <v>Thousands</v>
      </c>
      <c r="H141" s="169"/>
      <c r="I141" s="169"/>
      <c r="J141" s="169"/>
      <c r="K141" s="169"/>
      <c r="L141" s="169"/>
      <c r="M141" s="169"/>
      <c r="N141" s="169" t="e">
        <f>N76*1000/N151</f>
        <v>#DIV/0!</v>
      </c>
      <c r="O141" s="169" t="e">
        <f>O76*1000/O151</f>
        <v>#DIV/0!</v>
      </c>
      <c r="P141" s="169" t="e">
        <f>P76*1000/P151</f>
        <v>#DIV/0!</v>
      </c>
      <c r="Q141" s="169" t="e">
        <f>Q76*1000/Q151</f>
        <v>#DIV/0!</v>
      </c>
      <c r="R141" s="169" t="e">
        <f>R76*1000/R151</f>
        <v>#DIV/0!</v>
      </c>
      <c r="S141" s="1"/>
      <c r="T141" s="1" t="str">
        <f>'[7]Input sheet'!S62</f>
        <v>New</v>
      </c>
      <c r="U141" s="1" t="str">
        <f>'[7]Input sheet'!T62</f>
        <v>Used the direct tourism employment numbers from the tourism satellite accounts</v>
      </c>
      <c r="V141" s="1">
        <f>'[7]Input sheet'!U62</f>
        <v>0</v>
      </c>
      <c r="W141" s="1">
        <f>'[7]Input sheet'!W62</f>
        <v>0</v>
      </c>
      <c r="X141" s="1">
        <f>'[7]Input sheet'!X62</f>
        <v>0</v>
      </c>
      <c r="Y141" s="1"/>
      <c r="Z141" s="1"/>
      <c r="AA141" s="1"/>
      <c r="AB141" s="1"/>
      <c r="AC141" s="1"/>
    </row>
    <row r="142" spans="1:29" customFormat="1" hidden="1">
      <c r="A142" s="1"/>
      <c r="B142" s="6"/>
      <c r="C142" s="164" t="s">
        <v>184</v>
      </c>
      <c r="D142" s="1"/>
      <c r="E142" s="1"/>
      <c r="F142" s="1"/>
      <c r="G142" s="164" t="s">
        <v>176</v>
      </c>
      <c r="H142" s="165"/>
      <c r="I142" s="165"/>
      <c r="J142" s="170" t="e">
        <f t="shared" ref="J142:R142" si="91">J141/I141-1</f>
        <v>#DIV/0!</v>
      </c>
      <c r="K142" s="170" t="e">
        <f t="shared" si="91"/>
        <v>#DIV/0!</v>
      </c>
      <c r="L142" s="170" t="e">
        <f t="shared" si="91"/>
        <v>#DIV/0!</v>
      </c>
      <c r="M142" s="170" t="e">
        <f t="shared" si="91"/>
        <v>#DIV/0!</v>
      </c>
      <c r="N142" s="170" t="e">
        <f t="shared" si="91"/>
        <v>#DIV/0!</v>
      </c>
      <c r="O142" s="170" t="e">
        <f t="shared" si="91"/>
        <v>#DIV/0!</v>
      </c>
      <c r="P142" s="170" t="e">
        <f t="shared" si="91"/>
        <v>#DIV/0!</v>
      </c>
      <c r="Q142" s="170" t="e">
        <f t="shared" si="91"/>
        <v>#DIV/0!</v>
      </c>
      <c r="R142" s="170" t="e">
        <f t="shared" si="91"/>
        <v>#DIV/0!</v>
      </c>
      <c r="S142" s="1"/>
      <c r="T142" s="1"/>
      <c r="U142" s="1"/>
      <c r="V142" s="1"/>
      <c r="W142" s="1"/>
      <c r="X142" s="1"/>
      <c r="Y142" s="1"/>
      <c r="Z142" s="1"/>
      <c r="AA142" s="1"/>
      <c r="AB142" s="1"/>
      <c r="AC142" s="1"/>
    </row>
    <row r="143" spans="1:29" customFormat="1" hidden="1">
      <c r="A143" s="4" t="str">
        <f>'[7]Input sheet'!A63</f>
        <v>Turkey</v>
      </c>
      <c r="B143" s="129" t="str">
        <f>'[7]Input sheet'!B63</f>
        <v>Employment</v>
      </c>
      <c r="C143" s="4" t="str">
        <f>'[7]Input sheet'!C63</f>
        <v>Direct Tourism Employment by Sector</v>
      </c>
      <c r="D143" s="2" t="str">
        <f>'[7]Input sheet'!D63</f>
        <v>Other Sectors</v>
      </c>
      <c r="E143" s="1"/>
      <c r="F143" s="1"/>
      <c r="G143" s="1" t="str">
        <f>'[7]Input sheet'!G63</f>
        <v>Thousands</v>
      </c>
      <c r="H143" s="169"/>
      <c r="I143" s="169"/>
      <c r="J143" s="169"/>
      <c r="K143" s="169"/>
      <c r="L143" s="169"/>
      <c r="M143" s="169"/>
      <c r="N143" s="169" t="e">
        <f>N78*1000/N152</f>
        <v>#DIV/0!</v>
      </c>
      <c r="O143" s="169" t="e">
        <f>O78*1000/O152</f>
        <v>#DIV/0!</v>
      </c>
      <c r="P143" s="169" t="e">
        <f>P78*1000/P152</f>
        <v>#DIV/0!</v>
      </c>
      <c r="Q143" s="169" t="e">
        <f>Q78*1000/Q152</f>
        <v>#DIV/0!</v>
      </c>
      <c r="R143" s="169" t="e">
        <f>R78*1000/R152</f>
        <v>#DIV/0!</v>
      </c>
      <c r="S143" s="1"/>
      <c r="T143" s="1" t="str">
        <f>'[7]Input sheet'!S63</f>
        <v>New</v>
      </c>
      <c r="U143" s="1" t="str">
        <f>'[7]Input sheet'!T63</f>
        <v>Used the direct tourism employment numbers from the tourism satellite accounts</v>
      </c>
      <c r="V143" s="1">
        <f>'[7]Input sheet'!U63</f>
        <v>0</v>
      </c>
      <c r="W143" s="1">
        <f>'[7]Input sheet'!W63</f>
        <v>0</v>
      </c>
      <c r="X143" s="1">
        <f>'[7]Input sheet'!X63</f>
        <v>0</v>
      </c>
      <c r="Y143" s="1"/>
      <c r="Z143" s="1"/>
      <c r="AA143" s="1"/>
      <c r="AB143" s="1"/>
      <c r="AC143" s="1"/>
    </row>
    <row r="144" spans="1:29" customFormat="1" hidden="1">
      <c r="A144" s="1"/>
      <c r="B144" s="6"/>
      <c r="C144" s="164" t="s">
        <v>184</v>
      </c>
      <c r="D144" s="1"/>
      <c r="E144" s="1"/>
      <c r="F144" s="1"/>
      <c r="G144" s="164" t="s">
        <v>176</v>
      </c>
      <c r="H144" s="165"/>
      <c r="I144" s="165"/>
      <c r="J144" s="170" t="e">
        <f t="shared" ref="J144:R144" si="92">J143/I143-1</f>
        <v>#DIV/0!</v>
      </c>
      <c r="K144" s="170" t="e">
        <f t="shared" si="92"/>
        <v>#DIV/0!</v>
      </c>
      <c r="L144" s="170" t="e">
        <f t="shared" si="92"/>
        <v>#DIV/0!</v>
      </c>
      <c r="M144" s="170" t="e">
        <f t="shared" si="92"/>
        <v>#DIV/0!</v>
      </c>
      <c r="N144" s="170" t="e">
        <f t="shared" si="92"/>
        <v>#DIV/0!</v>
      </c>
      <c r="O144" s="170" t="e">
        <f t="shared" si="92"/>
        <v>#DIV/0!</v>
      </c>
      <c r="P144" s="170" t="e">
        <f t="shared" si="92"/>
        <v>#DIV/0!</v>
      </c>
      <c r="Q144" s="170" t="e">
        <f t="shared" si="92"/>
        <v>#DIV/0!</v>
      </c>
      <c r="R144" s="170" t="e">
        <f t="shared" si="92"/>
        <v>#DIV/0!</v>
      </c>
      <c r="S144" s="1"/>
      <c r="T144" s="1"/>
      <c r="U144" s="1"/>
      <c r="V144" s="1"/>
      <c r="W144" s="1"/>
      <c r="X144" s="1"/>
      <c r="Y144" s="1"/>
      <c r="Z144" s="1"/>
      <c r="AA144" s="1"/>
      <c r="AB144" s="1"/>
      <c r="AC144" s="1"/>
    </row>
    <row r="145" spans="1:16382" customFormat="1" hidden="1">
      <c r="A145" s="1"/>
      <c r="B145" s="6"/>
      <c r="C145" s="174" t="s">
        <v>346</v>
      </c>
      <c r="D145" s="34"/>
      <c r="E145" s="34"/>
      <c r="F145" s="34"/>
      <c r="G145" s="174"/>
      <c r="H145" s="183" t="e">
        <f>H64*1000/H129</f>
        <v>#DIV/0!</v>
      </c>
      <c r="I145" s="183" t="e">
        <f>I64*1000/I129</f>
        <v>#DIV/0!</v>
      </c>
      <c r="J145" s="183" t="e">
        <f t="shared" ref="J145:R145" si="93">J64*1000/J129</f>
        <v>#DIV/0!</v>
      </c>
      <c r="K145" s="183" t="e">
        <f t="shared" si="93"/>
        <v>#DIV/0!</v>
      </c>
      <c r="L145" s="183" t="e">
        <f t="shared" si="93"/>
        <v>#DIV/0!</v>
      </c>
      <c r="M145" s="183" t="e">
        <f t="shared" si="93"/>
        <v>#DIV/0!</v>
      </c>
      <c r="N145" s="183" t="e">
        <f>N64*1000/N129</f>
        <v>#DIV/0!</v>
      </c>
      <c r="O145" s="183" t="e">
        <f t="shared" si="93"/>
        <v>#DIV/0!</v>
      </c>
      <c r="P145" s="183" t="e">
        <f t="shared" si="93"/>
        <v>#DIV/0!</v>
      </c>
      <c r="Q145" s="183" t="e">
        <f t="shared" si="93"/>
        <v>#DIV/0!</v>
      </c>
      <c r="R145" s="183" t="e">
        <f t="shared" si="93"/>
        <v>#DIV/0!</v>
      </c>
      <c r="S145" s="1"/>
      <c r="T145" s="1"/>
      <c r="U145" s="1"/>
      <c r="V145" s="1"/>
      <c r="W145" s="1"/>
      <c r="X145" s="1"/>
      <c r="Y145" s="1"/>
      <c r="Z145" s="1"/>
      <c r="AA145" s="1"/>
      <c r="AB145" s="1"/>
      <c r="AC145" s="1"/>
    </row>
    <row r="146" spans="1:16382" customFormat="1" hidden="1">
      <c r="A146" s="1"/>
      <c r="B146" s="6"/>
      <c r="C146" s="174"/>
      <c r="D146" s="175" t="s">
        <v>36</v>
      </c>
      <c r="E146" s="34"/>
      <c r="F146" s="34"/>
      <c r="G146" s="174"/>
      <c r="H146" s="184" t="e">
        <f t="shared" ref="H146:M146" si="94">H66*1000/H131</f>
        <v>#DIV/0!</v>
      </c>
      <c r="I146" s="184" t="e">
        <f t="shared" si="94"/>
        <v>#DIV/0!</v>
      </c>
      <c r="J146" s="184" t="e">
        <f t="shared" si="94"/>
        <v>#DIV/0!</v>
      </c>
      <c r="K146" s="184" t="e">
        <f t="shared" si="94"/>
        <v>#DIV/0!</v>
      </c>
      <c r="L146" s="184" t="e">
        <f t="shared" si="94"/>
        <v>#DIV/0!</v>
      </c>
      <c r="M146" s="184" t="e">
        <f t="shared" si="94"/>
        <v>#DIV/0!</v>
      </c>
      <c r="N146" s="185" t="e">
        <f>M146*(1+(((M146/J146)^(1/4))-1))*0.965</f>
        <v>#DIV/0!</v>
      </c>
      <c r="O146" s="185" t="e">
        <f>N146*(1+(((N146/K146)^(1/4))-1))*0.955</f>
        <v>#DIV/0!</v>
      </c>
      <c r="P146" s="185" t="e">
        <f>O146*(1+(((O146/L146)^(1/4))-1))*0.954</f>
        <v>#DIV/0!</v>
      </c>
      <c r="Q146" s="185" t="e">
        <f>P146*(1+(((P146/M146)^(1/4))-1))*1.005</f>
        <v>#DIV/0!</v>
      </c>
      <c r="R146" s="185" t="e">
        <f>Q146*(1+(((Q146/N146)^(1/4))-1))*1.001</f>
        <v>#DIV/0!</v>
      </c>
      <c r="S146" s="1"/>
      <c r="T146" s="1"/>
      <c r="U146" s="1"/>
      <c r="V146" s="1"/>
      <c r="W146" s="1"/>
      <c r="X146" s="1"/>
      <c r="Y146" s="1"/>
      <c r="Z146" s="1"/>
      <c r="AA146" s="1"/>
      <c r="AB146" s="1"/>
      <c r="AC146" s="1"/>
    </row>
    <row r="147" spans="1:16382" customFormat="1" hidden="1">
      <c r="A147" s="1"/>
      <c r="B147" s="6"/>
      <c r="C147" s="174"/>
      <c r="D147" s="175" t="s">
        <v>37</v>
      </c>
      <c r="E147" s="34"/>
      <c r="F147" s="34"/>
      <c r="G147" s="174"/>
      <c r="H147" s="184" t="e">
        <f t="shared" ref="H147:M147" si="95">H68*1000/H133</f>
        <v>#DIV/0!</v>
      </c>
      <c r="I147" s="184" t="e">
        <f t="shared" si="95"/>
        <v>#DIV/0!</v>
      </c>
      <c r="J147" s="184" t="e">
        <f t="shared" si="95"/>
        <v>#DIV/0!</v>
      </c>
      <c r="K147" s="184" t="e">
        <f t="shared" si="95"/>
        <v>#DIV/0!</v>
      </c>
      <c r="L147" s="184" t="e">
        <f t="shared" si="95"/>
        <v>#DIV/0!</v>
      </c>
      <c r="M147" s="184" t="e">
        <f t="shared" si="95"/>
        <v>#DIV/0!</v>
      </c>
      <c r="N147" s="185" t="e">
        <f>M147*(1+(((M147/J147)^(1/4))-1))*1.04</f>
        <v>#DIV/0!</v>
      </c>
      <c r="O147" s="185" t="e">
        <f>N147*(1+(((N147/K147)^(1/4))-1))*0.995</f>
        <v>#DIV/0!</v>
      </c>
      <c r="P147" s="185" t="e">
        <f>O147*(1+(((O147/L147)^(1/4))-1)*-0.4)</f>
        <v>#DIV/0!</v>
      </c>
      <c r="Q147" s="185" t="e">
        <f>P147*(1+(((P147/M147)^(1/4))-1)*1.5)</f>
        <v>#DIV/0!</v>
      </c>
      <c r="R147" s="185" t="e">
        <f>Q147*(1+(((Q147/N147)^(1/4))-1)*1.2)</f>
        <v>#DIV/0!</v>
      </c>
      <c r="S147" s="1"/>
      <c r="T147" s="1"/>
      <c r="U147" s="1"/>
      <c r="V147" s="1"/>
      <c r="W147" s="1"/>
      <c r="X147" s="1"/>
      <c r="Y147" s="1"/>
      <c r="Z147" s="1"/>
      <c r="AA147" s="1"/>
      <c r="AB147" s="1"/>
      <c r="AC147" s="1"/>
    </row>
    <row r="148" spans="1:16382" customFormat="1" hidden="1">
      <c r="A148" s="1"/>
      <c r="B148" s="6"/>
      <c r="C148" s="174"/>
      <c r="D148" s="175" t="s">
        <v>38</v>
      </c>
      <c r="E148" s="34"/>
      <c r="F148" s="34"/>
      <c r="G148" s="174"/>
      <c r="H148" s="184" t="e">
        <f t="shared" ref="H148:M148" si="96">H70*1000/H135</f>
        <v>#DIV/0!</v>
      </c>
      <c r="I148" s="184" t="e">
        <f t="shared" si="96"/>
        <v>#DIV/0!</v>
      </c>
      <c r="J148" s="184" t="e">
        <f t="shared" si="96"/>
        <v>#DIV/0!</v>
      </c>
      <c r="K148" s="184" t="e">
        <f t="shared" si="96"/>
        <v>#DIV/0!</v>
      </c>
      <c r="L148" s="184" t="e">
        <f t="shared" si="96"/>
        <v>#DIV/0!</v>
      </c>
      <c r="M148" s="184" t="e">
        <f t="shared" si="96"/>
        <v>#DIV/0!</v>
      </c>
      <c r="N148" s="185" t="e">
        <f>M148*(1+(((M148/J148)^(1/4))-1))*0.95</f>
        <v>#DIV/0!</v>
      </c>
      <c r="O148" s="185" t="e">
        <f>N148*(1+(((N148/K148)^(1/4))-1))*0.99</f>
        <v>#DIV/0!</v>
      </c>
      <c r="P148" s="185" t="e">
        <f>O148*(1+(((O148/L148)^(1/4))-1))*0.995</f>
        <v>#DIV/0!</v>
      </c>
      <c r="Q148" s="185" t="e">
        <f>P148*(1+(((P148/M148)^(1/4))-1)*3.9)*0.945</f>
        <v>#DIV/0!</v>
      </c>
      <c r="R148" s="185" t="e">
        <f>Q148*(1+(((Q148/N148)^(1/4))-1)*1.1)</f>
        <v>#DIV/0!</v>
      </c>
      <c r="S148" s="1"/>
      <c r="T148" s="1"/>
      <c r="U148" s="1"/>
      <c r="V148" s="1"/>
      <c r="W148" s="1"/>
      <c r="X148" s="1"/>
      <c r="Y148" s="1"/>
      <c r="Z148" s="1"/>
      <c r="AA148" s="1"/>
      <c r="AB148" s="1"/>
      <c r="AC148" s="1"/>
    </row>
    <row r="149" spans="1:16382" customFormat="1" hidden="1">
      <c r="A149" s="1"/>
      <c r="B149" s="6"/>
      <c r="C149" s="174"/>
      <c r="D149" s="175" t="s">
        <v>39</v>
      </c>
      <c r="E149" s="34"/>
      <c r="F149" s="34"/>
      <c r="G149" s="174"/>
      <c r="H149" s="184" t="e">
        <f t="shared" ref="H149:M149" si="97">H72*1000/H137</f>
        <v>#DIV/0!</v>
      </c>
      <c r="I149" s="184" t="e">
        <f t="shared" si="97"/>
        <v>#DIV/0!</v>
      </c>
      <c r="J149" s="184" t="e">
        <f t="shared" si="97"/>
        <v>#DIV/0!</v>
      </c>
      <c r="K149" s="184" t="e">
        <f t="shared" si="97"/>
        <v>#DIV/0!</v>
      </c>
      <c r="L149" s="184" t="e">
        <f t="shared" si="97"/>
        <v>#DIV/0!</v>
      </c>
      <c r="M149" s="184" t="e">
        <f t="shared" si="97"/>
        <v>#DIV/0!</v>
      </c>
      <c r="N149" s="185" t="e">
        <f>M149*(1+(((M149/J149)^(1/4))-1))*0.98</f>
        <v>#DIV/0!</v>
      </c>
      <c r="O149" s="185" t="e">
        <f>N149*(1+(((N149/K149)^(1/4))-1)*1.08)</f>
        <v>#DIV/0!</v>
      </c>
      <c r="P149" s="185" t="e">
        <f>O149*(1+(((O149/L149)^(1/4))-1)*0.7)*1.011</f>
        <v>#DIV/0!</v>
      </c>
      <c r="Q149" s="185" t="e">
        <f>P149*(1+(((P149/M149)^(1/4))-1)*2.9)*0.961</f>
        <v>#DIV/0!</v>
      </c>
      <c r="R149" s="185" t="e">
        <f>Q149*(1+(((Q149/N149)^(1/4))-1)*1.7)*0.985</f>
        <v>#DIV/0!</v>
      </c>
      <c r="S149" s="1"/>
      <c r="T149" s="1"/>
      <c r="U149" s="1"/>
      <c r="V149" s="1"/>
      <c r="W149" s="1"/>
      <c r="X149" s="1"/>
      <c r="Y149" s="1"/>
      <c r="Z149" s="1"/>
      <c r="AA149" s="1"/>
      <c r="AB149" s="1"/>
      <c r="AC149" s="1"/>
    </row>
    <row r="150" spans="1:16382" customFormat="1" hidden="1">
      <c r="A150" s="1"/>
      <c r="B150" s="6"/>
      <c r="C150" s="174"/>
      <c r="D150" s="175" t="s">
        <v>40</v>
      </c>
      <c r="E150" s="34"/>
      <c r="F150" s="34"/>
      <c r="G150" s="174"/>
      <c r="H150" s="184" t="e">
        <f t="shared" ref="H150:M150" si="98">H74*1000/H139</f>
        <v>#DIV/0!</v>
      </c>
      <c r="I150" s="184" t="e">
        <f t="shared" si="98"/>
        <v>#DIV/0!</v>
      </c>
      <c r="J150" s="184" t="e">
        <f t="shared" si="98"/>
        <v>#DIV/0!</v>
      </c>
      <c r="K150" s="184" t="e">
        <f t="shared" si="98"/>
        <v>#DIV/0!</v>
      </c>
      <c r="L150" s="184" t="e">
        <f t="shared" si="98"/>
        <v>#DIV/0!</v>
      </c>
      <c r="M150" s="184" t="e">
        <f t="shared" si="98"/>
        <v>#DIV/0!</v>
      </c>
      <c r="N150" s="185" t="e">
        <f>M150*(1+(((M150/J150)^(1/4))-1)*0.4)</f>
        <v>#DIV/0!</v>
      </c>
      <c r="O150" s="185" t="e">
        <f>N150*(1+(((N150/K150)^(1/4))-1)*0.4)*1.01</f>
        <v>#DIV/0!</v>
      </c>
      <c r="P150" s="185" t="e">
        <f>O150*(1+(((O150/L150)^(1/4))-1)*0.7)*1.015</f>
        <v>#DIV/0!</v>
      </c>
      <c r="Q150" s="185" t="e">
        <f>P150*(1+(((P150/M150)^(1/4))-1)*1.01)</f>
        <v>#DIV/0!</v>
      </c>
      <c r="R150" s="185" t="e">
        <f>Q150*(1+(((Q150/N150)^(1/4))-1)*1.2)</f>
        <v>#DIV/0!</v>
      </c>
      <c r="S150" s="1"/>
      <c r="T150" s="1"/>
      <c r="U150" s="1"/>
      <c r="V150" s="1"/>
      <c r="W150" s="1"/>
      <c r="X150" s="1"/>
      <c r="Y150" s="1"/>
      <c r="Z150" s="1"/>
      <c r="AA150" s="1"/>
      <c r="AB150" s="1"/>
      <c r="AC150" s="1"/>
    </row>
    <row r="151" spans="1:16382" customFormat="1" hidden="1">
      <c r="A151" s="1"/>
      <c r="B151" s="6"/>
      <c r="C151" s="174"/>
      <c r="D151" s="175" t="s">
        <v>41</v>
      </c>
      <c r="E151" s="34"/>
      <c r="F151" s="34"/>
      <c r="G151" s="174"/>
      <c r="H151" s="184" t="e">
        <f t="shared" ref="H151:M151" si="99">H76*1000/H141</f>
        <v>#DIV/0!</v>
      </c>
      <c r="I151" s="184" t="e">
        <f t="shared" si="99"/>
        <v>#DIV/0!</v>
      </c>
      <c r="J151" s="184" t="e">
        <f t="shared" si="99"/>
        <v>#DIV/0!</v>
      </c>
      <c r="K151" s="184" t="e">
        <f t="shared" si="99"/>
        <v>#DIV/0!</v>
      </c>
      <c r="L151" s="184" t="e">
        <f t="shared" si="99"/>
        <v>#DIV/0!</v>
      </c>
      <c r="M151" s="184" t="e">
        <f t="shared" si="99"/>
        <v>#DIV/0!</v>
      </c>
      <c r="N151" s="185" t="e">
        <f>M151*(1+(((M151/J151)^(1/4))-1)*0.1)*1.035</f>
        <v>#DIV/0!</v>
      </c>
      <c r="O151" s="185" t="e">
        <f>N151*(1+(((N151/K151)^(1/4))-1)*0.7)*1.001</f>
        <v>#DIV/0!</v>
      </c>
      <c r="P151" s="185" t="e">
        <f>O151*(1+(((O151/L151)^(1/4))-1))*0.975</f>
        <v>#DIV/0!</v>
      </c>
      <c r="Q151" s="185" t="e">
        <f>P151*(1+(((P151/M151)^(1/4))-1)*1.05)</f>
        <v>#DIV/0!</v>
      </c>
      <c r="R151" s="185" t="e">
        <f>Q151*(1+(((Q151/N151)^(1/4))-1)*1.001)</f>
        <v>#DIV/0!</v>
      </c>
      <c r="S151" s="1"/>
      <c r="T151" s="1"/>
      <c r="U151" s="1"/>
      <c r="V151" s="1"/>
      <c r="W151" s="1"/>
      <c r="X151" s="1"/>
      <c r="Y151" s="1"/>
      <c r="Z151" s="1"/>
      <c r="AA151" s="1"/>
      <c r="AB151" s="1"/>
      <c r="AC151" s="1"/>
    </row>
    <row r="152" spans="1:16382" customFormat="1" hidden="1">
      <c r="A152" s="1"/>
      <c r="B152" s="6"/>
      <c r="C152" s="174"/>
      <c r="D152" s="175" t="s">
        <v>42</v>
      </c>
      <c r="E152" s="34"/>
      <c r="F152" s="34"/>
      <c r="G152" s="174"/>
      <c r="H152" s="184" t="e">
        <f t="shared" ref="H152:M152" si="100">H78*1000/H143</f>
        <v>#DIV/0!</v>
      </c>
      <c r="I152" s="184" t="e">
        <f t="shared" si="100"/>
        <v>#DIV/0!</v>
      </c>
      <c r="J152" s="184" t="e">
        <f t="shared" si="100"/>
        <v>#DIV/0!</v>
      </c>
      <c r="K152" s="184" t="e">
        <f t="shared" si="100"/>
        <v>#DIV/0!</v>
      </c>
      <c r="L152" s="184" t="e">
        <f t="shared" si="100"/>
        <v>#DIV/0!</v>
      </c>
      <c r="M152" s="184" t="e">
        <f t="shared" si="100"/>
        <v>#DIV/0!</v>
      </c>
      <c r="N152" s="185" t="e">
        <f>M152*(1+(((M152/J152)^(1/4))-1))*1.017</f>
        <v>#DIV/0!</v>
      </c>
      <c r="O152" s="185" t="e">
        <f>N152*(1+(((N152/K152)^(1/4))-1)*0.5)*1.025</f>
        <v>#DIV/0!</v>
      </c>
      <c r="P152" s="185" t="e">
        <f>O152*(1+(((O152/L152)^(1/4))-1)*1.5)</f>
        <v>#DIV/0!</v>
      </c>
      <c r="Q152" s="185" t="e">
        <f>P152*(1+(((P152/M152)^(1/4))-1)*1.2)</f>
        <v>#DIV/0!</v>
      </c>
      <c r="R152" s="185" t="e">
        <f>Q152*(1+(((Q152/N152)^(1/4))-1)*1.7)*99%</f>
        <v>#DIV/0!</v>
      </c>
      <c r="S152" s="1"/>
      <c r="T152" s="1"/>
      <c r="U152" s="1"/>
      <c r="V152" s="1"/>
      <c r="W152" s="1"/>
      <c r="X152" s="1"/>
      <c r="Y152" s="1"/>
      <c r="Z152" s="1"/>
      <c r="AA152" s="1"/>
      <c r="AB152" s="1"/>
      <c r="AC152" s="1"/>
    </row>
    <row r="153" spans="1:16382" customFormat="1" hidden="1">
      <c r="A153" s="125" t="str">
        <f>'[7]Input sheet'!A64</f>
        <v>Turkey</v>
      </c>
      <c r="B153" s="125" t="str">
        <f>'[7]Input sheet'!B64</f>
        <v>Employment</v>
      </c>
      <c r="C153" s="134" t="str">
        <f>'[7]Input sheet'!C64</f>
        <v>Direct Tourism Employment as a Percentage of Total Employment</v>
      </c>
      <c r="D153" s="135"/>
      <c r="E153" s="135"/>
      <c r="F153" s="135"/>
      <c r="G153" s="135" t="str">
        <f>'[7]Input sheet'!G64</f>
        <v>%</v>
      </c>
      <c r="H153" s="186" t="e">
        <f>H129/H508</f>
        <v>#DIV/0!</v>
      </c>
      <c r="I153" s="186" t="e">
        <f>I129/I508</f>
        <v>#DIV/0!</v>
      </c>
      <c r="J153" s="186" t="e">
        <f t="shared" ref="J153:L153" si="101">J129/J508</f>
        <v>#DIV/0!</v>
      </c>
      <c r="K153" s="186" t="e">
        <f t="shared" si="101"/>
        <v>#DIV/0!</v>
      </c>
      <c r="L153" s="186" t="e">
        <f t="shared" si="101"/>
        <v>#DIV/0!</v>
      </c>
      <c r="M153" s="186" t="e">
        <f>M129/M508</f>
        <v>#DIV/0!</v>
      </c>
      <c r="N153" s="186" t="e">
        <f t="shared" ref="N153:R153" si="102">N129/N$508</f>
        <v>#DIV/0!</v>
      </c>
      <c r="O153" s="186" t="e">
        <f t="shared" si="102"/>
        <v>#DIV/0!</v>
      </c>
      <c r="P153" s="186" t="e">
        <f t="shared" si="102"/>
        <v>#DIV/0!</v>
      </c>
      <c r="Q153" s="186" t="e">
        <f t="shared" si="102"/>
        <v>#DIV/0!</v>
      </c>
      <c r="R153" s="186" t="e">
        <f t="shared" si="102"/>
        <v>#DIV/0!</v>
      </c>
      <c r="S153" s="125"/>
      <c r="T153" s="125" t="str">
        <f>'[7]Input sheet'!S64</f>
        <v>New</v>
      </c>
      <c r="U153" s="134" t="str">
        <f>'[7]Input sheet'!T64</f>
        <v>Divided the direct tourism employment number by total non-farm employment</v>
      </c>
      <c r="V153" s="135" t="e">
        <f>'[7]Input sheet'!#REF!</f>
        <v>#REF!</v>
      </c>
      <c r="W153" s="135">
        <f>'[7]Input sheet'!U64</f>
        <v>0</v>
      </c>
      <c r="X153" s="135" t="e">
        <f>'[7]Input sheet'!X64</f>
        <v>#REF!</v>
      </c>
      <c r="Y153" s="1"/>
      <c r="Z153" s="1"/>
      <c r="AA153" s="1"/>
      <c r="AB153" s="1"/>
      <c r="AC153" s="1"/>
      <c r="AD153" s="173"/>
      <c r="AE153" s="173"/>
      <c r="AF153" s="173"/>
      <c r="AG153" s="173"/>
      <c r="AH153" s="173"/>
      <c r="AI153" s="173"/>
      <c r="AJ153" s="125"/>
      <c r="AK153" s="125"/>
      <c r="AL153" s="134"/>
      <c r="AM153" s="135"/>
      <c r="AN153" s="135"/>
      <c r="AO153" s="135"/>
      <c r="AP153" s="135"/>
      <c r="AQ153" s="173"/>
      <c r="AR153" s="173"/>
      <c r="AS153" s="173"/>
      <c r="AT153" s="173"/>
      <c r="AU153" s="173"/>
      <c r="AV153" s="173"/>
      <c r="AW153" s="173"/>
      <c r="AX153" s="173"/>
      <c r="AY153" s="173"/>
      <c r="AZ153" s="173"/>
      <c r="BA153" s="125"/>
      <c r="BB153" s="125"/>
      <c r="BC153" s="134"/>
      <c r="BD153" s="135"/>
      <c r="BE153" s="135"/>
      <c r="BF153" s="135"/>
      <c r="BG153" s="135"/>
      <c r="BH153" s="173"/>
      <c r="BI153" s="173"/>
      <c r="BJ153" s="173"/>
      <c r="BK153" s="173"/>
      <c r="BL153" s="173"/>
      <c r="BM153" s="173"/>
      <c r="BN153" s="173"/>
      <c r="BO153" s="173"/>
      <c r="BP153" s="173"/>
      <c r="BQ153" s="173"/>
      <c r="BR153" s="125"/>
      <c r="BS153" s="125"/>
      <c r="BT153" s="134"/>
      <c r="BU153" s="135"/>
      <c r="BV153" s="135"/>
      <c r="BW153" s="135"/>
      <c r="BX153" s="135"/>
      <c r="BY153" s="173"/>
      <c r="BZ153" s="173"/>
      <c r="CA153" s="173"/>
      <c r="CB153" s="173"/>
      <c r="CC153" s="173"/>
      <c r="CD153" s="173"/>
      <c r="CE153" s="173"/>
      <c r="CF153" s="173"/>
      <c r="CG153" s="173"/>
      <c r="CH153" s="173"/>
      <c r="CI153" s="125"/>
      <c r="CJ153" s="125"/>
      <c r="CK153" s="134"/>
      <c r="CL153" s="135"/>
      <c r="CM153" s="135"/>
      <c r="CN153" s="135"/>
      <c r="CO153" s="135"/>
      <c r="CP153" s="173"/>
      <c r="CQ153" s="173"/>
      <c r="CR153" s="173"/>
      <c r="CS153" s="173"/>
      <c r="CT153" s="173"/>
      <c r="CU153" s="173"/>
      <c r="CV153" s="173"/>
      <c r="CW153" s="173"/>
      <c r="CX153" s="173"/>
      <c r="CY153" s="173"/>
      <c r="CZ153" s="125"/>
      <c r="DA153" s="125"/>
      <c r="DB153" s="134"/>
      <c r="DC153" s="135"/>
      <c r="DD153" s="135"/>
      <c r="DE153" s="135"/>
      <c r="DF153" s="135"/>
      <c r="DG153" s="173"/>
      <c r="DH153" s="173"/>
      <c r="DI153" s="173"/>
      <c r="DJ153" s="173"/>
      <c r="DK153" s="173"/>
      <c r="DL153" s="173"/>
      <c r="DM153" s="173"/>
      <c r="DN153" s="173"/>
      <c r="DO153" s="173"/>
      <c r="DP153" s="173"/>
      <c r="DQ153" s="125"/>
      <c r="DR153" s="125"/>
      <c r="DS153" s="134"/>
      <c r="DT153" s="135"/>
      <c r="DU153" s="135"/>
      <c r="DV153" s="135"/>
      <c r="DW153" s="135"/>
      <c r="DX153" s="173"/>
      <c r="DY153" s="173"/>
      <c r="DZ153" s="173"/>
      <c r="EA153" s="173"/>
      <c r="EB153" s="173"/>
      <c r="EC153" s="173"/>
      <c r="ED153" s="173"/>
      <c r="EE153" s="173"/>
      <c r="EF153" s="173"/>
      <c r="EG153" s="173"/>
      <c r="EH153" s="125"/>
      <c r="EI153" s="125"/>
      <c r="EJ153" s="134"/>
      <c r="EK153" s="135"/>
      <c r="EL153" s="135"/>
      <c r="EM153" s="135"/>
      <c r="EN153" s="135"/>
      <c r="EO153" s="173"/>
      <c r="EP153" s="173"/>
      <c r="EQ153" s="173"/>
      <c r="ER153" s="173"/>
      <c r="ES153" s="173"/>
      <c r="ET153" s="173"/>
      <c r="EU153" s="173"/>
      <c r="EV153" s="173"/>
      <c r="EW153" s="173"/>
      <c r="EX153" s="173"/>
      <c r="EY153" s="125"/>
      <c r="EZ153" s="125"/>
      <c r="FA153" s="134"/>
      <c r="FB153" s="135"/>
      <c r="FC153" s="135"/>
      <c r="FD153" s="135"/>
      <c r="FE153" s="135"/>
      <c r="FF153" s="173"/>
      <c r="FG153" s="173"/>
      <c r="FH153" s="173"/>
      <c r="FI153" s="173"/>
      <c r="FJ153" s="173"/>
      <c r="FK153" s="173"/>
      <c r="FL153" s="173"/>
      <c r="FM153" s="173"/>
      <c r="FN153" s="173"/>
      <c r="FO153" s="173"/>
      <c r="FP153" s="125"/>
      <c r="FQ153" s="125"/>
      <c r="FR153" s="134"/>
      <c r="FS153" s="135"/>
      <c r="FT153" s="135"/>
      <c r="FU153" s="135"/>
      <c r="FV153" s="135"/>
      <c r="FW153" s="173"/>
      <c r="FX153" s="173"/>
      <c r="FY153" s="173"/>
      <c r="FZ153" s="173"/>
      <c r="GA153" s="173"/>
      <c r="GB153" s="173"/>
      <c r="GC153" s="173"/>
      <c r="GD153" s="173"/>
      <c r="GE153" s="173"/>
      <c r="GF153" s="173"/>
      <c r="GG153" s="125"/>
      <c r="GH153" s="125"/>
      <c r="GI153" s="134"/>
      <c r="GJ153" s="135"/>
      <c r="GK153" s="135"/>
      <c r="GL153" s="135"/>
      <c r="GM153" s="135"/>
      <c r="GN153" s="173"/>
      <c r="GO153" s="173"/>
      <c r="GP153" s="173"/>
      <c r="GQ153" s="173"/>
      <c r="GR153" s="173"/>
      <c r="GS153" s="173"/>
      <c r="GT153" s="173"/>
      <c r="GU153" s="173"/>
      <c r="GV153" s="173"/>
      <c r="GW153" s="173"/>
      <c r="GX153" s="125"/>
      <c r="GY153" s="125"/>
      <c r="GZ153" s="134"/>
      <c r="HA153" s="135"/>
      <c r="HB153" s="135"/>
      <c r="HC153" s="135"/>
      <c r="HD153" s="135"/>
      <c r="HE153" s="173"/>
      <c r="HF153" s="173"/>
      <c r="HG153" s="173"/>
      <c r="HH153" s="173"/>
      <c r="HI153" s="173"/>
      <c r="HJ153" s="173"/>
      <c r="HK153" s="173"/>
      <c r="HL153" s="173"/>
      <c r="HM153" s="173"/>
      <c r="HN153" s="173"/>
      <c r="HO153" s="125"/>
      <c r="HP153" s="125"/>
      <c r="HQ153" s="134"/>
      <c r="HR153" s="135"/>
      <c r="HS153" s="135"/>
      <c r="HT153" s="135"/>
      <c r="HU153" s="135"/>
      <c r="HV153" s="173"/>
      <c r="HW153" s="173"/>
      <c r="HX153" s="173"/>
      <c r="HY153" s="173"/>
      <c r="HZ153" s="173"/>
      <c r="IA153" s="173"/>
      <c r="IB153" s="173"/>
      <c r="IC153" s="173"/>
      <c r="ID153" s="173"/>
      <c r="IE153" s="173"/>
      <c r="IF153" s="125"/>
      <c r="IG153" s="125"/>
      <c r="IH153" s="134"/>
      <c r="II153" s="135"/>
      <c r="IJ153" s="135"/>
      <c r="IK153" s="135"/>
      <c r="IL153" s="135"/>
      <c r="IM153" s="173"/>
      <c r="IN153" s="173"/>
      <c r="IO153" s="173"/>
      <c r="IP153" s="173"/>
      <c r="IQ153" s="173"/>
      <c r="IR153" s="173"/>
      <c r="IS153" s="173"/>
      <c r="IT153" s="173"/>
      <c r="IU153" s="173"/>
      <c r="IV153" s="173"/>
      <c r="IW153" s="125"/>
      <c r="IX153" s="125"/>
      <c r="IY153" s="134"/>
      <c r="IZ153" s="135"/>
      <c r="JA153" s="135"/>
      <c r="JB153" s="135"/>
      <c r="JC153" s="135"/>
      <c r="JD153" s="173"/>
      <c r="JE153" s="173"/>
      <c r="JF153" s="173"/>
      <c r="JG153" s="173"/>
      <c r="JH153" s="173"/>
      <c r="JI153" s="173"/>
      <c r="JJ153" s="173"/>
      <c r="JK153" s="173"/>
      <c r="JL153" s="173"/>
      <c r="JM153" s="173"/>
      <c r="JN153" s="125"/>
      <c r="JO153" s="125"/>
      <c r="JP153" s="134"/>
      <c r="JQ153" s="135"/>
      <c r="JR153" s="135"/>
      <c r="JS153" s="135"/>
      <c r="JT153" s="135"/>
      <c r="JU153" s="173"/>
      <c r="JV153" s="173"/>
      <c r="JW153" s="173"/>
      <c r="JX153" s="173"/>
      <c r="JY153" s="173"/>
      <c r="JZ153" s="173"/>
      <c r="KA153" s="173"/>
      <c r="KB153" s="173"/>
      <c r="KC153" s="173"/>
      <c r="KD153" s="173"/>
      <c r="KE153" s="125"/>
      <c r="KF153" s="125"/>
      <c r="KG153" s="134"/>
      <c r="KH153" s="135"/>
      <c r="KI153" s="135"/>
      <c r="KJ153" s="135"/>
      <c r="KK153" s="135"/>
      <c r="KL153" s="173"/>
      <c r="KM153" s="173"/>
      <c r="KN153" s="173"/>
      <c r="KO153" s="173"/>
      <c r="KP153" s="173"/>
      <c r="KQ153" s="173"/>
      <c r="KR153" s="173"/>
      <c r="KS153" s="173"/>
      <c r="KT153" s="173"/>
      <c r="KU153" s="173"/>
      <c r="KV153" s="125"/>
      <c r="KW153" s="125"/>
      <c r="KX153" s="134"/>
      <c r="KY153" s="135"/>
      <c r="KZ153" s="135"/>
      <c r="LA153" s="135"/>
      <c r="LB153" s="135"/>
      <c r="LC153" s="173"/>
      <c r="LD153" s="173"/>
      <c r="LE153" s="173"/>
      <c r="LF153" s="173"/>
      <c r="LG153" s="173"/>
      <c r="LH153" s="173"/>
      <c r="LI153" s="173"/>
      <c r="LJ153" s="173"/>
      <c r="LK153" s="173"/>
      <c r="LL153" s="173"/>
      <c r="LM153" s="125"/>
      <c r="LN153" s="125"/>
      <c r="LO153" s="134"/>
      <c r="LP153" s="135"/>
      <c r="LQ153" s="135"/>
      <c r="LR153" s="135"/>
      <c r="LS153" s="135"/>
      <c r="LT153" s="173"/>
      <c r="LU153" s="173"/>
      <c r="LV153" s="173"/>
      <c r="LW153" s="173"/>
      <c r="LX153" s="173"/>
      <c r="LY153" s="173"/>
      <c r="LZ153" s="173"/>
      <c r="MA153" s="173"/>
      <c r="MB153" s="173"/>
      <c r="MC153" s="173"/>
      <c r="MD153" s="125"/>
      <c r="ME153" s="125"/>
      <c r="MF153" s="134"/>
      <c r="MG153" s="135"/>
      <c r="MH153" s="135"/>
      <c r="MI153" s="135"/>
      <c r="MJ153" s="135"/>
      <c r="MK153" s="173"/>
      <c r="ML153" s="173"/>
      <c r="MM153" s="173"/>
      <c r="MN153" s="173"/>
      <c r="MO153" s="173"/>
      <c r="MP153" s="173"/>
      <c r="MQ153" s="173"/>
      <c r="MR153" s="173"/>
      <c r="MS153" s="173"/>
      <c r="MT153" s="173"/>
      <c r="MU153" s="125"/>
      <c r="MV153" s="125"/>
      <c r="MW153" s="134"/>
      <c r="MX153" s="135"/>
      <c r="MY153" s="135"/>
      <c r="MZ153" s="135"/>
      <c r="NA153" s="135"/>
      <c r="NB153" s="173"/>
      <c r="NC153" s="173"/>
      <c r="ND153" s="173"/>
      <c r="NE153" s="173"/>
      <c r="NF153" s="173"/>
      <c r="NG153" s="173"/>
      <c r="NH153" s="173"/>
      <c r="NI153" s="173"/>
      <c r="NJ153" s="173"/>
      <c r="NK153" s="173"/>
      <c r="NL153" s="125"/>
      <c r="NM153" s="125"/>
      <c r="NN153" s="134"/>
      <c r="NO153" s="135"/>
      <c r="NP153" s="135"/>
      <c r="NQ153" s="135"/>
      <c r="NR153" s="135"/>
      <c r="NS153" s="173"/>
      <c r="NT153" s="173"/>
      <c r="NU153" s="173"/>
      <c r="NV153" s="173"/>
      <c r="NW153" s="173"/>
      <c r="NX153" s="173"/>
      <c r="NY153" s="173"/>
      <c r="NZ153" s="173"/>
      <c r="OA153" s="173"/>
      <c r="OB153" s="173"/>
      <c r="OC153" s="125"/>
      <c r="OD153" s="125"/>
      <c r="OE153" s="134"/>
      <c r="OF153" s="135"/>
      <c r="OG153" s="135"/>
      <c r="OH153" s="135"/>
      <c r="OI153" s="135"/>
      <c r="OJ153" s="173"/>
      <c r="OK153" s="173"/>
      <c r="OL153" s="173"/>
      <c r="OM153" s="173"/>
      <c r="ON153" s="173"/>
      <c r="OO153" s="173"/>
      <c r="OP153" s="173"/>
      <c r="OQ153" s="173"/>
      <c r="OR153" s="173"/>
      <c r="OS153" s="173"/>
      <c r="OT153" s="125"/>
      <c r="OU153" s="125"/>
      <c r="OV153" s="134"/>
      <c r="OW153" s="135"/>
      <c r="OX153" s="135"/>
      <c r="OY153" s="135"/>
      <c r="OZ153" s="135"/>
      <c r="PA153" s="173"/>
      <c r="PB153" s="173"/>
      <c r="PC153" s="173"/>
      <c r="PD153" s="173"/>
      <c r="PE153" s="173"/>
      <c r="PF153" s="173"/>
      <c r="PG153" s="173"/>
      <c r="PH153" s="173"/>
      <c r="PI153" s="173"/>
      <c r="PJ153" s="173"/>
      <c r="PK153" s="125"/>
      <c r="PL153" s="125"/>
      <c r="PM153" s="134"/>
      <c r="PN153" s="135"/>
      <c r="PO153" s="135"/>
      <c r="PP153" s="135"/>
      <c r="PQ153" s="135"/>
      <c r="PR153" s="173"/>
      <c r="PS153" s="173"/>
      <c r="PT153" s="173"/>
      <c r="PU153" s="173"/>
      <c r="PV153" s="173"/>
      <c r="PW153" s="173"/>
      <c r="PX153" s="173"/>
      <c r="PY153" s="173"/>
      <c r="PZ153" s="173"/>
      <c r="QA153" s="173"/>
      <c r="QB153" s="125"/>
      <c r="QC153" s="125"/>
      <c r="QD153" s="134"/>
      <c r="QE153" s="135"/>
      <c r="QF153" s="135"/>
      <c r="QG153" s="135"/>
      <c r="QH153" s="135"/>
      <c r="QI153" s="173"/>
      <c r="QJ153" s="173"/>
      <c r="QK153" s="173"/>
      <c r="QL153" s="173"/>
      <c r="QM153" s="173"/>
      <c r="QN153" s="173"/>
      <c r="QO153" s="173"/>
      <c r="QP153" s="173"/>
      <c r="QQ153" s="173"/>
      <c r="QR153" s="173"/>
      <c r="QS153" s="125"/>
      <c r="QT153" s="125"/>
      <c r="QU153" s="134"/>
      <c r="QV153" s="135"/>
      <c r="QW153" s="135"/>
      <c r="QX153" s="135"/>
      <c r="QY153" s="135"/>
      <c r="QZ153" s="173"/>
      <c r="RA153" s="173"/>
      <c r="RB153" s="173"/>
      <c r="RC153" s="173"/>
      <c r="RD153" s="173"/>
      <c r="RE153" s="173"/>
      <c r="RF153" s="173"/>
      <c r="RG153" s="173"/>
      <c r="RH153" s="173"/>
      <c r="RI153" s="173"/>
      <c r="RJ153" s="125"/>
      <c r="RK153" s="125"/>
      <c r="RL153" s="134"/>
      <c r="RM153" s="135"/>
      <c r="RN153" s="135"/>
      <c r="RO153" s="135"/>
      <c r="RP153" s="135"/>
      <c r="RQ153" s="173"/>
      <c r="RR153" s="173"/>
      <c r="RS153" s="173"/>
      <c r="RT153" s="173"/>
      <c r="RU153" s="173"/>
      <c r="RV153" s="173"/>
      <c r="RW153" s="173"/>
      <c r="RX153" s="173"/>
      <c r="RY153" s="173"/>
      <c r="RZ153" s="173"/>
      <c r="SA153" s="125"/>
      <c r="SB153" s="125"/>
      <c r="SC153" s="134"/>
      <c r="SD153" s="135"/>
      <c r="SE153" s="135"/>
      <c r="SF153" s="135"/>
      <c r="SG153" s="135"/>
      <c r="SH153" s="173"/>
      <c r="SI153" s="173"/>
      <c r="SJ153" s="173"/>
      <c r="SK153" s="173"/>
      <c r="SL153" s="173"/>
      <c r="SM153" s="173"/>
      <c r="SN153" s="173"/>
      <c r="SO153" s="173"/>
      <c r="SP153" s="173"/>
      <c r="SQ153" s="173"/>
      <c r="SR153" s="125"/>
      <c r="SS153" s="125"/>
      <c r="ST153" s="134"/>
      <c r="SU153" s="135"/>
      <c r="SV153" s="135"/>
      <c r="SW153" s="135"/>
      <c r="SX153" s="135"/>
      <c r="SY153" s="173"/>
      <c r="SZ153" s="173"/>
      <c r="TA153" s="173"/>
      <c r="TB153" s="173"/>
      <c r="TC153" s="173"/>
      <c r="TD153" s="173"/>
      <c r="TE153" s="173"/>
      <c r="TF153" s="173"/>
      <c r="TG153" s="173"/>
      <c r="TH153" s="173"/>
      <c r="TI153" s="125"/>
      <c r="TJ153" s="125"/>
      <c r="TK153" s="134"/>
      <c r="TL153" s="135"/>
      <c r="TM153" s="135"/>
      <c r="TN153" s="135"/>
      <c r="TO153" s="135"/>
      <c r="TP153" s="173"/>
      <c r="TQ153" s="173"/>
      <c r="TR153" s="173"/>
      <c r="TS153" s="173"/>
      <c r="TT153" s="173"/>
      <c r="TU153" s="173"/>
      <c r="TV153" s="173"/>
      <c r="TW153" s="173"/>
      <c r="TX153" s="173"/>
      <c r="TY153" s="173"/>
      <c r="TZ153" s="125"/>
      <c r="UA153" s="125"/>
      <c r="UB153" s="134"/>
      <c r="UC153" s="135"/>
      <c r="UD153" s="135"/>
      <c r="UE153" s="135"/>
      <c r="UF153" s="135"/>
      <c r="UG153" s="173"/>
      <c r="UH153" s="173"/>
      <c r="UI153" s="173"/>
      <c r="UJ153" s="173"/>
      <c r="UK153" s="173"/>
      <c r="UL153" s="173"/>
      <c r="UM153" s="173"/>
      <c r="UN153" s="173"/>
      <c r="UO153" s="173"/>
      <c r="UP153" s="173"/>
      <c r="UQ153" s="125"/>
      <c r="UR153" s="125"/>
      <c r="US153" s="134"/>
      <c r="UT153" s="135"/>
      <c r="UU153" s="135"/>
      <c r="UV153" s="135"/>
      <c r="UW153" s="135"/>
      <c r="UX153" s="173"/>
      <c r="UY153" s="173"/>
      <c r="UZ153" s="173"/>
      <c r="VA153" s="173"/>
      <c r="VB153" s="173"/>
      <c r="VC153" s="173"/>
      <c r="VD153" s="173"/>
      <c r="VE153" s="173"/>
      <c r="VF153" s="173"/>
      <c r="VG153" s="173"/>
      <c r="VH153" s="125"/>
      <c r="VI153" s="125"/>
      <c r="VJ153" s="134"/>
      <c r="VK153" s="135"/>
      <c r="VL153" s="135"/>
      <c r="VM153" s="135"/>
      <c r="VN153" s="135"/>
      <c r="VO153" s="173"/>
      <c r="VP153" s="173"/>
      <c r="VQ153" s="173"/>
      <c r="VR153" s="173"/>
      <c r="VS153" s="173"/>
      <c r="VT153" s="173"/>
      <c r="VU153" s="173"/>
      <c r="VV153" s="173"/>
      <c r="VW153" s="173"/>
      <c r="VX153" s="173"/>
      <c r="VY153" s="125"/>
      <c r="VZ153" s="125"/>
      <c r="WA153" s="134"/>
      <c r="WB153" s="135"/>
      <c r="WC153" s="135"/>
      <c r="WD153" s="135"/>
      <c r="WE153" s="135"/>
      <c r="WF153" s="173"/>
      <c r="WG153" s="173"/>
      <c r="WH153" s="173"/>
      <c r="WI153" s="173"/>
      <c r="WJ153" s="173"/>
      <c r="WK153" s="173"/>
      <c r="WL153" s="173"/>
      <c r="WM153" s="173"/>
      <c r="WN153" s="173"/>
      <c r="WO153" s="173"/>
      <c r="WP153" s="125"/>
      <c r="WQ153" s="125"/>
      <c r="WR153" s="134"/>
      <c r="WS153" s="135"/>
      <c r="WT153" s="135"/>
      <c r="WU153" s="135"/>
      <c r="WV153" s="135"/>
      <c r="WW153" s="173"/>
      <c r="WX153" s="173"/>
      <c r="WY153" s="173"/>
      <c r="WZ153" s="173"/>
      <c r="XA153" s="173"/>
      <c r="XB153" s="173"/>
      <c r="XC153" s="173"/>
      <c r="XD153" s="173"/>
      <c r="XE153" s="173"/>
      <c r="XF153" s="173"/>
      <c r="XG153" s="125"/>
      <c r="XH153" s="125"/>
      <c r="XI153" s="134"/>
      <c r="XJ153" s="135"/>
      <c r="XK153" s="135"/>
      <c r="XL153" s="135"/>
      <c r="XM153" s="135"/>
      <c r="XN153" s="173"/>
      <c r="XO153" s="173"/>
      <c r="XP153" s="173"/>
      <c r="XQ153" s="173"/>
      <c r="XR153" s="173"/>
      <c r="XS153" s="173"/>
      <c r="XT153" s="173"/>
      <c r="XU153" s="173"/>
      <c r="XV153" s="173"/>
      <c r="XW153" s="173"/>
      <c r="XX153" s="125"/>
      <c r="XY153" s="125"/>
      <c r="XZ153" s="134"/>
      <c r="YA153" s="135"/>
      <c r="YB153" s="135"/>
      <c r="YC153" s="135"/>
      <c r="YD153" s="135"/>
      <c r="YE153" s="173"/>
      <c r="YF153" s="173"/>
      <c r="YG153" s="173"/>
      <c r="YH153" s="173"/>
      <c r="YI153" s="173"/>
      <c r="YJ153" s="173"/>
      <c r="YK153" s="173"/>
      <c r="YL153" s="173"/>
      <c r="YM153" s="173"/>
      <c r="YN153" s="173"/>
      <c r="YO153" s="125"/>
      <c r="YP153" s="125"/>
      <c r="YQ153" s="134"/>
      <c r="YR153" s="135"/>
      <c r="YS153" s="135"/>
      <c r="YT153" s="135"/>
      <c r="YU153" s="135"/>
      <c r="YV153" s="173"/>
      <c r="YW153" s="173"/>
      <c r="YX153" s="173"/>
      <c r="YY153" s="173"/>
      <c r="YZ153" s="173"/>
      <c r="ZA153" s="173"/>
      <c r="ZB153" s="173"/>
      <c r="ZC153" s="173"/>
      <c r="ZD153" s="173"/>
      <c r="ZE153" s="173"/>
      <c r="ZF153" s="125"/>
      <c r="ZG153" s="125"/>
      <c r="ZH153" s="134"/>
      <c r="ZI153" s="135"/>
      <c r="ZJ153" s="135"/>
      <c r="ZK153" s="135"/>
      <c r="ZL153" s="135"/>
      <c r="ZM153" s="173"/>
      <c r="ZN153" s="173"/>
      <c r="ZO153" s="173"/>
      <c r="ZP153" s="173"/>
      <c r="ZQ153" s="173"/>
      <c r="ZR153" s="173"/>
      <c r="ZS153" s="173"/>
      <c r="ZT153" s="173"/>
      <c r="ZU153" s="173"/>
      <c r="ZV153" s="173"/>
      <c r="ZW153" s="125"/>
      <c r="ZX153" s="125"/>
      <c r="ZY153" s="134"/>
      <c r="ZZ153" s="135"/>
      <c r="AAA153" s="135"/>
      <c r="AAB153" s="135"/>
      <c r="AAC153" s="135"/>
      <c r="AAD153" s="173"/>
      <c r="AAE153" s="173"/>
      <c r="AAF153" s="173"/>
      <c r="AAG153" s="173"/>
      <c r="AAH153" s="173"/>
      <c r="AAI153" s="173"/>
      <c r="AAJ153" s="173"/>
      <c r="AAK153" s="173"/>
      <c r="AAL153" s="173"/>
      <c r="AAM153" s="173"/>
      <c r="AAN153" s="125"/>
      <c r="AAO153" s="125"/>
      <c r="AAP153" s="134"/>
      <c r="AAQ153" s="135"/>
      <c r="AAR153" s="135"/>
      <c r="AAS153" s="135"/>
      <c r="AAT153" s="135"/>
      <c r="AAU153" s="173"/>
      <c r="AAV153" s="173"/>
      <c r="AAW153" s="173"/>
      <c r="AAX153" s="173"/>
      <c r="AAY153" s="173"/>
      <c r="AAZ153" s="173"/>
      <c r="ABA153" s="173"/>
      <c r="ABB153" s="173"/>
      <c r="ABC153" s="173"/>
      <c r="ABD153" s="173"/>
      <c r="ABE153" s="125"/>
      <c r="ABF153" s="125"/>
      <c r="ABG153" s="134"/>
      <c r="ABH153" s="135"/>
      <c r="ABI153" s="135"/>
      <c r="ABJ153" s="135"/>
      <c r="ABK153" s="135"/>
      <c r="ABL153" s="173"/>
      <c r="ABM153" s="173"/>
      <c r="ABN153" s="173"/>
      <c r="ABO153" s="173"/>
      <c r="ABP153" s="173"/>
      <c r="ABQ153" s="173"/>
      <c r="ABR153" s="173"/>
      <c r="ABS153" s="173"/>
      <c r="ABT153" s="173"/>
      <c r="ABU153" s="173"/>
      <c r="ABV153" s="125"/>
      <c r="ABW153" s="125"/>
      <c r="ABX153" s="134"/>
      <c r="ABY153" s="135"/>
      <c r="ABZ153" s="135"/>
      <c r="ACA153" s="135"/>
      <c r="ACB153" s="135"/>
      <c r="ACC153" s="173"/>
      <c r="ACD153" s="173"/>
      <c r="ACE153" s="173"/>
      <c r="ACF153" s="173"/>
      <c r="ACG153" s="173"/>
      <c r="ACH153" s="173"/>
      <c r="ACI153" s="173"/>
      <c r="ACJ153" s="173"/>
      <c r="ACK153" s="173"/>
      <c r="ACL153" s="173"/>
      <c r="ACM153" s="125"/>
      <c r="ACN153" s="125"/>
      <c r="ACO153" s="134"/>
      <c r="ACP153" s="135"/>
      <c r="ACQ153" s="135"/>
      <c r="ACR153" s="135"/>
      <c r="ACS153" s="135"/>
      <c r="ACT153" s="173"/>
      <c r="ACU153" s="173"/>
      <c r="ACV153" s="173"/>
      <c r="ACW153" s="173"/>
      <c r="ACX153" s="173"/>
      <c r="ACY153" s="173"/>
      <c r="ACZ153" s="173"/>
      <c r="ADA153" s="173"/>
      <c r="ADB153" s="173"/>
      <c r="ADC153" s="173"/>
      <c r="ADD153" s="125"/>
      <c r="ADE153" s="125"/>
      <c r="ADF153" s="134"/>
      <c r="ADG153" s="135"/>
      <c r="ADH153" s="135"/>
      <c r="ADI153" s="135"/>
      <c r="ADJ153" s="135"/>
      <c r="ADK153" s="173"/>
      <c r="ADL153" s="173"/>
      <c r="ADM153" s="173"/>
      <c r="ADN153" s="173"/>
      <c r="ADO153" s="173"/>
      <c r="ADP153" s="173"/>
      <c r="ADQ153" s="173"/>
      <c r="ADR153" s="173"/>
      <c r="ADS153" s="173"/>
      <c r="ADT153" s="173"/>
      <c r="ADU153" s="125"/>
      <c r="ADV153" s="125"/>
      <c r="ADW153" s="134"/>
      <c r="ADX153" s="135"/>
      <c r="ADY153" s="135"/>
      <c r="ADZ153" s="135"/>
      <c r="AEA153" s="135"/>
      <c r="AEB153" s="173"/>
      <c r="AEC153" s="173"/>
      <c r="AED153" s="173"/>
      <c r="AEE153" s="173"/>
      <c r="AEF153" s="173"/>
      <c r="AEG153" s="173"/>
      <c r="AEH153" s="173"/>
      <c r="AEI153" s="173"/>
      <c r="AEJ153" s="173"/>
      <c r="AEK153" s="173"/>
      <c r="AEL153" s="125"/>
      <c r="AEM153" s="125"/>
      <c r="AEN153" s="134"/>
      <c r="AEO153" s="135"/>
      <c r="AEP153" s="135"/>
      <c r="AEQ153" s="135"/>
      <c r="AER153" s="135"/>
      <c r="AES153" s="173"/>
      <c r="AET153" s="173"/>
      <c r="AEU153" s="173"/>
      <c r="AEV153" s="173"/>
      <c r="AEW153" s="173"/>
      <c r="AEX153" s="173"/>
      <c r="AEY153" s="173"/>
      <c r="AEZ153" s="173"/>
      <c r="AFA153" s="173"/>
      <c r="AFB153" s="173"/>
      <c r="AFC153" s="125"/>
      <c r="AFD153" s="125"/>
      <c r="AFE153" s="134"/>
      <c r="AFF153" s="135"/>
      <c r="AFG153" s="135"/>
      <c r="AFH153" s="135"/>
      <c r="AFI153" s="135"/>
      <c r="AFJ153" s="173"/>
      <c r="AFK153" s="173"/>
      <c r="AFL153" s="173"/>
      <c r="AFM153" s="173"/>
      <c r="AFN153" s="173"/>
      <c r="AFO153" s="173"/>
      <c r="AFP153" s="173"/>
      <c r="AFQ153" s="173"/>
      <c r="AFR153" s="173"/>
      <c r="AFS153" s="173"/>
      <c r="AFT153" s="125"/>
      <c r="AFU153" s="125"/>
      <c r="AFV153" s="134"/>
      <c r="AFW153" s="135"/>
      <c r="AFX153" s="135"/>
      <c r="AFY153" s="135"/>
      <c r="AFZ153" s="135"/>
      <c r="AGA153" s="173"/>
      <c r="AGB153" s="173"/>
      <c r="AGC153" s="173"/>
      <c r="AGD153" s="173"/>
      <c r="AGE153" s="173"/>
      <c r="AGF153" s="173"/>
      <c r="AGG153" s="173"/>
      <c r="AGH153" s="173"/>
      <c r="AGI153" s="173"/>
      <c r="AGJ153" s="173"/>
      <c r="AGK153" s="125"/>
      <c r="AGL153" s="125"/>
      <c r="AGM153" s="134"/>
      <c r="AGN153" s="135"/>
      <c r="AGO153" s="135"/>
      <c r="AGP153" s="135"/>
      <c r="AGQ153" s="135"/>
      <c r="AGR153" s="173"/>
      <c r="AGS153" s="173"/>
      <c r="AGT153" s="173"/>
      <c r="AGU153" s="173"/>
      <c r="AGV153" s="173"/>
      <c r="AGW153" s="173"/>
      <c r="AGX153" s="173"/>
      <c r="AGY153" s="173"/>
      <c r="AGZ153" s="173"/>
      <c r="AHA153" s="173"/>
      <c r="AHB153" s="125"/>
      <c r="AHC153" s="125"/>
      <c r="AHD153" s="134"/>
      <c r="AHE153" s="135"/>
      <c r="AHF153" s="135"/>
      <c r="AHG153" s="135"/>
      <c r="AHH153" s="135"/>
      <c r="AHI153" s="173"/>
      <c r="AHJ153" s="173"/>
      <c r="AHK153" s="173"/>
      <c r="AHL153" s="173"/>
      <c r="AHM153" s="173"/>
      <c r="AHN153" s="173"/>
      <c r="AHO153" s="173"/>
      <c r="AHP153" s="173"/>
      <c r="AHQ153" s="173"/>
      <c r="AHR153" s="173"/>
      <c r="AHS153" s="125"/>
      <c r="AHT153" s="125"/>
      <c r="AHU153" s="134"/>
      <c r="AHV153" s="135"/>
      <c r="AHW153" s="135"/>
      <c r="AHX153" s="135"/>
      <c r="AHY153" s="135"/>
      <c r="AHZ153" s="173"/>
      <c r="AIA153" s="173"/>
      <c r="AIB153" s="173"/>
      <c r="AIC153" s="173"/>
      <c r="AID153" s="173"/>
      <c r="AIE153" s="173"/>
      <c r="AIF153" s="173"/>
      <c r="AIG153" s="173"/>
      <c r="AIH153" s="173"/>
      <c r="AII153" s="173"/>
      <c r="AIJ153" s="125"/>
      <c r="AIK153" s="125"/>
      <c r="AIL153" s="134"/>
      <c r="AIM153" s="135"/>
      <c r="AIN153" s="135"/>
      <c r="AIO153" s="135"/>
      <c r="AIP153" s="135"/>
      <c r="AIQ153" s="173"/>
      <c r="AIR153" s="173"/>
      <c r="AIS153" s="173"/>
      <c r="AIT153" s="173"/>
      <c r="AIU153" s="173"/>
      <c r="AIV153" s="173"/>
      <c r="AIW153" s="173"/>
      <c r="AIX153" s="173"/>
      <c r="AIY153" s="173"/>
      <c r="AIZ153" s="173"/>
      <c r="AJA153" s="125"/>
      <c r="AJB153" s="125"/>
      <c r="AJC153" s="134"/>
      <c r="AJD153" s="135"/>
      <c r="AJE153" s="135"/>
      <c r="AJF153" s="135"/>
      <c r="AJG153" s="135"/>
      <c r="AJH153" s="173"/>
      <c r="AJI153" s="173"/>
      <c r="AJJ153" s="173"/>
      <c r="AJK153" s="173"/>
      <c r="AJL153" s="173"/>
      <c r="AJM153" s="173"/>
      <c r="AJN153" s="173"/>
      <c r="AJO153" s="173"/>
      <c r="AJP153" s="173"/>
      <c r="AJQ153" s="173"/>
      <c r="AJR153" s="125"/>
      <c r="AJS153" s="125"/>
      <c r="AJT153" s="134"/>
      <c r="AJU153" s="135"/>
      <c r="AJV153" s="135"/>
      <c r="AJW153" s="135"/>
      <c r="AJX153" s="135"/>
      <c r="AJY153" s="173"/>
      <c r="AJZ153" s="173"/>
      <c r="AKA153" s="173"/>
      <c r="AKB153" s="173"/>
      <c r="AKC153" s="173"/>
      <c r="AKD153" s="173"/>
      <c r="AKE153" s="173"/>
      <c r="AKF153" s="173"/>
      <c r="AKG153" s="173"/>
      <c r="AKH153" s="173"/>
      <c r="AKI153" s="125"/>
      <c r="AKJ153" s="125"/>
      <c r="AKK153" s="134"/>
      <c r="AKL153" s="135"/>
      <c r="AKM153" s="135"/>
      <c r="AKN153" s="135"/>
      <c r="AKO153" s="135"/>
      <c r="AKP153" s="173"/>
      <c r="AKQ153" s="173"/>
      <c r="AKR153" s="173"/>
      <c r="AKS153" s="173"/>
      <c r="AKT153" s="173"/>
      <c r="AKU153" s="173"/>
      <c r="AKV153" s="173"/>
      <c r="AKW153" s="173"/>
      <c r="AKX153" s="173"/>
      <c r="AKY153" s="173"/>
      <c r="AKZ153" s="125"/>
      <c r="ALA153" s="125"/>
      <c r="ALB153" s="134"/>
      <c r="ALC153" s="135"/>
      <c r="ALD153" s="135"/>
      <c r="ALE153" s="135"/>
      <c r="ALF153" s="135"/>
      <c r="ALG153" s="173"/>
      <c r="ALH153" s="173"/>
      <c r="ALI153" s="173"/>
      <c r="ALJ153" s="173"/>
      <c r="ALK153" s="173"/>
      <c r="ALL153" s="173"/>
      <c r="ALM153" s="173"/>
      <c r="ALN153" s="173"/>
      <c r="ALO153" s="173"/>
      <c r="ALP153" s="173"/>
      <c r="ALQ153" s="125"/>
      <c r="ALR153" s="125"/>
      <c r="ALS153" s="134"/>
      <c r="ALT153" s="135"/>
      <c r="ALU153" s="135"/>
      <c r="ALV153" s="135"/>
      <c r="ALW153" s="135"/>
      <c r="ALX153" s="173"/>
      <c r="ALY153" s="173"/>
      <c r="ALZ153" s="173"/>
      <c r="AMA153" s="173"/>
      <c r="AMB153" s="173"/>
      <c r="AMC153" s="173"/>
      <c r="AMD153" s="173"/>
      <c r="AME153" s="173"/>
      <c r="AMF153" s="173"/>
      <c r="AMG153" s="173"/>
      <c r="AMH153" s="125"/>
      <c r="AMI153" s="125"/>
      <c r="AMJ153" s="134"/>
      <c r="AMK153" s="135"/>
      <c r="AML153" s="135"/>
      <c r="AMM153" s="135"/>
      <c r="AMN153" s="135"/>
      <c r="AMO153" s="173"/>
      <c r="AMP153" s="173"/>
      <c r="AMQ153" s="173"/>
      <c r="AMR153" s="173"/>
      <c r="AMS153" s="173"/>
      <c r="AMT153" s="173"/>
      <c r="AMU153" s="173"/>
      <c r="AMV153" s="173"/>
      <c r="AMW153" s="173"/>
      <c r="AMX153" s="173"/>
      <c r="AMY153" s="125"/>
      <c r="AMZ153" s="125"/>
      <c r="ANA153" s="134"/>
      <c r="ANB153" s="135"/>
      <c r="ANC153" s="135"/>
      <c r="AND153" s="135"/>
      <c r="ANE153" s="135"/>
      <c r="ANF153" s="173"/>
      <c r="ANG153" s="173"/>
      <c r="ANH153" s="173"/>
      <c r="ANI153" s="173"/>
      <c r="ANJ153" s="173"/>
      <c r="ANK153" s="173"/>
      <c r="ANL153" s="173"/>
      <c r="ANM153" s="173"/>
      <c r="ANN153" s="173"/>
      <c r="ANO153" s="173"/>
      <c r="ANP153" s="125"/>
      <c r="ANQ153" s="125"/>
      <c r="ANR153" s="134"/>
      <c r="ANS153" s="135"/>
      <c r="ANT153" s="135"/>
      <c r="ANU153" s="135"/>
      <c r="ANV153" s="135"/>
      <c r="ANW153" s="173"/>
      <c r="ANX153" s="173"/>
      <c r="ANY153" s="173"/>
      <c r="ANZ153" s="173"/>
      <c r="AOA153" s="173"/>
      <c r="AOB153" s="173"/>
      <c r="AOC153" s="173"/>
      <c r="AOD153" s="173"/>
      <c r="AOE153" s="173"/>
      <c r="AOF153" s="173"/>
      <c r="AOG153" s="125"/>
      <c r="AOH153" s="125"/>
      <c r="AOI153" s="134"/>
      <c r="AOJ153" s="135"/>
      <c r="AOK153" s="135"/>
      <c r="AOL153" s="135"/>
      <c r="AOM153" s="135"/>
      <c r="AON153" s="173"/>
      <c r="AOO153" s="173"/>
      <c r="AOP153" s="173"/>
      <c r="AOQ153" s="173"/>
      <c r="AOR153" s="173"/>
      <c r="AOS153" s="173"/>
      <c r="AOT153" s="173"/>
      <c r="AOU153" s="173"/>
      <c r="AOV153" s="173"/>
      <c r="AOW153" s="173"/>
      <c r="AOX153" s="125"/>
      <c r="AOY153" s="125"/>
      <c r="AOZ153" s="134"/>
      <c r="APA153" s="135"/>
      <c r="APB153" s="135"/>
      <c r="APC153" s="135"/>
      <c r="APD153" s="135"/>
      <c r="APE153" s="173"/>
      <c r="APF153" s="173"/>
      <c r="APG153" s="173"/>
      <c r="APH153" s="173"/>
      <c r="API153" s="173"/>
      <c r="APJ153" s="173"/>
      <c r="APK153" s="173"/>
      <c r="APL153" s="173"/>
      <c r="APM153" s="173"/>
      <c r="APN153" s="173"/>
      <c r="APO153" s="125"/>
      <c r="APP153" s="125"/>
      <c r="APQ153" s="134"/>
      <c r="APR153" s="135"/>
      <c r="APS153" s="135"/>
      <c r="APT153" s="135"/>
      <c r="APU153" s="135"/>
      <c r="APV153" s="173"/>
      <c r="APW153" s="173"/>
      <c r="APX153" s="173"/>
      <c r="APY153" s="173"/>
      <c r="APZ153" s="173"/>
      <c r="AQA153" s="173"/>
      <c r="AQB153" s="173"/>
      <c r="AQC153" s="173"/>
      <c r="AQD153" s="173"/>
      <c r="AQE153" s="173"/>
      <c r="AQF153" s="125"/>
      <c r="AQG153" s="125"/>
      <c r="AQH153" s="134"/>
      <c r="AQI153" s="135"/>
      <c r="AQJ153" s="135"/>
      <c r="AQK153" s="135"/>
      <c r="AQL153" s="135"/>
      <c r="AQM153" s="173"/>
      <c r="AQN153" s="173"/>
      <c r="AQO153" s="173"/>
      <c r="AQP153" s="173"/>
      <c r="AQQ153" s="173"/>
      <c r="AQR153" s="173"/>
      <c r="AQS153" s="173"/>
      <c r="AQT153" s="173"/>
      <c r="AQU153" s="173"/>
      <c r="AQV153" s="173"/>
      <c r="AQW153" s="125"/>
      <c r="AQX153" s="125"/>
      <c r="AQY153" s="134"/>
      <c r="AQZ153" s="135"/>
      <c r="ARA153" s="135"/>
      <c r="ARB153" s="135"/>
      <c r="ARC153" s="135"/>
      <c r="ARD153" s="173"/>
      <c r="ARE153" s="173"/>
      <c r="ARF153" s="173"/>
      <c r="ARG153" s="173"/>
      <c r="ARH153" s="173"/>
      <c r="ARI153" s="173"/>
      <c r="ARJ153" s="173"/>
      <c r="ARK153" s="173"/>
      <c r="ARL153" s="173"/>
      <c r="ARM153" s="173"/>
      <c r="ARN153" s="125"/>
      <c r="ARO153" s="125"/>
      <c r="ARP153" s="134"/>
      <c r="ARQ153" s="135"/>
      <c r="ARR153" s="135"/>
      <c r="ARS153" s="135"/>
      <c r="ART153" s="135"/>
      <c r="ARU153" s="173"/>
      <c r="ARV153" s="173"/>
      <c r="ARW153" s="173"/>
      <c r="ARX153" s="173"/>
      <c r="ARY153" s="173"/>
      <c r="ARZ153" s="173"/>
      <c r="ASA153" s="173"/>
      <c r="ASB153" s="173"/>
      <c r="ASC153" s="173"/>
      <c r="ASD153" s="173"/>
      <c r="ASE153" s="125"/>
      <c r="ASF153" s="125"/>
      <c r="ASG153" s="134"/>
      <c r="ASH153" s="135"/>
      <c r="ASI153" s="135"/>
      <c r="ASJ153" s="135"/>
      <c r="ASK153" s="135"/>
      <c r="ASL153" s="173"/>
      <c r="ASM153" s="173"/>
      <c r="ASN153" s="173"/>
      <c r="ASO153" s="173"/>
      <c r="ASP153" s="173"/>
      <c r="ASQ153" s="173"/>
      <c r="ASR153" s="173"/>
      <c r="ASS153" s="173"/>
      <c r="AST153" s="173"/>
      <c r="ASU153" s="173"/>
      <c r="ASV153" s="125"/>
      <c r="ASW153" s="125"/>
      <c r="ASX153" s="134"/>
      <c r="ASY153" s="135"/>
      <c r="ASZ153" s="135"/>
      <c r="ATA153" s="135"/>
      <c r="ATB153" s="135"/>
      <c r="ATC153" s="173"/>
      <c r="ATD153" s="173"/>
      <c r="ATE153" s="173"/>
      <c r="ATF153" s="173"/>
      <c r="ATG153" s="173"/>
      <c r="ATH153" s="173"/>
      <c r="ATI153" s="173"/>
      <c r="ATJ153" s="173"/>
      <c r="ATK153" s="173"/>
      <c r="ATL153" s="173"/>
      <c r="ATM153" s="125"/>
      <c r="ATN153" s="125"/>
      <c r="ATO153" s="134"/>
      <c r="ATP153" s="135"/>
      <c r="ATQ153" s="135"/>
      <c r="ATR153" s="135"/>
      <c r="ATS153" s="135"/>
      <c r="ATT153" s="173"/>
      <c r="ATU153" s="173"/>
      <c r="ATV153" s="173"/>
      <c r="ATW153" s="173"/>
      <c r="ATX153" s="173"/>
      <c r="ATY153" s="173"/>
      <c r="ATZ153" s="173"/>
      <c r="AUA153" s="173"/>
      <c r="AUB153" s="173"/>
      <c r="AUC153" s="173"/>
      <c r="AUD153" s="125"/>
      <c r="AUE153" s="125"/>
      <c r="AUF153" s="134"/>
      <c r="AUG153" s="135"/>
      <c r="AUH153" s="135"/>
      <c r="AUI153" s="135"/>
      <c r="AUJ153" s="135"/>
      <c r="AUK153" s="173"/>
      <c r="AUL153" s="173"/>
      <c r="AUM153" s="173"/>
      <c r="AUN153" s="173"/>
      <c r="AUO153" s="173"/>
      <c r="AUP153" s="173"/>
      <c r="AUQ153" s="173"/>
      <c r="AUR153" s="173"/>
      <c r="AUS153" s="173"/>
      <c r="AUT153" s="173"/>
      <c r="AUU153" s="125"/>
      <c r="AUV153" s="125"/>
      <c r="AUW153" s="134"/>
      <c r="AUX153" s="135"/>
      <c r="AUY153" s="135"/>
      <c r="AUZ153" s="135"/>
      <c r="AVA153" s="135"/>
      <c r="AVB153" s="173"/>
      <c r="AVC153" s="173"/>
      <c r="AVD153" s="173"/>
      <c r="AVE153" s="173"/>
      <c r="AVF153" s="173"/>
      <c r="AVG153" s="173"/>
      <c r="AVH153" s="173"/>
      <c r="AVI153" s="173"/>
      <c r="AVJ153" s="173"/>
      <c r="AVK153" s="173"/>
      <c r="AVL153" s="125"/>
      <c r="AVM153" s="125"/>
      <c r="AVN153" s="134"/>
      <c r="AVO153" s="135"/>
      <c r="AVP153" s="135"/>
      <c r="AVQ153" s="135"/>
      <c r="AVR153" s="135"/>
      <c r="AVS153" s="173"/>
      <c r="AVT153" s="173"/>
      <c r="AVU153" s="173"/>
      <c r="AVV153" s="173"/>
      <c r="AVW153" s="173"/>
      <c r="AVX153" s="173"/>
      <c r="AVY153" s="173"/>
      <c r="AVZ153" s="173"/>
      <c r="AWA153" s="173"/>
      <c r="AWB153" s="173"/>
      <c r="AWC153" s="125"/>
      <c r="AWD153" s="125"/>
      <c r="AWE153" s="134"/>
      <c r="AWF153" s="135"/>
      <c r="AWG153" s="135"/>
      <c r="AWH153" s="135"/>
      <c r="AWI153" s="135"/>
      <c r="AWJ153" s="173"/>
      <c r="AWK153" s="173"/>
      <c r="AWL153" s="173"/>
      <c r="AWM153" s="173"/>
      <c r="AWN153" s="173"/>
      <c r="AWO153" s="173"/>
      <c r="AWP153" s="173"/>
      <c r="AWQ153" s="173"/>
      <c r="AWR153" s="173"/>
      <c r="AWS153" s="173"/>
      <c r="AWT153" s="125"/>
      <c r="AWU153" s="125"/>
      <c r="AWV153" s="134"/>
      <c r="AWW153" s="135"/>
      <c r="AWX153" s="135"/>
      <c r="AWY153" s="135"/>
      <c r="AWZ153" s="135"/>
      <c r="AXA153" s="173"/>
      <c r="AXB153" s="173"/>
      <c r="AXC153" s="173"/>
      <c r="AXD153" s="173"/>
      <c r="AXE153" s="173"/>
      <c r="AXF153" s="173"/>
      <c r="AXG153" s="173"/>
      <c r="AXH153" s="173"/>
      <c r="AXI153" s="173"/>
      <c r="AXJ153" s="173"/>
      <c r="AXK153" s="125"/>
      <c r="AXL153" s="125"/>
      <c r="AXM153" s="134"/>
      <c r="AXN153" s="135"/>
      <c r="AXO153" s="135"/>
      <c r="AXP153" s="135"/>
      <c r="AXQ153" s="135"/>
      <c r="AXR153" s="173"/>
      <c r="AXS153" s="173"/>
      <c r="AXT153" s="173"/>
      <c r="AXU153" s="173"/>
      <c r="AXV153" s="173"/>
      <c r="AXW153" s="173"/>
      <c r="AXX153" s="173"/>
      <c r="AXY153" s="173"/>
      <c r="AXZ153" s="173"/>
      <c r="AYA153" s="173"/>
      <c r="AYB153" s="125"/>
      <c r="AYC153" s="125"/>
      <c r="AYD153" s="134"/>
      <c r="AYE153" s="135"/>
      <c r="AYF153" s="135"/>
      <c r="AYG153" s="135"/>
      <c r="AYH153" s="135"/>
      <c r="AYI153" s="173"/>
      <c r="AYJ153" s="173"/>
      <c r="AYK153" s="173"/>
      <c r="AYL153" s="173"/>
      <c r="AYM153" s="173"/>
      <c r="AYN153" s="173"/>
      <c r="AYO153" s="173"/>
      <c r="AYP153" s="173"/>
      <c r="AYQ153" s="173"/>
      <c r="AYR153" s="173"/>
      <c r="AYS153" s="125"/>
      <c r="AYT153" s="125"/>
      <c r="AYU153" s="134"/>
      <c r="AYV153" s="135"/>
      <c r="AYW153" s="135"/>
      <c r="AYX153" s="135"/>
      <c r="AYY153" s="135"/>
      <c r="AYZ153" s="173"/>
      <c r="AZA153" s="173"/>
      <c r="AZB153" s="173"/>
      <c r="AZC153" s="173"/>
      <c r="AZD153" s="173"/>
      <c r="AZE153" s="173"/>
      <c r="AZF153" s="173"/>
      <c r="AZG153" s="173"/>
      <c r="AZH153" s="173"/>
      <c r="AZI153" s="173"/>
      <c r="AZJ153" s="125"/>
      <c r="AZK153" s="125"/>
      <c r="AZL153" s="134"/>
      <c r="AZM153" s="135"/>
      <c r="AZN153" s="135"/>
      <c r="AZO153" s="135"/>
      <c r="AZP153" s="135"/>
      <c r="AZQ153" s="173"/>
      <c r="AZR153" s="173"/>
      <c r="AZS153" s="173"/>
      <c r="AZT153" s="173"/>
      <c r="AZU153" s="173"/>
      <c r="AZV153" s="173"/>
      <c r="AZW153" s="173"/>
      <c r="AZX153" s="173"/>
      <c r="AZY153" s="173"/>
      <c r="AZZ153" s="173"/>
      <c r="BAA153" s="125"/>
      <c r="BAB153" s="125"/>
      <c r="BAC153" s="134"/>
      <c r="BAD153" s="135"/>
      <c r="BAE153" s="135"/>
      <c r="BAF153" s="135"/>
      <c r="BAG153" s="135"/>
      <c r="BAH153" s="173"/>
      <c r="BAI153" s="173"/>
      <c r="BAJ153" s="173"/>
      <c r="BAK153" s="173"/>
      <c r="BAL153" s="173"/>
      <c r="BAM153" s="173"/>
      <c r="BAN153" s="173"/>
      <c r="BAO153" s="173"/>
      <c r="BAP153" s="173"/>
      <c r="BAQ153" s="173"/>
      <c r="BAR153" s="125"/>
      <c r="BAS153" s="125"/>
      <c r="BAT153" s="134"/>
      <c r="BAU153" s="135"/>
      <c r="BAV153" s="135"/>
      <c r="BAW153" s="135"/>
      <c r="BAX153" s="135"/>
      <c r="BAY153" s="173"/>
      <c r="BAZ153" s="173"/>
      <c r="BBA153" s="173"/>
      <c r="BBB153" s="173"/>
      <c r="BBC153" s="173"/>
      <c r="BBD153" s="173"/>
      <c r="BBE153" s="173"/>
      <c r="BBF153" s="173"/>
      <c r="BBG153" s="173"/>
      <c r="BBH153" s="173"/>
      <c r="BBI153" s="125"/>
      <c r="BBJ153" s="125"/>
      <c r="BBK153" s="134"/>
      <c r="BBL153" s="135"/>
      <c r="BBM153" s="135"/>
      <c r="BBN153" s="135"/>
      <c r="BBO153" s="135"/>
      <c r="BBP153" s="173"/>
      <c r="BBQ153" s="173"/>
      <c r="BBR153" s="173"/>
      <c r="BBS153" s="173"/>
      <c r="BBT153" s="173"/>
      <c r="BBU153" s="173"/>
      <c r="BBV153" s="173"/>
      <c r="BBW153" s="173"/>
      <c r="BBX153" s="173"/>
      <c r="BBY153" s="173"/>
      <c r="BBZ153" s="125"/>
      <c r="BCA153" s="125"/>
      <c r="BCB153" s="134"/>
      <c r="BCC153" s="135"/>
      <c r="BCD153" s="135"/>
      <c r="BCE153" s="135"/>
      <c r="BCF153" s="135"/>
      <c r="BCG153" s="173"/>
      <c r="BCH153" s="173"/>
      <c r="BCI153" s="173"/>
      <c r="BCJ153" s="173"/>
      <c r="BCK153" s="173"/>
      <c r="BCL153" s="173"/>
      <c r="BCM153" s="173"/>
      <c r="BCN153" s="173"/>
      <c r="BCO153" s="173"/>
      <c r="BCP153" s="173"/>
      <c r="BCQ153" s="125"/>
      <c r="BCR153" s="125"/>
      <c r="BCS153" s="134"/>
      <c r="BCT153" s="135"/>
      <c r="BCU153" s="135"/>
      <c r="BCV153" s="135"/>
      <c r="BCW153" s="135"/>
      <c r="BCX153" s="173"/>
      <c r="BCY153" s="173"/>
      <c r="BCZ153" s="173"/>
      <c r="BDA153" s="173"/>
      <c r="BDB153" s="173"/>
      <c r="BDC153" s="173"/>
      <c r="BDD153" s="173"/>
      <c r="BDE153" s="173"/>
      <c r="BDF153" s="173"/>
      <c r="BDG153" s="173"/>
      <c r="BDH153" s="125"/>
      <c r="BDI153" s="125"/>
      <c r="BDJ153" s="134"/>
      <c r="BDK153" s="135"/>
      <c r="BDL153" s="135"/>
      <c r="BDM153" s="135"/>
      <c r="BDN153" s="135"/>
      <c r="BDO153" s="173"/>
      <c r="BDP153" s="173"/>
      <c r="BDQ153" s="173"/>
      <c r="BDR153" s="173"/>
      <c r="BDS153" s="173"/>
      <c r="BDT153" s="173"/>
      <c r="BDU153" s="173"/>
      <c r="BDV153" s="173"/>
      <c r="BDW153" s="173"/>
      <c r="BDX153" s="173"/>
      <c r="BDY153" s="125"/>
      <c r="BDZ153" s="125"/>
      <c r="BEA153" s="134"/>
      <c r="BEB153" s="135"/>
      <c r="BEC153" s="135"/>
      <c r="BED153" s="135"/>
      <c r="BEE153" s="135"/>
      <c r="BEF153" s="173"/>
      <c r="BEG153" s="173"/>
      <c r="BEH153" s="173"/>
      <c r="BEI153" s="173"/>
      <c r="BEJ153" s="173"/>
      <c r="BEK153" s="173"/>
      <c r="BEL153" s="173"/>
      <c r="BEM153" s="173"/>
      <c r="BEN153" s="173"/>
      <c r="BEO153" s="173"/>
      <c r="BEP153" s="125"/>
      <c r="BEQ153" s="125"/>
      <c r="BER153" s="134"/>
      <c r="BES153" s="135"/>
      <c r="BET153" s="135"/>
      <c r="BEU153" s="135"/>
      <c r="BEV153" s="135"/>
      <c r="BEW153" s="173"/>
      <c r="BEX153" s="173"/>
      <c r="BEY153" s="173"/>
      <c r="BEZ153" s="173"/>
      <c r="BFA153" s="173"/>
      <c r="BFB153" s="173"/>
      <c r="BFC153" s="173"/>
      <c r="BFD153" s="173"/>
      <c r="BFE153" s="173"/>
      <c r="BFF153" s="173"/>
      <c r="BFG153" s="125"/>
      <c r="BFH153" s="125"/>
      <c r="BFI153" s="134"/>
      <c r="BFJ153" s="135"/>
      <c r="BFK153" s="135"/>
      <c r="BFL153" s="135"/>
      <c r="BFM153" s="135"/>
      <c r="BFN153" s="173"/>
      <c r="BFO153" s="173"/>
      <c r="BFP153" s="173"/>
      <c r="BFQ153" s="173"/>
      <c r="BFR153" s="173"/>
      <c r="BFS153" s="173"/>
      <c r="BFT153" s="173"/>
      <c r="BFU153" s="173"/>
      <c r="BFV153" s="173"/>
      <c r="BFW153" s="173"/>
      <c r="BFX153" s="125"/>
      <c r="BFY153" s="125"/>
      <c r="BFZ153" s="134"/>
      <c r="BGA153" s="135"/>
      <c r="BGB153" s="135"/>
      <c r="BGC153" s="135"/>
      <c r="BGD153" s="135"/>
      <c r="BGE153" s="173"/>
      <c r="BGF153" s="173"/>
      <c r="BGG153" s="173"/>
      <c r="BGH153" s="173"/>
      <c r="BGI153" s="173"/>
      <c r="BGJ153" s="173"/>
      <c r="BGK153" s="173"/>
      <c r="BGL153" s="173"/>
      <c r="BGM153" s="173"/>
      <c r="BGN153" s="173"/>
      <c r="BGO153" s="125"/>
      <c r="BGP153" s="125"/>
      <c r="BGQ153" s="134"/>
      <c r="BGR153" s="135"/>
      <c r="BGS153" s="135"/>
      <c r="BGT153" s="135"/>
      <c r="BGU153" s="135"/>
      <c r="BGV153" s="173"/>
      <c r="BGW153" s="173"/>
      <c r="BGX153" s="173"/>
      <c r="BGY153" s="173"/>
      <c r="BGZ153" s="173"/>
      <c r="BHA153" s="173"/>
      <c r="BHB153" s="173"/>
      <c r="BHC153" s="173"/>
      <c r="BHD153" s="173"/>
      <c r="BHE153" s="173"/>
      <c r="BHF153" s="125"/>
      <c r="BHG153" s="125"/>
      <c r="BHH153" s="134"/>
      <c r="BHI153" s="135"/>
      <c r="BHJ153" s="135"/>
      <c r="BHK153" s="135"/>
      <c r="BHL153" s="135"/>
      <c r="BHM153" s="173"/>
      <c r="BHN153" s="173"/>
      <c r="BHO153" s="173"/>
      <c r="BHP153" s="173"/>
      <c r="BHQ153" s="173"/>
      <c r="BHR153" s="173"/>
      <c r="BHS153" s="173"/>
      <c r="BHT153" s="173"/>
      <c r="BHU153" s="173"/>
      <c r="BHV153" s="173"/>
      <c r="BHW153" s="125"/>
      <c r="BHX153" s="125"/>
      <c r="BHY153" s="134"/>
      <c r="BHZ153" s="135"/>
      <c r="BIA153" s="135"/>
      <c r="BIB153" s="135"/>
      <c r="BIC153" s="135"/>
      <c r="BID153" s="173"/>
      <c r="BIE153" s="173"/>
      <c r="BIF153" s="173"/>
      <c r="BIG153" s="173"/>
      <c r="BIH153" s="173"/>
      <c r="BII153" s="173"/>
      <c r="BIJ153" s="173"/>
      <c r="BIK153" s="173"/>
      <c r="BIL153" s="173"/>
      <c r="BIM153" s="173"/>
      <c r="BIN153" s="125"/>
      <c r="BIO153" s="125"/>
      <c r="BIP153" s="134"/>
      <c r="BIQ153" s="135"/>
      <c r="BIR153" s="135"/>
      <c r="BIS153" s="135"/>
      <c r="BIT153" s="135"/>
      <c r="BIU153" s="173"/>
      <c r="BIV153" s="173"/>
      <c r="BIW153" s="173"/>
      <c r="BIX153" s="173"/>
      <c r="BIY153" s="173"/>
      <c r="BIZ153" s="173"/>
      <c r="BJA153" s="173"/>
      <c r="BJB153" s="173"/>
      <c r="BJC153" s="173"/>
      <c r="BJD153" s="173"/>
      <c r="BJE153" s="125"/>
      <c r="BJF153" s="125"/>
      <c r="BJG153" s="134"/>
      <c r="BJH153" s="135"/>
      <c r="BJI153" s="135"/>
      <c r="BJJ153" s="135"/>
      <c r="BJK153" s="135"/>
      <c r="BJL153" s="173"/>
      <c r="BJM153" s="173"/>
      <c r="BJN153" s="173"/>
      <c r="BJO153" s="173"/>
      <c r="BJP153" s="173"/>
      <c r="BJQ153" s="173"/>
      <c r="BJR153" s="173"/>
      <c r="BJS153" s="173"/>
      <c r="BJT153" s="173"/>
      <c r="BJU153" s="173"/>
      <c r="BJV153" s="125"/>
      <c r="BJW153" s="125"/>
      <c r="BJX153" s="134"/>
      <c r="BJY153" s="135"/>
      <c r="BJZ153" s="135"/>
      <c r="BKA153" s="135"/>
      <c r="BKB153" s="135"/>
      <c r="BKC153" s="173"/>
      <c r="BKD153" s="173"/>
      <c r="BKE153" s="173"/>
      <c r="BKF153" s="173"/>
      <c r="BKG153" s="173"/>
      <c r="BKH153" s="173"/>
      <c r="BKI153" s="173"/>
      <c r="BKJ153" s="173"/>
      <c r="BKK153" s="173"/>
      <c r="BKL153" s="173"/>
      <c r="BKM153" s="125"/>
      <c r="BKN153" s="125"/>
      <c r="BKO153" s="134"/>
      <c r="BKP153" s="135"/>
      <c r="BKQ153" s="135"/>
      <c r="BKR153" s="135"/>
      <c r="BKS153" s="135"/>
      <c r="BKT153" s="173"/>
      <c r="BKU153" s="173"/>
      <c r="BKV153" s="173"/>
      <c r="BKW153" s="173"/>
      <c r="BKX153" s="173"/>
      <c r="BKY153" s="173"/>
      <c r="BKZ153" s="173"/>
      <c r="BLA153" s="173"/>
      <c r="BLB153" s="173"/>
      <c r="BLC153" s="173"/>
      <c r="BLD153" s="125"/>
      <c r="BLE153" s="125"/>
      <c r="BLF153" s="134"/>
      <c r="BLG153" s="135"/>
      <c r="BLH153" s="135"/>
      <c r="BLI153" s="135"/>
      <c r="BLJ153" s="135"/>
      <c r="BLK153" s="173"/>
      <c r="BLL153" s="173"/>
      <c r="BLM153" s="173"/>
      <c r="BLN153" s="173"/>
      <c r="BLO153" s="173"/>
      <c r="BLP153" s="173"/>
      <c r="BLQ153" s="173"/>
      <c r="BLR153" s="173"/>
      <c r="BLS153" s="173"/>
      <c r="BLT153" s="173"/>
      <c r="BLU153" s="125"/>
      <c r="BLV153" s="125"/>
      <c r="BLW153" s="134"/>
      <c r="BLX153" s="135"/>
      <c r="BLY153" s="135"/>
      <c r="BLZ153" s="135"/>
      <c r="BMA153" s="135"/>
      <c r="BMB153" s="173"/>
      <c r="BMC153" s="173"/>
      <c r="BMD153" s="173"/>
      <c r="BME153" s="173"/>
      <c r="BMF153" s="173"/>
      <c r="BMG153" s="173"/>
      <c r="BMH153" s="173"/>
      <c r="BMI153" s="173"/>
      <c r="BMJ153" s="173"/>
      <c r="BMK153" s="173"/>
      <c r="BML153" s="125"/>
      <c r="BMM153" s="125"/>
      <c r="BMN153" s="134"/>
      <c r="BMO153" s="135"/>
      <c r="BMP153" s="135"/>
      <c r="BMQ153" s="135"/>
      <c r="BMR153" s="135"/>
      <c r="BMS153" s="173"/>
      <c r="BMT153" s="173"/>
      <c r="BMU153" s="173"/>
      <c r="BMV153" s="173"/>
      <c r="BMW153" s="173"/>
      <c r="BMX153" s="173"/>
      <c r="BMY153" s="173"/>
      <c r="BMZ153" s="173"/>
      <c r="BNA153" s="173"/>
      <c r="BNB153" s="173"/>
      <c r="BNC153" s="125"/>
      <c r="BND153" s="125"/>
      <c r="BNE153" s="134"/>
      <c r="BNF153" s="135"/>
      <c r="BNG153" s="135"/>
      <c r="BNH153" s="135"/>
      <c r="BNI153" s="135"/>
      <c r="BNJ153" s="173"/>
      <c r="BNK153" s="173"/>
      <c r="BNL153" s="173"/>
      <c r="BNM153" s="173"/>
      <c r="BNN153" s="173"/>
      <c r="BNO153" s="173"/>
      <c r="BNP153" s="173"/>
      <c r="BNQ153" s="173"/>
      <c r="BNR153" s="173"/>
      <c r="BNS153" s="173"/>
      <c r="BNT153" s="125"/>
      <c r="BNU153" s="125"/>
      <c r="BNV153" s="134"/>
      <c r="BNW153" s="135"/>
      <c r="BNX153" s="135"/>
      <c r="BNY153" s="135"/>
      <c r="BNZ153" s="135"/>
      <c r="BOA153" s="173"/>
      <c r="BOB153" s="173"/>
      <c r="BOC153" s="173"/>
      <c r="BOD153" s="173"/>
      <c r="BOE153" s="173"/>
      <c r="BOF153" s="173"/>
      <c r="BOG153" s="173"/>
      <c r="BOH153" s="173"/>
      <c r="BOI153" s="173"/>
      <c r="BOJ153" s="173"/>
      <c r="BOK153" s="125"/>
      <c r="BOL153" s="125"/>
      <c r="BOM153" s="134"/>
      <c r="BON153" s="135"/>
      <c r="BOO153" s="135"/>
      <c r="BOP153" s="135"/>
      <c r="BOQ153" s="135"/>
      <c r="BOR153" s="173"/>
      <c r="BOS153" s="173"/>
      <c r="BOT153" s="173"/>
      <c r="BOU153" s="173"/>
      <c r="BOV153" s="173"/>
      <c r="BOW153" s="173"/>
      <c r="BOX153" s="173"/>
      <c r="BOY153" s="173"/>
      <c r="BOZ153" s="173"/>
      <c r="BPA153" s="173"/>
      <c r="BPB153" s="125"/>
      <c r="BPC153" s="125"/>
      <c r="BPD153" s="134"/>
      <c r="BPE153" s="135"/>
      <c r="BPF153" s="135"/>
      <c r="BPG153" s="135"/>
      <c r="BPH153" s="135"/>
      <c r="BPI153" s="173"/>
      <c r="BPJ153" s="173"/>
      <c r="BPK153" s="173"/>
      <c r="BPL153" s="173"/>
      <c r="BPM153" s="173"/>
      <c r="BPN153" s="173"/>
      <c r="BPO153" s="173"/>
      <c r="BPP153" s="173"/>
      <c r="BPQ153" s="173"/>
      <c r="BPR153" s="173"/>
      <c r="BPS153" s="125"/>
      <c r="BPT153" s="125"/>
      <c r="BPU153" s="134"/>
      <c r="BPV153" s="135"/>
      <c r="BPW153" s="135"/>
      <c r="BPX153" s="135"/>
      <c r="BPY153" s="135"/>
      <c r="BPZ153" s="173"/>
      <c r="BQA153" s="173"/>
      <c r="BQB153" s="173"/>
      <c r="BQC153" s="173"/>
      <c r="BQD153" s="173"/>
      <c r="BQE153" s="173"/>
      <c r="BQF153" s="173"/>
      <c r="BQG153" s="173"/>
      <c r="BQH153" s="173"/>
      <c r="BQI153" s="173"/>
      <c r="BQJ153" s="125"/>
      <c r="BQK153" s="125"/>
      <c r="BQL153" s="134"/>
      <c r="BQM153" s="135"/>
      <c r="BQN153" s="135"/>
      <c r="BQO153" s="135"/>
      <c r="BQP153" s="135"/>
      <c r="BQQ153" s="173"/>
      <c r="BQR153" s="173"/>
      <c r="BQS153" s="173"/>
      <c r="BQT153" s="173"/>
      <c r="BQU153" s="173"/>
      <c r="BQV153" s="173"/>
      <c r="BQW153" s="173"/>
      <c r="BQX153" s="173"/>
      <c r="BQY153" s="173"/>
      <c r="BQZ153" s="173"/>
      <c r="BRA153" s="125"/>
      <c r="BRB153" s="125"/>
      <c r="BRC153" s="134"/>
      <c r="BRD153" s="135"/>
      <c r="BRE153" s="135"/>
      <c r="BRF153" s="135"/>
      <c r="BRG153" s="135"/>
      <c r="BRH153" s="173"/>
      <c r="BRI153" s="173"/>
      <c r="BRJ153" s="173"/>
      <c r="BRK153" s="173"/>
      <c r="BRL153" s="173"/>
      <c r="BRM153" s="173"/>
      <c r="BRN153" s="173"/>
      <c r="BRO153" s="173"/>
      <c r="BRP153" s="173"/>
      <c r="BRQ153" s="173"/>
      <c r="BRR153" s="125"/>
      <c r="BRS153" s="125"/>
      <c r="BRT153" s="134"/>
      <c r="BRU153" s="135"/>
      <c r="BRV153" s="135"/>
      <c r="BRW153" s="135"/>
      <c r="BRX153" s="135"/>
      <c r="BRY153" s="173"/>
      <c r="BRZ153" s="173"/>
      <c r="BSA153" s="173"/>
      <c r="BSB153" s="173"/>
      <c r="BSC153" s="173"/>
      <c r="BSD153" s="173"/>
      <c r="BSE153" s="173"/>
      <c r="BSF153" s="173"/>
      <c r="BSG153" s="173"/>
      <c r="BSH153" s="173"/>
      <c r="BSI153" s="125"/>
      <c r="BSJ153" s="125"/>
      <c r="BSK153" s="134"/>
      <c r="BSL153" s="135"/>
      <c r="BSM153" s="135"/>
      <c r="BSN153" s="135"/>
      <c r="BSO153" s="135"/>
      <c r="BSP153" s="173"/>
      <c r="BSQ153" s="173"/>
      <c r="BSR153" s="173"/>
      <c r="BSS153" s="173"/>
      <c r="BST153" s="173"/>
      <c r="BSU153" s="173"/>
      <c r="BSV153" s="173"/>
      <c r="BSW153" s="173"/>
      <c r="BSX153" s="173"/>
      <c r="BSY153" s="173"/>
      <c r="BSZ153" s="125"/>
      <c r="BTA153" s="125"/>
      <c r="BTB153" s="134"/>
      <c r="BTC153" s="135"/>
      <c r="BTD153" s="135"/>
      <c r="BTE153" s="135"/>
      <c r="BTF153" s="135"/>
      <c r="BTG153" s="173"/>
      <c r="BTH153" s="173"/>
      <c r="BTI153" s="173"/>
      <c r="BTJ153" s="173"/>
      <c r="BTK153" s="173"/>
      <c r="BTL153" s="173"/>
      <c r="BTM153" s="173"/>
      <c r="BTN153" s="173"/>
      <c r="BTO153" s="173"/>
      <c r="BTP153" s="173"/>
      <c r="BTQ153" s="125"/>
      <c r="BTR153" s="125"/>
      <c r="BTS153" s="134"/>
      <c r="BTT153" s="135"/>
      <c r="BTU153" s="135"/>
      <c r="BTV153" s="135"/>
      <c r="BTW153" s="135"/>
      <c r="BTX153" s="173"/>
      <c r="BTY153" s="173"/>
      <c r="BTZ153" s="173"/>
      <c r="BUA153" s="173"/>
      <c r="BUB153" s="173"/>
      <c r="BUC153" s="173"/>
      <c r="BUD153" s="173"/>
      <c r="BUE153" s="173"/>
      <c r="BUF153" s="173"/>
      <c r="BUG153" s="173"/>
      <c r="BUH153" s="125"/>
      <c r="BUI153" s="125"/>
      <c r="BUJ153" s="134"/>
      <c r="BUK153" s="135"/>
      <c r="BUL153" s="135"/>
      <c r="BUM153" s="135"/>
      <c r="BUN153" s="135"/>
      <c r="BUO153" s="173"/>
      <c r="BUP153" s="173"/>
      <c r="BUQ153" s="173"/>
      <c r="BUR153" s="173"/>
      <c r="BUS153" s="173"/>
      <c r="BUT153" s="173"/>
      <c r="BUU153" s="173"/>
      <c r="BUV153" s="173"/>
      <c r="BUW153" s="173"/>
      <c r="BUX153" s="173"/>
      <c r="BUY153" s="125"/>
      <c r="BUZ153" s="125"/>
      <c r="BVA153" s="134"/>
      <c r="BVB153" s="135"/>
      <c r="BVC153" s="135"/>
      <c r="BVD153" s="135"/>
      <c r="BVE153" s="135"/>
      <c r="BVF153" s="173"/>
      <c r="BVG153" s="173"/>
      <c r="BVH153" s="173"/>
      <c r="BVI153" s="173"/>
      <c r="BVJ153" s="173"/>
      <c r="BVK153" s="173"/>
      <c r="BVL153" s="173"/>
      <c r="BVM153" s="173"/>
      <c r="BVN153" s="173"/>
      <c r="BVO153" s="173"/>
      <c r="BVP153" s="125"/>
      <c r="BVQ153" s="125"/>
      <c r="BVR153" s="134"/>
      <c r="BVS153" s="135"/>
      <c r="BVT153" s="135"/>
      <c r="BVU153" s="135"/>
      <c r="BVV153" s="135"/>
      <c r="BVW153" s="173"/>
      <c r="BVX153" s="173"/>
      <c r="BVY153" s="173"/>
      <c r="BVZ153" s="173"/>
      <c r="BWA153" s="173"/>
      <c r="BWB153" s="173"/>
      <c r="BWC153" s="173"/>
      <c r="BWD153" s="173"/>
      <c r="BWE153" s="173"/>
      <c r="BWF153" s="173"/>
      <c r="BWG153" s="125"/>
      <c r="BWH153" s="125"/>
      <c r="BWI153" s="134"/>
      <c r="BWJ153" s="135"/>
      <c r="BWK153" s="135"/>
      <c r="BWL153" s="135"/>
      <c r="BWM153" s="135"/>
      <c r="BWN153" s="173"/>
      <c r="BWO153" s="173"/>
      <c r="BWP153" s="173"/>
      <c r="BWQ153" s="173"/>
      <c r="BWR153" s="173"/>
      <c r="BWS153" s="173"/>
      <c r="BWT153" s="173"/>
      <c r="BWU153" s="173"/>
      <c r="BWV153" s="173"/>
      <c r="BWW153" s="173"/>
      <c r="BWX153" s="125"/>
      <c r="BWY153" s="125"/>
      <c r="BWZ153" s="134"/>
      <c r="BXA153" s="135"/>
      <c r="BXB153" s="135"/>
      <c r="BXC153" s="135"/>
      <c r="BXD153" s="135"/>
      <c r="BXE153" s="173"/>
      <c r="BXF153" s="173"/>
      <c r="BXG153" s="173"/>
      <c r="BXH153" s="173"/>
      <c r="BXI153" s="173"/>
      <c r="BXJ153" s="173"/>
      <c r="BXK153" s="173"/>
      <c r="BXL153" s="173"/>
      <c r="BXM153" s="173"/>
      <c r="BXN153" s="173"/>
      <c r="BXO153" s="125"/>
      <c r="BXP153" s="125"/>
      <c r="BXQ153" s="134"/>
      <c r="BXR153" s="135"/>
      <c r="BXS153" s="135"/>
      <c r="BXT153" s="135"/>
      <c r="BXU153" s="135"/>
      <c r="BXV153" s="173"/>
      <c r="BXW153" s="173"/>
      <c r="BXX153" s="173"/>
      <c r="BXY153" s="173"/>
      <c r="BXZ153" s="173"/>
      <c r="BYA153" s="173"/>
      <c r="BYB153" s="173"/>
      <c r="BYC153" s="173"/>
      <c r="BYD153" s="173"/>
      <c r="BYE153" s="173"/>
      <c r="BYF153" s="125"/>
      <c r="BYG153" s="125"/>
      <c r="BYH153" s="134"/>
      <c r="BYI153" s="135"/>
      <c r="BYJ153" s="135"/>
      <c r="BYK153" s="135"/>
      <c r="BYL153" s="135"/>
      <c r="BYM153" s="173"/>
      <c r="BYN153" s="173"/>
      <c r="BYO153" s="173"/>
      <c r="BYP153" s="173"/>
      <c r="BYQ153" s="173"/>
      <c r="BYR153" s="173"/>
      <c r="BYS153" s="173"/>
      <c r="BYT153" s="173"/>
      <c r="BYU153" s="173"/>
      <c r="BYV153" s="173"/>
      <c r="BYW153" s="125"/>
      <c r="BYX153" s="125"/>
      <c r="BYY153" s="134"/>
      <c r="BYZ153" s="135"/>
      <c r="BZA153" s="135"/>
      <c r="BZB153" s="135"/>
      <c r="BZC153" s="135"/>
      <c r="BZD153" s="173"/>
      <c r="BZE153" s="173"/>
      <c r="BZF153" s="173"/>
      <c r="BZG153" s="173"/>
      <c r="BZH153" s="173"/>
      <c r="BZI153" s="173"/>
      <c r="BZJ153" s="173"/>
      <c r="BZK153" s="173"/>
      <c r="BZL153" s="173"/>
      <c r="BZM153" s="173"/>
      <c r="BZN153" s="125"/>
      <c r="BZO153" s="125"/>
      <c r="BZP153" s="134"/>
      <c r="BZQ153" s="135"/>
      <c r="BZR153" s="135"/>
      <c r="BZS153" s="135"/>
      <c r="BZT153" s="135"/>
      <c r="BZU153" s="173"/>
      <c r="BZV153" s="173"/>
      <c r="BZW153" s="173"/>
      <c r="BZX153" s="173"/>
      <c r="BZY153" s="173"/>
      <c r="BZZ153" s="173"/>
      <c r="CAA153" s="173"/>
      <c r="CAB153" s="173"/>
      <c r="CAC153" s="173"/>
      <c r="CAD153" s="173"/>
      <c r="CAE153" s="125"/>
      <c r="CAF153" s="125"/>
      <c r="CAG153" s="134"/>
      <c r="CAH153" s="135"/>
      <c r="CAI153" s="135"/>
      <c r="CAJ153" s="135"/>
      <c r="CAK153" s="135"/>
      <c r="CAL153" s="173"/>
      <c r="CAM153" s="173"/>
      <c r="CAN153" s="173"/>
      <c r="CAO153" s="173"/>
      <c r="CAP153" s="173"/>
      <c r="CAQ153" s="173"/>
      <c r="CAR153" s="173"/>
      <c r="CAS153" s="173"/>
      <c r="CAT153" s="173"/>
      <c r="CAU153" s="173"/>
      <c r="CAV153" s="125"/>
      <c r="CAW153" s="125"/>
      <c r="CAX153" s="134"/>
      <c r="CAY153" s="135"/>
      <c r="CAZ153" s="135"/>
      <c r="CBA153" s="135"/>
      <c r="CBB153" s="135"/>
      <c r="CBC153" s="173"/>
      <c r="CBD153" s="173"/>
      <c r="CBE153" s="173"/>
      <c r="CBF153" s="173"/>
      <c r="CBG153" s="173"/>
      <c r="CBH153" s="173"/>
      <c r="CBI153" s="173"/>
      <c r="CBJ153" s="173"/>
      <c r="CBK153" s="173"/>
      <c r="CBL153" s="173"/>
      <c r="CBM153" s="125"/>
      <c r="CBN153" s="125"/>
      <c r="CBO153" s="134"/>
      <c r="CBP153" s="135"/>
      <c r="CBQ153" s="135"/>
      <c r="CBR153" s="135"/>
      <c r="CBS153" s="135"/>
      <c r="CBT153" s="173"/>
      <c r="CBU153" s="173"/>
      <c r="CBV153" s="173"/>
      <c r="CBW153" s="173"/>
      <c r="CBX153" s="173"/>
      <c r="CBY153" s="173"/>
      <c r="CBZ153" s="173"/>
      <c r="CCA153" s="173"/>
      <c r="CCB153" s="173"/>
      <c r="CCC153" s="173"/>
      <c r="CCD153" s="125"/>
      <c r="CCE153" s="125"/>
      <c r="CCF153" s="134"/>
      <c r="CCG153" s="135"/>
      <c r="CCH153" s="135"/>
      <c r="CCI153" s="135"/>
      <c r="CCJ153" s="135"/>
      <c r="CCK153" s="173"/>
      <c r="CCL153" s="173"/>
      <c r="CCM153" s="173"/>
      <c r="CCN153" s="173"/>
      <c r="CCO153" s="173"/>
      <c r="CCP153" s="173"/>
      <c r="CCQ153" s="173"/>
      <c r="CCR153" s="173"/>
      <c r="CCS153" s="173"/>
      <c r="CCT153" s="173"/>
      <c r="CCU153" s="125"/>
      <c r="CCV153" s="125"/>
      <c r="CCW153" s="134"/>
      <c r="CCX153" s="135"/>
      <c r="CCY153" s="135"/>
      <c r="CCZ153" s="135"/>
      <c r="CDA153" s="135"/>
      <c r="CDB153" s="173"/>
      <c r="CDC153" s="173"/>
      <c r="CDD153" s="173"/>
      <c r="CDE153" s="173"/>
      <c r="CDF153" s="173"/>
      <c r="CDG153" s="173"/>
      <c r="CDH153" s="173"/>
      <c r="CDI153" s="173"/>
      <c r="CDJ153" s="173"/>
      <c r="CDK153" s="173"/>
      <c r="CDL153" s="125"/>
      <c r="CDM153" s="125"/>
      <c r="CDN153" s="134"/>
      <c r="CDO153" s="135"/>
      <c r="CDP153" s="135"/>
      <c r="CDQ153" s="135"/>
      <c r="CDR153" s="135"/>
      <c r="CDS153" s="173"/>
      <c r="CDT153" s="173"/>
      <c r="CDU153" s="173"/>
      <c r="CDV153" s="173"/>
      <c r="CDW153" s="173"/>
      <c r="CDX153" s="173"/>
      <c r="CDY153" s="173"/>
      <c r="CDZ153" s="173"/>
      <c r="CEA153" s="173"/>
      <c r="CEB153" s="173"/>
      <c r="CEC153" s="125"/>
      <c r="CED153" s="125"/>
      <c r="CEE153" s="134"/>
      <c r="CEF153" s="135"/>
      <c r="CEG153" s="135"/>
      <c r="CEH153" s="135"/>
      <c r="CEI153" s="135"/>
      <c r="CEJ153" s="173"/>
      <c r="CEK153" s="173"/>
      <c r="CEL153" s="173"/>
      <c r="CEM153" s="173"/>
      <c r="CEN153" s="173"/>
      <c r="CEO153" s="173"/>
      <c r="CEP153" s="173"/>
      <c r="CEQ153" s="173"/>
      <c r="CER153" s="173"/>
      <c r="CES153" s="173"/>
      <c r="CET153" s="125"/>
      <c r="CEU153" s="125"/>
      <c r="CEV153" s="134"/>
      <c r="CEW153" s="135"/>
      <c r="CEX153" s="135"/>
      <c r="CEY153" s="135"/>
      <c r="CEZ153" s="135"/>
      <c r="CFA153" s="173"/>
      <c r="CFB153" s="173"/>
      <c r="CFC153" s="173"/>
      <c r="CFD153" s="173"/>
      <c r="CFE153" s="173"/>
      <c r="CFF153" s="173"/>
      <c r="CFG153" s="173"/>
      <c r="CFH153" s="173"/>
      <c r="CFI153" s="173"/>
      <c r="CFJ153" s="173"/>
      <c r="CFK153" s="125"/>
      <c r="CFL153" s="125"/>
      <c r="CFM153" s="134"/>
      <c r="CFN153" s="135"/>
      <c r="CFO153" s="135"/>
      <c r="CFP153" s="135"/>
      <c r="CFQ153" s="135"/>
      <c r="CFR153" s="173"/>
      <c r="CFS153" s="173"/>
      <c r="CFT153" s="173"/>
      <c r="CFU153" s="173"/>
      <c r="CFV153" s="173"/>
      <c r="CFW153" s="173"/>
      <c r="CFX153" s="173"/>
      <c r="CFY153" s="173"/>
      <c r="CFZ153" s="173"/>
      <c r="CGA153" s="173"/>
      <c r="CGB153" s="125"/>
      <c r="CGC153" s="125"/>
      <c r="CGD153" s="134"/>
      <c r="CGE153" s="135"/>
      <c r="CGF153" s="135"/>
      <c r="CGG153" s="135"/>
      <c r="CGH153" s="135"/>
      <c r="CGI153" s="173"/>
      <c r="CGJ153" s="173"/>
      <c r="CGK153" s="173"/>
      <c r="CGL153" s="173"/>
      <c r="CGM153" s="173"/>
      <c r="CGN153" s="173"/>
      <c r="CGO153" s="173"/>
      <c r="CGP153" s="173"/>
      <c r="CGQ153" s="173"/>
      <c r="CGR153" s="173"/>
      <c r="CGS153" s="125"/>
      <c r="CGT153" s="125"/>
      <c r="CGU153" s="134"/>
      <c r="CGV153" s="135"/>
      <c r="CGW153" s="135"/>
      <c r="CGX153" s="135"/>
      <c r="CGY153" s="135"/>
      <c r="CGZ153" s="173"/>
      <c r="CHA153" s="173"/>
      <c r="CHB153" s="173"/>
      <c r="CHC153" s="173"/>
      <c r="CHD153" s="173"/>
      <c r="CHE153" s="173"/>
      <c r="CHF153" s="173"/>
      <c r="CHG153" s="173"/>
      <c r="CHH153" s="173"/>
      <c r="CHI153" s="173"/>
      <c r="CHJ153" s="125"/>
      <c r="CHK153" s="125"/>
      <c r="CHL153" s="134"/>
      <c r="CHM153" s="135"/>
      <c r="CHN153" s="135"/>
      <c r="CHO153" s="135"/>
      <c r="CHP153" s="135"/>
      <c r="CHQ153" s="173"/>
      <c r="CHR153" s="173"/>
      <c r="CHS153" s="173"/>
      <c r="CHT153" s="173"/>
      <c r="CHU153" s="173"/>
      <c r="CHV153" s="173"/>
      <c r="CHW153" s="173"/>
      <c r="CHX153" s="173"/>
      <c r="CHY153" s="173"/>
      <c r="CHZ153" s="173"/>
      <c r="CIA153" s="125"/>
      <c r="CIB153" s="125"/>
      <c r="CIC153" s="134"/>
      <c r="CID153" s="135"/>
      <c r="CIE153" s="135"/>
      <c r="CIF153" s="135"/>
      <c r="CIG153" s="135"/>
      <c r="CIH153" s="173"/>
      <c r="CII153" s="173"/>
      <c r="CIJ153" s="173"/>
      <c r="CIK153" s="173"/>
      <c r="CIL153" s="173"/>
      <c r="CIM153" s="173"/>
      <c r="CIN153" s="173"/>
      <c r="CIO153" s="173"/>
      <c r="CIP153" s="173"/>
      <c r="CIQ153" s="173"/>
      <c r="CIR153" s="125"/>
      <c r="CIS153" s="125"/>
      <c r="CIT153" s="134"/>
      <c r="CIU153" s="135"/>
      <c r="CIV153" s="135"/>
      <c r="CIW153" s="135"/>
      <c r="CIX153" s="135"/>
      <c r="CIY153" s="173"/>
      <c r="CIZ153" s="173"/>
      <c r="CJA153" s="173"/>
      <c r="CJB153" s="173"/>
      <c r="CJC153" s="173"/>
      <c r="CJD153" s="173"/>
      <c r="CJE153" s="173"/>
      <c r="CJF153" s="173"/>
      <c r="CJG153" s="173"/>
      <c r="CJH153" s="173"/>
      <c r="CJI153" s="125"/>
      <c r="CJJ153" s="125"/>
      <c r="CJK153" s="134"/>
      <c r="CJL153" s="135"/>
      <c r="CJM153" s="135"/>
      <c r="CJN153" s="135"/>
      <c r="CJO153" s="135"/>
      <c r="CJP153" s="173"/>
      <c r="CJQ153" s="173"/>
      <c r="CJR153" s="173"/>
      <c r="CJS153" s="173"/>
      <c r="CJT153" s="173"/>
      <c r="CJU153" s="173"/>
      <c r="CJV153" s="173"/>
      <c r="CJW153" s="173"/>
      <c r="CJX153" s="173"/>
      <c r="CJY153" s="173"/>
      <c r="CJZ153" s="125"/>
      <c r="CKA153" s="125"/>
      <c r="CKB153" s="134"/>
      <c r="CKC153" s="135"/>
      <c r="CKD153" s="135"/>
      <c r="CKE153" s="135"/>
      <c r="CKF153" s="135"/>
      <c r="CKG153" s="173"/>
      <c r="CKH153" s="173"/>
      <c r="CKI153" s="173"/>
      <c r="CKJ153" s="173"/>
      <c r="CKK153" s="173"/>
      <c r="CKL153" s="173"/>
      <c r="CKM153" s="173"/>
      <c r="CKN153" s="173"/>
      <c r="CKO153" s="173"/>
      <c r="CKP153" s="173"/>
      <c r="CKQ153" s="125"/>
      <c r="CKR153" s="125"/>
      <c r="CKS153" s="134"/>
      <c r="CKT153" s="135"/>
      <c r="CKU153" s="135"/>
      <c r="CKV153" s="135"/>
      <c r="CKW153" s="135"/>
      <c r="CKX153" s="173"/>
      <c r="CKY153" s="173"/>
      <c r="CKZ153" s="173"/>
      <c r="CLA153" s="173"/>
      <c r="CLB153" s="173"/>
      <c r="CLC153" s="173"/>
      <c r="CLD153" s="173"/>
      <c r="CLE153" s="173"/>
      <c r="CLF153" s="173"/>
      <c r="CLG153" s="173"/>
      <c r="CLH153" s="125"/>
      <c r="CLI153" s="125"/>
      <c r="CLJ153" s="134"/>
      <c r="CLK153" s="135"/>
      <c r="CLL153" s="135"/>
      <c r="CLM153" s="135"/>
      <c r="CLN153" s="135"/>
      <c r="CLO153" s="173"/>
      <c r="CLP153" s="173"/>
      <c r="CLQ153" s="173"/>
      <c r="CLR153" s="173"/>
      <c r="CLS153" s="173"/>
      <c r="CLT153" s="173"/>
      <c r="CLU153" s="173"/>
      <c r="CLV153" s="173"/>
      <c r="CLW153" s="173"/>
      <c r="CLX153" s="173"/>
      <c r="CLY153" s="125"/>
      <c r="CLZ153" s="125"/>
      <c r="CMA153" s="134"/>
      <c r="CMB153" s="135"/>
      <c r="CMC153" s="135"/>
      <c r="CMD153" s="135"/>
      <c r="CME153" s="135"/>
      <c r="CMF153" s="173"/>
      <c r="CMG153" s="173"/>
      <c r="CMH153" s="173"/>
      <c r="CMI153" s="173"/>
      <c r="CMJ153" s="173"/>
      <c r="CMK153" s="173"/>
      <c r="CML153" s="173"/>
      <c r="CMM153" s="173"/>
      <c r="CMN153" s="173"/>
      <c r="CMO153" s="173"/>
      <c r="CMP153" s="125"/>
      <c r="CMQ153" s="125"/>
      <c r="CMR153" s="134"/>
      <c r="CMS153" s="135"/>
      <c r="CMT153" s="135"/>
      <c r="CMU153" s="135"/>
      <c r="CMV153" s="135"/>
      <c r="CMW153" s="173"/>
      <c r="CMX153" s="173"/>
      <c r="CMY153" s="173"/>
      <c r="CMZ153" s="173"/>
      <c r="CNA153" s="173"/>
      <c r="CNB153" s="173"/>
      <c r="CNC153" s="173"/>
      <c r="CND153" s="173"/>
      <c r="CNE153" s="173"/>
      <c r="CNF153" s="173"/>
      <c r="CNG153" s="125"/>
      <c r="CNH153" s="125"/>
      <c r="CNI153" s="134"/>
      <c r="CNJ153" s="135"/>
      <c r="CNK153" s="135"/>
      <c r="CNL153" s="135"/>
      <c r="CNM153" s="135"/>
      <c r="CNN153" s="173"/>
      <c r="CNO153" s="173"/>
      <c r="CNP153" s="173"/>
      <c r="CNQ153" s="173"/>
      <c r="CNR153" s="173"/>
      <c r="CNS153" s="173"/>
      <c r="CNT153" s="173"/>
      <c r="CNU153" s="173"/>
      <c r="CNV153" s="173"/>
      <c r="CNW153" s="173"/>
      <c r="CNX153" s="125"/>
      <c r="CNY153" s="125"/>
      <c r="CNZ153" s="134"/>
      <c r="COA153" s="135"/>
      <c r="COB153" s="135"/>
      <c r="COC153" s="135"/>
      <c r="COD153" s="135"/>
      <c r="COE153" s="173"/>
      <c r="COF153" s="173"/>
      <c r="COG153" s="173"/>
      <c r="COH153" s="173"/>
      <c r="COI153" s="173"/>
      <c r="COJ153" s="173"/>
      <c r="COK153" s="173"/>
      <c r="COL153" s="173"/>
      <c r="COM153" s="173"/>
      <c r="CON153" s="173"/>
      <c r="COO153" s="125"/>
      <c r="COP153" s="125"/>
      <c r="COQ153" s="134"/>
      <c r="COR153" s="135"/>
      <c r="COS153" s="135"/>
      <c r="COT153" s="135"/>
      <c r="COU153" s="135"/>
      <c r="COV153" s="173"/>
      <c r="COW153" s="173"/>
      <c r="COX153" s="173"/>
      <c r="COY153" s="173"/>
      <c r="COZ153" s="173"/>
      <c r="CPA153" s="173"/>
      <c r="CPB153" s="173"/>
      <c r="CPC153" s="173"/>
      <c r="CPD153" s="173"/>
      <c r="CPE153" s="173"/>
      <c r="CPF153" s="125"/>
      <c r="CPG153" s="125"/>
      <c r="CPH153" s="134"/>
      <c r="CPI153" s="135"/>
      <c r="CPJ153" s="135"/>
      <c r="CPK153" s="135"/>
      <c r="CPL153" s="135"/>
      <c r="CPM153" s="173"/>
      <c r="CPN153" s="173"/>
      <c r="CPO153" s="173"/>
      <c r="CPP153" s="173"/>
      <c r="CPQ153" s="173"/>
      <c r="CPR153" s="173"/>
      <c r="CPS153" s="173"/>
      <c r="CPT153" s="173"/>
      <c r="CPU153" s="173"/>
      <c r="CPV153" s="173"/>
      <c r="CPW153" s="125"/>
      <c r="CPX153" s="125"/>
      <c r="CPY153" s="134"/>
      <c r="CPZ153" s="135"/>
      <c r="CQA153" s="135"/>
      <c r="CQB153" s="135"/>
      <c r="CQC153" s="135"/>
      <c r="CQD153" s="173"/>
      <c r="CQE153" s="173"/>
      <c r="CQF153" s="173"/>
      <c r="CQG153" s="173"/>
      <c r="CQH153" s="173"/>
      <c r="CQI153" s="173"/>
      <c r="CQJ153" s="173"/>
      <c r="CQK153" s="173"/>
      <c r="CQL153" s="173"/>
      <c r="CQM153" s="173"/>
      <c r="CQN153" s="125"/>
      <c r="CQO153" s="125"/>
      <c r="CQP153" s="134"/>
      <c r="CQQ153" s="135"/>
      <c r="CQR153" s="135"/>
      <c r="CQS153" s="135"/>
      <c r="CQT153" s="135"/>
      <c r="CQU153" s="173"/>
      <c r="CQV153" s="173"/>
      <c r="CQW153" s="173"/>
      <c r="CQX153" s="173"/>
      <c r="CQY153" s="173"/>
      <c r="CQZ153" s="173"/>
      <c r="CRA153" s="173"/>
      <c r="CRB153" s="173"/>
      <c r="CRC153" s="173"/>
      <c r="CRD153" s="173"/>
      <c r="CRE153" s="125"/>
      <c r="CRF153" s="125"/>
      <c r="CRG153" s="134"/>
      <c r="CRH153" s="135"/>
      <c r="CRI153" s="135"/>
      <c r="CRJ153" s="135"/>
      <c r="CRK153" s="135"/>
      <c r="CRL153" s="173"/>
      <c r="CRM153" s="173"/>
      <c r="CRN153" s="173"/>
      <c r="CRO153" s="173"/>
      <c r="CRP153" s="173"/>
      <c r="CRQ153" s="173"/>
      <c r="CRR153" s="173"/>
      <c r="CRS153" s="173"/>
      <c r="CRT153" s="173"/>
      <c r="CRU153" s="173"/>
      <c r="CRV153" s="125"/>
      <c r="CRW153" s="125"/>
      <c r="CRX153" s="134"/>
      <c r="CRY153" s="135"/>
      <c r="CRZ153" s="135"/>
      <c r="CSA153" s="135"/>
      <c r="CSB153" s="135"/>
      <c r="CSC153" s="173"/>
      <c r="CSD153" s="173"/>
      <c r="CSE153" s="173"/>
      <c r="CSF153" s="173"/>
      <c r="CSG153" s="173"/>
      <c r="CSH153" s="173"/>
      <c r="CSI153" s="173"/>
      <c r="CSJ153" s="173"/>
      <c r="CSK153" s="173"/>
      <c r="CSL153" s="173"/>
      <c r="CSM153" s="125"/>
      <c r="CSN153" s="125"/>
      <c r="CSO153" s="134"/>
      <c r="CSP153" s="135"/>
      <c r="CSQ153" s="135"/>
      <c r="CSR153" s="135"/>
      <c r="CSS153" s="135"/>
      <c r="CST153" s="173"/>
      <c r="CSU153" s="173"/>
      <c r="CSV153" s="173"/>
      <c r="CSW153" s="173"/>
      <c r="CSX153" s="173"/>
      <c r="CSY153" s="173"/>
      <c r="CSZ153" s="173"/>
      <c r="CTA153" s="173"/>
      <c r="CTB153" s="173"/>
      <c r="CTC153" s="173"/>
      <c r="CTD153" s="125"/>
      <c r="CTE153" s="125"/>
      <c r="CTF153" s="134"/>
      <c r="CTG153" s="135"/>
      <c r="CTH153" s="135"/>
      <c r="CTI153" s="135"/>
      <c r="CTJ153" s="135"/>
      <c r="CTK153" s="173"/>
      <c r="CTL153" s="173"/>
      <c r="CTM153" s="173"/>
      <c r="CTN153" s="173"/>
      <c r="CTO153" s="173"/>
      <c r="CTP153" s="173"/>
      <c r="CTQ153" s="173"/>
      <c r="CTR153" s="173"/>
      <c r="CTS153" s="173"/>
      <c r="CTT153" s="173"/>
      <c r="CTU153" s="125"/>
      <c r="CTV153" s="125"/>
      <c r="CTW153" s="134"/>
      <c r="CTX153" s="135"/>
      <c r="CTY153" s="135"/>
      <c r="CTZ153" s="135"/>
      <c r="CUA153" s="135"/>
      <c r="CUB153" s="173"/>
      <c r="CUC153" s="173"/>
      <c r="CUD153" s="173"/>
      <c r="CUE153" s="173"/>
      <c r="CUF153" s="173"/>
      <c r="CUG153" s="173"/>
      <c r="CUH153" s="173"/>
      <c r="CUI153" s="173"/>
      <c r="CUJ153" s="173"/>
      <c r="CUK153" s="173"/>
      <c r="CUL153" s="125"/>
      <c r="CUM153" s="125"/>
      <c r="CUN153" s="134"/>
      <c r="CUO153" s="135"/>
      <c r="CUP153" s="135"/>
      <c r="CUQ153" s="135"/>
      <c r="CUR153" s="135"/>
      <c r="CUS153" s="173"/>
      <c r="CUT153" s="173"/>
      <c r="CUU153" s="173"/>
      <c r="CUV153" s="173"/>
      <c r="CUW153" s="173"/>
      <c r="CUX153" s="173"/>
      <c r="CUY153" s="173"/>
      <c r="CUZ153" s="173"/>
      <c r="CVA153" s="173"/>
      <c r="CVB153" s="173"/>
      <c r="CVC153" s="125"/>
      <c r="CVD153" s="125"/>
      <c r="CVE153" s="134"/>
      <c r="CVF153" s="135"/>
      <c r="CVG153" s="135"/>
      <c r="CVH153" s="135"/>
      <c r="CVI153" s="135"/>
      <c r="CVJ153" s="173"/>
      <c r="CVK153" s="173"/>
      <c r="CVL153" s="173"/>
      <c r="CVM153" s="173"/>
      <c r="CVN153" s="173"/>
      <c r="CVO153" s="173"/>
      <c r="CVP153" s="173"/>
      <c r="CVQ153" s="173"/>
      <c r="CVR153" s="173"/>
      <c r="CVS153" s="173"/>
      <c r="CVT153" s="125"/>
      <c r="CVU153" s="125"/>
      <c r="CVV153" s="134"/>
      <c r="CVW153" s="135"/>
      <c r="CVX153" s="135"/>
      <c r="CVY153" s="135"/>
      <c r="CVZ153" s="135"/>
      <c r="CWA153" s="173"/>
      <c r="CWB153" s="173"/>
      <c r="CWC153" s="173"/>
      <c r="CWD153" s="173"/>
      <c r="CWE153" s="173"/>
      <c r="CWF153" s="173"/>
      <c r="CWG153" s="173"/>
      <c r="CWH153" s="173"/>
      <c r="CWI153" s="173"/>
      <c r="CWJ153" s="173"/>
      <c r="CWK153" s="125"/>
      <c r="CWL153" s="125"/>
      <c r="CWM153" s="134"/>
      <c r="CWN153" s="135"/>
      <c r="CWO153" s="135"/>
      <c r="CWP153" s="135"/>
      <c r="CWQ153" s="135"/>
      <c r="CWR153" s="173"/>
      <c r="CWS153" s="173"/>
      <c r="CWT153" s="173"/>
      <c r="CWU153" s="173"/>
      <c r="CWV153" s="173"/>
      <c r="CWW153" s="173"/>
      <c r="CWX153" s="173"/>
      <c r="CWY153" s="173"/>
      <c r="CWZ153" s="173"/>
      <c r="CXA153" s="173"/>
      <c r="CXB153" s="125"/>
      <c r="CXC153" s="125"/>
      <c r="CXD153" s="134"/>
      <c r="CXE153" s="135"/>
      <c r="CXF153" s="135"/>
      <c r="CXG153" s="135"/>
      <c r="CXH153" s="135"/>
      <c r="CXI153" s="173"/>
      <c r="CXJ153" s="173"/>
      <c r="CXK153" s="173"/>
      <c r="CXL153" s="173"/>
      <c r="CXM153" s="173"/>
      <c r="CXN153" s="173"/>
      <c r="CXO153" s="173"/>
      <c r="CXP153" s="173"/>
      <c r="CXQ153" s="173"/>
      <c r="CXR153" s="173"/>
      <c r="CXS153" s="125"/>
      <c r="CXT153" s="125"/>
      <c r="CXU153" s="134"/>
      <c r="CXV153" s="135"/>
      <c r="CXW153" s="135"/>
      <c r="CXX153" s="135"/>
      <c r="CXY153" s="135"/>
      <c r="CXZ153" s="173"/>
      <c r="CYA153" s="173"/>
      <c r="CYB153" s="173"/>
      <c r="CYC153" s="173"/>
      <c r="CYD153" s="173"/>
      <c r="CYE153" s="173"/>
      <c r="CYF153" s="173"/>
      <c r="CYG153" s="173"/>
      <c r="CYH153" s="173"/>
      <c r="CYI153" s="173"/>
      <c r="CYJ153" s="125"/>
      <c r="CYK153" s="125"/>
      <c r="CYL153" s="134"/>
      <c r="CYM153" s="135"/>
      <c r="CYN153" s="135"/>
      <c r="CYO153" s="135"/>
      <c r="CYP153" s="135"/>
      <c r="CYQ153" s="173"/>
      <c r="CYR153" s="173"/>
      <c r="CYS153" s="173"/>
      <c r="CYT153" s="173"/>
      <c r="CYU153" s="173"/>
      <c r="CYV153" s="173"/>
      <c r="CYW153" s="173"/>
      <c r="CYX153" s="173"/>
      <c r="CYY153" s="173"/>
      <c r="CYZ153" s="173"/>
      <c r="CZA153" s="125"/>
      <c r="CZB153" s="125"/>
      <c r="CZC153" s="134"/>
      <c r="CZD153" s="135"/>
      <c r="CZE153" s="135"/>
      <c r="CZF153" s="135"/>
      <c r="CZG153" s="135"/>
      <c r="CZH153" s="173"/>
      <c r="CZI153" s="173"/>
      <c r="CZJ153" s="173"/>
      <c r="CZK153" s="173"/>
      <c r="CZL153" s="173"/>
      <c r="CZM153" s="173"/>
      <c r="CZN153" s="173"/>
      <c r="CZO153" s="173"/>
      <c r="CZP153" s="173"/>
      <c r="CZQ153" s="173"/>
      <c r="CZR153" s="125"/>
      <c r="CZS153" s="125"/>
      <c r="CZT153" s="134"/>
      <c r="CZU153" s="135"/>
      <c r="CZV153" s="135"/>
      <c r="CZW153" s="135"/>
      <c r="CZX153" s="135"/>
      <c r="CZY153" s="173"/>
      <c r="CZZ153" s="173"/>
      <c r="DAA153" s="173"/>
      <c r="DAB153" s="173"/>
      <c r="DAC153" s="173"/>
      <c r="DAD153" s="173"/>
      <c r="DAE153" s="173"/>
      <c r="DAF153" s="173"/>
      <c r="DAG153" s="173"/>
      <c r="DAH153" s="173"/>
      <c r="DAI153" s="125"/>
      <c r="DAJ153" s="125"/>
      <c r="DAK153" s="134"/>
      <c r="DAL153" s="135"/>
      <c r="DAM153" s="135"/>
      <c r="DAN153" s="135"/>
      <c r="DAO153" s="135"/>
      <c r="DAP153" s="173"/>
      <c r="DAQ153" s="173"/>
      <c r="DAR153" s="173"/>
      <c r="DAS153" s="173"/>
      <c r="DAT153" s="173"/>
      <c r="DAU153" s="173"/>
      <c r="DAV153" s="173"/>
      <c r="DAW153" s="173"/>
      <c r="DAX153" s="173"/>
      <c r="DAY153" s="173"/>
      <c r="DAZ153" s="125"/>
      <c r="DBA153" s="125"/>
      <c r="DBB153" s="134"/>
      <c r="DBC153" s="135"/>
      <c r="DBD153" s="135"/>
      <c r="DBE153" s="135"/>
      <c r="DBF153" s="135"/>
      <c r="DBG153" s="173"/>
      <c r="DBH153" s="173"/>
      <c r="DBI153" s="173"/>
      <c r="DBJ153" s="173"/>
      <c r="DBK153" s="173"/>
      <c r="DBL153" s="173"/>
      <c r="DBM153" s="173"/>
      <c r="DBN153" s="173"/>
      <c r="DBO153" s="173"/>
      <c r="DBP153" s="173"/>
      <c r="DBQ153" s="125"/>
      <c r="DBR153" s="125"/>
      <c r="DBS153" s="134"/>
      <c r="DBT153" s="135"/>
      <c r="DBU153" s="135"/>
      <c r="DBV153" s="135"/>
      <c r="DBW153" s="135"/>
      <c r="DBX153" s="173"/>
      <c r="DBY153" s="173"/>
      <c r="DBZ153" s="173"/>
      <c r="DCA153" s="173"/>
      <c r="DCB153" s="173"/>
      <c r="DCC153" s="173"/>
      <c r="DCD153" s="173"/>
      <c r="DCE153" s="173"/>
      <c r="DCF153" s="173"/>
      <c r="DCG153" s="173"/>
      <c r="DCH153" s="125"/>
      <c r="DCI153" s="125"/>
      <c r="DCJ153" s="134"/>
      <c r="DCK153" s="135"/>
      <c r="DCL153" s="135"/>
      <c r="DCM153" s="135"/>
      <c r="DCN153" s="135"/>
      <c r="DCO153" s="173"/>
      <c r="DCP153" s="173"/>
      <c r="DCQ153" s="173"/>
      <c r="DCR153" s="173"/>
      <c r="DCS153" s="173"/>
      <c r="DCT153" s="173"/>
      <c r="DCU153" s="173"/>
      <c r="DCV153" s="173"/>
      <c r="DCW153" s="173"/>
      <c r="DCX153" s="173"/>
      <c r="DCY153" s="125"/>
      <c r="DCZ153" s="125"/>
      <c r="DDA153" s="134"/>
      <c r="DDB153" s="135"/>
      <c r="DDC153" s="135"/>
      <c r="DDD153" s="135"/>
      <c r="DDE153" s="135"/>
      <c r="DDF153" s="173"/>
      <c r="DDG153" s="173"/>
      <c r="DDH153" s="173"/>
      <c r="DDI153" s="173"/>
      <c r="DDJ153" s="173"/>
      <c r="DDK153" s="173"/>
      <c r="DDL153" s="173"/>
      <c r="DDM153" s="173"/>
      <c r="DDN153" s="173"/>
      <c r="DDO153" s="173"/>
      <c r="DDP153" s="125"/>
      <c r="DDQ153" s="125"/>
      <c r="DDR153" s="134"/>
      <c r="DDS153" s="135"/>
      <c r="DDT153" s="135"/>
      <c r="DDU153" s="135"/>
      <c r="DDV153" s="135"/>
      <c r="DDW153" s="173"/>
      <c r="DDX153" s="173"/>
      <c r="DDY153" s="173"/>
      <c r="DDZ153" s="173"/>
      <c r="DEA153" s="173"/>
      <c r="DEB153" s="173"/>
      <c r="DEC153" s="173"/>
      <c r="DED153" s="173"/>
      <c r="DEE153" s="173"/>
      <c r="DEF153" s="173"/>
      <c r="DEG153" s="125"/>
      <c r="DEH153" s="125"/>
      <c r="DEI153" s="134"/>
      <c r="DEJ153" s="135"/>
      <c r="DEK153" s="135"/>
      <c r="DEL153" s="135"/>
      <c r="DEM153" s="135"/>
      <c r="DEN153" s="173"/>
      <c r="DEO153" s="173"/>
      <c r="DEP153" s="173"/>
      <c r="DEQ153" s="173"/>
      <c r="DER153" s="173"/>
      <c r="DES153" s="173"/>
      <c r="DET153" s="173"/>
      <c r="DEU153" s="173"/>
      <c r="DEV153" s="173"/>
      <c r="DEW153" s="173"/>
      <c r="DEX153" s="125"/>
      <c r="DEY153" s="125"/>
      <c r="DEZ153" s="134"/>
      <c r="DFA153" s="135"/>
      <c r="DFB153" s="135"/>
      <c r="DFC153" s="135"/>
      <c r="DFD153" s="135"/>
      <c r="DFE153" s="173"/>
      <c r="DFF153" s="173"/>
      <c r="DFG153" s="173"/>
      <c r="DFH153" s="173"/>
      <c r="DFI153" s="173"/>
      <c r="DFJ153" s="173"/>
      <c r="DFK153" s="173"/>
      <c r="DFL153" s="173"/>
      <c r="DFM153" s="173"/>
      <c r="DFN153" s="173"/>
      <c r="DFO153" s="125"/>
      <c r="DFP153" s="125"/>
      <c r="DFQ153" s="134"/>
      <c r="DFR153" s="135"/>
      <c r="DFS153" s="135"/>
      <c r="DFT153" s="135"/>
      <c r="DFU153" s="135"/>
      <c r="DFV153" s="173"/>
      <c r="DFW153" s="173"/>
      <c r="DFX153" s="173"/>
      <c r="DFY153" s="173"/>
      <c r="DFZ153" s="173"/>
      <c r="DGA153" s="173"/>
      <c r="DGB153" s="173"/>
      <c r="DGC153" s="173"/>
      <c r="DGD153" s="173"/>
      <c r="DGE153" s="173"/>
      <c r="DGF153" s="125"/>
      <c r="DGG153" s="125"/>
      <c r="DGH153" s="134"/>
      <c r="DGI153" s="135"/>
      <c r="DGJ153" s="135"/>
      <c r="DGK153" s="135"/>
      <c r="DGL153" s="135"/>
      <c r="DGM153" s="173"/>
      <c r="DGN153" s="173"/>
      <c r="DGO153" s="173"/>
      <c r="DGP153" s="173"/>
      <c r="DGQ153" s="173"/>
      <c r="DGR153" s="173"/>
      <c r="DGS153" s="173"/>
      <c r="DGT153" s="173"/>
      <c r="DGU153" s="173"/>
      <c r="DGV153" s="173"/>
      <c r="DGW153" s="125"/>
      <c r="DGX153" s="125"/>
      <c r="DGY153" s="134"/>
      <c r="DGZ153" s="135"/>
      <c r="DHA153" s="135"/>
      <c r="DHB153" s="135"/>
      <c r="DHC153" s="135"/>
      <c r="DHD153" s="173"/>
      <c r="DHE153" s="173"/>
      <c r="DHF153" s="173"/>
      <c r="DHG153" s="173"/>
      <c r="DHH153" s="173"/>
      <c r="DHI153" s="173"/>
      <c r="DHJ153" s="173"/>
      <c r="DHK153" s="173"/>
      <c r="DHL153" s="173"/>
      <c r="DHM153" s="173"/>
      <c r="DHN153" s="125"/>
      <c r="DHO153" s="125"/>
      <c r="DHP153" s="134"/>
      <c r="DHQ153" s="135"/>
      <c r="DHR153" s="135"/>
      <c r="DHS153" s="135"/>
      <c r="DHT153" s="135"/>
      <c r="DHU153" s="173"/>
      <c r="DHV153" s="173"/>
      <c r="DHW153" s="173"/>
      <c r="DHX153" s="173"/>
      <c r="DHY153" s="173"/>
      <c r="DHZ153" s="173"/>
      <c r="DIA153" s="173"/>
      <c r="DIB153" s="173"/>
      <c r="DIC153" s="173"/>
      <c r="DID153" s="173"/>
      <c r="DIE153" s="125"/>
      <c r="DIF153" s="125"/>
      <c r="DIG153" s="134"/>
      <c r="DIH153" s="135"/>
      <c r="DII153" s="135"/>
      <c r="DIJ153" s="135"/>
      <c r="DIK153" s="135"/>
      <c r="DIL153" s="173"/>
      <c r="DIM153" s="173"/>
      <c r="DIN153" s="173"/>
      <c r="DIO153" s="173"/>
      <c r="DIP153" s="173"/>
      <c r="DIQ153" s="173"/>
      <c r="DIR153" s="173"/>
      <c r="DIS153" s="173"/>
      <c r="DIT153" s="173"/>
      <c r="DIU153" s="173"/>
      <c r="DIV153" s="125"/>
      <c r="DIW153" s="125"/>
      <c r="DIX153" s="134"/>
      <c r="DIY153" s="135"/>
      <c r="DIZ153" s="135"/>
      <c r="DJA153" s="135"/>
      <c r="DJB153" s="135"/>
      <c r="DJC153" s="173"/>
      <c r="DJD153" s="173"/>
      <c r="DJE153" s="173"/>
      <c r="DJF153" s="173"/>
      <c r="DJG153" s="173"/>
      <c r="DJH153" s="173"/>
      <c r="DJI153" s="173"/>
      <c r="DJJ153" s="173"/>
      <c r="DJK153" s="173"/>
      <c r="DJL153" s="173"/>
      <c r="DJM153" s="125"/>
      <c r="DJN153" s="125"/>
      <c r="DJO153" s="134"/>
      <c r="DJP153" s="135"/>
      <c r="DJQ153" s="135"/>
      <c r="DJR153" s="135"/>
      <c r="DJS153" s="135"/>
      <c r="DJT153" s="173"/>
      <c r="DJU153" s="173"/>
      <c r="DJV153" s="173"/>
      <c r="DJW153" s="173"/>
      <c r="DJX153" s="173"/>
      <c r="DJY153" s="173"/>
      <c r="DJZ153" s="173"/>
      <c r="DKA153" s="173"/>
      <c r="DKB153" s="173"/>
      <c r="DKC153" s="173"/>
      <c r="DKD153" s="125"/>
      <c r="DKE153" s="125"/>
      <c r="DKF153" s="134"/>
      <c r="DKG153" s="135"/>
      <c r="DKH153" s="135"/>
      <c r="DKI153" s="135"/>
      <c r="DKJ153" s="135"/>
      <c r="DKK153" s="173"/>
      <c r="DKL153" s="173"/>
      <c r="DKM153" s="173"/>
      <c r="DKN153" s="173"/>
      <c r="DKO153" s="173"/>
      <c r="DKP153" s="173"/>
      <c r="DKQ153" s="173"/>
      <c r="DKR153" s="173"/>
      <c r="DKS153" s="173"/>
      <c r="DKT153" s="173"/>
      <c r="DKU153" s="125"/>
      <c r="DKV153" s="125"/>
      <c r="DKW153" s="134"/>
      <c r="DKX153" s="135"/>
      <c r="DKY153" s="135"/>
      <c r="DKZ153" s="135"/>
      <c r="DLA153" s="135"/>
      <c r="DLB153" s="173"/>
      <c r="DLC153" s="173"/>
      <c r="DLD153" s="173"/>
      <c r="DLE153" s="173"/>
      <c r="DLF153" s="173"/>
      <c r="DLG153" s="173"/>
      <c r="DLH153" s="173"/>
      <c r="DLI153" s="173"/>
      <c r="DLJ153" s="173"/>
      <c r="DLK153" s="173"/>
      <c r="DLL153" s="125"/>
      <c r="DLM153" s="125"/>
      <c r="DLN153" s="134"/>
      <c r="DLO153" s="135"/>
      <c r="DLP153" s="135"/>
      <c r="DLQ153" s="135"/>
      <c r="DLR153" s="135"/>
      <c r="DLS153" s="173"/>
      <c r="DLT153" s="173"/>
      <c r="DLU153" s="173"/>
      <c r="DLV153" s="173"/>
      <c r="DLW153" s="173"/>
      <c r="DLX153" s="173"/>
      <c r="DLY153" s="173"/>
      <c r="DLZ153" s="173"/>
      <c r="DMA153" s="173"/>
      <c r="DMB153" s="173"/>
      <c r="DMC153" s="125"/>
      <c r="DMD153" s="125"/>
      <c r="DME153" s="134"/>
      <c r="DMF153" s="135"/>
      <c r="DMG153" s="135"/>
      <c r="DMH153" s="135"/>
      <c r="DMI153" s="135"/>
      <c r="DMJ153" s="173"/>
      <c r="DMK153" s="173"/>
      <c r="DML153" s="173"/>
      <c r="DMM153" s="173"/>
      <c r="DMN153" s="173"/>
      <c r="DMO153" s="173"/>
      <c r="DMP153" s="173"/>
      <c r="DMQ153" s="173"/>
      <c r="DMR153" s="173"/>
      <c r="DMS153" s="173"/>
      <c r="DMT153" s="125"/>
      <c r="DMU153" s="125"/>
      <c r="DMV153" s="134"/>
      <c r="DMW153" s="135"/>
      <c r="DMX153" s="135"/>
      <c r="DMY153" s="135"/>
      <c r="DMZ153" s="135"/>
      <c r="DNA153" s="173"/>
      <c r="DNB153" s="173"/>
      <c r="DNC153" s="173"/>
      <c r="DND153" s="173"/>
      <c r="DNE153" s="173"/>
      <c r="DNF153" s="173"/>
      <c r="DNG153" s="173"/>
      <c r="DNH153" s="173"/>
      <c r="DNI153" s="173"/>
      <c r="DNJ153" s="173"/>
      <c r="DNK153" s="125"/>
      <c r="DNL153" s="125"/>
      <c r="DNM153" s="134"/>
      <c r="DNN153" s="135"/>
      <c r="DNO153" s="135"/>
      <c r="DNP153" s="135"/>
      <c r="DNQ153" s="135"/>
      <c r="DNR153" s="173"/>
      <c r="DNS153" s="173"/>
      <c r="DNT153" s="173"/>
      <c r="DNU153" s="173"/>
      <c r="DNV153" s="173"/>
      <c r="DNW153" s="173"/>
      <c r="DNX153" s="173"/>
      <c r="DNY153" s="173"/>
      <c r="DNZ153" s="173"/>
      <c r="DOA153" s="173"/>
      <c r="DOB153" s="125"/>
      <c r="DOC153" s="125"/>
      <c r="DOD153" s="134"/>
      <c r="DOE153" s="135"/>
      <c r="DOF153" s="135"/>
      <c r="DOG153" s="135"/>
      <c r="DOH153" s="135"/>
      <c r="DOI153" s="173"/>
      <c r="DOJ153" s="173"/>
      <c r="DOK153" s="173"/>
      <c r="DOL153" s="173"/>
      <c r="DOM153" s="173"/>
      <c r="DON153" s="173"/>
      <c r="DOO153" s="173"/>
      <c r="DOP153" s="173"/>
      <c r="DOQ153" s="173"/>
      <c r="DOR153" s="173"/>
      <c r="DOS153" s="125"/>
      <c r="DOT153" s="125"/>
      <c r="DOU153" s="134"/>
      <c r="DOV153" s="135"/>
      <c r="DOW153" s="135"/>
      <c r="DOX153" s="135"/>
      <c r="DOY153" s="135"/>
      <c r="DOZ153" s="173"/>
      <c r="DPA153" s="173"/>
      <c r="DPB153" s="173"/>
      <c r="DPC153" s="173"/>
      <c r="DPD153" s="173"/>
      <c r="DPE153" s="173"/>
      <c r="DPF153" s="173"/>
      <c r="DPG153" s="173"/>
      <c r="DPH153" s="173"/>
      <c r="DPI153" s="173"/>
      <c r="DPJ153" s="125"/>
      <c r="DPK153" s="125"/>
      <c r="DPL153" s="134"/>
      <c r="DPM153" s="135"/>
      <c r="DPN153" s="135"/>
      <c r="DPO153" s="135"/>
      <c r="DPP153" s="135"/>
      <c r="DPQ153" s="173"/>
      <c r="DPR153" s="173"/>
      <c r="DPS153" s="173"/>
      <c r="DPT153" s="173"/>
      <c r="DPU153" s="173"/>
      <c r="DPV153" s="173"/>
      <c r="DPW153" s="173"/>
      <c r="DPX153" s="173"/>
      <c r="DPY153" s="173"/>
      <c r="DPZ153" s="173"/>
      <c r="DQA153" s="125"/>
      <c r="DQB153" s="125"/>
      <c r="DQC153" s="134"/>
      <c r="DQD153" s="135"/>
      <c r="DQE153" s="135"/>
      <c r="DQF153" s="135"/>
      <c r="DQG153" s="135"/>
      <c r="DQH153" s="173"/>
      <c r="DQI153" s="173"/>
      <c r="DQJ153" s="173"/>
      <c r="DQK153" s="173"/>
      <c r="DQL153" s="173"/>
      <c r="DQM153" s="173"/>
      <c r="DQN153" s="173"/>
      <c r="DQO153" s="173"/>
      <c r="DQP153" s="173"/>
      <c r="DQQ153" s="173"/>
      <c r="DQR153" s="125"/>
      <c r="DQS153" s="125"/>
      <c r="DQT153" s="134"/>
      <c r="DQU153" s="135"/>
      <c r="DQV153" s="135"/>
      <c r="DQW153" s="135"/>
      <c r="DQX153" s="135"/>
      <c r="DQY153" s="173"/>
      <c r="DQZ153" s="173"/>
      <c r="DRA153" s="173"/>
      <c r="DRB153" s="173"/>
      <c r="DRC153" s="173"/>
      <c r="DRD153" s="173"/>
      <c r="DRE153" s="173"/>
      <c r="DRF153" s="173"/>
      <c r="DRG153" s="173"/>
      <c r="DRH153" s="173"/>
      <c r="DRI153" s="125"/>
      <c r="DRJ153" s="125"/>
      <c r="DRK153" s="134"/>
      <c r="DRL153" s="135"/>
      <c r="DRM153" s="135"/>
      <c r="DRN153" s="135"/>
      <c r="DRO153" s="135"/>
      <c r="DRP153" s="173"/>
      <c r="DRQ153" s="173"/>
      <c r="DRR153" s="173"/>
      <c r="DRS153" s="173"/>
      <c r="DRT153" s="173"/>
      <c r="DRU153" s="173"/>
      <c r="DRV153" s="173"/>
      <c r="DRW153" s="173"/>
      <c r="DRX153" s="173"/>
      <c r="DRY153" s="173"/>
      <c r="DRZ153" s="125"/>
      <c r="DSA153" s="125"/>
      <c r="DSB153" s="134"/>
      <c r="DSC153" s="135"/>
      <c r="DSD153" s="135"/>
      <c r="DSE153" s="135"/>
      <c r="DSF153" s="135"/>
      <c r="DSG153" s="173"/>
      <c r="DSH153" s="173"/>
      <c r="DSI153" s="173"/>
      <c r="DSJ153" s="173"/>
      <c r="DSK153" s="173"/>
      <c r="DSL153" s="173"/>
      <c r="DSM153" s="173"/>
      <c r="DSN153" s="173"/>
      <c r="DSO153" s="173"/>
      <c r="DSP153" s="173"/>
      <c r="DSQ153" s="125"/>
      <c r="DSR153" s="125"/>
      <c r="DSS153" s="134"/>
      <c r="DST153" s="135"/>
      <c r="DSU153" s="135"/>
      <c r="DSV153" s="135"/>
      <c r="DSW153" s="135"/>
      <c r="DSX153" s="173"/>
      <c r="DSY153" s="173"/>
      <c r="DSZ153" s="173"/>
      <c r="DTA153" s="173"/>
      <c r="DTB153" s="173"/>
      <c r="DTC153" s="173"/>
      <c r="DTD153" s="173"/>
      <c r="DTE153" s="173"/>
      <c r="DTF153" s="173"/>
      <c r="DTG153" s="173"/>
      <c r="DTH153" s="125"/>
      <c r="DTI153" s="125"/>
      <c r="DTJ153" s="134"/>
      <c r="DTK153" s="135"/>
      <c r="DTL153" s="135"/>
      <c r="DTM153" s="135"/>
      <c r="DTN153" s="135"/>
      <c r="DTO153" s="173"/>
      <c r="DTP153" s="173"/>
      <c r="DTQ153" s="173"/>
      <c r="DTR153" s="173"/>
      <c r="DTS153" s="173"/>
      <c r="DTT153" s="173"/>
      <c r="DTU153" s="173"/>
      <c r="DTV153" s="173"/>
      <c r="DTW153" s="173"/>
      <c r="DTX153" s="173"/>
      <c r="DTY153" s="125"/>
      <c r="DTZ153" s="125"/>
      <c r="DUA153" s="134"/>
      <c r="DUB153" s="135"/>
      <c r="DUC153" s="135"/>
      <c r="DUD153" s="135"/>
      <c r="DUE153" s="135"/>
      <c r="DUF153" s="173"/>
      <c r="DUG153" s="173"/>
      <c r="DUH153" s="173"/>
      <c r="DUI153" s="173"/>
      <c r="DUJ153" s="173"/>
      <c r="DUK153" s="173"/>
      <c r="DUL153" s="173"/>
      <c r="DUM153" s="173"/>
      <c r="DUN153" s="173"/>
      <c r="DUO153" s="173"/>
      <c r="DUP153" s="125"/>
      <c r="DUQ153" s="125"/>
      <c r="DUR153" s="134"/>
      <c r="DUS153" s="135"/>
      <c r="DUT153" s="135"/>
      <c r="DUU153" s="135"/>
      <c r="DUV153" s="135"/>
      <c r="DUW153" s="173"/>
      <c r="DUX153" s="173"/>
      <c r="DUY153" s="173"/>
      <c r="DUZ153" s="173"/>
      <c r="DVA153" s="173"/>
      <c r="DVB153" s="173"/>
      <c r="DVC153" s="173"/>
      <c r="DVD153" s="173"/>
      <c r="DVE153" s="173"/>
      <c r="DVF153" s="173"/>
      <c r="DVG153" s="125"/>
      <c r="DVH153" s="125"/>
      <c r="DVI153" s="134"/>
      <c r="DVJ153" s="135"/>
      <c r="DVK153" s="135"/>
      <c r="DVL153" s="135"/>
      <c r="DVM153" s="135"/>
      <c r="DVN153" s="173"/>
      <c r="DVO153" s="173"/>
      <c r="DVP153" s="173"/>
      <c r="DVQ153" s="173"/>
      <c r="DVR153" s="173"/>
      <c r="DVS153" s="173"/>
      <c r="DVT153" s="173"/>
      <c r="DVU153" s="173"/>
      <c r="DVV153" s="173"/>
      <c r="DVW153" s="173"/>
      <c r="DVX153" s="125"/>
      <c r="DVY153" s="125"/>
      <c r="DVZ153" s="134"/>
      <c r="DWA153" s="135"/>
      <c r="DWB153" s="135"/>
      <c r="DWC153" s="135"/>
      <c r="DWD153" s="135"/>
      <c r="DWE153" s="173"/>
      <c r="DWF153" s="173"/>
      <c r="DWG153" s="173"/>
      <c r="DWH153" s="173"/>
      <c r="DWI153" s="173"/>
      <c r="DWJ153" s="173"/>
      <c r="DWK153" s="173"/>
      <c r="DWL153" s="173"/>
      <c r="DWM153" s="173"/>
      <c r="DWN153" s="173"/>
      <c r="DWO153" s="125"/>
      <c r="DWP153" s="125"/>
      <c r="DWQ153" s="134"/>
      <c r="DWR153" s="135"/>
      <c r="DWS153" s="135"/>
      <c r="DWT153" s="135"/>
      <c r="DWU153" s="135"/>
      <c r="DWV153" s="173"/>
      <c r="DWW153" s="173"/>
      <c r="DWX153" s="173"/>
      <c r="DWY153" s="173"/>
      <c r="DWZ153" s="173"/>
      <c r="DXA153" s="173"/>
      <c r="DXB153" s="173"/>
      <c r="DXC153" s="173"/>
      <c r="DXD153" s="173"/>
      <c r="DXE153" s="173"/>
      <c r="DXF153" s="125"/>
      <c r="DXG153" s="125"/>
      <c r="DXH153" s="134"/>
      <c r="DXI153" s="135"/>
      <c r="DXJ153" s="135"/>
      <c r="DXK153" s="135"/>
      <c r="DXL153" s="135"/>
      <c r="DXM153" s="173"/>
      <c r="DXN153" s="173"/>
      <c r="DXO153" s="173"/>
      <c r="DXP153" s="173"/>
      <c r="DXQ153" s="173"/>
      <c r="DXR153" s="173"/>
      <c r="DXS153" s="173"/>
      <c r="DXT153" s="173"/>
      <c r="DXU153" s="173"/>
      <c r="DXV153" s="173"/>
      <c r="DXW153" s="125"/>
      <c r="DXX153" s="125"/>
      <c r="DXY153" s="134"/>
      <c r="DXZ153" s="135"/>
      <c r="DYA153" s="135"/>
      <c r="DYB153" s="135"/>
      <c r="DYC153" s="135"/>
      <c r="DYD153" s="173"/>
      <c r="DYE153" s="173"/>
      <c r="DYF153" s="173"/>
      <c r="DYG153" s="173"/>
      <c r="DYH153" s="173"/>
      <c r="DYI153" s="173"/>
      <c r="DYJ153" s="173"/>
      <c r="DYK153" s="173"/>
      <c r="DYL153" s="173"/>
      <c r="DYM153" s="173"/>
      <c r="DYN153" s="125"/>
      <c r="DYO153" s="125"/>
      <c r="DYP153" s="134"/>
      <c r="DYQ153" s="135"/>
      <c r="DYR153" s="135"/>
      <c r="DYS153" s="135"/>
      <c r="DYT153" s="135"/>
      <c r="DYU153" s="173"/>
      <c r="DYV153" s="173"/>
      <c r="DYW153" s="173"/>
      <c r="DYX153" s="173"/>
      <c r="DYY153" s="173"/>
      <c r="DYZ153" s="173"/>
      <c r="DZA153" s="173"/>
      <c r="DZB153" s="173"/>
      <c r="DZC153" s="173"/>
      <c r="DZD153" s="173"/>
      <c r="DZE153" s="125"/>
      <c r="DZF153" s="125"/>
      <c r="DZG153" s="134"/>
      <c r="DZH153" s="135"/>
      <c r="DZI153" s="135"/>
      <c r="DZJ153" s="135"/>
      <c r="DZK153" s="135"/>
      <c r="DZL153" s="173"/>
      <c r="DZM153" s="173"/>
      <c r="DZN153" s="173"/>
      <c r="DZO153" s="173"/>
      <c r="DZP153" s="173"/>
      <c r="DZQ153" s="173"/>
      <c r="DZR153" s="173"/>
      <c r="DZS153" s="173"/>
      <c r="DZT153" s="173"/>
      <c r="DZU153" s="173"/>
      <c r="DZV153" s="125"/>
      <c r="DZW153" s="125"/>
      <c r="DZX153" s="134"/>
      <c r="DZY153" s="135"/>
      <c r="DZZ153" s="135"/>
      <c r="EAA153" s="135"/>
      <c r="EAB153" s="135"/>
      <c r="EAC153" s="173"/>
      <c r="EAD153" s="173"/>
      <c r="EAE153" s="173"/>
      <c r="EAF153" s="173"/>
      <c r="EAG153" s="173"/>
      <c r="EAH153" s="173"/>
      <c r="EAI153" s="173"/>
      <c r="EAJ153" s="173"/>
      <c r="EAK153" s="173"/>
      <c r="EAL153" s="173"/>
      <c r="EAM153" s="125"/>
      <c r="EAN153" s="125"/>
      <c r="EAO153" s="134"/>
      <c r="EAP153" s="135"/>
      <c r="EAQ153" s="135"/>
      <c r="EAR153" s="135"/>
      <c r="EAS153" s="135"/>
      <c r="EAT153" s="173"/>
      <c r="EAU153" s="173"/>
      <c r="EAV153" s="173"/>
      <c r="EAW153" s="173"/>
      <c r="EAX153" s="173"/>
      <c r="EAY153" s="173"/>
      <c r="EAZ153" s="173"/>
      <c r="EBA153" s="173"/>
      <c r="EBB153" s="173"/>
      <c r="EBC153" s="173"/>
      <c r="EBD153" s="125"/>
      <c r="EBE153" s="125"/>
      <c r="EBF153" s="134"/>
      <c r="EBG153" s="135"/>
      <c r="EBH153" s="135"/>
      <c r="EBI153" s="135"/>
      <c r="EBJ153" s="135"/>
      <c r="EBK153" s="173"/>
      <c r="EBL153" s="173"/>
      <c r="EBM153" s="173"/>
      <c r="EBN153" s="173"/>
      <c r="EBO153" s="173"/>
      <c r="EBP153" s="173"/>
      <c r="EBQ153" s="173"/>
      <c r="EBR153" s="173"/>
      <c r="EBS153" s="173"/>
      <c r="EBT153" s="173"/>
      <c r="EBU153" s="125"/>
      <c r="EBV153" s="125"/>
      <c r="EBW153" s="134"/>
      <c r="EBX153" s="135"/>
      <c r="EBY153" s="135"/>
      <c r="EBZ153" s="135"/>
      <c r="ECA153" s="135"/>
      <c r="ECB153" s="173"/>
      <c r="ECC153" s="173"/>
      <c r="ECD153" s="173"/>
      <c r="ECE153" s="173"/>
      <c r="ECF153" s="173"/>
      <c r="ECG153" s="173"/>
      <c r="ECH153" s="173"/>
      <c r="ECI153" s="173"/>
      <c r="ECJ153" s="173"/>
      <c r="ECK153" s="173"/>
      <c r="ECL153" s="125"/>
      <c r="ECM153" s="125"/>
      <c r="ECN153" s="134"/>
      <c r="ECO153" s="135"/>
      <c r="ECP153" s="135"/>
      <c r="ECQ153" s="135"/>
      <c r="ECR153" s="135"/>
      <c r="ECS153" s="173"/>
      <c r="ECT153" s="173"/>
      <c r="ECU153" s="173"/>
      <c r="ECV153" s="173"/>
      <c r="ECW153" s="173"/>
      <c r="ECX153" s="173"/>
      <c r="ECY153" s="173"/>
      <c r="ECZ153" s="173"/>
      <c r="EDA153" s="173"/>
      <c r="EDB153" s="173"/>
      <c r="EDC153" s="125"/>
      <c r="EDD153" s="125"/>
      <c r="EDE153" s="134"/>
      <c r="EDF153" s="135"/>
      <c r="EDG153" s="135"/>
      <c r="EDH153" s="135"/>
      <c r="EDI153" s="135"/>
      <c r="EDJ153" s="173"/>
      <c r="EDK153" s="173"/>
      <c r="EDL153" s="173"/>
      <c r="EDM153" s="173"/>
      <c r="EDN153" s="173"/>
      <c r="EDO153" s="173"/>
      <c r="EDP153" s="173"/>
      <c r="EDQ153" s="173"/>
      <c r="EDR153" s="173"/>
      <c r="EDS153" s="173"/>
      <c r="EDT153" s="125"/>
      <c r="EDU153" s="125"/>
      <c r="EDV153" s="134"/>
      <c r="EDW153" s="135"/>
      <c r="EDX153" s="135"/>
      <c r="EDY153" s="135"/>
      <c r="EDZ153" s="135"/>
      <c r="EEA153" s="173"/>
      <c r="EEB153" s="173"/>
      <c r="EEC153" s="173"/>
      <c r="EED153" s="173"/>
      <c r="EEE153" s="173"/>
      <c r="EEF153" s="173"/>
      <c r="EEG153" s="173"/>
      <c r="EEH153" s="173"/>
      <c r="EEI153" s="173"/>
      <c r="EEJ153" s="173"/>
      <c r="EEK153" s="125"/>
      <c r="EEL153" s="125"/>
      <c r="EEM153" s="134"/>
      <c r="EEN153" s="135"/>
      <c r="EEO153" s="135"/>
      <c r="EEP153" s="135"/>
      <c r="EEQ153" s="135"/>
      <c r="EER153" s="173"/>
      <c r="EES153" s="173"/>
      <c r="EET153" s="173"/>
      <c r="EEU153" s="173"/>
      <c r="EEV153" s="173"/>
      <c r="EEW153" s="173"/>
      <c r="EEX153" s="173"/>
      <c r="EEY153" s="173"/>
      <c r="EEZ153" s="173"/>
      <c r="EFA153" s="173"/>
      <c r="EFB153" s="125"/>
      <c r="EFC153" s="125"/>
      <c r="EFD153" s="134"/>
      <c r="EFE153" s="135"/>
      <c r="EFF153" s="135"/>
      <c r="EFG153" s="135"/>
      <c r="EFH153" s="135"/>
      <c r="EFI153" s="173"/>
      <c r="EFJ153" s="173"/>
      <c r="EFK153" s="173"/>
      <c r="EFL153" s="173"/>
      <c r="EFM153" s="173"/>
      <c r="EFN153" s="173"/>
      <c r="EFO153" s="173"/>
      <c r="EFP153" s="173"/>
      <c r="EFQ153" s="173"/>
      <c r="EFR153" s="173"/>
      <c r="EFS153" s="125"/>
      <c r="EFT153" s="125"/>
      <c r="EFU153" s="134"/>
      <c r="EFV153" s="135"/>
      <c r="EFW153" s="135"/>
      <c r="EFX153" s="135"/>
      <c r="EFY153" s="135"/>
      <c r="EFZ153" s="173"/>
      <c r="EGA153" s="173"/>
      <c r="EGB153" s="173"/>
      <c r="EGC153" s="173"/>
      <c r="EGD153" s="173"/>
      <c r="EGE153" s="173"/>
      <c r="EGF153" s="173"/>
      <c r="EGG153" s="173"/>
      <c r="EGH153" s="173"/>
      <c r="EGI153" s="173"/>
      <c r="EGJ153" s="125"/>
      <c r="EGK153" s="125"/>
      <c r="EGL153" s="134"/>
      <c r="EGM153" s="135"/>
      <c r="EGN153" s="135"/>
      <c r="EGO153" s="135"/>
      <c r="EGP153" s="135"/>
      <c r="EGQ153" s="173"/>
      <c r="EGR153" s="173"/>
      <c r="EGS153" s="173"/>
      <c r="EGT153" s="173"/>
      <c r="EGU153" s="173"/>
      <c r="EGV153" s="173"/>
      <c r="EGW153" s="173"/>
      <c r="EGX153" s="173"/>
      <c r="EGY153" s="173"/>
      <c r="EGZ153" s="173"/>
      <c r="EHA153" s="125"/>
      <c r="EHB153" s="125"/>
      <c r="EHC153" s="134"/>
      <c r="EHD153" s="135"/>
      <c r="EHE153" s="135"/>
      <c r="EHF153" s="135"/>
      <c r="EHG153" s="135"/>
      <c r="EHH153" s="173"/>
      <c r="EHI153" s="173"/>
      <c r="EHJ153" s="173"/>
      <c r="EHK153" s="173"/>
      <c r="EHL153" s="173"/>
      <c r="EHM153" s="173"/>
      <c r="EHN153" s="173"/>
      <c r="EHO153" s="173"/>
      <c r="EHP153" s="173"/>
      <c r="EHQ153" s="173"/>
      <c r="EHR153" s="125"/>
      <c r="EHS153" s="125"/>
      <c r="EHT153" s="134"/>
      <c r="EHU153" s="135"/>
      <c r="EHV153" s="135"/>
      <c r="EHW153" s="135"/>
      <c r="EHX153" s="135"/>
      <c r="EHY153" s="173"/>
      <c r="EHZ153" s="173"/>
      <c r="EIA153" s="173"/>
      <c r="EIB153" s="173"/>
      <c r="EIC153" s="173"/>
      <c r="EID153" s="173"/>
      <c r="EIE153" s="173"/>
      <c r="EIF153" s="173"/>
      <c r="EIG153" s="173"/>
      <c r="EIH153" s="173"/>
      <c r="EII153" s="125"/>
      <c r="EIJ153" s="125"/>
      <c r="EIK153" s="134"/>
      <c r="EIL153" s="135"/>
      <c r="EIM153" s="135"/>
      <c r="EIN153" s="135"/>
      <c r="EIO153" s="135"/>
      <c r="EIP153" s="173"/>
      <c r="EIQ153" s="173"/>
      <c r="EIR153" s="173"/>
      <c r="EIS153" s="173"/>
      <c r="EIT153" s="173"/>
      <c r="EIU153" s="173"/>
      <c r="EIV153" s="173"/>
      <c r="EIW153" s="173"/>
      <c r="EIX153" s="173"/>
      <c r="EIY153" s="173"/>
      <c r="EIZ153" s="125"/>
      <c r="EJA153" s="125"/>
      <c r="EJB153" s="134"/>
      <c r="EJC153" s="135"/>
      <c r="EJD153" s="135"/>
      <c r="EJE153" s="135"/>
      <c r="EJF153" s="135"/>
      <c r="EJG153" s="173"/>
      <c r="EJH153" s="173"/>
      <c r="EJI153" s="173"/>
      <c r="EJJ153" s="173"/>
      <c r="EJK153" s="173"/>
      <c r="EJL153" s="173"/>
      <c r="EJM153" s="173"/>
      <c r="EJN153" s="173"/>
      <c r="EJO153" s="173"/>
      <c r="EJP153" s="173"/>
      <c r="EJQ153" s="125"/>
      <c r="EJR153" s="125"/>
      <c r="EJS153" s="134"/>
      <c r="EJT153" s="135"/>
      <c r="EJU153" s="135"/>
      <c r="EJV153" s="135"/>
      <c r="EJW153" s="135"/>
      <c r="EJX153" s="173"/>
      <c r="EJY153" s="173"/>
      <c r="EJZ153" s="173"/>
      <c r="EKA153" s="173"/>
      <c r="EKB153" s="173"/>
      <c r="EKC153" s="173"/>
      <c r="EKD153" s="173"/>
      <c r="EKE153" s="173"/>
      <c r="EKF153" s="173"/>
      <c r="EKG153" s="173"/>
      <c r="EKH153" s="125"/>
      <c r="EKI153" s="125"/>
      <c r="EKJ153" s="134"/>
      <c r="EKK153" s="135"/>
      <c r="EKL153" s="135"/>
      <c r="EKM153" s="135"/>
      <c r="EKN153" s="135"/>
      <c r="EKO153" s="173"/>
      <c r="EKP153" s="173"/>
      <c r="EKQ153" s="173"/>
      <c r="EKR153" s="173"/>
      <c r="EKS153" s="173"/>
      <c r="EKT153" s="173"/>
      <c r="EKU153" s="173"/>
      <c r="EKV153" s="173"/>
      <c r="EKW153" s="173"/>
      <c r="EKX153" s="173"/>
      <c r="EKY153" s="125"/>
      <c r="EKZ153" s="125"/>
      <c r="ELA153" s="134"/>
      <c r="ELB153" s="135"/>
      <c r="ELC153" s="135"/>
      <c r="ELD153" s="135"/>
      <c r="ELE153" s="135"/>
      <c r="ELF153" s="173"/>
      <c r="ELG153" s="173"/>
      <c r="ELH153" s="173"/>
      <c r="ELI153" s="173"/>
      <c r="ELJ153" s="173"/>
      <c r="ELK153" s="173"/>
      <c r="ELL153" s="173"/>
      <c r="ELM153" s="173"/>
      <c r="ELN153" s="173"/>
      <c r="ELO153" s="173"/>
      <c r="ELP153" s="125"/>
      <c r="ELQ153" s="125"/>
      <c r="ELR153" s="134"/>
      <c r="ELS153" s="135"/>
      <c r="ELT153" s="135"/>
      <c r="ELU153" s="135"/>
      <c r="ELV153" s="135"/>
      <c r="ELW153" s="173"/>
      <c r="ELX153" s="173"/>
      <c r="ELY153" s="173"/>
      <c r="ELZ153" s="173"/>
      <c r="EMA153" s="173"/>
      <c r="EMB153" s="173"/>
      <c r="EMC153" s="173"/>
      <c r="EMD153" s="173"/>
      <c r="EME153" s="173"/>
      <c r="EMF153" s="173"/>
      <c r="EMG153" s="125"/>
      <c r="EMH153" s="125"/>
      <c r="EMI153" s="134"/>
      <c r="EMJ153" s="135"/>
      <c r="EMK153" s="135"/>
      <c r="EML153" s="135"/>
      <c r="EMM153" s="135"/>
      <c r="EMN153" s="173"/>
      <c r="EMO153" s="173"/>
      <c r="EMP153" s="173"/>
      <c r="EMQ153" s="173"/>
      <c r="EMR153" s="173"/>
      <c r="EMS153" s="173"/>
      <c r="EMT153" s="173"/>
      <c r="EMU153" s="173"/>
      <c r="EMV153" s="173"/>
      <c r="EMW153" s="173"/>
      <c r="EMX153" s="125"/>
      <c r="EMY153" s="125"/>
      <c r="EMZ153" s="134"/>
      <c r="ENA153" s="135"/>
      <c r="ENB153" s="135"/>
      <c r="ENC153" s="135"/>
      <c r="END153" s="135"/>
      <c r="ENE153" s="173"/>
      <c r="ENF153" s="173"/>
      <c r="ENG153" s="173"/>
      <c r="ENH153" s="173"/>
      <c r="ENI153" s="173"/>
      <c r="ENJ153" s="173"/>
      <c r="ENK153" s="173"/>
      <c r="ENL153" s="173"/>
      <c r="ENM153" s="173"/>
      <c r="ENN153" s="173"/>
      <c r="ENO153" s="125"/>
      <c r="ENP153" s="125"/>
      <c r="ENQ153" s="134"/>
      <c r="ENR153" s="135"/>
      <c r="ENS153" s="135"/>
      <c r="ENT153" s="135"/>
      <c r="ENU153" s="135"/>
      <c r="ENV153" s="173"/>
      <c r="ENW153" s="173"/>
      <c r="ENX153" s="173"/>
      <c r="ENY153" s="173"/>
      <c r="ENZ153" s="173"/>
      <c r="EOA153" s="173"/>
      <c r="EOB153" s="173"/>
      <c r="EOC153" s="173"/>
      <c r="EOD153" s="173"/>
      <c r="EOE153" s="173"/>
      <c r="EOF153" s="125"/>
      <c r="EOG153" s="125"/>
      <c r="EOH153" s="134"/>
      <c r="EOI153" s="135"/>
      <c r="EOJ153" s="135"/>
      <c r="EOK153" s="135"/>
      <c r="EOL153" s="135"/>
      <c r="EOM153" s="173"/>
      <c r="EON153" s="173"/>
      <c r="EOO153" s="173"/>
      <c r="EOP153" s="173"/>
      <c r="EOQ153" s="173"/>
      <c r="EOR153" s="173"/>
      <c r="EOS153" s="173"/>
      <c r="EOT153" s="173"/>
      <c r="EOU153" s="173"/>
      <c r="EOV153" s="173"/>
      <c r="EOW153" s="125"/>
      <c r="EOX153" s="125"/>
      <c r="EOY153" s="134"/>
      <c r="EOZ153" s="135"/>
      <c r="EPA153" s="135"/>
      <c r="EPB153" s="135"/>
      <c r="EPC153" s="135"/>
      <c r="EPD153" s="173"/>
      <c r="EPE153" s="173"/>
      <c r="EPF153" s="173"/>
      <c r="EPG153" s="173"/>
      <c r="EPH153" s="173"/>
      <c r="EPI153" s="173"/>
      <c r="EPJ153" s="173"/>
      <c r="EPK153" s="173"/>
      <c r="EPL153" s="173"/>
      <c r="EPM153" s="173"/>
      <c r="EPN153" s="125"/>
      <c r="EPO153" s="125"/>
      <c r="EPP153" s="134"/>
      <c r="EPQ153" s="135"/>
      <c r="EPR153" s="135"/>
      <c r="EPS153" s="135"/>
      <c r="EPT153" s="135"/>
      <c r="EPU153" s="173"/>
      <c r="EPV153" s="173"/>
      <c r="EPW153" s="173"/>
      <c r="EPX153" s="173"/>
      <c r="EPY153" s="173"/>
      <c r="EPZ153" s="173"/>
      <c r="EQA153" s="173"/>
      <c r="EQB153" s="173"/>
      <c r="EQC153" s="173"/>
      <c r="EQD153" s="173"/>
      <c r="EQE153" s="125"/>
      <c r="EQF153" s="125"/>
      <c r="EQG153" s="134"/>
      <c r="EQH153" s="135"/>
      <c r="EQI153" s="135"/>
      <c r="EQJ153" s="135"/>
      <c r="EQK153" s="135"/>
      <c r="EQL153" s="173"/>
      <c r="EQM153" s="173"/>
      <c r="EQN153" s="173"/>
      <c r="EQO153" s="173"/>
      <c r="EQP153" s="173"/>
      <c r="EQQ153" s="173"/>
      <c r="EQR153" s="173"/>
      <c r="EQS153" s="173"/>
      <c r="EQT153" s="173"/>
      <c r="EQU153" s="173"/>
      <c r="EQV153" s="125"/>
      <c r="EQW153" s="125"/>
      <c r="EQX153" s="134"/>
      <c r="EQY153" s="135"/>
      <c r="EQZ153" s="135"/>
      <c r="ERA153" s="135"/>
      <c r="ERB153" s="135"/>
      <c r="ERC153" s="173"/>
      <c r="ERD153" s="173"/>
      <c r="ERE153" s="173"/>
      <c r="ERF153" s="173"/>
      <c r="ERG153" s="173"/>
      <c r="ERH153" s="173"/>
      <c r="ERI153" s="173"/>
      <c r="ERJ153" s="173"/>
      <c r="ERK153" s="173"/>
      <c r="ERL153" s="173"/>
      <c r="ERM153" s="125"/>
      <c r="ERN153" s="125"/>
      <c r="ERO153" s="134"/>
      <c r="ERP153" s="135"/>
      <c r="ERQ153" s="135"/>
      <c r="ERR153" s="135"/>
      <c r="ERS153" s="135"/>
      <c r="ERT153" s="173"/>
      <c r="ERU153" s="173"/>
      <c r="ERV153" s="173"/>
      <c r="ERW153" s="173"/>
      <c r="ERX153" s="173"/>
      <c r="ERY153" s="173"/>
      <c r="ERZ153" s="173"/>
      <c r="ESA153" s="173"/>
      <c r="ESB153" s="173"/>
      <c r="ESC153" s="173"/>
      <c r="ESD153" s="125"/>
      <c r="ESE153" s="125"/>
      <c r="ESF153" s="134"/>
      <c r="ESG153" s="135"/>
      <c r="ESH153" s="135"/>
      <c r="ESI153" s="135"/>
      <c r="ESJ153" s="135"/>
      <c r="ESK153" s="173"/>
      <c r="ESL153" s="173"/>
      <c r="ESM153" s="173"/>
      <c r="ESN153" s="173"/>
      <c r="ESO153" s="173"/>
      <c r="ESP153" s="173"/>
      <c r="ESQ153" s="173"/>
      <c r="ESR153" s="173"/>
      <c r="ESS153" s="173"/>
      <c r="EST153" s="173"/>
      <c r="ESU153" s="125"/>
      <c r="ESV153" s="125"/>
      <c r="ESW153" s="134"/>
      <c r="ESX153" s="135"/>
      <c r="ESY153" s="135"/>
      <c r="ESZ153" s="135"/>
      <c r="ETA153" s="135"/>
      <c r="ETB153" s="173"/>
      <c r="ETC153" s="173"/>
      <c r="ETD153" s="173"/>
      <c r="ETE153" s="173"/>
      <c r="ETF153" s="173"/>
      <c r="ETG153" s="173"/>
      <c r="ETH153" s="173"/>
      <c r="ETI153" s="173"/>
      <c r="ETJ153" s="173"/>
      <c r="ETK153" s="173"/>
      <c r="ETL153" s="125"/>
      <c r="ETM153" s="125"/>
      <c r="ETN153" s="134"/>
      <c r="ETO153" s="135"/>
      <c r="ETP153" s="135"/>
      <c r="ETQ153" s="135"/>
      <c r="ETR153" s="135"/>
      <c r="ETS153" s="173"/>
      <c r="ETT153" s="173"/>
      <c r="ETU153" s="173"/>
      <c r="ETV153" s="173"/>
      <c r="ETW153" s="173"/>
      <c r="ETX153" s="173"/>
      <c r="ETY153" s="173"/>
      <c r="ETZ153" s="173"/>
      <c r="EUA153" s="173"/>
      <c r="EUB153" s="173"/>
      <c r="EUC153" s="125"/>
      <c r="EUD153" s="125"/>
      <c r="EUE153" s="134"/>
      <c r="EUF153" s="135"/>
      <c r="EUG153" s="135"/>
      <c r="EUH153" s="135"/>
      <c r="EUI153" s="135"/>
      <c r="EUJ153" s="173"/>
      <c r="EUK153" s="173"/>
      <c r="EUL153" s="173"/>
      <c r="EUM153" s="173"/>
      <c r="EUN153" s="173"/>
      <c r="EUO153" s="173"/>
      <c r="EUP153" s="173"/>
      <c r="EUQ153" s="173"/>
      <c r="EUR153" s="173"/>
      <c r="EUS153" s="173"/>
      <c r="EUT153" s="125"/>
      <c r="EUU153" s="125"/>
      <c r="EUV153" s="134"/>
      <c r="EUW153" s="135"/>
      <c r="EUX153" s="135"/>
      <c r="EUY153" s="135"/>
      <c r="EUZ153" s="135"/>
      <c r="EVA153" s="173"/>
      <c r="EVB153" s="173"/>
      <c r="EVC153" s="173"/>
      <c r="EVD153" s="173"/>
      <c r="EVE153" s="173"/>
      <c r="EVF153" s="173"/>
      <c r="EVG153" s="173"/>
      <c r="EVH153" s="173"/>
      <c r="EVI153" s="173"/>
      <c r="EVJ153" s="173"/>
      <c r="EVK153" s="125"/>
      <c r="EVL153" s="125"/>
      <c r="EVM153" s="134"/>
      <c r="EVN153" s="135"/>
      <c r="EVO153" s="135"/>
      <c r="EVP153" s="135"/>
      <c r="EVQ153" s="135"/>
      <c r="EVR153" s="173"/>
      <c r="EVS153" s="173"/>
      <c r="EVT153" s="173"/>
      <c r="EVU153" s="173"/>
      <c r="EVV153" s="173"/>
      <c r="EVW153" s="173"/>
      <c r="EVX153" s="173"/>
      <c r="EVY153" s="173"/>
      <c r="EVZ153" s="173"/>
      <c r="EWA153" s="173"/>
      <c r="EWB153" s="125"/>
      <c r="EWC153" s="125"/>
      <c r="EWD153" s="134"/>
      <c r="EWE153" s="135"/>
      <c r="EWF153" s="135"/>
      <c r="EWG153" s="135"/>
      <c r="EWH153" s="135"/>
      <c r="EWI153" s="173"/>
      <c r="EWJ153" s="173"/>
      <c r="EWK153" s="173"/>
      <c r="EWL153" s="173"/>
      <c r="EWM153" s="173"/>
      <c r="EWN153" s="173"/>
      <c r="EWO153" s="173"/>
      <c r="EWP153" s="173"/>
      <c r="EWQ153" s="173"/>
      <c r="EWR153" s="173"/>
      <c r="EWS153" s="125"/>
      <c r="EWT153" s="125"/>
      <c r="EWU153" s="134"/>
      <c r="EWV153" s="135"/>
      <c r="EWW153" s="135"/>
      <c r="EWX153" s="135"/>
      <c r="EWY153" s="135"/>
      <c r="EWZ153" s="173"/>
      <c r="EXA153" s="173"/>
      <c r="EXB153" s="173"/>
      <c r="EXC153" s="173"/>
      <c r="EXD153" s="173"/>
      <c r="EXE153" s="173"/>
      <c r="EXF153" s="173"/>
      <c r="EXG153" s="173"/>
      <c r="EXH153" s="173"/>
      <c r="EXI153" s="173"/>
      <c r="EXJ153" s="125"/>
      <c r="EXK153" s="125"/>
      <c r="EXL153" s="134"/>
      <c r="EXM153" s="135"/>
      <c r="EXN153" s="135"/>
      <c r="EXO153" s="135"/>
      <c r="EXP153" s="135"/>
      <c r="EXQ153" s="173"/>
      <c r="EXR153" s="173"/>
      <c r="EXS153" s="173"/>
      <c r="EXT153" s="173"/>
      <c r="EXU153" s="173"/>
      <c r="EXV153" s="173"/>
      <c r="EXW153" s="173"/>
      <c r="EXX153" s="173"/>
      <c r="EXY153" s="173"/>
      <c r="EXZ153" s="173"/>
      <c r="EYA153" s="125"/>
      <c r="EYB153" s="125"/>
      <c r="EYC153" s="134"/>
      <c r="EYD153" s="135"/>
      <c r="EYE153" s="135"/>
      <c r="EYF153" s="135"/>
      <c r="EYG153" s="135"/>
      <c r="EYH153" s="173"/>
      <c r="EYI153" s="173"/>
      <c r="EYJ153" s="173"/>
      <c r="EYK153" s="173"/>
      <c r="EYL153" s="173"/>
      <c r="EYM153" s="173"/>
      <c r="EYN153" s="173"/>
      <c r="EYO153" s="173"/>
      <c r="EYP153" s="173"/>
      <c r="EYQ153" s="173"/>
      <c r="EYR153" s="125"/>
      <c r="EYS153" s="125"/>
      <c r="EYT153" s="134"/>
      <c r="EYU153" s="135"/>
      <c r="EYV153" s="135"/>
      <c r="EYW153" s="135"/>
      <c r="EYX153" s="135"/>
      <c r="EYY153" s="173"/>
      <c r="EYZ153" s="173"/>
      <c r="EZA153" s="173"/>
      <c r="EZB153" s="173"/>
      <c r="EZC153" s="173"/>
      <c r="EZD153" s="173"/>
      <c r="EZE153" s="173"/>
      <c r="EZF153" s="173"/>
      <c r="EZG153" s="173"/>
      <c r="EZH153" s="173"/>
      <c r="EZI153" s="125"/>
      <c r="EZJ153" s="125"/>
      <c r="EZK153" s="134"/>
      <c r="EZL153" s="135"/>
      <c r="EZM153" s="135"/>
      <c r="EZN153" s="135"/>
      <c r="EZO153" s="135"/>
      <c r="EZP153" s="173"/>
      <c r="EZQ153" s="173"/>
      <c r="EZR153" s="173"/>
      <c r="EZS153" s="173"/>
      <c r="EZT153" s="173"/>
      <c r="EZU153" s="173"/>
      <c r="EZV153" s="173"/>
      <c r="EZW153" s="173"/>
      <c r="EZX153" s="173"/>
      <c r="EZY153" s="173"/>
      <c r="EZZ153" s="125"/>
      <c r="FAA153" s="125"/>
      <c r="FAB153" s="134"/>
      <c r="FAC153" s="135"/>
      <c r="FAD153" s="135"/>
      <c r="FAE153" s="135"/>
      <c r="FAF153" s="135"/>
      <c r="FAG153" s="173"/>
      <c r="FAH153" s="173"/>
      <c r="FAI153" s="173"/>
      <c r="FAJ153" s="173"/>
      <c r="FAK153" s="173"/>
      <c r="FAL153" s="173"/>
      <c r="FAM153" s="173"/>
      <c r="FAN153" s="173"/>
      <c r="FAO153" s="173"/>
      <c r="FAP153" s="173"/>
      <c r="FAQ153" s="125"/>
      <c r="FAR153" s="125"/>
      <c r="FAS153" s="134"/>
      <c r="FAT153" s="135"/>
      <c r="FAU153" s="135"/>
      <c r="FAV153" s="135"/>
      <c r="FAW153" s="135"/>
      <c r="FAX153" s="173"/>
      <c r="FAY153" s="173"/>
      <c r="FAZ153" s="173"/>
      <c r="FBA153" s="173"/>
      <c r="FBB153" s="173"/>
      <c r="FBC153" s="173"/>
      <c r="FBD153" s="173"/>
      <c r="FBE153" s="173"/>
      <c r="FBF153" s="173"/>
      <c r="FBG153" s="173"/>
      <c r="FBH153" s="125"/>
      <c r="FBI153" s="125"/>
      <c r="FBJ153" s="134"/>
      <c r="FBK153" s="135"/>
      <c r="FBL153" s="135"/>
      <c r="FBM153" s="135"/>
      <c r="FBN153" s="135"/>
      <c r="FBO153" s="173"/>
      <c r="FBP153" s="173"/>
      <c r="FBQ153" s="173"/>
      <c r="FBR153" s="173"/>
      <c r="FBS153" s="173"/>
      <c r="FBT153" s="173"/>
      <c r="FBU153" s="173"/>
      <c r="FBV153" s="173"/>
      <c r="FBW153" s="173"/>
      <c r="FBX153" s="173"/>
      <c r="FBY153" s="125"/>
      <c r="FBZ153" s="125"/>
      <c r="FCA153" s="134"/>
      <c r="FCB153" s="135"/>
      <c r="FCC153" s="135"/>
      <c r="FCD153" s="135"/>
      <c r="FCE153" s="135"/>
      <c r="FCF153" s="173"/>
      <c r="FCG153" s="173"/>
      <c r="FCH153" s="173"/>
      <c r="FCI153" s="173"/>
      <c r="FCJ153" s="173"/>
      <c r="FCK153" s="173"/>
      <c r="FCL153" s="173"/>
      <c r="FCM153" s="173"/>
      <c r="FCN153" s="173"/>
      <c r="FCO153" s="173"/>
      <c r="FCP153" s="125"/>
      <c r="FCQ153" s="125"/>
      <c r="FCR153" s="134"/>
      <c r="FCS153" s="135"/>
      <c r="FCT153" s="135"/>
      <c r="FCU153" s="135"/>
      <c r="FCV153" s="135"/>
      <c r="FCW153" s="173"/>
      <c r="FCX153" s="173"/>
      <c r="FCY153" s="173"/>
      <c r="FCZ153" s="173"/>
      <c r="FDA153" s="173"/>
      <c r="FDB153" s="173"/>
      <c r="FDC153" s="173"/>
      <c r="FDD153" s="173"/>
      <c r="FDE153" s="173"/>
      <c r="FDF153" s="173"/>
      <c r="FDG153" s="125"/>
      <c r="FDH153" s="125"/>
      <c r="FDI153" s="134"/>
      <c r="FDJ153" s="135"/>
      <c r="FDK153" s="135"/>
      <c r="FDL153" s="135"/>
      <c r="FDM153" s="135"/>
      <c r="FDN153" s="173"/>
      <c r="FDO153" s="173"/>
      <c r="FDP153" s="173"/>
      <c r="FDQ153" s="173"/>
      <c r="FDR153" s="173"/>
      <c r="FDS153" s="173"/>
      <c r="FDT153" s="173"/>
      <c r="FDU153" s="173"/>
      <c r="FDV153" s="173"/>
      <c r="FDW153" s="173"/>
      <c r="FDX153" s="125"/>
      <c r="FDY153" s="125"/>
      <c r="FDZ153" s="134"/>
      <c r="FEA153" s="135"/>
      <c r="FEB153" s="135"/>
      <c r="FEC153" s="135"/>
      <c r="FED153" s="135"/>
      <c r="FEE153" s="173"/>
      <c r="FEF153" s="173"/>
      <c r="FEG153" s="173"/>
      <c r="FEH153" s="173"/>
      <c r="FEI153" s="173"/>
      <c r="FEJ153" s="173"/>
      <c r="FEK153" s="173"/>
      <c r="FEL153" s="173"/>
      <c r="FEM153" s="173"/>
      <c r="FEN153" s="173"/>
      <c r="FEO153" s="125"/>
      <c r="FEP153" s="125"/>
      <c r="FEQ153" s="134"/>
      <c r="FER153" s="135"/>
      <c r="FES153" s="135"/>
      <c r="FET153" s="135"/>
      <c r="FEU153" s="135"/>
      <c r="FEV153" s="173"/>
      <c r="FEW153" s="173"/>
      <c r="FEX153" s="173"/>
      <c r="FEY153" s="173"/>
      <c r="FEZ153" s="173"/>
      <c r="FFA153" s="173"/>
      <c r="FFB153" s="173"/>
      <c r="FFC153" s="173"/>
      <c r="FFD153" s="173"/>
      <c r="FFE153" s="173"/>
      <c r="FFF153" s="125"/>
      <c r="FFG153" s="125"/>
      <c r="FFH153" s="134"/>
      <c r="FFI153" s="135"/>
      <c r="FFJ153" s="135"/>
      <c r="FFK153" s="135"/>
      <c r="FFL153" s="135"/>
      <c r="FFM153" s="173"/>
      <c r="FFN153" s="173"/>
      <c r="FFO153" s="173"/>
      <c r="FFP153" s="173"/>
      <c r="FFQ153" s="173"/>
      <c r="FFR153" s="173"/>
      <c r="FFS153" s="173"/>
      <c r="FFT153" s="173"/>
      <c r="FFU153" s="173"/>
      <c r="FFV153" s="173"/>
      <c r="FFW153" s="125"/>
      <c r="FFX153" s="125"/>
      <c r="FFY153" s="134"/>
      <c r="FFZ153" s="135"/>
      <c r="FGA153" s="135"/>
      <c r="FGB153" s="135"/>
      <c r="FGC153" s="135"/>
      <c r="FGD153" s="173"/>
      <c r="FGE153" s="173"/>
      <c r="FGF153" s="173"/>
      <c r="FGG153" s="173"/>
      <c r="FGH153" s="173"/>
      <c r="FGI153" s="173"/>
      <c r="FGJ153" s="173"/>
      <c r="FGK153" s="173"/>
      <c r="FGL153" s="173"/>
      <c r="FGM153" s="173"/>
      <c r="FGN153" s="125"/>
      <c r="FGO153" s="125"/>
      <c r="FGP153" s="134"/>
      <c r="FGQ153" s="135"/>
      <c r="FGR153" s="135"/>
      <c r="FGS153" s="135"/>
      <c r="FGT153" s="135"/>
      <c r="FGU153" s="173"/>
      <c r="FGV153" s="173"/>
      <c r="FGW153" s="173"/>
      <c r="FGX153" s="173"/>
      <c r="FGY153" s="173"/>
      <c r="FGZ153" s="173"/>
      <c r="FHA153" s="173"/>
      <c r="FHB153" s="173"/>
      <c r="FHC153" s="173"/>
      <c r="FHD153" s="173"/>
      <c r="FHE153" s="125"/>
      <c r="FHF153" s="125"/>
      <c r="FHG153" s="134"/>
      <c r="FHH153" s="135"/>
      <c r="FHI153" s="135"/>
      <c r="FHJ153" s="135"/>
      <c r="FHK153" s="135"/>
      <c r="FHL153" s="173"/>
      <c r="FHM153" s="173"/>
      <c r="FHN153" s="173"/>
      <c r="FHO153" s="173"/>
      <c r="FHP153" s="173"/>
      <c r="FHQ153" s="173"/>
      <c r="FHR153" s="173"/>
      <c r="FHS153" s="173"/>
      <c r="FHT153" s="173"/>
      <c r="FHU153" s="173"/>
      <c r="FHV153" s="125"/>
      <c r="FHW153" s="125"/>
      <c r="FHX153" s="134"/>
      <c r="FHY153" s="135"/>
      <c r="FHZ153" s="135"/>
      <c r="FIA153" s="135"/>
      <c r="FIB153" s="135"/>
      <c r="FIC153" s="173"/>
      <c r="FID153" s="173"/>
      <c r="FIE153" s="173"/>
      <c r="FIF153" s="173"/>
      <c r="FIG153" s="173"/>
      <c r="FIH153" s="173"/>
      <c r="FII153" s="173"/>
      <c r="FIJ153" s="173"/>
      <c r="FIK153" s="173"/>
      <c r="FIL153" s="173"/>
      <c r="FIM153" s="125"/>
      <c r="FIN153" s="125"/>
      <c r="FIO153" s="134"/>
      <c r="FIP153" s="135"/>
      <c r="FIQ153" s="135"/>
      <c r="FIR153" s="135"/>
      <c r="FIS153" s="135"/>
      <c r="FIT153" s="173"/>
      <c r="FIU153" s="173"/>
      <c r="FIV153" s="173"/>
      <c r="FIW153" s="173"/>
      <c r="FIX153" s="173"/>
      <c r="FIY153" s="173"/>
      <c r="FIZ153" s="173"/>
      <c r="FJA153" s="173"/>
      <c r="FJB153" s="173"/>
      <c r="FJC153" s="173"/>
      <c r="FJD153" s="125"/>
      <c r="FJE153" s="125"/>
      <c r="FJF153" s="134"/>
      <c r="FJG153" s="135"/>
      <c r="FJH153" s="135"/>
      <c r="FJI153" s="135"/>
      <c r="FJJ153" s="135"/>
      <c r="FJK153" s="173"/>
      <c r="FJL153" s="173"/>
      <c r="FJM153" s="173"/>
      <c r="FJN153" s="173"/>
      <c r="FJO153" s="173"/>
      <c r="FJP153" s="173"/>
      <c r="FJQ153" s="173"/>
      <c r="FJR153" s="173"/>
      <c r="FJS153" s="173"/>
      <c r="FJT153" s="173"/>
      <c r="FJU153" s="125"/>
      <c r="FJV153" s="125"/>
      <c r="FJW153" s="134"/>
      <c r="FJX153" s="135"/>
      <c r="FJY153" s="135"/>
      <c r="FJZ153" s="135"/>
      <c r="FKA153" s="135"/>
      <c r="FKB153" s="173"/>
      <c r="FKC153" s="173"/>
      <c r="FKD153" s="173"/>
      <c r="FKE153" s="173"/>
      <c r="FKF153" s="173"/>
      <c r="FKG153" s="173"/>
      <c r="FKH153" s="173"/>
      <c r="FKI153" s="173"/>
      <c r="FKJ153" s="173"/>
      <c r="FKK153" s="173"/>
      <c r="FKL153" s="125"/>
      <c r="FKM153" s="125"/>
      <c r="FKN153" s="134"/>
      <c r="FKO153" s="135"/>
      <c r="FKP153" s="135"/>
      <c r="FKQ153" s="135"/>
      <c r="FKR153" s="135"/>
      <c r="FKS153" s="173"/>
      <c r="FKT153" s="173"/>
      <c r="FKU153" s="173"/>
      <c r="FKV153" s="173"/>
      <c r="FKW153" s="173"/>
      <c r="FKX153" s="173"/>
      <c r="FKY153" s="173"/>
      <c r="FKZ153" s="173"/>
      <c r="FLA153" s="173"/>
      <c r="FLB153" s="173"/>
      <c r="FLC153" s="125"/>
      <c r="FLD153" s="125"/>
      <c r="FLE153" s="134"/>
      <c r="FLF153" s="135"/>
      <c r="FLG153" s="135"/>
      <c r="FLH153" s="135"/>
      <c r="FLI153" s="135"/>
      <c r="FLJ153" s="173"/>
      <c r="FLK153" s="173"/>
      <c r="FLL153" s="173"/>
      <c r="FLM153" s="173"/>
      <c r="FLN153" s="173"/>
      <c r="FLO153" s="173"/>
      <c r="FLP153" s="173"/>
      <c r="FLQ153" s="173"/>
      <c r="FLR153" s="173"/>
      <c r="FLS153" s="173"/>
      <c r="FLT153" s="125"/>
      <c r="FLU153" s="125"/>
      <c r="FLV153" s="134"/>
      <c r="FLW153" s="135"/>
      <c r="FLX153" s="135"/>
      <c r="FLY153" s="135"/>
      <c r="FLZ153" s="135"/>
      <c r="FMA153" s="173"/>
      <c r="FMB153" s="173"/>
      <c r="FMC153" s="173"/>
      <c r="FMD153" s="173"/>
      <c r="FME153" s="173"/>
      <c r="FMF153" s="173"/>
      <c r="FMG153" s="173"/>
      <c r="FMH153" s="173"/>
      <c r="FMI153" s="173"/>
      <c r="FMJ153" s="173"/>
      <c r="FMK153" s="125"/>
      <c r="FML153" s="125"/>
      <c r="FMM153" s="134"/>
      <c r="FMN153" s="135"/>
      <c r="FMO153" s="135"/>
      <c r="FMP153" s="135"/>
      <c r="FMQ153" s="135"/>
      <c r="FMR153" s="173"/>
      <c r="FMS153" s="173"/>
      <c r="FMT153" s="173"/>
      <c r="FMU153" s="173"/>
      <c r="FMV153" s="173"/>
      <c r="FMW153" s="173"/>
      <c r="FMX153" s="173"/>
      <c r="FMY153" s="173"/>
      <c r="FMZ153" s="173"/>
      <c r="FNA153" s="173"/>
      <c r="FNB153" s="125"/>
      <c r="FNC153" s="125"/>
      <c r="FND153" s="134"/>
      <c r="FNE153" s="135"/>
      <c r="FNF153" s="135"/>
      <c r="FNG153" s="135"/>
      <c r="FNH153" s="135"/>
      <c r="FNI153" s="173"/>
      <c r="FNJ153" s="173"/>
      <c r="FNK153" s="173"/>
      <c r="FNL153" s="173"/>
      <c r="FNM153" s="173"/>
      <c r="FNN153" s="173"/>
      <c r="FNO153" s="173"/>
      <c r="FNP153" s="173"/>
      <c r="FNQ153" s="173"/>
      <c r="FNR153" s="173"/>
      <c r="FNS153" s="125"/>
      <c r="FNT153" s="125"/>
      <c r="FNU153" s="134"/>
      <c r="FNV153" s="135"/>
      <c r="FNW153" s="135"/>
      <c r="FNX153" s="135"/>
      <c r="FNY153" s="135"/>
      <c r="FNZ153" s="173"/>
      <c r="FOA153" s="173"/>
      <c r="FOB153" s="173"/>
      <c r="FOC153" s="173"/>
      <c r="FOD153" s="173"/>
      <c r="FOE153" s="173"/>
      <c r="FOF153" s="173"/>
      <c r="FOG153" s="173"/>
      <c r="FOH153" s="173"/>
      <c r="FOI153" s="173"/>
      <c r="FOJ153" s="125"/>
      <c r="FOK153" s="125"/>
      <c r="FOL153" s="134"/>
      <c r="FOM153" s="135"/>
      <c r="FON153" s="135"/>
      <c r="FOO153" s="135"/>
      <c r="FOP153" s="135"/>
      <c r="FOQ153" s="173"/>
      <c r="FOR153" s="173"/>
      <c r="FOS153" s="173"/>
      <c r="FOT153" s="173"/>
      <c r="FOU153" s="173"/>
      <c r="FOV153" s="173"/>
      <c r="FOW153" s="173"/>
      <c r="FOX153" s="173"/>
      <c r="FOY153" s="173"/>
      <c r="FOZ153" s="173"/>
      <c r="FPA153" s="125"/>
      <c r="FPB153" s="125"/>
      <c r="FPC153" s="134"/>
      <c r="FPD153" s="135"/>
      <c r="FPE153" s="135"/>
      <c r="FPF153" s="135"/>
      <c r="FPG153" s="135"/>
      <c r="FPH153" s="173"/>
      <c r="FPI153" s="173"/>
      <c r="FPJ153" s="173"/>
      <c r="FPK153" s="173"/>
      <c r="FPL153" s="173"/>
      <c r="FPM153" s="173"/>
      <c r="FPN153" s="173"/>
      <c r="FPO153" s="173"/>
      <c r="FPP153" s="173"/>
      <c r="FPQ153" s="173"/>
      <c r="FPR153" s="125"/>
      <c r="FPS153" s="125"/>
      <c r="FPT153" s="134"/>
      <c r="FPU153" s="135"/>
      <c r="FPV153" s="135"/>
      <c r="FPW153" s="135"/>
      <c r="FPX153" s="135"/>
      <c r="FPY153" s="173"/>
      <c r="FPZ153" s="173"/>
      <c r="FQA153" s="173"/>
      <c r="FQB153" s="173"/>
      <c r="FQC153" s="173"/>
      <c r="FQD153" s="173"/>
      <c r="FQE153" s="173"/>
      <c r="FQF153" s="173"/>
      <c r="FQG153" s="173"/>
      <c r="FQH153" s="173"/>
      <c r="FQI153" s="125"/>
      <c r="FQJ153" s="125"/>
      <c r="FQK153" s="134"/>
      <c r="FQL153" s="135"/>
      <c r="FQM153" s="135"/>
      <c r="FQN153" s="135"/>
      <c r="FQO153" s="135"/>
      <c r="FQP153" s="173"/>
      <c r="FQQ153" s="173"/>
      <c r="FQR153" s="173"/>
      <c r="FQS153" s="173"/>
      <c r="FQT153" s="173"/>
      <c r="FQU153" s="173"/>
      <c r="FQV153" s="173"/>
      <c r="FQW153" s="173"/>
      <c r="FQX153" s="173"/>
      <c r="FQY153" s="173"/>
      <c r="FQZ153" s="125"/>
      <c r="FRA153" s="125"/>
      <c r="FRB153" s="134"/>
      <c r="FRC153" s="135"/>
      <c r="FRD153" s="135"/>
      <c r="FRE153" s="135"/>
      <c r="FRF153" s="135"/>
      <c r="FRG153" s="173"/>
      <c r="FRH153" s="173"/>
      <c r="FRI153" s="173"/>
      <c r="FRJ153" s="173"/>
      <c r="FRK153" s="173"/>
      <c r="FRL153" s="173"/>
      <c r="FRM153" s="173"/>
      <c r="FRN153" s="173"/>
      <c r="FRO153" s="173"/>
      <c r="FRP153" s="173"/>
      <c r="FRQ153" s="125"/>
      <c r="FRR153" s="125"/>
      <c r="FRS153" s="134"/>
      <c r="FRT153" s="135"/>
      <c r="FRU153" s="135"/>
      <c r="FRV153" s="135"/>
      <c r="FRW153" s="135"/>
      <c r="FRX153" s="173"/>
      <c r="FRY153" s="173"/>
      <c r="FRZ153" s="173"/>
      <c r="FSA153" s="173"/>
      <c r="FSB153" s="173"/>
      <c r="FSC153" s="173"/>
      <c r="FSD153" s="173"/>
      <c r="FSE153" s="173"/>
      <c r="FSF153" s="173"/>
      <c r="FSG153" s="173"/>
      <c r="FSH153" s="125"/>
      <c r="FSI153" s="125"/>
      <c r="FSJ153" s="134"/>
      <c r="FSK153" s="135"/>
      <c r="FSL153" s="135"/>
      <c r="FSM153" s="135"/>
      <c r="FSN153" s="135"/>
      <c r="FSO153" s="173"/>
      <c r="FSP153" s="173"/>
      <c r="FSQ153" s="173"/>
      <c r="FSR153" s="173"/>
      <c r="FSS153" s="173"/>
      <c r="FST153" s="173"/>
      <c r="FSU153" s="173"/>
      <c r="FSV153" s="173"/>
      <c r="FSW153" s="173"/>
      <c r="FSX153" s="173"/>
      <c r="FSY153" s="125"/>
      <c r="FSZ153" s="125"/>
      <c r="FTA153" s="134"/>
      <c r="FTB153" s="135"/>
      <c r="FTC153" s="135"/>
      <c r="FTD153" s="135"/>
      <c r="FTE153" s="135"/>
      <c r="FTF153" s="173"/>
      <c r="FTG153" s="173"/>
      <c r="FTH153" s="173"/>
      <c r="FTI153" s="173"/>
      <c r="FTJ153" s="173"/>
      <c r="FTK153" s="173"/>
      <c r="FTL153" s="173"/>
      <c r="FTM153" s="173"/>
      <c r="FTN153" s="173"/>
      <c r="FTO153" s="173"/>
      <c r="FTP153" s="125"/>
      <c r="FTQ153" s="125"/>
      <c r="FTR153" s="134"/>
      <c r="FTS153" s="135"/>
      <c r="FTT153" s="135"/>
      <c r="FTU153" s="135"/>
      <c r="FTV153" s="135"/>
      <c r="FTW153" s="173"/>
      <c r="FTX153" s="173"/>
      <c r="FTY153" s="173"/>
      <c r="FTZ153" s="173"/>
      <c r="FUA153" s="173"/>
      <c r="FUB153" s="173"/>
      <c r="FUC153" s="173"/>
      <c r="FUD153" s="173"/>
      <c r="FUE153" s="173"/>
      <c r="FUF153" s="173"/>
      <c r="FUG153" s="125"/>
      <c r="FUH153" s="125"/>
      <c r="FUI153" s="134"/>
      <c r="FUJ153" s="135"/>
      <c r="FUK153" s="135"/>
      <c r="FUL153" s="135"/>
      <c r="FUM153" s="135"/>
      <c r="FUN153" s="173"/>
      <c r="FUO153" s="173"/>
      <c r="FUP153" s="173"/>
      <c r="FUQ153" s="173"/>
      <c r="FUR153" s="173"/>
      <c r="FUS153" s="173"/>
      <c r="FUT153" s="173"/>
      <c r="FUU153" s="173"/>
      <c r="FUV153" s="173"/>
      <c r="FUW153" s="173"/>
      <c r="FUX153" s="125"/>
      <c r="FUY153" s="125"/>
      <c r="FUZ153" s="134"/>
      <c r="FVA153" s="135"/>
      <c r="FVB153" s="135"/>
      <c r="FVC153" s="135"/>
      <c r="FVD153" s="135"/>
      <c r="FVE153" s="173"/>
      <c r="FVF153" s="173"/>
      <c r="FVG153" s="173"/>
      <c r="FVH153" s="173"/>
      <c r="FVI153" s="173"/>
      <c r="FVJ153" s="173"/>
      <c r="FVK153" s="173"/>
      <c r="FVL153" s="173"/>
      <c r="FVM153" s="173"/>
      <c r="FVN153" s="173"/>
      <c r="FVO153" s="125"/>
      <c r="FVP153" s="125"/>
      <c r="FVQ153" s="134"/>
      <c r="FVR153" s="135"/>
      <c r="FVS153" s="135"/>
      <c r="FVT153" s="135"/>
      <c r="FVU153" s="135"/>
      <c r="FVV153" s="173"/>
      <c r="FVW153" s="173"/>
      <c r="FVX153" s="173"/>
      <c r="FVY153" s="173"/>
      <c r="FVZ153" s="173"/>
      <c r="FWA153" s="173"/>
      <c r="FWB153" s="173"/>
      <c r="FWC153" s="173"/>
      <c r="FWD153" s="173"/>
      <c r="FWE153" s="173"/>
      <c r="FWF153" s="125"/>
      <c r="FWG153" s="125"/>
      <c r="FWH153" s="134"/>
      <c r="FWI153" s="135"/>
      <c r="FWJ153" s="135"/>
      <c r="FWK153" s="135"/>
      <c r="FWL153" s="135"/>
      <c r="FWM153" s="173"/>
      <c r="FWN153" s="173"/>
      <c r="FWO153" s="173"/>
      <c r="FWP153" s="173"/>
      <c r="FWQ153" s="173"/>
      <c r="FWR153" s="173"/>
      <c r="FWS153" s="173"/>
      <c r="FWT153" s="173"/>
      <c r="FWU153" s="173"/>
      <c r="FWV153" s="173"/>
      <c r="FWW153" s="125"/>
      <c r="FWX153" s="125"/>
      <c r="FWY153" s="134"/>
      <c r="FWZ153" s="135"/>
      <c r="FXA153" s="135"/>
      <c r="FXB153" s="135"/>
      <c r="FXC153" s="135"/>
      <c r="FXD153" s="173"/>
      <c r="FXE153" s="173"/>
      <c r="FXF153" s="173"/>
      <c r="FXG153" s="173"/>
      <c r="FXH153" s="173"/>
      <c r="FXI153" s="173"/>
      <c r="FXJ153" s="173"/>
      <c r="FXK153" s="173"/>
      <c r="FXL153" s="173"/>
      <c r="FXM153" s="173"/>
      <c r="FXN153" s="125"/>
      <c r="FXO153" s="125"/>
      <c r="FXP153" s="134"/>
      <c r="FXQ153" s="135"/>
      <c r="FXR153" s="135"/>
      <c r="FXS153" s="135"/>
      <c r="FXT153" s="135"/>
      <c r="FXU153" s="173"/>
      <c r="FXV153" s="173"/>
      <c r="FXW153" s="173"/>
      <c r="FXX153" s="173"/>
      <c r="FXY153" s="173"/>
      <c r="FXZ153" s="173"/>
      <c r="FYA153" s="173"/>
      <c r="FYB153" s="173"/>
      <c r="FYC153" s="173"/>
      <c r="FYD153" s="173"/>
      <c r="FYE153" s="125"/>
      <c r="FYF153" s="125"/>
      <c r="FYG153" s="134"/>
      <c r="FYH153" s="135"/>
      <c r="FYI153" s="135"/>
      <c r="FYJ153" s="135"/>
      <c r="FYK153" s="135"/>
      <c r="FYL153" s="173"/>
      <c r="FYM153" s="173"/>
      <c r="FYN153" s="173"/>
      <c r="FYO153" s="173"/>
      <c r="FYP153" s="173"/>
      <c r="FYQ153" s="173"/>
      <c r="FYR153" s="173"/>
      <c r="FYS153" s="173"/>
      <c r="FYT153" s="173"/>
      <c r="FYU153" s="173"/>
      <c r="FYV153" s="125"/>
      <c r="FYW153" s="125"/>
      <c r="FYX153" s="134"/>
      <c r="FYY153" s="135"/>
      <c r="FYZ153" s="135"/>
      <c r="FZA153" s="135"/>
      <c r="FZB153" s="135"/>
      <c r="FZC153" s="173"/>
      <c r="FZD153" s="173"/>
      <c r="FZE153" s="173"/>
      <c r="FZF153" s="173"/>
      <c r="FZG153" s="173"/>
      <c r="FZH153" s="173"/>
      <c r="FZI153" s="173"/>
      <c r="FZJ153" s="173"/>
      <c r="FZK153" s="173"/>
      <c r="FZL153" s="173"/>
      <c r="FZM153" s="125"/>
      <c r="FZN153" s="125"/>
      <c r="FZO153" s="134"/>
      <c r="FZP153" s="135"/>
      <c r="FZQ153" s="135"/>
      <c r="FZR153" s="135"/>
      <c r="FZS153" s="135"/>
      <c r="FZT153" s="173"/>
      <c r="FZU153" s="173"/>
      <c r="FZV153" s="173"/>
      <c r="FZW153" s="173"/>
      <c r="FZX153" s="173"/>
      <c r="FZY153" s="173"/>
      <c r="FZZ153" s="173"/>
      <c r="GAA153" s="173"/>
      <c r="GAB153" s="173"/>
      <c r="GAC153" s="173"/>
      <c r="GAD153" s="125"/>
      <c r="GAE153" s="125"/>
      <c r="GAF153" s="134"/>
      <c r="GAG153" s="135"/>
      <c r="GAH153" s="135"/>
      <c r="GAI153" s="135"/>
      <c r="GAJ153" s="135"/>
      <c r="GAK153" s="173"/>
      <c r="GAL153" s="173"/>
      <c r="GAM153" s="173"/>
      <c r="GAN153" s="173"/>
      <c r="GAO153" s="173"/>
      <c r="GAP153" s="173"/>
      <c r="GAQ153" s="173"/>
      <c r="GAR153" s="173"/>
      <c r="GAS153" s="173"/>
      <c r="GAT153" s="173"/>
      <c r="GAU153" s="125"/>
      <c r="GAV153" s="125"/>
      <c r="GAW153" s="134"/>
      <c r="GAX153" s="135"/>
      <c r="GAY153" s="135"/>
      <c r="GAZ153" s="135"/>
      <c r="GBA153" s="135"/>
      <c r="GBB153" s="173"/>
      <c r="GBC153" s="173"/>
      <c r="GBD153" s="173"/>
      <c r="GBE153" s="173"/>
      <c r="GBF153" s="173"/>
      <c r="GBG153" s="173"/>
      <c r="GBH153" s="173"/>
      <c r="GBI153" s="173"/>
      <c r="GBJ153" s="173"/>
      <c r="GBK153" s="173"/>
      <c r="GBL153" s="125"/>
      <c r="GBM153" s="125"/>
      <c r="GBN153" s="134"/>
      <c r="GBO153" s="135"/>
      <c r="GBP153" s="135"/>
      <c r="GBQ153" s="135"/>
      <c r="GBR153" s="135"/>
      <c r="GBS153" s="173"/>
      <c r="GBT153" s="173"/>
      <c r="GBU153" s="173"/>
      <c r="GBV153" s="173"/>
      <c r="GBW153" s="173"/>
      <c r="GBX153" s="173"/>
      <c r="GBY153" s="173"/>
      <c r="GBZ153" s="173"/>
      <c r="GCA153" s="173"/>
      <c r="GCB153" s="173"/>
      <c r="GCC153" s="125"/>
      <c r="GCD153" s="125"/>
      <c r="GCE153" s="134"/>
      <c r="GCF153" s="135"/>
      <c r="GCG153" s="135"/>
      <c r="GCH153" s="135"/>
      <c r="GCI153" s="135"/>
      <c r="GCJ153" s="173"/>
      <c r="GCK153" s="173"/>
      <c r="GCL153" s="173"/>
      <c r="GCM153" s="173"/>
      <c r="GCN153" s="173"/>
      <c r="GCO153" s="173"/>
      <c r="GCP153" s="173"/>
      <c r="GCQ153" s="173"/>
      <c r="GCR153" s="173"/>
      <c r="GCS153" s="173"/>
      <c r="GCT153" s="125"/>
      <c r="GCU153" s="125"/>
      <c r="GCV153" s="134"/>
      <c r="GCW153" s="135"/>
      <c r="GCX153" s="135"/>
      <c r="GCY153" s="135"/>
      <c r="GCZ153" s="135"/>
      <c r="GDA153" s="173"/>
      <c r="GDB153" s="173"/>
      <c r="GDC153" s="173"/>
      <c r="GDD153" s="173"/>
      <c r="GDE153" s="173"/>
      <c r="GDF153" s="173"/>
      <c r="GDG153" s="173"/>
      <c r="GDH153" s="173"/>
      <c r="GDI153" s="173"/>
      <c r="GDJ153" s="173"/>
      <c r="GDK153" s="125"/>
      <c r="GDL153" s="125"/>
      <c r="GDM153" s="134"/>
      <c r="GDN153" s="135"/>
      <c r="GDO153" s="135"/>
      <c r="GDP153" s="135"/>
      <c r="GDQ153" s="135"/>
      <c r="GDR153" s="173"/>
      <c r="GDS153" s="173"/>
      <c r="GDT153" s="173"/>
      <c r="GDU153" s="173"/>
      <c r="GDV153" s="173"/>
      <c r="GDW153" s="173"/>
      <c r="GDX153" s="173"/>
      <c r="GDY153" s="173"/>
      <c r="GDZ153" s="173"/>
      <c r="GEA153" s="173"/>
      <c r="GEB153" s="125"/>
      <c r="GEC153" s="125"/>
      <c r="GED153" s="134"/>
      <c r="GEE153" s="135"/>
      <c r="GEF153" s="135"/>
      <c r="GEG153" s="135"/>
      <c r="GEH153" s="135"/>
      <c r="GEI153" s="173"/>
      <c r="GEJ153" s="173"/>
      <c r="GEK153" s="173"/>
      <c r="GEL153" s="173"/>
      <c r="GEM153" s="173"/>
      <c r="GEN153" s="173"/>
      <c r="GEO153" s="173"/>
      <c r="GEP153" s="173"/>
      <c r="GEQ153" s="173"/>
      <c r="GER153" s="173"/>
      <c r="GES153" s="125"/>
      <c r="GET153" s="125"/>
      <c r="GEU153" s="134"/>
      <c r="GEV153" s="135"/>
      <c r="GEW153" s="135"/>
      <c r="GEX153" s="135"/>
      <c r="GEY153" s="135"/>
      <c r="GEZ153" s="173"/>
      <c r="GFA153" s="173"/>
      <c r="GFB153" s="173"/>
      <c r="GFC153" s="173"/>
      <c r="GFD153" s="173"/>
      <c r="GFE153" s="173"/>
      <c r="GFF153" s="173"/>
      <c r="GFG153" s="173"/>
      <c r="GFH153" s="173"/>
      <c r="GFI153" s="173"/>
      <c r="GFJ153" s="125"/>
      <c r="GFK153" s="125"/>
      <c r="GFL153" s="134"/>
      <c r="GFM153" s="135"/>
      <c r="GFN153" s="135"/>
      <c r="GFO153" s="135"/>
      <c r="GFP153" s="135"/>
      <c r="GFQ153" s="173"/>
      <c r="GFR153" s="173"/>
      <c r="GFS153" s="173"/>
      <c r="GFT153" s="173"/>
      <c r="GFU153" s="173"/>
      <c r="GFV153" s="173"/>
      <c r="GFW153" s="173"/>
      <c r="GFX153" s="173"/>
      <c r="GFY153" s="173"/>
      <c r="GFZ153" s="173"/>
      <c r="GGA153" s="125"/>
      <c r="GGB153" s="125"/>
      <c r="GGC153" s="134"/>
      <c r="GGD153" s="135"/>
      <c r="GGE153" s="135"/>
      <c r="GGF153" s="135"/>
      <c r="GGG153" s="135"/>
      <c r="GGH153" s="173"/>
      <c r="GGI153" s="173"/>
      <c r="GGJ153" s="173"/>
      <c r="GGK153" s="173"/>
      <c r="GGL153" s="173"/>
      <c r="GGM153" s="173"/>
      <c r="GGN153" s="173"/>
      <c r="GGO153" s="173"/>
      <c r="GGP153" s="173"/>
      <c r="GGQ153" s="173"/>
      <c r="GGR153" s="125"/>
      <c r="GGS153" s="125"/>
      <c r="GGT153" s="134"/>
      <c r="GGU153" s="135"/>
      <c r="GGV153" s="135"/>
      <c r="GGW153" s="135"/>
      <c r="GGX153" s="135"/>
      <c r="GGY153" s="173"/>
      <c r="GGZ153" s="173"/>
      <c r="GHA153" s="173"/>
      <c r="GHB153" s="173"/>
      <c r="GHC153" s="173"/>
      <c r="GHD153" s="173"/>
      <c r="GHE153" s="173"/>
      <c r="GHF153" s="173"/>
      <c r="GHG153" s="173"/>
      <c r="GHH153" s="173"/>
      <c r="GHI153" s="125"/>
      <c r="GHJ153" s="125"/>
      <c r="GHK153" s="134"/>
      <c r="GHL153" s="135"/>
      <c r="GHM153" s="135"/>
      <c r="GHN153" s="135"/>
      <c r="GHO153" s="135"/>
      <c r="GHP153" s="173"/>
      <c r="GHQ153" s="173"/>
      <c r="GHR153" s="173"/>
      <c r="GHS153" s="173"/>
      <c r="GHT153" s="173"/>
      <c r="GHU153" s="173"/>
      <c r="GHV153" s="173"/>
      <c r="GHW153" s="173"/>
      <c r="GHX153" s="173"/>
      <c r="GHY153" s="173"/>
      <c r="GHZ153" s="125"/>
      <c r="GIA153" s="125"/>
      <c r="GIB153" s="134"/>
      <c r="GIC153" s="135"/>
      <c r="GID153" s="135"/>
      <c r="GIE153" s="135"/>
      <c r="GIF153" s="135"/>
      <c r="GIG153" s="173"/>
      <c r="GIH153" s="173"/>
      <c r="GII153" s="173"/>
      <c r="GIJ153" s="173"/>
      <c r="GIK153" s="173"/>
      <c r="GIL153" s="173"/>
      <c r="GIM153" s="173"/>
      <c r="GIN153" s="173"/>
      <c r="GIO153" s="173"/>
      <c r="GIP153" s="173"/>
      <c r="GIQ153" s="125"/>
      <c r="GIR153" s="125"/>
      <c r="GIS153" s="134"/>
      <c r="GIT153" s="135"/>
      <c r="GIU153" s="135"/>
      <c r="GIV153" s="135"/>
      <c r="GIW153" s="135"/>
      <c r="GIX153" s="173"/>
      <c r="GIY153" s="173"/>
      <c r="GIZ153" s="173"/>
      <c r="GJA153" s="173"/>
      <c r="GJB153" s="173"/>
      <c r="GJC153" s="173"/>
      <c r="GJD153" s="173"/>
      <c r="GJE153" s="173"/>
      <c r="GJF153" s="173"/>
      <c r="GJG153" s="173"/>
      <c r="GJH153" s="125"/>
      <c r="GJI153" s="125"/>
      <c r="GJJ153" s="134"/>
      <c r="GJK153" s="135"/>
      <c r="GJL153" s="135"/>
      <c r="GJM153" s="135"/>
      <c r="GJN153" s="135"/>
      <c r="GJO153" s="173"/>
      <c r="GJP153" s="173"/>
      <c r="GJQ153" s="173"/>
      <c r="GJR153" s="173"/>
      <c r="GJS153" s="173"/>
      <c r="GJT153" s="173"/>
      <c r="GJU153" s="173"/>
      <c r="GJV153" s="173"/>
      <c r="GJW153" s="173"/>
      <c r="GJX153" s="173"/>
      <c r="GJY153" s="125"/>
      <c r="GJZ153" s="125"/>
      <c r="GKA153" s="134"/>
      <c r="GKB153" s="135"/>
      <c r="GKC153" s="135"/>
      <c r="GKD153" s="135"/>
      <c r="GKE153" s="135"/>
      <c r="GKF153" s="173"/>
      <c r="GKG153" s="173"/>
      <c r="GKH153" s="173"/>
      <c r="GKI153" s="173"/>
      <c r="GKJ153" s="173"/>
      <c r="GKK153" s="173"/>
      <c r="GKL153" s="173"/>
      <c r="GKM153" s="173"/>
      <c r="GKN153" s="173"/>
      <c r="GKO153" s="173"/>
      <c r="GKP153" s="125"/>
      <c r="GKQ153" s="125"/>
      <c r="GKR153" s="134"/>
      <c r="GKS153" s="135"/>
      <c r="GKT153" s="135"/>
      <c r="GKU153" s="135"/>
      <c r="GKV153" s="135"/>
      <c r="GKW153" s="173"/>
      <c r="GKX153" s="173"/>
      <c r="GKY153" s="173"/>
      <c r="GKZ153" s="173"/>
      <c r="GLA153" s="173"/>
      <c r="GLB153" s="173"/>
      <c r="GLC153" s="173"/>
      <c r="GLD153" s="173"/>
      <c r="GLE153" s="173"/>
      <c r="GLF153" s="173"/>
      <c r="GLG153" s="125"/>
      <c r="GLH153" s="125"/>
      <c r="GLI153" s="134"/>
      <c r="GLJ153" s="135"/>
      <c r="GLK153" s="135"/>
      <c r="GLL153" s="135"/>
      <c r="GLM153" s="135"/>
      <c r="GLN153" s="173"/>
      <c r="GLO153" s="173"/>
      <c r="GLP153" s="173"/>
      <c r="GLQ153" s="173"/>
      <c r="GLR153" s="173"/>
      <c r="GLS153" s="173"/>
      <c r="GLT153" s="173"/>
      <c r="GLU153" s="173"/>
      <c r="GLV153" s="173"/>
      <c r="GLW153" s="173"/>
      <c r="GLX153" s="125"/>
      <c r="GLY153" s="125"/>
      <c r="GLZ153" s="134"/>
      <c r="GMA153" s="135"/>
      <c r="GMB153" s="135"/>
      <c r="GMC153" s="135"/>
      <c r="GMD153" s="135"/>
      <c r="GME153" s="173"/>
      <c r="GMF153" s="173"/>
      <c r="GMG153" s="173"/>
      <c r="GMH153" s="173"/>
      <c r="GMI153" s="173"/>
      <c r="GMJ153" s="173"/>
      <c r="GMK153" s="173"/>
      <c r="GML153" s="173"/>
      <c r="GMM153" s="173"/>
      <c r="GMN153" s="173"/>
      <c r="GMO153" s="125"/>
      <c r="GMP153" s="125"/>
      <c r="GMQ153" s="134"/>
      <c r="GMR153" s="135"/>
      <c r="GMS153" s="135"/>
      <c r="GMT153" s="135"/>
      <c r="GMU153" s="135"/>
      <c r="GMV153" s="173"/>
      <c r="GMW153" s="173"/>
      <c r="GMX153" s="173"/>
      <c r="GMY153" s="173"/>
      <c r="GMZ153" s="173"/>
      <c r="GNA153" s="173"/>
      <c r="GNB153" s="173"/>
      <c r="GNC153" s="173"/>
      <c r="GND153" s="173"/>
      <c r="GNE153" s="173"/>
      <c r="GNF153" s="125"/>
      <c r="GNG153" s="125"/>
      <c r="GNH153" s="134"/>
      <c r="GNI153" s="135"/>
      <c r="GNJ153" s="135"/>
      <c r="GNK153" s="135"/>
      <c r="GNL153" s="135"/>
      <c r="GNM153" s="173"/>
      <c r="GNN153" s="173"/>
      <c r="GNO153" s="173"/>
      <c r="GNP153" s="173"/>
      <c r="GNQ153" s="173"/>
      <c r="GNR153" s="173"/>
      <c r="GNS153" s="173"/>
      <c r="GNT153" s="173"/>
      <c r="GNU153" s="173"/>
      <c r="GNV153" s="173"/>
      <c r="GNW153" s="125"/>
      <c r="GNX153" s="125"/>
      <c r="GNY153" s="134"/>
      <c r="GNZ153" s="135"/>
      <c r="GOA153" s="135"/>
      <c r="GOB153" s="135"/>
      <c r="GOC153" s="135"/>
      <c r="GOD153" s="173"/>
      <c r="GOE153" s="173"/>
      <c r="GOF153" s="173"/>
      <c r="GOG153" s="173"/>
      <c r="GOH153" s="173"/>
      <c r="GOI153" s="173"/>
      <c r="GOJ153" s="173"/>
      <c r="GOK153" s="173"/>
      <c r="GOL153" s="173"/>
      <c r="GOM153" s="173"/>
      <c r="GON153" s="125"/>
      <c r="GOO153" s="125"/>
      <c r="GOP153" s="134"/>
      <c r="GOQ153" s="135"/>
      <c r="GOR153" s="135"/>
      <c r="GOS153" s="135"/>
      <c r="GOT153" s="135"/>
      <c r="GOU153" s="173"/>
      <c r="GOV153" s="173"/>
      <c r="GOW153" s="173"/>
      <c r="GOX153" s="173"/>
      <c r="GOY153" s="173"/>
      <c r="GOZ153" s="173"/>
      <c r="GPA153" s="173"/>
      <c r="GPB153" s="173"/>
      <c r="GPC153" s="173"/>
      <c r="GPD153" s="173"/>
      <c r="GPE153" s="125"/>
      <c r="GPF153" s="125"/>
      <c r="GPG153" s="134"/>
      <c r="GPH153" s="135"/>
      <c r="GPI153" s="135"/>
      <c r="GPJ153" s="135"/>
      <c r="GPK153" s="135"/>
      <c r="GPL153" s="173"/>
      <c r="GPM153" s="173"/>
      <c r="GPN153" s="173"/>
      <c r="GPO153" s="173"/>
      <c r="GPP153" s="173"/>
      <c r="GPQ153" s="173"/>
      <c r="GPR153" s="173"/>
      <c r="GPS153" s="173"/>
      <c r="GPT153" s="173"/>
      <c r="GPU153" s="173"/>
      <c r="GPV153" s="125"/>
      <c r="GPW153" s="125"/>
      <c r="GPX153" s="134"/>
      <c r="GPY153" s="135"/>
      <c r="GPZ153" s="135"/>
      <c r="GQA153" s="135"/>
      <c r="GQB153" s="135"/>
      <c r="GQC153" s="173"/>
      <c r="GQD153" s="173"/>
      <c r="GQE153" s="173"/>
      <c r="GQF153" s="173"/>
      <c r="GQG153" s="173"/>
      <c r="GQH153" s="173"/>
      <c r="GQI153" s="173"/>
      <c r="GQJ153" s="173"/>
      <c r="GQK153" s="173"/>
      <c r="GQL153" s="173"/>
      <c r="GQM153" s="125"/>
      <c r="GQN153" s="125"/>
      <c r="GQO153" s="134"/>
      <c r="GQP153" s="135"/>
      <c r="GQQ153" s="135"/>
      <c r="GQR153" s="135"/>
      <c r="GQS153" s="135"/>
      <c r="GQT153" s="173"/>
      <c r="GQU153" s="173"/>
      <c r="GQV153" s="173"/>
      <c r="GQW153" s="173"/>
      <c r="GQX153" s="173"/>
      <c r="GQY153" s="173"/>
      <c r="GQZ153" s="173"/>
      <c r="GRA153" s="173"/>
      <c r="GRB153" s="173"/>
      <c r="GRC153" s="173"/>
      <c r="GRD153" s="125"/>
      <c r="GRE153" s="125"/>
      <c r="GRF153" s="134"/>
      <c r="GRG153" s="135"/>
      <c r="GRH153" s="135"/>
      <c r="GRI153" s="135"/>
      <c r="GRJ153" s="135"/>
      <c r="GRK153" s="173"/>
      <c r="GRL153" s="173"/>
      <c r="GRM153" s="173"/>
      <c r="GRN153" s="173"/>
      <c r="GRO153" s="173"/>
      <c r="GRP153" s="173"/>
      <c r="GRQ153" s="173"/>
      <c r="GRR153" s="173"/>
      <c r="GRS153" s="173"/>
      <c r="GRT153" s="173"/>
      <c r="GRU153" s="125"/>
      <c r="GRV153" s="125"/>
      <c r="GRW153" s="134"/>
      <c r="GRX153" s="135"/>
      <c r="GRY153" s="135"/>
      <c r="GRZ153" s="135"/>
      <c r="GSA153" s="135"/>
      <c r="GSB153" s="173"/>
      <c r="GSC153" s="173"/>
      <c r="GSD153" s="173"/>
      <c r="GSE153" s="173"/>
      <c r="GSF153" s="173"/>
      <c r="GSG153" s="173"/>
      <c r="GSH153" s="173"/>
      <c r="GSI153" s="173"/>
      <c r="GSJ153" s="173"/>
      <c r="GSK153" s="173"/>
      <c r="GSL153" s="125"/>
      <c r="GSM153" s="125"/>
      <c r="GSN153" s="134"/>
      <c r="GSO153" s="135"/>
      <c r="GSP153" s="135"/>
      <c r="GSQ153" s="135"/>
      <c r="GSR153" s="135"/>
      <c r="GSS153" s="173"/>
      <c r="GST153" s="173"/>
      <c r="GSU153" s="173"/>
      <c r="GSV153" s="173"/>
      <c r="GSW153" s="173"/>
      <c r="GSX153" s="173"/>
      <c r="GSY153" s="173"/>
      <c r="GSZ153" s="173"/>
      <c r="GTA153" s="173"/>
      <c r="GTB153" s="173"/>
      <c r="GTC153" s="125"/>
      <c r="GTD153" s="125"/>
      <c r="GTE153" s="134"/>
      <c r="GTF153" s="135"/>
      <c r="GTG153" s="135"/>
      <c r="GTH153" s="135"/>
      <c r="GTI153" s="135"/>
      <c r="GTJ153" s="173"/>
      <c r="GTK153" s="173"/>
      <c r="GTL153" s="173"/>
      <c r="GTM153" s="173"/>
      <c r="GTN153" s="173"/>
      <c r="GTO153" s="173"/>
      <c r="GTP153" s="173"/>
      <c r="GTQ153" s="173"/>
      <c r="GTR153" s="173"/>
      <c r="GTS153" s="173"/>
      <c r="GTT153" s="125"/>
      <c r="GTU153" s="125"/>
      <c r="GTV153" s="134"/>
      <c r="GTW153" s="135"/>
      <c r="GTX153" s="135"/>
      <c r="GTY153" s="135"/>
      <c r="GTZ153" s="135"/>
      <c r="GUA153" s="173"/>
      <c r="GUB153" s="173"/>
      <c r="GUC153" s="173"/>
      <c r="GUD153" s="173"/>
      <c r="GUE153" s="173"/>
      <c r="GUF153" s="173"/>
      <c r="GUG153" s="173"/>
      <c r="GUH153" s="173"/>
      <c r="GUI153" s="173"/>
      <c r="GUJ153" s="173"/>
      <c r="GUK153" s="125"/>
      <c r="GUL153" s="125"/>
      <c r="GUM153" s="134"/>
      <c r="GUN153" s="135"/>
      <c r="GUO153" s="135"/>
      <c r="GUP153" s="135"/>
      <c r="GUQ153" s="135"/>
      <c r="GUR153" s="173"/>
      <c r="GUS153" s="173"/>
      <c r="GUT153" s="173"/>
      <c r="GUU153" s="173"/>
      <c r="GUV153" s="173"/>
      <c r="GUW153" s="173"/>
      <c r="GUX153" s="173"/>
      <c r="GUY153" s="173"/>
      <c r="GUZ153" s="173"/>
      <c r="GVA153" s="173"/>
      <c r="GVB153" s="125"/>
      <c r="GVC153" s="125"/>
      <c r="GVD153" s="134"/>
      <c r="GVE153" s="135"/>
      <c r="GVF153" s="135"/>
      <c r="GVG153" s="135"/>
      <c r="GVH153" s="135"/>
      <c r="GVI153" s="173"/>
      <c r="GVJ153" s="173"/>
      <c r="GVK153" s="173"/>
      <c r="GVL153" s="173"/>
      <c r="GVM153" s="173"/>
      <c r="GVN153" s="173"/>
      <c r="GVO153" s="173"/>
      <c r="GVP153" s="173"/>
      <c r="GVQ153" s="173"/>
      <c r="GVR153" s="173"/>
      <c r="GVS153" s="125"/>
      <c r="GVT153" s="125"/>
      <c r="GVU153" s="134"/>
      <c r="GVV153" s="135"/>
      <c r="GVW153" s="135"/>
      <c r="GVX153" s="135"/>
      <c r="GVY153" s="135"/>
      <c r="GVZ153" s="173"/>
      <c r="GWA153" s="173"/>
      <c r="GWB153" s="173"/>
      <c r="GWC153" s="173"/>
      <c r="GWD153" s="173"/>
      <c r="GWE153" s="173"/>
      <c r="GWF153" s="173"/>
      <c r="GWG153" s="173"/>
      <c r="GWH153" s="173"/>
      <c r="GWI153" s="173"/>
      <c r="GWJ153" s="125"/>
      <c r="GWK153" s="125"/>
      <c r="GWL153" s="134"/>
      <c r="GWM153" s="135"/>
      <c r="GWN153" s="135"/>
      <c r="GWO153" s="135"/>
      <c r="GWP153" s="135"/>
      <c r="GWQ153" s="173"/>
      <c r="GWR153" s="173"/>
      <c r="GWS153" s="173"/>
      <c r="GWT153" s="173"/>
      <c r="GWU153" s="173"/>
      <c r="GWV153" s="173"/>
      <c r="GWW153" s="173"/>
      <c r="GWX153" s="173"/>
      <c r="GWY153" s="173"/>
      <c r="GWZ153" s="173"/>
      <c r="GXA153" s="125"/>
      <c r="GXB153" s="125"/>
      <c r="GXC153" s="134"/>
      <c r="GXD153" s="135"/>
      <c r="GXE153" s="135"/>
      <c r="GXF153" s="135"/>
      <c r="GXG153" s="135"/>
      <c r="GXH153" s="173"/>
      <c r="GXI153" s="173"/>
      <c r="GXJ153" s="173"/>
      <c r="GXK153" s="173"/>
      <c r="GXL153" s="173"/>
      <c r="GXM153" s="173"/>
      <c r="GXN153" s="173"/>
      <c r="GXO153" s="173"/>
      <c r="GXP153" s="173"/>
      <c r="GXQ153" s="173"/>
      <c r="GXR153" s="125"/>
      <c r="GXS153" s="125"/>
      <c r="GXT153" s="134"/>
      <c r="GXU153" s="135"/>
      <c r="GXV153" s="135"/>
      <c r="GXW153" s="135"/>
      <c r="GXX153" s="135"/>
      <c r="GXY153" s="173"/>
      <c r="GXZ153" s="173"/>
      <c r="GYA153" s="173"/>
      <c r="GYB153" s="173"/>
      <c r="GYC153" s="173"/>
      <c r="GYD153" s="173"/>
      <c r="GYE153" s="173"/>
      <c r="GYF153" s="173"/>
      <c r="GYG153" s="173"/>
      <c r="GYH153" s="173"/>
      <c r="GYI153" s="125"/>
      <c r="GYJ153" s="125"/>
      <c r="GYK153" s="134"/>
      <c r="GYL153" s="135"/>
      <c r="GYM153" s="135"/>
      <c r="GYN153" s="135"/>
      <c r="GYO153" s="135"/>
      <c r="GYP153" s="173"/>
      <c r="GYQ153" s="173"/>
      <c r="GYR153" s="173"/>
      <c r="GYS153" s="173"/>
      <c r="GYT153" s="173"/>
      <c r="GYU153" s="173"/>
      <c r="GYV153" s="173"/>
      <c r="GYW153" s="173"/>
      <c r="GYX153" s="173"/>
      <c r="GYY153" s="173"/>
      <c r="GYZ153" s="125"/>
      <c r="GZA153" s="125"/>
      <c r="GZB153" s="134"/>
      <c r="GZC153" s="135"/>
      <c r="GZD153" s="135"/>
      <c r="GZE153" s="135"/>
      <c r="GZF153" s="135"/>
      <c r="GZG153" s="173"/>
      <c r="GZH153" s="173"/>
      <c r="GZI153" s="173"/>
      <c r="GZJ153" s="173"/>
      <c r="GZK153" s="173"/>
      <c r="GZL153" s="173"/>
      <c r="GZM153" s="173"/>
      <c r="GZN153" s="173"/>
      <c r="GZO153" s="173"/>
      <c r="GZP153" s="173"/>
      <c r="GZQ153" s="125"/>
      <c r="GZR153" s="125"/>
      <c r="GZS153" s="134"/>
      <c r="GZT153" s="135"/>
      <c r="GZU153" s="135"/>
      <c r="GZV153" s="135"/>
      <c r="GZW153" s="135"/>
      <c r="GZX153" s="173"/>
      <c r="GZY153" s="173"/>
      <c r="GZZ153" s="173"/>
      <c r="HAA153" s="173"/>
      <c r="HAB153" s="173"/>
      <c r="HAC153" s="173"/>
      <c r="HAD153" s="173"/>
      <c r="HAE153" s="173"/>
      <c r="HAF153" s="173"/>
      <c r="HAG153" s="173"/>
      <c r="HAH153" s="125"/>
      <c r="HAI153" s="125"/>
      <c r="HAJ153" s="134"/>
      <c r="HAK153" s="135"/>
      <c r="HAL153" s="135"/>
      <c r="HAM153" s="135"/>
      <c r="HAN153" s="135"/>
      <c r="HAO153" s="173"/>
      <c r="HAP153" s="173"/>
      <c r="HAQ153" s="173"/>
      <c r="HAR153" s="173"/>
      <c r="HAS153" s="173"/>
      <c r="HAT153" s="173"/>
      <c r="HAU153" s="173"/>
      <c r="HAV153" s="173"/>
      <c r="HAW153" s="173"/>
      <c r="HAX153" s="173"/>
      <c r="HAY153" s="125"/>
      <c r="HAZ153" s="125"/>
      <c r="HBA153" s="134"/>
      <c r="HBB153" s="135"/>
      <c r="HBC153" s="135"/>
      <c r="HBD153" s="135"/>
      <c r="HBE153" s="135"/>
      <c r="HBF153" s="173"/>
      <c r="HBG153" s="173"/>
      <c r="HBH153" s="173"/>
      <c r="HBI153" s="173"/>
      <c r="HBJ153" s="173"/>
      <c r="HBK153" s="173"/>
      <c r="HBL153" s="173"/>
      <c r="HBM153" s="173"/>
      <c r="HBN153" s="173"/>
      <c r="HBO153" s="173"/>
      <c r="HBP153" s="125"/>
      <c r="HBQ153" s="125"/>
      <c r="HBR153" s="134"/>
      <c r="HBS153" s="135"/>
      <c r="HBT153" s="135"/>
      <c r="HBU153" s="135"/>
      <c r="HBV153" s="135"/>
      <c r="HBW153" s="173"/>
      <c r="HBX153" s="173"/>
      <c r="HBY153" s="173"/>
      <c r="HBZ153" s="173"/>
      <c r="HCA153" s="173"/>
      <c r="HCB153" s="173"/>
      <c r="HCC153" s="173"/>
      <c r="HCD153" s="173"/>
      <c r="HCE153" s="173"/>
      <c r="HCF153" s="173"/>
      <c r="HCG153" s="125"/>
      <c r="HCH153" s="125"/>
      <c r="HCI153" s="134"/>
      <c r="HCJ153" s="135"/>
      <c r="HCK153" s="135"/>
      <c r="HCL153" s="135"/>
      <c r="HCM153" s="135"/>
      <c r="HCN153" s="173"/>
      <c r="HCO153" s="173"/>
      <c r="HCP153" s="173"/>
      <c r="HCQ153" s="173"/>
      <c r="HCR153" s="173"/>
      <c r="HCS153" s="173"/>
      <c r="HCT153" s="173"/>
      <c r="HCU153" s="173"/>
      <c r="HCV153" s="173"/>
      <c r="HCW153" s="173"/>
      <c r="HCX153" s="125"/>
      <c r="HCY153" s="125"/>
      <c r="HCZ153" s="134"/>
      <c r="HDA153" s="135"/>
      <c r="HDB153" s="135"/>
      <c r="HDC153" s="135"/>
      <c r="HDD153" s="135"/>
      <c r="HDE153" s="173"/>
      <c r="HDF153" s="173"/>
      <c r="HDG153" s="173"/>
      <c r="HDH153" s="173"/>
      <c r="HDI153" s="173"/>
      <c r="HDJ153" s="173"/>
      <c r="HDK153" s="173"/>
      <c r="HDL153" s="173"/>
      <c r="HDM153" s="173"/>
      <c r="HDN153" s="173"/>
      <c r="HDO153" s="125"/>
      <c r="HDP153" s="125"/>
      <c r="HDQ153" s="134"/>
      <c r="HDR153" s="135"/>
      <c r="HDS153" s="135"/>
      <c r="HDT153" s="135"/>
      <c r="HDU153" s="135"/>
      <c r="HDV153" s="173"/>
      <c r="HDW153" s="173"/>
      <c r="HDX153" s="173"/>
      <c r="HDY153" s="173"/>
      <c r="HDZ153" s="173"/>
      <c r="HEA153" s="173"/>
      <c r="HEB153" s="173"/>
      <c r="HEC153" s="173"/>
      <c r="HED153" s="173"/>
      <c r="HEE153" s="173"/>
      <c r="HEF153" s="125"/>
      <c r="HEG153" s="125"/>
      <c r="HEH153" s="134"/>
      <c r="HEI153" s="135"/>
      <c r="HEJ153" s="135"/>
      <c r="HEK153" s="135"/>
      <c r="HEL153" s="135"/>
      <c r="HEM153" s="173"/>
      <c r="HEN153" s="173"/>
      <c r="HEO153" s="173"/>
      <c r="HEP153" s="173"/>
      <c r="HEQ153" s="173"/>
      <c r="HER153" s="173"/>
      <c r="HES153" s="173"/>
      <c r="HET153" s="173"/>
      <c r="HEU153" s="173"/>
      <c r="HEV153" s="173"/>
      <c r="HEW153" s="125"/>
      <c r="HEX153" s="125"/>
      <c r="HEY153" s="134"/>
      <c r="HEZ153" s="135"/>
      <c r="HFA153" s="135"/>
      <c r="HFB153" s="135"/>
      <c r="HFC153" s="135"/>
      <c r="HFD153" s="173"/>
      <c r="HFE153" s="173"/>
      <c r="HFF153" s="173"/>
      <c r="HFG153" s="173"/>
      <c r="HFH153" s="173"/>
      <c r="HFI153" s="173"/>
      <c r="HFJ153" s="173"/>
      <c r="HFK153" s="173"/>
      <c r="HFL153" s="173"/>
      <c r="HFM153" s="173"/>
      <c r="HFN153" s="125"/>
      <c r="HFO153" s="125"/>
      <c r="HFP153" s="134"/>
      <c r="HFQ153" s="135"/>
      <c r="HFR153" s="135"/>
      <c r="HFS153" s="135"/>
      <c r="HFT153" s="135"/>
      <c r="HFU153" s="173"/>
      <c r="HFV153" s="173"/>
      <c r="HFW153" s="173"/>
      <c r="HFX153" s="173"/>
      <c r="HFY153" s="173"/>
      <c r="HFZ153" s="173"/>
      <c r="HGA153" s="173"/>
      <c r="HGB153" s="173"/>
      <c r="HGC153" s="173"/>
      <c r="HGD153" s="173"/>
      <c r="HGE153" s="125"/>
      <c r="HGF153" s="125"/>
      <c r="HGG153" s="134"/>
      <c r="HGH153" s="135"/>
      <c r="HGI153" s="135"/>
      <c r="HGJ153" s="135"/>
      <c r="HGK153" s="135"/>
      <c r="HGL153" s="173"/>
      <c r="HGM153" s="173"/>
      <c r="HGN153" s="173"/>
      <c r="HGO153" s="173"/>
      <c r="HGP153" s="173"/>
      <c r="HGQ153" s="173"/>
      <c r="HGR153" s="173"/>
      <c r="HGS153" s="173"/>
      <c r="HGT153" s="173"/>
      <c r="HGU153" s="173"/>
      <c r="HGV153" s="125"/>
      <c r="HGW153" s="125"/>
      <c r="HGX153" s="134"/>
      <c r="HGY153" s="135"/>
      <c r="HGZ153" s="135"/>
      <c r="HHA153" s="135"/>
      <c r="HHB153" s="135"/>
      <c r="HHC153" s="173"/>
      <c r="HHD153" s="173"/>
      <c r="HHE153" s="173"/>
      <c r="HHF153" s="173"/>
      <c r="HHG153" s="173"/>
      <c r="HHH153" s="173"/>
      <c r="HHI153" s="173"/>
      <c r="HHJ153" s="173"/>
      <c r="HHK153" s="173"/>
      <c r="HHL153" s="173"/>
      <c r="HHM153" s="125"/>
      <c r="HHN153" s="125"/>
      <c r="HHO153" s="134"/>
      <c r="HHP153" s="135"/>
      <c r="HHQ153" s="135"/>
      <c r="HHR153" s="135"/>
      <c r="HHS153" s="135"/>
      <c r="HHT153" s="173"/>
      <c r="HHU153" s="173"/>
      <c r="HHV153" s="173"/>
      <c r="HHW153" s="173"/>
      <c r="HHX153" s="173"/>
      <c r="HHY153" s="173"/>
      <c r="HHZ153" s="173"/>
      <c r="HIA153" s="173"/>
      <c r="HIB153" s="173"/>
      <c r="HIC153" s="173"/>
      <c r="HID153" s="125"/>
      <c r="HIE153" s="125"/>
      <c r="HIF153" s="134"/>
      <c r="HIG153" s="135"/>
      <c r="HIH153" s="135"/>
      <c r="HII153" s="135"/>
      <c r="HIJ153" s="135"/>
      <c r="HIK153" s="173"/>
      <c r="HIL153" s="173"/>
      <c r="HIM153" s="173"/>
      <c r="HIN153" s="173"/>
      <c r="HIO153" s="173"/>
      <c r="HIP153" s="173"/>
      <c r="HIQ153" s="173"/>
      <c r="HIR153" s="173"/>
      <c r="HIS153" s="173"/>
      <c r="HIT153" s="173"/>
      <c r="HIU153" s="125"/>
      <c r="HIV153" s="125"/>
      <c r="HIW153" s="134"/>
      <c r="HIX153" s="135"/>
      <c r="HIY153" s="135"/>
      <c r="HIZ153" s="135"/>
      <c r="HJA153" s="135"/>
      <c r="HJB153" s="173"/>
      <c r="HJC153" s="173"/>
      <c r="HJD153" s="173"/>
      <c r="HJE153" s="173"/>
      <c r="HJF153" s="173"/>
      <c r="HJG153" s="173"/>
      <c r="HJH153" s="173"/>
      <c r="HJI153" s="173"/>
      <c r="HJJ153" s="173"/>
      <c r="HJK153" s="173"/>
      <c r="HJL153" s="125"/>
      <c r="HJM153" s="125"/>
      <c r="HJN153" s="134"/>
      <c r="HJO153" s="135"/>
      <c r="HJP153" s="135"/>
      <c r="HJQ153" s="135"/>
      <c r="HJR153" s="135"/>
      <c r="HJS153" s="173"/>
      <c r="HJT153" s="173"/>
      <c r="HJU153" s="173"/>
      <c r="HJV153" s="173"/>
      <c r="HJW153" s="173"/>
      <c r="HJX153" s="173"/>
      <c r="HJY153" s="173"/>
      <c r="HJZ153" s="173"/>
      <c r="HKA153" s="173"/>
      <c r="HKB153" s="173"/>
      <c r="HKC153" s="125"/>
      <c r="HKD153" s="125"/>
      <c r="HKE153" s="134"/>
      <c r="HKF153" s="135"/>
      <c r="HKG153" s="135"/>
      <c r="HKH153" s="135"/>
      <c r="HKI153" s="135"/>
      <c r="HKJ153" s="173"/>
      <c r="HKK153" s="173"/>
      <c r="HKL153" s="173"/>
      <c r="HKM153" s="173"/>
      <c r="HKN153" s="173"/>
      <c r="HKO153" s="173"/>
      <c r="HKP153" s="173"/>
      <c r="HKQ153" s="173"/>
      <c r="HKR153" s="173"/>
      <c r="HKS153" s="173"/>
      <c r="HKT153" s="125"/>
      <c r="HKU153" s="125"/>
      <c r="HKV153" s="134"/>
      <c r="HKW153" s="135"/>
      <c r="HKX153" s="135"/>
      <c r="HKY153" s="135"/>
      <c r="HKZ153" s="135"/>
      <c r="HLA153" s="173"/>
      <c r="HLB153" s="173"/>
      <c r="HLC153" s="173"/>
      <c r="HLD153" s="173"/>
      <c r="HLE153" s="173"/>
      <c r="HLF153" s="173"/>
      <c r="HLG153" s="173"/>
      <c r="HLH153" s="173"/>
      <c r="HLI153" s="173"/>
      <c r="HLJ153" s="173"/>
      <c r="HLK153" s="125"/>
      <c r="HLL153" s="125"/>
      <c r="HLM153" s="134"/>
      <c r="HLN153" s="135"/>
      <c r="HLO153" s="135"/>
      <c r="HLP153" s="135"/>
      <c r="HLQ153" s="135"/>
      <c r="HLR153" s="173"/>
      <c r="HLS153" s="173"/>
      <c r="HLT153" s="173"/>
      <c r="HLU153" s="173"/>
      <c r="HLV153" s="173"/>
      <c r="HLW153" s="173"/>
      <c r="HLX153" s="173"/>
      <c r="HLY153" s="173"/>
      <c r="HLZ153" s="173"/>
      <c r="HMA153" s="173"/>
      <c r="HMB153" s="125"/>
      <c r="HMC153" s="125"/>
      <c r="HMD153" s="134"/>
      <c r="HME153" s="135"/>
      <c r="HMF153" s="135"/>
      <c r="HMG153" s="135"/>
      <c r="HMH153" s="135"/>
      <c r="HMI153" s="173"/>
      <c r="HMJ153" s="173"/>
      <c r="HMK153" s="173"/>
      <c r="HML153" s="173"/>
      <c r="HMM153" s="173"/>
      <c r="HMN153" s="173"/>
      <c r="HMO153" s="173"/>
      <c r="HMP153" s="173"/>
      <c r="HMQ153" s="173"/>
      <c r="HMR153" s="173"/>
      <c r="HMS153" s="125"/>
      <c r="HMT153" s="125"/>
      <c r="HMU153" s="134"/>
      <c r="HMV153" s="135"/>
      <c r="HMW153" s="135"/>
      <c r="HMX153" s="135"/>
      <c r="HMY153" s="135"/>
      <c r="HMZ153" s="173"/>
      <c r="HNA153" s="173"/>
      <c r="HNB153" s="173"/>
      <c r="HNC153" s="173"/>
      <c r="HND153" s="173"/>
      <c r="HNE153" s="173"/>
      <c r="HNF153" s="173"/>
      <c r="HNG153" s="173"/>
      <c r="HNH153" s="173"/>
      <c r="HNI153" s="173"/>
      <c r="HNJ153" s="125"/>
      <c r="HNK153" s="125"/>
      <c r="HNL153" s="134"/>
      <c r="HNM153" s="135"/>
      <c r="HNN153" s="135"/>
      <c r="HNO153" s="135"/>
      <c r="HNP153" s="135"/>
      <c r="HNQ153" s="173"/>
      <c r="HNR153" s="173"/>
      <c r="HNS153" s="173"/>
      <c r="HNT153" s="173"/>
      <c r="HNU153" s="173"/>
      <c r="HNV153" s="173"/>
      <c r="HNW153" s="173"/>
      <c r="HNX153" s="173"/>
      <c r="HNY153" s="173"/>
      <c r="HNZ153" s="173"/>
      <c r="HOA153" s="125"/>
      <c r="HOB153" s="125"/>
      <c r="HOC153" s="134"/>
      <c r="HOD153" s="135"/>
      <c r="HOE153" s="135"/>
      <c r="HOF153" s="135"/>
      <c r="HOG153" s="135"/>
      <c r="HOH153" s="173"/>
      <c r="HOI153" s="173"/>
      <c r="HOJ153" s="173"/>
      <c r="HOK153" s="173"/>
      <c r="HOL153" s="173"/>
      <c r="HOM153" s="173"/>
      <c r="HON153" s="173"/>
      <c r="HOO153" s="173"/>
      <c r="HOP153" s="173"/>
      <c r="HOQ153" s="173"/>
      <c r="HOR153" s="125"/>
      <c r="HOS153" s="125"/>
      <c r="HOT153" s="134"/>
      <c r="HOU153" s="135"/>
      <c r="HOV153" s="135"/>
      <c r="HOW153" s="135"/>
      <c r="HOX153" s="135"/>
      <c r="HOY153" s="173"/>
      <c r="HOZ153" s="173"/>
      <c r="HPA153" s="173"/>
      <c r="HPB153" s="173"/>
      <c r="HPC153" s="173"/>
      <c r="HPD153" s="173"/>
      <c r="HPE153" s="173"/>
      <c r="HPF153" s="173"/>
      <c r="HPG153" s="173"/>
      <c r="HPH153" s="173"/>
      <c r="HPI153" s="125"/>
      <c r="HPJ153" s="125"/>
      <c r="HPK153" s="134"/>
      <c r="HPL153" s="135"/>
      <c r="HPM153" s="135"/>
      <c r="HPN153" s="135"/>
      <c r="HPO153" s="135"/>
      <c r="HPP153" s="173"/>
      <c r="HPQ153" s="173"/>
      <c r="HPR153" s="173"/>
      <c r="HPS153" s="173"/>
      <c r="HPT153" s="173"/>
      <c r="HPU153" s="173"/>
      <c r="HPV153" s="173"/>
      <c r="HPW153" s="173"/>
      <c r="HPX153" s="173"/>
      <c r="HPY153" s="173"/>
      <c r="HPZ153" s="125"/>
      <c r="HQA153" s="125"/>
      <c r="HQB153" s="134"/>
      <c r="HQC153" s="135"/>
      <c r="HQD153" s="135"/>
      <c r="HQE153" s="135"/>
      <c r="HQF153" s="135"/>
      <c r="HQG153" s="173"/>
      <c r="HQH153" s="173"/>
      <c r="HQI153" s="173"/>
      <c r="HQJ153" s="173"/>
      <c r="HQK153" s="173"/>
      <c r="HQL153" s="173"/>
      <c r="HQM153" s="173"/>
      <c r="HQN153" s="173"/>
      <c r="HQO153" s="173"/>
      <c r="HQP153" s="173"/>
      <c r="HQQ153" s="125"/>
      <c r="HQR153" s="125"/>
      <c r="HQS153" s="134"/>
      <c r="HQT153" s="135"/>
      <c r="HQU153" s="135"/>
      <c r="HQV153" s="135"/>
      <c r="HQW153" s="135"/>
      <c r="HQX153" s="173"/>
      <c r="HQY153" s="173"/>
      <c r="HQZ153" s="173"/>
      <c r="HRA153" s="173"/>
      <c r="HRB153" s="173"/>
      <c r="HRC153" s="173"/>
      <c r="HRD153" s="173"/>
      <c r="HRE153" s="173"/>
      <c r="HRF153" s="173"/>
      <c r="HRG153" s="173"/>
      <c r="HRH153" s="125"/>
      <c r="HRI153" s="125"/>
      <c r="HRJ153" s="134"/>
      <c r="HRK153" s="135"/>
      <c r="HRL153" s="135"/>
      <c r="HRM153" s="135"/>
      <c r="HRN153" s="135"/>
      <c r="HRO153" s="173"/>
      <c r="HRP153" s="173"/>
      <c r="HRQ153" s="173"/>
      <c r="HRR153" s="173"/>
      <c r="HRS153" s="173"/>
      <c r="HRT153" s="173"/>
      <c r="HRU153" s="173"/>
      <c r="HRV153" s="173"/>
      <c r="HRW153" s="173"/>
      <c r="HRX153" s="173"/>
      <c r="HRY153" s="125"/>
      <c r="HRZ153" s="125"/>
      <c r="HSA153" s="134"/>
      <c r="HSB153" s="135"/>
      <c r="HSC153" s="135"/>
      <c r="HSD153" s="135"/>
      <c r="HSE153" s="135"/>
      <c r="HSF153" s="173"/>
      <c r="HSG153" s="173"/>
      <c r="HSH153" s="173"/>
      <c r="HSI153" s="173"/>
      <c r="HSJ153" s="173"/>
      <c r="HSK153" s="173"/>
      <c r="HSL153" s="173"/>
      <c r="HSM153" s="173"/>
      <c r="HSN153" s="173"/>
      <c r="HSO153" s="173"/>
      <c r="HSP153" s="125"/>
      <c r="HSQ153" s="125"/>
      <c r="HSR153" s="134"/>
      <c r="HSS153" s="135"/>
      <c r="HST153" s="135"/>
      <c r="HSU153" s="135"/>
      <c r="HSV153" s="135"/>
      <c r="HSW153" s="173"/>
      <c r="HSX153" s="173"/>
      <c r="HSY153" s="173"/>
      <c r="HSZ153" s="173"/>
      <c r="HTA153" s="173"/>
      <c r="HTB153" s="173"/>
      <c r="HTC153" s="173"/>
      <c r="HTD153" s="173"/>
      <c r="HTE153" s="173"/>
      <c r="HTF153" s="173"/>
      <c r="HTG153" s="125"/>
      <c r="HTH153" s="125"/>
      <c r="HTI153" s="134"/>
      <c r="HTJ153" s="135"/>
      <c r="HTK153" s="135"/>
      <c r="HTL153" s="135"/>
      <c r="HTM153" s="135"/>
      <c r="HTN153" s="173"/>
      <c r="HTO153" s="173"/>
      <c r="HTP153" s="173"/>
      <c r="HTQ153" s="173"/>
      <c r="HTR153" s="173"/>
      <c r="HTS153" s="173"/>
      <c r="HTT153" s="173"/>
      <c r="HTU153" s="173"/>
      <c r="HTV153" s="173"/>
      <c r="HTW153" s="173"/>
      <c r="HTX153" s="125"/>
      <c r="HTY153" s="125"/>
      <c r="HTZ153" s="134"/>
      <c r="HUA153" s="135"/>
      <c r="HUB153" s="135"/>
      <c r="HUC153" s="135"/>
      <c r="HUD153" s="135"/>
      <c r="HUE153" s="173"/>
      <c r="HUF153" s="173"/>
      <c r="HUG153" s="173"/>
      <c r="HUH153" s="173"/>
      <c r="HUI153" s="173"/>
      <c r="HUJ153" s="173"/>
      <c r="HUK153" s="173"/>
      <c r="HUL153" s="173"/>
      <c r="HUM153" s="173"/>
      <c r="HUN153" s="173"/>
      <c r="HUO153" s="125"/>
      <c r="HUP153" s="125"/>
      <c r="HUQ153" s="134"/>
      <c r="HUR153" s="135"/>
      <c r="HUS153" s="135"/>
      <c r="HUT153" s="135"/>
      <c r="HUU153" s="135"/>
      <c r="HUV153" s="173"/>
      <c r="HUW153" s="173"/>
      <c r="HUX153" s="173"/>
      <c r="HUY153" s="173"/>
      <c r="HUZ153" s="173"/>
      <c r="HVA153" s="173"/>
      <c r="HVB153" s="173"/>
      <c r="HVC153" s="173"/>
      <c r="HVD153" s="173"/>
      <c r="HVE153" s="173"/>
      <c r="HVF153" s="125"/>
      <c r="HVG153" s="125"/>
      <c r="HVH153" s="134"/>
      <c r="HVI153" s="135"/>
      <c r="HVJ153" s="135"/>
      <c r="HVK153" s="135"/>
      <c r="HVL153" s="135"/>
      <c r="HVM153" s="173"/>
      <c r="HVN153" s="173"/>
      <c r="HVO153" s="173"/>
      <c r="HVP153" s="173"/>
      <c r="HVQ153" s="173"/>
      <c r="HVR153" s="173"/>
      <c r="HVS153" s="173"/>
      <c r="HVT153" s="173"/>
      <c r="HVU153" s="173"/>
      <c r="HVV153" s="173"/>
      <c r="HVW153" s="125"/>
      <c r="HVX153" s="125"/>
      <c r="HVY153" s="134"/>
      <c r="HVZ153" s="135"/>
      <c r="HWA153" s="135"/>
      <c r="HWB153" s="135"/>
      <c r="HWC153" s="135"/>
      <c r="HWD153" s="173"/>
      <c r="HWE153" s="173"/>
      <c r="HWF153" s="173"/>
      <c r="HWG153" s="173"/>
      <c r="HWH153" s="173"/>
      <c r="HWI153" s="173"/>
      <c r="HWJ153" s="173"/>
      <c r="HWK153" s="173"/>
      <c r="HWL153" s="173"/>
      <c r="HWM153" s="173"/>
      <c r="HWN153" s="125"/>
      <c r="HWO153" s="125"/>
      <c r="HWP153" s="134"/>
      <c r="HWQ153" s="135"/>
      <c r="HWR153" s="135"/>
      <c r="HWS153" s="135"/>
      <c r="HWT153" s="135"/>
      <c r="HWU153" s="173"/>
      <c r="HWV153" s="173"/>
      <c r="HWW153" s="173"/>
      <c r="HWX153" s="173"/>
      <c r="HWY153" s="173"/>
      <c r="HWZ153" s="173"/>
      <c r="HXA153" s="173"/>
      <c r="HXB153" s="173"/>
      <c r="HXC153" s="173"/>
      <c r="HXD153" s="173"/>
      <c r="HXE153" s="125"/>
      <c r="HXF153" s="125"/>
      <c r="HXG153" s="134"/>
      <c r="HXH153" s="135"/>
      <c r="HXI153" s="135"/>
      <c r="HXJ153" s="135"/>
      <c r="HXK153" s="135"/>
      <c r="HXL153" s="173"/>
      <c r="HXM153" s="173"/>
      <c r="HXN153" s="173"/>
      <c r="HXO153" s="173"/>
      <c r="HXP153" s="173"/>
      <c r="HXQ153" s="173"/>
      <c r="HXR153" s="173"/>
      <c r="HXS153" s="173"/>
      <c r="HXT153" s="173"/>
      <c r="HXU153" s="173"/>
      <c r="HXV153" s="125"/>
      <c r="HXW153" s="125"/>
      <c r="HXX153" s="134"/>
      <c r="HXY153" s="135"/>
      <c r="HXZ153" s="135"/>
      <c r="HYA153" s="135"/>
      <c r="HYB153" s="135"/>
      <c r="HYC153" s="173"/>
      <c r="HYD153" s="173"/>
      <c r="HYE153" s="173"/>
      <c r="HYF153" s="173"/>
      <c r="HYG153" s="173"/>
      <c r="HYH153" s="173"/>
      <c r="HYI153" s="173"/>
      <c r="HYJ153" s="173"/>
      <c r="HYK153" s="173"/>
      <c r="HYL153" s="173"/>
      <c r="HYM153" s="125"/>
      <c r="HYN153" s="125"/>
      <c r="HYO153" s="134"/>
      <c r="HYP153" s="135"/>
      <c r="HYQ153" s="135"/>
      <c r="HYR153" s="135"/>
      <c r="HYS153" s="135"/>
      <c r="HYT153" s="173"/>
      <c r="HYU153" s="173"/>
      <c r="HYV153" s="173"/>
      <c r="HYW153" s="173"/>
      <c r="HYX153" s="173"/>
      <c r="HYY153" s="173"/>
      <c r="HYZ153" s="173"/>
      <c r="HZA153" s="173"/>
      <c r="HZB153" s="173"/>
      <c r="HZC153" s="173"/>
      <c r="HZD153" s="125"/>
      <c r="HZE153" s="125"/>
      <c r="HZF153" s="134"/>
      <c r="HZG153" s="135"/>
      <c r="HZH153" s="135"/>
      <c r="HZI153" s="135"/>
      <c r="HZJ153" s="135"/>
      <c r="HZK153" s="173"/>
      <c r="HZL153" s="173"/>
      <c r="HZM153" s="173"/>
      <c r="HZN153" s="173"/>
      <c r="HZO153" s="173"/>
      <c r="HZP153" s="173"/>
      <c r="HZQ153" s="173"/>
      <c r="HZR153" s="173"/>
      <c r="HZS153" s="173"/>
      <c r="HZT153" s="173"/>
      <c r="HZU153" s="125"/>
      <c r="HZV153" s="125"/>
      <c r="HZW153" s="134"/>
      <c r="HZX153" s="135"/>
      <c r="HZY153" s="135"/>
      <c r="HZZ153" s="135"/>
      <c r="IAA153" s="135"/>
      <c r="IAB153" s="173"/>
      <c r="IAC153" s="173"/>
      <c r="IAD153" s="173"/>
      <c r="IAE153" s="173"/>
      <c r="IAF153" s="173"/>
      <c r="IAG153" s="173"/>
      <c r="IAH153" s="173"/>
      <c r="IAI153" s="173"/>
      <c r="IAJ153" s="173"/>
      <c r="IAK153" s="173"/>
      <c r="IAL153" s="125"/>
      <c r="IAM153" s="125"/>
      <c r="IAN153" s="134"/>
      <c r="IAO153" s="135"/>
      <c r="IAP153" s="135"/>
      <c r="IAQ153" s="135"/>
      <c r="IAR153" s="135"/>
      <c r="IAS153" s="173"/>
      <c r="IAT153" s="173"/>
      <c r="IAU153" s="173"/>
      <c r="IAV153" s="173"/>
      <c r="IAW153" s="173"/>
      <c r="IAX153" s="173"/>
      <c r="IAY153" s="173"/>
      <c r="IAZ153" s="173"/>
      <c r="IBA153" s="173"/>
      <c r="IBB153" s="173"/>
      <c r="IBC153" s="125"/>
      <c r="IBD153" s="125"/>
      <c r="IBE153" s="134"/>
      <c r="IBF153" s="135"/>
      <c r="IBG153" s="135"/>
      <c r="IBH153" s="135"/>
      <c r="IBI153" s="135"/>
      <c r="IBJ153" s="173"/>
      <c r="IBK153" s="173"/>
      <c r="IBL153" s="173"/>
      <c r="IBM153" s="173"/>
      <c r="IBN153" s="173"/>
      <c r="IBO153" s="173"/>
      <c r="IBP153" s="173"/>
      <c r="IBQ153" s="173"/>
      <c r="IBR153" s="173"/>
      <c r="IBS153" s="173"/>
      <c r="IBT153" s="125"/>
      <c r="IBU153" s="125"/>
      <c r="IBV153" s="134"/>
      <c r="IBW153" s="135"/>
      <c r="IBX153" s="135"/>
      <c r="IBY153" s="135"/>
      <c r="IBZ153" s="135"/>
      <c r="ICA153" s="173"/>
      <c r="ICB153" s="173"/>
      <c r="ICC153" s="173"/>
      <c r="ICD153" s="173"/>
      <c r="ICE153" s="173"/>
      <c r="ICF153" s="173"/>
      <c r="ICG153" s="173"/>
      <c r="ICH153" s="173"/>
      <c r="ICI153" s="173"/>
      <c r="ICJ153" s="173"/>
      <c r="ICK153" s="125"/>
      <c r="ICL153" s="125"/>
      <c r="ICM153" s="134"/>
      <c r="ICN153" s="135"/>
      <c r="ICO153" s="135"/>
      <c r="ICP153" s="135"/>
      <c r="ICQ153" s="135"/>
      <c r="ICR153" s="173"/>
      <c r="ICS153" s="173"/>
      <c r="ICT153" s="173"/>
      <c r="ICU153" s="173"/>
      <c r="ICV153" s="173"/>
      <c r="ICW153" s="173"/>
      <c r="ICX153" s="173"/>
      <c r="ICY153" s="173"/>
      <c r="ICZ153" s="173"/>
      <c r="IDA153" s="173"/>
      <c r="IDB153" s="125"/>
      <c r="IDC153" s="125"/>
      <c r="IDD153" s="134"/>
      <c r="IDE153" s="135"/>
      <c r="IDF153" s="135"/>
      <c r="IDG153" s="135"/>
      <c r="IDH153" s="135"/>
      <c r="IDI153" s="173"/>
      <c r="IDJ153" s="173"/>
      <c r="IDK153" s="173"/>
      <c r="IDL153" s="173"/>
      <c r="IDM153" s="173"/>
      <c r="IDN153" s="173"/>
      <c r="IDO153" s="173"/>
      <c r="IDP153" s="173"/>
      <c r="IDQ153" s="173"/>
      <c r="IDR153" s="173"/>
      <c r="IDS153" s="125"/>
      <c r="IDT153" s="125"/>
      <c r="IDU153" s="134"/>
      <c r="IDV153" s="135"/>
      <c r="IDW153" s="135"/>
      <c r="IDX153" s="135"/>
      <c r="IDY153" s="135"/>
      <c r="IDZ153" s="173"/>
      <c r="IEA153" s="173"/>
      <c r="IEB153" s="173"/>
      <c r="IEC153" s="173"/>
      <c r="IED153" s="173"/>
      <c r="IEE153" s="173"/>
      <c r="IEF153" s="173"/>
      <c r="IEG153" s="173"/>
      <c r="IEH153" s="173"/>
      <c r="IEI153" s="173"/>
      <c r="IEJ153" s="125"/>
      <c r="IEK153" s="125"/>
      <c r="IEL153" s="134"/>
      <c r="IEM153" s="135"/>
      <c r="IEN153" s="135"/>
      <c r="IEO153" s="135"/>
      <c r="IEP153" s="135"/>
      <c r="IEQ153" s="173"/>
      <c r="IER153" s="173"/>
      <c r="IES153" s="173"/>
      <c r="IET153" s="173"/>
      <c r="IEU153" s="173"/>
      <c r="IEV153" s="173"/>
      <c r="IEW153" s="173"/>
      <c r="IEX153" s="173"/>
      <c r="IEY153" s="173"/>
      <c r="IEZ153" s="173"/>
      <c r="IFA153" s="125"/>
      <c r="IFB153" s="125"/>
      <c r="IFC153" s="134"/>
      <c r="IFD153" s="135"/>
      <c r="IFE153" s="135"/>
      <c r="IFF153" s="135"/>
      <c r="IFG153" s="135"/>
      <c r="IFH153" s="173"/>
      <c r="IFI153" s="173"/>
      <c r="IFJ153" s="173"/>
      <c r="IFK153" s="173"/>
      <c r="IFL153" s="173"/>
      <c r="IFM153" s="173"/>
      <c r="IFN153" s="173"/>
      <c r="IFO153" s="173"/>
      <c r="IFP153" s="173"/>
      <c r="IFQ153" s="173"/>
      <c r="IFR153" s="125"/>
      <c r="IFS153" s="125"/>
      <c r="IFT153" s="134"/>
      <c r="IFU153" s="135"/>
      <c r="IFV153" s="135"/>
      <c r="IFW153" s="135"/>
      <c r="IFX153" s="135"/>
      <c r="IFY153" s="173"/>
      <c r="IFZ153" s="173"/>
      <c r="IGA153" s="173"/>
      <c r="IGB153" s="173"/>
      <c r="IGC153" s="173"/>
      <c r="IGD153" s="173"/>
      <c r="IGE153" s="173"/>
      <c r="IGF153" s="173"/>
      <c r="IGG153" s="173"/>
      <c r="IGH153" s="173"/>
      <c r="IGI153" s="125"/>
      <c r="IGJ153" s="125"/>
      <c r="IGK153" s="134"/>
      <c r="IGL153" s="135"/>
      <c r="IGM153" s="135"/>
      <c r="IGN153" s="135"/>
      <c r="IGO153" s="135"/>
      <c r="IGP153" s="173"/>
      <c r="IGQ153" s="173"/>
      <c r="IGR153" s="173"/>
      <c r="IGS153" s="173"/>
      <c r="IGT153" s="173"/>
      <c r="IGU153" s="173"/>
      <c r="IGV153" s="173"/>
      <c r="IGW153" s="173"/>
      <c r="IGX153" s="173"/>
      <c r="IGY153" s="173"/>
      <c r="IGZ153" s="125"/>
      <c r="IHA153" s="125"/>
      <c r="IHB153" s="134"/>
      <c r="IHC153" s="135"/>
      <c r="IHD153" s="135"/>
      <c r="IHE153" s="135"/>
      <c r="IHF153" s="135"/>
      <c r="IHG153" s="173"/>
      <c r="IHH153" s="173"/>
      <c r="IHI153" s="173"/>
      <c r="IHJ153" s="173"/>
      <c r="IHK153" s="173"/>
      <c r="IHL153" s="173"/>
      <c r="IHM153" s="173"/>
      <c r="IHN153" s="173"/>
      <c r="IHO153" s="173"/>
      <c r="IHP153" s="173"/>
      <c r="IHQ153" s="125"/>
      <c r="IHR153" s="125"/>
      <c r="IHS153" s="134"/>
      <c r="IHT153" s="135"/>
      <c r="IHU153" s="135"/>
      <c r="IHV153" s="135"/>
      <c r="IHW153" s="135"/>
      <c r="IHX153" s="173"/>
      <c r="IHY153" s="173"/>
      <c r="IHZ153" s="173"/>
      <c r="IIA153" s="173"/>
      <c r="IIB153" s="173"/>
      <c r="IIC153" s="173"/>
      <c r="IID153" s="173"/>
      <c r="IIE153" s="173"/>
      <c r="IIF153" s="173"/>
      <c r="IIG153" s="173"/>
      <c r="IIH153" s="125"/>
      <c r="III153" s="125"/>
      <c r="IIJ153" s="134"/>
      <c r="IIK153" s="135"/>
      <c r="IIL153" s="135"/>
      <c r="IIM153" s="135"/>
      <c r="IIN153" s="135"/>
      <c r="IIO153" s="173"/>
      <c r="IIP153" s="173"/>
      <c r="IIQ153" s="173"/>
      <c r="IIR153" s="173"/>
      <c r="IIS153" s="173"/>
      <c r="IIT153" s="173"/>
      <c r="IIU153" s="173"/>
      <c r="IIV153" s="173"/>
      <c r="IIW153" s="173"/>
      <c r="IIX153" s="173"/>
      <c r="IIY153" s="125"/>
      <c r="IIZ153" s="125"/>
      <c r="IJA153" s="134"/>
      <c r="IJB153" s="135"/>
      <c r="IJC153" s="135"/>
      <c r="IJD153" s="135"/>
      <c r="IJE153" s="135"/>
      <c r="IJF153" s="173"/>
      <c r="IJG153" s="173"/>
      <c r="IJH153" s="173"/>
      <c r="IJI153" s="173"/>
      <c r="IJJ153" s="173"/>
      <c r="IJK153" s="173"/>
      <c r="IJL153" s="173"/>
      <c r="IJM153" s="173"/>
      <c r="IJN153" s="173"/>
      <c r="IJO153" s="173"/>
      <c r="IJP153" s="125"/>
      <c r="IJQ153" s="125"/>
      <c r="IJR153" s="134"/>
      <c r="IJS153" s="135"/>
      <c r="IJT153" s="135"/>
      <c r="IJU153" s="135"/>
      <c r="IJV153" s="135"/>
      <c r="IJW153" s="173"/>
      <c r="IJX153" s="173"/>
      <c r="IJY153" s="173"/>
      <c r="IJZ153" s="173"/>
      <c r="IKA153" s="173"/>
      <c r="IKB153" s="173"/>
      <c r="IKC153" s="173"/>
      <c r="IKD153" s="173"/>
      <c r="IKE153" s="173"/>
      <c r="IKF153" s="173"/>
      <c r="IKG153" s="125"/>
      <c r="IKH153" s="125"/>
      <c r="IKI153" s="134"/>
      <c r="IKJ153" s="135"/>
      <c r="IKK153" s="135"/>
      <c r="IKL153" s="135"/>
      <c r="IKM153" s="135"/>
      <c r="IKN153" s="173"/>
      <c r="IKO153" s="173"/>
      <c r="IKP153" s="173"/>
      <c r="IKQ153" s="173"/>
      <c r="IKR153" s="173"/>
      <c r="IKS153" s="173"/>
      <c r="IKT153" s="173"/>
      <c r="IKU153" s="173"/>
      <c r="IKV153" s="173"/>
      <c r="IKW153" s="173"/>
      <c r="IKX153" s="125"/>
      <c r="IKY153" s="125"/>
      <c r="IKZ153" s="134"/>
      <c r="ILA153" s="135"/>
      <c r="ILB153" s="135"/>
      <c r="ILC153" s="135"/>
      <c r="ILD153" s="135"/>
      <c r="ILE153" s="173"/>
      <c r="ILF153" s="173"/>
      <c r="ILG153" s="173"/>
      <c r="ILH153" s="173"/>
      <c r="ILI153" s="173"/>
      <c r="ILJ153" s="173"/>
      <c r="ILK153" s="173"/>
      <c r="ILL153" s="173"/>
      <c r="ILM153" s="173"/>
      <c r="ILN153" s="173"/>
      <c r="ILO153" s="125"/>
      <c r="ILP153" s="125"/>
      <c r="ILQ153" s="134"/>
      <c r="ILR153" s="135"/>
      <c r="ILS153" s="135"/>
      <c r="ILT153" s="135"/>
      <c r="ILU153" s="135"/>
      <c r="ILV153" s="173"/>
      <c r="ILW153" s="173"/>
      <c r="ILX153" s="173"/>
      <c r="ILY153" s="173"/>
      <c r="ILZ153" s="173"/>
      <c r="IMA153" s="173"/>
      <c r="IMB153" s="173"/>
      <c r="IMC153" s="173"/>
      <c r="IMD153" s="173"/>
      <c r="IME153" s="173"/>
      <c r="IMF153" s="125"/>
      <c r="IMG153" s="125"/>
      <c r="IMH153" s="134"/>
      <c r="IMI153" s="135"/>
      <c r="IMJ153" s="135"/>
      <c r="IMK153" s="135"/>
      <c r="IML153" s="135"/>
      <c r="IMM153" s="173"/>
      <c r="IMN153" s="173"/>
      <c r="IMO153" s="173"/>
      <c r="IMP153" s="173"/>
      <c r="IMQ153" s="173"/>
      <c r="IMR153" s="173"/>
      <c r="IMS153" s="173"/>
      <c r="IMT153" s="173"/>
      <c r="IMU153" s="173"/>
      <c r="IMV153" s="173"/>
      <c r="IMW153" s="125"/>
      <c r="IMX153" s="125"/>
      <c r="IMY153" s="134"/>
      <c r="IMZ153" s="135"/>
      <c r="INA153" s="135"/>
      <c r="INB153" s="135"/>
      <c r="INC153" s="135"/>
      <c r="IND153" s="173"/>
      <c r="INE153" s="173"/>
      <c r="INF153" s="173"/>
      <c r="ING153" s="173"/>
      <c r="INH153" s="173"/>
      <c r="INI153" s="173"/>
      <c r="INJ153" s="173"/>
      <c r="INK153" s="173"/>
      <c r="INL153" s="173"/>
      <c r="INM153" s="173"/>
      <c r="INN153" s="125"/>
      <c r="INO153" s="125"/>
      <c r="INP153" s="134"/>
      <c r="INQ153" s="135"/>
      <c r="INR153" s="135"/>
      <c r="INS153" s="135"/>
      <c r="INT153" s="135"/>
      <c r="INU153" s="173"/>
      <c r="INV153" s="173"/>
      <c r="INW153" s="173"/>
      <c r="INX153" s="173"/>
      <c r="INY153" s="173"/>
      <c r="INZ153" s="173"/>
      <c r="IOA153" s="173"/>
      <c r="IOB153" s="173"/>
      <c r="IOC153" s="173"/>
      <c r="IOD153" s="173"/>
      <c r="IOE153" s="125"/>
      <c r="IOF153" s="125"/>
      <c r="IOG153" s="134"/>
      <c r="IOH153" s="135"/>
      <c r="IOI153" s="135"/>
      <c r="IOJ153" s="135"/>
      <c r="IOK153" s="135"/>
      <c r="IOL153" s="173"/>
      <c r="IOM153" s="173"/>
      <c r="ION153" s="173"/>
      <c r="IOO153" s="173"/>
      <c r="IOP153" s="173"/>
      <c r="IOQ153" s="173"/>
      <c r="IOR153" s="173"/>
      <c r="IOS153" s="173"/>
      <c r="IOT153" s="173"/>
      <c r="IOU153" s="173"/>
      <c r="IOV153" s="125"/>
      <c r="IOW153" s="125"/>
      <c r="IOX153" s="134"/>
      <c r="IOY153" s="135"/>
      <c r="IOZ153" s="135"/>
      <c r="IPA153" s="135"/>
      <c r="IPB153" s="135"/>
      <c r="IPC153" s="173"/>
      <c r="IPD153" s="173"/>
      <c r="IPE153" s="173"/>
      <c r="IPF153" s="173"/>
      <c r="IPG153" s="173"/>
      <c r="IPH153" s="173"/>
      <c r="IPI153" s="173"/>
      <c r="IPJ153" s="173"/>
      <c r="IPK153" s="173"/>
      <c r="IPL153" s="173"/>
      <c r="IPM153" s="125"/>
      <c r="IPN153" s="125"/>
      <c r="IPO153" s="134"/>
      <c r="IPP153" s="135"/>
      <c r="IPQ153" s="135"/>
      <c r="IPR153" s="135"/>
      <c r="IPS153" s="135"/>
      <c r="IPT153" s="173"/>
      <c r="IPU153" s="173"/>
      <c r="IPV153" s="173"/>
      <c r="IPW153" s="173"/>
      <c r="IPX153" s="173"/>
      <c r="IPY153" s="173"/>
      <c r="IPZ153" s="173"/>
      <c r="IQA153" s="173"/>
      <c r="IQB153" s="173"/>
      <c r="IQC153" s="173"/>
      <c r="IQD153" s="125"/>
      <c r="IQE153" s="125"/>
      <c r="IQF153" s="134"/>
      <c r="IQG153" s="135"/>
      <c r="IQH153" s="135"/>
      <c r="IQI153" s="135"/>
      <c r="IQJ153" s="135"/>
      <c r="IQK153" s="173"/>
      <c r="IQL153" s="173"/>
      <c r="IQM153" s="173"/>
      <c r="IQN153" s="173"/>
      <c r="IQO153" s="173"/>
      <c r="IQP153" s="173"/>
      <c r="IQQ153" s="173"/>
      <c r="IQR153" s="173"/>
      <c r="IQS153" s="173"/>
      <c r="IQT153" s="173"/>
      <c r="IQU153" s="125"/>
      <c r="IQV153" s="125"/>
      <c r="IQW153" s="134"/>
      <c r="IQX153" s="135"/>
      <c r="IQY153" s="135"/>
      <c r="IQZ153" s="135"/>
      <c r="IRA153" s="135"/>
      <c r="IRB153" s="173"/>
      <c r="IRC153" s="173"/>
      <c r="IRD153" s="173"/>
      <c r="IRE153" s="173"/>
      <c r="IRF153" s="173"/>
      <c r="IRG153" s="173"/>
      <c r="IRH153" s="173"/>
      <c r="IRI153" s="173"/>
      <c r="IRJ153" s="173"/>
      <c r="IRK153" s="173"/>
      <c r="IRL153" s="125"/>
      <c r="IRM153" s="125"/>
      <c r="IRN153" s="134"/>
      <c r="IRO153" s="135"/>
      <c r="IRP153" s="135"/>
      <c r="IRQ153" s="135"/>
      <c r="IRR153" s="135"/>
      <c r="IRS153" s="173"/>
      <c r="IRT153" s="173"/>
      <c r="IRU153" s="173"/>
      <c r="IRV153" s="173"/>
      <c r="IRW153" s="173"/>
      <c r="IRX153" s="173"/>
      <c r="IRY153" s="173"/>
      <c r="IRZ153" s="173"/>
      <c r="ISA153" s="173"/>
      <c r="ISB153" s="173"/>
      <c r="ISC153" s="125"/>
      <c r="ISD153" s="125"/>
      <c r="ISE153" s="134"/>
      <c r="ISF153" s="135"/>
      <c r="ISG153" s="135"/>
      <c r="ISH153" s="135"/>
      <c r="ISI153" s="135"/>
      <c r="ISJ153" s="173"/>
      <c r="ISK153" s="173"/>
      <c r="ISL153" s="173"/>
      <c r="ISM153" s="173"/>
      <c r="ISN153" s="173"/>
      <c r="ISO153" s="173"/>
      <c r="ISP153" s="173"/>
      <c r="ISQ153" s="173"/>
      <c r="ISR153" s="173"/>
      <c r="ISS153" s="173"/>
      <c r="IST153" s="125"/>
      <c r="ISU153" s="125"/>
      <c r="ISV153" s="134"/>
      <c r="ISW153" s="135"/>
      <c r="ISX153" s="135"/>
      <c r="ISY153" s="135"/>
      <c r="ISZ153" s="135"/>
      <c r="ITA153" s="173"/>
      <c r="ITB153" s="173"/>
      <c r="ITC153" s="173"/>
      <c r="ITD153" s="173"/>
      <c r="ITE153" s="173"/>
      <c r="ITF153" s="173"/>
      <c r="ITG153" s="173"/>
      <c r="ITH153" s="173"/>
      <c r="ITI153" s="173"/>
      <c r="ITJ153" s="173"/>
      <c r="ITK153" s="125"/>
      <c r="ITL153" s="125"/>
      <c r="ITM153" s="134"/>
      <c r="ITN153" s="135"/>
      <c r="ITO153" s="135"/>
      <c r="ITP153" s="135"/>
      <c r="ITQ153" s="135"/>
      <c r="ITR153" s="173"/>
      <c r="ITS153" s="173"/>
      <c r="ITT153" s="173"/>
      <c r="ITU153" s="173"/>
      <c r="ITV153" s="173"/>
      <c r="ITW153" s="173"/>
      <c r="ITX153" s="173"/>
      <c r="ITY153" s="173"/>
      <c r="ITZ153" s="173"/>
      <c r="IUA153" s="173"/>
      <c r="IUB153" s="125"/>
      <c r="IUC153" s="125"/>
      <c r="IUD153" s="134"/>
      <c r="IUE153" s="135"/>
      <c r="IUF153" s="135"/>
      <c r="IUG153" s="135"/>
      <c r="IUH153" s="135"/>
      <c r="IUI153" s="173"/>
      <c r="IUJ153" s="173"/>
      <c r="IUK153" s="173"/>
      <c r="IUL153" s="173"/>
      <c r="IUM153" s="173"/>
      <c r="IUN153" s="173"/>
      <c r="IUO153" s="173"/>
      <c r="IUP153" s="173"/>
      <c r="IUQ153" s="173"/>
      <c r="IUR153" s="173"/>
      <c r="IUS153" s="125"/>
      <c r="IUT153" s="125"/>
      <c r="IUU153" s="134"/>
      <c r="IUV153" s="135"/>
      <c r="IUW153" s="135"/>
      <c r="IUX153" s="135"/>
      <c r="IUY153" s="135"/>
      <c r="IUZ153" s="173"/>
      <c r="IVA153" s="173"/>
      <c r="IVB153" s="173"/>
      <c r="IVC153" s="173"/>
      <c r="IVD153" s="173"/>
      <c r="IVE153" s="173"/>
      <c r="IVF153" s="173"/>
      <c r="IVG153" s="173"/>
      <c r="IVH153" s="173"/>
      <c r="IVI153" s="173"/>
      <c r="IVJ153" s="125"/>
      <c r="IVK153" s="125"/>
      <c r="IVL153" s="134"/>
      <c r="IVM153" s="135"/>
      <c r="IVN153" s="135"/>
      <c r="IVO153" s="135"/>
      <c r="IVP153" s="135"/>
      <c r="IVQ153" s="173"/>
      <c r="IVR153" s="173"/>
      <c r="IVS153" s="173"/>
      <c r="IVT153" s="173"/>
      <c r="IVU153" s="173"/>
      <c r="IVV153" s="173"/>
      <c r="IVW153" s="173"/>
      <c r="IVX153" s="173"/>
      <c r="IVY153" s="173"/>
      <c r="IVZ153" s="173"/>
      <c r="IWA153" s="125"/>
      <c r="IWB153" s="125"/>
      <c r="IWC153" s="134"/>
      <c r="IWD153" s="135"/>
      <c r="IWE153" s="135"/>
      <c r="IWF153" s="135"/>
      <c r="IWG153" s="135"/>
      <c r="IWH153" s="173"/>
      <c r="IWI153" s="173"/>
      <c r="IWJ153" s="173"/>
      <c r="IWK153" s="173"/>
      <c r="IWL153" s="173"/>
      <c r="IWM153" s="173"/>
      <c r="IWN153" s="173"/>
      <c r="IWO153" s="173"/>
      <c r="IWP153" s="173"/>
      <c r="IWQ153" s="173"/>
      <c r="IWR153" s="125"/>
      <c r="IWS153" s="125"/>
      <c r="IWT153" s="134"/>
      <c r="IWU153" s="135"/>
      <c r="IWV153" s="135"/>
      <c r="IWW153" s="135"/>
      <c r="IWX153" s="135"/>
      <c r="IWY153" s="173"/>
      <c r="IWZ153" s="173"/>
      <c r="IXA153" s="173"/>
      <c r="IXB153" s="173"/>
      <c r="IXC153" s="173"/>
      <c r="IXD153" s="173"/>
      <c r="IXE153" s="173"/>
      <c r="IXF153" s="173"/>
      <c r="IXG153" s="173"/>
      <c r="IXH153" s="173"/>
      <c r="IXI153" s="125"/>
      <c r="IXJ153" s="125"/>
      <c r="IXK153" s="134"/>
      <c r="IXL153" s="135"/>
      <c r="IXM153" s="135"/>
      <c r="IXN153" s="135"/>
      <c r="IXO153" s="135"/>
      <c r="IXP153" s="173"/>
      <c r="IXQ153" s="173"/>
      <c r="IXR153" s="173"/>
      <c r="IXS153" s="173"/>
      <c r="IXT153" s="173"/>
      <c r="IXU153" s="173"/>
      <c r="IXV153" s="173"/>
      <c r="IXW153" s="173"/>
      <c r="IXX153" s="173"/>
      <c r="IXY153" s="173"/>
      <c r="IXZ153" s="125"/>
      <c r="IYA153" s="125"/>
      <c r="IYB153" s="134"/>
      <c r="IYC153" s="135"/>
      <c r="IYD153" s="135"/>
      <c r="IYE153" s="135"/>
      <c r="IYF153" s="135"/>
      <c r="IYG153" s="173"/>
      <c r="IYH153" s="173"/>
      <c r="IYI153" s="173"/>
      <c r="IYJ153" s="173"/>
      <c r="IYK153" s="173"/>
      <c r="IYL153" s="173"/>
      <c r="IYM153" s="173"/>
      <c r="IYN153" s="173"/>
      <c r="IYO153" s="173"/>
      <c r="IYP153" s="173"/>
      <c r="IYQ153" s="125"/>
      <c r="IYR153" s="125"/>
      <c r="IYS153" s="134"/>
      <c r="IYT153" s="135"/>
      <c r="IYU153" s="135"/>
      <c r="IYV153" s="135"/>
      <c r="IYW153" s="135"/>
      <c r="IYX153" s="173"/>
      <c r="IYY153" s="173"/>
      <c r="IYZ153" s="173"/>
      <c r="IZA153" s="173"/>
      <c r="IZB153" s="173"/>
      <c r="IZC153" s="173"/>
      <c r="IZD153" s="173"/>
      <c r="IZE153" s="173"/>
      <c r="IZF153" s="173"/>
      <c r="IZG153" s="173"/>
      <c r="IZH153" s="125"/>
      <c r="IZI153" s="125"/>
      <c r="IZJ153" s="134"/>
      <c r="IZK153" s="135"/>
      <c r="IZL153" s="135"/>
      <c r="IZM153" s="135"/>
      <c r="IZN153" s="135"/>
      <c r="IZO153" s="173"/>
      <c r="IZP153" s="173"/>
      <c r="IZQ153" s="173"/>
      <c r="IZR153" s="173"/>
      <c r="IZS153" s="173"/>
      <c r="IZT153" s="173"/>
      <c r="IZU153" s="173"/>
      <c r="IZV153" s="173"/>
      <c r="IZW153" s="173"/>
      <c r="IZX153" s="173"/>
      <c r="IZY153" s="125"/>
      <c r="IZZ153" s="125"/>
      <c r="JAA153" s="134"/>
      <c r="JAB153" s="135"/>
      <c r="JAC153" s="135"/>
      <c r="JAD153" s="135"/>
      <c r="JAE153" s="135"/>
      <c r="JAF153" s="173"/>
      <c r="JAG153" s="173"/>
      <c r="JAH153" s="173"/>
      <c r="JAI153" s="173"/>
      <c r="JAJ153" s="173"/>
      <c r="JAK153" s="173"/>
      <c r="JAL153" s="173"/>
      <c r="JAM153" s="173"/>
      <c r="JAN153" s="173"/>
      <c r="JAO153" s="173"/>
      <c r="JAP153" s="125"/>
      <c r="JAQ153" s="125"/>
      <c r="JAR153" s="134"/>
      <c r="JAS153" s="135"/>
      <c r="JAT153" s="135"/>
      <c r="JAU153" s="135"/>
      <c r="JAV153" s="135"/>
      <c r="JAW153" s="173"/>
      <c r="JAX153" s="173"/>
      <c r="JAY153" s="173"/>
      <c r="JAZ153" s="173"/>
      <c r="JBA153" s="173"/>
      <c r="JBB153" s="173"/>
      <c r="JBC153" s="173"/>
      <c r="JBD153" s="173"/>
      <c r="JBE153" s="173"/>
      <c r="JBF153" s="173"/>
      <c r="JBG153" s="125"/>
      <c r="JBH153" s="125"/>
      <c r="JBI153" s="134"/>
      <c r="JBJ153" s="135"/>
      <c r="JBK153" s="135"/>
      <c r="JBL153" s="135"/>
      <c r="JBM153" s="135"/>
      <c r="JBN153" s="173"/>
      <c r="JBO153" s="173"/>
      <c r="JBP153" s="173"/>
      <c r="JBQ153" s="173"/>
      <c r="JBR153" s="173"/>
      <c r="JBS153" s="173"/>
      <c r="JBT153" s="173"/>
      <c r="JBU153" s="173"/>
      <c r="JBV153" s="173"/>
      <c r="JBW153" s="173"/>
      <c r="JBX153" s="125"/>
      <c r="JBY153" s="125"/>
      <c r="JBZ153" s="134"/>
      <c r="JCA153" s="135"/>
      <c r="JCB153" s="135"/>
      <c r="JCC153" s="135"/>
      <c r="JCD153" s="135"/>
      <c r="JCE153" s="173"/>
      <c r="JCF153" s="173"/>
      <c r="JCG153" s="173"/>
      <c r="JCH153" s="173"/>
      <c r="JCI153" s="173"/>
      <c r="JCJ153" s="173"/>
      <c r="JCK153" s="173"/>
      <c r="JCL153" s="173"/>
      <c r="JCM153" s="173"/>
      <c r="JCN153" s="173"/>
      <c r="JCO153" s="125"/>
      <c r="JCP153" s="125"/>
      <c r="JCQ153" s="134"/>
      <c r="JCR153" s="135"/>
      <c r="JCS153" s="135"/>
      <c r="JCT153" s="135"/>
      <c r="JCU153" s="135"/>
      <c r="JCV153" s="173"/>
      <c r="JCW153" s="173"/>
      <c r="JCX153" s="173"/>
      <c r="JCY153" s="173"/>
      <c r="JCZ153" s="173"/>
      <c r="JDA153" s="173"/>
      <c r="JDB153" s="173"/>
      <c r="JDC153" s="173"/>
      <c r="JDD153" s="173"/>
      <c r="JDE153" s="173"/>
      <c r="JDF153" s="125"/>
      <c r="JDG153" s="125"/>
      <c r="JDH153" s="134"/>
      <c r="JDI153" s="135"/>
      <c r="JDJ153" s="135"/>
      <c r="JDK153" s="135"/>
      <c r="JDL153" s="135"/>
      <c r="JDM153" s="173"/>
      <c r="JDN153" s="173"/>
      <c r="JDO153" s="173"/>
      <c r="JDP153" s="173"/>
      <c r="JDQ153" s="173"/>
      <c r="JDR153" s="173"/>
      <c r="JDS153" s="173"/>
      <c r="JDT153" s="173"/>
      <c r="JDU153" s="173"/>
      <c r="JDV153" s="173"/>
      <c r="JDW153" s="125"/>
      <c r="JDX153" s="125"/>
      <c r="JDY153" s="134"/>
      <c r="JDZ153" s="135"/>
      <c r="JEA153" s="135"/>
      <c r="JEB153" s="135"/>
      <c r="JEC153" s="135"/>
      <c r="JED153" s="173"/>
      <c r="JEE153" s="173"/>
      <c r="JEF153" s="173"/>
      <c r="JEG153" s="173"/>
      <c r="JEH153" s="173"/>
      <c r="JEI153" s="173"/>
      <c r="JEJ153" s="173"/>
      <c r="JEK153" s="173"/>
      <c r="JEL153" s="173"/>
      <c r="JEM153" s="173"/>
      <c r="JEN153" s="125"/>
      <c r="JEO153" s="125"/>
      <c r="JEP153" s="134"/>
      <c r="JEQ153" s="135"/>
      <c r="JER153" s="135"/>
      <c r="JES153" s="135"/>
      <c r="JET153" s="135"/>
      <c r="JEU153" s="173"/>
      <c r="JEV153" s="173"/>
      <c r="JEW153" s="173"/>
      <c r="JEX153" s="173"/>
      <c r="JEY153" s="173"/>
      <c r="JEZ153" s="173"/>
      <c r="JFA153" s="173"/>
      <c r="JFB153" s="173"/>
      <c r="JFC153" s="173"/>
      <c r="JFD153" s="173"/>
      <c r="JFE153" s="125"/>
      <c r="JFF153" s="125"/>
      <c r="JFG153" s="134"/>
      <c r="JFH153" s="135"/>
      <c r="JFI153" s="135"/>
      <c r="JFJ153" s="135"/>
      <c r="JFK153" s="135"/>
      <c r="JFL153" s="173"/>
      <c r="JFM153" s="173"/>
      <c r="JFN153" s="173"/>
      <c r="JFO153" s="173"/>
      <c r="JFP153" s="173"/>
      <c r="JFQ153" s="173"/>
      <c r="JFR153" s="173"/>
      <c r="JFS153" s="173"/>
      <c r="JFT153" s="173"/>
      <c r="JFU153" s="173"/>
      <c r="JFV153" s="125"/>
      <c r="JFW153" s="125"/>
      <c r="JFX153" s="134"/>
      <c r="JFY153" s="135"/>
      <c r="JFZ153" s="135"/>
      <c r="JGA153" s="135"/>
      <c r="JGB153" s="135"/>
      <c r="JGC153" s="173"/>
      <c r="JGD153" s="173"/>
      <c r="JGE153" s="173"/>
      <c r="JGF153" s="173"/>
      <c r="JGG153" s="173"/>
      <c r="JGH153" s="173"/>
      <c r="JGI153" s="173"/>
      <c r="JGJ153" s="173"/>
      <c r="JGK153" s="173"/>
      <c r="JGL153" s="173"/>
      <c r="JGM153" s="125"/>
      <c r="JGN153" s="125"/>
      <c r="JGO153" s="134"/>
      <c r="JGP153" s="135"/>
      <c r="JGQ153" s="135"/>
      <c r="JGR153" s="135"/>
      <c r="JGS153" s="135"/>
      <c r="JGT153" s="173"/>
      <c r="JGU153" s="173"/>
      <c r="JGV153" s="173"/>
      <c r="JGW153" s="173"/>
      <c r="JGX153" s="173"/>
      <c r="JGY153" s="173"/>
      <c r="JGZ153" s="173"/>
      <c r="JHA153" s="173"/>
      <c r="JHB153" s="173"/>
      <c r="JHC153" s="173"/>
      <c r="JHD153" s="125"/>
      <c r="JHE153" s="125"/>
      <c r="JHF153" s="134"/>
      <c r="JHG153" s="135"/>
      <c r="JHH153" s="135"/>
      <c r="JHI153" s="135"/>
      <c r="JHJ153" s="135"/>
      <c r="JHK153" s="173"/>
      <c r="JHL153" s="173"/>
      <c r="JHM153" s="173"/>
      <c r="JHN153" s="173"/>
      <c r="JHO153" s="173"/>
      <c r="JHP153" s="173"/>
      <c r="JHQ153" s="173"/>
      <c r="JHR153" s="173"/>
      <c r="JHS153" s="173"/>
      <c r="JHT153" s="173"/>
      <c r="JHU153" s="125"/>
      <c r="JHV153" s="125"/>
      <c r="JHW153" s="134"/>
      <c r="JHX153" s="135"/>
      <c r="JHY153" s="135"/>
      <c r="JHZ153" s="135"/>
      <c r="JIA153" s="135"/>
      <c r="JIB153" s="173"/>
      <c r="JIC153" s="173"/>
      <c r="JID153" s="173"/>
      <c r="JIE153" s="173"/>
      <c r="JIF153" s="173"/>
      <c r="JIG153" s="173"/>
      <c r="JIH153" s="173"/>
      <c r="JII153" s="173"/>
      <c r="JIJ153" s="173"/>
      <c r="JIK153" s="173"/>
      <c r="JIL153" s="125"/>
      <c r="JIM153" s="125"/>
      <c r="JIN153" s="134"/>
      <c r="JIO153" s="135"/>
      <c r="JIP153" s="135"/>
      <c r="JIQ153" s="135"/>
      <c r="JIR153" s="135"/>
      <c r="JIS153" s="173"/>
      <c r="JIT153" s="173"/>
      <c r="JIU153" s="173"/>
      <c r="JIV153" s="173"/>
      <c r="JIW153" s="173"/>
      <c r="JIX153" s="173"/>
      <c r="JIY153" s="173"/>
      <c r="JIZ153" s="173"/>
      <c r="JJA153" s="173"/>
      <c r="JJB153" s="173"/>
      <c r="JJC153" s="125"/>
      <c r="JJD153" s="125"/>
      <c r="JJE153" s="134"/>
      <c r="JJF153" s="135"/>
      <c r="JJG153" s="135"/>
      <c r="JJH153" s="135"/>
      <c r="JJI153" s="135"/>
      <c r="JJJ153" s="173"/>
      <c r="JJK153" s="173"/>
      <c r="JJL153" s="173"/>
      <c r="JJM153" s="173"/>
      <c r="JJN153" s="173"/>
      <c r="JJO153" s="173"/>
      <c r="JJP153" s="173"/>
      <c r="JJQ153" s="173"/>
      <c r="JJR153" s="173"/>
      <c r="JJS153" s="173"/>
      <c r="JJT153" s="125"/>
      <c r="JJU153" s="125"/>
      <c r="JJV153" s="134"/>
      <c r="JJW153" s="135"/>
      <c r="JJX153" s="135"/>
      <c r="JJY153" s="135"/>
      <c r="JJZ153" s="135"/>
      <c r="JKA153" s="173"/>
      <c r="JKB153" s="173"/>
      <c r="JKC153" s="173"/>
      <c r="JKD153" s="173"/>
      <c r="JKE153" s="173"/>
      <c r="JKF153" s="173"/>
      <c r="JKG153" s="173"/>
      <c r="JKH153" s="173"/>
      <c r="JKI153" s="173"/>
      <c r="JKJ153" s="173"/>
      <c r="JKK153" s="125"/>
      <c r="JKL153" s="125"/>
      <c r="JKM153" s="134"/>
      <c r="JKN153" s="135"/>
      <c r="JKO153" s="135"/>
      <c r="JKP153" s="135"/>
      <c r="JKQ153" s="135"/>
      <c r="JKR153" s="173"/>
      <c r="JKS153" s="173"/>
      <c r="JKT153" s="173"/>
      <c r="JKU153" s="173"/>
      <c r="JKV153" s="173"/>
      <c r="JKW153" s="173"/>
      <c r="JKX153" s="173"/>
      <c r="JKY153" s="173"/>
      <c r="JKZ153" s="173"/>
      <c r="JLA153" s="173"/>
      <c r="JLB153" s="125"/>
      <c r="JLC153" s="125"/>
      <c r="JLD153" s="134"/>
      <c r="JLE153" s="135"/>
      <c r="JLF153" s="135"/>
      <c r="JLG153" s="135"/>
      <c r="JLH153" s="135"/>
      <c r="JLI153" s="173"/>
      <c r="JLJ153" s="173"/>
      <c r="JLK153" s="173"/>
      <c r="JLL153" s="173"/>
      <c r="JLM153" s="173"/>
      <c r="JLN153" s="173"/>
      <c r="JLO153" s="173"/>
      <c r="JLP153" s="173"/>
      <c r="JLQ153" s="173"/>
      <c r="JLR153" s="173"/>
      <c r="JLS153" s="125"/>
      <c r="JLT153" s="125"/>
      <c r="JLU153" s="134"/>
      <c r="JLV153" s="135"/>
      <c r="JLW153" s="135"/>
      <c r="JLX153" s="135"/>
      <c r="JLY153" s="135"/>
      <c r="JLZ153" s="173"/>
      <c r="JMA153" s="173"/>
      <c r="JMB153" s="173"/>
      <c r="JMC153" s="173"/>
      <c r="JMD153" s="173"/>
      <c r="JME153" s="173"/>
      <c r="JMF153" s="173"/>
      <c r="JMG153" s="173"/>
      <c r="JMH153" s="173"/>
      <c r="JMI153" s="173"/>
      <c r="JMJ153" s="125"/>
      <c r="JMK153" s="125"/>
      <c r="JML153" s="134"/>
      <c r="JMM153" s="135"/>
      <c r="JMN153" s="135"/>
      <c r="JMO153" s="135"/>
      <c r="JMP153" s="135"/>
      <c r="JMQ153" s="173"/>
      <c r="JMR153" s="173"/>
      <c r="JMS153" s="173"/>
      <c r="JMT153" s="173"/>
      <c r="JMU153" s="173"/>
      <c r="JMV153" s="173"/>
      <c r="JMW153" s="173"/>
      <c r="JMX153" s="173"/>
      <c r="JMY153" s="173"/>
      <c r="JMZ153" s="173"/>
      <c r="JNA153" s="125"/>
      <c r="JNB153" s="125"/>
      <c r="JNC153" s="134"/>
      <c r="JND153" s="135"/>
      <c r="JNE153" s="135"/>
      <c r="JNF153" s="135"/>
      <c r="JNG153" s="135"/>
      <c r="JNH153" s="173"/>
      <c r="JNI153" s="173"/>
      <c r="JNJ153" s="173"/>
      <c r="JNK153" s="173"/>
      <c r="JNL153" s="173"/>
      <c r="JNM153" s="173"/>
      <c r="JNN153" s="173"/>
      <c r="JNO153" s="173"/>
      <c r="JNP153" s="173"/>
      <c r="JNQ153" s="173"/>
      <c r="JNR153" s="125"/>
      <c r="JNS153" s="125"/>
      <c r="JNT153" s="134"/>
      <c r="JNU153" s="135"/>
      <c r="JNV153" s="135"/>
      <c r="JNW153" s="135"/>
      <c r="JNX153" s="135"/>
      <c r="JNY153" s="173"/>
      <c r="JNZ153" s="173"/>
      <c r="JOA153" s="173"/>
      <c r="JOB153" s="173"/>
      <c r="JOC153" s="173"/>
      <c r="JOD153" s="173"/>
      <c r="JOE153" s="173"/>
      <c r="JOF153" s="173"/>
      <c r="JOG153" s="173"/>
      <c r="JOH153" s="173"/>
      <c r="JOI153" s="125"/>
      <c r="JOJ153" s="125"/>
      <c r="JOK153" s="134"/>
      <c r="JOL153" s="135"/>
      <c r="JOM153" s="135"/>
      <c r="JON153" s="135"/>
      <c r="JOO153" s="135"/>
      <c r="JOP153" s="173"/>
      <c r="JOQ153" s="173"/>
      <c r="JOR153" s="173"/>
      <c r="JOS153" s="173"/>
      <c r="JOT153" s="173"/>
      <c r="JOU153" s="173"/>
      <c r="JOV153" s="173"/>
      <c r="JOW153" s="173"/>
      <c r="JOX153" s="173"/>
      <c r="JOY153" s="173"/>
      <c r="JOZ153" s="125"/>
      <c r="JPA153" s="125"/>
      <c r="JPB153" s="134"/>
      <c r="JPC153" s="135"/>
      <c r="JPD153" s="135"/>
      <c r="JPE153" s="135"/>
      <c r="JPF153" s="135"/>
      <c r="JPG153" s="173"/>
      <c r="JPH153" s="173"/>
      <c r="JPI153" s="173"/>
      <c r="JPJ153" s="173"/>
      <c r="JPK153" s="173"/>
      <c r="JPL153" s="173"/>
      <c r="JPM153" s="173"/>
      <c r="JPN153" s="173"/>
      <c r="JPO153" s="173"/>
      <c r="JPP153" s="173"/>
      <c r="JPQ153" s="125"/>
      <c r="JPR153" s="125"/>
      <c r="JPS153" s="134"/>
      <c r="JPT153" s="135"/>
      <c r="JPU153" s="135"/>
      <c r="JPV153" s="135"/>
      <c r="JPW153" s="135"/>
      <c r="JPX153" s="173"/>
      <c r="JPY153" s="173"/>
      <c r="JPZ153" s="173"/>
      <c r="JQA153" s="173"/>
      <c r="JQB153" s="173"/>
      <c r="JQC153" s="173"/>
      <c r="JQD153" s="173"/>
      <c r="JQE153" s="173"/>
      <c r="JQF153" s="173"/>
      <c r="JQG153" s="173"/>
      <c r="JQH153" s="125"/>
      <c r="JQI153" s="125"/>
      <c r="JQJ153" s="134"/>
      <c r="JQK153" s="135"/>
      <c r="JQL153" s="135"/>
      <c r="JQM153" s="135"/>
      <c r="JQN153" s="135"/>
      <c r="JQO153" s="173"/>
      <c r="JQP153" s="173"/>
      <c r="JQQ153" s="173"/>
      <c r="JQR153" s="173"/>
      <c r="JQS153" s="173"/>
      <c r="JQT153" s="173"/>
      <c r="JQU153" s="173"/>
      <c r="JQV153" s="173"/>
      <c r="JQW153" s="173"/>
      <c r="JQX153" s="173"/>
      <c r="JQY153" s="125"/>
      <c r="JQZ153" s="125"/>
      <c r="JRA153" s="134"/>
      <c r="JRB153" s="135"/>
      <c r="JRC153" s="135"/>
      <c r="JRD153" s="135"/>
      <c r="JRE153" s="135"/>
      <c r="JRF153" s="173"/>
      <c r="JRG153" s="173"/>
      <c r="JRH153" s="173"/>
      <c r="JRI153" s="173"/>
      <c r="JRJ153" s="173"/>
      <c r="JRK153" s="173"/>
      <c r="JRL153" s="173"/>
      <c r="JRM153" s="173"/>
      <c r="JRN153" s="173"/>
      <c r="JRO153" s="173"/>
      <c r="JRP153" s="125"/>
      <c r="JRQ153" s="125"/>
      <c r="JRR153" s="134"/>
      <c r="JRS153" s="135"/>
      <c r="JRT153" s="135"/>
      <c r="JRU153" s="135"/>
      <c r="JRV153" s="135"/>
      <c r="JRW153" s="173"/>
      <c r="JRX153" s="173"/>
      <c r="JRY153" s="173"/>
      <c r="JRZ153" s="173"/>
      <c r="JSA153" s="173"/>
      <c r="JSB153" s="173"/>
      <c r="JSC153" s="173"/>
      <c r="JSD153" s="173"/>
      <c r="JSE153" s="173"/>
      <c r="JSF153" s="173"/>
      <c r="JSG153" s="125"/>
      <c r="JSH153" s="125"/>
      <c r="JSI153" s="134"/>
      <c r="JSJ153" s="135"/>
      <c r="JSK153" s="135"/>
      <c r="JSL153" s="135"/>
      <c r="JSM153" s="135"/>
      <c r="JSN153" s="173"/>
      <c r="JSO153" s="173"/>
      <c r="JSP153" s="173"/>
      <c r="JSQ153" s="173"/>
      <c r="JSR153" s="173"/>
      <c r="JSS153" s="173"/>
      <c r="JST153" s="173"/>
      <c r="JSU153" s="173"/>
      <c r="JSV153" s="173"/>
      <c r="JSW153" s="173"/>
      <c r="JSX153" s="125"/>
      <c r="JSY153" s="125"/>
      <c r="JSZ153" s="134"/>
      <c r="JTA153" s="135"/>
      <c r="JTB153" s="135"/>
      <c r="JTC153" s="135"/>
      <c r="JTD153" s="135"/>
      <c r="JTE153" s="173"/>
      <c r="JTF153" s="173"/>
      <c r="JTG153" s="173"/>
      <c r="JTH153" s="173"/>
      <c r="JTI153" s="173"/>
      <c r="JTJ153" s="173"/>
      <c r="JTK153" s="173"/>
      <c r="JTL153" s="173"/>
      <c r="JTM153" s="173"/>
      <c r="JTN153" s="173"/>
      <c r="JTO153" s="125"/>
      <c r="JTP153" s="125"/>
      <c r="JTQ153" s="134"/>
      <c r="JTR153" s="135"/>
      <c r="JTS153" s="135"/>
      <c r="JTT153" s="135"/>
      <c r="JTU153" s="135"/>
      <c r="JTV153" s="173"/>
      <c r="JTW153" s="173"/>
      <c r="JTX153" s="173"/>
      <c r="JTY153" s="173"/>
      <c r="JTZ153" s="173"/>
      <c r="JUA153" s="173"/>
      <c r="JUB153" s="173"/>
      <c r="JUC153" s="173"/>
      <c r="JUD153" s="173"/>
      <c r="JUE153" s="173"/>
      <c r="JUF153" s="125"/>
      <c r="JUG153" s="125"/>
      <c r="JUH153" s="134"/>
      <c r="JUI153" s="135"/>
      <c r="JUJ153" s="135"/>
      <c r="JUK153" s="135"/>
      <c r="JUL153" s="135"/>
      <c r="JUM153" s="173"/>
      <c r="JUN153" s="173"/>
      <c r="JUO153" s="173"/>
      <c r="JUP153" s="173"/>
      <c r="JUQ153" s="173"/>
      <c r="JUR153" s="173"/>
      <c r="JUS153" s="173"/>
      <c r="JUT153" s="173"/>
      <c r="JUU153" s="173"/>
      <c r="JUV153" s="173"/>
      <c r="JUW153" s="125"/>
      <c r="JUX153" s="125"/>
      <c r="JUY153" s="134"/>
      <c r="JUZ153" s="135"/>
      <c r="JVA153" s="135"/>
      <c r="JVB153" s="135"/>
      <c r="JVC153" s="135"/>
      <c r="JVD153" s="173"/>
      <c r="JVE153" s="173"/>
      <c r="JVF153" s="173"/>
      <c r="JVG153" s="173"/>
      <c r="JVH153" s="173"/>
      <c r="JVI153" s="173"/>
      <c r="JVJ153" s="173"/>
      <c r="JVK153" s="173"/>
      <c r="JVL153" s="173"/>
      <c r="JVM153" s="173"/>
      <c r="JVN153" s="125"/>
      <c r="JVO153" s="125"/>
      <c r="JVP153" s="134"/>
      <c r="JVQ153" s="135"/>
      <c r="JVR153" s="135"/>
      <c r="JVS153" s="135"/>
      <c r="JVT153" s="135"/>
      <c r="JVU153" s="173"/>
      <c r="JVV153" s="173"/>
      <c r="JVW153" s="173"/>
      <c r="JVX153" s="173"/>
      <c r="JVY153" s="173"/>
      <c r="JVZ153" s="173"/>
      <c r="JWA153" s="173"/>
      <c r="JWB153" s="173"/>
      <c r="JWC153" s="173"/>
      <c r="JWD153" s="173"/>
      <c r="JWE153" s="125"/>
      <c r="JWF153" s="125"/>
      <c r="JWG153" s="134"/>
      <c r="JWH153" s="135"/>
      <c r="JWI153" s="135"/>
      <c r="JWJ153" s="135"/>
      <c r="JWK153" s="135"/>
      <c r="JWL153" s="173"/>
      <c r="JWM153" s="173"/>
      <c r="JWN153" s="173"/>
      <c r="JWO153" s="173"/>
      <c r="JWP153" s="173"/>
      <c r="JWQ153" s="173"/>
      <c r="JWR153" s="173"/>
      <c r="JWS153" s="173"/>
      <c r="JWT153" s="173"/>
      <c r="JWU153" s="173"/>
      <c r="JWV153" s="125"/>
      <c r="JWW153" s="125"/>
      <c r="JWX153" s="134"/>
      <c r="JWY153" s="135"/>
      <c r="JWZ153" s="135"/>
      <c r="JXA153" s="135"/>
      <c r="JXB153" s="135"/>
      <c r="JXC153" s="173"/>
      <c r="JXD153" s="173"/>
      <c r="JXE153" s="173"/>
      <c r="JXF153" s="173"/>
      <c r="JXG153" s="173"/>
      <c r="JXH153" s="173"/>
      <c r="JXI153" s="173"/>
      <c r="JXJ153" s="173"/>
      <c r="JXK153" s="173"/>
      <c r="JXL153" s="173"/>
      <c r="JXM153" s="125"/>
      <c r="JXN153" s="125"/>
      <c r="JXO153" s="134"/>
      <c r="JXP153" s="135"/>
      <c r="JXQ153" s="135"/>
      <c r="JXR153" s="135"/>
      <c r="JXS153" s="135"/>
      <c r="JXT153" s="173"/>
      <c r="JXU153" s="173"/>
      <c r="JXV153" s="173"/>
      <c r="JXW153" s="173"/>
      <c r="JXX153" s="173"/>
      <c r="JXY153" s="173"/>
      <c r="JXZ153" s="173"/>
      <c r="JYA153" s="173"/>
      <c r="JYB153" s="173"/>
      <c r="JYC153" s="173"/>
      <c r="JYD153" s="125"/>
      <c r="JYE153" s="125"/>
      <c r="JYF153" s="134"/>
      <c r="JYG153" s="135"/>
      <c r="JYH153" s="135"/>
      <c r="JYI153" s="135"/>
      <c r="JYJ153" s="135"/>
      <c r="JYK153" s="173"/>
      <c r="JYL153" s="173"/>
      <c r="JYM153" s="173"/>
      <c r="JYN153" s="173"/>
      <c r="JYO153" s="173"/>
      <c r="JYP153" s="173"/>
      <c r="JYQ153" s="173"/>
      <c r="JYR153" s="173"/>
      <c r="JYS153" s="173"/>
      <c r="JYT153" s="173"/>
      <c r="JYU153" s="125"/>
      <c r="JYV153" s="125"/>
      <c r="JYW153" s="134"/>
      <c r="JYX153" s="135"/>
      <c r="JYY153" s="135"/>
      <c r="JYZ153" s="135"/>
      <c r="JZA153" s="135"/>
      <c r="JZB153" s="173"/>
      <c r="JZC153" s="173"/>
      <c r="JZD153" s="173"/>
      <c r="JZE153" s="173"/>
      <c r="JZF153" s="173"/>
      <c r="JZG153" s="173"/>
      <c r="JZH153" s="173"/>
      <c r="JZI153" s="173"/>
      <c r="JZJ153" s="173"/>
      <c r="JZK153" s="173"/>
      <c r="JZL153" s="125"/>
      <c r="JZM153" s="125"/>
      <c r="JZN153" s="134"/>
      <c r="JZO153" s="135"/>
      <c r="JZP153" s="135"/>
      <c r="JZQ153" s="135"/>
      <c r="JZR153" s="135"/>
      <c r="JZS153" s="173"/>
      <c r="JZT153" s="173"/>
      <c r="JZU153" s="173"/>
      <c r="JZV153" s="173"/>
      <c r="JZW153" s="173"/>
      <c r="JZX153" s="173"/>
      <c r="JZY153" s="173"/>
      <c r="JZZ153" s="173"/>
      <c r="KAA153" s="173"/>
      <c r="KAB153" s="173"/>
      <c r="KAC153" s="125"/>
      <c r="KAD153" s="125"/>
      <c r="KAE153" s="134"/>
      <c r="KAF153" s="135"/>
      <c r="KAG153" s="135"/>
      <c r="KAH153" s="135"/>
      <c r="KAI153" s="135"/>
      <c r="KAJ153" s="173"/>
      <c r="KAK153" s="173"/>
      <c r="KAL153" s="173"/>
      <c r="KAM153" s="173"/>
      <c r="KAN153" s="173"/>
      <c r="KAO153" s="173"/>
      <c r="KAP153" s="173"/>
      <c r="KAQ153" s="173"/>
      <c r="KAR153" s="173"/>
      <c r="KAS153" s="173"/>
      <c r="KAT153" s="125"/>
      <c r="KAU153" s="125"/>
      <c r="KAV153" s="134"/>
      <c r="KAW153" s="135"/>
      <c r="KAX153" s="135"/>
      <c r="KAY153" s="135"/>
      <c r="KAZ153" s="135"/>
      <c r="KBA153" s="173"/>
      <c r="KBB153" s="173"/>
      <c r="KBC153" s="173"/>
      <c r="KBD153" s="173"/>
      <c r="KBE153" s="173"/>
      <c r="KBF153" s="173"/>
      <c r="KBG153" s="173"/>
      <c r="KBH153" s="173"/>
      <c r="KBI153" s="173"/>
      <c r="KBJ153" s="173"/>
      <c r="KBK153" s="125"/>
      <c r="KBL153" s="125"/>
      <c r="KBM153" s="134"/>
      <c r="KBN153" s="135"/>
      <c r="KBO153" s="135"/>
      <c r="KBP153" s="135"/>
      <c r="KBQ153" s="135"/>
      <c r="KBR153" s="173"/>
      <c r="KBS153" s="173"/>
      <c r="KBT153" s="173"/>
      <c r="KBU153" s="173"/>
      <c r="KBV153" s="173"/>
      <c r="KBW153" s="173"/>
      <c r="KBX153" s="173"/>
      <c r="KBY153" s="173"/>
      <c r="KBZ153" s="173"/>
      <c r="KCA153" s="173"/>
      <c r="KCB153" s="125"/>
      <c r="KCC153" s="125"/>
      <c r="KCD153" s="134"/>
      <c r="KCE153" s="135"/>
      <c r="KCF153" s="135"/>
      <c r="KCG153" s="135"/>
      <c r="KCH153" s="135"/>
      <c r="KCI153" s="173"/>
      <c r="KCJ153" s="173"/>
      <c r="KCK153" s="173"/>
      <c r="KCL153" s="173"/>
      <c r="KCM153" s="173"/>
      <c r="KCN153" s="173"/>
      <c r="KCO153" s="173"/>
      <c r="KCP153" s="173"/>
      <c r="KCQ153" s="173"/>
      <c r="KCR153" s="173"/>
      <c r="KCS153" s="125"/>
      <c r="KCT153" s="125"/>
      <c r="KCU153" s="134"/>
      <c r="KCV153" s="135"/>
      <c r="KCW153" s="135"/>
      <c r="KCX153" s="135"/>
      <c r="KCY153" s="135"/>
      <c r="KCZ153" s="173"/>
      <c r="KDA153" s="173"/>
      <c r="KDB153" s="173"/>
      <c r="KDC153" s="173"/>
      <c r="KDD153" s="173"/>
      <c r="KDE153" s="173"/>
      <c r="KDF153" s="173"/>
      <c r="KDG153" s="173"/>
      <c r="KDH153" s="173"/>
      <c r="KDI153" s="173"/>
      <c r="KDJ153" s="125"/>
      <c r="KDK153" s="125"/>
      <c r="KDL153" s="134"/>
      <c r="KDM153" s="135"/>
      <c r="KDN153" s="135"/>
      <c r="KDO153" s="135"/>
      <c r="KDP153" s="135"/>
      <c r="KDQ153" s="173"/>
      <c r="KDR153" s="173"/>
      <c r="KDS153" s="173"/>
      <c r="KDT153" s="173"/>
      <c r="KDU153" s="173"/>
      <c r="KDV153" s="173"/>
      <c r="KDW153" s="173"/>
      <c r="KDX153" s="173"/>
      <c r="KDY153" s="173"/>
      <c r="KDZ153" s="173"/>
      <c r="KEA153" s="125"/>
      <c r="KEB153" s="125"/>
      <c r="KEC153" s="134"/>
      <c r="KED153" s="135"/>
      <c r="KEE153" s="135"/>
      <c r="KEF153" s="135"/>
      <c r="KEG153" s="135"/>
      <c r="KEH153" s="173"/>
      <c r="KEI153" s="173"/>
      <c r="KEJ153" s="173"/>
      <c r="KEK153" s="173"/>
      <c r="KEL153" s="173"/>
      <c r="KEM153" s="173"/>
      <c r="KEN153" s="173"/>
      <c r="KEO153" s="173"/>
      <c r="KEP153" s="173"/>
      <c r="KEQ153" s="173"/>
      <c r="KER153" s="125"/>
      <c r="KES153" s="125"/>
      <c r="KET153" s="134"/>
      <c r="KEU153" s="135"/>
      <c r="KEV153" s="135"/>
      <c r="KEW153" s="135"/>
      <c r="KEX153" s="135"/>
      <c r="KEY153" s="173"/>
      <c r="KEZ153" s="173"/>
      <c r="KFA153" s="173"/>
      <c r="KFB153" s="173"/>
      <c r="KFC153" s="173"/>
      <c r="KFD153" s="173"/>
      <c r="KFE153" s="173"/>
      <c r="KFF153" s="173"/>
      <c r="KFG153" s="173"/>
      <c r="KFH153" s="173"/>
      <c r="KFI153" s="125"/>
      <c r="KFJ153" s="125"/>
      <c r="KFK153" s="134"/>
      <c r="KFL153" s="135"/>
      <c r="KFM153" s="135"/>
      <c r="KFN153" s="135"/>
      <c r="KFO153" s="135"/>
      <c r="KFP153" s="173"/>
      <c r="KFQ153" s="173"/>
      <c r="KFR153" s="173"/>
      <c r="KFS153" s="173"/>
      <c r="KFT153" s="173"/>
      <c r="KFU153" s="173"/>
      <c r="KFV153" s="173"/>
      <c r="KFW153" s="173"/>
      <c r="KFX153" s="173"/>
      <c r="KFY153" s="173"/>
      <c r="KFZ153" s="125"/>
      <c r="KGA153" s="125"/>
      <c r="KGB153" s="134"/>
      <c r="KGC153" s="135"/>
      <c r="KGD153" s="135"/>
      <c r="KGE153" s="135"/>
      <c r="KGF153" s="135"/>
      <c r="KGG153" s="173"/>
      <c r="KGH153" s="173"/>
      <c r="KGI153" s="173"/>
      <c r="KGJ153" s="173"/>
      <c r="KGK153" s="173"/>
      <c r="KGL153" s="173"/>
      <c r="KGM153" s="173"/>
      <c r="KGN153" s="173"/>
      <c r="KGO153" s="173"/>
      <c r="KGP153" s="173"/>
      <c r="KGQ153" s="125"/>
      <c r="KGR153" s="125"/>
      <c r="KGS153" s="134"/>
      <c r="KGT153" s="135"/>
      <c r="KGU153" s="135"/>
      <c r="KGV153" s="135"/>
      <c r="KGW153" s="135"/>
      <c r="KGX153" s="173"/>
      <c r="KGY153" s="173"/>
      <c r="KGZ153" s="173"/>
      <c r="KHA153" s="173"/>
      <c r="KHB153" s="173"/>
      <c r="KHC153" s="173"/>
      <c r="KHD153" s="173"/>
      <c r="KHE153" s="173"/>
      <c r="KHF153" s="173"/>
      <c r="KHG153" s="173"/>
      <c r="KHH153" s="125"/>
      <c r="KHI153" s="125"/>
      <c r="KHJ153" s="134"/>
      <c r="KHK153" s="135"/>
      <c r="KHL153" s="135"/>
      <c r="KHM153" s="135"/>
      <c r="KHN153" s="135"/>
      <c r="KHO153" s="173"/>
      <c r="KHP153" s="173"/>
      <c r="KHQ153" s="173"/>
      <c r="KHR153" s="173"/>
      <c r="KHS153" s="173"/>
      <c r="KHT153" s="173"/>
      <c r="KHU153" s="173"/>
      <c r="KHV153" s="173"/>
      <c r="KHW153" s="173"/>
      <c r="KHX153" s="173"/>
      <c r="KHY153" s="125"/>
      <c r="KHZ153" s="125"/>
      <c r="KIA153" s="134"/>
      <c r="KIB153" s="135"/>
      <c r="KIC153" s="135"/>
      <c r="KID153" s="135"/>
      <c r="KIE153" s="135"/>
      <c r="KIF153" s="173"/>
      <c r="KIG153" s="173"/>
      <c r="KIH153" s="173"/>
      <c r="KII153" s="173"/>
      <c r="KIJ153" s="173"/>
      <c r="KIK153" s="173"/>
      <c r="KIL153" s="173"/>
      <c r="KIM153" s="173"/>
      <c r="KIN153" s="173"/>
      <c r="KIO153" s="173"/>
      <c r="KIP153" s="125"/>
      <c r="KIQ153" s="125"/>
      <c r="KIR153" s="134"/>
      <c r="KIS153" s="135"/>
      <c r="KIT153" s="135"/>
      <c r="KIU153" s="135"/>
      <c r="KIV153" s="135"/>
      <c r="KIW153" s="173"/>
      <c r="KIX153" s="173"/>
      <c r="KIY153" s="173"/>
      <c r="KIZ153" s="173"/>
      <c r="KJA153" s="173"/>
      <c r="KJB153" s="173"/>
      <c r="KJC153" s="173"/>
      <c r="KJD153" s="173"/>
      <c r="KJE153" s="173"/>
      <c r="KJF153" s="173"/>
      <c r="KJG153" s="125"/>
      <c r="KJH153" s="125"/>
      <c r="KJI153" s="134"/>
      <c r="KJJ153" s="135"/>
      <c r="KJK153" s="135"/>
      <c r="KJL153" s="135"/>
      <c r="KJM153" s="135"/>
      <c r="KJN153" s="173"/>
      <c r="KJO153" s="173"/>
      <c r="KJP153" s="173"/>
      <c r="KJQ153" s="173"/>
      <c r="KJR153" s="173"/>
      <c r="KJS153" s="173"/>
      <c r="KJT153" s="173"/>
      <c r="KJU153" s="173"/>
      <c r="KJV153" s="173"/>
      <c r="KJW153" s="173"/>
      <c r="KJX153" s="125"/>
      <c r="KJY153" s="125"/>
      <c r="KJZ153" s="134"/>
      <c r="KKA153" s="135"/>
      <c r="KKB153" s="135"/>
      <c r="KKC153" s="135"/>
      <c r="KKD153" s="135"/>
      <c r="KKE153" s="173"/>
      <c r="KKF153" s="173"/>
      <c r="KKG153" s="173"/>
      <c r="KKH153" s="173"/>
      <c r="KKI153" s="173"/>
      <c r="KKJ153" s="173"/>
      <c r="KKK153" s="173"/>
      <c r="KKL153" s="173"/>
      <c r="KKM153" s="173"/>
      <c r="KKN153" s="173"/>
      <c r="KKO153" s="125"/>
      <c r="KKP153" s="125"/>
      <c r="KKQ153" s="134"/>
      <c r="KKR153" s="135"/>
      <c r="KKS153" s="135"/>
      <c r="KKT153" s="135"/>
      <c r="KKU153" s="135"/>
      <c r="KKV153" s="173"/>
      <c r="KKW153" s="173"/>
      <c r="KKX153" s="173"/>
      <c r="KKY153" s="173"/>
      <c r="KKZ153" s="173"/>
      <c r="KLA153" s="173"/>
      <c r="KLB153" s="173"/>
      <c r="KLC153" s="173"/>
      <c r="KLD153" s="173"/>
      <c r="KLE153" s="173"/>
      <c r="KLF153" s="125"/>
      <c r="KLG153" s="125"/>
      <c r="KLH153" s="134"/>
      <c r="KLI153" s="135"/>
      <c r="KLJ153" s="135"/>
      <c r="KLK153" s="135"/>
      <c r="KLL153" s="135"/>
      <c r="KLM153" s="173"/>
      <c r="KLN153" s="173"/>
      <c r="KLO153" s="173"/>
      <c r="KLP153" s="173"/>
      <c r="KLQ153" s="173"/>
      <c r="KLR153" s="173"/>
      <c r="KLS153" s="173"/>
      <c r="KLT153" s="173"/>
      <c r="KLU153" s="173"/>
      <c r="KLV153" s="173"/>
      <c r="KLW153" s="125"/>
      <c r="KLX153" s="125"/>
      <c r="KLY153" s="134"/>
      <c r="KLZ153" s="135"/>
      <c r="KMA153" s="135"/>
      <c r="KMB153" s="135"/>
      <c r="KMC153" s="135"/>
      <c r="KMD153" s="173"/>
      <c r="KME153" s="173"/>
      <c r="KMF153" s="173"/>
      <c r="KMG153" s="173"/>
      <c r="KMH153" s="173"/>
      <c r="KMI153" s="173"/>
      <c r="KMJ153" s="173"/>
      <c r="KMK153" s="173"/>
      <c r="KML153" s="173"/>
      <c r="KMM153" s="173"/>
      <c r="KMN153" s="125"/>
      <c r="KMO153" s="125"/>
      <c r="KMP153" s="134"/>
      <c r="KMQ153" s="135"/>
      <c r="KMR153" s="135"/>
      <c r="KMS153" s="135"/>
      <c r="KMT153" s="135"/>
      <c r="KMU153" s="173"/>
      <c r="KMV153" s="173"/>
      <c r="KMW153" s="173"/>
      <c r="KMX153" s="173"/>
      <c r="KMY153" s="173"/>
      <c r="KMZ153" s="173"/>
      <c r="KNA153" s="173"/>
      <c r="KNB153" s="173"/>
      <c r="KNC153" s="173"/>
      <c r="KND153" s="173"/>
      <c r="KNE153" s="125"/>
      <c r="KNF153" s="125"/>
      <c r="KNG153" s="134"/>
      <c r="KNH153" s="135"/>
      <c r="KNI153" s="135"/>
      <c r="KNJ153" s="135"/>
      <c r="KNK153" s="135"/>
      <c r="KNL153" s="173"/>
      <c r="KNM153" s="173"/>
      <c r="KNN153" s="173"/>
      <c r="KNO153" s="173"/>
      <c r="KNP153" s="173"/>
      <c r="KNQ153" s="173"/>
      <c r="KNR153" s="173"/>
      <c r="KNS153" s="173"/>
      <c r="KNT153" s="173"/>
      <c r="KNU153" s="173"/>
      <c r="KNV153" s="125"/>
      <c r="KNW153" s="125"/>
      <c r="KNX153" s="134"/>
      <c r="KNY153" s="135"/>
      <c r="KNZ153" s="135"/>
      <c r="KOA153" s="135"/>
      <c r="KOB153" s="135"/>
      <c r="KOC153" s="173"/>
      <c r="KOD153" s="173"/>
      <c r="KOE153" s="173"/>
      <c r="KOF153" s="173"/>
      <c r="KOG153" s="173"/>
      <c r="KOH153" s="173"/>
      <c r="KOI153" s="173"/>
      <c r="KOJ153" s="173"/>
      <c r="KOK153" s="173"/>
      <c r="KOL153" s="173"/>
      <c r="KOM153" s="125"/>
      <c r="KON153" s="125"/>
      <c r="KOO153" s="134"/>
      <c r="KOP153" s="135"/>
      <c r="KOQ153" s="135"/>
      <c r="KOR153" s="135"/>
      <c r="KOS153" s="135"/>
      <c r="KOT153" s="173"/>
      <c r="KOU153" s="173"/>
      <c r="KOV153" s="173"/>
      <c r="KOW153" s="173"/>
      <c r="KOX153" s="173"/>
      <c r="KOY153" s="173"/>
      <c r="KOZ153" s="173"/>
      <c r="KPA153" s="173"/>
      <c r="KPB153" s="173"/>
      <c r="KPC153" s="173"/>
      <c r="KPD153" s="125"/>
      <c r="KPE153" s="125"/>
      <c r="KPF153" s="134"/>
      <c r="KPG153" s="135"/>
      <c r="KPH153" s="135"/>
      <c r="KPI153" s="135"/>
      <c r="KPJ153" s="135"/>
      <c r="KPK153" s="173"/>
      <c r="KPL153" s="173"/>
      <c r="KPM153" s="173"/>
      <c r="KPN153" s="173"/>
      <c r="KPO153" s="173"/>
      <c r="KPP153" s="173"/>
      <c r="KPQ153" s="173"/>
      <c r="KPR153" s="173"/>
      <c r="KPS153" s="173"/>
      <c r="KPT153" s="173"/>
      <c r="KPU153" s="125"/>
      <c r="KPV153" s="125"/>
      <c r="KPW153" s="134"/>
      <c r="KPX153" s="135"/>
      <c r="KPY153" s="135"/>
      <c r="KPZ153" s="135"/>
      <c r="KQA153" s="135"/>
      <c r="KQB153" s="173"/>
      <c r="KQC153" s="173"/>
      <c r="KQD153" s="173"/>
      <c r="KQE153" s="173"/>
      <c r="KQF153" s="173"/>
      <c r="KQG153" s="173"/>
      <c r="KQH153" s="173"/>
      <c r="KQI153" s="173"/>
      <c r="KQJ153" s="173"/>
      <c r="KQK153" s="173"/>
      <c r="KQL153" s="125"/>
      <c r="KQM153" s="125"/>
      <c r="KQN153" s="134"/>
      <c r="KQO153" s="135"/>
      <c r="KQP153" s="135"/>
      <c r="KQQ153" s="135"/>
      <c r="KQR153" s="135"/>
      <c r="KQS153" s="173"/>
      <c r="KQT153" s="173"/>
      <c r="KQU153" s="173"/>
      <c r="KQV153" s="173"/>
      <c r="KQW153" s="173"/>
      <c r="KQX153" s="173"/>
      <c r="KQY153" s="173"/>
      <c r="KQZ153" s="173"/>
      <c r="KRA153" s="173"/>
      <c r="KRB153" s="173"/>
      <c r="KRC153" s="125"/>
      <c r="KRD153" s="125"/>
      <c r="KRE153" s="134"/>
      <c r="KRF153" s="135"/>
      <c r="KRG153" s="135"/>
      <c r="KRH153" s="135"/>
      <c r="KRI153" s="135"/>
      <c r="KRJ153" s="173"/>
      <c r="KRK153" s="173"/>
      <c r="KRL153" s="173"/>
      <c r="KRM153" s="173"/>
      <c r="KRN153" s="173"/>
      <c r="KRO153" s="173"/>
      <c r="KRP153" s="173"/>
      <c r="KRQ153" s="173"/>
      <c r="KRR153" s="173"/>
      <c r="KRS153" s="173"/>
      <c r="KRT153" s="125"/>
      <c r="KRU153" s="125"/>
      <c r="KRV153" s="134"/>
      <c r="KRW153" s="135"/>
      <c r="KRX153" s="135"/>
      <c r="KRY153" s="135"/>
      <c r="KRZ153" s="135"/>
      <c r="KSA153" s="173"/>
      <c r="KSB153" s="173"/>
      <c r="KSC153" s="173"/>
      <c r="KSD153" s="173"/>
      <c r="KSE153" s="173"/>
      <c r="KSF153" s="173"/>
      <c r="KSG153" s="173"/>
      <c r="KSH153" s="173"/>
      <c r="KSI153" s="173"/>
      <c r="KSJ153" s="173"/>
      <c r="KSK153" s="125"/>
      <c r="KSL153" s="125"/>
      <c r="KSM153" s="134"/>
      <c r="KSN153" s="135"/>
      <c r="KSO153" s="135"/>
      <c r="KSP153" s="135"/>
      <c r="KSQ153" s="135"/>
      <c r="KSR153" s="173"/>
      <c r="KSS153" s="173"/>
      <c r="KST153" s="173"/>
      <c r="KSU153" s="173"/>
      <c r="KSV153" s="173"/>
      <c r="KSW153" s="173"/>
      <c r="KSX153" s="173"/>
      <c r="KSY153" s="173"/>
      <c r="KSZ153" s="173"/>
      <c r="KTA153" s="173"/>
      <c r="KTB153" s="125"/>
      <c r="KTC153" s="125"/>
      <c r="KTD153" s="134"/>
      <c r="KTE153" s="135"/>
      <c r="KTF153" s="135"/>
      <c r="KTG153" s="135"/>
      <c r="KTH153" s="135"/>
      <c r="KTI153" s="173"/>
      <c r="KTJ153" s="173"/>
      <c r="KTK153" s="173"/>
      <c r="KTL153" s="173"/>
      <c r="KTM153" s="173"/>
      <c r="KTN153" s="173"/>
      <c r="KTO153" s="173"/>
      <c r="KTP153" s="173"/>
      <c r="KTQ153" s="173"/>
      <c r="KTR153" s="173"/>
      <c r="KTS153" s="125"/>
      <c r="KTT153" s="125"/>
      <c r="KTU153" s="134"/>
      <c r="KTV153" s="135"/>
      <c r="KTW153" s="135"/>
      <c r="KTX153" s="135"/>
      <c r="KTY153" s="135"/>
      <c r="KTZ153" s="173"/>
      <c r="KUA153" s="173"/>
      <c r="KUB153" s="173"/>
      <c r="KUC153" s="173"/>
      <c r="KUD153" s="173"/>
      <c r="KUE153" s="173"/>
      <c r="KUF153" s="173"/>
      <c r="KUG153" s="173"/>
      <c r="KUH153" s="173"/>
      <c r="KUI153" s="173"/>
      <c r="KUJ153" s="125"/>
      <c r="KUK153" s="125"/>
      <c r="KUL153" s="134"/>
      <c r="KUM153" s="135"/>
      <c r="KUN153" s="135"/>
      <c r="KUO153" s="135"/>
      <c r="KUP153" s="135"/>
      <c r="KUQ153" s="173"/>
      <c r="KUR153" s="173"/>
      <c r="KUS153" s="173"/>
      <c r="KUT153" s="173"/>
      <c r="KUU153" s="173"/>
      <c r="KUV153" s="173"/>
      <c r="KUW153" s="173"/>
      <c r="KUX153" s="173"/>
      <c r="KUY153" s="173"/>
      <c r="KUZ153" s="173"/>
      <c r="KVA153" s="125"/>
      <c r="KVB153" s="125"/>
      <c r="KVC153" s="134"/>
      <c r="KVD153" s="135"/>
      <c r="KVE153" s="135"/>
      <c r="KVF153" s="135"/>
      <c r="KVG153" s="135"/>
      <c r="KVH153" s="173"/>
      <c r="KVI153" s="173"/>
      <c r="KVJ153" s="173"/>
      <c r="KVK153" s="173"/>
      <c r="KVL153" s="173"/>
      <c r="KVM153" s="173"/>
      <c r="KVN153" s="173"/>
      <c r="KVO153" s="173"/>
      <c r="KVP153" s="173"/>
      <c r="KVQ153" s="173"/>
      <c r="KVR153" s="125"/>
      <c r="KVS153" s="125"/>
      <c r="KVT153" s="134"/>
      <c r="KVU153" s="135"/>
      <c r="KVV153" s="135"/>
      <c r="KVW153" s="135"/>
      <c r="KVX153" s="135"/>
      <c r="KVY153" s="173"/>
      <c r="KVZ153" s="173"/>
      <c r="KWA153" s="173"/>
      <c r="KWB153" s="173"/>
      <c r="KWC153" s="173"/>
      <c r="KWD153" s="173"/>
      <c r="KWE153" s="173"/>
      <c r="KWF153" s="173"/>
      <c r="KWG153" s="173"/>
      <c r="KWH153" s="173"/>
      <c r="KWI153" s="125"/>
      <c r="KWJ153" s="125"/>
      <c r="KWK153" s="134"/>
      <c r="KWL153" s="135"/>
      <c r="KWM153" s="135"/>
      <c r="KWN153" s="135"/>
      <c r="KWO153" s="135"/>
      <c r="KWP153" s="173"/>
      <c r="KWQ153" s="173"/>
      <c r="KWR153" s="173"/>
      <c r="KWS153" s="173"/>
      <c r="KWT153" s="173"/>
      <c r="KWU153" s="173"/>
      <c r="KWV153" s="173"/>
      <c r="KWW153" s="173"/>
      <c r="KWX153" s="173"/>
      <c r="KWY153" s="173"/>
      <c r="KWZ153" s="125"/>
      <c r="KXA153" s="125"/>
      <c r="KXB153" s="134"/>
      <c r="KXC153" s="135"/>
      <c r="KXD153" s="135"/>
      <c r="KXE153" s="135"/>
      <c r="KXF153" s="135"/>
      <c r="KXG153" s="173"/>
      <c r="KXH153" s="173"/>
      <c r="KXI153" s="173"/>
      <c r="KXJ153" s="173"/>
      <c r="KXK153" s="173"/>
      <c r="KXL153" s="173"/>
      <c r="KXM153" s="173"/>
      <c r="KXN153" s="173"/>
      <c r="KXO153" s="173"/>
      <c r="KXP153" s="173"/>
      <c r="KXQ153" s="125"/>
      <c r="KXR153" s="125"/>
      <c r="KXS153" s="134"/>
      <c r="KXT153" s="135"/>
      <c r="KXU153" s="135"/>
      <c r="KXV153" s="135"/>
      <c r="KXW153" s="135"/>
      <c r="KXX153" s="173"/>
      <c r="KXY153" s="173"/>
      <c r="KXZ153" s="173"/>
      <c r="KYA153" s="173"/>
      <c r="KYB153" s="173"/>
      <c r="KYC153" s="173"/>
      <c r="KYD153" s="173"/>
      <c r="KYE153" s="173"/>
      <c r="KYF153" s="173"/>
      <c r="KYG153" s="173"/>
      <c r="KYH153" s="125"/>
      <c r="KYI153" s="125"/>
      <c r="KYJ153" s="134"/>
      <c r="KYK153" s="135"/>
      <c r="KYL153" s="135"/>
      <c r="KYM153" s="135"/>
      <c r="KYN153" s="135"/>
      <c r="KYO153" s="173"/>
      <c r="KYP153" s="173"/>
      <c r="KYQ153" s="173"/>
      <c r="KYR153" s="173"/>
      <c r="KYS153" s="173"/>
      <c r="KYT153" s="173"/>
      <c r="KYU153" s="173"/>
      <c r="KYV153" s="173"/>
      <c r="KYW153" s="173"/>
      <c r="KYX153" s="173"/>
      <c r="KYY153" s="125"/>
      <c r="KYZ153" s="125"/>
      <c r="KZA153" s="134"/>
      <c r="KZB153" s="135"/>
      <c r="KZC153" s="135"/>
      <c r="KZD153" s="135"/>
      <c r="KZE153" s="135"/>
      <c r="KZF153" s="173"/>
      <c r="KZG153" s="173"/>
      <c r="KZH153" s="173"/>
      <c r="KZI153" s="173"/>
      <c r="KZJ153" s="173"/>
      <c r="KZK153" s="173"/>
      <c r="KZL153" s="173"/>
      <c r="KZM153" s="173"/>
      <c r="KZN153" s="173"/>
      <c r="KZO153" s="173"/>
      <c r="KZP153" s="125"/>
      <c r="KZQ153" s="125"/>
      <c r="KZR153" s="134"/>
      <c r="KZS153" s="135"/>
      <c r="KZT153" s="135"/>
      <c r="KZU153" s="135"/>
      <c r="KZV153" s="135"/>
      <c r="KZW153" s="173"/>
      <c r="KZX153" s="173"/>
      <c r="KZY153" s="173"/>
      <c r="KZZ153" s="173"/>
      <c r="LAA153" s="173"/>
      <c r="LAB153" s="173"/>
      <c r="LAC153" s="173"/>
      <c r="LAD153" s="173"/>
      <c r="LAE153" s="173"/>
      <c r="LAF153" s="173"/>
      <c r="LAG153" s="125"/>
      <c r="LAH153" s="125"/>
      <c r="LAI153" s="134"/>
      <c r="LAJ153" s="135"/>
      <c r="LAK153" s="135"/>
      <c r="LAL153" s="135"/>
      <c r="LAM153" s="135"/>
      <c r="LAN153" s="173"/>
      <c r="LAO153" s="173"/>
      <c r="LAP153" s="173"/>
      <c r="LAQ153" s="173"/>
      <c r="LAR153" s="173"/>
      <c r="LAS153" s="173"/>
      <c r="LAT153" s="173"/>
      <c r="LAU153" s="173"/>
      <c r="LAV153" s="173"/>
      <c r="LAW153" s="173"/>
      <c r="LAX153" s="125"/>
      <c r="LAY153" s="125"/>
      <c r="LAZ153" s="134"/>
      <c r="LBA153" s="135"/>
      <c r="LBB153" s="135"/>
      <c r="LBC153" s="135"/>
      <c r="LBD153" s="135"/>
      <c r="LBE153" s="173"/>
      <c r="LBF153" s="173"/>
      <c r="LBG153" s="173"/>
      <c r="LBH153" s="173"/>
      <c r="LBI153" s="173"/>
      <c r="LBJ153" s="173"/>
      <c r="LBK153" s="173"/>
      <c r="LBL153" s="173"/>
      <c r="LBM153" s="173"/>
      <c r="LBN153" s="173"/>
      <c r="LBO153" s="125"/>
      <c r="LBP153" s="125"/>
      <c r="LBQ153" s="134"/>
      <c r="LBR153" s="135"/>
      <c r="LBS153" s="135"/>
      <c r="LBT153" s="135"/>
      <c r="LBU153" s="135"/>
      <c r="LBV153" s="173"/>
      <c r="LBW153" s="173"/>
      <c r="LBX153" s="173"/>
      <c r="LBY153" s="173"/>
      <c r="LBZ153" s="173"/>
      <c r="LCA153" s="173"/>
      <c r="LCB153" s="173"/>
      <c r="LCC153" s="173"/>
      <c r="LCD153" s="173"/>
      <c r="LCE153" s="173"/>
      <c r="LCF153" s="125"/>
      <c r="LCG153" s="125"/>
      <c r="LCH153" s="134"/>
      <c r="LCI153" s="135"/>
      <c r="LCJ153" s="135"/>
      <c r="LCK153" s="135"/>
      <c r="LCL153" s="135"/>
      <c r="LCM153" s="173"/>
      <c r="LCN153" s="173"/>
      <c r="LCO153" s="173"/>
      <c r="LCP153" s="173"/>
      <c r="LCQ153" s="173"/>
      <c r="LCR153" s="173"/>
      <c r="LCS153" s="173"/>
      <c r="LCT153" s="173"/>
      <c r="LCU153" s="173"/>
      <c r="LCV153" s="173"/>
      <c r="LCW153" s="125"/>
      <c r="LCX153" s="125"/>
      <c r="LCY153" s="134"/>
      <c r="LCZ153" s="135"/>
      <c r="LDA153" s="135"/>
      <c r="LDB153" s="135"/>
      <c r="LDC153" s="135"/>
      <c r="LDD153" s="173"/>
      <c r="LDE153" s="173"/>
      <c r="LDF153" s="173"/>
      <c r="LDG153" s="173"/>
      <c r="LDH153" s="173"/>
      <c r="LDI153" s="173"/>
      <c r="LDJ153" s="173"/>
      <c r="LDK153" s="173"/>
      <c r="LDL153" s="173"/>
      <c r="LDM153" s="173"/>
      <c r="LDN153" s="125"/>
      <c r="LDO153" s="125"/>
      <c r="LDP153" s="134"/>
      <c r="LDQ153" s="135"/>
      <c r="LDR153" s="135"/>
      <c r="LDS153" s="135"/>
      <c r="LDT153" s="135"/>
      <c r="LDU153" s="173"/>
      <c r="LDV153" s="173"/>
      <c r="LDW153" s="173"/>
      <c r="LDX153" s="173"/>
      <c r="LDY153" s="173"/>
      <c r="LDZ153" s="173"/>
      <c r="LEA153" s="173"/>
      <c r="LEB153" s="173"/>
      <c r="LEC153" s="173"/>
      <c r="LED153" s="173"/>
      <c r="LEE153" s="125"/>
      <c r="LEF153" s="125"/>
      <c r="LEG153" s="134"/>
      <c r="LEH153" s="135"/>
      <c r="LEI153" s="135"/>
      <c r="LEJ153" s="135"/>
      <c r="LEK153" s="135"/>
      <c r="LEL153" s="173"/>
      <c r="LEM153" s="173"/>
      <c r="LEN153" s="173"/>
      <c r="LEO153" s="173"/>
      <c r="LEP153" s="173"/>
      <c r="LEQ153" s="173"/>
      <c r="LER153" s="173"/>
      <c r="LES153" s="173"/>
      <c r="LET153" s="173"/>
      <c r="LEU153" s="173"/>
      <c r="LEV153" s="125"/>
      <c r="LEW153" s="125"/>
      <c r="LEX153" s="134"/>
      <c r="LEY153" s="135"/>
      <c r="LEZ153" s="135"/>
      <c r="LFA153" s="135"/>
      <c r="LFB153" s="135"/>
      <c r="LFC153" s="173"/>
      <c r="LFD153" s="173"/>
      <c r="LFE153" s="173"/>
      <c r="LFF153" s="173"/>
      <c r="LFG153" s="173"/>
      <c r="LFH153" s="173"/>
      <c r="LFI153" s="173"/>
      <c r="LFJ153" s="173"/>
      <c r="LFK153" s="173"/>
      <c r="LFL153" s="173"/>
      <c r="LFM153" s="125"/>
      <c r="LFN153" s="125"/>
      <c r="LFO153" s="134"/>
      <c r="LFP153" s="135"/>
      <c r="LFQ153" s="135"/>
      <c r="LFR153" s="135"/>
      <c r="LFS153" s="135"/>
      <c r="LFT153" s="173"/>
      <c r="LFU153" s="173"/>
      <c r="LFV153" s="173"/>
      <c r="LFW153" s="173"/>
      <c r="LFX153" s="173"/>
      <c r="LFY153" s="173"/>
      <c r="LFZ153" s="173"/>
      <c r="LGA153" s="173"/>
      <c r="LGB153" s="173"/>
      <c r="LGC153" s="173"/>
      <c r="LGD153" s="125"/>
      <c r="LGE153" s="125"/>
      <c r="LGF153" s="134"/>
      <c r="LGG153" s="135"/>
      <c r="LGH153" s="135"/>
      <c r="LGI153" s="135"/>
      <c r="LGJ153" s="135"/>
      <c r="LGK153" s="173"/>
      <c r="LGL153" s="173"/>
      <c r="LGM153" s="173"/>
      <c r="LGN153" s="173"/>
      <c r="LGO153" s="173"/>
      <c r="LGP153" s="173"/>
      <c r="LGQ153" s="173"/>
      <c r="LGR153" s="173"/>
      <c r="LGS153" s="173"/>
      <c r="LGT153" s="173"/>
      <c r="LGU153" s="125"/>
      <c r="LGV153" s="125"/>
      <c r="LGW153" s="134"/>
      <c r="LGX153" s="135"/>
      <c r="LGY153" s="135"/>
      <c r="LGZ153" s="135"/>
      <c r="LHA153" s="135"/>
      <c r="LHB153" s="173"/>
      <c r="LHC153" s="173"/>
      <c r="LHD153" s="173"/>
      <c r="LHE153" s="173"/>
      <c r="LHF153" s="173"/>
      <c r="LHG153" s="173"/>
      <c r="LHH153" s="173"/>
      <c r="LHI153" s="173"/>
      <c r="LHJ153" s="173"/>
      <c r="LHK153" s="173"/>
      <c r="LHL153" s="125"/>
      <c r="LHM153" s="125"/>
      <c r="LHN153" s="134"/>
      <c r="LHO153" s="135"/>
      <c r="LHP153" s="135"/>
      <c r="LHQ153" s="135"/>
      <c r="LHR153" s="135"/>
      <c r="LHS153" s="173"/>
      <c r="LHT153" s="173"/>
      <c r="LHU153" s="173"/>
      <c r="LHV153" s="173"/>
      <c r="LHW153" s="173"/>
      <c r="LHX153" s="173"/>
      <c r="LHY153" s="173"/>
      <c r="LHZ153" s="173"/>
      <c r="LIA153" s="173"/>
      <c r="LIB153" s="173"/>
      <c r="LIC153" s="125"/>
      <c r="LID153" s="125"/>
      <c r="LIE153" s="134"/>
      <c r="LIF153" s="135"/>
      <c r="LIG153" s="135"/>
      <c r="LIH153" s="135"/>
      <c r="LII153" s="135"/>
      <c r="LIJ153" s="173"/>
      <c r="LIK153" s="173"/>
      <c r="LIL153" s="173"/>
      <c r="LIM153" s="173"/>
      <c r="LIN153" s="173"/>
      <c r="LIO153" s="173"/>
      <c r="LIP153" s="173"/>
      <c r="LIQ153" s="173"/>
      <c r="LIR153" s="173"/>
      <c r="LIS153" s="173"/>
      <c r="LIT153" s="125"/>
      <c r="LIU153" s="125"/>
      <c r="LIV153" s="134"/>
      <c r="LIW153" s="135"/>
      <c r="LIX153" s="135"/>
      <c r="LIY153" s="135"/>
      <c r="LIZ153" s="135"/>
      <c r="LJA153" s="173"/>
      <c r="LJB153" s="173"/>
      <c r="LJC153" s="173"/>
      <c r="LJD153" s="173"/>
      <c r="LJE153" s="173"/>
      <c r="LJF153" s="173"/>
      <c r="LJG153" s="173"/>
      <c r="LJH153" s="173"/>
      <c r="LJI153" s="173"/>
      <c r="LJJ153" s="173"/>
      <c r="LJK153" s="125"/>
      <c r="LJL153" s="125"/>
      <c r="LJM153" s="134"/>
      <c r="LJN153" s="135"/>
      <c r="LJO153" s="135"/>
      <c r="LJP153" s="135"/>
      <c r="LJQ153" s="135"/>
      <c r="LJR153" s="173"/>
      <c r="LJS153" s="173"/>
      <c r="LJT153" s="173"/>
      <c r="LJU153" s="173"/>
      <c r="LJV153" s="173"/>
      <c r="LJW153" s="173"/>
      <c r="LJX153" s="173"/>
      <c r="LJY153" s="173"/>
      <c r="LJZ153" s="173"/>
      <c r="LKA153" s="173"/>
      <c r="LKB153" s="125"/>
      <c r="LKC153" s="125"/>
      <c r="LKD153" s="134"/>
      <c r="LKE153" s="135"/>
      <c r="LKF153" s="135"/>
      <c r="LKG153" s="135"/>
      <c r="LKH153" s="135"/>
      <c r="LKI153" s="173"/>
      <c r="LKJ153" s="173"/>
      <c r="LKK153" s="173"/>
      <c r="LKL153" s="173"/>
      <c r="LKM153" s="173"/>
      <c r="LKN153" s="173"/>
      <c r="LKO153" s="173"/>
      <c r="LKP153" s="173"/>
      <c r="LKQ153" s="173"/>
      <c r="LKR153" s="173"/>
      <c r="LKS153" s="125"/>
      <c r="LKT153" s="125"/>
      <c r="LKU153" s="134"/>
      <c r="LKV153" s="135"/>
      <c r="LKW153" s="135"/>
      <c r="LKX153" s="135"/>
      <c r="LKY153" s="135"/>
      <c r="LKZ153" s="173"/>
      <c r="LLA153" s="173"/>
      <c r="LLB153" s="173"/>
      <c r="LLC153" s="173"/>
      <c r="LLD153" s="173"/>
      <c r="LLE153" s="173"/>
      <c r="LLF153" s="173"/>
      <c r="LLG153" s="173"/>
      <c r="LLH153" s="173"/>
      <c r="LLI153" s="173"/>
      <c r="LLJ153" s="125"/>
      <c r="LLK153" s="125"/>
      <c r="LLL153" s="134"/>
      <c r="LLM153" s="135"/>
      <c r="LLN153" s="135"/>
      <c r="LLO153" s="135"/>
      <c r="LLP153" s="135"/>
      <c r="LLQ153" s="173"/>
      <c r="LLR153" s="173"/>
      <c r="LLS153" s="173"/>
      <c r="LLT153" s="173"/>
      <c r="LLU153" s="173"/>
      <c r="LLV153" s="173"/>
      <c r="LLW153" s="173"/>
      <c r="LLX153" s="173"/>
      <c r="LLY153" s="173"/>
      <c r="LLZ153" s="173"/>
      <c r="LMA153" s="125"/>
      <c r="LMB153" s="125"/>
      <c r="LMC153" s="134"/>
      <c r="LMD153" s="135"/>
      <c r="LME153" s="135"/>
      <c r="LMF153" s="135"/>
      <c r="LMG153" s="135"/>
      <c r="LMH153" s="173"/>
      <c r="LMI153" s="173"/>
      <c r="LMJ153" s="173"/>
      <c r="LMK153" s="173"/>
      <c r="LML153" s="173"/>
      <c r="LMM153" s="173"/>
      <c r="LMN153" s="173"/>
      <c r="LMO153" s="173"/>
      <c r="LMP153" s="173"/>
      <c r="LMQ153" s="173"/>
      <c r="LMR153" s="125"/>
      <c r="LMS153" s="125"/>
      <c r="LMT153" s="134"/>
      <c r="LMU153" s="135"/>
      <c r="LMV153" s="135"/>
      <c r="LMW153" s="135"/>
      <c r="LMX153" s="135"/>
      <c r="LMY153" s="173"/>
      <c r="LMZ153" s="173"/>
      <c r="LNA153" s="173"/>
      <c r="LNB153" s="173"/>
      <c r="LNC153" s="173"/>
      <c r="LND153" s="173"/>
      <c r="LNE153" s="173"/>
      <c r="LNF153" s="173"/>
      <c r="LNG153" s="173"/>
      <c r="LNH153" s="173"/>
      <c r="LNI153" s="125"/>
      <c r="LNJ153" s="125"/>
      <c r="LNK153" s="134"/>
      <c r="LNL153" s="135"/>
      <c r="LNM153" s="135"/>
      <c r="LNN153" s="135"/>
      <c r="LNO153" s="135"/>
      <c r="LNP153" s="173"/>
      <c r="LNQ153" s="173"/>
      <c r="LNR153" s="173"/>
      <c r="LNS153" s="173"/>
      <c r="LNT153" s="173"/>
      <c r="LNU153" s="173"/>
      <c r="LNV153" s="173"/>
      <c r="LNW153" s="173"/>
      <c r="LNX153" s="173"/>
      <c r="LNY153" s="173"/>
      <c r="LNZ153" s="125"/>
      <c r="LOA153" s="125"/>
      <c r="LOB153" s="134"/>
      <c r="LOC153" s="135"/>
      <c r="LOD153" s="135"/>
      <c r="LOE153" s="135"/>
      <c r="LOF153" s="135"/>
      <c r="LOG153" s="173"/>
      <c r="LOH153" s="173"/>
      <c r="LOI153" s="173"/>
      <c r="LOJ153" s="173"/>
      <c r="LOK153" s="173"/>
      <c r="LOL153" s="173"/>
      <c r="LOM153" s="173"/>
      <c r="LON153" s="173"/>
      <c r="LOO153" s="173"/>
      <c r="LOP153" s="173"/>
      <c r="LOQ153" s="125"/>
      <c r="LOR153" s="125"/>
      <c r="LOS153" s="134"/>
      <c r="LOT153" s="135"/>
      <c r="LOU153" s="135"/>
      <c r="LOV153" s="135"/>
      <c r="LOW153" s="135"/>
      <c r="LOX153" s="173"/>
      <c r="LOY153" s="173"/>
      <c r="LOZ153" s="173"/>
      <c r="LPA153" s="173"/>
      <c r="LPB153" s="173"/>
      <c r="LPC153" s="173"/>
      <c r="LPD153" s="173"/>
      <c r="LPE153" s="173"/>
      <c r="LPF153" s="173"/>
      <c r="LPG153" s="173"/>
      <c r="LPH153" s="125"/>
      <c r="LPI153" s="125"/>
      <c r="LPJ153" s="134"/>
      <c r="LPK153" s="135"/>
      <c r="LPL153" s="135"/>
      <c r="LPM153" s="135"/>
      <c r="LPN153" s="135"/>
      <c r="LPO153" s="173"/>
      <c r="LPP153" s="173"/>
      <c r="LPQ153" s="173"/>
      <c r="LPR153" s="173"/>
      <c r="LPS153" s="173"/>
      <c r="LPT153" s="173"/>
      <c r="LPU153" s="173"/>
      <c r="LPV153" s="173"/>
      <c r="LPW153" s="173"/>
      <c r="LPX153" s="173"/>
      <c r="LPY153" s="125"/>
      <c r="LPZ153" s="125"/>
      <c r="LQA153" s="134"/>
      <c r="LQB153" s="135"/>
      <c r="LQC153" s="135"/>
      <c r="LQD153" s="135"/>
      <c r="LQE153" s="135"/>
      <c r="LQF153" s="173"/>
      <c r="LQG153" s="173"/>
      <c r="LQH153" s="173"/>
      <c r="LQI153" s="173"/>
      <c r="LQJ153" s="173"/>
      <c r="LQK153" s="173"/>
      <c r="LQL153" s="173"/>
      <c r="LQM153" s="173"/>
      <c r="LQN153" s="173"/>
      <c r="LQO153" s="173"/>
      <c r="LQP153" s="125"/>
      <c r="LQQ153" s="125"/>
      <c r="LQR153" s="134"/>
      <c r="LQS153" s="135"/>
      <c r="LQT153" s="135"/>
      <c r="LQU153" s="135"/>
      <c r="LQV153" s="135"/>
      <c r="LQW153" s="173"/>
      <c r="LQX153" s="173"/>
      <c r="LQY153" s="173"/>
      <c r="LQZ153" s="173"/>
      <c r="LRA153" s="173"/>
      <c r="LRB153" s="173"/>
      <c r="LRC153" s="173"/>
      <c r="LRD153" s="173"/>
      <c r="LRE153" s="173"/>
      <c r="LRF153" s="173"/>
      <c r="LRG153" s="125"/>
      <c r="LRH153" s="125"/>
      <c r="LRI153" s="134"/>
      <c r="LRJ153" s="135"/>
      <c r="LRK153" s="135"/>
      <c r="LRL153" s="135"/>
      <c r="LRM153" s="135"/>
      <c r="LRN153" s="173"/>
      <c r="LRO153" s="173"/>
      <c r="LRP153" s="173"/>
      <c r="LRQ153" s="173"/>
      <c r="LRR153" s="173"/>
      <c r="LRS153" s="173"/>
      <c r="LRT153" s="173"/>
      <c r="LRU153" s="173"/>
      <c r="LRV153" s="173"/>
      <c r="LRW153" s="173"/>
      <c r="LRX153" s="125"/>
      <c r="LRY153" s="125"/>
      <c r="LRZ153" s="134"/>
      <c r="LSA153" s="135"/>
      <c r="LSB153" s="135"/>
      <c r="LSC153" s="135"/>
      <c r="LSD153" s="135"/>
      <c r="LSE153" s="173"/>
      <c r="LSF153" s="173"/>
      <c r="LSG153" s="173"/>
      <c r="LSH153" s="173"/>
      <c r="LSI153" s="173"/>
      <c r="LSJ153" s="173"/>
      <c r="LSK153" s="173"/>
      <c r="LSL153" s="173"/>
      <c r="LSM153" s="173"/>
      <c r="LSN153" s="173"/>
      <c r="LSO153" s="125"/>
      <c r="LSP153" s="125"/>
      <c r="LSQ153" s="134"/>
      <c r="LSR153" s="135"/>
      <c r="LSS153" s="135"/>
      <c r="LST153" s="135"/>
      <c r="LSU153" s="135"/>
      <c r="LSV153" s="173"/>
      <c r="LSW153" s="173"/>
      <c r="LSX153" s="173"/>
      <c r="LSY153" s="173"/>
      <c r="LSZ153" s="173"/>
      <c r="LTA153" s="173"/>
      <c r="LTB153" s="173"/>
      <c r="LTC153" s="173"/>
      <c r="LTD153" s="173"/>
      <c r="LTE153" s="173"/>
      <c r="LTF153" s="125"/>
      <c r="LTG153" s="125"/>
      <c r="LTH153" s="134"/>
      <c r="LTI153" s="135"/>
      <c r="LTJ153" s="135"/>
      <c r="LTK153" s="135"/>
      <c r="LTL153" s="135"/>
      <c r="LTM153" s="173"/>
      <c r="LTN153" s="173"/>
      <c r="LTO153" s="173"/>
      <c r="LTP153" s="173"/>
      <c r="LTQ153" s="173"/>
      <c r="LTR153" s="173"/>
      <c r="LTS153" s="173"/>
      <c r="LTT153" s="173"/>
      <c r="LTU153" s="173"/>
      <c r="LTV153" s="173"/>
      <c r="LTW153" s="125"/>
      <c r="LTX153" s="125"/>
      <c r="LTY153" s="134"/>
      <c r="LTZ153" s="135"/>
      <c r="LUA153" s="135"/>
      <c r="LUB153" s="135"/>
      <c r="LUC153" s="135"/>
      <c r="LUD153" s="173"/>
      <c r="LUE153" s="173"/>
      <c r="LUF153" s="173"/>
      <c r="LUG153" s="173"/>
      <c r="LUH153" s="173"/>
      <c r="LUI153" s="173"/>
      <c r="LUJ153" s="173"/>
      <c r="LUK153" s="173"/>
      <c r="LUL153" s="173"/>
      <c r="LUM153" s="173"/>
      <c r="LUN153" s="125"/>
      <c r="LUO153" s="125"/>
      <c r="LUP153" s="134"/>
      <c r="LUQ153" s="135"/>
      <c r="LUR153" s="135"/>
      <c r="LUS153" s="135"/>
      <c r="LUT153" s="135"/>
      <c r="LUU153" s="173"/>
      <c r="LUV153" s="173"/>
      <c r="LUW153" s="173"/>
      <c r="LUX153" s="173"/>
      <c r="LUY153" s="173"/>
      <c r="LUZ153" s="173"/>
      <c r="LVA153" s="173"/>
      <c r="LVB153" s="173"/>
      <c r="LVC153" s="173"/>
      <c r="LVD153" s="173"/>
      <c r="LVE153" s="125"/>
      <c r="LVF153" s="125"/>
      <c r="LVG153" s="134"/>
      <c r="LVH153" s="135"/>
      <c r="LVI153" s="135"/>
      <c r="LVJ153" s="135"/>
      <c r="LVK153" s="135"/>
      <c r="LVL153" s="173"/>
      <c r="LVM153" s="173"/>
      <c r="LVN153" s="173"/>
      <c r="LVO153" s="173"/>
      <c r="LVP153" s="173"/>
      <c r="LVQ153" s="173"/>
      <c r="LVR153" s="173"/>
      <c r="LVS153" s="173"/>
      <c r="LVT153" s="173"/>
      <c r="LVU153" s="173"/>
      <c r="LVV153" s="125"/>
      <c r="LVW153" s="125"/>
      <c r="LVX153" s="134"/>
      <c r="LVY153" s="135"/>
      <c r="LVZ153" s="135"/>
      <c r="LWA153" s="135"/>
      <c r="LWB153" s="135"/>
      <c r="LWC153" s="173"/>
      <c r="LWD153" s="173"/>
      <c r="LWE153" s="173"/>
      <c r="LWF153" s="173"/>
      <c r="LWG153" s="173"/>
      <c r="LWH153" s="173"/>
      <c r="LWI153" s="173"/>
      <c r="LWJ153" s="173"/>
      <c r="LWK153" s="173"/>
      <c r="LWL153" s="173"/>
      <c r="LWM153" s="125"/>
      <c r="LWN153" s="125"/>
      <c r="LWO153" s="134"/>
      <c r="LWP153" s="135"/>
      <c r="LWQ153" s="135"/>
      <c r="LWR153" s="135"/>
      <c r="LWS153" s="135"/>
      <c r="LWT153" s="173"/>
      <c r="LWU153" s="173"/>
      <c r="LWV153" s="173"/>
      <c r="LWW153" s="173"/>
      <c r="LWX153" s="173"/>
      <c r="LWY153" s="173"/>
      <c r="LWZ153" s="173"/>
      <c r="LXA153" s="173"/>
      <c r="LXB153" s="173"/>
      <c r="LXC153" s="173"/>
      <c r="LXD153" s="125"/>
      <c r="LXE153" s="125"/>
      <c r="LXF153" s="134"/>
      <c r="LXG153" s="135"/>
      <c r="LXH153" s="135"/>
      <c r="LXI153" s="135"/>
      <c r="LXJ153" s="135"/>
      <c r="LXK153" s="173"/>
      <c r="LXL153" s="173"/>
      <c r="LXM153" s="173"/>
      <c r="LXN153" s="173"/>
      <c r="LXO153" s="173"/>
      <c r="LXP153" s="173"/>
      <c r="LXQ153" s="173"/>
      <c r="LXR153" s="173"/>
      <c r="LXS153" s="173"/>
      <c r="LXT153" s="173"/>
      <c r="LXU153" s="125"/>
      <c r="LXV153" s="125"/>
      <c r="LXW153" s="134"/>
      <c r="LXX153" s="135"/>
      <c r="LXY153" s="135"/>
      <c r="LXZ153" s="135"/>
      <c r="LYA153" s="135"/>
      <c r="LYB153" s="173"/>
      <c r="LYC153" s="173"/>
      <c r="LYD153" s="173"/>
      <c r="LYE153" s="173"/>
      <c r="LYF153" s="173"/>
      <c r="LYG153" s="173"/>
      <c r="LYH153" s="173"/>
      <c r="LYI153" s="173"/>
      <c r="LYJ153" s="173"/>
      <c r="LYK153" s="173"/>
      <c r="LYL153" s="125"/>
      <c r="LYM153" s="125"/>
      <c r="LYN153" s="134"/>
      <c r="LYO153" s="135"/>
      <c r="LYP153" s="135"/>
      <c r="LYQ153" s="135"/>
      <c r="LYR153" s="135"/>
      <c r="LYS153" s="173"/>
      <c r="LYT153" s="173"/>
      <c r="LYU153" s="173"/>
      <c r="LYV153" s="173"/>
      <c r="LYW153" s="173"/>
      <c r="LYX153" s="173"/>
      <c r="LYY153" s="173"/>
      <c r="LYZ153" s="173"/>
      <c r="LZA153" s="173"/>
      <c r="LZB153" s="173"/>
      <c r="LZC153" s="125"/>
      <c r="LZD153" s="125"/>
      <c r="LZE153" s="134"/>
      <c r="LZF153" s="135"/>
      <c r="LZG153" s="135"/>
      <c r="LZH153" s="135"/>
      <c r="LZI153" s="135"/>
      <c r="LZJ153" s="173"/>
      <c r="LZK153" s="173"/>
      <c r="LZL153" s="173"/>
      <c r="LZM153" s="173"/>
      <c r="LZN153" s="173"/>
      <c r="LZO153" s="173"/>
      <c r="LZP153" s="173"/>
      <c r="LZQ153" s="173"/>
      <c r="LZR153" s="173"/>
      <c r="LZS153" s="173"/>
      <c r="LZT153" s="125"/>
      <c r="LZU153" s="125"/>
      <c r="LZV153" s="134"/>
      <c r="LZW153" s="135"/>
      <c r="LZX153" s="135"/>
      <c r="LZY153" s="135"/>
      <c r="LZZ153" s="135"/>
      <c r="MAA153" s="173"/>
      <c r="MAB153" s="173"/>
      <c r="MAC153" s="173"/>
      <c r="MAD153" s="173"/>
      <c r="MAE153" s="173"/>
      <c r="MAF153" s="173"/>
      <c r="MAG153" s="173"/>
      <c r="MAH153" s="173"/>
      <c r="MAI153" s="173"/>
      <c r="MAJ153" s="173"/>
      <c r="MAK153" s="125"/>
      <c r="MAL153" s="125"/>
      <c r="MAM153" s="134"/>
      <c r="MAN153" s="135"/>
      <c r="MAO153" s="135"/>
      <c r="MAP153" s="135"/>
      <c r="MAQ153" s="135"/>
      <c r="MAR153" s="173"/>
      <c r="MAS153" s="173"/>
      <c r="MAT153" s="173"/>
      <c r="MAU153" s="173"/>
      <c r="MAV153" s="173"/>
      <c r="MAW153" s="173"/>
      <c r="MAX153" s="173"/>
      <c r="MAY153" s="173"/>
      <c r="MAZ153" s="173"/>
      <c r="MBA153" s="173"/>
      <c r="MBB153" s="125"/>
      <c r="MBC153" s="125"/>
      <c r="MBD153" s="134"/>
      <c r="MBE153" s="135"/>
      <c r="MBF153" s="135"/>
      <c r="MBG153" s="135"/>
      <c r="MBH153" s="135"/>
      <c r="MBI153" s="173"/>
      <c r="MBJ153" s="173"/>
      <c r="MBK153" s="173"/>
      <c r="MBL153" s="173"/>
      <c r="MBM153" s="173"/>
      <c r="MBN153" s="173"/>
      <c r="MBO153" s="173"/>
      <c r="MBP153" s="173"/>
      <c r="MBQ153" s="173"/>
      <c r="MBR153" s="173"/>
      <c r="MBS153" s="125"/>
      <c r="MBT153" s="125"/>
      <c r="MBU153" s="134"/>
      <c r="MBV153" s="135"/>
      <c r="MBW153" s="135"/>
      <c r="MBX153" s="135"/>
      <c r="MBY153" s="135"/>
      <c r="MBZ153" s="173"/>
      <c r="MCA153" s="173"/>
      <c r="MCB153" s="173"/>
      <c r="MCC153" s="173"/>
      <c r="MCD153" s="173"/>
      <c r="MCE153" s="173"/>
      <c r="MCF153" s="173"/>
      <c r="MCG153" s="173"/>
      <c r="MCH153" s="173"/>
      <c r="MCI153" s="173"/>
      <c r="MCJ153" s="125"/>
      <c r="MCK153" s="125"/>
      <c r="MCL153" s="134"/>
      <c r="MCM153" s="135"/>
      <c r="MCN153" s="135"/>
      <c r="MCO153" s="135"/>
      <c r="MCP153" s="135"/>
      <c r="MCQ153" s="173"/>
      <c r="MCR153" s="173"/>
      <c r="MCS153" s="173"/>
      <c r="MCT153" s="173"/>
      <c r="MCU153" s="173"/>
      <c r="MCV153" s="173"/>
      <c r="MCW153" s="173"/>
      <c r="MCX153" s="173"/>
      <c r="MCY153" s="173"/>
      <c r="MCZ153" s="173"/>
      <c r="MDA153" s="125"/>
      <c r="MDB153" s="125"/>
      <c r="MDC153" s="134"/>
      <c r="MDD153" s="135"/>
      <c r="MDE153" s="135"/>
      <c r="MDF153" s="135"/>
      <c r="MDG153" s="135"/>
      <c r="MDH153" s="173"/>
      <c r="MDI153" s="173"/>
      <c r="MDJ153" s="173"/>
      <c r="MDK153" s="173"/>
      <c r="MDL153" s="173"/>
      <c r="MDM153" s="173"/>
      <c r="MDN153" s="173"/>
      <c r="MDO153" s="173"/>
      <c r="MDP153" s="173"/>
      <c r="MDQ153" s="173"/>
      <c r="MDR153" s="125"/>
      <c r="MDS153" s="125"/>
      <c r="MDT153" s="134"/>
      <c r="MDU153" s="135"/>
      <c r="MDV153" s="135"/>
      <c r="MDW153" s="135"/>
      <c r="MDX153" s="135"/>
      <c r="MDY153" s="173"/>
      <c r="MDZ153" s="173"/>
      <c r="MEA153" s="173"/>
      <c r="MEB153" s="173"/>
      <c r="MEC153" s="173"/>
      <c r="MED153" s="173"/>
      <c r="MEE153" s="173"/>
      <c r="MEF153" s="173"/>
      <c r="MEG153" s="173"/>
      <c r="MEH153" s="173"/>
      <c r="MEI153" s="125"/>
      <c r="MEJ153" s="125"/>
      <c r="MEK153" s="134"/>
      <c r="MEL153" s="135"/>
      <c r="MEM153" s="135"/>
      <c r="MEN153" s="135"/>
      <c r="MEO153" s="135"/>
      <c r="MEP153" s="173"/>
      <c r="MEQ153" s="173"/>
      <c r="MER153" s="173"/>
      <c r="MES153" s="173"/>
      <c r="MET153" s="173"/>
      <c r="MEU153" s="173"/>
      <c r="MEV153" s="173"/>
      <c r="MEW153" s="173"/>
      <c r="MEX153" s="173"/>
      <c r="MEY153" s="173"/>
      <c r="MEZ153" s="125"/>
      <c r="MFA153" s="125"/>
      <c r="MFB153" s="134"/>
      <c r="MFC153" s="135"/>
      <c r="MFD153" s="135"/>
      <c r="MFE153" s="135"/>
      <c r="MFF153" s="135"/>
      <c r="MFG153" s="173"/>
      <c r="MFH153" s="173"/>
      <c r="MFI153" s="173"/>
      <c r="MFJ153" s="173"/>
      <c r="MFK153" s="173"/>
      <c r="MFL153" s="173"/>
      <c r="MFM153" s="173"/>
      <c r="MFN153" s="173"/>
      <c r="MFO153" s="173"/>
      <c r="MFP153" s="173"/>
      <c r="MFQ153" s="125"/>
      <c r="MFR153" s="125"/>
      <c r="MFS153" s="134"/>
      <c r="MFT153" s="135"/>
      <c r="MFU153" s="135"/>
      <c r="MFV153" s="135"/>
      <c r="MFW153" s="135"/>
      <c r="MFX153" s="173"/>
      <c r="MFY153" s="173"/>
      <c r="MFZ153" s="173"/>
      <c r="MGA153" s="173"/>
      <c r="MGB153" s="173"/>
      <c r="MGC153" s="173"/>
      <c r="MGD153" s="173"/>
      <c r="MGE153" s="173"/>
      <c r="MGF153" s="173"/>
      <c r="MGG153" s="173"/>
      <c r="MGH153" s="125"/>
      <c r="MGI153" s="125"/>
      <c r="MGJ153" s="134"/>
      <c r="MGK153" s="135"/>
      <c r="MGL153" s="135"/>
      <c r="MGM153" s="135"/>
      <c r="MGN153" s="135"/>
      <c r="MGO153" s="173"/>
      <c r="MGP153" s="173"/>
      <c r="MGQ153" s="173"/>
      <c r="MGR153" s="173"/>
      <c r="MGS153" s="173"/>
      <c r="MGT153" s="173"/>
      <c r="MGU153" s="173"/>
      <c r="MGV153" s="173"/>
      <c r="MGW153" s="173"/>
      <c r="MGX153" s="173"/>
      <c r="MGY153" s="125"/>
      <c r="MGZ153" s="125"/>
      <c r="MHA153" s="134"/>
      <c r="MHB153" s="135"/>
      <c r="MHC153" s="135"/>
      <c r="MHD153" s="135"/>
      <c r="MHE153" s="135"/>
      <c r="MHF153" s="173"/>
      <c r="MHG153" s="173"/>
      <c r="MHH153" s="173"/>
      <c r="MHI153" s="173"/>
      <c r="MHJ153" s="173"/>
      <c r="MHK153" s="173"/>
      <c r="MHL153" s="173"/>
      <c r="MHM153" s="173"/>
      <c r="MHN153" s="173"/>
      <c r="MHO153" s="173"/>
      <c r="MHP153" s="125"/>
      <c r="MHQ153" s="125"/>
      <c r="MHR153" s="134"/>
      <c r="MHS153" s="135"/>
      <c r="MHT153" s="135"/>
      <c r="MHU153" s="135"/>
      <c r="MHV153" s="135"/>
      <c r="MHW153" s="173"/>
      <c r="MHX153" s="173"/>
      <c r="MHY153" s="173"/>
      <c r="MHZ153" s="173"/>
      <c r="MIA153" s="173"/>
      <c r="MIB153" s="173"/>
      <c r="MIC153" s="173"/>
      <c r="MID153" s="173"/>
      <c r="MIE153" s="173"/>
      <c r="MIF153" s="173"/>
      <c r="MIG153" s="125"/>
      <c r="MIH153" s="125"/>
      <c r="MII153" s="134"/>
      <c r="MIJ153" s="135"/>
      <c r="MIK153" s="135"/>
      <c r="MIL153" s="135"/>
      <c r="MIM153" s="135"/>
      <c r="MIN153" s="173"/>
      <c r="MIO153" s="173"/>
      <c r="MIP153" s="173"/>
      <c r="MIQ153" s="173"/>
      <c r="MIR153" s="173"/>
      <c r="MIS153" s="173"/>
      <c r="MIT153" s="173"/>
      <c r="MIU153" s="173"/>
      <c r="MIV153" s="173"/>
      <c r="MIW153" s="173"/>
      <c r="MIX153" s="125"/>
      <c r="MIY153" s="125"/>
      <c r="MIZ153" s="134"/>
      <c r="MJA153" s="135"/>
      <c r="MJB153" s="135"/>
      <c r="MJC153" s="135"/>
      <c r="MJD153" s="135"/>
      <c r="MJE153" s="173"/>
      <c r="MJF153" s="173"/>
      <c r="MJG153" s="173"/>
      <c r="MJH153" s="173"/>
      <c r="MJI153" s="173"/>
      <c r="MJJ153" s="173"/>
      <c r="MJK153" s="173"/>
      <c r="MJL153" s="173"/>
      <c r="MJM153" s="173"/>
      <c r="MJN153" s="173"/>
      <c r="MJO153" s="125"/>
      <c r="MJP153" s="125"/>
      <c r="MJQ153" s="134"/>
      <c r="MJR153" s="135"/>
      <c r="MJS153" s="135"/>
      <c r="MJT153" s="135"/>
      <c r="MJU153" s="135"/>
      <c r="MJV153" s="173"/>
      <c r="MJW153" s="173"/>
      <c r="MJX153" s="173"/>
      <c r="MJY153" s="173"/>
      <c r="MJZ153" s="173"/>
      <c r="MKA153" s="173"/>
      <c r="MKB153" s="173"/>
      <c r="MKC153" s="173"/>
      <c r="MKD153" s="173"/>
      <c r="MKE153" s="173"/>
      <c r="MKF153" s="125"/>
      <c r="MKG153" s="125"/>
      <c r="MKH153" s="134"/>
      <c r="MKI153" s="135"/>
      <c r="MKJ153" s="135"/>
      <c r="MKK153" s="135"/>
      <c r="MKL153" s="135"/>
      <c r="MKM153" s="173"/>
      <c r="MKN153" s="173"/>
      <c r="MKO153" s="173"/>
      <c r="MKP153" s="173"/>
      <c r="MKQ153" s="173"/>
      <c r="MKR153" s="173"/>
      <c r="MKS153" s="173"/>
      <c r="MKT153" s="173"/>
      <c r="MKU153" s="173"/>
      <c r="MKV153" s="173"/>
      <c r="MKW153" s="125"/>
      <c r="MKX153" s="125"/>
      <c r="MKY153" s="134"/>
      <c r="MKZ153" s="135"/>
      <c r="MLA153" s="135"/>
      <c r="MLB153" s="135"/>
      <c r="MLC153" s="135"/>
      <c r="MLD153" s="173"/>
      <c r="MLE153" s="173"/>
      <c r="MLF153" s="173"/>
      <c r="MLG153" s="173"/>
      <c r="MLH153" s="173"/>
      <c r="MLI153" s="173"/>
      <c r="MLJ153" s="173"/>
      <c r="MLK153" s="173"/>
      <c r="MLL153" s="173"/>
      <c r="MLM153" s="173"/>
      <c r="MLN153" s="125"/>
      <c r="MLO153" s="125"/>
      <c r="MLP153" s="134"/>
      <c r="MLQ153" s="135"/>
      <c r="MLR153" s="135"/>
      <c r="MLS153" s="135"/>
      <c r="MLT153" s="135"/>
      <c r="MLU153" s="173"/>
      <c r="MLV153" s="173"/>
      <c r="MLW153" s="173"/>
      <c r="MLX153" s="173"/>
      <c r="MLY153" s="173"/>
      <c r="MLZ153" s="173"/>
      <c r="MMA153" s="173"/>
      <c r="MMB153" s="173"/>
      <c r="MMC153" s="173"/>
      <c r="MMD153" s="173"/>
      <c r="MME153" s="125"/>
      <c r="MMF153" s="125"/>
      <c r="MMG153" s="134"/>
      <c r="MMH153" s="135"/>
      <c r="MMI153" s="135"/>
      <c r="MMJ153" s="135"/>
      <c r="MMK153" s="135"/>
      <c r="MML153" s="173"/>
      <c r="MMM153" s="173"/>
      <c r="MMN153" s="173"/>
      <c r="MMO153" s="173"/>
      <c r="MMP153" s="173"/>
      <c r="MMQ153" s="173"/>
      <c r="MMR153" s="173"/>
      <c r="MMS153" s="173"/>
      <c r="MMT153" s="173"/>
      <c r="MMU153" s="173"/>
      <c r="MMV153" s="125"/>
      <c r="MMW153" s="125"/>
      <c r="MMX153" s="134"/>
      <c r="MMY153" s="135"/>
      <c r="MMZ153" s="135"/>
      <c r="MNA153" s="135"/>
      <c r="MNB153" s="135"/>
      <c r="MNC153" s="173"/>
      <c r="MND153" s="173"/>
      <c r="MNE153" s="173"/>
      <c r="MNF153" s="173"/>
      <c r="MNG153" s="173"/>
      <c r="MNH153" s="173"/>
      <c r="MNI153" s="173"/>
      <c r="MNJ153" s="173"/>
      <c r="MNK153" s="173"/>
      <c r="MNL153" s="173"/>
      <c r="MNM153" s="125"/>
      <c r="MNN153" s="125"/>
      <c r="MNO153" s="134"/>
      <c r="MNP153" s="135"/>
      <c r="MNQ153" s="135"/>
      <c r="MNR153" s="135"/>
      <c r="MNS153" s="135"/>
      <c r="MNT153" s="173"/>
      <c r="MNU153" s="173"/>
      <c r="MNV153" s="173"/>
      <c r="MNW153" s="173"/>
      <c r="MNX153" s="173"/>
      <c r="MNY153" s="173"/>
      <c r="MNZ153" s="173"/>
      <c r="MOA153" s="173"/>
      <c r="MOB153" s="173"/>
      <c r="MOC153" s="173"/>
      <c r="MOD153" s="125"/>
      <c r="MOE153" s="125"/>
      <c r="MOF153" s="134"/>
      <c r="MOG153" s="135"/>
      <c r="MOH153" s="135"/>
      <c r="MOI153" s="135"/>
      <c r="MOJ153" s="135"/>
      <c r="MOK153" s="173"/>
      <c r="MOL153" s="173"/>
      <c r="MOM153" s="173"/>
      <c r="MON153" s="173"/>
      <c r="MOO153" s="173"/>
      <c r="MOP153" s="173"/>
      <c r="MOQ153" s="173"/>
      <c r="MOR153" s="173"/>
      <c r="MOS153" s="173"/>
      <c r="MOT153" s="173"/>
      <c r="MOU153" s="125"/>
      <c r="MOV153" s="125"/>
      <c r="MOW153" s="134"/>
      <c r="MOX153" s="135"/>
      <c r="MOY153" s="135"/>
      <c r="MOZ153" s="135"/>
      <c r="MPA153" s="135"/>
      <c r="MPB153" s="173"/>
      <c r="MPC153" s="173"/>
      <c r="MPD153" s="173"/>
      <c r="MPE153" s="173"/>
      <c r="MPF153" s="173"/>
      <c r="MPG153" s="173"/>
      <c r="MPH153" s="173"/>
      <c r="MPI153" s="173"/>
      <c r="MPJ153" s="173"/>
      <c r="MPK153" s="173"/>
      <c r="MPL153" s="125"/>
      <c r="MPM153" s="125"/>
      <c r="MPN153" s="134"/>
      <c r="MPO153" s="135"/>
      <c r="MPP153" s="135"/>
      <c r="MPQ153" s="135"/>
      <c r="MPR153" s="135"/>
      <c r="MPS153" s="173"/>
      <c r="MPT153" s="173"/>
      <c r="MPU153" s="173"/>
      <c r="MPV153" s="173"/>
      <c r="MPW153" s="173"/>
      <c r="MPX153" s="173"/>
      <c r="MPY153" s="173"/>
      <c r="MPZ153" s="173"/>
      <c r="MQA153" s="173"/>
      <c r="MQB153" s="173"/>
      <c r="MQC153" s="125"/>
      <c r="MQD153" s="125"/>
      <c r="MQE153" s="134"/>
      <c r="MQF153" s="135"/>
      <c r="MQG153" s="135"/>
      <c r="MQH153" s="135"/>
      <c r="MQI153" s="135"/>
      <c r="MQJ153" s="173"/>
      <c r="MQK153" s="173"/>
      <c r="MQL153" s="173"/>
      <c r="MQM153" s="173"/>
      <c r="MQN153" s="173"/>
      <c r="MQO153" s="173"/>
      <c r="MQP153" s="173"/>
      <c r="MQQ153" s="173"/>
      <c r="MQR153" s="173"/>
      <c r="MQS153" s="173"/>
      <c r="MQT153" s="125"/>
      <c r="MQU153" s="125"/>
      <c r="MQV153" s="134"/>
      <c r="MQW153" s="135"/>
      <c r="MQX153" s="135"/>
      <c r="MQY153" s="135"/>
      <c r="MQZ153" s="135"/>
      <c r="MRA153" s="173"/>
      <c r="MRB153" s="173"/>
      <c r="MRC153" s="173"/>
      <c r="MRD153" s="173"/>
      <c r="MRE153" s="173"/>
      <c r="MRF153" s="173"/>
      <c r="MRG153" s="173"/>
      <c r="MRH153" s="173"/>
      <c r="MRI153" s="173"/>
      <c r="MRJ153" s="173"/>
      <c r="MRK153" s="125"/>
      <c r="MRL153" s="125"/>
      <c r="MRM153" s="134"/>
      <c r="MRN153" s="135"/>
      <c r="MRO153" s="135"/>
      <c r="MRP153" s="135"/>
      <c r="MRQ153" s="135"/>
      <c r="MRR153" s="173"/>
      <c r="MRS153" s="173"/>
      <c r="MRT153" s="173"/>
      <c r="MRU153" s="173"/>
      <c r="MRV153" s="173"/>
      <c r="MRW153" s="173"/>
      <c r="MRX153" s="173"/>
      <c r="MRY153" s="173"/>
      <c r="MRZ153" s="173"/>
      <c r="MSA153" s="173"/>
      <c r="MSB153" s="125"/>
      <c r="MSC153" s="125"/>
      <c r="MSD153" s="134"/>
      <c r="MSE153" s="135"/>
      <c r="MSF153" s="135"/>
      <c r="MSG153" s="135"/>
      <c r="MSH153" s="135"/>
      <c r="MSI153" s="173"/>
      <c r="MSJ153" s="173"/>
      <c r="MSK153" s="173"/>
      <c r="MSL153" s="173"/>
      <c r="MSM153" s="173"/>
      <c r="MSN153" s="173"/>
      <c r="MSO153" s="173"/>
      <c r="MSP153" s="173"/>
      <c r="MSQ153" s="173"/>
      <c r="MSR153" s="173"/>
      <c r="MSS153" s="125"/>
      <c r="MST153" s="125"/>
      <c r="MSU153" s="134"/>
      <c r="MSV153" s="135"/>
      <c r="MSW153" s="135"/>
      <c r="MSX153" s="135"/>
      <c r="MSY153" s="135"/>
      <c r="MSZ153" s="173"/>
      <c r="MTA153" s="173"/>
      <c r="MTB153" s="173"/>
      <c r="MTC153" s="173"/>
      <c r="MTD153" s="173"/>
      <c r="MTE153" s="173"/>
      <c r="MTF153" s="173"/>
      <c r="MTG153" s="173"/>
      <c r="MTH153" s="173"/>
      <c r="MTI153" s="173"/>
      <c r="MTJ153" s="125"/>
      <c r="MTK153" s="125"/>
      <c r="MTL153" s="134"/>
      <c r="MTM153" s="135"/>
      <c r="MTN153" s="135"/>
      <c r="MTO153" s="135"/>
      <c r="MTP153" s="135"/>
      <c r="MTQ153" s="173"/>
      <c r="MTR153" s="173"/>
      <c r="MTS153" s="173"/>
      <c r="MTT153" s="173"/>
      <c r="MTU153" s="173"/>
      <c r="MTV153" s="173"/>
      <c r="MTW153" s="173"/>
      <c r="MTX153" s="173"/>
      <c r="MTY153" s="173"/>
      <c r="MTZ153" s="173"/>
      <c r="MUA153" s="125"/>
      <c r="MUB153" s="125"/>
      <c r="MUC153" s="134"/>
      <c r="MUD153" s="135"/>
      <c r="MUE153" s="135"/>
      <c r="MUF153" s="135"/>
      <c r="MUG153" s="135"/>
      <c r="MUH153" s="173"/>
      <c r="MUI153" s="173"/>
      <c r="MUJ153" s="173"/>
      <c r="MUK153" s="173"/>
      <c r="MUL153" s="173"/>
      <c r="MUM153" s="173"/>
      <c r="MUN153" s="173"/>
      <c r="MUO153" s="173"/>
      <c r="MUP153" s="173"/>
      <c r="MUQ153" s="173"/>
      <c r="MUR153" s="125"/>
      <c r="MUS153" s="125"/>
      <c r="MUT153" s="134"/>
      <c r="MUU153" s="135"/>
      <c r="MUV153" s="135"/>
      <c r="MUW153" s="135"/>
      <c r="MUX153" s="135"/>
      <c r="MUY153" s="173"/>
      <c r="MUZ153" s="173"/>
      <c r="MVA153" s="173"/>
      <c r="MVB153" s="173"/>
      <c r="MVC153" s="173"/>
      <c r="MVD153" s="173"/>
      <c r="MVE153" s="173"/>
      <c r="MVF153" s="173"/>
      <c r="MVG153" s="173"/>
      <c r="MVH153" s="173"/>
      <c r="MVI153" s="125"/>
      <c r="MVJ153" s="125"/>
      <c r="MVK153" s="134"/>
      <c r="MVL153" s="135"/>
      <c r="MVM153" s="135"/>
      <c r="MVN153" s="135"/>
      <c r="MVO153" s="135"/>
      <c r="MVP153" s="173"/>
      <c r="MVQ153" s="173"/>
      <c r="MVR153" s="173"/>
      <c r="MVS153" s="173"/>
      <c r="MVT153" s="173"/>
      <c r="MVU153" s="173"/>
      <c r="MVV153" s="173"/>
      <c r="MVW153" s="173"/>
      <c r="MVX153" s="173"/>
      <c r="MVY153" s="173"/>
      <c r="MVZ153" s="125"/>
      <c r="MWA153" s="125"/>
      <c r="MWB153" s="134"/>
      <c r="MWC153" s="135"/>
      <c r="MWD153" s="135"/>
      <c r="MWE153" s="135"/>
      <c r="MWF153" s="135"/>
      <c r="MWG153" s="173"/>
      <c r="MWH153" s="173"/>
      <c r="MWI153" s="173"/>
      <c r="MWJ153" s="173"/>
      <c r="MWK153" s="173"/>
      <c r="MWL153" s="173"/>
      <c r="MWM153" s="173"/>
      <c r="MWN153" s="173"/>
      <c r="MWO153" s="173"/>
      <c r="MWP153" s="173"/>
      <c r="MWQ153" s="125"/>
      <c r="MWR153" s="125"/>
      <c r="MWS153" s="134"/>
      <c r="MWT153" s="135"/>
      <c r="MWU153" s="135"/>
      <c r="MWV153" s="135"/>
      <c r="MWW153" s="135"/>
      <c r="MWX153" s="173"/>
      <c r="MWY153" s="173"/>
      <c r="MWZ153" s="173"/>
      <c r="MXA153" s="173"/>
      <c r="MXB153" s="173"/>
      <c r="MXC153" s="173"/>
      <c r="MXD153" s="173"/>
      <c r="MXE153" s="173"/>
      <c r="MXF153" s="173"/>
      <c r="MXG153" s="173"/>
      <c r="MXH153" s="125"/>
      <c r="MXI153" s="125"/>
      <c r="MXJ153" s="134"/>
      <c r="MXK153" s="135"/>
      <c r="MXL153" s="135"/>
      <c r="MXM153" s="135"/>
      <c r="MXN153" s="135"/>
      <c r="MXO153" s="173"/>
      <c r="MXP153" s="173"/>
      <c r="MXQ153" s="173"/>
      <c r="MXR153" s="173"/>
      <c r="MXS153" s="173"/>
      <c r="MXT153" s="173"/>
      <c r="MXU153" s="173"/>
      <c r="MXV153" s="173"/>
      <c r="MXW153" s="173"/>
      <c r="MXX153" s="173"/>
      <c r="MXY153" s="125"/>
      <c r="MXZ153" s="125"/>
      <c r="MYA153" s="134"/>
      <c r="MYB153" s="135"/>
      <c r="MYC153" s="135"/>
      <c r="MYD153" s="135"/>
      <c r="MYE153" s="135"/>
      <c r="MYF153" s="173"/>
      <c r="MYG153" s="173"/>
      <c r="MYH153" s="173"/>
      <c r="MYI153" s="173"/>
      <c r="MYJ153" s="173"/>
      <c r="MYK153" s="173"/>
      <c r="MYL153" s="173"/>
      <c r="MYM153" s="173"/>
      <c r="MYN153" s="173"/>
      <c r="MYO153" s="173"/>
      <c r="MYP153" s="125"/>
      <c r="MYQ153" s="125"/>
      <c r="MYR153" s="134"/>
      <c r="MYS153" s="135"/>
      <c r="MYT153" s="135"/>
      <c r="MYU153" s="135"/>
      <c r="MYV153" s="135"/>
      <c r="MYW153" s="173"/>
      <c r="MYX153" s="173"/>
      <c r="MYY153" s="173"/>
      <c r="MYZ153" s="173"/>
      <c r="MZA153" s="173"/>
      <c r="MZB153" s="173"/>
      <c r="MZC153" s="173"/>
      <c r="MZD153" s="173"/>
      <c r="MZE153" s="173"/>
      <c r="MZF153" s="173"/>
      <c r="MZG153" s="125"/>
      <c r="MZH153" s="125"/>
      <c r="MZI153" s="134"/>
      <c r="MZJ153" s="135"/>
      <c r="MZK153" s="135"/>
      <c r="MZL153" s="135"/>
      <c r="MZM153" s="135"/>
      <c r="MZN153" s="173"/>
      <c r="MZO153" s="173"/>
      <c r="MZP153" s="173"/>
      <c r="MZQ153" s="173"/>
      <c r="MZR153" s="173"/>
      <c r="MZS153" s="173"/>
      <c r="MZT153" s="173"/>
      <c r="MZU153" s="173"/>
      <c r="MZV153" s="173"/>
      <c r="MZW153" s="173"/>
      <c r="MZX153" s="125"/>
      <c r="MZY153" s="125"/>
      <c r="MZZ153" s="134"/>
      <c r="NAA153" s="135"/>
      <c r="NAB153" s="135"/>
      <c r="NAC153" s="135"/>
      <c r="NAD153" s="135"/>
      <c r="NAE153" s="173"/>
      <c r="NAF153" s="173"/>
      <c r="NAG153" s="173"/>
      <c r="NAH153" s="173"/>
      <c r="NAI153" s="173"/>
      <c r="NAJ153" s="173"/>
      <c r="NAK153" s="173"/>
      <c r="NAL153" s="173"/>
      <c r="NAM153" s="173"/>
      <c r="NAN153" s="173"/>
      <c r="NAO153" s="125"/>
      <c r="NAP153" s="125"/>
      <c r="NAQ153" s="134"/>
      <c r="NAR153" s="135"/>
      <c r="NAS153" s="135"/>
      <c r="NAT153" s="135"/>
      <c r="NAU153" s="135"/>
      <c r="NAV153" s="173"/>
      <c r="NAW153" s="173"/>
      <c r="NAX153" s="173"/>
      <c r="NAY153" s="173"/>
      <c r="NAZ153" s="173"/>
      <c r="NBA153" s="173"/>
      <c r="NBB153" s="173"/>
      <c r="NBC153" s="173"/>
      <c r="NBD153" s="173"/>
      <c r="NBE153" s="173"/>
      <c r="NBF153" s="125"/>
      <c r="NBG153" s="125"/>
      <c r="NBH153" s="134"/>
      <c r="NBI153" s="135"/>
      <c r="NBJ153" s="135"/>
      <c r="NBK153" s="135"/>
      <c r="NBL153" s="135"/>
      <c r="NBM153" s="173"/>
      <c r="NBN153" s="173"/>
      <c r="NBO153" s="173"/>
      <c r="NBP153" s="173"/>
      <c r="NBQ153" s="173"/>
      <c r="NBR153" s="173"/>
      <c r="NBS153" s="173"/>
      <c r="NBT153" s="173"/>
      <c r="NBU153" s="173"/>
      <c r="NBV153" s="173"/>
      <c r="NBW153" s="125"/>
      <c r="NBX153" s="125"/>
      <c r="NBY153" s="134"/>
      <c r="NBZ153" s="135"/>
      <c r="NCA153" s="135"/>
      <c r="NCB153" s="135"/>
      <c r="NCC153" s="135"/>
      <c r="NCD153" s="173"/>
      <c r="NCE153" s="173"/>
      <c r="NCF153" s="173"/>
      <c r="NCG153" s="173"/>
      <c r="NCH153" s="173"/>
      <c r="NCI153" s="173"/>
      <c r="NCJ153" s="173"/>
      <c r="NCK153" s="173"/>
      <c r="NCL153" s="173"/>
      <c r="NCM153" s="173"/>
      <c r="NCN153" s="125"/>
      <c r="NCO153" s="125"/>
      <c r="NCP153" s="134"/>
      <c r="NCQ153" s="135"/>
      <c r="NCR153" s="135"/>
      <c r="NCS153" s="135"/>
      <c r="NCT153" s="135"/>
      <c r="NCU153" s="173"/>
      <c r="NCV153" s="173"/>
      <c r="NCW153" s="173"/>
      <c r="NCX153" s="173"/>
      <c r="NCY153" s="173"/>
      <c r="NCZ153" s="173"/>
      <c r="NDA153" s="173"/>
      <c r="NDB153" s="173"/>
      <c r="NDC153" s="173"/>
      <c r="NDD153" s="173"/>
      <c r="NDE153" s="125"/>
      <c r="NDF153" s="125"/>
      <c r="NDG153" s="134"/>
      <c r="NDH153" s="135"/>
      <c r="NDI153" s="135"/>
      <c r="NDJ153" s="135"/>
      <c r="NDK153" s="135"/>
      <c r="NDL153" s="173"/>
      <c r="NDM153" s="173"/>
      <c r="NDN153" s="173"/>
      <c r="NDO153" s="173"/>
      <c r="NDP153" s="173"/>
      <c r="NDQ153" s="173"/>
      <c r="NDR153" s="173"/>
      <c r="NDS153" s="173"/>
      <c r="NDT153" s="173"/>
      <c r="NDU153" s="173"/>
      <c r="NDV153" s="125"/>
      <c r="NDW153" s="125"/>
      <c r="NDX153" s="134"/>
      <c r="NDY153" s="135"/>
      <c r="NDZ153" s="135"/>
      <c r="NEA153" s="135"/>
      <c r="NEB153" s="135"/>
      <c r="NEC153" s="173"/>
      <c r="NED153" s="173"/>
      <c r="NEE153" s="173"/>
      <c r="NEF153" s="173"/>
      <c r="NEG153" s="173"/>
      <c r="NEH153" s="173"/>
      <c r="NEI153" s="173"/>
      <c r="NEJ153" s="173"/>
      <c r="NEK153" s="173"/>
      <c r="NEL153" s="173"/>
      <c r="NEM153" s="125"/>
      <c r="NEN153" s="125"/>
      <c r="NEO153" s="134"/>
      <c r="NEP153" s="135"/>
      <c r="NEQ153" s="135"/>
      <c r="NER153" s="135"/>
      <c r="NES153" s="135"/>
      <c r="NET153" s="173"/>
      <c r="NEU153" s="173"/>
      <c r="NEV153" s="173"/>
      <c r="NEW153" s="173"/>
      <c r="NEX153" s="173"/>
      <c r="NEY153" s="173"/>
      <c r="NEZ153" s="173"/>
      <c r="NFA153" s="173"/>
      <c r="NFB153" s="173"/>
      <c r="NFC153" s="173"/>
      <c r="NFD153" s="125"/>
      <c r="NFE153" s="125"/>
      <c r="NFF153" s="134"/>
      <c r="NFG153" s="135"/>
      <c r="NFH153" s="135"/>
      <c r="NFI153" s="135"/>
      <c r="NFJ153" s="135"/>
      <c r="NFK153" s="173"/>
      <c r="NFL153" s="173"/>
      <c r="NFM153" s="173"/>
      <c r="NFN153" s="173"/>
      <c r="NFO153" s="173"/>
      <c r="NFP153" s="173"/>
      <c r="NFQ153" s="173"/>
      <c r="NFR153" s="173"/>
      <c r="NFS153" s="173"/>
      <c r="NFT153" s="173"/>
      <c r="NFU153" s="125"/>
      <c r="NFV153" s="125"/>
      <c r="NFW153" s="134"/>
      <c r="NFX153" s="135"/>
      <c r="NFY153" s="135"/>
      <c r="NFZ153" s="135"/>
      <c r="NGA153" s="135"/>
      <c r="NGB153" s="173"/>
      <c r="NGC153" s="173"/>
      <c r="NGD153" s="173"/>
      <c r="NGE153" s="173"/>
      <c r="NGF153" s="173"/>
      <c r="NGG153" s="173"/>
      <c r="NGH153" s="173"/>
      <c r="NGI153" s="173"/>
      <c r="NGJ153" s="173"/>
      <c r="NGK153" s="173"/>
      <c r="NGL153" s="125"/>
      <c r="NGM153" s="125"/>
      <c r="NGN153" s="134"/>
      <c r="NGO153" s="135"/>
      <c r="NGP153" s="135"/>
      <c r="NGQ153" s="135"/>
      <c r="NGR153" s="135"/>
      <c r="NGS153" s="173"/>
      <c r="NGT153" s="173"/>
      <c r="NGU153" s="173"/>
      <c r="NGV153" s="173"/>
      <c r="NGW153" s="173"/>
      <c r="NGX153" s="173"/>
      <c r="NGY153" s="173"/>
      <c r="NGZ153" s="173"/>
      <c r="NHA153" s="173"/>
      <c r="NHB153" s="173"/>
      <c r="NHC153" s="125"/>
      <c r="NHD153" s="125"/>
      <c r="NHE153" s="134"/>
      <c r="NHF153" s="135"/>
      <c r="NHG153" s="135"/>
      <c r="NHH153" s="135"/>
      <c r="NHI153" s="135"/>
      <c r="NHJ153" s="173"/>
      <c r="NHK153" s="173"/>
      <c r="NHL153" s="173"/>
      <c r="NHM153" s="173"/>
      <c r="NHN153" s="173"/>
      <c r="NHO153" s="173"/>
      <c r="NHP153" s="173"/>
      <c r="NHQ153" s="173"/>
      <c r="NHR153" s="173"/>
      <c r="NHS153" s="173"/>
      <c r="NHT153" s="125"/>
      <c r="NHU153" s="125"/>
      <c r="NHV153" s="134"/>
      <c r="NHW153" s="135"/>
      <c r="NHX153" s="135"/>
      <c r="NHY153" s="135"/>
      <c r="NHZ153" s="135"/>
      <c r="NIA153" s="173"/>
      <c r="NIB153" s="173"/>
      <c r="NIC153" s="173"/>
      <c r="NID153" s="173"/>
      <c r="NIE153" s="173"/>
      <c r="NIF153" s="173"/>
      <c r="NIG153" s="173"/>
      <c r="NIH153" s="173"/>
      <c r="NII153" s="173"/>
      <c r="NIJ153" s="173"/>
      <c r="NIK153" s="125"/>
      <c r="NIL153" s="125"/>
      <c r="NIM153" s="134"/>
      <c r="NIN153" s="135"/>
      <c r="NIO153" s="135"/>
      <c r="NIP153" s="135"/>
      <c r="NIQ153" s="135"/>
      <c r="NIR153" s="173"/>
      <c r="NIS153" s="173"/>
      <c r="NIT153" s="173"/>
      <c r="NIU153" s="173"/>
      <c r="NIV153" s="173"/>
      <c r="NIW153" s="173"/>
      <c r="NIX153" s="173"/>
      <c r="NIY153" s="173"/>
      <c r="NIZ153" s="173"/>
      <c r="NJA153" s="173"/>
      <c r="NJB153" s="125"/>
      <c r="NJC153" s="125"/>
      <c r="NJD153" s="134"/>
      <c r="NJE153" s="135"/>
      <c r="NJF153" s="135"/>
      <c r="NJG153" s="135"/>
      <c r="NJH153" s="135"/>
      <c r="NJI153" s="173"/>
      <c r="NJJ153" s="173"/>
      <c r="NJK153" s="173"/>
      <c r="NJL153" s="173"/>
      <c r="NJM153" s="173"/>
      <c r="NJN153" s="173"/>
      <c r="NJO153" s="173"/>
      <c r="NJP153" s="173"/>
      <c r="NJQ153" s="173"/>
      <c r="NJR153" s="173"/>
      <c r="NJS153" s="125"/>
      <c r="NJT153" s="125"/>
      <c r="NJU153" s="134"/>
      <c r="NJV153" s="135"/>
      <c r="NJW153" s="135"/>
      <c r="NJX153" s="135"/>
      <c r="NJY153" s="135"/>
      <c r="NJZ153" s="173"/>
      <c r="NKA153" s="173"/>
      <c r="NKB153" s="173"/>
      <c r="NKC153" s="173"/>
      <c r="NKD153" s="173"/>
      <c r="NKE153" s="173"/>
      <c r="NKF153" s="173"/>
      <c r="NKG153" s="173"/>
      <c r="NKH153" s="173"/>
      <c r="NKI153" s="173"/>
      <c r="NKJ153" s="125"/>
      <c r="NKK153" s="125"/>
      <c r="NKL153" s="134"/>
      <c r="NKM153" s="135"/>
      <c r="NKN153" s="135"/>
      <c r="NKO153" s="135"/>
      <c r="NKP153" s="135"/>
      <c r="NKQ153" s="173"/>
      <c r="NKR153" s="173"/>
      <c r="NKS153" s="173"/>
      <c r="NKT153" s="173"/>
      <c r="NKU153" s="173"/>
      <c r="NKV153" s="173"/>
      <c r="NKW153" s="173"/>
      <c r="NKX153" s="173"/>
      <c r="NKY153" s="173"/>
      <c r="NKZ153" s="173"/>
      <c r="NLA153" s="125"/>
      <c r="NLB153" s="125"/>
      <c r="NLC153" s="134"/>
      <c r="NLD153" s="135"/>
      <c r="NLE153" s="135"/>
      <c r="NLF153" s="135"/>
      <c r="NLG153" s="135"/>
      <c r="NLH153" s="173"/>
      <c r="NLI153" s="173"/>
      <c r="NLJ153" s="173"/>
      <c r="NLK153" s="173"/>
      <c r="NLL153" s="173"/>
      <c r="NLM153" s="173"/>
      <c r="NLN153" s="173"/>
      <c r="NLO153" s="173"/>
      <c r="NLP153" s="173"/>
      <c r="NLQ153" s="173"/>
      <c r="NLR153" s="125"/>
      <c r="NLS153" s="125"/>
      <c r="NLT153" s="134"/>
      <c r="NLU153" s="135"/>
      <c r="NLV153" s="135"/>
      <c r="NLW153" s="135"/>
      <c r="NLX153" s="135"/>
      <c r="NLY153" s="173"/>
      <c r="NLZ153" s="173"/>
      <c r="NMA153" s="173"/>
      <c r="NMB153" s="173"/>
      <c r="NMC153" s="173"/>
      <c r="NMD153" s="173"/>
      <c r="NME153" s="173"/>
      <c r="NMF153" s="173"/>
      <c r="NMG153" s="173"/>
      <c r="NMH153" s="173"/>
      <c r="NMI153" s="125"/>
      <c r="NMJ153" s="125"/>
      <c r="NMK153" s="134"/>
      <c r="NML153" s="135"/>
      <c r="NMM153" s="135"/>
      <c r="NMN153" s="135"/>
      <c r="NMO153" s="135"/>
      <c r="NMP153" s="173"/>
      <c r="NMQ153" s="173"/>
      <c r="NMR153" s="173"/>
      <c r="NMS153" s="173"/>
      <c r="NMT153" s="173"/>
      <c r="NMU153" s="173"/>
      <c r="NMV153" s="173"/>
      <c r="NMW153" s="173"/>
      <c r="NMX153" s="173"/>
      <c r="NMY153" s="173"/>
      <c r="NMZ153" s="125"/>
      <c r="NNA153" s="125"/>
      <c r="NNB153" s="134"/>
      <c r="NNC153" s="135"/>
      <c r="NND153" s="135"/>
      <c r="NNE153" s="135"/>
      <c r="NNF153" s="135"/>
      <c r="NNG153" s="173"/>
      <c r="NNH153" s="173"/>
      <c r="NNI153" s="173"/>
      <c r="NNJ153" s="173"/>
      <c r="NNK153" s="173"/>
      <c r="NNL153" s="173"/>
      <c r="NNM153" s="173"/>
      <c r="NNN153" s="173"/>
      <c r="NNO153" s="173"/>
      <c r="NNP153" s="173"/>
      <c r="NNQ153" s="125"/>
      <c r="NNR153" s="125"/>
      <c r="NNS153" s="134"/>
      <c r="NNT153" s="135"/>
      <c r="NNU153" s="135"/>
      <c r="NNV153" s="135"/>
      <c r="NNW153" s="135"/>
      <c r="NNX153" s="173"/>
      <c r="NNY153" s="173"/>
      <c r="NNZ153" s="173"/>
      <c r="NOA153" s="173"/>
      <c r="NOB153" s="173"/>
      <c r="NOC153" s="173"/>
      <c r="NOD153" s="173"/>
      <c r="NOE153" s="173"/>
      <c r="NOF153" s="173"/>
      <c r="NOG153" s="173"/>
      <c r="NOH153" s="125"/>
      <c r="NOI153" s="125"/>
      <c r="NOJ153" s="134"/>
      <c r="NOK153" s="135"/>
      <c r="NOL153" s="135"/>
      <c r="NOM153" s="135"/>
      <c r="NON153" s="135"/>
      <c r="NOO153" s="173"/>
      <c r="NOP153" s="173"/>
      <c r="NOQ153" s="173"/>
      <c r="NOR153" s="173"/>
      <c r="NOS153" s="173"/>
      <c r="NOT153" s="173"/>
      <c r="NOU153" s="173"/>
      <c r="NOV153" s="173"/>
      <c r="NOW153" s="173"/>
      <c r="NOX153" s="173"/>
      <c r="NOY153" s="125"/>
      <c r="NOZ153" s="125"/>
      <c r="NPA153" s="134"/>
      <c r="NPB153" s="135"/>
      <c r="NPC153" s="135"/>
      <c r="NPD153" s="135"/>
      <c r="NPE153" s="135"/>
      <c r="NPF153" s="173"/>
      <c r="NPG153" s="173"/>
      <c r="NPH153" s="173"/>
      <c r="NPI153" s="173"/>
      <c r="NPJ153" s="173"/>
      <c r="NPK153" s="173"/>
      <c r="NPL153" s="173"/>
      <c r="NPM153" s="173"/>
      <c r="NPN153" s="173"/>
      <c r="NPO153" s="173"/>
      <c r="NPP153" s="125"/>
      <c r="NPQ153" s="125"/>
      <c r="NPR153" s="134"/>
      <c r="NPS153" s="135"/>
      <c r="NPT153" s="135"/>
      <c r="NPU153" s="135"/>
      <c r="NPV153" s="135"/>
      <c r="NPW153" s="173"/>
      <c r="NPX153" s="173"/>
      <c r="NPY153" s="173"/>
      <c r="NPZ153" s="173"/>
      <c r="NQA153" s="173"/>
      <c r="NQB153" s="173"/>
      <c r="NQC153" s="173"/>
      <c r="NQD153" s="173"/>
      <c r="NQE153" s="173"/>
      <c r="NQF153" s="173"/>
      <c r="NQG153" s="125"/>
      <c r="NQH153" s="125"/>
      <c r="NQI153" s="134"/>
      <c r="NQJ153" s="135"/>
      <c r="NQK153" s="135"/>
      <c r="NQL153" s="135"/>
      <c r="NQM153" s="135"/>
      <c r="NQN153" s="173"/>
      <c r="NQO153" s="173"/>
      <c r="NQP153" s="173"/>
      <c r="NQQ153" s="173"/>
      <c r="NQR153" s="173"/>
      <c r="NQS153" s="173"/>
      <c r="NQT153" s="173"/>
      <c r="NQU153" s="173"/>
      <c r="NQV153" s="173"/>
      <c r="NQW153" s="173"/>
      <c r="NQX153" s="125"/>
      <c r="NQY153" s="125"/>
      <c r="NQZ153" s="134"/>
      <c r="NRA153" s="135"/>
      <c r="NRB153" s="135"/>
      <c r="NRC153" s="135"/>
      <c r="NRD153" s="135"/>
      <c r="NRE153" s="173"/>
      <c r="NRF153" s="173"/>
      <c r="NRG153" s="173"/>
      <c r="NRH153" s="173"/>
      <c r="NRI153" s="173"/>
      <c r="NRJ153" s="173"/>
      <c r="NRK153" s="173"/>
      <c r="NRL153" s="173"/>
      <c r="NRM153" s="173"/>
      <c r="NRN153" s="173"/>
      <c r="NRO153" s="125"/>
      <c r="NRP153" s="125"/>
      <c r="NRQ153" s="134"/>
      <c r="NRR153" s="135"/>
      <c r="NRS153" s="135"/>
      <c r="NRT153" s="135"/>
      <c r="NRU153" s="135"/>
      <c r="NRV153" s="173"/>
      <c r="NRW153" s="173"/>
      <c r="NRX153" s="173"/>
      <c r="NRY153" s="173"/>
      <c r="NRZ153" s="173"/>
      <c r="NSA153" s="173"/>
      <c r="NSB153" s="173"/>
      <c r="NSC153" s="173"/>
      <c r="NSD153" s="173"/>
      <c r="NSE153" s="173"/>
      <c r="NSF153" s="125"/>
      <c r="NSG153" s="125"/>
      <c r="NSH153" s="134"/>
      <c r="NSI153" s="135"/>
      <c r="NSJ153" s="135"/>
      <c r="NSK153" s="135"/>
      <c r="NSL153" s="135"/>
      <c r="NSM153" s="173"/>
      <c r="NSN153" s="173"/>
      <c r="NSO153" s="173"/>
      <c r="NSP153" s="173"/>
      <c r="NSQ153" s="173"/>
      <c r="NSR153" s="173"/>
      <c r="NSS153" s="173"/>
      <c r="NST153" s="173"/>
      <c r="NSU153" s="173"/>
      <c r="NSV153" s="173"/>
      <c r="NSW153" s="125"/>
      <c r="NSX153" s="125"/>
      <c r="NSY153" s="134"/>
      <c r="NSZ153" s="135"/>
      <c r="NTA153" s="135"/>
      <c r="NTB153" s="135"/>
      <c r="NTC153" s="135"/>
      <c r="NTD153" s="173"/>
      <c r="NTE153" s="173"/>
      <c r="NTF153" s="173"/>
      <c r="NTG153" s="173"/>
      <c r="NTH153" s="173"/>
      <c r="NTI153" s="173"/>
      <c r="NTJ153" s="173"/>
      <c r="NTK153" s="173"/>
      <c r="NTL153" s="173"/>
      <c r="NTM153" s="173"/>
      <c r="NTN153" s="125"/>
      <c r="NTO153" s="125"/>
      <c r="NTP153" s="134"/>
      <c r="NTQ153" s="135"/>
      <c r="NTR153" s="135"/>
      <c r="NTS153" s="135"/>
      <c r="NTT153" s="135"/>
      <c r="NTU153" s="173"/>
      <c r="NTV153" s="173"/>
      <c r="NTW153" s="173"/>
      <c r="NTX153" s="173"/>
      <c r="NTY153" s="173"/>
      <c r="NTZ153" s="173"/>
      <c r="NUA153" s="173"/>
      <c r="NUB153" s="173"/>
      <c r="NUC153" s="173"/>
      <c r="NUD153" s="173"/>
      <c r="NUE153" s="125"/>
      <c r="NUF153" s="125"/>
      <c r="NUG153" s="134"/>
      <c r="NUH153" s="135"/>
      <c r="NUI153" s="135"/>
      <c r="NUJ153" s="135"/>
      <c r="NUK153" s="135"/>
      <c r="NUL153" s="173"/>
      <c r="NUM153" s="173"/>
      <c r="NUN153" s="173"/>
      <c r="NUO153" s="173"/>
      <c r="NUP153" s="173"/>
      <c r="NUQ153" s="173"/>
      <c r="NUR153" s="173"/>
      <c r="NUS153" s="173"/>
      <c r="NUT153" s="173"/>
      <c r="NUU153" s="173"/>
      <c r="NUV153" s="125"/>
      <c r="NUW153" s="125"/>
      <c r="NUX153" s="134"/>
      <c r="NUY153" s="135"/>
      <c r="NUZ153" s="135"/>
      <c r="NVA153" s="135"/>
      <c r="NVB153" s="135"/>
      <c r="NVC153" s="173"/>
      <c r="NVD153" s="173"/>
      <c r="NVE153" s="173"/>
      <c r="NVF153" s="173"/>
      <c r="NVG153" s="173"/>
      <c r="NVH153" s="173"/>
      <c r="NVI153" s="173"/>
      <c r="NVJ153" s="173"/>
      <c r="NVK153" s="173"/>
      <c r="NVL153" s="173"/>
      <c r="NVM153" s="125"/>
      <c r="NVN153" s="125"/>
      <c r="NVO153" s="134"/>
      <c r="NVP153" s="135"/>
      <c r="NVQ153" s="135"/>
      <c r="NVR153" s="135"/>
      <c r="NVS153" s="135"/>
      <c r="NVT153" s="173"/>
      <c r="NVU153" s="173"/>
      <c r="NVV153" s="173"/>
      <c r="NVW153" s="173"/>
      <c r="NVX153" s="173"/>
      <c r="NVY153" s="173"/>
      <c r="NVZ153" s="173"/>
      <c r="NWA153" s="173"/>
      <c r="NWB153" s="173"/>
      <c r="NWC153" s="173"/>
      <c r="NWD153" s="125"/>
      <c r="NWE153" s="125"/>
      <c r="NWF153" s="134"/>
      <c r="NWG153" s="135"/>
      <c r="NWH153" s="135"/>
      <c r="NWI153" s="135"/>
      <c r="NWJ153" s="135"/>
      <c r="NWK153" s="173"/>
      <c r="NWL153" s="173"/>
      <c r="NWM153" s="173"/>
      <c r="NWN153" s="173"/>
      <c r="NWO153" s="173"/>
      <c r="NWP153" s="173"/>
      <c r="NWQ153" s="173"/>
      <c r="NWR153" s="173"/>
      <c r="NWS153" s="173"/>
      <c r="NWT153" s="173"/>
      <c r="NWU153" s="125"/>
      <c r="NWV153" s="125"/>
      <c r="NWW153" s="134"/>
      <c r="NWX153" s="135"/>
      <c r="NWY153" s="135"/>
      <c r="NWZ153" s="135"/>
      <c r="NXA153" s="135"/>
      <c r="NXB153" s="173"/>
      <c r="NXC153" s="173"/>
      <c r="NXD153" s="173"/>
      <c r="NXE153" s="173"/>
      <c r="NXF153" s="173"/>
      <c r="NXG153" s="173"/>
      <c r="NXH153" s="173"/>
      <c r="NXI153" s="173"/>
      <c r="NXJ153" s="173"/>
      <c r="NXK153" s="173"/>
      <c r="NXL153" s="125"/>
      <c r="NXM153" s="125"/>
      <c r="NXN153" s="134"/>
      <c r="NXO153" s="135"/>
      <c r="NXP153" s="135"/>
      <c r="NXQ153" s="135"/>
      <c r="NXR153" s="135"/>
      <c r="NXS153" s="173"/>
      <c r="NXT153" s="173"/>
      <c r="NXU153" s="173"/>
      <c r="NXV153" s="173"/>
      <c r="NXW153" s="173"/>
      <c r="NXX153" s="173"/>
      <c r="NXY153" s="173"/>
      <c r="NXZ153" s="173"/>
      <c r="NYA153" s="173"/>
      <c r="NYB153" s="173"/>
      <c r="NYC153" s="125"/>
      <c r="NYD153" s="125"/>
      <c r="NYE153" s="134"/>
      <c r="NYF153" s="135"/>
      <c r="NYG153" s="135"/>
      <c r="NYH153" s="135"/>
      <c r="NYI153" s="135"/>
      <c r="NYJ153" s="173"/>
      <c r="NYK153" s="173"/>
      <c r="NYL153" s="173"/>
      <c r="NYM153" s="173"/>
      <c r="NYN153" s="173"/>
      <c r="NYO153" s="173"/>
      <c r="NYP153" s="173"/>
      <c r="NYQ153" s="173"/>
      <c r="NYR153" s="173"/>
      <c r="NYS153" s="173"/>
      <c r="NYT153" s="125"/>
      <c r="NYU153" s="125"/>
      <c r="NYV153" s="134"/>
      <c r="NYW153" s="135"/>
      <c r="NYX153" s="135"/>
      <c r="NYY153" s="135"/>
      <c r="NYZ153" s="135"/>
      <c r="NZA153" s="173"/>
      <c r="NZB153" s="173"/>
      <c r="NZC153" s="173"/>
      <c r="NZD153" s="173"/>
      <c r="NZE153" s="173"/>
      <c r="NZF153" s="173"/>
      <c r="NZG153" s="173"/>
      <c r="NZH153" s="173"/>
      <c r="NZI153" s="173"/>
      <c r="NZJ153" s="173"/>
      <c r="NZK153" s="125"/>
      <c r="NZL153" s="125"/>
      <c r="NZM153" s="134"/>
      <c r="NZN153" s="135"/>
      <c r="NZO153" s="135"/>
      <c r="NZP153" s="135"/>
      <c r="NZQ153" s="135"/>
      <c r="NZR153" s="173"/>
      <c r="NZS153" s="173"/>
      <c r="NZT153" s="173"/>
      <c r="NZU153" s="173"/>
      <c r="NZV153" s="173"/>
      <c r="NZW153" s="173"/>
      <c r="NZX153" s="173"/>
      <c r="NZY153" s="173"/>
      <c r="NZZ153" s="173"/>
      <c r="OAA153" s="173"/>
      <c r="OAB153" s="125"/>
      <c r="OAC153" s="125"/>
      <c r="OAD153" s="134"/>
      <c r="OAE153" s="135"/>
      <c r="OAF153" s="135"/>
      <c r="OAG153" s="135"/>
      <c r="OAH153" s="135"/>
      <c r="OAI153" s="173"/>
      <c r="OAJ153" s="173"/>
      <c r="OAK153" s="173"/>
      <c r="OAL153" s="173"/>
      <c r="OAM153" s="173"/>
      <c r="OAN153" s="173"/>
      <c r="OAO153" s="173"/>
      <c r="OAP153" s="173"/>
      <c r="OAQ153" s="173"/>
      <c r="OAR153" s="173"/>
      <c r="OAS153" s="125"/>
      <c r="OAT153" s="125"/>
      <c r="OAU153" s="134"/>
      <c r="OAV153" s="135"/>
      <c r="OAW153" s="135"/>
      <c r="OAX153" s="135"/>
      <c r="OAY153" s="135"/>
      <c r="OAZ153" s="173"/>
      <c r="OBA153" s="173"/>
      <c r="OBB153" s="173"/>
      <c r="OBC153" s="173"/>
      <c r="OBD153" s="173"/>
      <c r="OBE153" s="173"/>
      <c r="OBF153" s="173"/>
      <c r="OBG153" s="173"/>
      <c r="OBH153" s="173"/>
      <c r="OBI153" s="173"/>
      <c r="OBJ153" s="125"/>
      <c r="OBK153" s="125"/>
      <c r="OBL153" s="134"/>
      <c r="OBM153" s="135"/>
      <c r="OBN153" s="135"/>
      <c r="OBO153" s="135"/>
      <c r="OBP153" s="135"/>
      <c r="OBQ153" s="173"/>
      <c r="OBR153" s="173"/>
      <c r="OBS153" s="173"/>
      <c r="OBT153" s="173"/>
      <c r="OBU153" s="173"/>
      <c r="OBV153" s="173"/>
      <c r="OBW153" s="173"/>
      <c r="OBX153" s="173"/>
      <c r="OBY153" s="173"/>
      <c r="OBZ153" s="173"/>
      <c r="OCA153" s="125"/>
      <c r="OCB153" s="125"/>
      <c r="OCC153" s="134"/>
      <c r="OCD153" s="135"/>
      <c r="OCE153" s="135"/>
      <c r="OCF153" s="135"/>
      <c r="OCG153" s="135"/>
      <c r="OCH153" s="173"/>
      <c r="OCI153" s="173"/>
      <c r="OCJ153" s="173"/>
      <c r="OCK153" s="173"/>
      <c r="OCL153" s="173"/>
      <c r="OCM153" s="173"/>
      <c r="OCN153" s="173"/>
      <c r="OCO153" s="173"/>
      <c r="OCP153" s="173"/>
      <c r="OCQ153" s="173"/>
      <c r="OCR153" s="125"/>
      <c r="OCS153" s="125"/>
      <c r="OCT153" s="134"/>
      <c r="OCU153" s="135"/>
      <c r="OCV153" s="135"/>
      <c r="OCW153" s="135"/>
      <c r="OCX153" s="135"/>
      <c r="OCY153" s="173"/>
      <c r="OCZ153" s="173"/>
      <c r="ODA153" s="173"/>
      <c r="ODB153" s="173"/>
      <c r="ODC153" s="173"/>
      <c r="ODD153" s="173"/>
      <c r="ODE153" s="173"/>
      <c r="ODF153" s="173"/>
      <c r="ODG153" s="173"/>
      <c r="ODH153" s="173"/>
      <c r="ODI153" s="125"/>
      <c r="ODJ153" s="125"/>
      <c r="ODK153" s="134"/>
      <c r="ODL153" s="135"/>
      <c r="ODM153" s="135"/>
      <c r="ODN153" s="135"/>
      <c r="ODO153" s="135"/>
      <c r="ODP153" s="173"/>
      <c r="ODQ153" s="173"/>
      <c r="ODR153" s="173"/>
      <c r="ODS153" s="173"/>
      <c r="ODT153" s="173"/>
      <c r="ODU153" s="173"/>
      <c r="ODV153" s="173"/>
      <c r="ODW153" s="173"/>
      <c r="ODX153" s="173"/>
      <c r="ODY153" s="173"/>
      <c r="ODZ153" s="125"/>
      <c r="OEA153" s="125"/>
      <c r="OEB153" s="134"/>
      <c r="OEC153" s="135"/>
      <c r="OED153" s="135"/>
      <c r="OEE153" s="135"/>
      <c r="OEF153" s="135"/>
      <c r="OEG153" s="173"/>
      <c r="OEH153" s="173"/>
      <c r="OEI153" s="173"/>
      <c r="OEJ153" s="173"/>
      <c r="OEK153" s="173"/>
      <c r="OEL153" s="173"/>
      <c r="OEM153" s="173"/>
      <c r="OEN153" s="173"/>
      <c r="OEO153" s="173"/>
      <c r="OEP153" s="173"/>
      <c r="OEQ153" s="125"/>
      <c r="OER153" s="125"/>
      <c r="OES153" s="134"/>
      <c r="OET153" s="135"/>
      <c r="OEU153" s="135"/>
      <c r="OEV153" s="135"/>
      <c r="OEW153" s="135"/>
      <c r="OEX153" s="173"/>
      <c r="OEY153" s="173"/>
      <c r="OEZ153" s="173"/>
      <c r="OFA153" s="173"/>
      <c r="OFB153" s="173"/>
      <c r="OFC153" s="173"/>
      <c r="OFD153" s="173"/>
      <c r="OFE153" s="173"/>
      <c r="OFF153" s="173"/>
      <c r="OFG153" s="173"/>
      <c r="OFH153" s="125"/>
      <c r="OFI153" s="125"/>
      <c r="OFJ153" s="134"/>
      <c r="OFK153" s="135"/>
      <c r="OFL153" s="135"/>
      <c r="OFM153" s="135"/>
      <c r="OFN153" s="135"/>
      <c r="OFO153" s="173"/>
      <c r="OFP153" s="173"/>
      <c r="OFQ153" s="173"/>
      <c r="OFR153" s="173"/>
      <c r="OFS153" s="173"/>
      <c r="OFT153" s="173"/>
      <c r="OFU153" s="173"/>
      <c r="OFV153" s="173"/>
      <c r="OFW153" s="173"/>
      <c r="OFX153" s="173"/>
      <c r="OFY153" s="125"/>
      <c r="OFZ153" s="125"/>
      <c r="OGA153" s="134"/>
      <c r="OGB153" s="135"/>
      <c r="OGC153" s="135"/>
      <c r="OGD153" s="135"/>
      <c r="OGE153" s="135"/>
      <c r="OGF153" s="173"/>
      <c r="OGG153" s="173"/>
      <c r="OGH153" s="173"/>
      <c r="OGI153" s="173"/>
      <c r="OGJ153" s="173"/>
      <c r="OGK153" s="173"/>
      <c r="OGL153" s="173"/>
      <c r="OGM153" s="173"/>
      <c r="OGN153" s="173"/>
      <c r="OGO153" s="173"/>
      <c r="OGP153" s="125"/>
      <c r="OGQ153" s="125"/>
      <c r="OGR153" s="134"/>
      <c r="OGS153" s="135"/>
      <c r="OGT153" s="135"/>
      <c r="OGU153" s="135"/>
      <c r="OGV153" s="135"/>
      <c r="OGW153" s="173"/>
      <c r="OGX153" s="173"/>
      <c r="OGY153" s="173"/>
      <c r="OGZ153" s="173"/>
      <c r="OHA153" s="173"/>
      <c r="OHB153" s="173"/>
      <c r="OHC153" s="173"/>
      <c r="OHD153" s="173"/>
      <c r="OHE153" s="173"/>
      <c r="OHF153" s="173"/>
      <c r="OHG153" s="125"/>
      <c r="OHH153" s="125"/>
      <c r="OHI153" s="134"/>
      <c r="OHJ153" s="135"/>
      <c r="OHK153" s="135"/>
      <c r="OHL153" s="135"/>
      <c r="OHM153" s="135"/>
      <c r="OHN153" s="173"/>
      <c r="OHO153" s="173"/>
      <c r="OHP153" s="173"/>
      <c r="OHQ153" s="173"/>
      <c r="OHR153" s="173"/>
      <c r="OHS153" s="173"/>
      <c r="OHT153" s="173"/>
      <c r="OHU153" s="173"/>
      <c r="OHV153" s="173"/>
      <c r="OHW153" s="173"/>
      <c r="OHX153" s="125"/>
      <c r="OHY153" s="125"/>
      <c r="OHZ153" s="134"/>
      <c r="OIA153" s="135"/>
      <c r="OIB153" s="135"/>
      <c r="OIC153" s="135"/>
      <c r="OID153" s="135"/>
      <c r="OIE153" s="173"/>
      <c r="OIF153" s="173"/>
      <c r="OIG153" s="173"/>
      <c r="OIH153" s="173"/>
      <c r="OII153" s="173"/>
      <c r="OIJ153" s="173"/>
      <c r="OIK153" s="173"/>
      <c r="OIL153" s="173"/>
      <c r="OIM153" s="173"/>
      <c r="OIN153" s="173"/>
      <c r="OIO153" s="125"/>
      <c r="OIP153" s="125"/>
      <c r="OIQ153" s="134"/>
      <c r="OIR153" s="135"/>
      <c r="OIS153" s="135"/>
      <c r="OIT153" s="135"/>
      <c r="OIU153" s="135"/>
      <c r="OIV153" s="173"/>
      <c r="OIW153" s="173"/>
      <c r="OIX153" s="173"/>
      <c r="OIY153" s="173"/>
      <c r="OIZ153" s="173"/>
      <c r="OJA153" s="173"/>
      <c r="OJB153" s="173"/>
      <c r="OJC153" s="173"/>
      <c r="OJD153" s="173"/>
      <c r="OJE153" s="173"/>
      <c r="OJF153" s="125"/>
      <c r="OJG153" s="125"/>
      <c r="OJH153" s="134"/>
      <c r="OJI153" s="135"/>
      <c r="OJJ153" s="135"/>
      <c r="OJK153" s="135"/>
      <c r="OJL153" s="135"/>
      <c r="OJM153" s="173"/>
      <c r="OJN153" s="173"/>
      <c r="OJO153" s="173"/>
      <c r="OJP153" s="173"/>
      <c r="OJQ153" s="173"/>
      <c r="OJR153" s="173"/>
      <c r="OJS153" s="173"/>
      <c r="OJT153" s="173"/>
      <c r="OJU153" s="173"/>
      <c r="OJV153" s="173"/>
      <c r="OJW153" s="125"/>
      <c r="OJX153" s="125"/>
      <c r="OJY153" s="134"/>
      <c r="OJZ153" s="135"/>
      <c r="OKA153" s="135"/>
      <c r="OKB153" s="135"/>
      <c r="OKC153" s="135"/>
      <c r="OKD153" s="173"/>
      <c r="OKE153" s="173"/>
      <c r="OKF153" s="173"/>
      <c r="OKG153" s="173"/>
      <c r="OKH153" s="173"/>
      <c r="OKI153" s="173"/>
      <c r="OKJ153" s="173"/>
      <c r="OKK153" s="173"/>
      <c r="OKL153" s="173"/>
      <c r="OKM153" s="173"/>
      <c r="OKN153" s="125"/>
      <c r="OKO153" s="125"/>
      <c r="OKP153" s="134"/>
      <c r="OKQ153" s="135"/>
      <c r="OKR153" s="135"/>
      <c r="OKS153" s="135"/>
      <c r="OKT153" s="135"/>
      <c r="OKU153" s="173"/>
      <c r="OKV153" s="173"/>
      <c r="OKW153" s="173"/>
      <c r="OKX153" s="173"/>
      <c r="OKY153" s="173"/>
      <c r="OKZ153" s="173"/>
      <c r="OLA153" s="173"/>
      <c r="OLB153" s="173"/>
      <c r="OLC153" s="173"/>
      <c r="OLD153" s="173"/>
      <c r="OLE153" s="125"/>
      <c r="OLF153" s="125"/>
      <c r="OLG153" s="134"/>
      <c r="OLH153" s="135"/>
      <c r="OLI153" s="135"/>
      <c r="OLJ153" s="135"/>
      <c r="OLK153" s="135"/>
      <c r="OLL153" s="173"/>
      <c r="OLM153" s="173"/>
      <c r="OLN153" s="173"/>
      <c r="OLO153" s="173"/>
      <c r="OLP153" s="173"/>
      <c r="OLQ153" s="173"/>
      <c r="OLR153" s="173"/>
      <c r="OLS153" s="173"/>
      <c r="OLT153" s="173"/>
      <c r="OLU153" s="173"/>
      <c r="OLV153" s="125"/>
      <c r="OLW153" s="125"/>
      <c r="OLX153" s="134"/>
      <c r="OLY153" s="135"/>
      <c r="OLZ153" s="135"/>
      <c r="OMA153" s="135"/>
      <c r="OMB153" s="135"/>
      <c r="OMC153" s="173"/>
      <c r="OMD153" s="173"/>
      <c r="OME153" s="173"/>
      <c r="OMF153" s="173"/>
      <c r="OMG153" s="173"/>
      <c r="OMH153" s="173"/>
      <c r="OMI153" s="173"/>
      <c r="OMJ153" s="173"/>
      <c r="OMK153" s="173"/>
      <c r="OML153" s="173"/>
      <c r="OMM153" s="125"/>
      <c r="OMN153" s="125"/>
      <c r="OMO153" s="134"/>
      <c r="OMP153" s="135"/>
      <c r="OMQ153" s="135"/>
      <c r="OMR153" s="135"/>
      <c r="OMS153" s="135"/>
      <c r="OMT153" s="173"/>
      <c r="OMU153" s="173"/>
      <c r="OMV153" s="173"/>
      <c r="OMW153" s="173"/>
      <c r="OMX153" s="173"/>
      <c r="OMY153" s="173"/>
      <c r="OMZ153" s="173"/>
      <c r="ONA153" s="173"/>
      <c r="ONB153" s="173"/>
      <c r="ONC153" s="173"/>
      <c r="OND153" s="125"/>
      <c r="ONE153" s="125"/>
      <c r="ONF153" s="134"/>
      <c r="ONG153" s="135"/>
      <c r="ONH153" s="135"/>
      <c r="ONI153" s="135"/>
      <c r="ONJ153" s="135"/>
      <c r="ONK153" s="173"/>
      <c r="ONL153" s="173"/>
      <c r="ONM153" s="173"/>
      <c r="ONN153" s="173"/>
      <c r="ONO153" s="173"/>
      <c r="ONP153" s="173"/>
      <c r="ONQ153" s="173"/>
      <c r="ONR153" s="173"/>
      <c r="ONS153" s="173"/>
      <c r="ONT153" s="173"/>
      <c r="ONU153" s="125"/>
      <c r="ONV153" s="125"/>
      <c r="ONW153" s="134"/>
      <c r="ONX153" s="135"/>
      <c r="ONY153" s="135"/>
      <c r="ONZ153" s="135"/>
      <c r="OOA153" s="135"/>
      <c r="OOB153" s="173"/>
      <c r="OOC153" s="173"/>
      <c r="OOD153" s="173"/>
      <c r="OOE153" s="173"/>
      <c r="OOF153" s="173"/>
      <c r="OOG153" s="173"/>
      <c r="OOH153" s="173"/>
      <c r="OOI153" s="173"/>
      <c r="OOJ153" s="173"/>
      <c r="OOK153" s="173"/>
      <c r="OOL153" s="125"/>
      <c r="OOM153" s="125"/>
      <c r="OON153" s="134"/>
      <c r="OOO153" s="135"/>
      <c r="OOP153" s="135"/>
      <c r="OOQ153" s="135"/>
      <c r="OOR153" s="135"/>
      <c r="OOS153" s="173"/>
      <c r="OOT153" s="173"/>
      <c r="OOU153" s="173"/>
      <c r="OOV153" s="173"/>
      <c r="OOW153" s="173"/>
      <c r="OOX153" s="173"/>
      <c r="OOY153" s="173"/>
      <c r="OOZ153" s="173"/>
      <c r="OPA153" s="173"/>
      <c r="OPB153" s="173"/>
      <c r="OPC153" s="125"/>
      <c r="OPD153" s="125"/>
      <c r="OPE153" s="134"/>
      <c r="OPF153" s="135"/>
      <c r="OPG153" s="135"/>
      <c r="OPH153" s="135"/>
      <c r="OPI153" s="135"/>
      <c r="OPJ153" s="173"/>
      <c r="OPK153" s="173"/>
      <c r="OPL153" s="173"/>
      <c r="OPM153" s="173"/>
      <c r="OPN153" s="173"/>
      <c r="OPO153" s="173"/>
      <c r="OPP153" s="173"/>
      <c r="OPQ153" s="173"/>
      <c r="OPR153" s="173"/>
      <c r="OPS153" s="173"/>
      <c r="OPT153" s="125"/>
      <c r="OPU153" s="125"/>
      <c r="OPV153" s="134"/>
      <c r="OPW153" s="135"/>
      <c r="OPX153" s="135"/>
      <c r="OPY153" s="135"/>
      <c r="OPZ153" s="135"/>
      <c r="OQA153" s="173"/>
      <c r="OQB153" s="173"/>
      <c r="OQC153" s="173"/>
      <c r="OQD153" s="173"/>
      <c r="OQE153" s="173"/>
      <c r="OQF153" s="173"/>
      <c r="OQG153" s="173"/>
      <c r="OQH153" s="173"/>
      <c r="OQI153" s="173"/>
      <c r="OQJ153" s="173"/>
      <c r="OQK153" s="125"/>
      <c r="OQL153" s="125"/>
      <c r="OQM153" s="134"/>
      <c r="OQN153" s="135"/>
      <c r="OQO153" s="135"/>
      <c r="OQP153" s="135"/>
      <c r="OQQ153" s="135"/>
      <c r="OQR153" s="173"/>
      <c r="OQS153" s="173"/>
      <c r="OQT153" s="173"/>
      <c r="OQU153" s="173"/>
      <c r="OQV153" s="173"/>
      <c r="OQW153" s="173"/>
      <c r="OQX153" s="173"/>
      <c r="OQY153" s="173"/>
      <c r="OQZ153" s="173"/>
      <c r="ORA153" s="173"/>
      <c r="ORB153" s="125"/>
      <c r="ORC153" s="125"/>
      <c r="ORD153" s="134"/>
      <c r="ORE153" s="135"/>
      <c r="ORF153" s="135"/>
      <c r="ORG153" s="135"/>
      <c r="ORH153" s="135"/>
      <c r="ORI153" s="173"/>
      <c r="ORJ153" s="173"/>
      <c r="ORK153" s="173"/>
      <c r="ORL153" s="173"/>
      <c r="ORM153" s="173"/>
      <c r="ORN153" s="173"/>
      <c r="ORO153" s="173"/>
      <c r="ORP153" s="173"/>
      <c r="ORQ153" s="173"/>
      <c r="ORR153" s="173"/>
      <c r="ORS153" s="125"/>
      <c r="ORT153" s="125"/>
      <c r="ORU153" s="134"/>
      <c r="ORV153" s="135"/>
      <c r="ORW153" s="135"/>
      <c r="ORX153" s="135"/>
      <c r="ORY153" s="135"/>
      <c r="ORZ153" s="173"/>
      <c r="OSA153" s="173"/>
      <c r="OSB153" s="173"/>
      <c r="OSC153" s="173"/>
      <c r="OSD153" s="173"/>
      <c r="OSE153" s="173"/>
      <c r="OSF153" s="173"/>
      <c r="OSG153" s="173"/>
      <c r="OSH153" s="173"/>
      <c r="OSI153" s="173"/>
      <c r="OSJ153" s="125"/>
      <c r="OSK153" s="125"/>
      <c r="OSL153" s="134"/>
      <c r="OSM153" s="135"/>
      <c r="OSN153" s="135"/>
      <c r="OSO153" s="135"/>
      <c r="OSP153" s="135"/>
      <c r="OSQ153" s="173"/>
      <c r="OSR153" s="173"/>
      <c r="OSS153" s="173"/>
      <c r="OST153" s="173"/>
      <c r="OSU153" s="173"/>
      <c r="OSV153" s="173"/>
      <c r="OSW153" s="173"/>
      <c r="OSX153" s="173"/>
      <c r="OSY153" s="173"/>
      <c r="OSZ153" s="173"/>
      <c r="OTA153" s="125"/>
      <c r="OTB153" s="125"/>
      <c r="OTC153" s="134"/>
      <c r="OTD153" s="135"/>
      <c r="OTE153" s="135"/>
      <c r="OTF153" s="135"/>
      <c r="OTG153" s="135"/>
      <c r="OTH153" s="173"/>
      <c r="OTI153" s="173"/>
      <c r="OTJ153" s="173"/>
      <c r="OTK153" s="173"/>
      <c r="OTL153" s="173"/>
      <c r="OTM153" s="173"/>
      <c r="OTN153" s="173"/>
      <c r="OTO153" s="173"/>
      <c r="OTP153" s="173"/>
      <c r="OTQ153" s="173"/>
      <c r="OTR153" s="125"/>
      <c r="OTS153" s="125"/>
      <c r="OTT153" s="134"/>
      <c r="OTU153" s="135"/>
      <c r="OTV153" s="135"/>
      <c r="OTW153" s="135"/>
      <c r="OTX153" s="135"/>
      <c r="OTY153" s="173"/>
      <c r="OTZ153" s="173"/>
      <c r="OUA153" s="173"/>
      <c r="OUB153" s="173"/>
      <c r="OUC153" s="173"/>
      <c r="OUD153" s="173"/>
      <c r="OUE153" s="173"/>
      <c r="OUF153" s="173"/>
      <c r="OUG153" s="173"/>
      <c r="OUH153" s="173"/>
      <c r="OUI153" s="125"/>
      <c r="OUJ153" s="125"/>
      <c r="OUK153" s="134"/>
      <c r="OUL153" s="135"/>
      <c r="OUM153" s="135"/>
      <c r="OUN153" s="135"/>
      <c r="OUO153" s="135"/>
      <c r="OUP153" s="173"/>
      <c r="OUQ153" s="173"/>
      <c r="OUR153" s="173"/>
      <c r="OUS153" s="173"/>
      <c r="OUT153" s="173"/>
      <c r="OUU153" s="173"/>
      <c r="OUV153" s="173"/>
      <c r="OUW153" s="173"/>
      <c r="OUX153" s="173"/>
      <c r="OUY153" s="173"/>
      <c r="OUZ153" s="125"/>
      <c r="OVA153" s="125"/>
      <c r="OVB153" s="134"/>
      <c r="OVC153" s="135"/>
      <c r="OVD153" s="135"/>
      <c r="OVE153" s="135"/>
      <c r="OVF153" s="135"/>
      <c r="OVG153" s="173"/>
      <c r="OVH153" s="173"/>
      <c r="OVI153" s="173"/>
      <c r="OVJ153" s="173"/>
      <c r="OVK153" s="173"/>
      <c r="OVL153" s="173"/>
      <c r="OVM153" s="173"/>
      <c r="OVN153" s="173"/>
      <c r="OVO153" s="173"/>
      <c r="OVP153" s="173"/>
      <c r="OVQ153" s="125"/>
      <c r="OVR153" s="125"/>
      <c r="OVS153" s="134"/>
      <c r="OVT153" s="135"/>
      <c r="OVU153" s="135"/>
      <c r="OVV153" s="135"/>
      <c r="OVW153" s="135"/>
      <c r="OVX153" s="173"/>
      <c r="OVY153" s="173"/>
      <c r="OVZ153" s="173"/>
      <c r="OWA153" s="173"/>
      <c r="OWB153" s="173"/>
      <c r="OWC153" s="173"/>
      <c r="OWD153" s="173"/>
      <c r="OWE153" s="173"/>
      <c r="OWF153" s="173"/>
      <c r="OWG153" s="173"/>
      <c r="OWH153" s="125"/>
      <c r="OWI153" s="125"/>
      <c r="OWJ153" s="134"/>
      <c r="OWK153" s="135"/>
      <c r="OWL153" s="135"/>
      <c r="OWM153" s="135"/>
      <c r="OWN153" s="135"/>
      <c r="OWO153" s="173"/>
      <c r="OWP153" s="173"/>
      <c r="OWQ153" s="173"/>
      <c r="OWR153" s="173"/>
      <c r="OWS153" s="173"/>
      <c r="OWT153" s="173"/>
      <c r="OWU153" s="173"/>
      <c r="OWV153" s="173"/>
      <c r="OWW153" s="173"/>
      <c r="OWX153" s="173"/>
      <c r="OWY153" s="125"/>
      <c r="OWZ153" s="125"/>
      <c r="OXA153" s="134"/>
      <c r="OXB153" s="135"/>
      <c r="OXC153" s="135"/>
      <c r="OXD153" s="135"/>
      <c r="OXE153" s="135"/>
      <c r="OXF153" s="173"/>
      <c r="OXG153" s="173"/>
      <c r="OXH153" s="173"/>
      <c r="OXI153" s="173"/>
      <c r="OXJ153" s="173"/>
      <c r="OXK153" s="173"/>
      <c r="OXL153" s="173"/>
      <c r="OXM153" s="173"/>
      <c r="OXN153" s="173"/>
      <c r="OXO153" s="173"/>
      <c r="OXP153" s="125"/>
      <c r="OXQ153" s="125"/>
      <c r="OXR153" s="134"/>
      <c r="OXS153" s="135"/>
      <c r="OXT153" s="135"/>
      <c r="OXU153" s="135"/>
      <c r="OXV153" s="135"/>
      <c r="OXW153" s="173"/>
      <c r="OXX153" s="173"/>
      <c r="OXY153" s="173"/>
      <c r="OXZ153" s="173"/>
      <c r="OYA153" s="173"/>
      <c r="OYB153" s="173"/>
      <c r="OYC153" s="173"/>
      <c r="OYD153" s="173"/>
      <c r="OYE153" s="173"/>
      <c r="OYF153" s="173"/>
      <c r="OYG153" s="125"/>
      <c r="OYH153" s="125"/>
      <c r="OYI153" s="134"/>
      <c r="OYJ153" s="135"/>
      <c r="OYK153" s="135"/>
      <c r="OYL153" s="135"/>
      <c r="OYM153" s="135"/>
      <c r="OYN153" s="173"/>
      <c r="OYO153" s="173"/>
      <c r="OYP153" s="173"/>
      <c r="OYQ153" s="173"/>
      <c r="OYR153" s="173"/>
      <c r="OYS153" s="173"/>
      <c r="OYT153" s="173"/>
      <c r="OYU153" s="173"/>
      <c r="OYV153" s="173"/>
      <c r="OYW153" s="173"/>
      <c r="OYX153" s="125"/>
      <c r="OYY153" s="125"/>
      <c r="OYZ153" s="134"/>
      <c r="OZA153" s="135"/>
      <c r="OZB153" s="135"/>
      <c r="OZC153" s="135"/>
      <c r="OZD153" s="135"/>
      <c r="OZE153" s="173"/>
      <c r="OZF153" s="173"/>
      <c r="OZG153" s="173"/>
      <c r="OZH153" s="173"/>
      <c r="OZI153" s="173"/>
      <c r="OZJ153" s="173"/>
      <c r="OZK153" s="173"/>
      <c r="OZL153" s="173"/>
      <c r="OZM153" s="173"/>
      <c r="OZN153" s="173"/>
      <c r="OZO153" s="125"/>
      <c r="OZP153" s="125"/>
      <c r="OZQ153" s="134"/>
      <c r="OZR153" s="135"/>
      <c r="OZS153" s="135"/>
      <c r="OZT153" s="135"/>
      <c r="OZU153" s="135"/>
      <c r="OZV153" s="173"/>
      <c r="OZW153" s="173"/>
      <c r="OZX153" s="173"/>
      <c r="OZY153" s="173"/>
      <c r="OZZ153" s="173"/>
      <c r="PAA153" s="173"/>
      <c r="PAB153" s="173"/>
      <c r="PAC153" s="173"/>
      <c r="PAD153" s="173"/>
      <c r="PAE153" s="173"/>
      <c r="PAF153" s="125"/>
      <c r="PAG153" s="125"/>
      <c r="PAH153" s="134"/>
      <c r="PAI153" s="135"/>
      <c r="PAJ153" s="135"/>
      <c r="PAK153" s="135"/>
      <c r="PAL153" s="135"/>
      <c r="PAM153" s="173"/>
      <c r="PAN153" s="173"/>
      <c r="PAO153" s="173"/>
      <c r="PAP153" s="173"/>
      <c r="PAQ153" s="173"/>
      <c r="PAR153" s="173"/>
      <c r="PAS153" s="173"/>
      <c r="PAT153" s="173"/>
      <c r="PAU153" s="173"/>
      <c r="PAV153" s="173"/>
      <c r="PAW153" s="125"/>
      <c r="PAX153" s="125"/>
      <c r="PAY153" s="134"/>
      <c r="PAZ153" s="135"/>
      <c r="PBA153" s="135"/>
      <c r="PBB153" s="135"/>
      <c r="PBC153" s="135"/>
      <c r="PBD153" s="173"/>
      <c r="PBE153" s="173"/>
      <c r="PBF153" s="173"/>
      <c r="PBG153" s="173"/>
      <c r="PBH153" s="173"/>
      <c r="PBI153" s="173"/>
      <c r="PBJ153" s="173"/>
      <c r="PBK153" s="173"/>
      <c r="PBL153" s="173"/>
      <c r="PBM153" s="173"/>
      <c r="PBN153" s="125"/>
      <c r="PBO153" s="125"/>
      <c r="PBP153" s="134"/>
      <c r="PBQ153" s="135"/>
      <c r="PBR153" s="135"/>
      <c r="PBS153" s="135"/>
      <c r="PBT153" s="135"/>
      <c r="PBU153" s="173"/>
      <c r="PBV153" s="173"/>
      <c r="PBW153" s="173"/>
      <c r="PBX153" s="173"/>
      <c r="PBY153" s="173"/>
      <c r="PBZ153" s="173"/>
      <c r="PCA153" s="173"/>
      <c r="PCB153" s="173"/>
      <c r="PCC153" s="173"/>
      <c r="PCD153" s="173"/>
      <c r="PCE153" s="125"/>
      <c r="PCF153" s="125"/>
      <c r="PCG153" s="134"/>
      <c r="PCH153" s="135"/>
      <c r="PCI153" s="135"/>
      <c r="PCJ153" s="135"/>
      <c r="PCK153" s="135"/>
      <c r="PCL153" s="173"/>
      <c r="PCM153" s="173"/>
      <c r="PCN153" s="173"/>
      <c r="PCO153" s="173"/>
      <c r="PCP153" s="173"/>
      <c r="PCQ153" s="173"/>
      <c r="PCR153" s="173"/>
      <c r="PCS153" s="173"/>
      <c r="PCT153" s="173"/>
      <c r="PCU153" s="173"/>
      <c r="PCV153" s="125"/>
      <c r="PCW153" s="125"/>
      <c r="PCX153" s="134"/>
      <c r="PCY153" s="135"/>
      <c r="PCZ153" s="135"/>
      <c r="PDA153" s="135"/>
      <c r="PDB153" s="135"/>
      <c r="PDC153" s="173"/>
      <c r="PDD153" s="173"/>
      <c r="PDE153" s="173"/>
      <c r="PDF153" s="173"/>
      <c r="PDG153" s="173"/>
      <c r="PDH153" s="173"/>
      <c r="PDI153" s="173"/>
      <c r="PDJ153" s="173"/>
      <c r="PDK153" s="173"/>
      <c r="PDL153" s="173"/>
      <c r="PDM153" s="125"/>
      <c r="PDN153" s="125"/>
      <c r="PDO153" s="134"/>
      <c r="PDP153" s="135"/>
      <c r="PDQ153" s="135"/>
      <c r="PDR153" s="135"/>
      <c r="PDS153" s="135"/>
      <c r="PDT153" s="173"/>
      <c r="PDU153" s="173"/>
      <c r="PDV153" s="173"/>
      <c r="PDW153" s="173"/>
      <c r="PDX153" s="173"/>
      <c r="PDY153" s="173"/>
      <c r="PDZ153" s="173"/>
      <c r="PEA153" s="173"/>
      <c r="PEB153" s="173"/>
      <c r="PEC153" s="173"/>
      <c r="PED153" s="125"/>
      <c r="PEE153" s="125"/>
      <c r="PEF153" s="134"/>
      <c r="PEG153" s="135"/>
      <c r="PEH153" s="135"/>
      <c r="PEI153" s="135"/>
      <c r="PEJ153" s="135"/>
      <c r="PEK153" s="173"/>
      <c r="PEL153" s="173"/>
      <c r="PEM153" s="173"/>
      <c r="PEN153" s="173"/>
      <c r="PEO153" s="173"/>
      <c r="PEP153" s="173"/>
      <c r="PEQ153" s="173"/>
      <c r="PER153" s="173"/>
      <c r="PES153" s="173"/>
      <c r="PET153" s="173"/>
      <c r="PEU153" s="125"/>
      <c r="PEV153" s="125"/>
      <c r="PEW153" s="134"/>
      <c r="PEX153" s="135"/>
      <c r="PEY153" s="135"/>
      <c r="PEZ153" s="135"/>
      <c r="PFA153" s="135"/>
      <c r="PFB153" s="173"/>
      <c r="PFC153" s="173"/>
      <c r="PFD153" s="173"/>
      <c r="PFE153" s="173"/>
      <c r="PFF153" s="173"/>
      <c r="PFG153" s="173"/>
      <c r="PFH153" s="173"/>
      <c r="PFI153" s="173"/>
      <c r="PFJ153" s="173"/>
      <c r="PFK153" s="173"/>
      <c r="PFL153" s="125"/>
      <c r="PFM153" s="125"/>
      <c r="PFN153" s="134"/>
      <c r="PFO153" s="135"/>
      <c r="PFP153" s="135"/>
      <c r="PFQ153" s="135"/>
      <c r="PFR153" s="135"/>
      <c r="PFS153" s="173"/>
      <c r="PFT153" s="173"/>
      <c r="PFU153" s="173"/>
      <c r="PFV153" s="173"/>
      <c r="PFW153" s="173"/>
      <c r="PFX153" s="173"/>
      <c r="PFY153" s="173"/>
      <c r="PFZ153" s="173"/>
      <c r="PGA153" s="173"/>
      <c r="PGB153" s="173"/>
      <c r="PGC153" s="125"/>
      <c r="PGD153" s="125"/>
      <c r="PGE153" s="134"/>
      <c r="PGF153" s="135"/>
      <c r="PGG153" s="135"/>
      <c r="PGH153" s="135"/>
      <c r="PGI153" s="135"/>
      <c r="PGJ153" s="173"/>
      <c r="PGK153" s="173"/>
      <c r="PGL153" s="173"/>
      <c r="PGM153" s="173"/>
      <c r="PGN153" s="173"/>
      <c r="PGO153" s="173"/>
      <c r="PGP153" s="173"/>
      <c r="PGQ153" s="173"/>
      <c r="PGR153" s="173"/>
      <c r="PGS153" s="173"/>
      <c r="PGT153" s="125"/>
      <c r="PGU153" s="125"/>
      <c r="PGV153" s="134"/>
      <c r="PGW153" s="135"/>
      <c r="PGX153" s="135"/>
      <c r="PGY153" s="135"/>
      <c r="PGZ153" s="135"/>
      <c r="PHA153" s="173"/>
      <c r="PHB153" s="173"/>
      <c r="PHC153" s="173"/>
      <c r="PHD153" s="173"/>
      <c r="PHE153" s="173"/>
      <c r="PHF153" s="173"/>
      <c r="PHG153" s="173"/>
      <c r="PHH153" s="173"/>
      <c r="PHI153" s="173"/>
      <c r="PHJ153" s="173"/>
      <c r="PHK153" s="125"/>
      <c r="PHL153" s="125"/>
      <c r="PHM153" s="134"/>
      <c r="PHN153" s="135"/>
      <c r="PHO153" s="135"/>
      <c r="PHP153" s="135"/>
      <c r="PHQ153" s="135"/>
      <c r="PHR153" s="173"/>
      <c r="PHS153" s="173"/>
      <c r="PHT153" s="173"/>
      <c r="PHU153" s="173"/>
      <c r="PHV153" s="173"/>
      <c r="PHW153" s="173"/>
      <c r="PHX153" s="173"/>
      <c r="PHY153" s="173"/>
      <c r="PHZ153" s="173"/>
      <c r="PIA153" s="173"/>
      <c r="PIB153" s="125"/>
      <c r="PIC153" s="125"/>
      <c r="PID153" s="134"/>
      <c r="PIE153" s="135"/>
      <c r="PIF153" s="135"/>
      <c r="PIG153" s="135"/>
      <c r="PIH153" s="135"/>
      <c r="PII153" s="173"/>
      <c r="PIJ153" s="173"/>
      <c r="PIK153" s="173"/>
      <c r="PIL153" s="173"/>
      <c r="PIM153" s="173"/>
      <c r="PIN153" s="173"/>
      <c r="PIO153" s="173"/>
      <c r="PIP153" s="173"/>
      <c r="PIQ153" s="173"/>
      <c r="PIR153" s="173"/>
      <c r="PIS153" s="125"/>
      <c r="PIT153" s="125"/>
      <c r="PIU153" s="134"/>
      <c r="PIV153" s="135"/>
      <c r="PIW153" s="135"/>
      <c r="PIX153" s="135"/>
      <c r="PIY153" s="135"/>
      <c r="PIZ153" s="173"/>
      <c r="PJA153" s="173"/>
      <c r="PJB153" s="173"/>
      <c r="PJC153" s="173"/>
      <c r="PJD153" s="173"/>
      <c r="PJE153" s="173"/>
      <c r="PJF153" s="173"/>
      <c r="PJG153" s="173"/>
      <c r="PJH153" s="173"/>
      <c r="PJI153" s="173"/>
      <c r="PJJ153" s="125"/>
      <c r="PJK153" s="125"/>
      <c r="PJL153" s="134"/>
      <c r="PJM153" s="135"/>
      <c r="PJN153" s="135"/>
      <c r="PJO153" s="135"/>
      <c r="PJP153" s="135"/>
      <c r="PJQ153" s="173"/>
      <c r="PJR153" s="173"/>
      <c r="PJS153" s="173"/>
      <c r="PJT153" s="173"/>
      <c r="PJU153" s="173"/>
      <c r="PJV153" s="173"/>
      <c r="PJW153" s="173"/>
      <c r="PJX153" s="173"/>
      <c r="PJY153" s="173"/>
      <c r="PJZ153" s="173"/>
      <c r="PKA153" s="125"/>
      <c r="PKB153" s="125"/>
      <c r="PKC153" s="134"/>
      <c r="PKD153" s="135"/>
      <c r="PKE153" s="135"/>
      <c r="PKF153" s="135"/>
      <c r="PKG153" s="135"/>
      <c r="PKH153" s="173"/>
      <c r="PKI153" s="173"/>
      <c r="PKJ153" s="173"/>
      <c r="PKK153" s="173"/>
      <c r="PKL153" s="173"/>
      <c r="PKM153" s="173"/>
      <c r="PKN153" s="173"/>
      <c r="PKO153" s="173"/>
      <c r="PKP153" s="173"/>
      <c r="PKQ153" s="173"/>
      <c r="PKR153" s="125"/>
      <c r="PKS153" s="125"/>
      <c r="PKT153" s="134"/>
      <c r="PKU153" s="135"/>
      <c r="PKV153" s="135"/>
      <c r="PKW153" s="135"/>
      <c r="PKX153" s="135"/>
      <c r="PKY153" s="173"/>
      <c r="PKZ153" s="173"/>
      <c r="PLA153" s="173"/>
      <c r="PLB153" s="173"/>
      <c r="PLC153" s="173"/>
      <c r="PLD153" s="173"/>
      <c r="PLE153" s="173"/>
      <c r="PLF153" s="173"/>
      <c r="PLG153" s="173"/>
      <c r="PLH153" s="173"/>
      <c r="PLI153" s="125"/>
      <c r="PLJ153" s="125"/>
      <c r="PLK153" s="134"/>
      <c r="PLL153" s="135"/>
      <c r="PLM153" s="135"/>
      <c r="PLN153" s="135"/>
      <c r="PLO153" s="135"/>
      <c r="PLP153" s="173"/>
      <c r="PLQ153" s="173"/>
      <c r="PLR153" s="173"/>
      <c r="PLS153" s="173"/>
      <c r="PLT153" s="173"/>
      <c r="PLU153" s="173"/>
      <c r="PLV153" s="173"/>
      <c r="PLW153" s="173"/>
      <c r="PLX153" s="173"/>
      <c r="PLY153" s="173"/>
      <c r="PLZ153" s="125"/>
      <c r="PMA153" s="125"/>
      <c r="PMB153" s="134"/>
      <c r="PMC153" s="135"/>
      <c r="PMD153" s="135"/>
      <c r="PME153" s="135"/>
      <c r="PMF153" s="135"/>
      <c r="PMG153" s="173"/>
      <c r="PMH153" s="173"/>
      <c r="PMI153" s="173"/>
      <c r="PMJ153" s="173"/>
      <c r="PMK153" s="173"/>
      <c r="PML153" s="173"/>
      <c r="PMM153" s="173"/>
      <c r="PMN153" s="173"/>
      <c r="PMO153" s="173"/>
      <c r="PMP153" s="173"/>
      <c r="PMQ153" s="125"/>
      <c r="PMR153" s="125"/>
      <c r="PMS153" s="134"/>
      <c r="PMT153" s="135"/>
      <c r="PMU153" s="135"/>
      <c r="PMV153" s="135"/>
      <c r="PMW153" s="135"/>
      <c r="PMX153" s="173"/>
      <c r="PMY153" s="173"/>
      <c r="PMZ153" s="173"/>
      <c r="PNA153" s="173"/>
      <c r="PNB153" s="173"/>
      <c r="PNC153" s="173"/>
      <c r="PND153" s="173"/>
      <c r="PNE153" s="173"/>
      <c r="PNF153" s="173"/>
      <c r="PNG153" s="173"/>
      <c r="PNH153" s="125"/>
      <c r="PNI153" s="125"/>
      <c r="PNJ153" s="134"/>
      <c r="PNK153" s="135"/>
      <c r="PNL153" s="135"/>
      <c r="PNM153" s="135"/>
      <c r="PNN153" s="135"/>
      <c r="PNO153" s="173"/>
      <c r="PNP153" s="173"/>
      <c r="PNQ153" s="173"/>
      <c r="PNR153" s="173"/>
      <c r="PNS153" s="173"/>
      <c r="PNT153" s="173"/>
      <c r="PNU153" s="173"/>
      <c r="PNV153" s="173"/>
      <c r="PNW153" s="173"/>
      <c r="PNX153" s="173"/>
      <c r="PNY153" s="125"/>
      <c r="PNZ153" s="125"/>
      <c r="POA153" s="134"/>
      <c r="POB153" s="135"/>
      <c r="POC153" s="135"/>
      <c r="POD153" s="135"/>
      <c r="POE153" s="135"/>
      <c r="POF153" s="173"/>
      <c r="POG153" s="173"/>
      <c r="POH153" s="173"/>
      <c r="POI153" s="173"/>
      <c r="POJ153" s="173"/>
      <c r="POK153" s="173"/>
      <c r="POL153" s="173"/>
      <c r="POM153" s="173"/>
      <c r="PON153" s="173"/>
      <c r="POO153" s="173"/>
      <c r="POP153" s="125"/>
      <c r="POQ153" s="125"/>
      <c r="POR153" s="134"/>
      <c r="POS153" s="135"/>
      <c r="POT153" s="135"/>
      <c r="POU153" s="135"/>
      <c r="POV153" s="135"/>
      <c r="POW153" s="173"/>
      <c r="POX153" s="173"/>
      <c r="POY153" s="173"/>
      <c r="POZ153" s="173"/>
      <c r="PPA153" s="173"/>
      <c r="PPB153" s="173"/>
      <c r="PPC153" s="173"/>
      <c r="PPD153" s="173"/>
      <c r="PPE153" s="173"/>
      <c r="PPF153" s="173"/>
      <c r="PPG153" s="125"/>
      <c r="PPH153" s="125"/>
      <c r="PPI153" s="134"/>
      <c r="PPJ153" s="135"/>
      <c r="PPK153" s="135"/>
      <c r="PPL153" s="135"/>
      <c r="PPM153" s="135"/>
      <c r="PPN153" s="173"/>
      <c r="PPO153" s="173"/>
      <c r="PPP153" s="173"/>
      <c r="PPQ153" s="173"/>
      <c r="PPR153" s="173"/>
      <c r="PPS153" s="173"/>
      <c r="PPT153" s="173"/>
      <c r="PPU153" s="173"/>
      <c r="PPV153" s="173"/>
      <c r="PPW153" s="173"/>
      <c r="PPX153" s="125"/>
      <c r="PPY153" s="125"/>
      <c r="PPZ153" s="134"/>
      <c r="PQA153" s="135"/>
      <c r="PQB153" s="135"/>
      <c r="PQC153" s="135"/>
      <c r="PQD153" s="135"/>
      <c r="PQE153" s="173"/>
      <c r="PQF153" s="173"/>
      <c r="PQG153" s="173"/>
      <c r="PQH153" s="173"/>
      <c r="PQI153" s="173"/>
      <c r="PQJ153" s="173"/>
      <c r="PQK153" s="173"/>
      <c r="PQL153" s="173"/>
      <c r="PQM153" s="173"/>
      <c r="PQN153" s="173"/>
      <c r="PQO153" s="125"/>
      <c r="PQP153" s="125"/>
      <c r="PQQ153" s="134"/>
      <c r="PQR153" s="135"/>
      <c r="PQS153" s="135"/>
      <c r="PQT153" s="135"/>
      <c r="PQU153" s="135"/>
      <c r="PQV153" s="173"/>
      <c r="PQW153" s="173"/>
      <c r="PQX153" s="173"/>
      <c r="PQY153" s="173"/>
      <c r="PQZ153" s="173"/>
      <c r="PRA153" s="173"/>
      <c r="PRB153" s="173"/>
      <c r="PRC153" s="173"/>
      <c r="PRD153" s="173"/>
      <c r="PRE153" s="173"/>
      <c r="PRF153" s="125"/>
      <c r="PRG153" s="125"/>
      <c r="PRH153" s="134"/>
      <c r="PRI153" s="135"/>
      <c r="PRJ153" s="135"/>
      <c r="PRK153" s="135"/>
      <c r="PRL153" s="135"/>
      <c r="PRM153" s="173"/>
      <c r="PRN153" s="173"/>
      <c r="PRO153" s="173"/>
      <c r="PRP153" s="173"/>
      <c r="PRQ153" s="173"/>
      <c r="PRR153" s="173"/>
      <c r="PRS153" s="173"/>
      <c r="PRT153" s="173"/>
      <c r="PRU153" s="173"/>
      <c r="PRV153" s="173"/>
      <c r="PRW153" s="125"/>
      <c r="PRX153" s="125"/>
      <c r="PRY153" s="134"/>
      <c r="PRZ153" s="135"/>
      <c r="PSA153" s="135"/>
      <c r="PSB153" s="135"/>
      <c r="PSC153" s="135"/>
      <c r="PSD153" s="173"/>
      <c r="PSE153" s="173"/>
      <c r="PSF153" s="173"/>
      <c r="PSG153" s="173"/>
      <c r="PSH153" s="173"/>
      <c r="PSI153" s="173"/>
      <c r="PSJ153" s="173"/>
      <c r="PSK153" s="173"/>
      <c r="PSL153" s="173"/>
      <c r="PSM153" s="173"/>
      <c r="PSN153" s="125"/>
      <c r="PSO153" s="125"/>
      <c r="PSP153" s="134"/>
      <c r="PSQ153" s="135"/>
      <c r="PSR153" s="135"/>
      <c r="PSS153" s="135"/>
      <c r="PST153" s="135"/>
      <c r="PSU153" s="173"/>
      <c r="PSV153" s="173"/>
      <c r="PSW153" s="173"/>
      <c r="PSX153" s="173"/>
      <c r="PSY153" s="173"/>
      <c r="PSZ153" s="173"/>
      <c r="PTA153" s="173"/>
      <c r="PTB153" s="173"/>
      <c r="PTC153" s="173"/>
      <c r="PTD153" s="173"/>
      <c r="PTE153" s="125"/>
      <c r="PTF153" s="125"/>
      <c r="PTG153" s="134"/>
      <c r="PTH153" s="135"/>
      <c r="PTI153" s="135"/>
      <c r="PTJ153" s="135"/>
      <c r="PTK153" s="135"/>
      <c r="PTL153" s="173"/>
      <c r="PTM153" s="173"/>
      <c r="PTN153" s="173"/>
      <c r="PTO153" s="173"/>
      <c r="PTP153" s="173"/>
      <c r="PTQ153" s="173"/>
      <c r="PTR153" s="173"/>
      <c r="PTS153" s="173"/>
      <c r="PTT153" s="173"/>
      <c r="PTU153" s="173"/>
      <c r="PTV153" s="125"/>
      <c r="PTW153" s="125"/>
      <c r="PTX153" s="134"/>
      <c r="PTY153" s="135"/>
      <c r="PTZ153" s="135"/>
      <c r="PUA153" s="135"/>
      <c r="PUB153" s="135"/>
      <c r="PUC153" s="173"/>
      <c r="PUD153" s="173"/>
      <c r="PUE153" s="173"/>
      <c r="PUF153" s="173"/>
      <c r="PUG153" s="173"/>
      <c r="PUH153" s="173"/>
      <c r="PUI153" s="173"/>
      <c r="PUJ153" s="173"/>
      <c r="PUK153" s="173"/>
      <c r="PUL153" s="173"/>
      <c r="PUM153" s="125"/>
      <c r="PUN153" s="125"/>
      <c r="PUO153" s="134"/>
      <c r="PUP153" s="135"/>
      <c r="PUQ153" s="135"/>
      <c r="PUR153" s="135"/>
      <c r="PUS153" s="135"/>
      <c r="PUT153" s="173"/>
      <c r="PUU153" s="173"/>
      <c r="PUV153" s="173"/>
      <c r="PUW153" s="173"/>
      <c r="PUX153" s="173"/>
      <c r="PUY153" s="173"/>
      <c r="PUZ153" s="173"/>
      <c r="PVA153" s="173"/>
      <c r="PVB153" s="173"/>
      <c r="PVC153" s="173"/>
      <c r="PVD153" s="125"/>
      <c r="PVE153" s="125"/>
      <c r="PVF153" s="134"/>
      <c r="PVG153" s="135"/>
      <c r="PVH153" s="135"/>
      <c r="PVI153" s="135"/>
      <c r="PVJ153" s="135"/>
      <c r="PVK153" s="173"/>
      <c r="PVL153" s="173"/>
      <c r="PVM153" s="173"/>
      <c r="PVN153" s="173"/>
      <c r="PVO153" s="173"/>
      <c r="PVP153" s="173"/>
      <c r="PVQ153" s="173"/>
      <c r="PVR153" s="173"/>
      <c r="PVS153" s="173"/>
      <c r="PVT153" s="173"/>
      <c r="PVU153" s="125"/>
      <c r="PVV153" s="125"/>
      <c r="PVW153" s="134"/>
      <c r="PVX153" s="135"/>
      <c r="PVY153" s="135"/>
      <c r="PVZ153" s="135"/>
      <c r="PWA153" s="135"/>
      <c r="PWB153" s="173"/>
      <c r="PWC153" s="173"/>
      <c r="PWD153" s="173"/>
      <c r="PWE153" s="173"/>
      <c r="PWF153" s="173"/>
      <c r="PWG153" s="173"/>
      <c r="PWH153" s="173"/>
      <c r="PWI153" s="173"/>
      <c r="PWJ153" s="173"/>
      <c r="PWK153" s="173"/>
      <c r="PWL153" s="125"/>
      <c r="PWM153" s="125"/>
      <c r="PWN153" s="134"/>
      <c r="PWO153" s="135"/>
      <c r="PWP153" s="135"/>
      <c r="PWQ153" s="135"/>
      <c r="PWR153" s="135"/>
      <c r="PWS153" s="173"/>
      <c r="PWT153" s="173"/>
      <c r="PWU153" s="173"/>
      <c r="PWV153" s="173"/>
      <c r="PWW153" s="173"/>
      <c r="PWX153" s="173"/>
      <c r="PWY153" s="173"/>
      <c r="PWZ153" s="173"/>
      <c r="PXA153" s="173"/>
      <c r="PXB153" s="173"/>
      <c r="PXC153" s="125"/>
      <c r="PXD153" s="125"/>
      <c r="PXE153" s="134"/>
      <c r="PXF153" s="135"/>
      <c r="PXG153" s="135"/>
      <c r="PXH153" s="135"/>
      <c r="PXI153" s="135"/>
      <c r="PXJ153" s="173"/>
      <c r="PXK153" s="173"/>
      <c r="PXL153" s="173"/>
      <c r="PXM153" s="173"/>
      <c r="PXN153" s="173"/>
      <c r="PXO153" s="173"/>
      <c r="PXP153" s="173"/>
      <c r="PXQ153" s="173"/>
      <c r="PXR153" s="173"/>
      <c r="PXS153" s="173"/>
      <c r="PXT153" s="125"/>
      <c r="PXU153" s="125"/>
      <c r="PXV153" s="134"/>
      <c r="PXW153" s="135"/>
      <c r="PXX153" s="135"/>
      <c r="PXY153" s="135"/>
      <c r="PXZ153" s="135"/>
      <c r="PYA153" s="173"/>
      <c r="PYB153" s="173"/>
      <c r="PYC153" s="173"/>
      <c r="PYD153" s="173"/>
      <c r="PYE153" s="173"/>
      <c r="PYF153" s="173"/>
      <c r="PYG153" s="173"/>
      <c r="PYH153" s="173"/>
      <c r="PYI153" s="173"/>
      <c r="PYJ153" s="173"/>
      <c r="PYK153" s="125"/>
      <c r="PYL153" s="125"/>
      <c r="PYM153" s="134"/>
      <c r="PYN153" s="135"/>
      <c r="PYO153" s="135"/>
      <c r="PYP153" s="135"/>
      <c r="PYQ153" s="135"/>
      <c r="PYR153" s="173"/>
      <c r="PYS153" s="173"/>
      <c r="PYT153" s="173"/>
      <c r="PYU153" s="173"/>
      <c r="PYV153" s="173"/>
      <c r="PYW153" s="173"/>
      <c r="PYX153" s="173"/>
      <c r="PYY153" s="173"/>
      <c r="PYZ153" s="173"/>
      <c r="PZA153" s="173"/>
      <c r="PZB153" s="125"/>
      <c r="PZC153" s="125"/>
      <c r="PZD153" s="134"/>
      <c r="PZE153" s="135"/>
      <c r="PZF153" s="135"/>
      <c r="PZG153" s="135"/>
      <c r="PZH153" s="135"/>
      <c r="PZI153" s="173"/>
      <c r="PZJ153" s="173"/>
      <c r="PZK153" s="173"/>
      <c r="PZL153" s="173"/>
      <c r="PZM153" s="173"/>
      <c r="PZN153" s="173"/>
      <c r="PZO153" s="173"/>
      <c r="PZP153" s="173"/>
      <c r="PZQ153" s="173"/>
      <c r="PZR153" s="173"/>
      <c r="PZS153" s="125"/>
      <c r="PZT153" s="125"/>
      <c r="PZU153" s="134"/>
      <c r="PZV153" s="135"/>
      <c r="PZW153" s="135"/>
      <c r="PZX153" s="135"/>
      <c r="PZY153" s="135"/>
      <c r="PZZ153" s="173"/>
      <c r="QAA153" s="173"/>
      <c r="QAB153" s="173"/>
      <c r="QAC153" s="173"/>
      <c r="QAD153" s="173"/>
      <c r="QAE153" s="173"/>
      <c r="QAF153" s="173"/>
      <c r="QAG153" s="173"/>
      <c r="QAH153" s="173"/>
      <c r="QAI153" s="173"/>
      <c r="QAJ153" s="125"/>
      <c r="QAK153" s="125"/>
      <c r="QAL153" s="134"/>
      <c r="QAM153" s="135"/>
      <c r="QAN153" s="135"/>
      <c r="QAO153" s="135"/>
      <c r="QAP153" s="135"/>
      <c r="QAQ153" s="173"/>
      <c r="QAR153" s="173"/>
      <c r="QAS153" s="173"/>
      <c r="QAT153" s="173"/>
      <c r="QAU153" s="173"/>
      <c r="QAV153" s="173"/>
      <c r="QAW153" s="173"/>
      <c r="QAX153" s="173"/>
      <c r="QAY153" s="173"/>
      <c r="QAZ153" s="173"/>
      <c r="QBA153" s="125"/>
      <c r="QBB153" s="125"/>
      <c r="QBC153" s="134"/>
      <c r="QBD153" s="135"/>
      <c r="QBE153" s="135"/>
      <c r="QBF153" s="135"/>
      <c r="QBG153" s="135"/>
      <c r="QBH153" s="173"/>
      <c r="QBI153" s="173"/>
      <c r="QBJ153" s="173"/>
      <c r="QBK153" s="173"/>
      <c r="QBL153" s="173"/>
      <c r="QBM153" s="173"/>
      <c r="QBN153" s="173"/>
      <c r="QBO153" s="173"/>
      <c r="QBP153" s="173"/>
      <c r="QBQ153" s="173"/>
      <c r="QBR153" s="125"/>
      <c r="QBS153" s="125"/>
      <c r="QBT153" s="134"/>
      <c r="QBU153" s="135"/>
      <c r="QBV153" s="135"/>
      <c r="QBW153" s="135"/>
      <c r="QBX153" s="135"/>
      <c r="QBY153" s="173"/>
      <c r="QBZ153" s="173"/>
      <c r="QCA153" s="173"/>
      <c r="QCB153" s="173"/>
      <c r="QCC153" s="173"/>
      <c r="QCD153" s="173"/>
      <c r="QCE153" s="173"/>
      <c r="QCF153" s="173"/>
      <c r="QCG153" s="173"/>
      <c r="QCH153" s="173"/>
      <c r="QCI153" s="125"/>
      <c r="QCJ153" s="125"/>
      <c r="QCK153" s="134"/>
      <c r="QCL153" s="135"/>
      <c r="QCM153" s="135"/>
      <c r="QCN153" s="135"/>
      <c r="QCO153" s="135"/>
      <c r="QCP153" s="173"/>
      <c r="QCQ153" s="173"/>
      <c r="QCR153" s="173"/>
      <c r="QCS153" s="173"/>
      <c r="QCT153" s="173"/>
      <c r="QCU153" s="173"/>
      <c r="QCV153" s="173"/>
      <c r="QCW153" s="173"/>
      <c r="QCX153" s="173"/>
      <c r="QCY153" s="173"/>
      <c r="QCZ153" s="125"/>
      <c r="QDA153" s="125"/>
      <c r="QDB153" s="134"/>
      <c r="QDC153" s="135"/>
      <c r="QDD153" s="135"/>
      <c r="QDE153" s="135"/>
      <c r="QDF153" s="135"/>
      <c r="QDG153" s="173"/>
      <c r="QDH153" s="173"/>
      <c r="QDI153" s="173"/>
      <c r="QDJ153" s="173"/>
      <c r="QDK153" s="173"/>
      <c r="QDL153" s="173"/>
      <c r="QDM153" s="173"/>
      <c r="QDN153" s="173"/>
      <c r="QDO153" s="173"/>
      <c r="QDP153" s="173"/>
      <c r="QDQ153" s="125"/>
      <c r="QDR153" s="125"/>
      <c r="QDS153" s="134"/>
      <c r="QDT153" s="135"/>
      <c r="QDU153" s="135"/>
      <c r="QDV153" s="135"/>
      <c r="QDW153" s="135"/>
      <c r="QDX153" s="173"/>
      <c r="QDY153" s="173"/>
      <c r="QDZ153" s="173"/>
      <c r="QEA153" s="173"/>
      <c r="QEB153" s="173"/>
      <c r="QEC153" s="173"/>
      <c r="QED153" s="173"/>
      <c r="QEE153" s="173"/>
      <c r="QEF153" s="173"/>
      <c r="QEG153" s="173"/>
      <c r="QEH153" s="125"/>
      <c r="QEI153" s="125"/>
      <c r="QEJ153" s="134"/>
      <c r="QEK153" s="135"/>
      <c r="QEL153" s="135"/>
      <c r="QEM153" s="135"/>
      <c r="QEN153" s="135"/>
      <c r="QEO153" s="173"/>
      <c r="QEP153" s="173"/>
      <c r="QEQ153" s="173"/>
      <c r="QER153" s="173"/>
      <c r="QES153" s="173"/>
      <c r="QET153" s="173"/>
      <c r="QEU153" s="173"/>
      <c r="QEV153" s="173"/>
      <c r="QEW153" s="173"/>
      <c r="QEX153" s="173"/>
      <c r="QEY153" s="125"/>
      <c r="QEZ153" s="125"/>
      <c r="QFA153" s="134"/>
      <c r="QFB153" s="135"/>
      <c r="QFC153" s="135"/>
      <c r="QFD153" s="135"/>
      <c r="QFE153" s="135"/>
      <c r="QFF153" s="173"/>
      <c r="QFG153" s="173"/>
      <c r="QFH153" s="173"/>
      <c r="QFI153" s="173"/>
      <c r="QFJ153" s="173"/>
      <c r="QFK153" s="173"/>
      <c r="QFL153" s="173"/>
      <c r="QFM153" s="173"/>
      <c r="QFN153" s="173"/>
      <c r="QFO153" s="173"/>
      <c r="QFP153" s="125"/>
      <c r="QFQ153" s="125"/>
      <c r="QFR153" s="134"/>
      <c r="QFS153" s="135"/>
      <c r="QFT153" s="135"/>
      <c r="QFU153" s="135"/>
      <c r="QFV153" s="135"/>
      <c r="QFW153" s="173"/>
      <c r="QFX153" s="173"/>
      <c r="QFY153" s="173"/>
      <c r="QFZ153" s="173"/>
      <c r="QGA153" s="173"/>
      <c r="QGB153" s="173"/>
      <c r="QGC153" s="173"/>
      <c r="QGD153" s="173"/>
      <c r="QGE153" s="173"/>
      <c r="QGF153" s="173"/>
      <c r="QGG153" s="125"/>
      <c r="QGH153" s="125"/>
      <c r="QGI153" s="134"/>
      <c r="QGJ153" s="135"/>
      <c r="QGK153" s="135"/>
      <c r="QGL153" s="135"/>
      <c r="QGM153" s="135"/>
      <c r="QGN153" s="173"/>
      <c r="QGO153" s="173"/>
      <c r="QGP153" s="173"/>
      <c r="QGQ153" s="173"/>
      <c r="QGR153" s="173"/>
      <c r="QGS153" s="173"/>
      <c r="QGT153" s="173"/>
      <c r="QGU153" s="173"/>
      <c r="QGV153" s="173"/>
      <c r="QGW153" s="173"/>
      <c r="QGX153" s="125"/>
      <c r="QGY153" s="125"/>
      <c r="QGZ153" s="134"/>
      <c r="QHA153" s="135"/>
      <c r="QHB153" s="135"/>
      <c r="QHC153" s="135"/>
      <c r="QHD153" s="135"/>
      <c r="QHE153" s="173"/>
      <c r="QHF153" s="173"/>
      <c r="QHG153" s="173"/>
      <c r="QHH153" s="173"/>
      <c r="QHI153" s="173"/>
      <c r="QHJ153" s="173"/>
      <c r="QHK153" s="173"/>
      <c r="QHL153" s="173"/>
      <c r="QHM153" s="173"/>
      <c r="QHN153" s="173"/>
      <c r="QHO153" s="125"/>
      <c r="QHP153" s="125"/>
      <c r="QHQ153" s="134"/>
      <c r="QHR153" s="135"/>
      <c r="QHS153" s="135"/>
      <c r="QHT153" s="135"/>
      <c r="QHU153" s="135"/>
      <c r="QHV153" s="173"/>
      <c r="QHW153" s="173"/>
      <c r="QHX153" s="173"/>
      <c r="QHY153" s="173"/>
      <c r="QHZ153" s="173"/>
      <c r="QIA153" s="173"/>
      <c r="QIB153" s="173"/>
      <c r="QIC153" s="173"/>
      <c r="QID153" s="173"/>
      <c r="QIE153" s="173"/>
      <c r="QIF153" s="125"/>
      <c r="QIG153" s="125"/>
      <c r="QIH153" s="134"/>
      <c r="QII153" s="135"/>
      <c r="QIJ153" s="135"/>
      <c r="QIK153" s="135"/>
      <c r="QIL153" s="135"/>
      <c r="QIM153" s="173"/>
      <c r="QIN153" s="173"/>
      <c r="QIO153" s="173"/>
      <c r="QIP153" s="173"/>
      <c r="QIQ153" s="173"/>
      <c r="QIR153" s="173"/>
      <c r="QIS153" s="173"/>
      <c r="QIT153" s="173"/>
      <c r="QIU153" s="173"/>
      <c r="QIV153" s="173"/>
      <c r="QIW153" s="125"/>
      <c r="QIX153" s="125"/>
      <c r="QIY153" s="134"/>
      <c r="QIZ153" s="135"/>
      <c r="QJA153" s="135"/>
      <c r="QJB153" s="135"/>
      <c r="QJC153" s="135"/>
      <c r="QJD153" s="173"/>
      <c r="QJE153" s="173"/>
      <c r="QJF153" s="173"/>
      <c r="QJG153" s="173"/>
      <c r="QJH153" s="173"/>
      <c r="QJI153" s="173"/>
      <c r="QJJ153" s="173"/>
      <c r="QJK153" s="173"/>
      <c r="QJL153" s="173"/>
      <c r="QJM153" s="173"/>
      <c r="QJN153" s="125"/>
      <c r="QJO153" s="125"/>
      <c r="QJP153" s="134"/>
      <c r="QJQ153" s="135"/>
      <c r="QJR153" s="135"/>
      <c r="QJS153" s="135"/>
      <c r="QJT153" s="135"/>
      <c r="QJU153" s="173"/>
      <c r="QJV153" s="173"/>
      <c r="QJW153" s="173"/>
      <c r="QJX153" s="173"/>
      <c r="QJY153" s="173"/>
      <c r="QJZ153" s="173"/>
      <c r="QKA153" s="173"/>
      <c r="QKB153" s="173"/>
      <c r="QKC153" s="173"/>
      <c r="QKD153" s="173"/>
      <c r="QKE153" s="125"/>
      <c r="QKF153" s="125"/>
      <c r="QKG153" s="134"/>
      <c r="QKH153" s="135"/>
      <c r="QKI153" s="135"/>
      <c r="QKJ153" s="135"/>
      <c r="QKK153" s="135"/>
      <c r="QKL153" s="173"/>
      <c r="QKM153" s="173"/>
      <c r="QKN153" s="173"/>
      <c r="QKO153" s="173"/>
      <c r="QKP153" s="173"/>
      <c r="QKQ153" s="173"/>
      <c r="QKR153" s="173"/>
      <c r="QKS153" s="173"/>
      <c r="QKT153" s="173"/>
      <c r="QKU153" s="173"/>
      <c r="QKV153" s="125"/>
      <c r="QKW153" s="125"/>
      <c r="QKX153" s="134"/>
      <c r="QKY153" s="135"/>
      <c r="QKZ153" s="135"/>
      <c r="QLA153" s="135"/>
      <c r="QLB153" s="135"/>
      <c r="QLC153" s="173"/>
      <c r="QLD153" s="173"/>
      <c r="QLE153" s="173"/>
      <c r="QLF153" s="173"/>
      <c r="QLG153" s="173"/>
      <c r="QLH153" s="173"/>
      <c r="QLI153" s="173"/>
      <c r="QLJ153" s="173"/>
      <c r="QLK153" s="173"/>
      <c r="QLL153" s="173"/>
      <c r="QLM153" s="125"/>
      <c r="QLN153" s="125"/>
      <c r="QLO153" s="134"/>
      <c r="QLP153" s="135"/>
      <c r="QLQ153" s="135"/>
      <c r="QLR153" s="135"/>
      <c r="QLS153" s="135"/>
      <c r="QLT153" s="173"/>
      <c r="QLU153" s="173"/>
      <c r="QLV153" s="173"/>
      <c r="QLW153" s="173"/>
      <c r="QLX153" s="173"/>
      <c r="QLY153" s="173"/>
      <c r="QLZ153" s="173"/>
      <c r="QMA153" s="173"/>
      <c r="QMB153" s="173"/>
      <c r="QMC153" s="173"/>
      <c r="QMD153" s="125"/>
      <c r="QME153" s="125"/>
      <c r="QMF153" s="134"/>
      <c r="QMG153" s="135"/>
      <c r="QMH153" s="135"/>
      <c r="QMI153" s="135"/>
      <c r="QMJ153" s="135"/>
      <c r="QMK153" s="173"/>
      <c r="QML153" s="173"/>
      <c r="QMM153" s="173"/>
      <c r="QMN153" s="173"/>
      <c r="QMO153" s="173"/>
      <c r="QMP153" s="173"/>
      <c r="QMQ153" s="173"/>
      <c r="QMR153" s="173"/>
      <c r="QMS153" s="173"/>
      <c r="QMT153" s="173"/>
      <c r="QMU153" s="125"/>
      <c r="QMV153" s="125"/>
      <c r="QMW153" s="134"/>
      <c r="QMX153" s="135"/>
      <c r="QMY153" s="135"/>
      <c r="QMZ153" s="135"/>
      <c r="QNA153" s="135"/>
      <c r="QNB153" s="173"/>
      <c r="QNC153" s="173"/>
      <c r="QND153" s="173"/>
      <c r="QNE153" s="173"/>
      <c r="QNF153" s="173"/>
      <c r="QNG153" s="173"/>
      <c r="QNH153" s="173"/>
      <c r="QNI153" s="173"/>
      <c r="QNJ153" s="173"/>
      <c r="QNK153" s="173"/>
      <c r="QNL153" s="125"/>
      <c r="QNM153" s="125"/>
      <c r="QNN153" s="134"/>
      <c r="QNO153" s="135"/>
      <c r="QNP153" s="135"/>
      <c r="QNQ153" s="135"/>
      <c r="QNR153" s="135"/>
      <c r="QNS153" s="173"/>
      <c r="QNT153" s="173"/>
      <c r="QNU153" s="173"/>
      <c r="QNV153" s="173"/>
      <c r="QNW153" s="173"/>
      <c r="QNX153" s="173"/>
      <c r="QNY153" s="173"/>
      <c r="QNZ153" s="173"/>
      <c r="QOA153" s="173"/>
      <c r="QOB153" s="173"/>
      <c r="QOC153" s="125"/>
      <c r="QOD153" s="125"/>
      <c r="QOE153" s="134"/>
      <c r="QOF153" s="135"/>
      <c r="QOG153" s="135"/>
      <c r="QOH153" s="135"/>
      <c r="QOI153" s="135"/>
      <c r="QOJ153" s="173"/>
      <c r="QOK153" s="173"/>
      <c r="QOL153" s="173"/>
      <c r="QOM153" s="173"/>
      <c r="QON153" s="173"/>
      <c r="QOO153" s="173"/>
      <c r="QOP153" s="173"/>
      <c r="QOQ153" s="173"/>
      <c r="QOR153" s="173"/>
      <c r="QOS153" s="173"/>
      <c r="QOT153" s="125"/>
      <c r="QOU153" s="125"/>
      <c r="QOV153" s="134"/>
      <c r="QOW153" s="135"/>
      <c r="QOX153" s="135"/>
      <c r="QOY153" s="135"/>
      <c r="QOZ153" s="135"/>
      <c r="QPA153" s="173"/>
      <c r="QPB153" s="173"/>
      <c r="QPC153" s="173"/>
      <c r="QPD153" s="173"/>
      <c r="QPE153" s="173"/>
      <c r="QPF153" s="173"/>
      <c r="QPG153" s="173"/>
      <c r="QPH153" s="173"/>
      <c r="QPI153" s="173"/>
      <c r="QPJ153" s="173"/>
      <c r="QPK153" s="125"/>
      <c r="QPL153" s="125"/>
      <c r="QPM153" s="134"/>
      <c r="QPN153" s="135"/>
      <c r="QPO153" s="135"/>
      <c r="QPP153" s="135"/>
      <c r="QPQ153" s="135"/>
      <c r="QPR153" s="173"/>
      <c r="QPS153" s="173"/>
      <c r="QPT153" s="173"/>
      <c r="QPU153" s="173"/>
      <c r="QPV153" s="173"/>
      <c r="QPW153" s="173"/>
      <c r="QPX153" s="173"/>
      <c r="QPY153" s="173"/>
      <c r="QPZ153" s="173"/>
      <c r="QQA153" s="173"/>
      <c r="QQB153" s="125"/>
      <c r="QQC153" s="125"/>
      <c r="QQD153" s="134"/>
      <c r="QQE153" s="135"/>
      <c r="QQF153" s="135"/>
      <c r="QQG153" s="135"/>
      <c r="QQH153" s="135"/>
      <c r="QQI153" s="173"/>
      <c r="QQJ153" s="173"/>
      <c r="QQK153" s="173"/>
      <c r="QQL153" s="173"/>
      <c r="QQM153" s="173"/>
      <c r="QQN153" s="173"/>
      <c r="QQO153" s="173"/>
      <c r="QQP153" s="173"/>
      <c r="QQQ153" s="173"/>
      <c r="QQR153" s="173"/>
      <c r="QQS153" s="125"/>
      <c r="QQT153" s="125"/>
      <c r="QQU153" s="134"/>
      <c r="QQV153" s="135"/>
      <c r="QQW153" s="135"/>
      <c r="QQX153" s="135"/>
      <c r="QQY153" s="135"/>
      <c r="QQZ153" s="173"/>
      <c r="QRA153" s="173"/>
      <c r="QRB153" s="173"/>
      <c r="QRC153" s="173"/>
      <c r="QRD153" s="173"/>
      <c r="QRE153" s="173"/>
      <c r="QRF153" s="173"/>
      <c r="QRG153" s="173"/>
      <c r="QRH153" s="173"/>
      <c r="QRI153" s="173"/>
      <c r="QRJ153" s="125"/>
      <c r="QRK153" s="125"/>
      <c r="QRL153" s="134"/>
      <c r="QRM153" s="135"/>
      <c r="QRN153" s="135"/>
      <c r="QRO153" s="135"/>
      <c r="QRP153" s="135"/>
      <c r="QRQ153" s="173"/>
      <c r="QRR153" s="173"/>
      <c r="QRS153" s="173"/>
      <c r="QRT153" s="173"/>
      <c r="QRU153" s="173"/>
      <c r="QRV153" s="173"/>
      <c r="QRW153" s="173"/>
      <c r="QRX153" s="173"/>
      <c r="QRY153" s="173"/>
      <c r="QRZ153" s="173"/>
      <c r="QSA153" s="125"/>
      <c r="QSB153" s="125"/>
      <c r="QSC153" s="134"/>
      <c r="QSD153" s="135"/>
      <c r="QSE153" s="135"/>
      <c r="QSF153" s="135"/>
      <c r="QSG153" s="135"/>
      <c r="QSH153" s="173"/>
      <c r="QSI153" s="173"/>
      <c r="QSJ153" s="173"/>
      <c r="QSK153" s="173"/>
      <c r="QSL153" s="173"/>
      <c r="QSM153" s="173"/>
      <c r="QSN153" s="173"/>
      <c r="QSO153" s="173"/>
      <c r="QSP153" s="173"/>
      <c r="QSQ153" s="173"/>
      <c r="QSR153" s="125"/>
      <c r="QSS153" s="125"/>
      <c r="QST153" s="134"/>
      <c r="QSU153" s="135"/>
      <c r="QSV153" s="135"/>
      <c r="QSW153" s="135"/>
      <c r="QSX153" s="135"/>
      <c r="QSY153" s="173"/>
      <c r="QSZ153" s="173"/>
      <c r="QTA153" s="173"/>
      <c r="QTB153" s="173"/>
      <c r="QTC153" s="173"/>
      <c r="QTD153" s="173"/>
      <c r="QTE153" s="173"/>
      <c r="QTF153" s="173"/>
      <c r="QTG153" s="173"/>
      <c r="QTH153" s="173"/>
      <c r="QTI153" s="125"/>
      <c r="QTJ153" s="125"/>
      <c r="QTK153" s="134"/>
      <c r="QTL153" s="135"/>
      <c r="QTM153" s="135"/>
      <c r="QTN153" s="135"/>
      <c r="QTO153" s="135"/>
      <c r="QTP153" s="173"/>
      <c r="QTQ153" s="173"/>
      <c r="QTR153" s="173"/>
      <c r="QTS153" s="173"/>
      <c r="QTT153" s="173"/>
      <c r="QTU153" s="173"/>
      <c r="QTV153" s="173"/>
      <c r="QTW153" s="173"/>
      <c r="QTX153" s="173"/>
      <c r="QTY153" s="173"/>
      <c r="QTZ153" s="125"/>
      <c r="QUA153" s="125"/>
      <c r="QUB153" s="134"/>
      <c r="QUC153" s="135"/>
      <c r="QUD153" s="135"/>
      <c r="QUE153" s="135"/>
      <c r="QUF153" s="135"/>
      <c r="QUG153" s="173"/>
      <c r="QUH153" s="173"/>
      <c r="QUI153" s="173"/>
      <c r="QUJ153" s="173"/>
      <c r="QUK153" s="173"/>
      <c r="QUL153" s="173"/>
      <c r="QUM153" s="173"/>
      <c r="QUN153" s="173"/>
      <c r="QUO153" s="173"/>
      <c r="QUP153" s="173"/>
      <c r="QUQ153" s="125"/>
      <c r="QUR153" s="125"/>
      <c r="QUS153" s="134"/>
      <c r="QUT153" s="135"/>
      <c r="QUU153" s="135"/>
      <c r="QUV153" s="135"/>
      <c r="QUW153" s="135"/>
      <c r="QUX153" s="173"/>
      <c r="QUY153" s="173"/>
      <c r="QUZ153" s="173"/>
      <c r="QVA153" s="173"/>
      <c r="QVB153" s="173"/>
      <c r="QVC153" s="173"/>
      <c r="QVD153" s="173"/>
      <c r="QVE153" s="173"/>
      <c r="QVF153" s="173"/>
      <c r="QVG153" s="173"/>
      <c r="QVH153" s="125"/>
      <c r="QVI153" s="125"/>
      <c r="QVJ153" s="134"/>
      <c r="QVK153" s="135"/>
      <c r="QVL153" s="135"/>
      <c r="QVM153" s="135"/>
      <c r="QVN153" s="135"/>
      <c r="QVO153" s="173"/>
      <c r="QVP153" s="173"/>
      <c r="QVQ153" s="173"/>
      <c r="QVR153" s="173"/>
      <c r="QVS153" s="173"/>
      <c r="QVT153" s="173"/>
      <c r="QVU153" s="173"/>
      <c r="QVV153" s="173"/>
      <c r="QVW153" s="173"/>
      <c r="QVX153" s="173"/>
      <c r="QVY153" s="125"/>
      <c r="QVZ153" s="125"/>
      <c r="QWA153" s="134"/>
      <c r="QWB153" s="135"/>
      <c r="QWC153" s="135"/>
      <c r="QWD153" s="135"/>
      <c r="QWE153" s="135"/>
      <c r="QWF153" s="173"/>
      <c r="QWG153" s="173"/>
      <c r="QWH153" s="173"/>
      <c r="QWI153" s="173"/>
      <c r="QWJ153" s="173"/>
      <c r="QWK153" s="173"/>
      <c r="QWL153" s="173"/>
      <c r="QWM153" s="173"/>
      <c r="QWN153" s="173"/>
      <c r="QWO153" s="173"/>
      <c r="QWP153" s="125"/>
      <c r="QWQ153" s="125"/>
      <c r="QWR153" s="134"/>
      <c r="QWS153" s="135"/>
      <c r="QWT153" s="135"/>
      <c r="QWU153" s="135"/>
      <c r="QWV153" s="135"/>
      <c r="QWW153" s="173"/>
      <c r="QWX153" s="173"/>
      <c r="QWY153" s="173"/>
      <c r="QWZ153" s="173"/>
      <c r="QXA153" s="173"/>
      <c r="QXB153" s="173"/>
      <c r="QXC153" s="173"/>
      <c r="QXD153" s="173"/>
      <c r="QXE153" s="173"/>
      <c r="QXF153" s="173"/>
      <c r="QXG153" s="125"/>
      <c r="QXH153" s="125"/>
      <c r="QXI153" s="134"/>
      <c r="QXJ153" s="135"/>
      <c r="QXK153" s="135"/>
      <c r="QXL153" s="135"/>
      <c r="QXM153" s="135"/>
      <c r="QXN153" s="173"/>
      <c r="QXO153" s="173"/>
      <c r="QXP153" s="173"/>
      <c r="QXQ153" s="173"/>
      <c r="QXR153" s="173"/>
      <c r="QXS153" s="173"/>
      <c r="QXT153" s="173"/>
      <c r="QXU153" s="173"/>
      <c r="QXV153" s="173"/>
      <c r="QXW153" s="173"/>
      <c r="QXX153" s="125"/>
      <c r="QXY153" s="125"/>
      <c r="QXZ153" s="134"/>
      <c r="QYA153" s="135"/>
      <c r="QYB153" s="135"/>
      <c r="QYC153" s="135"/>
      <c r="QYD153" s="135"/>
      <c r="QYE153" s="173"/>
      <c r="QYF153" s="173"/>
      <c r="QYG153" s="173"/>
      <c r="QYH153" s="173"/>
      <c r="QYI153" s="173"/>
      <c r="QYJ153" s="173"/>
      <c r="QYK153" s="173"/>
      <c r="QYL153" s="173"/>
      <c r="QYM153" s="173"/>
      <c r="QYN153" s="173"/>
      <c r="QYO153" s="125"/>
      <c r="QYP153" s="125"/>
      <c r="QYQ153" s="134"/>
      <c r="QYR153" s="135"/>
      <c r="QYS153" s="135"/>
      <c r="QYT153" s="135"/>
      <c r="QYU153" s="135"/>
      <c r="QYV153" s="173"/>
      <c r="QYW153" s="173"/>
      <c r="QYX153" s="173"/>
      <c r="QYY153" s="173"/>
      <c r="QYZ153" s="173"/>
      <c r="QZA153" s="173"/>
      <c r="QZB153" s="173"/>
      <c r="QZC153" s="173"/>
      <c r="QZD153" s="173"/>
      <c r="QZE153" s="173"/>
      <c r="QZF153" s="125"/>
      <c r="QZG153" s="125"/>
      <c r="QZH153" s="134"/>
      <c r="QZI153" s="135"/>
      <c r="QZJ153" s="135"/>
      <c r="QZK153" s="135"/>
      <c r="QZL153" s="135"/>
      <c r="QZM153" s="173"/>
      <c r="QZN153" s="173"/>
      <c r="QZO153" s="173"/>
      <c r="QZP153" s="173"/>
      <c r="QZQ153" s="173"/>
      <c r="QZR153" s="173"/>
      <c r="QZS153" s="173"/>
      <c r="QZT153" s="173"/>
      <c r="QZU153" s="173"/>
      <c r="QZV153" s="173"/>
      <c r="QZW153" s="125"/>
      <c r="QZX153" s="125"/>
      <c r="QZY153" s="134"/>
      <c r="QZZ153" s="135"/>
      <c r="RAA153" s="135"/>
      <c r="RAB153" s="135"/>
      <c r="RAC153" s="135"/>
      <c r="RAD153" s="173"/>
      <c r="RAE153" s="173"/>
      <c r="RAF153" s="173"/>
      <c r="RAG153" s="173"/>
      <c r="RAH153" s="173"/>
      <c r="RAI153" s="173"/>
      <c r="RAJ153" s="173"/>
      <c r="RAK153" s="173"/>
      <c r="RAL153" s="173"/>
      <c r="RAM153" s="173"/>
      <c r="RAN153" s="125"/>
      <c r="RAO153" s="125"/>
      <c r="RAP153" s="134"/>
      <c r="RAQ153" s="135"/>
      <c r="RAR153" s="135"/>
      <c r="RAS153" s="135"/>
      <c r="RAT153" s="135"/>
      <c r="RAU153" s="173"/>
      <c r="RAV153" s="173"/>
      <c r="RAW153" s="173"/>
      <c r="RAX153" s="173"/>
      <c r="RAY153" s="173"/>
      <c r="RAZ153" s="173"/>
      <c r="RBA153" s="173"/>
      <c r="RBB153" s="173"/>
      <c r="RBC153" s="173"/>
      <c r="RBD153" s="173"/>
      <c r="RBE153" s="125"/>
      <c r="RBF153" s="125"/>
      <c r="RBG153" s="134"/>
      <c r="RBH153" s="135"/>
      <c r="RBI153" s="135"/>
      <c r="RBJ153" s="135"/>
      <c r="RBK153" s="135"/>
      <c r="RBL153" s="173"/>
      <c r="RBM153" s="173"/>
      <c r="RBN153" s="173"/>
      <c r="RBO153" s="173"/>
      <c r="RBP153" s="173"/>
      <c r="RBQ153" s="173"/>
      <c r="RBR153" s="173"/>
      <c r="RBS153" s="173"/>
      <c r="RBT153" s="173"/>
      <c r="RBU153" s="173"/>
      <c r="RBV153" s="125"/>
      <c r="RBW153" s="125"/>
      <c r="RBX153" s="134"/>
      <c r="RBY153" s="135"/>
      <c r="RBZ153" s="135"/>
      <c r="RCA153" s="135"/>
      <c r="RCB153" s="135"/>
      <c r="RCC153" s="173"/>
      <c r="RCD153" s="173"/>
      <c r="RCE153" s="173"/>
      <c r="RCF153" s="173"/>
      <c r="RCG153" s="173"/>
      <c r="RCH153" s="173"/>
      <c r="RCI153" s="173"/>
      <c r="RCJ153" s="173"/>
      <c r="RCK153" s="173"/>
      <c r="RCL153" s="173"/>
      <c r="RCM153" s="125"/>
      <c r="RCN153" s="125"/>
      <c r="RCO153" s="134"/>
      <c r="RCP153" s="135"/>
      <c r="RCQ153" s="135"/>
      <c r="RCR153" s="135"/>
      <c r="RCS153" s="135"/>
      <c r="RCT153" s="173"/>
      <c r="RCU153" s="173"/>
      <c r="RCV153" s="173"/>
      <c r="RCW153" s="173"/>
      <c r="RCX153" s="173"/>
      <c r="RCY153" s="173"/>
      <c r="RCZ153" s="173"/>
      <c r="RDA153" s="173"/>
      <c r="RDB153" s="173"/>
      <c r="RDC153" s="173"/>
      <c r="RDD153" s="125"/>
      <c r="RDE153" s="125"/>
      <c r="RDF153" s="134"/>
      <c r="RDG153" s="135"/>
      <c r="RDH153" s="135"/>
      <c r="RDI153" s="135"/>
      <c r="RDJ153" s="135"/>
      <c r="RDK153" s="173"/>
      <c r="RDL153" s="173"/>
      <c r="RDM153" s="173"/>
      <c r="RDN153" s="173"/>
      <c r="RDO153" s="173"/>
      <c r="RDP153" s="173"/>
      <c r="RDQ153" s="173"/>
      <c r="RDR153" s="173"/>
      <c r="RDS153" s="173"/>
      <c r="RDT153" s="173"/>
      <c r="RDU153" s="125"/>
      <c r="RDV153" s="125"/>
      <c r="RDW153" s="134"/>
      <c r="RDX153" s="135"/>
      <c r="RDY153" s="135"/>
      <c r="RDZ153" s="135"/>
      <c r="REA153" s="135"/>
      <c r="REB153" s="173"/>
      <c r="REC153" s="173"/>
      <c r="RED153" s="173"/>
      <c r="REE153" s="173"/>
      <c r="REF153" s="173"/>
      <c r="REG153" s="173"/>
      <c r="REH153" s="173"/>
      <c r="REI153" s="173"/>
      <c r="REJ153" s="173"/>
      <c r="REK153" s="173"/>
      <c r="REL153" s="125"/>
      <c r="REM153" s="125"/>
      <c r="REN153" s="134"/>
      <c r="REO153" s="135"/>
      <c r="REP153" s="135"/>
      <c r="REQ153" s="135"/>
      <c r="RER153" s="135"/>
      <c r="RES153" s="173"/>
      <c r="RET153" s="173"/>
      <c r="REU153" s="173"/>
      <c r="REV153" s="173"/>
      <c r="REW153" s="173"/>
      <c r="REX153" s="173"/>
      <c r="REY153" s="173"/>
      <c r="REZ153" s="173"/>
      <c r="RFA153" s="173"/>
      <c r="RFB153" s="173"/>
      <c r="RFC153" s="125"/>
      <c r="RFD153" s="125"/>
      <c r="RFE153" s="134"/>
      <c r="RFF153" s="135"/>
      <c r="RFG153" s="135"/>
      <c r="RFH153" s="135"/>
      <c r="RFI153" s="135"/>
      <c r="RFJ153" s="173"/>
      <c r="RFK153" s="173"/>
      <c r="RFL153" s="173"/>
      <c r="RFM153" s="173"/>
      <c r="RFN153" s="173"/>
      <c r="RFO153" s="173"/>
      <c r="RFP153" s="173"/>
      <c r="RFQ153" s="173"/>
      <c r="RFR153" s="173"/>
      <c r="RFS153" s="173"/>
      <c r="RFT153" s="125"/>
      <c r="RFU153" s="125"/>
      <c r="RFV153" s="134"/>
      <c r="RFW153" s="135"/>
      <c r="RFX153" s="135"/>
      <c r="RFY153" s="135"/>
      <c r="RFZ153" s="135"/>
      <c r="RGA153" s="173"/>
      <c r="RGB153" s="173"/>
      <c r="RGC153" s="173"/>
      <c r="RGD153" s="173"/>
      <c r="RGE153" s="173"/>
      <c r="RGF153" s="173"/>
      <c r="RGG153" s="173"/>
      <c r="RGH153" s="173"/>
      <c r="RGI153" s="173"/>
      <c r="RGJ153" s="173"/>
      <c r="RGK153" s="125"/>
      <c r="RGL153" s="125"/>
      <c r="RGM153" s="134"/>
      <c r="RGN153" s="135"/>
      <c r="RGO153" s="135"/>
      <c r="RGP153" s="135"/>
      <c r="RGQ153" s="135"/>
      <c r="RGR153" s="173"/>
      <c r="RGS153" s="173"/>
      <c r="RGT153" s="173"/>
      <c r="RGU153" s="173"/>
      <c r="RGV153" s="173"/>
      <c r="RGW153" s="173"/>
      <c r="RGX153" s="173"/>
      <c r="RGY153" s="173"/>
      <c r="RGZ153" s="173"/>
      <c r="RHA153" s="173"/>
      <c r="RHB153" s="125"/>
      <c r="RHC153" s="125"/>
      <c r="RHD153" s="134"/>
      <c r="RHE153" s="135"/>
      <c r="RHF153" s="135"/>
      <c r="RHG153" s="135"/>
      <c r="RHH153" s="135"/>
      <c r="RHI153" s="173"/>
      <c r="RHJ153" s="173"/>
      <c r="RHK153" s="173"/>
      <c r="RHL153" s="173"/>
      <c r="RHM153" s="173"/>
      <c r="RHN153" s="173"/>
      <c r="RHO153" s="173"/>
      <c r="RHP153" s="173"/>
      <c r="RHQ153" s="173"/>
      <c r="RHR153" s="173"/>
      <c r="RHS153" s="125"/>
      <c r="RHT153" s="125"/>
      <c r="RHU153" s="134"/>
      <c r="RHV153" s="135"/>
      <c r="RHW153" s="135"/>
      <c r="RHX153" s="135"/>
      <c r="RHY153" s="135"/>
      <c r="RHZ153" s="173"/>
      <c r="RIA153" s="173"/>
      <c r="RIB153" s="173"/>
      <c r="RIC153" s="173"/>
      <c r="RID153" s="173"/>
      <c r="RIE153" s="173"/>
      <c r="RIF153" s="173"/>
      <c r="RIG153" s="173"/>
      <c r="RIH153" s="173"/>
      <c r="RII153" s="173"/>
      <c r="RIJ153" s="125"/>
      <c r="RIK153" s="125"/>
      <c r="RIL153" s="134"/>
      <c r="RIM153" s="135"/>
      <c r="RIN153" s="135"/>
      <c r="RIO153" s="135"/>
      <c r="RIP153" s="135"/>
      <c r="RIQ153" s="173"/>
      <c r="RIR153" s="173"/>
      <c r="RIS153" s="173"/>
      <c r="RIT153" s="173"/>
      <c r="RIU153" s="173"/>
      <c r="RIV153" s="173"/>
      <c r="RIW153" s="173"/>
      <c r="RIX153" s="173"/>
      <c r="RIY153" s="173"/>
      <c r="RIZ153" s="173"/>
      <c r="RJA153" s="125"/>
      <c r="RJB153" s="125"/>
      <c r="RJC153" s="134"/>
      <c r="RJD153" s="135"/>
      <c r="RJE153" s="135"/>
      <c r="RJF153" s="135"/>
      <c r="RJG153" s="135"/>
      <c r="RJH153" s="173"/>
      <c r="RJI153" s="173"/>
      <c r="RJJ153" s="173"/>
      <c r="RJK153" s="173"/>
      <c r="RJL153" s="173"/>
      <c r="RJM153" s="173"/>
      <c r="RJN153" s="173"/>
      <c r="RJO153" s="173"/>
      <c r="RJP153" s="173"/>
      <c r="RJQ153" s="173"/>
      <c r="RJR153" s="125"/>
      <c r="RJS153" s="125"/>
      <c r="RJT153" s="134"/>
      <c r="RJU153" s="135"/>
      <c r="RJV153" s="135"/>
      <c r="RJW153" s="135"/>
      <c r="RJX153" s="135"/>
      <c r="RJY153" s="173"/>
      <c r="RJZ153" s="173"/>
      <c r="RKA153" s="173"/>
      <c r="RKB153" s="173"/>
      <c r="RKC153" s="173"/>
      <c r="RKD153" s="173"/>
      <c r="RKE153" s="173"/>
      <c r="RKF153" s="173"/>
      <c r="RKG153" s="173"/>
      <c r="RKH153" s="173"/>
      <c r="RKI153" s="125"/>
      <c r="RKJ153" s="125"/>
      <c r="RKK153" s="134"/>
      <c r="RKL153" s="135"/>
      <c r="RKM153" s="135"/>
      <c r="RKN153" s="135"/>
      <c r="RKO153" s="135"/>
      <c r="RKP153" s="173"/>
      <c r="RKQ153" s="173"/>
      <c r="RKR153" s="173"/>
      <c r="RKS153" s="173"/>
      <c r="RKT153" s="173"/>
      <c r="RKU153" s="173"/>
      <c r="RKV153" s="173"/>
      <c r="RKW153" s="173"/>
      <c r="RKX153" s="173"/>
      <c r="RKY153" s="173"/>
      <c r="RKZ153" s="125"/>
      <c r="RLA153" s="125"/>
      <c r="RLB153" s="134"/>
      <c r="RLC153" s="135"/>
      <c r="RLD153" s="135"/>
      <c r="RLE153" s="135"/>
      <c r="RLF153" s="135"/>
      <c r="RLG153" s="173"/>
      <c r="RLH153" s="173"/>
      <c r="RLI153" s="173"/>
      <c r="RLJ153" s="173"/>
      <c r="RLK153" s="173"/>
      <c r="RLL153" s="173"/>
      <c r="RLM153" s="173"/>
      <c r="RLN153" s="173"/>
      <c r="RLO153" s="173"/>
      <c r="RLP153" s="173"/>
      <c r="RLQ153" s="125"/>
      <c r="RLR153" s="125"/>
      <c r="RLS153" s="134"/>
      <c r="RLT153" s="135"/>
      <c r="RLU153" s="135"/>
      <c r="RLV153" s="135"/>
      <c r="RLW153" s="135"/>
      <c r="RLX153" s="173"/>
      <c r="RLY153" s="173"/>
      <c r="RLZ153" s="173"/>
      <c r="RMA153" s="173"/>
      <c r="RMB153" s="173"/>
      <c r="RMC153" s="173"/>
      <c r="RMD153" s="173"/>
      <c r="RME153" s="173"/>
      <c r="RMF153" s="173"/>
      <c r="RMG153" s="173"/>
      <c r="RMH153" s="125"/>
      <c r="RMI153" s="125"/>
      <c r="RMJ153" s="134"/>
      <c r="RMK153" s="135"/>
      <c r="RML153" s="135"/>
      <c r="RMM153" s="135"/>
      <c r="RMN153" s="135"/>
      <c r="RMO153" s="173"/>
      <c r="RMP153" s="173"/>
      <c r="RMQ153" s="173"/>
      <c r="RMR153" s="173"/>
      <c r="RMS153" s="173"/>
      <c r="RMT153" s="173"/>
      <c r="RMU153" s="173"/>
      <c r="RMV153" s="173"/>
      <c r="RMW153" s="173"/>
      <c r="RMX153" s="173"/>
      <c r="RMY153" s="125"/>
      <c r="RMZ153" s="125"/>
      <c r="RNA153" s="134"/>
      <c r="RNB153" s="135"/>
      <c r="RNC153" s="135"/>
      <c r="RND153" s="135"/>
      <c r="RNE153" s="135"/>
      <c r="RNF153" s="173"/>
      <c r="RNG153" s="173"/>
      <c r="RNH153" s="173"/>
      <c r="RNI153" s="173"/>
      <c r="RNJ153" s="173"/>
      <c r="RNK153" s="173"/>
      <c r="RNL153" s="173"/>
      <c r="RNM153" s="173"/>
      <c r="RNN153" s="173"/>
      <c r="RNO153" s="173"/>
      <c r="RNP153" s="125"/>
      <c r="RNQ153" s="125"/>
      <c r="RNR153" s="134"/>
      <c r="RNS153" s="135"/>
      <c r="RNT153" s="135"/>
      <c r="RNU153" s="135"/>
      <c r="RNV153" s="135"/>
      <c r="RNW153" s="173"/>
      <c r="RNX153" s="173"/>
      <c r="RNY153" s="173"/>
      <c r="RNZ153" s="173"/>
      <c r="ROA153" s="173"/>
      <c r="ROB153" s="173"/>
      <c r="ROC153" s="173"/>
      <c r="ROD153" s="173"/>
      <c r="ROE153" s="173"/>
      <c r="ROF153" s="173"/>
      <c r="ROG153" s="125"/>
      <c r="ROH153" s="125"/>
      <c r="ROI153" s="134"/>
      <c r="ROJ153" s="135"/>
      <c r="ROK153" s="135"/>
      <c r="ROL153" s="135"/>
      <c r="ROM153" s="135"/>
      <c r="RON153" s="173"/>
      <c r="ROO153" s="173"/>
      <c r="ROP153" s="173"/>
      <c r="ROQ153" s="173"/>
      <c r="ROR153" s="173"/>
      <c r="ROS153" s="173"/>
      <c r="ROT153" s="173"/>
      <c r="ROU153" s="173"/>
      <c r="ROV153" s="173"/>
      <c r="ROW153" s="173"/>
      <c r="ROX153" s="125"/>
      <c r="ROY153" s="125"/>
      <c r="ROZ153" s="134"/>
      <c r="RPA153" s="135"/>
      <c r="RPB153" s="135"/>
      <c r="RPC153" s="135"/>
      <c r="RPD153" s="135"/>
      <c r="RPE153" s="173"/>
      <c r="RPF153" s="173"/>
      <c r="RPG153" s="173"/>
      <c r="RPH153" s="173"/>
      <c r="RPI153" s="173"/>
      <c r="RPJ153" s="173"/>
      <c r="RPK153" s="173"/>
      <c r="RPL153" s="173"/>
      <c r="RPM153" s="173"/>
      <c r="RPN153" s="173"/>
      <c r="RPO153" s="125"/>
      <c r="RPP153" s="125"/>
      <c r="RPQ153" s="134"/>
      <c r="RPR153" s="135"/>
      <c r="RPS153" s="135"/>
      <c r="RPT153" s="135"/>
      <c r="RPU153" s="135"/>
      <c r="RPV153" s="173"/>
      <c r="RPW153" s="173"/>
      <c r="RPX153" s="173"/>
      <c r="RPY153" s="173"/>
      <c r="RPZ153" s="173"/>
      <c r="RQA153" s="173"/>
      <c r="RQB153" s="173"/>
      <c r="RQC153" s="173"/>
      <c r="RQD153" s="173"/>
      <c r="RQE153" s="173"/>
      <c r="RQF153" s="125"/>
      <c r="RQG153" s="125"/>
      <c r="RQH153" s="134"/>
      <c r="RQI153" s="135"/>
      <c r="RQJ153" s="135"/>
      <c r="RQK153" s="135"/>
      <c r="RQL153" s="135"/>
      <c r="RQM153" s="173"/>
      <c r="RQN153" s="173"/>
      <c r="RQO153" s="173"/>
      <c r="RQP153" s="173"/>
      <c r="RQQ153" s="173"/>
      <c r="RQR153" s="173"/>
      <c r="RQS153" s="173"/>
      <c r="RQT153" s="173"/>
      <c r="RQU153" s="173"/>
      <c r="RQV153" s="173"/>
      <c r="RQW153" s="125"/>
      <c r="RQX153" s="125"/>
      <c r="RQY153" s="134"/>
      <c r="RQZ153" s="135"/>
      <c r="RRA153" s="135"/>
      <c r="RRB153" s="135"/>
      <c r="RRC153" s="135"/>
      <c r="RRD153" s="173"/>
      <c r="RRE153" s="173"/>
      <c r="RRF153" s="173"/>
      <c r="RRG153" s="173"/>
      <c r="RRH153" s="173"/>
      <c r="RRI153" s="173"/>
      <c r="RRJ153" s="173"/>
      <c r="RRK153" s="173"/>
      <c r="RRL153" s="173"/>
      <c r="RRM153" s="173"/>
      <c r="RRN153" s="125"/>
      <c r="RRO153" s="125"/>
      <c r="RRP153" s="134"/>
      <c r="RRQ153" s="135"/>
      <c r="RRR153" s="135"/>
      <c r="RRS153" s="135"/>
      <c r="RRT153" s="135"/>
      <c r="RRU153" s="173"/>
      <c r="RRV153" s="173"/>
      <c r="RRW153" s="173"/>
      <c r="RRX153" s="173"/>
      <c r="RRY153" s="173"/>
      <c r="RRZ153" s="173"/>
      <c r="RSA153" s="173"/>
      <c r="RSB153" s="173"/>
      <c r="RSC153" s="173"/>
      <c r="RSD153" s="173"/>
      <c r="RSE153" s="125"/>
      <c r="RSF153" s="125"/>
      <c r="RSG153" s="134"/>
      <c r="RSH153" s="135"/>
      <c r="RSI153" s="135"/>
      <c r="RSJ153" s="135"/>
      <c r="RSK153" s="135"/>
      <c r="RSL153" s="173"/>
      <c r="RSM153" s="173"/>
      <c r="RSN153" s="173"/>
      <c r="RSO153" s="173"/>
      <c r="RSP153" s="173"/>
      <c r="RSQ153" s="173"/>
      <c r="RSR153" s="173"/>
      <c r="RSS153" s="173"/>
      <c r="RST153" s="173"/>
      <c r="RSU153" s="173"/>
      <c r="RSV153" s="125"/>
      <c r="RSW153" s="125"/>
      <c r="RSX153" s="134"/>
      <c r="RSY153" s="135"/>
      <c r="RSZ153" s="135"/>
      <c r="RTA153" s="135"/>
      <c r="RTB153" s="135"/>
      <c r="RTC153" s="173"/>
      <c r="RTD153" s="173"/>
      <c r="RTE153" s="173"/>
      <c r="RTF153" s="173"/>
      <c r="RTG153" s="173"/>
      <c r="RTH153" s="173"/>
      <c r="RTI153" s="173"/>
      <c r="RTJ153" s="173"/>
      <c r="RTK153" s="173"/>
      <c r="RTL153" s="173"/>
      <c r="RTM153" s="125"/>
      <c r="RTN153" s="125"/>
      <c r="RTO153" s="134"/>
      <c r="RTP153" s="135"/>
      <c r="RTQ153" s="135"/>
      <c r="RTR153" s="135"/>
      <c r="RTS153" s="135"/>
      <c r="RTT153" s="173"/>
      <c r="RTU153" s="173"/>
      <c r="RTV153" s="173"/>
      <c r="RTW153" s="173"/>
      <c r="RTX153" s="173"/>
      <c r="RTY153" s="173"/>
      <c r="RTZ153" s="173"/>
      <c r="RUA153" s="173"/>
      <c r="RUB153" s="173"/>
      <c r="RUC153" s="173"/>
      <c r="RUD153" s="125"/>
      <c r="RUE153" s="125"/>
      <c r="RUF153" s="134"/>
      <c r="RUG153" s="135"/>
      <c r="RUH153" s="135"/>
      <c r="RUI153" s="135"/>
      <c r="RUJ153" s="135"/>
      <c r="RUK153" s="173"/>
      <c r="RUL153" s="173"/>
      <c r="RUM153" s="173"/>
      <c r="RUN153" s="173"/>
      <c r="RUO153" s="173"/>
      <c r="RUP153" s="173"/>
      <c r="RUQ153" s="173"/>
      <c r="RUR153" s="173"/>
      <c r="RUS153" s="173"/>
      <c r="RUT153" s="173"/>
      <c r="RUU153" s="125"/>
      <c r="RUV153" s="125"/>
      <c r="RUW153" s="134"/>
      <c r="RUX153" s="135"/>
      <c r="RUY153" s="135"/>
      <c r="RUZ153" s="135"/>
      <c r="RVA153" s="135"/>
      <c r="RVB153" s="173"/>
      <c r="RVC153" s="173"/>
      <c r="RVD153" s="173"/>
      <c r="RVE153" s="173"/>
      <c r="RVF153" s="173"/>
      <c r="RVG153" s="173"/>
      <c r="RVH153" s="173"/>
      <c r="RVI153" s="173"/>
      <c r="RVJ153" s="173"/>
      <c r="RVK153" s="173"/>
      <c r="RVL153" s="125"/>
      <c r="RVM153" s="125"/>
      <c r="RVN153" s="134"/>
      <c r="RVO153" s="135"/>
      <c r="RVP153" s="135"/>
      <c r="RVQ153" s="135"/>
      <c r="RVR153" s="135"/>
      <c r="RVS153" s="173"/>
      <c r="RVT153" s="173"/>
      <c r="RVU153" s="173"/>
      <c r="RVV153" s="173"/>
      <c r="RVW153" s="173"/>
      <c r="RVX153" s="173"/>
      <c r="RVY153" s="173"/>
      <c r="RVZ153" s="173"/>
      <c r="RWA153" s="173"/>
      <c r="RWB153" s="173"/>
      <c r="RWC153" s="125"/>
      <c r="RWD153" s="125"/>
      <c r="RWE153" s="134"/>
      <c r="RWF153" s="135"/>
      <c r="RWG153" s="135"/>
      <c r="RWH153" s="135"/>
      <c r="RWI153" s="135"/>
      <c r="RWJ153" s="173"/>
      <c r="RWK153" s="173"/>
      <c r="RWL153" s="173"/>
      <c r="RWM153" s="173"/>
      <c r="RWN153" s="173"/>
      <c r="RWO153" s="173"/>
      <c r="RWP153" s="173"/>
      <c r="RWQ153" s="173"/>
      <c r="RWR153" s="173"/>
      <c r="RWS153" s="173"/>
      <c r="RWT153" s="125"/>
      <c r="RWU153" s="125"/>
      <c r="RWV153" s="134"/>
      <c r="RWW153" s="135"/>
      <c r="RWX153" s="135"/>
      <c r="RWY153" s="135"/>
      <c r="RWZ153" s="135"/>
      <c r="RXA153" s="173"/>
      <c r="RXB153" s="173"/>
      <c r="RXC153" s="173"/>
      <c r="RXD153" s="173"/>
      <c r="RXE153" s="173"/>
      <c r="RXF153" s="173"/>
      <c r="RXG153" s="173"/>
      <c r="RXH153" s="173"/>
      <c r="RXI153" s="173"/>
      <c r="RXJ153" s="173"/>
      <c r="RXK153" s="125"/>
      <c r="RXL153" s="125"/>
      <c r="RXM153" s="134"/>
      <c r="RXN153" s="135"/>
      <c r="RXO153" s="135"/>
      <c r="RXP153" s="135"/>
      <c r="RXQ153" s="135"/>
      <c r="RXR153" s="173"/>
      <c r="RXS153" s="173"/>
      <c r="RXT153" s="173"/>
      <c r="RXU153" s="173"/>
      <c r="RXV153" s="173"/>
      <c r="RXW153" s="173"/>
      <c r="RXX153" s="173"/>
      <c r="RXY153" s="173"/>
      <c r="RXZ153" s="173"/>
      <c r="RYA153" s="173"/>
      <c r="RYB153" s="125"/>
      <c r="RYC153" s="125"/>
      <c r="RYD153" s="134"/>
      <c r="RYE153" s="135"/>
      <c r="RYF153" s="135"/>
      <c r="RYG153" s="135"/>
      <c r="RYH153" s="135"/>
      <c r="RYI153" s="173"/>
      <c r="RYJ153" s="173"/>
      <c r="RYK153" s="173"/>
      <c r="RYL153" s="173"/>
      <c r="RYM153" s="173"/>
      <c r="RYN153" s="173"/>
      <c r="RYO153" s="173"/>
      <c r="RYP153" s="173"/>
      <c r="RYQ153" s="173"/>
      <c r="RYR153" s="173"/>
      <c r="RYS153" s="125"/>
      <c r="RYT153" s="125"/>
      <c r="RYU153" s="134"/>
      <c r="RYV153" s="135"/>
      <c r="RYW153" s="135"/>
      <c r="RYX153" s="135"/>
      <c r="RYY153" s="135"/>
      <c r="RYZ153" s="173"/>
      <c r="RZA153" s="173"/>
      <c r="RZB153" s="173"/>
      <c r="RZC153" s="173"/>
      <c r="RZD153" s="173"/>
      <c r="RZE153" s="173"/>
      <c r="RZF153" s="173"/>
      <c r="RZG153" s="173"/>
      <c r="RZH153" s="173"/>
      <c r="RZI153" s="173"/>
      <c r="RZJ153" s="125"/>
      <c r="RZK153" s="125"/>
      <c r="RZL153" s="134"/>
      <c r="RZM153" s="135"/>
      <c r="RZN153" s="135"/>
      <c r="RZO153" s="135"/>
      <c r="RZP153" s="135"/>
      <c r="RZQ153" s="173"/>
      <c r="RZR153" s="173"/>
      <c r="RZS153" s="173"/>
      <c r="RZT153" s="173"/>
      <c r="RZU153" s="173"/>
      <c r="RZV153" s="173"/>
      <c r="RZW153" s="173"/>
      <c r="RZX153" s="173"/>
      <c r="RZY153" s="173"/>
      <c r="RZZ153" s="173"/>
      <c r="SAA153" s="125"/>
      <c r="SAB153" s="125"/>
      <c r="SAC153" s="134"/>
      <c r="SAD153" s="135"/>
      <c r="SAE153" s="135"/>
      <c r="SAF153" s="135"/>
      <c r="SAG153" s="135"/>
      <c r="SAH153" s="173"/>
      <c r="SAI153" s="173"/>
      <c r="SAJ153" s="173"/>
      <c r="SAK153" s="173"/>
      <c r="SAL153" s="173"/>
      <c r="SAM153" s="173"/>
      <c r="SAN153" s="173"/>
      <c r="SAO153" s="173"/>
      <c r="SAP153" s="173"/>
      <c r="SAQ153" s="173"/>
      <c r="SAR153" s="125"/>
      <c r="SAS153" s="125"/>
      <c r="SAT153" s="134"/>
      <c r="SAU153" s="135"/>
      <c r="SAV153" s="135"/>
      <c r="SAW153" s="135"/>
      <c r="SAX153" s="135"/>
      <c r="SAY153" s="173"/>
      <c r="SAZ153" s="173"/>
      <c r="SBA153" s="173"/>
      <c r="SBB153" s="173"/>
      <c r="SBC153" s="173"/>
      <c r="SBD153" s="173"/>
      <c r="SBE153" s="173"/>
      <c r="SBF153" s="173"/>
      <c r="SBG153" s="173"/>
      <c r="SBH153" s="173"/>
      <c r="SBI153" s="125"/>
      <c r="SBJ153" s="125"/>
      <c r="SBK153" s="134"/>
      <c r="SBL153" s="135"/>
      <c r="SBM153" s="135"/>
      <c r="SBN153" s="135"/>
      <c r="SBO153" s="135"/>
      <c r="SBP153" s="173"/>
      <c r="SBQ153" s="173"/>
      <c r="SBR153" s="173"/>
      <c r="SBS153" s="173"/>
      <c r="SBT153" s="173"/>
      <c r="SBU153" s="173"/>
      <c r="SBV153" s="173"/>
      <c r="SBW153" s="173"/>
      <c r="SBX153" s="173"/>
      <c r="SBY153" s="173"/>
      <c r="SBZ153" s="125"/>
      <c r="SCA153" s="125"/>
      <c r="SCB153" s="134"/>
      <c r="SCC153" s="135"/>
      <c r="SCD153" s="135"/>
      <c r="SCE153" s="135"/>
      <c r="SCF153" s="135"/>
      <c r="SCG153" s="173"/>
      <c r="SCH153" s="173"/>
      <c r="SCI153" s="173"/>
      <c r="SCJ153" s="173"/>
      <c r="SCK153" s="173"/>
      <c r="SCL153" s="173"/>
      <c r="SCM153" s="173"/>
      <c r="SCN153" s="173"/>
      <c r="SCO153" s="173"/>
      <c r="SCP153" s="173"/>
      <c r="SCQ153" s="125"/>
      <c r="SCR153" s="125"/>
      <c r="SCS153" s="134"/>
      <c r="SCT153" s="135"/>
      <c r="SCU153" s="135"/>
      <c r="SCV153" s="135"/>
      <c r="SCW153" s="135"/>
      <c r="SCX153" s="173"/>
      <c r="SCY153" s="173"/>
      <c r="SCZ153" s="173"/>
      <c r="SDA153" s="173"/>
      <c r="SDB153" s="173"/>
      <c r="SDC153" s="173"/>
      <c r="SDD153" s="173"/>
      <c r="SDE153" s="173"/>
      <c r="SDF153" s="173"/>
      <c r="SDG153" s="173"/>
      <c r="SDH153" s="125"/>
      <c r="SDI153" s="125"/>
      <c r="SDJ153" s="134"/>
      <c r="SDK153" s="135"/>
      <c r="SDL153" s="135"/>
      <c r="SDM153" s="135"/>
      <c r="SDN153" s="135"/>
      <c r="SDO153" s="173"/>
      <c r="SDP153" s="173"/>
      <c r="SDQ153" s="173"/>
      <c r="SDR153" s="173"/>
      <c r="SDS153" s="173"/>
      <c r="SDT153" s="173"/>
      <c r="SDU153" s="173"/>
      <c r="SDV153" s="173"/>
      <c r="SDW153" s="173"/>
      <c r="SDX153" s="173"/>
      <c r="SDY153" s="125"/>
      <c r="SDZ153" s="125"/>
      <c r="SEA153" s="134"/>
      <c r="SEB153" s="135"/>
      <c r="SEC153" s="135"/>
      <c r="SED153" s="135"/>
      <c r="SEE153" s="135"/>
      <c r="SEF153" s="173"/>
      <c r="SEG153" s="173"/>
      <c r="SEH153" s="173"/>
      <c r="SEI153" s="173"/>
      <c r="SEJ153" s="173"/>
      <c r="SEK153" s="173"/>
      <c r="SEL153" s="173"/>
      <c r="SEM153" s="173"/>
      <c r="SEN153" s="173"/>
      <c r="SEO153" s="173"/>
      <c r="SEP153" s="125"/>
      <c r="SEQ153" s="125"/>
      <c r="SER153" s="134"/>
      <c r="SES153" s="135"/>
      <c r="SET153" s="135"/>
      <c r="SEU153" s="135"/>
      <c r="SEV153" s="135"/>
      <c r="SEW153" s="173"/>
      <c r="SEX153" s="173"/>
      <c r="SEY153" s="173"/>
      <c r="SEZ153" s="173"/>
      <c r="SFA153" s="173"/>
      <c r="SFB153" s="173"/>
      <c r="SFC153" s="173"/>
      <c r="SFD153" s="173"/>
      <c r="SFE153" s="173"/>
      <c r="SFF153" s="173"/>
      <c r="SFG153" s="125"/>
      <c r="SFH153" s="125"/>
      <c r="SFI153" s="134"/>
      <c r="SFJ153" s="135"/>
      <c r="SFK153" s="135"/>
      <c r="SFL153" s="135"/>
      <c r="SFM153" s="135"/>
      <c r="SFN153" s="173"/>
      <c r="SFO153" s="173"/>
      <c r="SFP153" s="173"/>
      <c r="SFQ153" s="173"/>
      <c r="SFR153" s="173"/>
      <c r="SFS153" s="173"/>
      <c r="SFT153" s="173"/>
      <c r="SFU153" s="173"/>
      <c r="SFV153" s="173"/>
      <c r="SFW153" s="173"/>
      <c r="SFX153" s="125"/>
      <c r="SFY153" s="125"/>
      <c r="SFZ153" s="134"/>
      <c r="SGA153" s="135"/>
      <c r="SGB153" s="135"/>
      <c r="SGC153" s="135"/>
      <c r="SGD153" s="135"/>
      <c r="SGE153" s="173"/>
      <c r="SGF153" s="173"/>
      <c r="SGG153" s="173"/>
      <c r="SGH153" s="173"/>
      <c r="SGI153" s="173"/>
      <c r="SGJ153" s="173"/>
      <c r="SGK153" s="173"/>
      <c r="SGL153" s="173"/>
      <c r="SGM153" s="173"/>
      <c r="SGN153" s="173"/>
      <c r="SGO153" s="125"/>
      <c r="SGP153" s="125"/>
      <c r="SGQ153" s="134"/>
      <c r="SGR153" s="135"/>
      <c r="SGS153" s="135"/>
      <c r="SGT153" s="135"/>
      <c r="SGU153" s="135"/>
      <c r="SGV153" s="173"/>
      <c r="SGW153" s="173"/>
      <c r="SGX153" s="173"/>
      <c r="SGY153" s="173"/>
      <c r="SGZ153" s="173"/>
      <c r="SHA153" s="173"/>
      <c r="SHB153" s="173"/>
      <c r="SHC153" s="173"/>
      <c r="SHD153" s="173"/>
      <c r="SHE153" s="173"/>
      <c r="SHF153" s="125"/>
      <c r="SHG153" s="125"/>
      <c r="SHH153" s="134"/>
      <c r="SHI153" s="135"/>
      <c r="SHJ153" s="135"/>
      <c r="SHK153" s="135"/>
      <c r="SHL153" s="135"/>
      <c r="SHM153" s="173"/>
      <c r="SHN153" s="173"/>
      <c r="SHO153" s="173"/>
      <c r="SHP153" s="173"/>
      <c r="SHQ153" s="173"/>
      <c r="SHR153" s="173"/>
      <c r="SHS153" s="173"/>
      <c r="SHT153" s="173"/>
      <c r="SHU153" s="173"/>
      <c r="SHV153" s="173"/>
      <c r="SHW153" s="125"/>
      <c r="SHX153" s="125"/>
      <c r="SHY153" s="134"/>
      <c r="SHZ153" s="135"/>
      <c r="SIA153" s="135"/>
      <c r="SIB153" s="135"/>
      <c r="SIC153" s="135"/>
      <c r="SID153" s="173"/>
      <c r="SIE153" s="173"/>
      <c r="SIF153" s="173"/>
      <c r="SIG153" s="173"/>
      <c r="SIH153" s="173"/>
      <c r="SII153" s="173"/>
      <c r="SIJ153" s="173"/>
      <c r="SIK153" s="173"/>
      <c r="SIL153" s="173"/>
      <c r="SIM153" s="173"/>
      <c r="SIN153" s="125"/>
      <c r="SIO153" s="125"/>
      <c r="SIP153" s="134"/>
      <c r="SIQ153" s="135"/>
      <c r="SIR153" s="135"/>
      <c r="SIS153" s="135"/>
      <c r="SIT153" s="135"/>
      <c r="SIU153" s="173"/>
      <c r="SIV153" s="173"/>
      <c r="SIW153" s="173"/>
      <c r="SIX153" s="173"/>
      <c r="SIY153" s="173"/>
      <c r="SIZ153" s="173"/>
      <c r="SJA153" s="173"/>
      <c r="SJB153" s="173"/>
      <c r="SJC153" s="173"/>
      <c r="SJD153" s="173"/>
      <c r="SJE153" s="125"/>
      <c r="SJF153" s="125"/>
      <c r="SJG153" s="134"/>
      <c r="SJH153" s="135"/>
      <c r="SJI153" s="135"/>
      <c r="SJJ153" s="135"/>
      <c r="SJK153" s="135"/>
      <c r="SJL153" s="173"/>
      <c r="SJM153" s="173"/>
      <c r="SJN153" s="173"/>
      <c r="SJO153" s="173"/>
      <c r="SJP153" s="173"/>
      <c r="SJQ153" s="173"/>
      <c r="SJR153" s="173"/>
      <c r="SJS153" s="173"/>
      <c r="SJT153" s="173"/>
      <c r="SJU153" s="173"/>
      <c r="SJV153" s="125"/>
      <c r="SJW153" s="125"/>
      <c r="SJX153" s="134"/>
      <c r="SJY153" s="135"/>
      <c r="SJZ153" s="135"/>
      <c r="SKA153" s="135"/>
      <c r="SKB153" s="135"/>
      <c r="SKC153" s="173"/>
      <c r="SKD153" s="173"/>
      <c r="SKE153" s="173"/>
      <c r="SKF153" s="173"/>
      <c r="SKG153" s="173"/>
      <c r="SKH153" s="173"/>
      <c r="SKI153" s="173"/>
      <c r="SKJ153" s="173"/>
      <c r="SKK153" s="173"/>
      <c r="SKL153" s="173"/>
      <c r="SKM153" s="125"/>
      <c r="SKN153" s="125"/>
      <c r="SKO153" s="134"/>
      <c r="SKP153" s="135"/>
      <c r="SKQ153" s="135"/>
      <c r="SKR153" s="135"/>
      <c r="SKS153" s="135"/>
      <c r="SKT153" s="173"/>
      <c r="SKU153" s="173"/>
      <c r="SKV153" s="173"/>
      <c r="SKW153" s="173"/>
      <c r="SKX153" s="173"/>
      <c r="SKY153" s="173"/>
      <c r="SKZ153" s="173"/>
      <c r="SLA153" s="173"/>
      <c r="SLB153" s="173"/>
      <c r="SLC153" s="173"/>
      <c r="SLD153" s="125"/>
      <c r="SLE153" s="125"/>
      <c r="SLF153" s="134"/>
      <c r="SLG153" s="135"/>
      <c r="SLH153" s="135"/>
      <c r="SLI153" s="135"/>
      <c r="SLJ153" s="135"/>
      <c r="SLK153" s="173"/>
      <c r="SLL153" s="173"/>
      <c r="SLM153" s="173"/>
      <c r="SLN153" s="173"/>
      <c r="SLO153" s="173"/>
      <c r="SLP153" s="173"/>
      <c r="SLQ153" s="173"/>
      <c r="SLR153" s="173"/>
      <c r="SLS153" s="173"/>
      <c r="SLT153" s="173"/>
      <c r="SLU153" s="125"/>
      <c r="SLV153" s="125"/>
      <c r="SLW153" s="134"/>
      <c r="SLX153" s="135"/>
      <c r="SLY153" s="135"/>
      <c r="SLZ153" s="135"/>
      <c r="SMA153" s="135"/>
      <c r="SMB153" s="173"/>
      <c r="SMC153" s="173"/>
      <c r="SMD153" s="173"/>
      <c r="SME153" s="173"/>
      <c r="SMF153" s="173"/>
      <c r="SMG153" s="173"/>
      <c r="SMH153" s="173"/>
      <c r="SMI153" s="173"/>
      <c r="SMJ153" s="173"/>
      <c r="SMK153" s="173"/>
      <c r="SML153" s="125"/>
      <c r="SMM153" s="125"/>
      <c r="SMN153" s="134"/>
      <c r="SMO153" s="135"/>
      <c r="SMP153" s="135"/>
      <c r="SMQ153" s="135"/>
      <c r="SMR153" s="135"/>
      <c r="SMS153" s="173"/>
      <c r="SMT153" s="173"/>
      <c r="SMU153" s="173"/>
      <c r="SMV153" s="173"/>
      <c r="SMW153" s="173"/>
      <c r="SMX153" s="173"/>
      <c r="SMY153" s="173"/>
      <c r="SMZ153" s="173"/>
      <c r="SNA153" s="173"/>
      <c r="SNB153" s="173"/>
      <c r="SNC153" s="125"/>
      <c r="SND153" s="125"/>
      <c r="SNE153" s="134"/>
      <c r="SNF153" s="135"/>
      <c r="SNG153" s="135"/>
      <c r="SNH153" s="135"/>
      <c r="SNI153" s="135"/>
      <c r="SNJ153" s="173"/>
      <c r="SNK153" s="173"/>
      <c r="SNL153" s="173"/>
      <c r="SNM153" s="173"/>
      <c r="SNN153" s="173"/>
      <c r="SNO153" s="173"/>
      <c r="SNP153" s="173"/>
      <c r="SNQ153" s="173"/>
      <c r="SNR153" s="173"/>
      <c r="SNS153" s="173"/>
      <c r="SNT153" s="125"/>
      <c r="SNU153" s="125"/>
      <c r="SNV153" s="134"/>
      <c r="SNW153" s="135"/>
      <c r="SNX153" s="135"/>
      <c r="SNY153" s="135"/>
      <c r="SNZ153" s="135"/>
      <c r="SOA153" s="173"/>
      <c r="SOB153" s="173"/>
      <c r="SOC153" s="173"/>
      <c r="SOD153" s="173"/>
      <c r="SOE153" s="173"/>
      <c r="SOF153" s="173"/>
      <c r="SOG153" s="173"/>
      <c r="SOH153" s="173"/>
      <c r="SOI153" s="173"/>
      <c r="SOJ153" s="173"/>
      <c r="SOK153" s="125"/>
      <c r="SOL153" s="125"/>
      <c r="SOM153" s="134"/>
      <c r="SON153" s="135"/>
      <c r="SOO153" s="135"/>
      <c r="SOP153" s="135"/>
      <c r="SOQ153" s="135"/>
      <c r="SOR153" s="173"/>
      <c r="SOS153" s="173"/>
      <c r="SOT153" s="173"/>
      <c r="SOU153" s="173"/>
      <c r="SOV153" s="173"/>
      <c r="SOW153" s="173"/>
      <c r="SOX153" s="173"/>
      <c r="SOY153" s="173"/>
      <c r="SOZ153" s="173"/>
      <c r="SPA153" s="173"/>
      <c r="SPB153" s="125"/>
      <c r="SPC153" s="125"/>
      <c r="SPD153" s="134"/>
      <c r="SPE153" s="135"/>
      <c r="SPF153" s="135"/>
      <c r="SPG153" s="135"/>
      <c r="SPH153" s="135"/>
      <c r="SPI153" s="173"/>
      <c r="SPJ153" s="173"/>
      <c r="SPK153" s="173"/>
      <c r="SPL153" s="173"/>
      <c r="SPM153" s="173"/>
      <c r="SPN153" s="173"/>
      <c r="SPO153" s="173"/>
      <c r="SPP153" s="173"/>
      <c r="SPQ153" s="173"/>
      <c r="SPR153" s="173"/>
      <c r="SPS153" s="125"/>
      <c r="SPT153" s="125"/>
      <c r="SPU153" s="134"/>
      <c r="SPV153" s="135"/>
      <c r="SPW153" s="135"/>
      <c r="SPX153" s="135"/>
      <c r="SPY153" s="135"/>
      <c r="SPZ153" s="173"/>
      <c r="SQA153" s="173"/>
      <c r="SQB153" s="173"/>
      <c r="SQC153" s="173"/>
      <c r="SQD153" s="173"/>
      <c r="SQE153" s="173"/>
      <c r="SQF153" s="173"/>
      <c r="SQG153" s="173"/>
      <c r="SQH153" s="173"/>
      <c r="SQI153" s="173"/>
      <c r="SQJ153" s="125"/>
      <c r="SQK153" s="125"/>
      <c r="SQL153" s="134"/>
      <c r="SQM153" s="135"/>
      <c r="SQN153" s="135"/>
      <c r="SQO153" s="135"/>
      <c r="SQP153" s="135"/>
      <c r="SQQ153" s="173"/>
      <c r="SQR153" s="173"/>
      <c r="SQS153" s="173"/>
      <c r="SQT153" s="173"/>
      <c r="SQU153" s="173"/>
      <c r="SQV153" s="173"/>
      <c r="SQW153" s="173"/>
      <c r="SQX153" s="173"/>
      <c r="SQY153" s="173"/>
      <c r="SQZ153" s="173"/>
      <c r="SRA153" s="125"/>
      <c r="SRB153" s="125"/>
      <c r="SRC153" s="134"/>
      <c r="SRD153" s="135"/>
      <c r="SRE153" s="135"/>
      <c r="SRF153" s="135"/>
      <c r="SRG153" s="135"/>
      <c r="SRH153" s="173"/>
      <c r="SRI153" s="173"/>
      <c r="SRJ153" s="173"/>
      <c r="SRK153" s="173"/>
      <c r="SRL153" s="173"/>
      <c r="SRM153" s="173"/>
      <c r="SRN153" s="173"/>
      <c r="SRO153" s="173"/>
      <c r="SRP153" s="173"/>
      <c r="SRQ153" s="173"/>
      <c r="SRR153" s="125"/>
      <c r="SRS153" s="125"/>
      <c r="SRT153" s="134"/>
      <c r="SRU153" s="135"/>
      <c r="SRV153" s="135"/>
      <c r="SRW153" s="135"/>
      <c r="SRX153" s="135"/>
      <c r="SRY153" s="173"/>
      <c r="SRZ153" s="173"/>
      <c r="SSA153" s="173"/>
      <c r="SSB153" s="173"/>
      <c r="SSC153" s="173"/>
      <c r="SSD153" s="173"/>
      <c r="SSE153" s="173"/>
      <c r="SSF153" s="173"/>
      <c r="SSG153" s="173"/>
      <c r="SSH153" s="173"/>
      <c r="SSI153" s="125"/>
      <c r="SSJ153" s="125"/>
      <c r="SSK153" s="134"/>
      <c r="SSL153" s="135"/>
      <c r="SSM153" s="135"/>
      <c r="SSN153" s="135"/>
      <c r="SSO153" s="135"/>
      <c r="SSP153" s="173"/>
      <c r="SSQ153" s="173"/>
      <c r="SSR153" s="173"/>
      <c r="SSS153" s="173"/>
      <c r="SST153" s="173"/>
      <c r="SSU153" s="173"/>
      <c r="SSV153" s="173"/>
      <c r="SSW153" s="173"/>
      <c r="SSX153" s="173"/>
      <c r="SSY153" s="173"/>
      <c r="SSZ153" s="125"/>
      <c r="STA153" s="125"/>
      <c r="STB153" s="134"/>
      <c r="STC153" s="135"/>
      <c r="STD153" s="135"/>
      <c r="STE153" s="135"/>
      <c r="STF153" s="135"/>
      <c r="STG153" s="173"/>
      <c r="STH153" s="173"/>
      <c r="STI153" s="173"/>
      <c r="STJ153" s="173"/>
      <c r="STK153" s="173"/>
      <c r="STL153" s="173"/>
      <c r="STM153" s="173"/>
      <c r="STN153" s="173"/>
      <c r="STO153" s="173"/>
      <c r="STP153" s="173"/>
      <c r="STQ153" s="125"/>
      <c r="STR153" s="125"/>
      <c r="STS153" s="134"/>
      <c r="STT153" s="135"/>
      <c r="STU153" s="135"/>
      <c r="STV153" s="135"/>
      <c r="STW153" s="135"/>
      <c r="STX153" s="173"/>
      <c r="STY153" s="173"/>
      <c r="STZ153" s="173"/>
      <c r="SUA153" s="173"/>
      <c r="SUB153" s="173"/>
      <c r="SUC153" s="173"/>
      <c r="SUD153" s="173"/>
      <c r="SUE153" s="173"/>
      <c r="SUF153" s="173"/>
      <c r="SUG153" s="173"/>
      <c r="SUH153" s="125"/>
      <c r="SUI153" s="125"/>
      <c r="SUJ153" s="134"/>
      <c r="SUK153" s="135"/>
      <c r="SUL153" s="135"/>
      <c r="SUM153" s="135"/>
      <c r="SUN153" s="135"/>
      <c r="SUO153" s="173"/>
      <c r="SUP153" s="173"/>
      <c r="SUQ153" s="173"/>
      <c r="SUR153" s="173"/>
      <c r="SUS153" s="173"/>
      <c r="SUT153" s="173"/>
      <c r="SUU153" s="173"/>
      <c r="SUV153" s="173"/>
      <c r="SUW153" s="173"/>
      <c r="SUX153" s="173"/>
      <c r="SUY153" s="125"/>
      <c r="SUZ153" s="125"/>
      <c r="SVA153" s="134"/>
      <c r="SVB153" s="135"/>
      <c r="SVC153" s="135"/>
      <c r="SVD153" s="135"/>
      <c r="SVE153" s="135"/>
      <c r="SVF153" s="173"/>
      <c r="SVG153" s="173"/>
      <c r="SVH153" s="173"/>
      <c r="SVI153" s="173"/>
      <c r="SVJ153" s="173"/>
      <c r="SVK153" s="173"/>
      <c r="SVL153" s="173"/>
      <c r="SVM153" s="173"/>
      <c r="SVN153" s="173"/>
      <c r="SVO153" s="173"/>
      <c r="SVP153" s="125"/>
      <c r="SVQ153" s="125"/>
      <c r="SVR153" s="134"/>
      <c r="SVS153" s="135"/>
      <c r="SVT153" s="135"/>
      <c r="SVU153" s="135"/>
      <c r="SVV153" s="135"/>
      <c r="SVW153" s="173"/>
      <c r="SVX153" s="173"/>
      <c r="SVY153" s="173"/>
      <c r="SVZ153" s="173"/>
      <c r="SWA153" s="173"/>
      <c r="SWB153" s="173"/>
      <c r="SWC153" s="173"/>
      <c r="SWD153" s="173"/>
      <c r="SWE153" s="173"/>
      <c r="SWF153" s="173"/>
      <c r="SWG153" s="125"/>
      <c r="SWH153" s="125"/>
      <c r="SWI153" s="134"/>
      <c r="SWJ153" s="135"/>
      <c r="SWK153" s="135"/>
      <c r="SWL153" s="135"/>
      <c r="SWM153" s="135"/>
      <c r="SWN153" s="173"/>
      <c r="SWO153" s="173"/>
      <c r="SWP153" s="173"/>
      <c r="SWQ153" s="173"/>
      <c r="SWR153" s="173"/>
      <c r="SWS153" s="173"/>
      <c r="SWT153" s="173"/>
      <c r="SWU153" s="173"/>
      <c r="SWV153" s="173"/>
      <c r="SWW153" s="173"/>
      <c r="SWX153" s="125"/>
      <c r="SWY153" s="125"/>
      <c r="SWZ153" s="134"/>
      <c r="SXA153" s="135"/>
      <c r="SXB153" s="135"/>
      <c r="SXC153" s="135"/>
      <c r="SXD153" s="135"/>
      <c r="SXE153" s="173"/>
      <c r="SXF153" s="173"/>
      <c r="SXG153" s="173"/>
      <c r="SXH153" s="173"/>
      <c r="SXI153" s="173"/>
      <c r="SXJ153" s="173"/>
      <c r="SXK153" s="173"/>
      <c r="SXL153" s="173"/>
      <c r="SXM153" s="173"/>
      <c r="SXN153" s="173"/>
      <c r="SXO153" s="125"/>
      <c r="SXP153" s="125"/>
      <c r="SXQ153" s="134"/>
      <c r="SXR153" s="135"/>
      <c r="SXS153" s="135"/>
      <c r="SXT153" s="135"/>
      <c r="SXU153" s="135"/>
      <c r="SXV153" s="173"/>
      <c r="SXW153" s="173"/>
      <c r="SXX153" s="173"/>
      <c r="SXY153" s="173"/>
      <c r="SXZ153" s="173"/>
      <c r="SYA153" s="173"/>
      <c r="SYB153" s="173"/>
      <c r="SYC153" s="173"/>
      <c r="SYD153" s="173"/>
      <c r="SYE153" s="173"/>
      <c r="SYF153" s="125"/>
      <c r="SYG153" s="125"/>
      <c r="SYH153" s="134"/>
      <c r="SYI153" s="135"/>
      <c r="SYJ153" s="135"/>
      <c r="SYK153" s="135"/>
      <c r="SYL153" s="135"/>
      <c r="SYM153" s="173"/>
      <c r="SYN153" s="173"/>
      <c r="SYO153" s="173"/>
      <c r="SYP153" s="173"/>
      <c r="SYQ153" s="173"/>
      <c r="SYR153" s="173"/>
      <c r="SYS153" s="173"/>
      <c r="SYT153" s="173"/>
      <c r="SYU153" s="173"/>
      <c r="SYV153" s="173"/>
      <c r="SYW153" s="125"/>
      <c r="SYX153" s="125"/>
      <c r="SYY153" s="134"/>
      <c r="SYZ153" s="135"/>
      <c r="SZA153" s="135"/>
      <c r="SZB153" s="135"/>
      <c r="SZC153" s="135"/>
      <c r="SZD153" s="173"/>
      <c r="SZE153" s="173"/>
      <c r="SZF153" s="173"/>
      <c r="SZG153" s="173"/>
      <c r="SZH153" s="173"/>
      <c r="SZI153" s="173"/>
      <c r="SZJ153" s="173"/>
      <c r="SZK153" s="173"/>
      <c r="SZL153" s="173"/>
      <c r="SZM153" s="173"/>
      <c r="SZN153" s="125"/>
      <c r="SZO153" s="125"/>
      <c r="SZP153" s="134"/>
      <c r="SZQ153" s="135"/>
      <c r="SZR153" s="135"/>
      <c r="SZS153" s="135"/>
      <c r="SZT153" s="135"/>
      <c r="SZU153" s="173"/>
      <c r="SZV153" s="173"/>
      <c r="SZW153" s="173"/>
      <c r="SZX153" s="173"/>
      <c r="SZY153" s="173"/>
      <c r="SZZ153" s="173"/>
      <c r="TAA153" s="173"/>
      <c r="TAB153" s="173"/>
      <c r="TAC153" s="173"/>
      <c r="TAD153" s="173"/>
      <c r="TAE153" s="125"/>
      <c r="TAF153" s="125"/>
      <c r="TAG153" s="134"/>
      <c r="TAH153" s="135"/>
      <c r="TAI153" s="135"/>
      <c r="TAJ153" s="135"/>
      <c r="TAK153" s="135"/>
      <c r="TAL153" s="173"/>
      <c r="TAM153" s="173"/>
      <c r="TAN153" s="173"/>
      <c r="TAO153" s="173"/>
      <c r="TAP153" s="173"/>
      <c r="TAQ153" s="173"/>
      <c r="TAR153" s="173"/>
      <c r="TAS153" s="173"/>
      <c r="TAT153" s="173"/>
      <c r="TAU153" s="173"/>
      <c r="TAV153" s="125"/>
      <c r="TAW153" s="125"/>
      <c r="TAX153" s="134"/>
      <c r="TAY153" s="135"/>
      <c r="TAZ153" s="135"/>
      <c r="TBA153" s="135"/>
      <c r="TBB153" s="135"/>
      <c r="TBC153" s="173"/>
      <c r="TBD153" s="173"/>
      <c r="TBE153" s="173"/>
      <c r="TBF153" s="173"/>
      <c r="TBG153" s="173"/>
      <c r="TBH153" s="173"/>
      <c r="TBI153" s="173"/>
      <c r="TBJ153" s="173"/>
      <c r="TBK153" s="173"/>
      <c r="TBL153" s="173"/>
      <c r="TBM153" s="125"/>
      <c r="TBN153" s="125"/>
      <c r="TBO153" s="134"/>
      <c r="TBP153" s="135"/>
      <c r="TBQ153" s="135"/>
      <c r="TBR153" s="135"/>
      <c r="TBS153" s="135"/>
      <c r="TBT153" s="173"/>
      <c r="TBU153" s="173"/>
      <c r="TBV153" s="173"/>
      <c r="TBW153" s="173"/>
      <c r="TBX153" s="173"/>
      <c r="TBY153" s="173"/>
      <c r="TBZ153" s="173"/>
      <c r="TCA153" s="173"/>
      <c r="TCB153" s="173"/>
      <c r="TCC153" s="173"/>
      <c r="TCD153" s="125"/>
      <c r="TCE153" s="125"/>
      <c r="TCF153" s="134"/>
      <c r="TCG153" s="135"/>
      <c r="TCH153" s="135"/>
      <c r="TCI153" s="135"/>
      <c r="TCJ153" s="135"/>
      <c r="TCK153" s="173"/>
      <c r="TCL153" s="173"/>
      <c r="TCM153" s="173"/>
      <c r="TCN153" s="173"/>
      <c r="TCO153" s="173"/>
      <c r="TCP153" s="173"/>
      <c r="TCQ153" s="173"/>
      <c r="TCR153" s="173"/>
      <c r="TCS153" s="173"/>
      <c r="TCT153" s="173"/>
      <c r="TCU153" s="125"/>
      <c r="TCV153" s="125"/>
      <c r="TCW153" s="134"/>
      <c r="TCX153" s="135"/>
      <c r="TCY153" s="135"/>
      <c r="TCZ153" s="135"/>
      <c r="TDA153" s="135"/>
      <c r="TDB153" s="173"/>
      <c r="TDC153" s="173"/>
      <c r="TDD153" s="173"/>
      <c r="TDE153" s="173"/>
      <c r="TDF153" s="173"/>
      <c r="TDG153" s="173"/>
      <c r="TDH153" s="173"/>
      <c r="TDI153" s="173"/>
      <c r="TDJ153" s="173"/>
      <c r="TDK153" s="173"/>
      <c r="TDL153" s="125"/>
      <c r="TDM153" s="125"/>
      <c r="TDN153" s="134"/>
      <c r="TDO153" s="135"/>
      <c r="TDP153" s="135"/>
      <c r="TDQ153" s="135"/>
      <c r="TDR153" s="135"/>
      <c r="TDS153" s="173"/>
      <c r="TDT153" s="173"/>
      <c r="TDU153" s="173"/>
      <c r="TDV153" s="173"/>
      <c r="TDW153" s="173"/>
      <c r="TDX153" s="173"/>
      <c r="TDY153" s="173"/>
      <c r="TDZ153" s="173"/>
      <c r="TEA153" s="173"/>
      <c r="TEB153" s="173"/>
      <c r="TEC153" s="125"/>
      <c r="TED153" s="125"/>
      <c r="TEE153" s="134"/>
      <c r="TEF153" s="135"/>
      <c r="TEG153" s="135"/>
      <c r="TEH153" s="135"/>
      <c r="TEI153" s="135"/>
      <c r="TEJ153" s="173"/>
      <c r="TEK153" s="173"/>
      <c r="TEL153" s="173"/>
      <c r="TEM153" s="173"/>
      <c r="TEN153" s="173"/>
      <c r="TEO153" s="173"/>
      <c r="TEP153" s="173"/>
      <c r="TEQ153" s="173"/>
      <c r="TER153" s="173"/>
      <c r="TES153" s="173"/>
      <c r="TET153" s="125"/>
      <c r="TEU153" s="125"/>
      <c r="TEV153" s="134"/>
      <c r="TEW153" s="135"/>
      <c r="TEX153" s="135"/>
      <c r="TEY153" s="135"/>
      <c r="TEZ153" s="135"/>
      <c r="TFA153" s="173"/>
      <c r="TFB153" s="173"/>
      <c r="TFC153" s="173"/>
      <c r="TFD153" s="173"/>
      <c r="TFE153" s="173"/>
      <c r="TFF153" s="173"/>
      <c r="TFG153" s="173"/>
      <c r="TFH153" s="173"/>
      <c r="TFI153" s="173"/>
      <c r="TFJ153" s="173"/>
      <c r="TFK153" s="125"/>
      <c r="TFL153" s="125"/>
      <c r="TFM153" s="134"/>
      <c r="TFN153" s="135"/>
      <c r="TFO153" s="135"/>
      <c r="TFP153" s="135"/>
      <c r="TFQ153" s="135"/>
      <c r="TFR153" s="173"/>
      <c r="TFS153" s="173"/>
      <c r="TFT153" s="173"/>
      <c r="TFU153" s="173"/>
      <c r="TFV153" s="173"/>
      <c r="TFW153" s="173"/>
      <c r="TFX153" s="173"/>
      <c r="TFY153" s="173"/>
      <c r="TFZ153" s="173"/>
      <c r="TGA153" s="173"/>
      <c r="TGB153" s="125"/>
      <c r="TGC153" s="125"/>
      <c r="TGD153" s="134"/>
      <c r="TGE153" s="135"/>
      <c r="TGF153" s="135"/>
      <c r="TGG153" s="135"/>
      <c r="TGH153" s="135"/>
      <c r="TGI153" s="173"/>
      <c r="TGJ153" s="173"/>
      <c r="TGK153" s="173"/>
      <c r="TGL153" s="173"/>
      <c r="TGM153" s="173"/>
      <c r="TGN153" s="173"/>
      <c r="TGO153" s="173"/>
      <c r="TGP153" s="173"/>
      <c r="TGQ153" s="173"/>
      <c r="TGR153" s="173"/>
      <c r="TGS153" s="125"/>
      <c r="TGT153" s="125"/>
      <c r="TGU153" s="134"/>
      <c r="TGV153" s="135"/>
      <c r="TGW153" s="135"/>
      <c r="TGX153" s="135"/>
      <c r="TGY153" s="135"/>
      <c r="TGZ153" s="173"/>
      <c r="THA153" s="173"/>
      <c r="THB153" s="173"/>
      <c r="THC153" s="173"/>
      <c r="THD153" s="173"/>
      <c r="THE153" s="173"/>
      <c r="THF153" s="173"/>
      <c r="THG153" s="173"/>
      <c r="THH153" s="173"/>
      <c r="THI153" s="173"/>
      <c r="THJ153" s="125"/>
      <c r="THK153" s="125"/>
      <c r="THL153" s="134"/>
      <c r="THM153" s="135"/>
      <c r="THN153" s="135"/>
      <c r="THO153" s="135"/>
      <c r="THP153" s="135"/>
      <c r="THQ153" s="173"/>
      <c r="THR153" s="173"/>
      <c r="THS153" s="173"/>
      <c r="THT153" s="173"/>
      <c r="THU153" s="173"/>
      <c r="THV153" s="173"/>
      <c r="THW153" s="173"/>
      <c r="THX153" s="173"/>
      <c r="THY153" s="173"/>
      <c r="THZ153" s="173"/>
      <c r="TIA153" s="125"/>
      <c r="TIB153" s="125"/>
      <c r="TIC153" s="134"/>
      <c r="TID153" s="135"/>
      <c r="TIE153" s="135"/>
      <c r="TIF153" s="135"/>
      <c r="TIG153" s="135"/>
      <c r="TIH153" s="173"/>
      <c r="TII153" s="173"/>
      <c r="TIJ153" s="173"/>
      <c r="TIK153" s="173"/>
      <c r="TIL153" s="173"/>
      <c r="TIM153" s="173"/>
      <c r="TIN153" s="173"/>
      <c r="TIO153" s="173"/>
      <c r="TIP153" s="173"/>
      <c r="TIQ153" s="173"/>
      <c r="TIR153" s="125"/>
      <c r="TIS153" s="125"/>
      <c r="TIT153" s="134"/>
      <c r="TIU153" s="135"/>
      <c r="TIV153" s="135"/>
      <c r="TIW153" s="135"/>
      <c r="TIX153" s="135"/>
      <c r="TIY153" s="173"/>
      <c r="TIZ153" s="173"/>
      <c r="TJA153" s="173"/>
      <c r="TJB153" s="173"/>
      <c r="TJC153" s="173"/>
      <c r="TJD153" s="173"/>
      <c r="TJE153" s="173"/>
      <c r="TJF153" s="173"/>
      <c r="TJG153" s="173"/>
      <c r="TJH153" s="173"/>
      <c r="TJI153" s="125"/>
      <c r="TJJ153" s="125"/>
      <c r="TJK153" s="134"/>
      <c r="TJL153" s="135"/>
      <c r="TJM153" s="135"/>
      <c r="TJN153" s="135"/>
      <c r="TJO153" s="135"/>
      <c r="TJP153" s="173"/>
      <c r="TJQ153" s="173"/>
      <c r="TJR153" s="173"/>
      <c r="TJS153" s="173"/>
      <c r="TJT153" s="173"/>
      <c r="TJU153" s="173"/>
      <c r="TJV153" s="173"/>
      <c r="TJW153" s="173"/>
      <c r="TJX153" s="173"/>
      <c r="TJY153" s="173"/>
      <c r="TJZ153" s="125"/>
      <c r="TKA153" s="125"/>
      <c r="TKB153" s="134"/>
      <c r="TKC153" s="135"/>
      <c r="TKD153" s="135"/>
      <c r="TKE153" s="135"/>
      <c r="TKF153" s="135"/>
      <c r="TKG153" s="173"/>
      <c r="TKH153" s="173"/>
      <c r="TKI153" s="173"/>
      <c r="TKJ153" s="173"/>
      <c r="TKK153" s="173"/>
      <c r="TKL153" s="173"/>
      <c r="TKM153" s="173"/>
      <c r="TKN153" s="173"/>
      <c r="TKO153" s="173"/>
      <c r="TKP153" s="173"/>
      <c r="TKQ153" s="125"/>
      <c r="TKR153" s="125"/>
      <c r="TKS153" s="134"/>
      <c r="TKT153" s="135"/>
      <c r="TKU153" s="135"/>
      <c r="TKV153" s="135"/>
      <c r="TKW153" s="135"/>
      <c r="TKX153" s="173"/>
      <c r="TKY153" s="173"/>
      <c r="TKZ153" s="173"/>
      <c r="TLA153" s="173"/>
      <c r="TLB153" s="173"/>
      <c r="TLC153" s="173"/>
      <c r="TLD153" s="173"/>
      <c r="TLE153" s="173"/>
      <c r="TLF153" s="173"/>
      <c r="TLG153" s="173"/>
      <c r="TLH153" s="125"/>
      <c r="TLI153" s="125"/>
      <c r="TLJ153" s="134"/>
      <c r="TLK153" s="135"/>
      <c r="TLL153" s="135"/>
      <c r="TLM153" s="135"/>
      <c r="TLN153" s="135"/>
      <c r="TLO153" s="173"/>
      <c r="TLP153" s="173"/>
      <c r="TLQ153" s="173"/>
      <c r="TLR153" s="173"/>
      <c r="TLS153" s="173"/>
      <c r="TLT153" s="173"/>
      <c r="TLU153" s="173"/>
      <c r="TLV153" s="173"/>
      <c r="TLW153" s="173"/>
      <c r="TLX153" s="173"/>
      <c r="TLY153" s="125"/>
      <c r="TLZ153" s="125"/>
      <c r="TMA153" s="134"/>
      <c r="TMB153" s="135"/>
      <c r="TMC153" s="135"/>
      <c r="TMD153" s="135"/>
      <c r="TME153" s="135"/>
      <c r="TMF153" s="173"/>
      <c r="TMG153" s="173"/>
      <c r="TMH153" s="173"/>
      <c r="TMI153" s="173"/>
      <c r="TMJ153" s="173"/>
      <c r="TMK153" s="173"/>
      <c r="TML153" s="173"/>
      <c r="TMM153" s="173"/>
      <c r="TMN153" s="173"/>
      <c r="TMO153" s="173"/>
      <c r="TMP153" s="125"/>
      <c r="TMQ153" s="125"/>
      <c r="TMR153" s="134"/>
      <c r="TMS153" s="135"/>
      <c r="TMT153" s="135"/>
      <c r="TMU153" s="135"/>
      <c r="TMV153" s="135"/>
      <c r="TMW153" s="173"/>
      <c r="TMX153" s="173"/>
      <c r="TMY153" s="173"/>
      <c r="TMZ153" s="173"/>
      <c r="TNA153" s="173"/>
      <c r="TNB153" s="173"/>
      <c r="TNC153" s="173"/>
      <c r="TND153" s="173"/>
      <c r="TNE153" s="173"/>
      <c r="TNF153" s="173"/>
      <c r="TNG153" s="125"/>
      <c r="TNH153" s="125"/>
      <c r="TNI153" s="134"/>
      <c r="TNJ153" s="135"/>
      <c r="TNK153" s="135"/>
      <c r="TNL153" s="135"/>
      <c r="TNM153" s="135"/>
      <c r="TNN153" s="173"/>
      <c r="TNO153" s="173"/>
      <c r="TNP153" s="173"/>
      <c r="TNQ153" s="173"/>
      <c r="TNR153" s="173"/>
      <c r="TNS153" s="173"/>
      <c r="TNT153" s="173"/>
      <c r="TNU153" s="173"/>
      <c r="TNV153" s="173"/>
      <c r="TNW153" s="173"/>
      <c r="TNX153" s="125"/>
      <c r="TNY153" s="125"/>
      <c r="TNZ153" s="134"/>
      <c r="TOA153" s="135"/>
      <c r="TOB153" s="135"/>
      <c r="TOC153" s="135"/>
      <c r="TOD153" s="135"/>
      <c r="TOE153" s="173"/>
      <c r="TOF153" s="173"/>
      <c r="TOG153" s="173"/>
      <c r="TOH153" s="173"/>
      <c r="TOI153" s="173"/>
      <c r="TOJ153" s="173"/>
      <c r="TOK153" s="173"/>
      <c r="TOL153" s="173"/>
      <c r="TOM153" s="173"/>
      <c r="TON153" s="173"/>
      <c r="TOO153" s="125"/>
      <c r="TOP153" s="125"/>
      <c r="TOQ153" s="134"/>
      <c r="TOR153" s="135"/>
      <c r="TOS153" s="135"/>
      <c r="TOT153" s="135"/>
      <c r="TOU153" s="135"/>
      <c r="TOV153" s="173"/>
      <c r="TOW153" s="173"/>
      <c r="TOX153" s="173"/>
      <c r="TOY153" s="173"/>
      <c r="TOZ153" s="173"/>
      <c r="TPA153" s="173"/>
      <c r="TPB153" s="173"/>
      <c r="TPC153" s="173"/>
      <c r="TPD153" s="173"/>
      <c r="TPE153" s="173"/>
      <c r="TPF153" s="125"/>
      <c r="TPG153" s="125"/>
      <c r="TPH153" s="134"/>
      <c r="TPI153" s="135"/>
      <c r="TPJ153" s="135"/>
      <c r="TPK153" s="135"/>
      <c r="TPL153" s="135"/>
      <c r="TPM153" s="173"/>
      <c r="TPN153" s="173"/>
      <c r="TPO153" s="173"/>
      <c r="TPP153" s="173"/>
      <c r="TPQ153" s="173"/>
      <c r="TPR153" s="173"/>
      <c r="TPS153" s="173"/>
      <c r="TPT153" s="173"/>
      <c r="TPU153" s="173"/>
      <c r="TPV153" s="173"/>
      <c r="TPW153" s="125"/>
      <c r="TPX153" s="125"/>
      <c r="TPY153" s="134"/>
      <c r="TPZ153" s="135"/>
      <c r="TQA153" s="135"/>
      <c r="TQB153" s="135"/>
      <c r="TQC153" s="135"/>
      <c r="TQD153" s="173"/>
      <c r="TQE153" s="173"/>
      <c r="TQF153" s="173"/>
      <c r="TQG153" s="173"/>
      <c r="TQH153" s="173"/>
      <c r="TQI153" s="173"/>
      <c r="TQJ153" s="173"/>
      <c r="TQK153" s="173"/>
      <c r="TQL153" s="173"/>
      <c r="TQM153" s="173"/>
      <c r="TQN153" s="125"/>
      <c r="TQO153" s="125"/>
      <c r="TQP153" s="134"/>
      <c r="TQQ153" s="135"/>
      <c r="TQR153" s="135"/>
      <c r="TQS153" s="135"/>
      <c r="TQT153" s="135"/>
      <c r="TQU153" s="173"/>
      <c r="TQV153" s="173"/>
      <c r="TQW153" s="173"/>
      <c r="TQX153" s="173"/>
      <c r="TQY153" s="173"/>
      <c r="TQZ153" s="173"/>
      <c r="TRA153" s="173"/>
      <c r="TRB153" s="173"/>
      <c r="TRC153" s="173"/>
      <c r="TRD153" s="173"/>
      <c r="TRE153" s="125"/>
      <c r="TRF153" s="125"/>
      <c r="TRG153" s="134"/>
      <c r="TRH153" s="135"/>
      <c r="TRI153" s="135"/>
      <c r="TRJ153" s="135"/>
      <c r="TRK153" s="135"/>
      <c r="TRL153" s="173"/>
      <c r="TRM153" s="173"/>
      <c r="TRN153" s="173"/>
      <c r="TRO153" s="173"/>
      <c r="TRP153" s="173"/>
      <c r="TRQ153" s="173"/>
      <c r="TRR153" s="173"/>
      <c r="TRS153" s="173"/>
      <c r="TRT153" s="173"/>
      <c r="TRU153" s="173"/>
      <c r="TRV153" s="125"/>
      <c r="TRW153" s="125"/>
      <c r="TRX153" s="134"/>
      <c r="TRY153" s="135"/>
      <c r="TRZ153" s="135"/>
      <c r="TSA153" s="135"/>
      <c r="TSB153" s="135"/>
      <c r="TSC153" s="173"/>
      <c r="TSD153" s="173"/>
      <c r="TSE153" s="173"/>
      <c r="TSF153" s="173"/>
      <c r="TSG153" s="173"/>
      <c r="TSH153" s="173"/>
      <c r="TSI153" s="173"/>
      <c r="TSJ153" s="173"/>
      <c r="TSK153" s="173"/>
      <c r="TSL153" s="173"/>
      <c r="TSM153" s="125"/>
      <c r="TSN153" s="125"/>
      <c r="TSO153" s="134"/>
      <c r="TSP153" s="135"/>
      <c r="TSQ153" s="135"/>
      <c r="TSR153" s="135"/>
      <c r="TSS153" s="135"/>
      <c r="TST153" s="173"/>
      <c r="TSU153" s="173"/>
      <c r="TSV153" s="173"/>
      <c r="TSW153" s="173"/>
      <c r="TSX153" s="173"/>
      <c r="TSY153" s="173"/>
      <c r="TSZ153" s="173"/>
      <c r="TTA153" s="173"/>
      <c r="TTB153" s="173"/>
      <c r="TTC153" s="173"/>
      <c r="TTD153" s="125"/>
      <c r="TTE153" s="125"/>
      <c r="TTF153" s="134"/>
      <c r="TTG153" s="135"/>
      <c r="TTH153" s="135"/>
      <c r="TTI153" s="135"/>
      <c r="TTJ153" s="135"/>
      <c r="TTK153" s="173"/>
      <c r="TTL153" s="173"/>
      <c r="TTM153" s="173"/>
      <c r="TTN153" s="173"/>
      <c r="TTO153" s="173"/>
      <c r="TTP153" s="173"/>
      <c r="TTQ153" s="173"/>
      <c r="TTR153" s="173"/>
      <c r="TTS153" s="173"/>
      <c r="TTT153" s="173"/>
      <c r="TTU153" s="125"/>
      <c r="TTV153" s="125"/>
      <c r="TTW153" s="134"/>
      <c r="TTX153" s="135"/>
      <c r="TTY153" s="135"/>
      <c r="TTZ153" s="135"/>
      <c r="TUA153" s="135"/>
      <c r="TUB153" s="173"/>
      <c r="TUC153" s="173"/>
      <c r="TUD153" s="173"/>
      <c r="TUE153" s="173"/>
      <c r="TUF153" s="173"/>
      <c r="TUG153" s="173"/>
      <c r="TUH153" s="173"/>
      <c r="TUI153" s="173"/>
      <c r="TUJ153" s="173"/>
      <c r="TUK153" s="173"/>
      <c r="TUL153" s="125"/>
      <c r="TUM153" s="125"/>
      <c r="TUN153" s="134"/>
      <c r="TUO153" s="135"/>
      <c r="TUP153" s="135"/>
      <c r="TUQ153" s="135"/>
      <c r="TUR153" s="135"/>
      <c r="TUS153" s="173"/>
      <c r="TUT153" s="173"/>
      <c r="TUU153" s="173"/>
      <c r="TUV153" s="173"/>
      <c r="TUW153" s="173"/>
      <c r="TUX153" s="173"/>
      <c r="TUY153" s="173"/>
      <c r="TUZ153" s="173"/>
      <c r="TVA153" s="173"/>
      <c r="TVB153" s="173"/>
      <c r="TVC153" s="125"/>
      <c r="TVD153" s="125"/>
      <c r="TVE153" s="134"/>
      <c r="TVF153" s="135"/>
      <c r="TVG153" s="135"/>
      <c r="TVH153" s="135"/>
      <c r="TVI153" s="135"/>
      <c r="TVJ153" s="173"/>
      <c r="TVK153" s="173"/>
      <c r="TVL153" s="173"/>
      <c r="TVM153" s="173"/>
      <c r="TVN153" s="173"/>
      <c r="TVO153" s="173"/>
      <c r="TVP153" s="173"/>
      <c r="TVQ153" s="173"/>
      <c r="TVR153" s="173"/>
      <c r="TVS153" s="173"/>
      <c r="TVT153" s="125"/>
      <c r="TVU153" s="125"/>
      <c r="TVV153" s="134"/>
      <c r="TVW153" s="135"/>
      <c r="TVX153" s="135"/>
      <c r="TVY153" s="135"/>
      <c r="TVZ153" s="135"/>
      <c r="TWA153" s="173"/>
      <c r="TWB153" s="173"/>
      <c r="TWC153" s="173"/>
      <c r="TWD153" s="173"/>
      <c r="TWE153" s="173"/>
      <c r="TWF153" s="173"/>
      <c r="TWG153" s="173"/>
      <c r="TWH153" s="173"/>
      <c r="TWI153" s="173"/>
      <c r="TWJ153" s="173"/>
      <c r="TWK153" s="125"/>
      <c r="TWL153" s="125"/>
      <c r="TWM153" s="134"/>
      <c r="TWN153" s="135"/>
      <c r="TWO153" s="135"/>
      <c r="TWP153" s="135"/>
      <c r="TWQ153" s="135"/>
      <c r="TWR153" s="173"/>
      <c r="TWS153" s="173"/>
      <c r="TWT153" s="173"/>
      <c r="TWU153" s="173"/>
      <c r="TWV153" s="173"/>
      <c r="TWW153" s="173"/>
      <c r="TWX153" s="173"/>
      <c r="TWY153" s="173"/>
      <c r="TWZ153" s="173"/>
      <c r="TXA153" s="173"/>
      <c r="TXB153" s="125"/>
      <c r="TXC153" s="125"/>
      <c r="TXD153" s="134"/>
      <c r="TXE153" s="135"/>
      <c r="TXF153" s="135"/>
      <c r="TXG153" s="135"/>
      <c r="TXH153" s="135"/>
      <c r="TXI153" s="173"/>
      <c r="TXJ153" s="173"/>
      <c r="TXK153" s="173"/>
      <c r="TXL153" s="173"/>
      <c r="TXM153" s="173"/>
      <c r="TXN153" s="173"/>
      <c r="TXO153" s="173"/>
      <c r="TXP153" s="173"/>
      <c r="TXQ153" s="173"/>
      <c r="TXR153" s="173"/>
      <c r="TXS153" s="125"/>
      <c r="TXT153" s="125"/>
      <c r="TXU153" s="134"/>
      <c r="TXV153" s="135"/>
      <c r="TXW153" s="135"/>
      <c r="TXX153" s="135"/>
      <c r="TXY153" s="135"/>
      <c r="TXZ153" s="173"/>
      <c r="TYA153" s="173"/>
      <c r="TYB153" s="173"/>
      <c r="TYC153" s="173"/>
      <c r="TYD153" s="173"/>
      <c r="TYE153" s="173"/>
      <c r="TYF153" s="173"/>
      <c r="TYG153" s="173"/>
      <c r="TYH153" s="173"/>
      <c r="TYI153" s="173"/>
      <c r="TYJ153" s="125"/>
      <c r="TYK153" s="125"/>
      <c r="TYL153" s="134"/>
      <c r="TYM153" s="135"/>
      <c r="TYN153" s="135"/>
      <c r="TYO153" s="135"/>
      <c r="TYP153" s="135"/>
      <c r="TYQ153" s="173"/>
      <c r="TYR153" s="173"/>
      <c r="TYS153" s="173"/>
      <c r="TYT153" s="173"/>
      <c r="TYU153" s="173"/>
      <c r="TYV153" s="173"/>
      <c r="TYW153" s="173"/>
      <c r="TYX153" s="173"/>
      <c r="TYY153" s="173"/>
      <c r="TYZ153" s="173"/>
      <c r="TZA153" s="125"/>
      <c r="TZB153" s="125"/>
      <c r="TZC153" s="134"/>
      <c r="TZD153" s="135"/>
      <c r="TZE153" s="135"/>
      <c r="TZF153" s="135"/>
      <c r="TZG153" s="135"/>
      <c r="TZH153" s="173"/>
      <c r="TZI153" s="173"/>
      <c r="TZJ153" s="173"/>
      <c r="TZK153" s="173"/>
      <c r="TZL153" s="173"/>
      <c r="TZM153" s="173"/>
      <c r="TZN153" s="173"/>
      <c r="TZO153" s="173"/>
      <c r="TZP153" s="173"/>
      <c r="TZQ153" s="173"/>
      <c r="TZR153" s="125"/>
      <c r="TZS153" s="125"/>
      <c r="TZT153" s="134"/>
      <c r="TZU153" s="135"/>
      <c r="TZV153" s="135"/>
      <c r="TZW153" s="135"/>
      <c r="TZX153" s="135"/>
      <c r="TZY153" s="173"/>
      <c r="TZZ153" s="173"/>
      <c r="UAA153" s="173"/>
      <c r="UAB153" s="173"/>
      <c r="UAC153" s="173"/>
      <c r="UAD153" s="173"/>
      <c r="UAE153" s="173"/>
      <c r="UAF153" s="173"/>
      <c r="UAG153" s="173"/>
      <c r="UAH153" s="173"/>
      <c r="UAI153" s="125"/>
      <c r="UAJ153" s="125"/>
      <c r="UAK153" s="134"/>
      <c r="UAL153" s="135"/>
      <c r="UAM153" s="135"/>
      <c r="UAN153" s="135"/>
      <c r="UAO153" s="135"/>
      <c r="UAP153" s="173"/>
      <c r="UAQ153" s="173"/>
      <c r="UAR153" s="173"/>
      <c r="UAS153" s="173"/>
      <c r="UAT153" s="173"/>
      <c r="UAU153" s="173"/>
      <c r="UAV153" s="173"/>
      <c r="UAW153" s="173"/>
      <c r="UAX153" s="173"/>
      <c r="UAY153" s="173"/>
      <c r="UAZ153" s="125"/>
      <c r="UBA153" s="125"/>
      <c r="UBB153" s="134"/>
      <c r="UBC153" s="135"/>
      <c r="UBD153" s="135"/>
      <c r="UBE153" s="135"/>
      <c r="UBF153" s="135"/>
      <c r="UBG153" s="173"/>
      <c r="UBH153" s="173"/>
      <c r="UBI153" s="173"/>
      <c r="UBJ153" s="173"/>
      <c r="UBK153" s="173"/>
      <c r="UBL153" s="173"/>
      <c r="UBM153" s="173"/>
      <c r="UBN153" s="173"/>
      <c r="UBO153" s="173"/>
      <c r="UBP153" s="173"/>
      <c r="UBQ153" s="125"/>
      <c r="UBR153" s="125"/>
      <c r="UBS153" s="134"/>
      <c r="UBT153" s="135"/>
      <c r="UBU153" s="135"/>
      <c r="UBV153" s="135"/>
      <c r="UBW153" s="135"/>
      <c r="UBX153" s="173"/>
      <c r="UBY153" s="173"/>
      <c r="UBZ153" s="173"/>
      <c r="UCA153" s="173"/>
      <c r="UCB153" s="173"/>
      <c r="UCC153" s="173"/>
      <c r="UCD153" s="173"/>
      <c r="UCE153" s="173"/>
      <c r="UCF153" s="173"/>
      <c r="UCG153" s="173"/>
      <c r="UCH153" s="125"/>
      <c r="UCI153" s="125"/>
      <c r="UCJ153" s="134"/>
      <c r="UCK153" s="135"/>
      <c r="UCL153" s="135"/>
      <c r="UCM153" s="135"/>
      <c r="UCN153" s="135"/>
      <c r="UCO153" s="173"/>
      <c r="UCP153" s="173"/>
      <c r="UCQ153" s="173"/>
      <c r="UCR153" s="173"/>
      <c r="UCS153" s="173"/>
      <c r="UCT153" s="173"/>
      <c r="UCU153" s="173"/>
      <c r="UCV153" s="173"/>
      <c r="UCW153" s="173"/>
      <c r="UCX153" s="173"/>
      <c r="UCY153" s="125"/>
      <c r="UCZ153" s="125"/>
      <c r="UDA153" s="134"/>
      <c r="UDB153" s="135"/>
      <c r="UDC153" s="135"/>
      <c r="UDD153" s="135"/>
      <c r="UDE153" s="135"/>
      <c r="UDF153" s="173"/>
      <c r="UDG153" s="173"/>
      <c r="UDH153" s="173"/>
      <c r="UDI153" s="173"/>
      <c r="UDJ153" s="173"/>
      <c r="UDK153" s="173"/>
      <c r="UDL153" s="173"/>
      <c r="UDM153" s="173"/>
      <c r="UDN153" s="173"/>
      <c r="UDO153" s="173"/>
      <c r="UDP153" s="125"/>
      <c r="UDQ153" s="125"/>
      <c r="UDR153" s="134"/>
      <c r="UDS153" s="135"/>
      <c r="UDT153" s="135"/>
      <c r="UDU153" s="135"/>
      <c r="UDV153" s="135"/>
      <c r="UDW153" s="173"/>
      <c r="UDX153" s="173"/>
      <c r="UDY153" s="173"/>
      <c r="UDZ153" s="173"/>
      <c r="UEA153" s="173"/>
      <c r="UEB153" s="173"/>
      <c r="UEC153" s="173"/>
      <c r="UED153" s="173"/>
      <c r="UEE153" s="173"/>
      <c r="UEF153" s="173"/>
      <c r="UEG153" s="125"/>
      <c r="UEH153" s="125"/>
      <c r="UEI153" s="134"/>
      <c r="UEJ153" s="135"/>
      <c r="UEK153" s="135"/>
      <c r="UEL153" s="135"/>
      <c r="UEM153" s="135"/>
      <c r="UEN153" s="173"/>
      <c r="UEO153" s="173"/>
      <c r="UEP153" s="173"/>
      <c r="UEQ153" s="173"/>
      <c r="UER153" s="173"/>
      <c r="UES153" s="173"/>
      <c r="UET153" s="173"/>
      <c r="UEU153" s="173"/>
      <c r="UEV153" s="173"/>
      <c r="UEW153" s="173"/>
      <c r="UEX153" s="125"/>
      <c r="UEY153" s="125"/>
      <c r="UEZ153" s="134"/>
      <c r="UFA153" s="135"/>
      <c r="UFB153" s="135"/>
      <c r="UFC153" s="135"/>
      <c r="UFD153" s="135"/>
      <c r="UFE153" s="173"/>
      <c r="UFF153" s="173"/>
      <c r="UFG153" s="173"/>
      <c r="UFH153" s="173"/>
      <c r="UFI153" s="173"/>
      <c r="UFJ153" s="173"/>
      <c r="UFK153" s="173"/>
      <c r="UFL153" s="173"/>
      <c r="UFM153" s="173"/>
      <c r="UFN153" s="173"/>
      <c r="UFO153" s="125"/>
      <c r="UFP153" s="125"/>
      <c r="UFQ153" s="134"/>
      <c r="UFR153" s="135"/>
      <c r="UFS153" s="135"/>
      <c r="UFT153" s="135"/>
      <c r="UFU153" s="135"/>
      <c r="UFV153" s="173"/>
      <c r="UFW153" s="173"/>
      <c r="UFX153" s="173"/>
      <c r="UFY153" s="173"/>
      <c r="UFZ153" s="173"/>
      <c r="UGA153" s="173"/>
      <c r="UGB153" s="173"/>
      <c r="UGC153" s="173"/>
      <c r="UGD153" s="173"/>
      <c r="UGE153" s="173"/>
      <c r="UGF153" s="125"/>
      <c r="UGG153" s="125"/>
      <c r="UGH153" s="134"/>
      <c r="UGI153" s="135"/>
      <c r="UGJ153" s="135"/>
      <c r="UGK153" s="135"/>
      <c r="UGL153" s="135"/>
      <c r="UGM153" s="173"/>
      <c r="UGN153" s="173"/>
      <c r="UGO153" s="173"/>
      <c r="UGP153" s="173"/>
      <c r="UGQ153" s="173"/>
      <c r="UGR153" s="173"/>
      <c r="UGS153" s="173"/>
      <c r="UGT153" s="173"/>
      <c r="UGU153" s="173"/>
      <c r="UGV153" s="173"/>
      <c r="UGW153" s="125"/>
      <c r="UGX153" s="125"/>
      <c r="UGY153" s="134"/>
      <c r="UGZ153" s="135"/>
      <c r="UHA153" s="135"/>
      <c r="UHB153" s="135"/>
      <c r="UHC153" s="135"/>
      <c r="UHD153" s="173"/>
      <c r="UHE153" s="173"/>
      <c r="UHF153" s="173"/>
      <c r="UHG153" s="173"/>
      <c r="UHH153" s="173"/>
      <c r="UHI153" s="173"/>
      <c r="UHJ153" s="173"/>
      <c r="UHK153" s="173"/>
      <c r="UHL153" s="173"/>
      <c r="UHM153" s="173"/>
      <c r="UHN153" s="125"/>
      <c r="UHO153" s="125"/>
      <c r="UHP153" s="134"/>
      <c r="UHQ153" s="135"/>
      <c r="UHR153" s="135"/>
      <c r="UHS153" s="135"/>
      <c r="UHT153" s="135"/>
      <c r="UHU153" s="173"/>
      <c r="UHV153" s="173"/>
      <c r="UHW153" s="173"/>
      <c r="UHX153" s="173"/>
      <c r="UHY153" s="173"/>
      <c r="UHZ153" s="173"/>
      <c r="UIA153" s="173"/>
      <c r="UIB153" s="173"/>
      <c r="UIC153" s="173"/>
      <c r="UID153" s="173"/>
      <c r="UIE153" s="125"/>
      <c r="UIF153" s="125"/>
      <c r="UIG153" s="134"/>
      <c r="UIH153" s="135"/>
      <c r="UII153" s="135"/>
      <c r="UIJ153" s="135"/>
      <c r="UIK153" s="135"/>
      <c r="UIL153" s="173"/>
      <c r="UIM153" s="173"/>
      <c r="UIN153" s="173"/>
      <c r="UIO153" s="173"/>
      <c r="UIP153" s="173"/>
      <c r="UIQ153" s="173"/>
      <c r="UIR153" s="173"/>
      <c r="UIS153" s="173"/>
      <c r="UIT153" s="173"/>
      <c r="UIU153" s="173"/>
      <c r="UIV153" s="125"/>
      <c r="UIW153" s="125"/>
      <c r="UIX153" s="134"/>
      <c r="UIY153" s="135"/>
      <c r="UIZ153" s="135"/>
      <c r="UJA153" s="135"/>
      <c r="UJB153" s="135"/>
      <c r="UJC153" s="173"/>
      <c r="UJD153" s="173"/>
      <c r="UJE153" s="173"/>
      <c r="UJF153" s="173"/>
      <c r="UJG153" s="173"/>
      <c r="UJH153" s="173"/>
      <c r="UJI153" s="173"/>
      <c r="UJJ153" s="173"/>
      <c r="UJK153" s="173"/>
      <c r="UJL153" s="173"/>
      <c r="UJM153" s="125"/>
      <c r="UJN153" s="125"/>
      <c r="UJO153" s="134"/>
      <c r="UJP153" s="135"/>
      <c r="UJQ153" s="135"/>
      <c r="UJR153" s="135"/>
      <c r="UJS153" s="135"/>
      <c r="UJT153" s="173"/>
      <c r="UJU153" s="173"/>
      <c r="UJV153" s="173"/>
      <c r="UJW153" s="173"/>
      <c r="UJX153" s="173"/>
      <c r="UJY153" s="173"/>
      <c r="UJZ153" s="173"/>
      <c r="UKA153" s="173"/>
      <c r="UKB153" s="173"/>
      <c r="UKC153" s="173"/>
      <c r="UKD153" s="125"/>
      <c r="UKE153" s="125"/>
      <c r="UKF153" s="134"/>
      <c r="UKG153" s="135"/>
      <c r="UKH153" s="135"/>
      <c r="UKI153" s="135"/>
      <c r="UKJ153" s="135"/>
      <c r="UKK153" s="173"/>
      <c r="UKL153" s="173"/>
      <c r="UKM153" s="173"/>
      <c r="UKN153" s="173"/>
      <c r="UKO153" s="173"/>
      <c r="UKP153" s="173"/>
      <c r="UKQ153" s="173"/>
      <c r="UKR153" s="173"/>
      <c r="UKS153" s="173"/>
      <c r="UKT153" s="173"/>
      <c r="UKU153" s="125"/>
      <c r="UKV153" s="125"/>
      <c r="UKW153" s="134"/>
      <c r="UKX153" s="135"/>
      <c r="UKY153" s="135"/>
      <c r="UKZ153" s="135"/>
      <c r="ULA153" s="135"/>
      <c r="ULB153" s="173"/>
      <c r="ULC153" s="173"/>
      <c r="ULD153" s="173"/>
      <c r="ULE153" s="173"/>
      <c r="ULF153" s="173"/>
      <c r="ULG153" s="173"/>
      <c r="ULH153" s="173"/>
      <c r="ULI153" s="173"/>
      <c r="ULJ153" s="173"/>
      <c r="ULK153" s="173"/>
      <c r="ULL153" s="125"/>
      <c r="ULM153" s="125"/>
      <c r="ULN153" s="134"/>
      <c r="ULO153" s="135"/>
      <c r="ULP153" s="135"/>
      <c r="ULQ153" s="135"/>
      <c r="ULR153" s="135"/>
      <c r="ULS153" s="173"/>
      <c r="ULT153" s="173"/>
      <c r="ULU153" s="173"/>
      <c r="ULV153" s="173"/>
      <c r="ULW153" s="173"/>
      <c r="ULX153" s="173"/>
      <c r="ULY153" s="173"/>
      <c r="ULZ153" s="173"/>
      <c r="UMA153" s="173"/>
      <c r="UMB153" s="173"/>
      <c r="UMC153" s="125"/>
      <c r="UMD153" s="125"/>
      <c r="UME153" s="134"/>
      <c r="UMF153" s="135"/>
      <c r="UMG153" s="135"/>
      <c r="UMH153" s="135"/>
      <c r="UMI153" s="135"/>
      <c r="UMJ153" s="173"/>
      <c r="UMK153" s="173"/>
      <c r="UML153" s="173"/>
      <c r="UMM153" s="173"/>
      <c r="UMN153" s="173"/>
      <c r="UMO153" s="173"/>
      <c r="UMP153" s="173"/>
      <c r="UMQ153" s="173"/>
      <c r="UMR153" s="173"/>
      <c r="UMS153" s="173"/>
      <c r="UMT153" s="125"/>
      <c r="UMU153" s="125"/>
      <c r="UMV153" s="134"/>
      <c r="UMW153" s="135"/>
      <c r="UMX153" s="135"/>
      <c r="UMY153" s="135"/>
      <c r="UMZ153" s="135"/>
      <c r="UNA153" s="173"/>
      <c r="UNB153" s="173"/>
      <c r="UNC153" s="173"/>
      <c r="UND153" s="173"/>
      <c r="UNE153" s="173"/>
      <c r="UNF153" s="173"/>
      <c r="UNG153" s="173"/>
      <c r="UNH153" s="173"/>
      <c r="UNI153" s="173"/>
      <c r="UNJ153" s="173"/>
      <c r="UNK153" s="125"/>
      <c r="UNL153" s="125"/>
      <c r="UNM153" s="134"/>
      <c r="UNN153" s="135"/>
      <c r="UNO153" s="135"/>
      <c r="UNP153" s="135"/>
      <c r="UNQ153" s="135"/>
      <c r="UNR153" s="173"/>
      <c r="UNS153" s="173"/>
      <c r="UNT153" s="173"/>
      <c r="UNU153" s="173"/>
      <c r="UNV153" s="173"/>
      <c r="UNW153" s="173"/>
      <c r="UNX153" s="173"/>
      <c r="UNY153" s="173"/>
      <c r="UNZ153" s="173"/>
      <c r="UOA153" s="173"/>
      <c r="UOB153" s="125"/>
      <c r="UOC153" s="125"/>
      <c r="UOD153" s="134"/>
      <c r="UOE153" s="135"/>
      <c r="UOF153" s="135"/>
      <c r="UOG153" s="135"/>
      <c r="UOH153" s="135"/>
      <c r="UOI153" s="173"/>
      <c r="UOJ153" s="173"/>
      <c r="UOK153" s="173"/>
      <c r="UOL153" s="173"/>
      <c r="UOM153" s="173"/>
      <c r="UON153" s="173"/>
      <c r="UOO153" s="173"/>
      <c r="UOP153" s="173"/>
      <c r="UOQ153" s="173"/>
      <c r="UOR153" s="173"/>
      <c r="UOS153" s="125"/>
      <c r="UOT153" s="125"/>
      <c r="UOU153" s="134"/>
      <c r="UOV153" s="135"/>
      <c r="UOW153" s="135"/>
      <c r="UOX153" s="135"/>
      <c r="UOY153" s="135"/>
      <c r="UOZ153" s="173"/>
      <c r="UPA153" s="173"/>
      <c r="UPB153" s="173"/>
      <c r="UPC153" s="173"/>
      <c r="UPD153" s="173"/>
      <c r="UPE153" s="173"/>
      <c r="UPF153" s="173"/>
      <c r="UPG153" s="173"/>
      <c r="UPH153" s="173"/>
      <c r="UPI153" s="173"/>
      <c r="UPJ153" s="125"/>
      <c r="UPK153" s="125"/>
      <c r="UPL153" s="134"/>
      <c r="UPM153" s="135"/>
      <c r="UPN153" s="135"/>
      <c r="UPO153" s="135"/>
      <c r="UPP153" s="135"/>
      <c r="UPQ153" s="173"/>
      <c r="UPR153" s="173"/>
      <c r="UPS153" s="173"/>
      <c r="UPT153" s="173"/>
      <c r="UPU153" s="173"/>
      <c r="UPV153" s="173"/>
      <c r="UPW153" s="173"/>
      <c r="UPX153" s="173"/>
      <c r="UPY153" s="173"/>
      <c r="UPZ153" s="173"/>
      <c r="UQA153" s="125"/>
      <c r="UQB153" s="125"/>
      <c r="UQC153" s="134"/>
      <c r="UQD153" s="135"/>
      <c r="UQE153" s="135"/>
      <c r="UQF153" s="135"/>
      <c r="UQG153" s="135"/>
      <c r="UQH153" s="173"/>
      <c r="UQI153" s="173"/>
      <c r="UQJ153" s="173"/>
      <c r="UQK153" s="173"/>
      <c r="UQL153" s="173"/>
      <c r="UQM153" s="173"/>
      <c r="UQN153" s="173"/>
      <c r="UQO153" s="173"/>
      <c r="UQP153" s="173"/>
      <c r="UQQ153" s="173"/>
      <c r="UQR153" s="125"/>
      <c r="UQS153" s="125"/>
      <c r="UQT153" s="134"/>
      <c r="UQU153" s="135"/>
      <c r="UQV153" s="135"/>
      <c r="UQW153" s="135"/>
      <c r="UQX153" s="135"/>
      <c r="UQY153" s="173"/>
      <c r="UQZ153" s="173"/>
      <c r="URA153" s="173"/>
      <c r="URB153" s="173"/>
      <c r="URC153" s="173"/>
      <c r="URD153" s="173"/>
      <c r="URE153" s="173"/>
      <c r="URF153" s="173"/>
      <c r="URG153" s="173"/>
      <c r="URH153" s="173"/>
      <c r="URI153" s="125"/>
      <c r="URJ153" s="125"/>
      <c r="URK153" s="134"/>
      <c r="URL153" s="135"/>
      <c r="URM153" s="135"/>
      <c r="URN153" s="135"/>
      <c r="URO153" s="135"/>
      <c r="URP153" s="173"/>
      <c r="URQ153" s="173"/>
      <c r="URR153" s="173"/>
      <c r="URS153" s="173"/>
      <c r="URT153" s="173"/>
      <c r="URU153" s="173"/>
      <c r="URV153" s="173"/>
      <c r="URW153" s="173"/>
      <c r="URX153" s="173"/>
      <c r="URY153" s="173"/>
      <c r="URZ153" s="125"/>
      <c r="USA153" s="125"/>
      <c r="USB153" s="134"/>
      <c r="USC153" s="135"/>
      <c r="USD153" s="135"/>
      <c r="USE153" s="135"/>
      <c r="USF153" s="135"/>
      <c r="USG153" s="173"/>
      <c r="USH153" s="173"/>
      <c r="USI153" s="173"/>
      <c r="USJ153" s="173"/>
      <c r="USK153" s="173"/>
      <c r="USL153" s="173"/>
      <c r="USM153" s="173"/>
      <c r="USN153" s="173"/>
      <c r="USO153" s="173"/>
      <c r="USP153" s="173"/>
      <c r="USQ153" s="125"/>
      <c r="USR153" s="125"/>
      <c r="USS153" s="134"/>
      <c r="UST153" s="135"/>
      <c r="USU153" s="135"/>
      <c r="USV153" s="135"/>
      <c r="USW153" s="135"/>
      <c r="USX153" s="173"/>
      <c r="USY153" s="173"/>
      <c r="USZ153" s="173"/>
      <c r="UTA153" s="173"/>
      <c r="UTB153" s="173"/>
      <c r="UTC153" s="173"/>
      <c r="UTD153" s="173"/>
      <c r="UTE153" s="173"/>
      <c r="UTF153" s="173"/>
      <c r="UTG153" s="173"/>
      <c r="UTH153" s="125"/>
      <c r="UTI153" s="125"/>
      <c r="UTJ153" s="134"/>
      <c r="UTK153" s="135"/>
      <c r="UTL153" s="135"/>
      <c r="UTM153" s="135"/>
      <c r="UTN153" s="135"/>
      <c r="UTO153" s="173"/>
      <c r="UTP153" s="173"/>
      <c r="UTQ153" s="173"/>
      <c r="UTR153" s="173"/>
      <c r="UTS153" s="173"/>
      <c r="UTT153" s="173"/>
      <c r="UTU153" s="173"/>
      <c r="UTV153" s="173"/>
      <c r="UTW153" s="173"/>
      <c r="UTX153" s="173"/>
      <c r="UTY153" s="125"/>
      <c r="UTZ153" s="125"/>
      <c r="UUA153" s="134"/>
      <c r="UUB153" s="135"/>
      <c r="UUC153" s="135"/>
      <c r="UUD153" s="135"/>
      <c r="UUE153" s="135"/>
      <c r="UUF153" s="173"/>
      <c r="UUG153" s="173"/>
      <c r="UUH153" s="173"/>
      <c r="UUI153" s="173"/>
      <c r="UUJ153" s="173"/>
      <c r="UUK153" s="173"/>
      <c r="UUL153" s="173"/>
      <c r="UUM153" s="173"/>
      <c r="UUN153" s="173"/>
      <c r="UUO153" s="173"/>
      <c r="UUP153" s="125"/>
      <c r="UUQ153" s="125"/>
      <c r="UUR153" s="134"/>
      <c r="UUS153" s="135"/>
      <c r="UUT153" s="135"/>
      <c r="UUU153" s="135"/>
      <c r="UUV153" s="135"/>
      <c r="UUW153" s="173"/>
      <c r="UUX153" s="173"/>
      <c r="UUY153" s="173"/>
      <c r="UUZ153" s="173"/>
      <c r="UVA153" s="173"/>
      <c r="UVB153" s="173"/>
      <c r="UVC153" s="173"/>
      <c r="UVD153" s="173"/>
      <c r="UVE153" s="173"/>
      <c r="UVF153" s="173"/>
      <c r="UVG153" s="125"/>
      <c r="UVH153" s="125"/>
      <c r="UVI153" s="134"/>
      <c r="UVJ153" s="135"/>
      <c r="UVK153" s="135"/>
      <c r="UVL153" s="135"/>
      <c r="UVM153" s="135"/>
      <c r="UVN153" s="173"/>
      <c r="UVO153" s="173"/>
      <c r="UVP153" s="173"/>
      <c r="UVQ153" s="173"/>
      <c r="UVR153" s="173"/>
      <c r="UVS153" s="173"/>
      <c r="UVT153" s="173"/>
      <c r="UVU153" s="173"/>
      <c r="UVV153" s="173"/>
      <c r="UVW153" s="173"/>
      <c r="UVX153" s="125"/>
      <c r="UVY153" s="125"/>
      <c r="UVZ153" s="134"/>
      <c r="UWA153" s="135"/>
      <c r="UWB153" s="135"/>
      <c r="UWC153" s="135"/>
      <c r="UWD153" s="135"/>
      <c r="UWE153" s="173"/>
      <c r="UWF153" s="173"/>
      <c r="UWG153" s="173"/>
      <c r="UWH153" s="173"/>
      <c r="UWI153" s="173"/>
      <c r="UWJ153" s="173"/>
      <c r="UWK153" s="173"/>
      <c r="UWL153" s="173"/>
      <c r="UWM153" s="173"/>
      <c r="UWN153" s="173"/>
      <c r="UWO153" s="125"/>
      <c r="UWP153" s="125"/>
      <c r="UWQ153" s="134"/>
      <c r="UWR153" s="135"/>
      <c r="UWS153" s="135"/>
      <c r="UWT153" s="135"/>
      <c r="UWU153" s="135"/>
      <c r="UWV153" s="173"/>
      <c r="UWW153" s="173"/>
      <c r="UWX153" s="173"/>
      <c r="UWY153" s="173"/>
      <c r="UWZ153" s="173"/>
      <c r="UXA153" s="173"/>
      <c r="UXB153" s="173"/>
      <c r="UXC153" s="173"/>
      <c r="UXD153" s="173"/>
      <c r="UXE153" s="173"/>
      <c r="UXF153" s="125"/>
      <c r="UXG153" s="125"/>
      <c r="UXH153" s="134"/>
      <c r="UXI153" s="135"/>
      <c r="UXJ153" s="135"/>
      <c r="UXK153" s="135"/>
      <c r="UXL153" s="135"/>
      <c r="UXM153" s="173"/>
      <c r="UXN153" s="173"/>
      <c r="UXO153" s="173"/>
      <c r="UXP153" s="173"/>
      <c r="UXQ153" s="173"/>
      <c r="UXR153" s="173"/>
      <c r="UXS153" s="173"/>
      <c r="UXT153" s="173"/>
      <c r="UXU153" s="173"/>
      <c r="UXV153" s="173"/>
      <c r="UXW153" s="125"/>
      <c r="UXX153" s="125"/>
      <c r="UXY153" s="134"/>
      <c r="UXZ153" s="135"/>
      <c r="UYA153" s="135"/>
      <c r="UYB153" s="135"/>
      <c r="UYC153" s="135"/>
      <c r="UYD153" s="173"/>
      <c r="UYE153" s="173"/>
      <c r="UYF153" s="173"/>
      <c r="UYG153" s="173"/>
      <c r="UYH153" s="173"/>
      <c r="UYI153" s="173"/>
      <c r="UYJ153" s="173"/>
      <c r="UYK153" s="173"/>
      <c r="UYL153" s="173"/>
      <c r="UYM153" s="173"/>
      <c r="UYN153" s="125"/>
      <c r="UYO153" s="125"/>
      <c r="UYP153" s="134"/>
      <c r="UYQ153" s="135"/>
      <c r="UYR153" s="135"/>
      <c r="UYS153" s="135"/>
      <c r="UYT153" s="135"/>
      <c r="UYU153" s="173"/>
      <c r="UYV153" s="173"/>
      <c r="UYW153" s="173"/>
      <c r="UYX153" s="173"/>
      <c r="UYY153" s="173"/>
      <c r="UYZ153" s="173"/>
      <c r="UZA153" s="173"/>
      <c r="UZB153" s="173"/>
      <c r="UZC153" s="173"/>
      <c r="UZD153" s="173"/>
      <c r="UZE153" s="125"/>
      <c r="UZF153" s="125"/>
      <c r="UZG153" s="134"/>
      <c r="UZH153" s="135"/>
      <c r="UZI153" s="135"/>
      <c r="UZJ153" s="135"/>
      <c r="UZK153" s="135"/>
      <c r="UZL153" s="173"/>
      <c r="UZM153" s="173"/>
      <c r="UZN153" s="173"/>
      <c r="UZO153" s="173"/>
      <c r="UZP153" s="173"/>
      <c r="UZQ153" s="173"/>
      <c r="UZR153" s="173"/>
      <c r="UZS153" s="173"/>
      <c r="UZT153" s="173"/>
      <c r="UZU153" s="173"/>
      <c r="UZV153" s="125"/>
      <c r="UZW153" s="125"/>
      <c r="UZX153" s="134"/>
      <c r="UZY153" s="135"/>
      <c r="UZZ153" s="135"/>
      <c r="VAA153" s="135"/>
      <c r="VAB153" s="135"/>
      <c r="VAC153" s="173"/>
      <c r="VAD153" s="173"/>
      <c r="VAE153" s="173"/>
      <c r="VAF153" s="173"/>
      <c r="VAG153" s="173"/>
      <c r="VAH153" s="173"/>
      <c r="VAI153" s="173"/>
      <c r="VAJ153" s="173"/>
      <c r="VAK153" s="173"/>
      <c r="VAL153" s="173"/>
      <c r="VAM153" s="125"/>
      <c r="VAN153" s="125"/>
      <c r="VAO153" s="134"/>
      <c r="VAP153" s="135"/>
      <c r="VAQ153" s="135"/>
      <c r="VAR153" s="135"/>
      <c r="VAS153" s="135"/>
      <c r="VAT153" s="173"/>
      <c r="VAU153" s="173"/>
      <c r="VAV153" s="173"/>
      <c r="VAW153" s="173"/>
      <c r="VAX153" s="173"/>
      <c r="VAY153" s="173"/>
      <c r="VAZ153" s="173"/>
      <c r="VBA153" s="173"/>
      <c r="VBB153" s="173"/>
      <c r="VBC153" s="173"/>
      <c r="VBD153" s="125"/>
      <c r="VBE153" s="125"/>
      <c r="VBF153" s="134"/>
      <c r="VBG153" s="135"/>
      <c r="VBH153" s="135"/>
      <c r="VBI153" s="135"/>
      <c r="VBJ153" s="135"/>
      <c r="VBK153" s="173"/>
      <c r="VBL153" s="173"/>
      <c r="VBM153" s="173"/>
      <c r="VBN153" s="173"/>
      <c r="VBO153" s="173"/>
      <c r="VBP153" s="173"/>
      <c r="VBQ153" s="173"/>
      <c r="VBR153" s="173"/>
      <c r="VBS153" s="173"/>
      <c r="VBT153" s="173"/>
      <c r="VBU153" s="125"/>
      <c r="VBV153" s="125"/>
      <c r="VBW153" s="134"/>
      <c r="VBX153" s="135"/>
      <c r="VBY153" s="135"/>
      <c r="VBZ153" s="135"/>
      <c r="VCA153" s="135"/>
      <c r="VCB153" s="173"/>
      <c r="VCC153" s="173"/>
      <c r="VCD153" s="173"/>
      <c r="VCE153" s="173"/>
      <c r="VCF153" s="173"/>
      <c r="VCG153" s="173"/>
      <c r="VCH153" s="173"/>
      <c r="VCI153" s="173"/>
      <c r="VCJ153" s="173"/>
      <c r="VCK153" s="173"/>
      <c r="VCL153" s="125"/>
      <c r="VCM153" s="125"/>
      <c r="VCN153" s="134"/>
      <c r="VCO153" s="135"/>
      <c r="VCP153" s="135"/>
      <c r="VCQ153" s="135"/>
      <c r="VCR153" s="135"/>
      <c r="VCS153" s="173"/>
      <c r="VCT153" s="173"/>
      <c r="VCU153" s="173"/>
      <c r="VCV153" s="173"/>
      <c r="VCW153" s="173"/>
      <c r="VCX153" s="173"/>
      <c r="VCY153" s="173"/>
      <c r="VCZ153" s="173"/>
      <c r="VDA153" s="173"/>
      <c r="VDB153" s="173"/>
      <c r="VDC153" s="125"/>
      <c r="VDD153" s="125"/>
      <c r="VDE153" s="134"/>
      <c r="VDF153" s="135"/>
      <c r="VDG153" s="135"/>
      <c r="VDH153" s="135"/>
      <c r="VDI153" s="135"/>
      <c r="VDJ153" s="173"/>
      <c r="VDK153" s="173"/>
      <c r="VDL153" s="173"/>
      <c r="VDM153" s="173"/>
      <c r="VDN153" s="173"/>
      <c r="VDO153" s="173"/>
      <c r="VDP153" s="173"/>
      <c r="VDQ153" s="173"/>
      <c r="VDR153" s="173"/>
      <c r="VDS153" s="173"/>
      <c r="VDT153" s="125"/>
      <c r="VDU153" s="125"/>
      <c r="VDV153" s="134"/>
      <c r="VDW153" s="135"/>
      <c r="VDX153" s="135"/>
      <c r="VDY153" s="135"/>
      <c r="VDZ153" s="135"/>
      <c r="VEA153" s="173"/>
      <c r="VEB153" s="173"/>
      <c r="VEC153" s="173"/>
      <c r="VED153" s="173"/>
      <c r="VEE153" s="173"/>
      <c r="VEF153" s="173"/>
      <c r="VEG153" s="173"/>
      <c r="VEH153" s="173"/>
      <c r="VEI153" s="173"/>
      <c r="VEJ153" s="173"/>
      <c r="VEK153" s="125"/>
      <c r="VEL153" s="125"/>
      <c r="VEM153" s="134"/>
      <c r="VEN153" s="135"/>
      <c r="VEO153" s="135"/>
      <c r="VEP153" s="135"/>
      <c r="VEQ153" s="135"/>
      <c r="VER153" s="173"/>
      <c r="VES153" s="173"/>
      <c r="VET153" s="173"/>
      <c r="VEU153" s="173"/>
      <c r="VEV153" s="173"/>
      <c r="VEW153" s="173"/>
      <c r="VEX153" s="173"/>
      <c r="VEY153" s="173"/>
      <c r="VEZ153" s="173"/>
      <c r="VFA153" s="173"/>
      <c r="VFB153" s="125"/>
      <c r="VFC153" s="125"/>
      <c r="VFD153" s="134"/>
      <c r="VFE153" s="135"/>
      <c r="VFF153" s="135"/>
      <c r="VFG153" s="135"/>
      <c r="VFH153" s="135"/>
      <c r="VFI153" s="173"/>
      <c r="VFJ153" s="173"/>
      <c r="VFK153" s="173"/>
      <c r="VFL153" s="173"/>
      <c r="VFM153" s="173"/>
      <c r="VFN153" s="173"/>
      <c r="VFO153" s="173"/>
      <c r="VFP153" s="173"/>
      <c r="VFQ153" s="173"/>
      <c r="VFR153" s="173"/>
      <c r="VFS153" s="125"/>
      <c r="VFT153" s="125"/>
      <c r="VFU153" s="134"/>
      <c r="VFV153" s="135"/>
      <c r="VFW153" s="135"/>
      <c r="VFX153" s="135"/>
      <c r="VFY153" s="135"/>
      <c r="VFZ153" s="173"/>
      <c r="VGA153" s="173"/>
      <c r="VGB153" s="173"/>
      <c r="VGC153" s="173"/>
      <c r="VGD153" s="173"/>
      <c r="VGE153" s="173"/>
      <c r="VGF153" s="173"/>
      <c r="VGG153" s="173"/>
      <c r="VGH153" s="173"/>
      <c r="VGI153" s="173"/>
      <c r="VGJ153" s="125"/>
      <c r="VGK153" s="125"/>
      <c r="VGL153" s="134"/>
      <c r="VGM153" s="135"/>
      <c r="VGN153" s="135"/>
      <c r="VGO153" s="135"/>
      <c r="VGP153" s="135"/>
      <c r="VGQ153" s="173"/>
      <c r="VGR153" s="173"/>
      <c r="VGS153" s="173"/>
      <c r="VGT153" s="173"/>
      <c r="VGU153" s="173"/>
      <c r="VGV153" s="173"/>
      <c r="VGW153" s="173"/>
      <c r="VGX153" s="173"/>
      <c r="VGY153" s="173"/>
      <c r="VGZ153" s="173"/>
      <c r="VHA153" s="125"/>
      <c r="VHB153" s="125"/>
      <c r="VHC153" s="134"/>
      <c r="VHD153" s="135"/>
      <c r="VHE153" s="135"/>
      <c r="VHF153" s="135"/>
      <c r="VHG153" s="135"/>
      <c r="VHH153" s="173"/>
      <c r="VHI153" s="173"/>
      <c r="VHJ153" s="173"/>
      <c r="VHK153" s="173"/>
      <c r="VHL153" s="173"/>
      <c r="VHM153" s="173"/>
      <c r="VHN153" s="173"/>
      <c r="VHO153" s="173"/>
      <c r="VHP153" s="173"/>
      <c r="VHQ153" s="173"/>
      <c r="VHR153" s="125"/>
      <c r="VHS153" s="125"/>
      <c r="VHT153" s="134"/>
      <c r="VHU153" s="135"/>
      <c r="VHV153" s="135"/>
      <c r="VHW153" s="135"/>
      <c r="VHX153" s="135"/>
      <c r="VHY153" s="173"/>
      <c r="VHZ153" s="173"/>
      <c r="VIA153" s="173"/>
      <c r="VIB153" s="173"/>
      <c r="VIC153" s="173"/>
      <c r="VID153" s="173"/>
      <c r="VIE153" s="173"/>
      <c r="VIF153" s="173"/>
      <c r="VIG153" s="173"/>
      <c r="VIH153" s="173"/>
      <c r="VII153" s="125"/>
      <c r="VIJ153" s="125"/>
      <c r="VIK153" s="134"/>
      <c r="VIL153" s="135"/>
      <c r="VIM153" s="135"/>
      <c r="VIN153" s="135"/>
      <c r="VIO153" s="135"/>
      <c r="VIP153" s="173"/>
      <c r="VIQ153" s="173"/>
      <c r="VIR153" s="173"/>
      <c r="VIS153" s="173"/>
      <c r="VIT153" s="173"/>
      <c r="VIU153" s="173"/>
      <c r="VIV153" s="173"/>
      <c r="VIW153" s="173"/>
      <c r="VIX153" s="173"/>
      <c r="VIY153" s="173"/>
      <c r="VIZ153" s="125"/>
      <c r="VJA153" s="125"/>
      <c r="VJB153" s="134"/>
      <c r="VJC153" s="135"/>
      <c r="VJD153" s="135"/>
      <c r="VJE153" s="135"/>
      <c r="VJF153" s="135"/>
      <c r="VJG153" s="173"/>
      <c r="VJH153" s="173"/>
      <c r="VJI153" s="173"/>
      <c r="VJJ153" s="173"/>
      <c r="VJK153" s="173"/>
      <c r="VJL153" s="173"/>
      <c r="VJM153" s="173"/>
      <c r="VJN153" s="173"/>
      <c r="VJO153" s="173"/>
      <c r="VJP153" s="173"/>
      <c r="VJQ153" s="125"/>
      <c r="VJR153" s="125"/>
      <c r="VJS153" s="134"/>
      <c r="VJT153" s="135"/>
      <c r="VJU153" s="135"/>
      <c r="VJV153" s="135"/>
      <c r="VJW153" s="135"/>
      <c r="VJX153" s="173"/>
      <c r="VJY153" s="173"/>
      <c r="VJZ153" s="173"/>
      <c r="VKA153" s="173"/>
      <c r="VKB153" s="173"/>
      <c r="VKC153" s="173"/>
      <c r="VKD153" s="173"/>
      <c r="VKE153" s="173"/>
      <c r="VKF153" s="173"/>
      <c r="VKG153" s="173"/>
      <c r="VKH153" s="125"/>
      <c r="VKI153" s="125"/>
      <c r="VKJ153" s="134"/>
      <c r="VKK153" s="135"/>
      <c r="VKL153" s="135"/>
      <c r="VKM153" s="135"/>
      <c r="VKN153" s="135"/>
      <c r="VKO153" s="173"/>
      <c r="VKP153" s="173"/>
      <c r="VKQ153" s="173"/>
      <c r="VKR153" s="173"/>
      <c r="VKS153" s="173"/>
      <c r="VKT153" s="173"/>
      <c r="VKU153" s="173"/>
      <c r="VKV153" s="173"/>
      <c r="VKW153" s="173"/>
      <c r="VKX153" s="173"/>
      <c r="VKY153" s="125"/>
      <c r="VKZ153" s="125"/>
      <c r="VLA153" s="134"/>
      <c r="VLB153" s="135"/>
      <c r="VLC153" s="135"/>
      <c r="VLD153" s="135"/>
      <c r="VLE153" s="135"/>
      <c r="VLF153" s="173"/>
      <c r="VLG153" s="173"/>
      <c r="VLH153" s="173"/>
      <c r="VLI153" s="173"/>
      <c r="VLJ153" s="173"/>
      <c r="VLK153" s="173"/>
      <c r="VLL153" s="173"/>
      <c r="VLM153" s="173"/>
      <c r="VLN153" s="173"/>
      <c r="VLO153" s="173"/>
      <c r="VLP153" s="125"/>
      <c r="VLQ153" s="125"/>
      <c r="VLR153" s="134"/>
      <c r="VLS153" s="135"/>
      <c r="VLT153" s="135"/>
      <c r="VLU153" s="135"/>
      <c r="VLV153" s="135"/>
      <c r="VLW153" s="173"/>
      <c r="VLX153" s="173"/>
      <c r="VLY153" s="173"/>
      <c r="VLZ153" s="173"/>
      <c r="VMA153" s="173"/>
      <c r="VMB153" s="173"/>
      <c r="VMC153" s="173"/>
      <c r="VMD153" s="173"/>
      <c r="VME153" s="173"/>
      <c r="VMF153" s="173"/>
      <c r="VMG153" s="125"/>
      <c r="VMH153" s="125"/>
      <c r="VMI153" s="134"/>
      <c r="VMJ153" s="135"/>
      <c r="VMK153" s="135"/>
      <c r="VML153" s="135"/>
      <c r="VMM153" s="135"/>
      <c r="VMN153" s="173"/>
      <c r="VMO153" s="173"/>
      <c r="VMP153" s="173"/>
      <c r="VMQ153" s="173"/>
      <c r="VMR153" s="173"/>
      <c r="VMS153" s="173"/>
      <c r="VMT153" s="173"/>
      <c r="VMU153" s="173"/>
      <c r="VMV153" s="173"/>
      <c r="VMW153" s="173"/>
      <c r="VMX153" s="125"/>
      <c r="VMY153" s="125"/>
      <c r="VMZ153" s="134"/>
      <c r="VNA153" s="135"/>
      <c r="VNB153" s="135"/>
      <c r="VNC153" s="135"/>
      <c r="VND153" s="135"/>
      <c r="VNE153" s="173"/>
      <c r="VNF153" s="173"/>
      <c r="VNG153" s="173"/>
      <c r="VNH153" s="173"/>
      <c r="VNI153" s="173"/>
      <c r="VNJ153" s="173"/>
      <c r="VNK153" s="173"/>
      <c r="VNL153" s="173"/>
      <c r="VNM153" s="173"/>
      <c r="VNN153" s="173"/>
      <c r="VNO153" s="125"/>
      <c r="VNP153" s="125"/>
      <c r="VNQ153" s="134"/>
      <c r="VNR153" s="135"/>
      <c r="VNS153" s="135"/>
      <c r="VNT153" s="135"/>
      <c r="VNU153" s="135"/>
      <c r="VNV153" s="173"/>
      <c r="VNW153" s="173"/>
      <c r="VNX153" s="173"/>
      <c r="VNY153" s="173"/>
      <c r="VNZ153" s="173"/>
      <c r="VOA153" s="173"/>
      <c r="VOB153" s="173"/>
      <c r="VOC153" s="173"/>
      <c r="VOD153" s="173"/>
      <c r="VOE153" s="173"/>
      <c r="VOF153" s="125"/>
      <c r="VOG153" s="125"/>
      <c r="VOH153" s="134"/>
      <c r="VOI153" s="135"/>
      <c r="VOJ153" s="135"/>
      <c r="VOK153" s="135"/>
      <c r="VOL153" s="135"/>
      <c r="VOM153" s="173"/>
      <c r="VON153" s="173"/>
      <c r="VOO153" s="173"/>
      <c r="VOP153" s="173"/>
      <c r="VOQ153" s="173"/>
      <c r="VOR153" s="173"/>
      <c r="VOS153" s="173"/>
      <c r="VOT153" s="173"/>
      <c r="VOU153" s="173"/>
      <c r="VOV153" s="173"/>
      <c r="VOW153" s="125"/>
      <c r="VOX153" s="125"/>
      <c r="VOY153" s="134"/>
      <c r="VOZ153" s="135"/>
      <c r="VPA153" s="135"/>
      <c r="VPB153" s="135"/>
      <c r="VPC153" s="135"/>
      <c r="VPD153" s="173"/>
      <c r="VPE153" s="173"/>
      <c r="VPF153" s="173"/>
      <c r="VPG153" s="173"/>
      <c r="VPH153" s="173"/>
      <c r="VPI153" s="173"/>
      <c r="VPJ153" s="173"/>
      <c r="VPK153" s="173"/>
      <c r="VPL153" s="173"/>
      <c r="VPM153" s="173"/>
      <c r="VPN153" s="125"/>
      <c r="VPO153" s="125"/>
      <c r="VPP153" s="134"/>
      <c r="VPQ153" s="135"/>
      <c r="VPR153" s="135"/>
      <c r="VPS153" s="135"/>
      <c r="VPT153" s="135"/>
      <c r="VPU153" s="173"/>
      <c r="VPV153" s="173"/>
      <c r="VPW153" s="173"/>
      <c r="VPX153" s="173"/>
      <c r="VPY153" s="173"/>
      <c r="VPZ153" s="173"/>
      <c r="VQA153" s="173"/>
      <c r="VQB153" s="173"/>
      <c r="VQC153" s="173"/>
      <c r="VQD153" s="173"/>
      <c r="VQE153" s="125"/>
      <c r="VQF153" s="125"/>
      <c r="VQG153" s="134"/>
      <c r="VQH153" s="135"/>
      <c r="VQI153" s="135"/>
      <c r="VQJ153" s="135"/>
      <c r="VQK153" s="135"/>
      <c r="VQL153" s="173"/>
      <c r="VQM153" s="173"/>
      <c r="VQN153" s="173"/>
      <c r="VQO153" s="173"/>
      <c r="VQP153" s="173"/>
      <c r="VQQ153" s="173"/>
      <c r="VQR153" s="173"/>
      <c r="VQS153" s="173"/>
      <c r="VQT153" s="173"/>
      <c r="VQU153" s="173"/>
      <c r="VQV153" s="125"/>
      <c r="VQW153" s="125"/>
      <c r="VQX153" s="134"/>
      <c r="VQY153" s="135"/>
      <c r="VQZ153" s="135"/>
      <c r="VRA153" s="135"/>
      <c r="VRB153" s="135"/>
      <c r="VRC153" s="173"/>
      <c r="VRD153" s="173"/>
      <c r="VRE153" s="173"/>
      <c r="VRF153" s="173"/>
      <c r="VRG153" s="173"/>
      <c r="VRH153" s="173"/>
      <c r="VRI153" s="173"/>
      <c r="VRJ153" s="173"/>
      <c r="VRK153" s="173"/>
      <c r="VRL153" s="173"/>
      <c r="VRM153" s="125"/>
      <c r="VRN153" s="125"/>
      <c r="VRO153" s="134"/>
      <c r="VRP153" s="135"/>
      <c r="VRQ153" s="135"/>
      <c r="VRR153" s="135"/>
      <c r="VRS153" s="135"/>
      <c r="VRT153" s="173"/>
      <c r="VRU153" s="173"/>
      <c r="VRV153" s="173"/>
      <c r="VRW153" s="173"/>
      <c r="VRX153" s="173"/>
      <c r="VRY153" s="173"/>
      <c r="VRZ153" s="173"/>
      <c r="VSA153" s="173"/>
      <c r="VSB153" s="173"/>
      <c r="VSC153" s="173"/>
      <c r="VSD153" s="125"/>
      <c r="VSE153" s="125"/>
      <c r="VSF153" s="134"/>
      <c r="VSG153" s="135"/>
      <c r="VSH153" s="135"/>
      <c r="VSI153" s="135"/>
      <c r="VSJ153" s="135"/>
      <c r="VSK153" s="173"/>
      <c r="VSL153" s="173"/>
      <c r="VSM153" s="173"/>
      <c r="VSN153" s="173"/>
      <c r="VSO153" s="173"/>
      <c r="VSP153" s="173"/>
      <c r="VSQ153" s="173"/>
      <c r="VSR153" s="173"/>
      <c r="VSS153" s="173"/>
      <c r="VST153" s="173"/>
      <c r="VSU153" s="125"/>
      <c r="VSV153" s="125"/>
      <c r="VSW153" s="134"/>
      <c r="VSX153" s="135"/>
      <c r="VSY153" s="135"/>
      <c r="VSZ153" s="135"/>
      <c r="VTA153" s="135"/>
      <c r="VTB153" s="173"/>
      <c r="VTC153" s="173"/>
      <c r="VTD153" s="173"/>
      <c r="VTE153" s="173"/>
      <c r="VTF153" s="173"/>
      <c r="VTG153" s="173"/>
      <c r="VTH153" s="173"/>
      <c r="VTI153" s="173"/>
      <c r="VTJ153" s="173"/>
      <c r="VTK153" s="173"/>
      <c r="VTL153" s="125"/>
      <c r="VTM153" s="125"/>
      <c r="VTN153" s="134"/>
      <c r="VTO153" s="135"/>
      <c r="VTP153" s="135"/>
      <c r="VTQ153" s="135"/>
      <c r="VTR153" s="135"/>
      <c r="VTS153" s="173"/>
      <c r="VTT153" s="173"/>
      <c r="VTU153" s="173"/>
      <c r="VTV153" s="173"/>
      <c r="VTW153" s="173"/>
      <c r="VTX153" s="173"/>
      <c r="VTY153" s="173"/>
      <c r="VTZ153" s="173"/>
      <c r="VUA153" s="173"/>
      <c r="VUB153" s="173"/>
      <c r="VUC153" s="125"/>
      <c r="VUD153" s="125"/>
      <c r="VUE153" s="134"/>
      <c r="VUF153" s="135"/>
      <c r="VUG153" s="135"/>
      <c r="VUH153" s="135"/>
      <c r="VUI153" s="135"/>
      <c r="VUJ153" s="173"/>
      <c r="VUK153" s="173"/>
      <c r="VUL153" s="173"/>
      <c r="VUM153" s="173"/>
      <c r="VUN153" s="173"/>
      <c r="VUO153" s="173"/>
      <c r="VUP153" s="173"/>
      <c r="VUQ153" s="173"/>
      <c r="VUR153" s="173"/>
      <c r="VUS153" s="173"/>
      <c r="VUT153" s="125"/>
      <c r="VUU153" s="125"/>
      <c r="VUV153" s="134"/>
      <c r="VUW153" s="135"/>
      <c r="VUX153" s="135"/>
      <c r="VUY153" s="135"/>
      <c r="VUZ153" s="135"/>
      <c r="VVA153" s="173"/>
      <c r="VVB153" s="173"/>
      <c r="VVC153" s="173"/>
      <c r="VVD153" s="173"/>
      <c r="VVE153" s="173"/>
      <c r="VVF153" s="173"/>
      <c r="VVG153" s="173"/>
      <c r="VVH153" s="173"/>
      <c r="VVI153" s="173"/>
      <c r="VVJ153" s="173"/>
      <c r="VVK153" s="125"/>
      <c r="VVL153" s="125"/>
      <c r="VVM153" s="134"/>
      <c r="VVN153" s="135"/>
      <c r="VVO153" s="135"/>
      <c r="VVP153" s="135"/>
      <c r="VVQ153" s="135"/>
      <c r="VVR153" s="173"/>
      <c r="VVS153" s="173"/>
      <c r="VVT153" s="173"/>
      <c r="VVU153" s="173"/>
      <c r="VVV153" s="173"/>
      <c r="VVW153" s="173"/>
      <c r="VVX153" s="173"/>
      <c r="VVY153" s="173"/>
      <c r="VVZ153" s="173"/>
      <c r="VWA153" s="173"/>
      <c r="VWB153" s="125"/>
      <c r="VWC153" s="125"/>
      <c r="VWD153" s="134"/>
      <c r="VWE153" s="135"/>
      <c r="VWF153" s="135"/>
      <c r="VWG153" s="135"/>
      <c r="VWH153" s="135"/>
      <c r="VWI153" s="173"/>
      <c r="VWJ153" s="173"/>
      <c r="VWK153" s="173"/>
      <c r="VWL153" s="173"/>
      <c r="VWM153" s="173"/>
      <c r="VWN153" s="173"/>
      <c r="VWO153" s="173"/>
      <c r="VWP153" s="173"/>
      <c r="VWQ153" s="173"/>
      <c r="VWR153" s="173"/>
      <c r="VWS153" s="125"/>
      <c r="VWT153" s="125"/>
      <c r="VWU153" s="134"/>
      <c r="VWV153" s="135"/>
      <c r="VWW153" s="135"/>
      <c r="VWX153" s="135"/>
      <c r="VWY153" s="135"/>
      <c r="VWZ153" s="173"/>
      <c r="VXA153" s="173"/>
      <c r="VXB153" s="173"/>
      <c r="VXC153" s="173"/>
      <c r="VXD153" s="173"/>
      <c r="VXE153" s="173"/>
      <c r="VXF153" s="173"/>
      <c r="VXG153" s="173"/>
      <c r="VXH153" s="173"/>
      <c r="VXI153" s="173"/>
      <c r="VXJ153" s="125"/>
      <c r="VXK153" s="125"/>
      <c r="VXL153" s="134"/>
      <c r="VXM153" s="135"/>
      <c r="VXN153" s="135"/>
      <c r="VXO153" s="135"/>
      <c r="VXP153" s="135"/>
      <c r="VXQ153" s="173"/>
      <c r="VXR153" s="173"/>
      <c r="VXS153" s="173"/>
      <c r="VXT153" s="173"/>
      <c r="VXU153" s="173"/>
      <c r="VXV153" s="173"/>
      <c r="VXW153" s="173"/>
      <c r="VXX153" s="173"/>
      <c r="VXY153" s="173"/>
      <c r="VXZ153" s="173"/>
      <c r="VYA153" s="125"/>
      <c r="VYB153" s="125"/>
      <c r="VYC153" s="134"/>
      <c r="VYD153" s="135"/>
      <c r="VYE153" s="135"/>
      <c r="VYF153" s="135"/>
      <c r="VYG153" s="135"/>
      <c r="VYH153" s="173"/>
      <c r="VYI153" s="173"/>
      <c r="VYJ153" s="173"/>
      <c r="VYK153" s="173"/>
      <c r="VYL153" s="173"/>
      <c r="VYM153" s="173"/>
      <c r="VYN153" s="173"/>
      <c r="VYO153" s="173"/>
      <c r="VYP153" s="173"/>
      <c r="VYQ153" s="173"/>
      <c r="VYR153" s="125"/>
      <c r="VYS153" s="125"/>
      <c r="VYT153" s="134"/>
      <c r="VYU153" s="135"/>
      <c r="VYV153" s="135"/>
      <c r="VYW153" s="135"/>
      <c r="VYX153" s="135"/>
      <c r="VYY153" s="173"/>
      <c r="VYZ153" s="173"/>
      <c r="VZA153" s="173"/>
      <c r="VZB153" s="173"/>
      <c r="VZC153" s="173"/>
      <c r="VZD153" s="173"/>
      <c r="VZE153" s="173"/>
      <c r="VZF153" s="173"/>
      <c r="VZG153" s="173"/>
      <c r="VZH153" s="173"/>
      <c r="VZI153" s="125"/>
      <c r="VZJ153" s="125"/>
      <c r="VZK153" s="134"/>
      <c r="VZL153" s="135"/>
      <c r="VZM153" s="135"/>
      <c r="VZN153" s="135"/>
      <c r="VZO153" s="135"/>
      <c r="VZP153" s="173"/>
      <c r="VZQ153" s="173"/>
      <c r="VZR153" s="173"/>
      <c r="VZS153" s="173"/>
      <c r="VZT153" s="173"/>
      <c r="VZU153" s="173"/>
      <c r="VZV153" s="173"/>
      <c r="VZW153" s="173"/>
      <c r="VZX153" s="173"/>
      <c r="VZY153" s="173"/>
      <c r="VZZ153" s="125"/>
      <c r="WAA153" s="125"/>
      <c r="WAB153" s="134"/>
      <c r="WAC153" s="135"/>
      <c r="WAD153" s="135"/>
      <c r="WAE153" s="135"/>
      <c r="WAF153" s="135"/>
      <c r="WAG153" s="173"/>
      <c r="WAH153" s="173"/>
      <c r="WAI153" s="173"/>
      <c r="WAJ153" s="173"/>
      <c r="WAK153" s="173"/>
      <c r="WAL153" s="173"/>
      <c r="WAM153" s="173"/>
      <c r="WAN153" s="173"/>
      <c r="WAO153" s="173"/>
      <c r="WAP153" s="173"/>
      <c r="WAQ153" s="125"/>
      <c r="WAR153" s="125"/>
      <c r="WAS153" s="134"/>
      <c r="WAT153" s="135"/>
      <c r="WAU153" s="135"/>
      <c r="WAV153" s="135"/>
      <c r="WAW153" s="135"/>
      <c r="WAX153" s="173"/>
      <c r="WAY153" s="173"/>
      <c r="WAZ153" s="173"/>
      <c r="WBA153" s="173"/>
      <c r="WBB153" s="173"/>
      <c r="WBC153" s="173"/>
      <c r="WBD153" s="173"/>
      <c r="WBE153" s="173"/>
      <c r="WBF153" s="173"/>
      <c r="WBG153" s="173"/>
      <c r="WBH153" s="125"/>
      <c r="WBI153" s="125"/>
      <c r="WBJ153" s="134"/>
      <c r="WBK153" s="135"/>
      <c r="WBL153" s="135"/>
      <c r="WBM153" s="135"/>
      <c r="WBN153" s="135"/>
      <c r="WBO153" s="173"/>
      <c r="WBP153" s="173"/>
      <c r="WBQ153" s="173"/>
      <c r="WBR153" s="173"/>
      <c r="WBS153" s="173"/>
      <c r="WBT153" s="173"/>
      <c r="WBU153" s="173"/>
      <c r="WBV153" s="173"/>
      <c r="WBW153" s="173"/>
      <c r="WBX153" s="173"/>
      <c r="WBY153" s="125"/>
      <c r="WBZ153" s="125"/>
      <c r="WCA153" s="134"/>
      <c r="WCB153" s="135"/>
      <c r="WCC153" s="135"/>
      <c r="WCD153" s="135"/>
      <c r="WCE153" s="135"/>
      <c r="WCF153" s="173"/>
      <c r="WCG153" s="173"/>
      <c r="WCH153" s="173"/>
      <c r="WCI153" s="173"/>
      <c r="WCJ153" s="173"/>
      <c r="WCK153" s="173"/>
      <c r="WCL153" s="173"/>
      <c r="WCM153" s="173"/>
      <c r="WCN153" s="173"/>
      <c r="WCO153" s="173"/>
      <c r="WCP153" s="125"/>
      <c r="WCQ153" s="125"/>
      <c r="WCR153" s="134"/>
      <c r="WCS153" s="135"/>
      <c r="WCT153" s="135"/>
      <c r="WCU153" s="135"/>
      <c r="WCV153" s="135"/>
      <c r="WCW153" s="173"/>
      <c r="WCX153" s="173"/>
      <c r="WCY153" s="173"/>
      <c r="WCZ153" s="173"/>
      <c r="WDA153" s="173"/>
      <c r="WDB153" s="173"/>
      <c r="WDC153" s="173"/>
      <c r="WDD153" s="173"/>
      <c r="WDE153" s="173"/>
      <c r="WDF153" s="173"/>
      <c r="WDG153" s="125"/>
      <c r="WDH153" s="125"/>
      <c r="WDI153" s="134"/>
      <c r="WDJ153" s="135"/>
      <c r="WDK153" s="135"/>
      <c r="WDL153" s="135"/>
      <c r="WDM153" s="135"/>
      <c r="WDN153" s="173"/>
      <c r="WDO153" s="173"/>
      <c r="WDP153" s="173"/>
      <c r="WDQ153" s="173"/>
      <c r="WDR153" s="173"/>
      <c r="WDS153" s="173"/>
      <c r="WDT153" s="173"/>
      <c r="WDU153" s="173"/>
      <c r="WDV153" s="173"/>
      <c r="WDW153" s="173"/>
      <c r="WDX153" s="125"/>
      <c r="WDY153" s="125"/>
      <c r="WDZ153" s="134"/>
      <c r="WEA153" s="135"/>
      <c r="WEB153" s="135"/>
      <c r="WEC153" s="135"/>
      <c r="WED153" s="135"/>
      <c r="WEE153" s="173"/>
      <c r="WEF153" s="173"/>
      <c r="WEG153" s="173"/>
      <c r="WEH153" s="173"/>
      <c r="WEI153" s="173"/>
      <c r="WEJ153" s="173"/>
      <c r="WEK153" s="173"/>
      <c r="WEL153" s="173"/>
      <c r="WEM153" s="173"/>
      <c r="WEN153" s="173"/>
      <c r="WEO153" s="125"/>
      <c r="WEP153" s="125"/>
      <c r="WEQ153" s="134"/>
      <c r="WER153" s="135"/>
      <c r="WES153" s="135"/>
      <c r="WET153" s="135"/>
      <c r="WEU153" s="135"/>
      <c r="WEV153" s="173"/>
      <c r="WEW153" s="173"/>
      <c r="WEX153" s="173"/>
      <c r="WEY153" s="173"/>
      <c r="WEZ153" s="173"/>
      <c r="WFA153" s="173"/>
      <c r="WFB153" s="173"/>
      <c r="WFC153" s="173"/>
      <c r="WFD153" s="173"/>
      <c r="WFE153" s="173"/>
      <c r="WFF153" s="125"/>
      <c r="WFG153" s="125"/>
      <c r="WFH153" s="134"/>
      <c r="WFI153" s="135"/>
      <c r="WFJ153" s="135"/>
      <c r="WFK153" s="135"/>
      <c r="WFL153" s="135"/>
      <c r="WFM153" s="173"/>
      <c r="WFN153" s="173"/>
      <c r="WFO153" s="173"/>
      <c r="WFP153" s="173"/>
      <c r="WFQ153" s="173"/>
      <c r="WFR153" s="173"/>
      <c r="WFS153" s="173"/>
      <c r="WFT153" s="173"/>
      <c r="WFU153" s="173"/>
      <c r="WFV153" s="173"/>
      <c r="WFW153" s="125"/>
      <c r="WFX153" s="125"/>
      <c r="WFY153" s="134"/>
      <c r="WFZ153" s="135"/>
      <c r="WGA153" s="135"/>
      <c r="WGB153" s="135"/>
      <c r="WGC153" s="135"/>
      <c r="WGD153" s="173"/>
      <c r="WGE153" s="173"/>
      <c r="WGF153" s="173"/>
      <c r="WGG153" s="173"/>
      <c r="WGH153" s="173"/>
      <c r="WGI153" s="173"/>
      <c r="WGJ153" s="173"/>
      <c r="WGK153" s="173"/>
      <c r="WGL153" s="173"/>
      <c r="WGM153" s="173"/>
      <c r="WGN153" s="125"/>
      <c r="WGO153" s="125"/>
      <c r="WGP153" s="134"/>
      <c r="WGQ153" s="135"/>
      <c r="WGR153" s="135"/>
      <c r="WGS153" s="135"/>
      <c r="WGT153" s="135"/>
      <c r="WGU153" s="173"/>
      <c r="WGV153" s="173"/>
      <c r="WGW153" s="173"/>
      <c r="WGX153" s="173"/>
      <c r="WGY153" s="173"/>
      <c r="WGZ153" s="173"/>
      <c r="WHA153" s="173"/>
      <c r="WHB153" s="173"/>
      <c r="WHC153" s="173"/>
      <c r="WHD153" s="173"/>
      <c r="WHE153" s="125"/>
      <c r="WHF153" s="125"/>
      <c r="WHG153" s="134"/>
      <c r="WHH153" s="135"/>
      <c r="WHI153" s="135"/>
      <c r="WHJ153" s="135"/>
      <c r="WHK153" s="135"/>
      <c r="WHL153" s="173"/>
      <c r="WHM153" s="173"/>
      <c r="WHN153" s="173"/>
      <c r="WHO153" s="173"/>
      <c r="WHP153" s="173"/>
      <c r="WHQ153" s="173"/>
      <c r="WHR153" s="173"/>
      <c r="WHS153" s="173"/>
      <c r="WHT153" s="173"/>
      <c r="WHU153" s="173"/>
      <c r="WHV153" s="125"/>
      <c r="WHW153" s="125"/>
      <c r="WHX153" s="134"/>
      <c r="WHY153" s="135"/>
      <c r="WHZ153" s="135"/>
      <c r="WIA153" s="135"/>
      <c r="WIB153" s="135"/>
      <c r="WIC153" s="173"/>
      <c r="WID153" s="173"/>
      <c r="WIE153" s="173"/>
      <c r="WIF153" s="173"/>
      <c r="WIG153" s="173"/>
      <c r="WIH153" s="173"/>
      <c r="WII153" s="173"/>
      <c r="WIJ153" s="173"/>
      <c r="WIK153" s="173"/>
      <c r="WIL153" s="173"/>
      <c r="WIM153" s="125"/>
      <c r="WIN153" s="125"/>
      <c r="WIO153" s="134"/>
      <c r="WIP153" s="135"/>
      <c r="WIQ153" s="135"/>
      <c r="WIR153" s="135"/>
      <c r="WIS153" s="135"/>
      <c r="WIT153" s="173"/>
      <c r="WIU153" s="173"/>
      <c r="WIV153" s="173"/>
      <c r="WIW153" s="173"/>
      <c r="WIX153" s="173"/>
      <c r="WIY153" s="173"/>
      <c r="WIZ153" s="173"/>
      <c r="WJA153" s="173"/>
      <c r="WJB153" s="173"/>
      <c r="WJC153" s="173"/>
      <c r="WJD153" s="125"/>
      <c r="WJE153" s="125"/>
      <c r="WJF153" s="134"/>
      <c r="WJG153" s="135"/>
      <c r="WJH153" s="135"/>
      <c r="WJI153" s="135"/>
      <c r="WJJ153" s="135"/>
      <c r="WJK153" s="173"/>
      <c r="WJL153" s="173"/>
      <c r="WJM153" s="173"/>
      <c r="WJN153" s="173"/>
      <c r="WJO153" s="173"/>
      <c r="WJP153" s="173"/>
      <c r="WJQ153" s="173"/>
      <c r="WJR153" s="173"/>
      <c r="WJS153" s="173"/>
      <c r="WJT153" s="173"/>
      <c r="WJU153" s="125"/>
      <c r="WJV153" s="125"/>
      <c r="WJW153" s="134"/>
      <c r="WJX153" s="135"/>
      <c r="WJY153" s="135"/>
      <c r="WJZ153" s="135"/>
      <c r="WKA153" s="135"/>
      <c r="WKB153" s="173"/>
      <c r="WKC153" s="173"/>
      <c r="WKD153" s="173"/>
      <c r="WKE153" s="173"/>
      <c r="WKF153" s="173"/>
      <c r="WKG153" s="173"/>
      <c r="WKH153" s="173"/>
      <c r="WKI153" s="173"/>
      <c r="WKJ153" s="173"/>
      <c r="WKK153" s="173"/>
      <c r="WKL153" s="125"/>
      <c r="WKM153" s="125"/>
      <c r="WKN153" s="134"/>
      <c r="WKO153" s="135"/>
      <c r="WKP153" s="135"/>
      <c r="WKQ153" s="135"/>
      <c r="WKR153" s="135"/>
      <c r="WKS153" s="173"/>
      <c r="WKT153" s="173"/>
      <c r="WKU153" s="173"/>
      <c r="WKV153" s="173"/>
      <c r="WKW153" s="173"/>
      <c r="WKX153" s="173"/>
      <c r="WKY153" s="173"/>
      <c r="WKZ153" s="173"/>
      <c r="WLA153" s="173"/>
      <c r="WLB153" s="173"/>
      <c r="WLC153" s="125"/>
      <c r="WLD153" s="125"/>
      <c r="WLE153" s="134"/>
      <c r="WLF153" s="135"/>
      <c r="WLG153" s="135"/>
      <c r="WLH153" s="135"/>
      <c r="WLI153" s="135"/>
      <c r="WLJ153" s="173"/>
      <c r="WLK153" s="173"/>
      <c r="WLL153" s="173"/>
      <c r="WLM153" s="173"/>
      <c r="WLN153" s="173"/>
      <c r="WLO153" s="173"/>
      <c r="WLP153" s="173"/>
      <c r="WLQ153" s="173"/>
      <c r="WLR153" s="173"/>
      <c r="WLS153" s="173"/>
      <c r="WLT153" s="125"/>
      <c r="WLU153" s="125"/>
      <c r="WLV153" s="134"/>
      <c r="WLW153" s="135"/>
      <c r="WLX153" s="135"/>
      <c r="WLY153" s="135"/>
      <c r="WLZ153" s="135"/>
      <c r="WMA153" s="173"/>
      <c r="WMB153" s="173"/>
      <c r="WMC153" s="173"/>
      <c r="WMD153" s="173"/>
      <c r="WME153" s="173"/>
      <c r="WMF153" s="173"/>
      <c r="WMG153" s="173"/>
      <c r="WMH153" s="173"/>
      <c r="WMI153" s="173"/>
      <c r="WMJ153" s="173"/>
      <c r="WMK153" s="125"/>
      <c r="WML153" s="125"/>
      <c r="WMM153" s="134"/>
      <c r="WMN153" s="135"/>
      <c r="WMO153" s="135"/>
      <c r="WMP153" s="135"/>
      <c r="WMQ153" s="135"/>
      <c r="WMR153" s="173"/>
      <c r="WMS153" s="173"/>
      <c r="WMT153" s="173"/>
      <c r="WMU153" s="173"/>
      <c r="WMV153" s="173"/>
      <c r="WMW153" s="173"/>
      <c r="WMX153" s="173"/>
      <c r="WMY153" s="173"/>
      <c r="WMZ153" s="173"/>
      <c r="WNA153" s="173"/>
      <c r="WNB153" s="125"/>
      <c r="WNC153" s="125"/>
      <c r="WND153" s="134"/>
      <c r="WNE153" s="135"/>
      <c r="WNF153" s="135"/>
      <c r="WNG153" s="135"/>
      <c r="WNH153" s="135"/>
      <c r="WNI153" s="173"/>
      <c r="WNJ153" s="173"/>
      <c r="WNK153" s="173"/>
      <c r="WNL153" s="173"/>
      <c r="WNM153" s="173"/>
      <c r="WNN153" s="173"/>
      <c r="WNO153" s="173"/>
      <c r="WNP153" s="173"/>
      <c r="WNQ153" s="173"/>
      <c r="WNR153" s="173"/>
      <c r="WNS153" s="125"/>
      <c r="WNT153" s="125"/>
      <c r="WNU153" s="134"/>
      <c r="WNV153" s="135"/>
      <c r="WNW153" s="135"/>
      <c r="WNX153" s="135"/>
      <c r="WNY153" s="135"/>
      <c r="WNZ153" s="173"/>
      <c r="WOA153" s="173"/>
      <c r="WOB153" s="173"/>
      <c r="WOC153" s="173"/>
      <c r="WOD153" s="173"/>
      <c r="WOE153" s="173"/>
      <c r="WOF153" s="173"/>
      <c r="WOG153" s="173"/>
      <c r="WOH153" s="173"/>
      <c r="WOI153" s="173"/>
      <c r="WOJ153" s="125"/>
      <c r="WOK153" s="125"/>
      <c r="WOL153" s="134"/>
      <c r="WOM153" s="135"/>
      <c r="WON153" s="135"/>
      <c r="WOO153" s="135"/>
      <c r="WOP153" s="135"/>
      <c r="WOQ153" s="173"/>
      <c r="WOR153" s="173"/>
      <c r="WOS153" s="173"/>
      <c r="WOT153" s="173"/>
      <c r="WOU153" s="173"/>
      <c r="WOV153" s="173"/>
      <c r="WOW153" s="173"/>
      <c r="WOX153" s="173"/>
      <c r="WOY153" s="173"/>
      <c r="WOZ153" s="173"/>
      <c r="WPA153" s="125"/>
      <c r="WPB153" s="125"/>
      <c r="WPC153" s="134"/>
      <c r="WPD153" s="135"/>
      <c r="WPE153" s="135"/>
      <c r="WPF153" s="135"/>
      <c r="WPG153" s="135"/>
      <c r="WPH153" s="173"/>
      <c r="WPI153" s="173"/>
      <c r="WPJ153" s="173"/>
      <c r="WPK153" s="173"/>
      <c r="WPL153" s="173"/>
      <c r="WPM153" s="173"/>
      <c r="WPN153" s="173"/>
      <c r="WPO153" s="173"/>
      <c r="WPP153" s="173"/>
      <c r="WPQ153" s="173"/>
      <c r="WPR153" s="125"/>
      <c r="WPS153" s="125"/>
      <c r="WPT153" s="134"/>
      <c r="WPU153" s="135"/>
      <c r="WPV153" s="135"/>
      <c r="WPW153" s="135"/>
      <c r="WPX153" s="135"/>
      <c r="WPY153" s="173"/>
      <c r="WPZ153" s="173"/>
      <c r="WQA153" s="173"/>
      <c r="WQB153" s="173"/>
      <c r="WQC153" s="173"/>
      <c r="WQD153" s="173"/>
      <c r="WQE153" s="173"/>
      <c r="WQF153" s="173"/>
      <c r="WQG153" s="173"/>
      <c r="WQH153" s="173"/>
      <c r="WQI153" s="125"/>
      <c r="WQJ153" s="125"/>
      <c r="WQK153" s="134"/>
      <c r="WQL153" s="135"/>
      <c r="WQM153" s="135"/>
      <c r="WQN153" s="135"/>
      <c r="WQO153" s="135"/>
      <c r="WQP153" s="173"/>
      <c r="WQQ153" s="173"/>
      <c r="WQR153" s="173"/>
      <c r="WQS153" s="173"/>
      <c r="WQT153" s="173"/>
      <c r="WQU153" s="173"/>
      <c r="WQV153" s="173"/>
      <c r="WQW153" s="173"/>
      <c r="WQX153" s="173"/>
      <c r="WQY153" s="173"/>
      <c r="WQZ153" s="125"/>
      <c r="WRA153" s="125"/>
      <c r="WRB153" s="134"/>
      <c r="WRC153" s="135"/>
      <c r="WRD153" s="135"/>
      <c r="WRE153" s="135"/>
      <c r="WRF153" s="135"/>
      <c r="WRG153" s="173"/>
      <c r="WRH153" s="173"/>
      <c r="WRI153" s="173"/>
      <c r="WRJ153" s="173"/>
      <c r="WRK153" s="173"/>
      <c r="WRL153" s="173"/>
      <c r="WRM153" s="173"/>
      <c r="WRN153" s="173"/>
      <c r="WRO153" s="173"/>
      <c r="WRP153" s="173"/>
      <c r="WRQ153" s="125"/>
      <c r="WRR153" s="125"/>
      <c r="WRS153" s="134"/>
      <c r="WRT153" s="135"/>
      <c r="WRU153" s="135"/>
      <c r="WRV153" s="135"/>
      <c r="WRW153" s="135"/>
      <c r="WRX153" s="173"/>
      <c r="WRY153" s="173"/>
      <c r="WRZ153" s="173"/>
      <c r="WSA153" s="173"/>
      <c r="WSB153" s="173"/>
      <c r="WSC153" s="173"/>
      <c r="WSD153" s="173"/>
      <c r="WSE153" s="173"/>
      <c r="WSF153" s="173"/>
      <c r="WSG153" s="173"/>
      <c r="WSH153" s="125"/>
      <c r="WSI153" s="125"/>
      <c r="WSJ153" s="134"/>
      <c r="WSK153" s="135"/>
      <c r="WSL153" s="135"/>
      <c r="WSM153" s="135"/>
      <c r="WSN153" s="135"/>
      <c r="WSO153" s="173"/>
      <c r="WSP153" s="173"/>
      <c r="WSQ153" s="173"/>
      <c r="WSR153" s="173"/>
      <c r="WSS153" s="173"/>
      <c r="WST153" s="173"/>
      <c r="WSU153" s="173"/>
      <c r="WSV153" s="173"/>
      <c r="WSW153" s="173"/>
      <c r="WSX153" s="173"/>
      <c r="WSY153" s="125"/>
      <c r="WSZ153" s="125"/>
      <c r="WTA153" s="134"/>
      <c r="WTB153" s="135"/>
      <c r="WTC153" s="135"/>
      <c r="WTD153" s="135"/>
      <c r="WTE153" s="135"/>
      <c r="WTF153" s="173"/>
      <c r="WTG153" s="173"/>
      <c r="WTH153" s="173"/>
      <c r="WTI153" s="173"/>
      <c r="WTJ153" s="173"/>
      <c r="WTK153" s="173"/>
      <c r="WTL153" s="173"/>
      <c r="WTM153" s="173"/>
      <c r="WTN153" s="173"/>
      <c r="WTO153" s="173"/>
      <c r="WTP153" s="125"/>
      <c r="WTQ153" s="125"/>
      <c r="WTR153" s="134"/>
      <c r="WTS153" s="135"/>
      <c r="WTT153" s="135"/>
      <c r="WTU153" s="135"/>
      <c r="WTV153" s="135"/>
      <c r="WTW153" s="173"/>
      <c r="WTX153" s="173"/>
      <c r="WTY153" s="173"/>
      <c r="WTZ153" s="173"/>
      <c r="WUA153" s="173"/>
      <c r="WUB153" s="173"/>
      <c r="WUC153" s="173"/>
      <c r="WUD153" s="173"/>
      <c r="WUE153" s="173"/>
      <c r="WUF153" s="173"/>
      <c r="WUG153" s="125"/>
      <c r="WUH153" s="125"/>
      <c r="WUI153" s="134"/>
      <c r="WUJ153" s="135"/>
      <c r="WUK153" s="135"/>
      <c r="WUL153" s="135"/>
      <c r="WUM153" s="135"/>
      <c r="WUN153" s="173"/>
      <c r="WUO153" s="173"/>
      <c r="WUP153" s="173"/>
      <c r="WUQ153" s="173"/>
      <c r="WUR153" s="173"/>
      <c r="WUS153" s="173"/>
      <c r="WUT153" s="173"/>
      <c r="WUU153" s="173"/>
      <c r="WUV153" s="173"/>
      <c r="WUW153" s="173"/>
      <c r="WUX153" s="125"/>
      <c r="WUY153" s="125"/>
      <c r="WUZ153" s="134"/>
      <c r="WVA153" s="135"/>
      <c r="WVB153" s="135"/>
      <c r="WVC153" s="135"/>
      <c r="WVD153" s="135"/>
      <c r="WVE153" s="173"/>
      <c r="WVF153" s="173"/>
      <c r="WVG153" s="173"/>
      <c r="WVH153" s="173"/>
      <c r="WVI153" s="173"/>
      <c r="WVJ153" s="173"/>
      <c r="WVK153" s="173"/>
      <c r="WVL153" s="173"/>
      <c r="WVM153" s="173"/>
      <c r="WVN153" s="173"/>
      <c r="WVO153" s="125"/>
      <c r="WVP153" s="125"/>
      <c r="WVQ153" s="134"/>
      <c r="WVR153" s="135"/>
      <c r="WVS153" s="135"/>
      <c r="WVT153" s="135"/>
      <c r="WVU153" s="135"/>
      <c r="WVV153" s="173"/>
      <c r="WVW153" s="173"/>
      <c r="WVX153" s="173"/>
      <c r="WVY153" s="173"/>
      <c r="WVZ153" s="173"/>
      <c r="WWA153" s="173"/>
      <c r="WWB153" s="173"/>
      <c r="WWC153" s="173"/>
      <c r="WWD153" s="173"/>
      <c r="WWE153" s="173"/>
      <c r="WWF153" s="125"/>
      <c r="WWG153" s="125"/>
      <c r="WWH153" s="134"/>
      <c r="WWI153" s="135"/>
      <c r="WWJ153" s="135"/>
      <c r="WWK153" s="135"/>
      <c r="WWL153" s="135"/>
      <c r="WWM153" s="173"/>
      <c r="WWN153" s="173"/>
      <c r="WWO153" s="173"/>
      <c r="WWP153" s="173"/>
      <c r="WWQ153" s="173"/>
      <c r="WWR153" s="173"/>
      <c r="WWS153" s="173"/>
      <c r="WWT153" s="173"/>
      <c r="WWU153" s="173"/>
      <c r="WWV153" s="173"/>
      <c r="WWW153" s="125"/>
      <c r="WWX153" s="125"/>
      <c r="WWY153" s="134"/>
      <c r="WWZ153" s="135"/>
      <c r="WXA153" s="135"/>
      <c r="WXB153" s="135"/>
      <c r="WXC153" s="135"/>
      <c r="WXD153" s="173"/>
      <c r="WXE153" s="173"/>
      <c r="WXF153" s="173"/>
      <c r="WXG153" s="173"/>
      <c r="WXH153" s="173"/>
      <c r="WXI153" s="173"/>
      <c r="WXJ153" s="173"/>
      <c r="WXK153" s="173"/>
      <c r="WXL153" s="173"/>
      <c r="WXM153" s="173"/>
      <c r="WXN153" s="125"/>
      <c r="WXO153" s="125"/>
      <c r="WXP153" s="134"/>
      <c r="WXQ153" s="135"/>
      <c r="WXR153" s="135"/>
      <c r="WXS153" s="135"/>
      <c r="WXT153" s="135"/>
      <c r="WXU153" s="173"/>
      <c r="WXV153" s="173"/>
      <c r="WXW153" s="173"/>
      <c r="WXX153" s="173"/>
      <c r="WXY153" s="173"/>
      <c r="WXZ153" s="173"/>
      <c r="WYA153" s="173"/>
      <c r="WYB153" s="173"/>
      <c r="WYC153" s="173"/>
      <c r="WYD153" s="173"/>
      <c r="WYE153" s="125"/>
      <c r="WYF153" s="125"/>
      <c r="WYG153" s="134"/>
      <c r="WYH153" s="135"/>
      <c r="WYI153" s="135"/>
      <c r="WYJ153" s="135"/>
      <c r="WYK153" s="135"/>
      <c r="WYL153" s="173"/>
      <c r="WYM153" s="173"/>
      <c r="WYN153" s="173"/>
      <c r="WYO153" s="173"/>
      <c r="WYP153" s="173"/>
      <c r="WYQ153" s="173"/>
      <c r="WYR153" s="173"/>
      <c r="WYS153" s="173"/>
      <c r="WYT153" s="173"/>
      <c r="WYU153" s="173"/>
      <c r="WYV153" s="125"/>
      <c r="WYW153" s="125"/>
      <c r="WYX153" s="134"/>
      <c r="WYY153" s="135"/>
      <c r="WYZ153" s="135"/>
      <c r="WZA153" s="135"/>
      <c r="WZB153" s="135"/>
      <c r="WZC153" s="173"/>
      <c r="WZD153" s="173"/>
      <c r="WZE153" s="173"/>
      <c r="WZF153" s="173"/>
      <c r="WZG153" s="173"/>
      <c r="WZH153" s="173"/>
      <c r="WZI153" s="173"/>
      <c r="WZJ153" s="173"/>
      <c r="WZK153" s="173"/>
      <c r="WZL153" s="173"/>
      <c r="WZM153" s="125"/>
      <c r="WZN153" s="125"/>
      <c r="WZO153" s="134"/>
      <c r="WZP153" s="135"/>
      <c r="WZQ153" s="135"/>
      <c r="WZR153" s="135"/>
      <c r="WZS153" s="135"/>
      <c r="WZT153" s="173"/>
      <c r="WZU153" s="173"/>
      <c r="WZV153" s="173"/>
      <c r="WZW153" s="173"/>
      <c r="WZX153" s="173"/>
      <c r="WZY153" s="173"/>
      <c r="WZZ153" s="173"/>
      <c r="XAA153" s="173"/>
      <c r="XAB153" s="173"/>
      <c r="XAC153" s="173"/>
      <c r="XAD153" s="125"/>
      <c r="XAE153" s="125"/>
      <c r="XAF153" s="134"/>
      <c r="XAG153" s="135"/>
      <c r="XAH153" s="135"/>
      <c r="XAI153" s="135"/>
      <c r="XAJ153" s="135"/>
      <c r="XAK153" s="173"/>
      <c r="XAL153" s="173"/>
      <c r="XAM153" s="173"/>
      <c r="XAN153" s="173"/>
      <c r="XAO153" s="173"/>
      <c r="XAP153" s="173"/>
      <c r="XAQ153" s="173"/>
      <c r="XAR153" s="173"/>
      <c r="XAS153" s="173"/>
      <c r="XAT153" s="173"/>
      <c r="XAU153" s="125"/>
      <c r="XAV153" s="125"/>
      <c r="XAW153" s="134"/>
      <c r="XAX153" s="135"/>
      <c r="XAY153" s="135"/>
      <c r="XAZ153" s="135"/>
      <c r="XBA153" s="135"/>
      <c r="XBB153" s="173"/>
      <c r="XBC153" s="173"/>
      <c r="XBD153" s="173"/>
      <c r="XBE153" s="173"/>
      <c r="XBF153" s="173"/>
      <c r="XBG153" s="173"/>
      <c r="XBH153" s="173"/>
      <c r="XBI153" s="173"/>
      <c r="XBJ153" s="173"/>
      <c r="XBK153" s="173"/>
      <c r="XBL153" s="125"/>
      <c r="XBM153" s="125"/>
      <c r="XBN153" s="134"/>
      <c r="XBO153" s="135"/>
      <c r="XBP153" s="135"/>
      <c r="XBQ153" s="135"/>
      <c r="XBR153" s="135"/>
      <c r="XBS153" s="173"/>
      <c r="XBT153" s="173"/>
      <c r="XBU153" s="173"/>
      <c r="XBV153" s="173"/>
      <c r="XBW153" s="173"/>
      <c r="XBX153" s="173"/>
      <c r="XBY153" s="173"/>
      <c r="XBZ153" s="173"/>
      <c r="XCA153" s="173"/>
      <c r="XCB153" s="173"/>
      <c r="XCC153" s="125"/>
      <c r="XCD153" s="125"/>
      <c r="XCE153" s="134"/>
      <c r="XCF153" s="135"/>
      <c r="XCG153" s="135"/>
      <c r="XCH153" s="135"/>
      <c r="XCI153" s="135"/>
      <c r="XCJ153" s="173"/>
      <c r="XCK153" s="173"/>
      <c r="XCL153" s="173"/>
      <c r="XCM153" s="173"/>
      <c r="XCN153" s="173"/>
      <c r="XCO153" s="173"/>
      <c r="XCP153" s="173"/>
      <c r="XCQ153" s="173"/>
      <c r="XCR153" s="173"/>
      <c r="XCS153" s="173"/>
      <c r="XCT153" s="125"/>
      <c r="XCU153" s="125"/>
      <c r="XCV153" s="134"/>
      <c r="XCW153" s="135"/>
      <c r="XCX153" s="135"/>
      <c r="XCY153" s="135"/>
      <c r="XCZ153" s="135"/>
      <c r="XDA153" s="173"/>
      <c r="XDB153" s="173"/>
      <c r="XDC153" s="173"/>
      <c r="XDD153" s="173"/>
      <c r="XDE153" s="173"/>
      <c r="XDF153" s="173"/>
      <c r="XDG153" s="173"/>
      <c r="XDH153" s="173"/>
      <c r="XDI153" s="173"/>
      <c r="XDJ153" s="173"/>
      <c r="XDK153" s="125"/>
      <c r="XDL153" s="125"/>
      <c r="XDM153" s="134"/>
      <c r="XDN153" s="135"/>
      <c r="XDO153" s="135"/>
      <c r="XDP153" s="135"/>
      <c r="XDQ153" s="135"/>
      <c r="XDR153" s="173"/>
      <c r="XDS153" s="173"/>
      <c r="XDT153" s="173"/>
      <c r="XDU153" s="173"/>
      <c r="XDV153" s="173"/>
      <c r="XDW153" s="173"/>
      <c r="XDX153" s="173"/>
      <c r="XDY153" s="173"/>
      <c r="XDZ153" s="173"/>
      <c r="XEA153" s="173"/>
      <c r="XEB153" s="125"/>
      <c r="XEC153" s="125"/>
      <c r="XED153" s="134"/>
      <c r="XEE153" s="135"/>
      <c r="XEF153" s="135"/>
      <c r="XEG153" s="135"/>
      <c r="XEH153" s="135"/>
      <c r="XEI153" s="173"/>
      <c r="XEJ153" s="173"/>
      <c r="XEK153" s="173"/>
      <c r="XEL153" s="173"/>
      <c r="XEM153" s="173"/>
      <c r="XEN153" s="173"/>
      <c r="XEO153" s="173"/>
      <c r="XEP153" s="173"/>
      <c r="XEQ153" s="173"/>
      <c r="XER153" s="173"/>
      <c r="XES153" s="125"/>
      <c r="XET153" s="125"/>
      <c r="XEU153" s="134"/>
      <c r="XEV153" s="135"/>
      <c r="XEW153" s="135"/>
      <c r="XEX153" s="135"/>
      <c r="XEY153" s="135"/>
      <c r="XEZ153" s="173"/>
      <c r="XFA153" s="173"/>
      <c r="XFB153" s="173"/>
    </row>
    <row r="154" spans="1:16382" customFormat="1" hidden="1">
      <c r="A154" s="1"/>
      <c r="B154" s="6"/>
      <c r="C154" s="164" t="s">
        <v>184</v>
      </c>
      <c r="D154" s="1"/>
      <c r="E154" s="1"/>
      <c r="F154" s="1"/>
      <c r="G154" s="164" t="s">
        <v>176</v>
      </c>
      <c r="H154" s="165"/>
      <c r="I154" s="165"/>
      <c r="J154" s="170" t="e">
        <f t="shared" ref="J154:R154" si="103">J153/I153-1</f>
        <v>#DIV/0!</v>
      </c>
      <c r="K154" s="170" t="e">
        <f t="shared" si="103"/>
        <v>#DIV/0!</v>
      </c>
      <c r="L154" s="170" t="e">
        <f t="shared" si="103"/>
        <v>#DIV/0!</v>
      </c>
      <c r="M154" s="170" t="e">
        <f t="shared" si="103"/>
        <v>#DIV/0!</v>
      </c>
      <c r="N154" s="170" t="e">
        <f t="shared" si="103"/>
        <v>#DIV/0!</v>
      </c>
      <c r="O154" s="170" t="e">
        <f t="shared" si="103"/>
        <v>#DIV/0!</v>
      </c>
      <c r="P154" s="170" t="e">
        <f t="shared" si="103"/>
        <v>#DIV/0!</v>
      </c>
      <c r="Q154" s="170" t="e">
        <f t="shared" si="103"/>
        <v>#DIV/0!</v>
      </c>
      <c r="R154" s="170" t="e">
        <f t="shared" si="103"/>
        <v>#DIV/0!</v>
      </c>
      <c r="S154" s="1"/>
      <c r="T154" s="1"/>
      <c r="U154" s="1"/>
      <c r="V154" s="1"/>
      <c r="W154" s="1"/>
      <c r="X154" s="1"/>
      <c r="Y154" s="1"/>
      <c r="Z154" s="1"/>
      <c r="AA154" s="1"/>
      <c r="AB154" s="1"/>
      <c r="AC154" s="1"/>
    </row>
    <row r="155" spans="1:16382" customFormat="1" hidden="1">
      <c r="A155" s="4" t="str">
        <f>'[7]Input sheet'!A65</f>
        <v>Turkey</v>
      </c>
      <c r="B155" s="129" t="str">
        <f>'[7]Input sheet'!B65</f>
        <v>Employment</v>
      </c>
      <c r="C155" s="4" t="str">
        <f>'[7]Input sheet'!C65</f>
        <v>Direct Tourism Employment as a Percentage of Total Employment</v>
      </c>
      <c r="D155" s="2" t="str">
        <f>'[7]Input sheet'!D65</f>
        <v>Accommodation</v>
      </c>
      <c r="E155" s="1"/>
      <c r="F155" s="1"/>
      <c r="G155" s="1" t="str">
        <f>'[7]Input sheet'!G65</f>
        <v>%</v>
      </c>
      <c r="H155" s="187" t="e">
        <f>H131/H$508</f>
        <v>#DIV/0!</v>
      </c>
      <c r="I155" s="187" t="e">
        <f>I131/I$508</f>
        <v>#DIV/0!</v>
      </c>
      <c r="J155" s="187" t="e">
        <f t="shared" ref="J155:R167" si="104">J131/J$508</f>
        <v>#DIV/0!</v>
      </c>
      <c r="K155" s="187" t="e">
        <f t="shared" si="104"/>
        <v>#DIV/0!</v>
      </c>
      <c r="L155" s="187" t="e">
        <f t="shared" si="104"/>
        <v>#DIV/0!</v>
      </c>
      <c r="M155" s="187" t="e">
        <f t="shared" si="104"/>
        <v>#DIV/0!</v>
      </c>
      <c r="N155" s="188" t="e">
        <f t="shared" si="104"/>
        <v>#DIV/0!</v>
      </c>
      <c r="O155" s="188" t="e">
        <f t="shared" si="104"/>
        <v>#DIV/0!</v>
      </c>
      <c r="P155" s="188" t="e">
        <f t="shared" si="104"/>
        <v>#DIV/0!</v>
      </c>
      <c r="Q155" s="188" t="e">
        <f t="shared" si="104"/>
        <v>#DIV/0!</v>
      </c>
      <c r="R155" s="189" t="e">
        <f t="shared" si="104"/>
        <v>#DIV/0!</v>
      </c>
      <c r="S155" s="1"/>
      <c r="T155" s="1" t="str">
        <f>'[7]Input sheet'!S65</f>
        <v>New</v>
      </c>
      <c r="U155" s="1" t="str">
        <f>'[7]Input sheet'!T65</f>
        <v>Divided the direct tourism employment number by total non-farm employment</v>
      </c>
      <c r="V155" s="1">
        <f>'[7]Input sheet'!U65</f>
        <v>0</v>
      </c>
      <c r="W155" s="1" t="e">
        <f>'[7]Input sheet'!W65</f>
        <v>#REF!</v>
      </c>
      <c r="X155" s="1" t="e">
        <f>'[7]Input sheet'!X65</f>
        <v>#REF!</v>
      </c>
    </row>
    <row r="156" spans="1:16382" customFormat="1" hidden="1">
      <c r="A156" s="1"/>
      <c r="B156" s="6"/>
      <c r="C156" s="164" t="s">
        <v>184</v>
      </c>
      <c r="D156" s="1"/>
      <c r="E156" s="1"/>
      <c r="F156" s="1"/>
      <c r="G156" s="164" t="s">
        <v>176</v>
      </c>
      <c r="H156" s="165"/>
      <c r="I156" s="165"/>
      <c r="J156" s="170" t="e">
        <f t="shared" ref="J156:R156" si="105">J155/I155-1</f>
        <v>#DIV/0!</v>
      </c>
      <c r="K156" s="170" t="e">
        <f t="shared" si="105"/>
        <v>#DIV/0!</v>
      </c>
      <c r="L156" s="170" t="e">
        <f t="shared" si="105"/>
        <v>#DIV/0!</v>
      </c>
      <c r="M156" s="170" t="e">
        <f t="shared" si="105"/>
        <v>#DIV/0!</v>
      </c>
      <c r="N156" s="170" t="e">
        <f t="shared" si="105"/>
        <v>#DIV/0!</v>
      </c>
      <c r="O156" s="170" t="e">
        <f t="shared" si="105"/>
        <v>#DIV/0!</v>
      </c>
      <c r="P156" s="170" t="e">
        <f t="shared" si="105"/>
        <v>#DIV/0!</v>
      </c>
      <c r="Q156" s="170" t="e">
        <f t="shared" si="105"/>
        <v>#DIV/0!</v>
      </c>
      <c r="R156" s="170" t="e">
        <f t="shared" si="105"/>
        <v>#DIV/0!</v>
      </c>
      <c r="S156" s="1"/>
      <c r="T156" s="1"/>
      <c r="U156" s="1"/>
      <c r="V156" s="1"/>
      <c r="W156" s="1"/>
      <c r="X156" s="1"/>
    </row>
    <row r="157" spans="1:16382" customFormat="1" hidden="1">
      <c r="A157" s="4" t="str">
        <f>'[7]Input sheet'!A66</f>
        <v>Turkey</v>
      </c>
      <c r="B157" s="129" t="str">
        <f>'[7]Input sheet'!B66</f>
        <v>Employment</v>
      </c>
      <c r="C157" s="4" t="str">
        <f>'[7]Input sheet'!C66</f>
        <v>Direct Tourism Employment as a Percentage of Total Employment</v>
      </c>
      <c r="D157" s="2" t="str">
        <f>'[7]Input sheet'!D66</f>
        <v>Entertainment &amp; Sightseeing</v>
      </c>
      <c r="E157" s="1"/>
      <c r="F157" s="1"/>
      <c r="G157" s="1" t="str">
        <f>'[7]Input sheet'!G66</f>
        <v>%</v>
      </c>
      <c r="H157" s="187" t="e">
        <f>H133/H$508</f>
        <v>#DIV/0!</v>
      </c>
      <c r="I157" s="187" t="e">
        <f>I133/I$508</f>
        <v>#DIV/0!</v>
      </c>
      <c r="J157" s="187" t="e">
        <f t="shared" si="104"/>
        <v>#DIV/0!</v>
      </c>
      <c r="K157" s="187" t="e">
        <f t="shared" si="104"/>
        <v>#DIV/0!</v>
      </c>
      <c r="L157" s="187" t="e">
        <f t="shared" si="104"/>
        <v>#DIV/0!</v>
      </c>
      <c r="M157" s="187" t="e">
        <f t="shared" si="104"/>
        <v>#DIV/0!</v>
      </c>
      <c r="N157" s="188" t="e">
        <f>N133/N$508</f>
        <v>#DIV/0!</v>
      </c>
      <c r="O157" s="188" t="e">
        <f t="shared" ref="O157:R157" si="106">O133/O$508</f>
        <v>#DIV/0!</v>
      </c>
      <c r="P157" s="188" t="e">
        <f t="shared" si="106"/>
        <v>#DIV/0!</v>
      </c>
      <c r="Q157" s="188" t="e">
        <f t="shared" si="106"/>
        <v>#DIV/0!</v>
      </c>
      <c r="R157" s="188" t="e">
        <f t="shared" si="106"/>
        <v>#DIV/0!</v>
      </c>
      <c r="S157" s="1"/>
      <c r="T157" s="1" t="str">
        <f>'[7]Input sheet'!S66</f>
        <v>New</v>
      </c>
      <c r="U157" s="1" t="str">
        <f>'[7]Input sheet'!T66</f>
        <v>Divided the direct tourism employment number by total non-farm employment</v>
      </c>
      <c r="V157" s="1">
        <f>'[7]Input sheet'!U66</f>
        <v>0</v>
      </c>
      <c r="W157" s="1" t="e">
        <f>'[7]Input sheet'!W66</f>
        <v>#REF!</v>
      </c>
      <c r="X157" s="1" t="e">
        <f>'[7]Input sheet'!X66</f>
        <v>#REF!</v>
      </c>
    </row>
    <row r="158" spans="1:16382" customFormat="1" hidden="1">
      <c r="A158" s="1"/>
      <c r="B158" s="6"/>
      <c r="C158" s="164" t="s">
        <v>184</v>
      </c>
      <c r="D158" s="1"/>
      <c r="E158" s="1"/>
      <c r="F158" s="1"/>
      <c r="G158" s="164" t="s">
        <v>176</v>
      </c>
      <c r="H158" s="165"/>
      <c r="I158" s="165"/>
      <c r="J158" s="170" t="e">
        <f t="shared" ref="J158:R158" si="107">J157/I157-1</f>
        <v>#DIV/0!</v>
      </c>
      <c r="K158" s="170" t="e">
        <f t="shared" si="107"/>
        <v>#DIV/0!</v>
      </c>
      <c r="L158" s="170" t="e">
        <f t="shared" si="107"/>
        <v>#DIV/0!</v>
      </c>
      <c r="M158" s="170" t="e">
        <f t="shared" si="107"/>
        <v>#DIV/0!</v>
      </c>
      <c r="N158" s="170" t="e">
        <f t="shared" si="107"/>
        <v>#DIV/0!</v>
      </c>
      <c r="O158" s="170" t="e">
        <f t="shared" si="107"/>
        <v>#DIV/0!</v>
      </c>
      <c r="P158" s="170" t="e">
        <f t="shared" si="107"/>
        <v>#DIV/0!</v>
      </c>
      <c r="Q158" s="170" t="e">
        <f t="shared" si="107"/>
        <v>#DIV/0!</v>
      </c>
      <c r="R158" s="170" t="e">
        <f t="shared" si="107"/>
        <v>#DIV/0!</v>
      </c>
      <c r="S158" s="1"/>
      <c r="T158" s="1"/>
      <c r="U158" s="1"/>
      <c r="V158" s="1"/>
      <c r="W158" s="1"/>
      <c r="X158" s="1"/>
    </row>
    <row r="159" spans="1:16382" customFormat="1" hidden="1">
      <c r="A159" s="4" t="str">
        <f>'[7]Input sheet'!A67</f>
        <v>Turkey</v>
      </c>
      <c r="B159" s="129" t="str">
        <f>'[7]Input sheet'!B67</f>
        <v>Employment</v>
      </c>
      <c r="C159" s="4" t="str">
        <f>'[7]Input sheet'!C67</f>
        <v>Direct Tourism Employment as a Percentage of Total Employment</v>
      </c>
      <c r="D159" s="2" t="str">
        <f>'[7]Input sheet'!D67</f>
        <v>Foodservice</v>
      </c>
      <c r="E159" s="1"/>
      <c r="F159" s="1"/>
      <c r="G159" s="1" t="str">
        <f>'[7]Input sheet'!G67</f>
        <v>%</v>
      </c>
      <c r="H159" s="187" t="e">
        <f>H135/H$508</f>
        <v>#DIV/0!</v>
      </c>
      <c r="I159" s="187" t="e">
        <f>I135/I$508</f>
        <v>#DIV/0!</v>
      </c>
      <c r="J159" s="187" t="e">
        <f t="shared" si="104"/>
        <v>#DIV/0!</v>
      </c>
      <c r="K159" s="187" t="e">
        <f t="shared" si="104"/>
        <v>#DIV/0!</v>
      </c>
      <c r="L159" s="187" t="e">
        <f t="shared" si="104"/>
        <v>#DIV/0!</v>
      </c>
      <c r="M159" s="187" t="e">
        <f t="shared" si="104"/>
        <v>#DIV/0!</v>
      </c>
      <c r="N159" s="188" t="e">
        <f t="shared" si="104"/>
        <v>#DIV/0!</v>
      </c>
      <c r="O159" s="188" t="e">
        <f t="shared" si="104"/>
        <v>#DIV/0!</v>
      </c>
      <c r="P159" s="188" t="e">
        <f t="shared" si="104"/>
        <v>#DIV/0!</v>
      </c>
      <c r="Q159" s="188" t="e">
        <f t="shared" si="104"/>
        <v>#DIV/0!</v>
      </c>
      <c r="R159" s="188" t="e">
        <f t="shared" si="104"/>
        <v>#DIV/0!</v>
      </c>
      <c r="S159" s="1"/>
      <c r="T159" s="1" t="str">
        <f>'[7]Input sheet'!S67</f>
        <v>New</v>
      </c>
      <c r="U159" s="1" t="str">
        <f>'[7]Input sheet'!T67</f>
        <v>Divided the direct tourism employment number by total non-farm employment</v>
      </c>
      <c r="V159" s="1">
        <f>'[7]Input sheet'!U67</f>
        <v>0</v>
      </c>
      <c r="W159" s="1" t="e">
        <f>'[7]Input sheet'!W67</f>
        <v>#REF!</v>
      </c>
      <c r="X159" s="1" t="e">
        <f>'[7]Input sheet'!X67</f>
        <v>#REF!</v>
      </c>
    </row>
    <row r="160" spans="1:16382" customFormat="1" hidden="1">
      <c r="A160" s="1"/>
      <c r="B160" s="6"/>
      <c r="C160" s="164" t="s">
        <v>184</v>
      </c>
      <c r="D160" s="1"/>
      <c r="E160" s="1"/>
      <c r="F160" s="1"/>
      <c r="G160" s="164" t="s">
        <v>176</v>
      </c>
      <c r="H160" s="165"/>
      <c r="I160" s="165"/>
      <c r="J160" s="170" t="e">
        <f t="shared" ref="J160:R160" si="108">J159/I159-1</f>
        <v>#DIV/0!</v>
      </c>
      <c r="K160" s="170" t="e">
        <f t="shared" si="108"/>
        <v>#DIV/0!</v>
      </c>
      <c r="L160" s="170" t="e">
        <f t="shared" si="108"/>
        <v>#DIV/0!</v>
      </c>
      <c r="M160" s="170" t="e">
        <f t="shared" si="108"/>
        <v>#DIV/0!</v>
      </c>
      <c r="N160" s="170" t="e">
        <f t="shared" si="108"/>
        <v>#DIV/0!</v>
      </c>
      <c r="O160" s="170" t="e">
        <f t="shared" si="108"/>
        <v>#DIV/0!</v>
      </c>
      <c r="P160" s="170" t="e">
        <f t="shared" si="108"/>
        <v>#DIV/0!</v>
      </c>
      <c r="Q160" s="170" t="e">
        <f t="shared" si="108"/>
        <v>#DIV/0!</v>
      </c>
      <c r="R160" s="170" t="e">
        <f t="shared" si="108"/>
        <v>#DIV/0!</v>
      </c>
      <c r="S160" s="1"/>
      <c r="T160" s="1"/>
      <c r="U160" s="1"/>
      <c r="V160" s="1"/>
      <c r="W160" s="1"/>
      <c r="X160" s="1"/>
    </row>
    <row r="161" spans="1:16382" customFormat="1" hidden="1">
      <c r="A161" s="4" t="str">
        <f>'[7]Input sheet'!A68</f>
        <v>Turkey</v>
      </c>
      <c r="B161" s="129" t="str">
        <f>'[7]Input sheet'!B68</f>
        <v>Employment</v>
      </c>
      <c r="C161" s="4" t="str">
        <f>'[7]Input sheet'!C68</f>
        <v>Direct Tourism Employment as a Percentage of Total Employment</v>
      </c>
      <c r="D161" s="2" t="str">
        <f>'[7]Input sheet'!D68</f>
        <v>Retail</v>
      </c>
      <c r="E161" s="1"/>
      <c r="F161" s="1"/>
      <c r="G161" s="1" t="str">
        <f>'[7]Input sheet'!G68</f>
        <v>%</v>
      </c>
      <c r="H161" s="187" t="e">
        <f>H137/H$508</f>
        <v>#DIV/0!</v>
      </c>
      <c r="I161" s="187" t="e">
        <f>I137/I$508</f>
        <v>#DIV/0!</v>
      </c>
      <c r="J161" s="187" t="e">
        <f t="shared" si="104"/>
        <v>#DIV/0!</v>
      </c>
      <c r="K161" s="187" t="e">
        <f t="shared" si="104"/>
        <v>#DIV/0!</v>
      </c>
      <c r="L161" s="187" t="e">
        <f t="shared" si="104"/>
        <v>#DIV/0!</v>
      </c>
      <c r="M161" s="187" t="e">
        <f t="shared" si="104"/>
        <v>#DIV/0!</v>
      </c>
      <c r="N161" s="188" t="e">
        <f t="shared" si="104"/>
        <v>#DIV/0!</v>
      </c>
      <c r="O161" s="188" t="e">
        <f t="shared" si="104"/>
        <v>#DIV/0!</v>
      </c>
      <c r="P161" s="188" t="e">
        <f t="shared" si="104"/>
        <v>#DIV/0!</v>
      </c>
      <c r="Q161" s="188" t="e">
        <f t="shared" si="104"/>
        <v>#DIV/0!</v>
      </c>
      <c r="R161" s="188" t="e">
        <f t="shared" si="104"/>
        <v>#DIV/0!</v>
      </c>
      <c r="S161" s="1"/>
      <c r="T161" s="1" t="str">
        <f>'[7]Input sheet'!S68</f>
        <v>New</v>
      </c>
      <c r="U161" s="1" t="str">
        <f>'[7]Input sheet'!T68</f>
        <v>Divided the direct tourism employment number by total non-farm employment</v>
      </c>
      <c r="V161" s="1">
        <f>'[7]Input sheet'!U68</f>
        <v>0</v>
      </c>
      <c r="W161" s="1" t="e">
        <f>'[7]Input sheet'!W68</f>
        <v>#REF!</v>
      </c>
      <c r="X161" s="1" t="e">
        <f>'[7]Input sheet'!X68</f>
        <v>#REF!</v>
      </c>
    </row>
    <row r="162" spans="1:16382" customFormat="1" hidden="1">
      <c r="A162" s="1"/>
      <c r="B162" s="6"/>
      <c r="C162" s="164" t="s">
        <v>184</v>
      </c>
      <c r="D162" s="1"/>
      <c r="E162" s="1"/>
      <c r="F162" s="1"/>
      <c r="G162" s="164" t="s">
        <v>176</v>
      </c>
      <c r="H162" s="165"/>
      <c r="I162" s="165"/>
      <c r="J162" s="170" t="e">
        <f t="shared" ref="J162:R162" si="109">J161/I161-1</f>
        <v>#DIV/0!</v>
      </c>
      <c r="K162" s="170" t="e">
        <f t="shared" si="109"/>
        <v>#DIV/0!</v>
      </c>
      <c r="L162" s="170" t="e">
        <f t="shared" si="109"/>
        <v>#DIV/0!</v>
      </c>
      <c r="M162" s="170" t="e">
        <f t="shared" si="109"/>
        <v>#DIV/0!</v>
      </c>
      <c r="N162" s="170" t="e">
        <f t="shared" si="109"/>
        <v>#DIV/0!</v>
      </c>
      <c r="O162" s="170" t="e">
        <f t="shared" si="109"/>
        <v>#DIV/0!</v>
      </c>
      <c r="P162" s="170" t="e">
        <f t="shared" si="109"/>
        <v>#DIV/0!</v>
      </c>
      <c r="Q162" s="170" t="e">
        <f t="shared" si="109"/>
        <v>#DIV/0!</v>
      </c>
      <c r="R162" s="170" t="e">
        <f t="shared" si="109"/>
        <v>#DIV/0!</v>
      </c>
      <c r="S162" s="1"/>
      <c r="T162" s="1"/>
      <c r="U162" s="1"/>
      <c r="V162" s="1"/>
      <c r="W162" s="1"/>
      <c r="X162" s="1"/>
    </row>
    <row r="163" spans="1:16382" customFormat="1" hidden="1">
      <c r="A163" s="4" t="str">
        <f>'[7]Input sheet'!A69</f>
        <v>Turkey</v>
      </c>
      <c r="B163" s="129" t="str">
        <f>'[7]Input sheet'!B69</f>
        <v>Employment</v>
      </c>
      <c r="C163" s="4" t="str">
        <f>'[7]Input sheet'!C69</f>
        <v>Direct Tourism Employment as a Percentage of Total Employment</v>
      </c>
      <c r="D163" s="2" t="str">
        <f>'[7]Input sheet'!D69</f>
        <v>Transportation</v>
      </c>
      <c r="E163" s="1"/>
      <c r="F163" s="1"/>
      <c r="G163" s="1" t="str">
        <f>'[7]Input sheet'!G69</f>
        <v>%</v>
      </c>
      <c r="H163" s="187" t="e">
        <f>H139/H$508</f>
        <v>#DIV/0!</v>
      </c>
      <c r="I163" s="187" t="e">
        <f>I139/I$508</f>
        <v>#DIV/0!</v>
      </c>
      <c r="J163" s="187" t="e">
        <f t="shared" si="104"/>
        <v>#DIV/0!</v>
      </c>
      <c r="K163" s="187" t="e">
        <f t="shared" si="104"/>
        <v>#DIV/0!</v>
      </c>
      <c r="L163" s="187" t="e">
        <f t="shared" si="104"/>
        <v>#DIV/0!</v>
      </c>
      <c r="M163" s="187" t="e">
        <f t="shared" si="104"/>
        <v>#DIV/0!</v>
      </c>
      <c r="N163" s="188" t="e">
        <f t="shared" si="104"/>
        <v>#DIV/0!</v>
      </c>
      <c r="O163" s="188" t="e">
        <f t="shared" si="104"/>
        <v>#DIV/0!</v>
      </c>
      <c r="P163" s="188" t="e">
        <f t="shared" si="104"/>
        <v>#DIV/0!</v>
      </c>
      <c r="Q163" s="188" t="e">
        <f t="shared" si="104"/>
        <v>#DIV/0!</v>
      </c>
      <c r="R163" s="188" t="e">
        <f t="shared" si="104"/>
        <v>#DIV/0!</v>
      </c>
      <c r="S163" s="1"/>
      <c r="T163" s="1" t="str">
        <f>'[7]Input sheet'!S69</f>
        <v>New</v>
      </c>
      <c r="U163" s="1" t="str">
        <f>'[7]Input sheet'!T69</f>
        <v>Divided the direct tourism employment number by total non-farm employment</v>
      </c>
      <c r="V163" s="1">
        <f>'[7]Input sheet'!U69</f>
        <v>0</v>
      </c>
      <c r="W163" s="1" t="e">
        <f>'[7]Input sheet'!W69</f>
        <v>#REF!</v>
      </c>
      <c r="X163" s="1" t="e">
        <f>'[7]Input sheet'!X69</f>
        <v>#REF!</v>
      </c>
    </row>
    <row r="164" spans="1:16382" customFormat="1" hidden="1">
      <c r="A164" s="1"/>
      <c r="B164" s="6"/>
      <c r="C164" s="164" t="s">
        <v>184</v>
      </c>
      <c r="D164" s="1"/>
      <c r="E164" s="1"/>
      <c r="F164" s="1"/>
      <c r="G164" s="164" t="s">
        <v>176</v>
      </c>
      <c r="H164" s="165"/>
      <c r="I164" s="165"/>
      <c r="J164" s="170" t="e">
        <f t="shared" ref="J164:R164" si="110">J163/I163-1</f>
        <v>#DIV/0!</v>
      </c>
      <c r="K164" s="170" t="e">
        <f t="shared" si="110"/>
        <v>#DIV/0!</v>
      </c>
      <c r="L164" s="170" t="e">
        <f t="shared" si="110"/>
        <v>#DIV/0!</v>
      </c>
      <c r="M164" s="170" t="e">
        <f t="shared" si="110"/>
        <v>#DIV/0!</v>
      </c>
      <c r="N164" s="170" t="e">
        <f t="shared" si="110"/>
        <v>#DIV/0!</v>
      </c>
      <c r="O164" s="170" t="e">
        <f t="shared" si="110"/>
        <v>#DIV/0!</v>
      </c>
      <c r="P164" s="170" t="e">
        <f t="shared" si="110"/>
        <v>#DIV/0!</v>
      </c>
      <c r="Q164" s="170" t="e">
        <f t="shared" si="110"/>
        <v>#DIV/0!</v>
      </c>
      <c r="R164" s="170" t="e">
        <f t="shared" si="110"/>
        <v>#DIV/0!</v>
      </c>
      <c r="S164" s="1"/>
      <c r="T164" s="1"/>
      <c r="U164" s="1"/>
      <c r="V164" s="1"/>
      <c r="W164" s="1"/>
      <c r="X164" s="1"/>
    </row>
    <row r="165" spans="1:16382" customFormat="1" hidden="1">
      <c r="A165" s="4" t="str">
        <f>'[7]Input sheet'!A70</f>
        <v>Turkey</v>
      </c>
      <c r="B165" s="129" t="str">
        <f>'[7]Input sheet'!B70</f>
        <v>Employment</v>
      </c>
      <c r="C165" s="4" t="str">
        <f>'[7]Input sheet'!C70</f>
        <v>Direct Tourism Employment as a Percentage of Total Employment</v>
      </c>
      <c r="D165" s="2" t="str">
        <f>'[7]Input sheet'!D70</f>
        <v>Travel Intermediation</v>
      </c>
      <c r="E165" s="1"/>
      <c r="F165" s="1"/>
      <c r="G165" s="1" t="str">
        <f>'[7]Input sheet'!G70</f>
        <v>%</v>
      </c>
      <c r="H165" s="187" t="e">
        <f>H141/H$508</f>
        <v>#DIV/0!</v>
      </c>
      <c r="I165" s="187" t="e">
        <f>I141/I$508</f>
        <v>#DIV/0!</v>
      </c>
      <c r="J165" s="187" t="e">
        <f t="shared" si="104"/>
        <v>#DIV/0!</v>
      </c>
      <c r="K165" s="187" t="e">
        <f t="shared" si="104"/>
        <v>#DIV/0!</v>
      </c>
      <c r="L165" s="187" t="e">
        <f t="shared" si="104"/>
        <v>#DIV/0!</v>
      </c>
      <c r="M165" s="187" t="e">
        <f t="shared" si="104"/>
        <v>#DIV/0!</v>
      </c>
      <c r="N165" s="188" t="e">
        <f t="shared" si="104"/>
        <v>#DIV/0!</v>
      </c>
      <c r="O165" s="188" t="e">
        <f t="shared" si="104"/>
        <v>#DIV/0!</v>
      </c>
      <c r="P165" s="188" t="e">
        <f t="shared" si="104"/>
        <v>#DIV/0!</v>
      </c>
      <c r="Q165" s="188" t="e">
        <f t="shared" si="104"/>
        <v>#DIV/0!</v>
      </c>
      <c r="R165" s="188" t="e">
        <f t="shared" si="104"/>
        <v>#DIV/0!</v>
      </c>
      <c r="S165" s="1"/>
      <c r="T165" s="1" t="str">
        <f>'[7]Input sheet'!S70</f>
        <v>New</v>
      </c>
      <c r="U165" s="1" t="str">
        <f>'[7]Input sheet'!T70</f>
        <v>Divided the direct tourism employment number by total non-farm employment</v>
      </c>
      <c r="V165" s="1">
        <f>'[7]Input sheet'!U70</f>
        <v>0</v>
      </c>
      <c r="W165" s="1" t="e">
        <f>'[7]Input sheet'!W70</f>
        <v>#REF!</v>
      </c>
      <c r="X165" s="1" t="e">
        <f>'[7]Input sheet'!X70</f>
        <v>#REF!</v>
      </c>
    </row>
    <row r="166" spans="1:16382" customFormat="1" hidden="1">
      <c r="A166" s="1"/>
      <c r="B166" s="6"/>
      <c r="C166" s="164" t="s">
        <v>184</v>
      </c>
      <c r="D166" s="1"/>
      <c r="E166" s="1"/>
      <c r="F166" s="1"/>
      <c r="G166" s="164" t="s">
        <v>176</v>
      </c>
      <c r="H166" s="165"/>
      <c r="I166" s="165"/>
      <c r="J166" s="170" t="e">
        <f t="shared" ref="J166:R166" si="111">J165/I165-1</f>
        <v>#DIV/0!</v>
      </c>
      <c r="K166" s="170" t="e">
        <f t="shared" si="111"/>
        <v>#DIV/0!</v>
      </c>
      <c r="L166" s="170" t="e">
        <f t="shared" si="111"/>
        <v>#DIV/0!</v>
      </c>
      <c r="M166" s="170" t="e">
        <f t="shared" si="111"/>
        <v>#DIV/0!</v>
      </c>
      <c r="N166" s="170" t="e">
        <f t="shared" si="111"/>
        <v>#DIV/0!</v>
      </c>
      <c r="O166" s="170" t="e">
        <f t="shared" si="111"/>
        <v>#DIV/0!</v>
      </c>
      <c r="P166" s="170" t="e">
        <f t="shared" si="111"/>
        <v>#DIV/0!</v>
      </c>
      <c r="Q166" s="170" t="e">
        <f t="shared" si="111"/>
        <v>#DIV/0!</v>
      </c>
      <c r="R166" s="170" t="e">
        <f t="shared" si="111"/>
        <v>#DIV/0!</v>
      </c>
      <c r="S166" s="1"/>
      <c r="T166" s="1"/>
      <c r="U166" s="1"/>
      <c r="V166" s="1"/>
      <c r="W166" s="1"/>
      <c r="X166" s="1"/>
    </row>
    <row r="167" spans="1:16382" customFormat="1" hidden="1">
      <c r="A167" s="4" t="str">
        <f>'[7]Input sheet'!A71</f>
        <v>Turkey</v>
      </c>
      <c r="B167" s="129" t="str">
        <f>'[7]Input sheet'!B71</f>
        <v>Employment</v>
      </c>
      <c r="C167" s="4" t="str">
        <f>'[7]Input sheet'!C71</f>
        <v>Direct Tourism Employment as a Percentage of Total Employment</v>
      </c>
      <c r="D167" s="2" t="str">
        <f>'[7]Input sheet'!D71</f>
        <v>Other Sectors</v>
      </c>
      <c r="E167" s="1"/>
      <c r="F167" s="1"/>
      <c r="G167" s="1" t="str">
        <f>'[7]Input sheet'!G71</f>
        <v>%</v>
      </c>
      <c r="H167" s="187" t="e">
        <f>H143/H$508</f>
        <v>#DIV/0!</v>
      </c>
      <c r="I167" s="187" t="e">
        <f>I143/I$508</f>
        <v>#DIV/0!</v>
      </c>
      <c r="J167" s="187" t="e">
        <f t="shared" si="104"/>
        <v>#DIV/0!</v>
      </c>
      <c r="K167" s="187" t="e">
        <f t="shared" si="104"/>
        <v>#DIV/0!</v>
      </c>
      <c r="L167" s="187" t="e">
        <f t="shared" si="104"/>
        <v>#DIV/0!</v>
      </c>
      <c r="M167" s="187" t="e">
        <f t="shared" si="104"/>
        <v>#DIV/0!</v>
      </c>
      <c r="N167" s="188" t="e">
        <f t="shared" si="104"/>
        <v>#DIV/0!</v>
      </c>
      <c r="O167" s="188" t="e">
        <f t="shared" si="104"/>
        <v>#DIV/0!</v>
      </c>
      <c r="P167" s="188" t="e">
        <f>P143/P$508</f>
        <v>#DIV/0!</v>
      </c>
      <c r="Q167" s="188" t="e">
        <f t="shared" si="104"/>
        <v>#DIV/0!</v>
      </c>
      <c r="R167" s="188" t="e">
        <f t="shared" si="104"/>
        <v>#DIV/0!</v>
      </c>
      <c r="S167" s="1"/>
      <c r="T167" s="1" t="str">
        <f>'[7]Input sheet'!S71</f>
        <v>New</v>
      </c>
      <c r="U167" s="1" t="str">
        <f>'[7]Input sheet'!T71</f>
        <v>Divided the direct tourism employment number by total non-farm employment</v>
      </c>
      <c r="V167" s="1">
        <f>'[7]Input sheet'!U71</f>
        <v>0</v>
      </c>
      <c r="W167" s="1" t="e">
        <f>'[7]Input sheet'!W71</f>
        <v>#REF!</v>
      </c>
      <c r="X167" s="1" t="e">
        <f>'[7]Input sheet'!X71</f>
        <v>#REF!</v>
      </c>
    </row>
    <row r="168" spans="1:16382" customFormat="1" hidden="1">
      <c r="A168" s="1"/>
      <c r="B168" s="6"/>
      <c r="C168" s="164" t="s">
        <v>184</v>
      </c>
      <c r="D168" s="1"/>
      <c r="E168" s="1"/>
      <c r="F168" s="1"/>
      <c r="G168" s="164" t="s">
        <v>176</v>
      </c>
      <c r="H168" s="165"/>
      <c r="I168" s="165"/>
      <c r="J168" s="170" t="e">
        <f t="shared" ref="J168:R168" si="112">J167/I167-1</f>
        <v>#DIV/0!</v>
      </c>
      <c r="K168" s="170" t="e">
        <f t="shared" si="112"/>
        <v>#DIV/0!</v>
      </c>
      <c r="L168" s="170" t="e">
        <f t="shared" si="112"/>
        <v>#DIV/0!</v>
      </c>
      <c r="M168" s="170" t="e">
        <f t="shared" si="112"/>
        <v>#DIV/0!</v>
      </c>
      <c r="N168" s="170" t="e">
        <f t="shared" si="112"/>
        <v>#DIV/0!</v>
      </c>
      <c r="O168" s="170" t="e">
        <f t="shared" si="112"/>
        <v>#DIV/0!</v>
      </c>
      <c r="P168" s="170" t="e">
        <f t="shared" si="112"/>
        <v>#DIV/0!</v>
      </c>
      <c r="Q168" s="170" t="e">
        <f t="shared" si="112"/>
        <v>#DIV/0!</v>
      </c>
      <c r="R168" s="170" t="e">
        <f t="shared" si="112"/>
        <v>#DIV/0!</v>
      </c>
      <c r="S168" s="1"/>
      <c r="T168" s="1"/>
      <c r="U168" s="1"/>
      <c r="V168" s="1"/>
      <c r="W168" s="1"/>
      <c r="X168" s="1"/>
    </row>
    <row r="169" spans="1:16382" customFormat="1" hidden="1">
      <c r="A169" s="125" t="str">
        <f>'[7]Input sheet'!A72</f>
        <v>Turkey</v>
      </c>
      <c r="B169" s="125" t="str">
        <f>'[7]Input sheet'!B72</f>
        <v>Employment</v>
      </c>
      <c r="C169" s="134" t="str">
        <f>'[7]Input sheet'!C72</f>
        <v>Indirect Tourism Employment by Sector</v>
      </c>
      <c r="D169" s="135"/>
      <c r="E169" s="135"/>
      <c r="F169" s="135"/>
      <c r="G169" s="134" t="str">
        <f>'[7]Input sheet'!G72</f>
        <v>Thousands</v>
      </c>
      <c r="H169" s="167">
        <f>H171+H173+H175+H177+H179+H181+H183</f>
        <v>0</v>
      </c>
      <c r="I169" s="167">
        <f>I171+I173+I175+I177+I179+I181+I183</f>
        <v>0</v>
      </c>
      <c r="J169" s="167">
        <f t="shared" ref="J169:M169" si="113">J171+J173+J175+J177+J179+J181+J183</f>
        <v>0</v>
      </c>
      <c r="K169" s="167">
        <f t="shared" si="113"/>
        <v>0</v>
      </c>
      <c r="L169" s="167">
        <f t="shared" si="113"/>
        <v>0</v>
      </c>
      <c r="M169" s="167">
        <f t="shared" si="113"/>
        <v>0</v>
      </c>
      <c r="N169" s="167" t="e">
        <f>N171+N173+N175+N177+N179+N181+N183</f>
        <v>#DIV/0!</v>
      </c>
      <c r="O169" s="167" t="e">
        <f>O171+O173+O175+O177+O179+O181+O183</f>
        <v>#DIV/0!</v>
      </c>
      <c r="P169" s="167" t="e">
        <f>P171+P173+P175+P177+P179+P181+P183</f>
        <v>#DIV/0!</v>
      </c>
      <c r="Q169" s="167" t="e">
        <f>Q171+Q173+Q175+Q177+Q179+Q181+Q183</f>
        <v>#DIV/0!</v>
      </c>
      <c r="R169" s="167" t="e">
        <f>R171+R173+R175+R177+R179+R181+R183</f>
        <v>#DIV/0!</v>
      </c>
      <c r="S169" s="125" t="e">
        <f>'[7]Input sheet'!R72</f>
        <v>#REF!</v>
      </c>
      <c r="T169" s="125" t="e">
        <f>'[7]Input sheet'!S72</f>
        <v>#REF!</v>
      </c>
      <c r="U169" s="134" t="str">
        <f>'[7]Input sheet'!T72</f>
        <v>Total tourism employment - direct tourism employment</v>
      </c>
      <c r="V169" s="135" t="e">
        <f>'[7]Input sheet'!U72</f>
        <v>#REF!</v>
      </c>
      <c r="W169" s="135" t="e">
        <f>'[7]Input sheet'!W72</f>
        <v>#REF!</v>
      </c>
      <c r="X169" s="135" t="e">
        <f>'[7]Input sheet'!X72</f>
        <v>#REF!</v>
      </c>
      <c r="AN169" s="135"/>
      <c r="AO169" s="135"/>
      <c r="AP169" s="135"/>
      <c r="AQ169" s="173"/>
      <c r="AR169" s="173"/>
      <c r="AS169" s="173"/>
      <c r="AT169" s="173"/>
      <c r="AU169" s="173"/>
      <c r="AV169" s="173"/>
      <c r="AW169" s="173"/>
      <c r="AX169" s="173"/>
      <c r="AY169" s="173"/>
      <c r="AZ169" s="173"/>
      <c r="BA169" s="125"/>
      <c r="BB169" s="125"/>
      <c r="BC169" s="134"/>
      <c r="BD169" s="135"/>
      <c r="BE169" s="135"/>
      <c r="BF169" s="135"/>
      <c r="BG169" s="135"/>
      <c r="BH169" s="173"/>
      <c r="BI169" s="173"/>
      <c r="BJ169" s="173"/>
      <c r="BK169" s="173"/>
      <c r="BL169" s="173"/>
      <c r="BM169" s="173"/>
      <c r="BN169" s="173"/>
      <c r="BO169" s="173"/>
      <c r="BP169" s="173"/>
      <c r="BQ169" s="173"/>
      <c r="BR169" s="125"/>
      <c r="BS169" s="125"/>
      <c r="BT169" s="134"/>
      <c r="BU169" s="135"/>
      <c r="BV169" s="135"/>
      <c r="BW169" s="135"/>
      <c r="BX169" s="135"/>
      <c r="BY169" s="173"/>
      <c r="BZ169" s="173"/>
      <c r="CA169" s="173"/>
      <c r="CB169" s="173"/>
      <c r="CC169" s="173"/>
      <c r="CD169" s="173"/>
      <c r="CE169" s="173"/>
      <c r="CF169" s="173"/>
      <c r="CG169" s="173"/>
      <c r="CH169" s="173"/>
      <c r="CI169" s="125"/>
      <c r="CJ169" s="125"/>
      <c r="CK169" s="134"/>
      <c r="CL169" s="135"/>
      <c r="CM169" s="135"/>
      <c r="CN169" s="135"/>
      <c r="CO169" s="135"/>
      <c r="CP169" s="173"/>
      <c r="CQ169" s="173"/>
      <c r="CR169" s="173"/>
      <c r="CS169" s="173"/>
      <c r="CT169" s="173"/>
      <c r="CU169" s="173"/>
      <c r="CV169" s="173"/>
      <c r="CW169" s="173"/>
      <c r="CX169" s="173"/>
      <c r="CY169" s="173"/>
      <c r="CZ169" s="125"/>
      <c r="DA169" s="125"/>
      <c r="DB169" s="134"/>
      <c r="DC169" s="135"/>
      <c r="DD169" s="135"/>
      <c r="DE169" s="135"/>
      <c r="DF169" s="135"/>
      <c r="DG169" s="173"/>
      <c r="DH169" s="173"/>
      <c r="DI169" s="173"/>
      <c r="DJ169" s="173"/>
      <c r="DK169" s="173"/>
      <c r="DL169" s="173"/>
      <c r="DM169" s="173"/>
      <c r="DN169" s="173"/>
      <c r="DO169" s="173"/>
      <c r="DP169" s="173"/>
      <c r="DQ169" s="125"/>
      <c r="DR169" s="125"/>
      <c r="DS169" s="134"/>
      <c r="DT169" s="135"/>
      <c r="DU169" s="135"/>
      <c r="DV169" s="135"/>
      <c r="DW169" s="135"/>
      <c r="DX169" s="173"/>
      <c r="DY169" s="173"/>
      <c r="DZ169" s="173"/>
      <c r="EA169" s="173"/>
      <c r="EB169" s="173"/>
      <c r="EC169" s="173"/>
      <c r="ED169" s="173"/>
      <c r="EE169" s="173"/>
      <c r="EF169" s="173"/>
      <c r="EG169" s="173"/>
      <c r="EH169" s="125"/>
      <c r="EI169" s="125"/>
      <c r="EJ169" s="134"/>
      <c r="EK169" s="135"/>
      <c r="EL169" s="135"/>
      <c r="EM169" s="135"/>
      <c r="EN169" s="135"/>
      <c r="EO169" s="173"/>
      <c r="EP169" s="173"/>
      <c r="EQ169" s="173"/>
      <c r="ER169" s="173"/>
      <c r="ES169" s="173"/>
      <c r="ET169" s="173"/>
      <c r="EU169" s="173"/>
      <c r="EV169" s="173"/>
      <c r="EW169" s="173"/>
      <c r="EX169" s="173"/>
      <c r="EY169" s="125"/>
      <c r="EZ169" s="125"/>
      <c r="FA169" s="134"/>
      <c r="FB169" s="135"/>
      <c r="FC169" s="135"/>
      <c r="FD169" s="135"/>
      <c r="FE169" s="135"/>
      <c r="FF169" s="173"/>
      <c r="FG169" s="173"/>
      <c r="FH169" s="173"/>
      <c r="FI169" s="173"/>
      <c r="FJ169" s="173"/>
      <c r="FK169" s="173"/>
      <c r="FL169" s="173"/>
      <c r="FM169" s="173"/>
      <c r="FN169" s="173"/>
      <c r="FO169" s="173"/>
      <c r="FP169" s="125"/>
      <c r="FQ169" s="125"/>
      <c r="FR169" s="134"/>
      <c r="FS169" s="135"/>
      <c r="FT169" s="135"/>
      <c r="FU169" s="135"/>
      <c r="FV169" s="135"/>
      <c r="FW169" s="173"/>
      <c r="FX169" s="173"/>
      <c r="FY169" s="173"/>
      <c r="FZ169" s="173"/>
      <c r="GA169" s="173"/>
      <c r="GB169" s="173"/>
      <c r="GC169" s="173"/>
      <c r="GD169" s="173"/>
      <c r="GE169" s="173"/>
      <c r="GF169" s="173"/>
      <c r="GG169" s="125"/>
      <c r="GH169" s="125"/>
      <c r="GI169" s="134"/>
      <c r="GJ169" s="135"/>
      <c r="GK169" s="135"/>
      <c r="GL169" s="135"/>
      <c r="GM169" s="135"/>
      <c r="GN169" s="173"/>
      <c r="GO169" s="173"/>
      <c r="GP169" s="173"/>
      <c r="GQ169" s="173"/>
      <c r="GR169" s="173"/>
      <c r="GS169" s="173"/>
      <c r="GT169" s="173"/>
      <c r="GU169" s="173"/>
      <c r="GV169" s="173"/>
      <c r="GW169" s="173"/>
      <c r="GX169" s="125"/>
      <c r="GY169" s="125"/>
      <c r="GZ169" s="134"/>
      <c r="HA169" s="135"/>
      <c r="HB169" s="135"/>
      <c r="HC169" s="135"/>
      <c r="HD169" s="135"/>
      <c r="HE169" s="173"/>
      <c r="HF169" s="173"/>
      <c r="HG169" s="173"/>
      <c r="HH169" s="173"/>
      <c r="HI169" s="173"/>
      <c r="HJ169" s="173"/>
      <c r="HK169" s="173"/>
      <c r="HL169" s="173"/>
      <c r="HM169" s="173"/>
      <c r="HN169" s="173"/>
      <c r="HO169" s="125"/>
      <c r="HP169" s="125"/>
      <c r="HQ169" s="134"/>
      <c r="HR169" s="135"/>
      <c r="HS169" s="135"/>
      <c r="HT169" s="135"/>
      <c r="HU169" s="135"/>
      <c r="HV169" s="173"/>
      <c r="HW169" s="173"/>
      <c r="HX169" s="173"/>
      <c r="HY169" s="173"/>
      <c r="HZ169" s="173"/>
      <c r="IA169" s="173"/>
      <c r="IB169" s="173"/>
      <c r="IC169" s="173"/>
      <c r="ID169" s="173"/>
      <c r="IE169" s="173"/>
      <c r="IF169" s="125"/>
      <c r="IG169" s="125"/>
      <c r="IH169" s="134"/>
      <c r="II169" s="135"/>
      <c r="IJ169" s="135"/>
      <c r="IK169" s="135"/>
      <c r="IL169" s="135"/>
      <c r="IM169" s="173"/>
      <c r="IN169" s="173"/>
      <c r="IO169" s="173"/>
      <c r="IP169" s="173"/>
      <c r="IQ169" s="173"/>
      <c r="IR169" s="173"/>
      <c r="IS169" s="173"/>
      <c r="IT169" s="173"/>
      <c r="IU169" s="173"/>
      <c r="IV169" s="173"/>
      <c r="IW169" s="125"/>
      <c r="IX169" s="125"/>
      <c r="IY169" s="134"/>
      <c r="IZ169" s="135"/>
      <c r="JA169" s="135"/>
      <c r="JB169" s="135"/>
      <c r="JC169" s="135"/>
      <c r="JD169" s="173"/>
      <c r="JE169" s="173"/>
      <c r="JF169" s="173"/>
      <c r="JG169" s="173"/>
      <c r="JH169" s="173"/>
      <c r="JI169" s="173"/>
      <c r="JJ169" s="173"/>
      <c r="JK169" s="173"/>
      <c r="JL169" s="173"/>
      <c r="JM169" s="173"/>
      <c r="JN169" s="125"/>
      <c r="JO169" s="125"/>
      <c r="JP169" s="134"/>
      <c r="JQ169" s="135"/>
      <c r="JR169" s="135"/>
      <c r="JS169" s="135"/>
      <c r="JT169" s="135"/>
      <c r="JU169" s="173"/>
      <c r="JV169" s="173"/>
      <c r="JW169" s="173"/>
      <c r="JX169" s="173"/>
      <c r="JY169" s="173"/>
      <c r="JZ169" s="173"/>
      <c r="KA169" s="173"/>
      <c r="KB169" s="173"/>
      <c r="KC169" s="173"/>
      <c r="KD169" s="173"/>
      <c r="KE169" s="125"/>
      <c r="KF169" s="125"/>
      <c r="KG169" s="134"/>
      <c r="KH169" s="135"/>
      <c r="KI169" s="135"/>
      <c r="KJ169" s="135"/>
      <c r="KK169" s="135"/>
      <c r="KL169" s="173"/>
      <c r="KM169" s="173"/>
      <c r="KN169" s="173"/>
      <c r="KO169" s="173"/>
      <c r="KP169" s="173"/>
      <c r="KQ169" s="173"/>
      <c r="KR169" s="173"/>
      <c r="KS169" s="173"/>
      <c r="KT169" s="173"/>
      <c r="KU169" s="173"/>
      <c r="KV169" s="125"/>
      <c r="KW169" s="125"/>
      <c r="KX169" s="134"/>
      <c r="KY169" s="135"/>
      <c r="KZ169" s="135"/>
      <c r="LA169" s="135"/>
      <c r="LB169" s="135"/>
      <c r="LC169" s="173"/>
      <c r="LD169" s="173"/>
      <c r="LE169" s="173"/>
      <c r="LF169" s="173"/>
      <c r="LG169" s="173"/>
      <c r="LH169" s="173"/>
      <c r="LI169" s="173"/>
      <c r="LJ169" s="173"/>
      <c r="LK169" s="173"/>
      <c r="LL169" s="173"/>
      <c r="LM169" s="125"/>
      <c r="LN169" s="125"/>
      <c r="LO169" s="134"/>
      <c r="LP169" s="135"/>
      <c r="LQ169" s="135"/>
      <c r="LR169" s="135"/>
      <c r="LS169" s="135"/>
      <c r="LT169" s="173"/>
      <c r="LU169" s="173"/>
      <c r="LV169" s="173"/>
      <c r="LW169" s="173"/>
      <c r="LX169" s="173"/>
      <c r="LY169" s="173"/>
      <c r="LZ169" s="173"/>
      <c r="MA169" s="173"/>
      <c r="MB169" s="173"/>
      <c r="MC169" s="173"/>
      <c r="MD169" s="125"/>
      <c r="ME169" s="125"/>
      <c r="MF169" s="134"/>
      <c r="MG169" s="135"/>
      <c r="MH169" s="135"/>
      <c r="MI169" s="135"/>
      <c r="MJ169" s="135"/>
      <c r="MK169" s="173"/>
      <c r="ML169" s="173"/>
      <c r="MM169" s="173"/>
      <c r="MN169" s="173"/>
      <c r="MO169" s="173"/>
      <c r="MP169" s="173"/>
      <c r="MQ169" s="173"/>
      <c r="MR169" s="173"/>
      <c r="MS169" s="173"/>
      <c r="MT169" s="173"/>
      <c r="MU169" s="125"/>
      <c r="MV169" s="125"/>
      <c r="MW169" s="134"/>
      <c r="MX169" s="135"/>
      <c r="MY169" s="135"/>
      <c r="MZ169" s="135"/>
      <c r="NA169" s="135"/>
      <c r="NB169" s="173"/>
      <c r="NC169" s="173"/>
      <c r="ND169" s="173"/>
      <c r="NE169" s="173"/>
      <c r="NF169" s="173"/>
      <c r="NG169" s="173"/>
      <c r="NH169" s="173"/>
      <c r="NI169" s="173"/>
      <c r="NJ169" s="173"/>
      <c r="NK169" s="173"/>
      <c r="NL169" s="125"/>
      <c r="NM169" s="125"/>
      <c r="NN169" s="134"/>
      <c r="NO169" s="135"/>
      <c r="NP169" s="135"/>
      <c r="NQ169" s="135"/>
      <c r="NR169" s="135"/>
      <c r="NS169" s="173"/>
      <c r="NT169" s="173"/>
      <c r="NU169" s="173"/>
      <c r="NV169" s="173"/>
      <c r="NW169" s="173"/>
      <c r="NX169" s="173"/>
      <c r="NY169" s="173"/>
      <c r="NZ169" s="173"/>
      <c r="OA169" s="173"/>
      <c r="OB169" s="173"/>
      <c r="OC169" s="125"/>
      <c r="OD169" s="125"/>
      <c r="OE169" s="134"/>
      <c r="OF169" s="135"/>
      <c r="OG169" s="135"/>
      <c r="OH169" s="135"/>
      <c r="OI169" s="135"/>
      <c r="OJ169" s="173"/>
      <c r="OK169" s="173"/>
      <c r="OL169" s="173"/>
      <c r="OM169" s="173"/>
      <c r="ON169" s="173"/>
      <c r="OO169" s="173"/>
      <c r="OP169" s="173"/>
      <c r="OQ169" s="173"/>
      <c r="OR169" s="173"/>
      <c r="OS169" s="173"/>
      <c r="OT169" s="125"/>
      <c r="OU169" s="125"/>
      <c r="OV169" s="134"/>
      <c r="OW169" s="135"/>
      <c r="OX169" s="135"/>
      <c r="OY169" s="135"/>
      <c r="OZ169" s="135"/>
      <c r="PA169" s="173"/>
      <c r="PB169" s="173"/>
      <c r="PC169" s="173"/>
      <c r="PD169" s="173"/>
      <c r="PE169" s="173"/>
      <c r="PF169" s="173"/>
      <c r="PG169" s="173"/>
      <c r="PH169" s="173"/>
      <c r="PI169" s="173"/>
      <c r="PJ169" s="173"/>
      <c r="PK169" s="125"/>
      <c r="PL169" s="125"/>
      <c r="PM169" s="134"/>
      <c r="PN169" s="135"/>
      <c r="PO169" s="135"/>
      <c r="PP169" s="135"/>
      <c r="PQ169" s="135"/>
      <c r="PR169" s="173"/>
      <c r="PS169" s="173"/>
      <c r="PT169" s="173"/>
      <c r="PU169" s="173"/>
      <c r="PV169" s="173"/>
      <c r="PW169" s="173"/>
      <c r="PX169" s="173"/>
      <c r="PY169" s="173"/>
      <c r="PZ169" s="173"/>
      <c r="QA169" s="173"/>
      <c r="QB169" s="125"/>
      <c r="QC169" s="125"/>
      <c r="QD169" s="134"/>
      <c r="QE169" s="135"/>
      <c r="QF169" s="135"/>
      <c r="QG169" s="135"/>
      <c r="QH169" s="135"/>
      <c r="QI169" s="173"/>
      <c r="QJ169" s="173"/>
      <c r="QK169" s="173"/>
      <c r="QL169" s="173"/>
      <c r="QM169" s="173"/>
      <c r="QN169" s="173"/>
      <c r="QO169" s="173"/>
      <c r="QP169" s="173"/>
      <c r="QQ169" s="173"/>
      <c r="QR169" s="173"/>
      <c r="QS169" s="125"/>
      <c r="QT169" s="125"/>
      <c r="QU169" s="134"/>
      <c r="QV169" s="135"/>
      <c r="QW169" s="135"/>
      <c r="QX169" s="135"/>
      <c r="QY169" s="135"/>
      <c r="QZ169" s="173"/>
      <c r="RA169" s="173"/>
      <c r="RB169" s="173"/>
      <c r="RC169" s="173"/>
      <c r="RD169" s="173"/>
      <c r="RE169" s="173"/>
      <c r="RF169" s="173"/>
      <c r="RG169" s="173"/>
      <c r="RH169" s="173"/>
      <c r="RI169" s="173"/>
      <c r="RJ169" s="125"/>
      <c r="RK169" s="125"/>
      <c r="RL169" s="134"/>
      <c r="RM169" s="135"/>
      <c r="RN169" s="135"/>
      <c r="RO169" s="135"/>
      <c r="RP169" s="135"/>
      <c r="RQ169" s="173"/>
      <c r="RR169" s="173"/>
      <c r="RS169" s="173"/>
      <c r="RT169" s="173"/>
      <c r="RU169" s="173"/>
      <c r="RV169" s="173"/>
      <c r="RW169" s="173"/>
      <c r="RX169" s="173"/>
      <c r="RY169" s="173"/>
      <c r="RZ169" s="173"/>
      <c r="SA169" s="125"/>
      <c r="SB169" s="125"/>
      <c r="SC169" s="134"/>
      <c r="SD169" s="135"/>
      <c r="SE169" s="135"/>
      <c r="SF169" s="135"/>
      <c r="SG169" s="135"/>
      <c r="SH169" s="173"/>
      <c r="SI169" s="173"/>
      <c r="SJ169" s="173"/>
      <c r="SK169" s="173"/>
      <c r="SL169" s="173"/>
      <c r="SM169" s="173"/>
      <c r="SN169" s="173"/>
      <c r="SO169" s="173"/>
      <c r="SP169" s="173"/>
      <c r="SQ169" s="173"/>
      <c r="SR169" s="125"/>
      <c r="SS169" s="125"/>
      <c r="ST169" s="134"/>
      <c r="SU169" s="135"/>
      <c r="SV169" s="135"/>
      <c r="SW169" s="135"/>
      <c r="SX169" s="135"/>
      <c r="SY169" s="173"/>
      <c r="SZ169" s="173"/>
      <c r="TA169" s="173"/>
      <c r="TB169" s="173"/>
      <c r="TC169" s="173"/>
      <c r="TD169" s="173"/>
      <c r="TE169" s="173"/>
      <c r="TF169" s="173"/>
      <c r="TG169" s="173"/>
      <c r="TH169" s="173"/>
      <c r="TI169" s="125"/>
      <c r="TJ169" s="125"/>
      <c r="TK169" s="134"/>
      <c r="TL169" s="135"/>
      <c r="TM169" s="135"/>
      <c r="TN169" s="135"/>
      <c r="TO169" s="135"/>
      <c r="TP169" s="173"/>
      <c r="TQ169" s="173"/>
      <c r="TR169" s="173"/>
      <c r="TS169" s="173"/>
      <c r="TT169" s="173"/>
      <c r="TU169" s="173"/>
      <c r="TV169" s="173"/>
      <c r="TW169" s="173"/>
      <c r="TX169" s="173"/>
      <c r="TY169" s="173"/>
      <c r="TZ169" s="125"/>
      <c r="UA169" s="125"/>
      <c r="UB169" s="134"/>
      <c r="UC169" s="135"/>
      <c r="UD169" s="135"/>
      <c r="UE169" s="135"/>
      <c r="UF169" s="135"/>
      <c r="UG169" s="173"/>
      <c r="UH169" s="173"/>
      <c r="UI169" s="173"/>
      <c r="UJ169" s="173"/>
      <c r="UK169" s="173"/>
      <c r="UL169" s="173"/>
      <c r="UM169" s="173"/>
      <c r="UN169" s="173"/>
      <c r="UO169" s="173"/>
      <c r="UP169" s="173"/>
      <c r="UQ169" s="125"/>
      <c r="UR169" s="125"/>
      <c r="US169" s="134"/>
      <c r="UT169" s="135"/>
      <c r="UU169" s="135"/>
      <c r="UV169" s="135"/>
      <c r="UW169" s="135"/>
      <c r="UX169" s="173"/>
      <c r="UY169" s="173"/>
      <c r="UZ169" s="173"/>
      <c r="VA169" s="173"/>
      <c r="VB169" s="173"/>
      <c r="VC169" s="173"/>
      <c r="VD169" s="173"/>
      <c r="VE169" s="173"/>
      <c r="VF169" s="173"/>
      <c r="VG169" s="173"/>
      <c r="VH169" s="125"/>
      <c r="VI169" s="125"/>
      <c r="VJ169" s="134"/>
      <c r="VK169" s="135"/>
      <c r="VL169" s="135"/>
      <c r="VM169" s="135"/>
      <c r="VN169" s="135"/>
      <c r="VO169" s="173"/>
      <c r="VP169" s="173"/>
      <c r="VQ169" s="173"/>
      <c r="VR169" s="173"/>
      <c r="VS169" s="173"/>
      <c r="VT169" s="173"/>
      <c r="VU169" s="173"/>
      <c r="VV169" s="173"/>
      <c r="VW169" s="173"/>
      <c r="VX169" s="173"/>
      <c r="VY169" s="125"/>
      <c r="VZ169" s="125"/>
      <c r="WA169" s="134"/>
      <c r="WB169" s="135"/>
      <c r="WC169" s="135"/>
      <c r="WD169" s="135"/>
      <c r="WE169" s="135"/>
      <c r="WF169" s="173"/>
      <c r="WG169" s="173"/>
      <c r="WH169" s="173"/>
      <c r="WI169" s="173"/>
      <c r="WJ169" s="173"/>
      <c r="WK169" s="173"/>
      <c r="WL169" s="173"/>
      <c r="WM169" s="173"/>
      <c r="WN169" s="173"/>
      <c r="WO169" s="173"/>
      <c r="WP169" s="125"/>
      <c r="WQ169" s="125"/>
      <c r="WR169" s="134"/>
      <c r="WS169" s="135"/>
      <c r="WT169" s="135"/>
      <c r="WU169" s="135"/>
      <c r="WV169" s="135"/>
      <c r="WW169" s="173"/>
      <c r="WX169" s="173"/>
      <c r="WY169" s="173"/>
      <c r="WZ169" s="173"/>
      <c r="XA169" s="173"/>
      <c r="XB169" s="173"/>
      <c r="XC169" s="173"/>
      <c r="XD169" s="173"/>
      <c r="XE169" s="173"/>
      <c r="XF169" s="173"/>
      <c r="XG169" s="125"/>
      <c r="XH169" s="125"/>
      <c r="XI169" s="134"/>
      <c r="XJ169" s="135"/>
      <c r="XK169" s="135"/>
      <c r="XL169" s="135"/>
      <c r="XM169" s="135"/>
      <c r="XN169" s="173"/>
      <c r="XO169" s="173"/>
      <c r="XP169" s="173"/>
      <c r="XQ169" s="173"/>
      <c r="XR169" s="173"/>
      <c r="XS169" s="173"/>
      <c r="XT169" s="173"/>
      <c r="XU169" s="173"/>
      <c r="XV169" s="173"/>
      <c r="XW169" s="173"/>
      <c r="XX169" s="125"/>
      <c r="XY169" s="125"/>
      <c r="XZ169" s="134"/>
      <c r="YA169" s="135"/>
      <c r="YB169" s="135"/>
      <c r="YC169" s="135"/>
      <c r="YD169" s="135"/>
      <c r="YE169" s="173"/>
      <c r="YF169" s="173"/>
      <c r="YG169" s="173"/>
      <c r="YH169" s="173"/>
      <c r="YI169" s="173"/>
      <c r="YJ169" s="173"/>
      <c r="YK169" s="173"/>
      <c r="YL169" s="173"/>
      <c r="YM169" s="173"/>
      <c r="YN169" s="173"/>
      <c r="YO169" s="125"/>
      <c r="YP169" s="125"/>
      <c r="YQ169" s="134"/>
      <c r="YR169" s="135"/>
      <c r="YS169" s="135"/>
      <c r="YT169" s="135"/>
      <c r="YU169" s="135"/>
      <c r="YV169" s="173"/>
      <c r="YW169" s="173"/>
      <c r="YX169" s="173"/>
      <c r="YY169" s="173"/>
      <c r="YZ169" s="173"/>
      <c r="ZA169" s="173"/>
      <c r="ZB169" s="173"/>
      <c r="ZC169" s="173"/>
      <c r="ZD169" s="173"/>
      <c r="ZE169" s="173"/>
      <c r="ZF169" s="125"/>
      <c r="ZG169" s="125"/>
      <c r="ZH169" s="134"/>
      <c r="ZI169" s="135"/>
      <c r="ZJ169" s="135"/>
      <c r="ZK169" s="135"/>
      <c r="ZL169" s="135"/>
      <c r="ZM169" s="173"/>
      <c r="ZN169" s="173"/>
      <c r="ZO169" s="173"/>
      <c r="ZP169" s="173"/>
      <c r="ZQ169" s="173"/>
      <c r="ZR169" s="173"/>
      <c r="ZS169" s="173"/>
      <c r="ZT169" s="173"/>
      <c r="ZU169" s="173"/>
      <c r="ZV169" s="173"/>
      <c r="ZW169" s="125"/>
      <c r="ZX169" s="125"/>
      <c r="ZY169" s="134"/>
      <c r="ZZ169" s="135"/>
      <c r="AAA169" s="135"/>
      <c r="AAB169" s="135"/>
      <c r="AAC169" s="135"/>
      <c r="AAD169" s="173"/>
      <c r="AAE169" s="173"/>
      <c r="AAF169" s="173"/>
      <c r="AAG169" s="173"/>
      <c r="AAH169" s="173"/>
      <c r="AAI169" s="173"/>
      <c r="AAJ169" s="173"/>
      <c r="AAK169" s="173"/>
      <c r="AAL169" s="173"/>
      <c r="AAM169" s="173"/>
      <c r="AAN169" s="125"/>
      <c r="AAO169" s="125"/>
      <c r="AAP169" s="134"/>
      <c r="AAQ169" s="135"/>
      <c r="AAR169" s="135"/>
      <c r="AAS169" s="135"/>
      <c r="AAT169" s="135"/>
      <c r="AAU169" s="173"/>
      <c r="AAV169" s="173"/>
      <c r="AAW169" s="173"/>
      <c r="AAX169" s="173"/>
      <c r="AAY169" s="173"/>
      <c r="AAZ169" s="173"/>
      <c r="ABA169" s="173"/>
      <c r="ABB169" s="173"/>
      <c r="ABC169" s="173"/>
      <c r="ABD169" s="173"/>
      <c r="ABE169" s="125"/>
      <c r="ABF169" s="125"/>
      <c r="ABG169" s="134"/>
      <c r="ABH169" s="135"/>
      <c r="ABI169" s="135"/>
      <c r="ABJ169" s="135"/>
      <c r="ABK169" s="135"/>
      <c r="ABL169" s="173"/>
      <c r="ABM169" s="173"/>
      <c r="ABN169" s="173"/>
      <c r="ABO169" s="173"/>
      <c r="ABP169" s="173"/>
      <c r="ABQ169" s="173"/>
      <c r="ABR169" s="173"/>
      <c r="ABS169" s="173"/>
      <c r="ABT169" s="173"/>
      <c r="ABU169" s="173"/>
      <c r="ABV169" s="125"/>
      <c r="ABW169" s="125"/>
      <c r="ABX169" s="134"/>
      <c r="ABY169" s="135"/>
      <c r="ABZ169" s="135"/>
      <c r="ACA169" s="135"/>
      <c r="ACB169" s="135"/>
      <c r="ACC169" s="173"/>
      <c r="ACD169" s="173"/>
      <c r="ACE169" s="173"/>
      <c r="ACF169" s="173"/>
      <c r="ACG169" s="173"/>
      <c r="ACH169" s="173"/>
      <c r="ACI169" s="173"/>
      <c r="ACJ169" s="173"/>
      <c r="ACK169" s="173"/>
      <c r="ACL169" s="173"/>
      <c r="ACM169" s="125"/>
      <c r="ACN169" s="125"/>
      <c r="ACO169" s="134"/>
      <c r="ACP169" s="135"/>
      <c r="ACQ169" s="135"/>
      <c r="ACR169" s="135"/>
      <c r="ACS169" s="135"/>
      <c r="ACT169" s="173"/>
      <c r="ACU169" s="173"/>
      <c r="ACV169" s="173"/>
      <c r="ACW169" s="173"/>
      <c r="ACX169" s="173"/>
      <c r="ACY169" s="173"/>
      <c r="ACZ169" s="173"/>
      <c r="ADA169" s="173"/>
      <c r="ADB169" s="173"/>
      <c r="ADC169" s="173"/>
      <c r="ADD169" s="125"/>
      <c r="ADE169" s="125"/>
      <c r="ADF169" s="134"/>
      <c r="ADG169" s="135"/>
      <c r="ADH169" s="135"/>
      <c r="ADI169" s="135"/>
      <c r="ADJ169" s="135"/>
      <c r="ADK169" s="173"/>
      <c r="ADL169" s="173"/>
      <c r="ADM169" s="173"/>
      <c r="ADN169" s="173"/>
      <c r="ADO169" s="173"/>
      <c r="ADP169" s="173"/>
      <c r="ADQ169" s="173"/>
      <c r="ADR169" s="173"/>
      <c r="ADS169" s="173"/>
      <c r="ADT169" s="173"/>
      <c r="ADU169" s="125"/>
      <c r="ADV169" s="125"/>
      <c r="ADW169" s="134"/>
      <c r="ADX169" s="135"/>
      <c r="ADY169" s="135"/>
      <c r="ADZ169" s="135"/>
      <c r="AEA169" s="135"/>
      <c r="AEB169" s="173"/>
      <c r="AEC169" s="173"/>
      <c r="AED169" s="173"/>
      <c r="AEE169" s="173"/>
      <c r="AEF169" s="173"/>
      <c r="AEG169" s="173"/>
      <c r="AEH169" s="173"/>
      <c r="AEI169" s="173"/>
      <c r="AEJ169" s="173"/>
      <c r="AEK169" s="173"/>
      <c r="AEL169" s="125"/>
      <c r="AEM169" s="125"/>
      <c r="AEN169" s="134"/>
      <c r="AEO169" s="135"/>
      <c r="AEP169" s="135"/>
      <c r="AEQ169" s="135"/>
      <c r="AER169" s="135"/>
      <c r="AES169" s="173"/>
      <c r="AET169" s="173"/>
      <c r="AEU169" s="173"/>
      <c r="AEV169" s="173"/>
      <c r="AEW169" s="173"/>
      <c r="AEX169" s="173"/>
      <c r="AEY169" s="173"/>
      <c r="AEZ169" s="173"/>
      <c r="AFA169" s="173"/>
      <c r="AFB169" s="173"/>
      <c r="AFC169" s="125"/>
      <c r="AFD169" s="125"/>
      <c r="AFE169" s="134"/>
      <c r="AFF169" s="135"/>
      <c r="AFG169" s="135"/>
      <c r="AFH169" s="135"/>
      <c r="AFI169" s="135"/>
      <c r="AFJ169" s="173"/>
      <c r="AFK169" s="173"/>
      <c r="AFL169" s="173"/>
      <c r="AFM169" s="173"/>
      <c r="AFN169" s="173"/>
      <c r="AFO169" s="173"/>
      <c r="AFP169" s="173"/>
      <c r="AFQ169" s="173"/>
      <c r="AFR169" s="173"/>
      <c r="AFS169" s="173"/>
      <c r="AFT169" s="125"/>
      <c r="AFU169" s="125"/>
      <c r="AFV169" s="134"/>
      <c r="AFW169" s="135"/>
      <c r="AFX169" s="135"/>
      <c r="AFY169" s="135"/>
      <c r="AFZ169" s="135"/>
      <c r="AGA169" s="173"/>
      <c r="AGB169" s="173"/>
      <c r="AGC169" s="173"/>
      <c r="AGD169" s="173"/>
      <c r="AGE169" s="173"/>
      <c r="AGF169" s="173"/>
      <c r="AGG169" s="173"/>
      <c r="AGH169" s="173"/>
      <c r="AGI169" s="173"/>
      <c r="AGJ169" s="173"/>
      <c r="AGK169" s="125"/>
      <c r="AGL169" s="125"/>
      <c r="AGM169" s="134"/>
      <c r="AGN169" s="135"/>
      <c r="AGO169" s="135"/>
      <c r="AGP169" s="135"/>
      <c r="AGQ169" s="135"/>
      <c r="AGR169" s="173"/>
      <c r="AGS169" s="173"/>
      <c r="AGT169" s="173"/>
      <c r="AGU169" s="173"/>
      <c r="AGV169" s="173"/>
      <c r="AGW169" s="173"/>
      <c r="AGX169" s="173"/>
      <c r="AGY169" s="173"/>
      <c r="AGZ169" s="173"/>
      <c r="AHA169" s="173"/>
      <c r="AHB169" s="125"/>
      <c r="AHC169" s="125"/>
      <c r="AHD169" s="134"/>
      <c r="AHE169" s="135"/>
      <c r="AHF169" s="135"/>
      <c r="AHG169" s="135"/>
      <c r="AHH169" s="135"/>
      <c r="AHI169" s="173"/>
      <c r="AHJ169" s="173"/>
      <c r="AHK169" s="173"/>
      <c r="AHL169" s="173"/>
      <c r="AHM169" s="173"/>
      <c r="AHN169" s="173"/>
      <c r="AHO169" s="173"/>
      <c r="AHP169" s="173"/>
      <c r="AHQ169" s="173"/>
      <c r="AHR169" s="173"/>
      <c r="AHS169" s="125"/>
      <c r="AHT169" s="125"/>
      <c r="AHU169" s="134"/>
      <c r="AHV169" s="135"/>
      <c r="AHW169" s="135"/>
      <c r="AHX169" s="135"/>
      <c r="AHY169" s="135"/>
      <c r="AHZ169" s="173"/>
      <c r="AIA169" s="173"/>
      <c r="AIB169" s="173"/>
      <c r="AIC169" s="173"/>
      <c r="AID169" s="173"/>
      <c r="AIE169" s="173"/>
      <c r="AIF169" s="173"/>
      <c r="AIG169" s="173"/>
      <c r="AIH169" s="173"/>
      <c r="AII169" s="173"/>
      <c r="AIJ169" s="125"/>
      <c r="AIK169" s="125"/>
      <c r="AIL169" s="134"/>
      <c r="AIM169" s="135"/>
      <c r="AIN169" s="135"/>
      <c r="AIO169" s="135"/>
      <c r="AIP169" s="135"/>
      <c r="AIQ169" s="173"/>
      <c r="AIR169" s="173"/>
      <c r="AIS169" s="173"/>
      <c r="AIT169" s="173"/>
      <c r="AIU169" s="173"/>
      <c r="AIV169" s="173"/>
      <c r="AIW169" s="173"/>
      <c r="AIX169" s="173"/>
      <c r="AIY169" s="173"/>
      <c r="AIZ169" s="173"/>
      <c r="AJA169" s="125"/>
      <c r="AJB169" s="125"/>
      <c r="AJC169" s="134"/>
      <c r="AJD169" s="135"/>
      <c r="AJE169" s="135"/>
      <c r="AJF169" s="135"/>
      <c r="AJG169" s="135"/>
      <c r="AJH169" s="173"/>
      <c r="AJI169" s="173"/>
      <c r="AJJ169" s="173"/>
      <c r="AJK169" s="173"/>
      <c r="AJL169" s="173"/>
      <c r="AJM169" s="173"/>
      <c r="AJN169" s="173"/>
      <c r="AJO169" s="173"/>
      <c r="AJP169" s="173"/>
      <c r="AJQ169" s="173"/>
      <c r="AJR169" s="125"/>
      <c r="AJS169" s="125"/>
      <c r="AJT169" s="134"/>
      <c r="AJU169" s="135"/>
      <c r="AJV169" s="135"/>
      <c r="AJW169" s="135"/>
      <c r="AJX169" s="135"/>
      <c r="AJY169" s="173"/>
      <c r="AJZ169" s="173"/>
      <c r="AKA169" s="173"/>
      <c r="AKB169" s="173"/>
      <c r="AKC169" s="173"/>
      <c r="AKD169" s="173"/>
      <c r="AKE169" s="173"/>
      <c r="AKF169" s="173"/>
      <c r="AKG169" s="173"/>
      <c r="AKH169" s="173"/>
      <c r="AKI169" s="125"/>
      <c r="AKJ169" s="125"/>
      <c r="AKK169" s="134"/>
      <c r="AKL169" s="135"/>
      <c r="AKM169" s="135"/>
      <c r="AKN169" s="135"/>
      <c r="AKO169" s="135"/>
      <c r="AKP169" s="173"/>
      <c r="AKQ169" s="173"/>
      <c r="AKR169" s="173"/>
      <c r="AKS169" s="173"/>
      <c r="AKT169" s="173"/>
      <c r="AKU169" s="173"/>
      <c r="AKV169" s="173"/>
      <c r="AKW169" s="173"/>
      <c r="AKX169" s="173"/>
      <c r="AKY169" s="173"/>
      <c r="AKZ169" s="125"/>
      <c r="ALA169" s="125"/>
      <c r="ALB169" s="134"/>
      <c r="ALC169" s="135"/>
      <c r="ALD169" s="135"/>
      <c r="ALE169" s="135"/>
      <c r="ALF169" s="135"/>
      <c r="ALG169" s="173"/>
      <c r="ALH169" s="173"/>
      <c r="ALI169" s="173"/>
      <c r="ALJ169" s="173"/>
      <c r="ALK169" s="173"/>
      <c r="ALL169" s="173"/>
      <c r="ALM169" s="173"/>
      <c r="ALN169" s="173"/>
      <c r="ALO169" s="173"/>
      <c r="ALP169" s="173"/>
      <c r="ALQ169" s="125"/>
      <c r="ALR169" s="125"/>
      <c r="ALS169" s="134"/>
      <c r="ALT169" s="135"/>
      <c r="ALU169" s="135"/>
      <c r="ALV169" s="135"/>
      <c r="ALW169" s="135"/>
      <c r="ALX169" s="173"/>
      <c r="ALY169" s="173"/>
      <c r="ALZ169" s="173"/>
      <c r="AMA169" s="173"/>
      <c r="AMB169" s="173"/>
      <c r="AMC169" s="173"/>
      <c r="AMD169" s="173"/>
      <c r="AME169" s="173"/>
      <c r="AMF169" s="173"/>
      <c r="AMG169" s="173"/>
      <c r="AMH169" s="125"/>
      <c r="AMI169" s="125"/>
      <c r="AMJ169" s="134"/>
      <c r="AMK169" s="135"/>
      <c r="AML169" s="135"/>
      <c r="AMM169" s="135"/>
      <c r="AMN169" s="135"/>
      <c r="AMO169" s="173"/>
      <c r="AMP169" s="173"/>
      <c r="AMQ169" s="173"/>
      <c r="AMR169" s="173"/>
      <c r="AMS169" s="173"/>
      <c r="AMT169" s="173"/>
      <c r="AMU169" s="173"/>
      <c r="AMV169" s="173"/>
      <c r="AMW169" s="173"/>
      <c r="AMX169" s="173"/>
      <c r="AMY169" s="125"/>
      <c r="AMZ169" s="125"/>
      <c r="ANA169" s="134"/>
      <c r="ANB169" s="135"/>
      <c r="ANC169" s="135"/>
      <c r="AND169" s="135"/>
      <c r="ANE169" s="135"/>
      <c r="ANF169" s="173"/>
      <c r="ANG169" s="173"/>
      <c r="ANH169" s="173"/>
      <c r="ANI169" s="173"/>
      <c r="ANJ169" s="173"/>
      <c r="ANK169" s="173"/>
      <c r="ANL169" s="173"/>
      <c r="ANM169" s="173"/>
      <c r="ANN169" s="173"/>
      <c r="ANO169" s="173"/>
      <c r="ANP169" s="125"/>
      <c r="ANQ169" s="125"/>
      <c r="ANR169" s="134"/>
      <c r="ANS169" s="135"/>
      <c r="ANT169" s="135"/>
      <c r="ANU169" s="135"/>
      <c r="ANV169" s="135"/>
      <c r="ANW169" s="173"/>
      <c r="ANX169" s="173"/>
      <c r="ANY169" s="173"/>
      <c r="ANZ169" s="173"/>
      <c r="AOA169" s="173"/>
      <c r="AOB169" s="173"/>
      <c r="AOC169" s="173"/>
      <c r="AOD169" s="173"/>
      <c r="AOE169" s="173"/>
      <c r="AOF169" s="173"/>
      <c r="AOG169" s="125"/>
      <c r="AOH169" s="125"/>
      <c r="AOI169" s="134"/>
      <c r="AOJ169" s="135"/>
      <c r="AOK169" s="135"/>
      <c r="AOL169" s="135"/>
      <c r="AOM169" s="135"/>
      <c r="AON169" s="173"/>
      <c r="AOO169" s="173"/>
      <c r="AOP169" s="173"/>
      <c r="AOQ169" s="173"/>
      <c r="AOR169" s="173"/>
      <c r="AOS169" s="173"/>
      <c r="AOT169" s="173"/>
      <c r="AOU169" s="173"/>
      <c r="AOV169" s="173"/>
      <c r="AOW169" s="173"/>
      <c r="AOX169" s="125"/>
      <c r="AOY169" s="125"/>
      <c r="AOZ169" s="134"/>
      <c r="APA169" s="135"/>
      <c r="APB169" s="135"/>
      <c r="APC169" s="135"/>
      <c r="APD169" s="135"/>
      <c r="APE169" s="173"/>
      <c r="APF169" s="173"/>
      <c r="APG169" s="173"/>
      <c r="APH169" s="173"/>
      <c r="API169" s="173"/>
      <c r="APJ169" s="173"/>
      <c r="APK169" s="173"/>
      <c r="APL169" s="173"/>
      <c r="APM169" s="173"/>
      <c r="APN169" s="173"/>
      <c r="APO169" s="125"/>
      <c r="APP169" s="125"/>
      <c r="APQ169" s="134"/>
      <c r="APR169" s="135"/>
      <c r="APS169" s="135"/>
      <c r="APT169" s="135"/>
      <c r="APU169" s="135"/>
      <c r="APV169" s="173"/>
      <c r="APW169" s="173"/>
      <c r="APX169" s="173"/>
      <c r="APY169" s="173"/>
      <c r="APZ169" s="173"/>
      <c r="AQA169" s="173"/>
      <c r="AQB169" s="173"/>
      <c r="AQC169" s="173"/>
      <c r="AQD169" s="173"/>
      <c r="AQE169" s="173"/>
      <c r="AQF169" s="125"/>
      <c r="AQG169" s="125"/>
      <c r="AQH169" s="134"/>
      <c r="AQI169" s="135"/>
      <c r="AQJ169" s="135"/>
      <c r="AQK169" s="135"/>
      <c r="AQL169" s="135"/>
      <c r="AQM169" s="173"/>
      <c r="AQN169" s="173"/>
      <c r="AQO169" s="173"/>
      <c r="AQP169" s="173"/>
      <c r="AQQ169" s="173"/>
      <c r="AQR169" s="173"/>
      <c r="AQS169" s="173"/>
      <c r="AQT169" s="173"/>
      <c r="AQU169" s="173"/>
      <c r="AQV169" s="173"/>
      <c r="AQW169" s="125"/>
      <c r="AQX169" s="125"/>
      <c r="AQY169" s="134"/>
      <c r="AQZ169" s="135"/>
      <c r="ARA169" s="135"/>
      <c r="ARB169" s="135"/>
      <c r="ARC169" s="135"/>
      <c r="ARD169" s="173"/>
      <c r="ARE169" s="173"/>
      <c r="ARF169" s="173"/>
      <c r="ARG169" s="173"/>
      <c r="ARH169" s="173"/>
      <c r="ARI169" s="173"/>
      <c r="ARJ169" s="173"/>
      <c r="ARK169" s="173"/>
      <c r="ARL169" s="173"/>
      <c r="ARM169" s="173"/>
      <c r="ARN169" s="125"/>
      <c r="ARO169" s="125"/>
      <c r="ARP169" s="134"/>
      <c r="ARQ169" s="135"/>
      <c r="ARR169" s="135"/>
      <c r="ARS169" s="135"/>
      <c r="ART169" s="135"/>
      <c r="ARU169" s="173"/>
      <c r="ARV169" s="173"/>
      <c r="ARW169" s="173"/>
      <c r="ARX169" s="173"/>
      <c r="ARY169" s="173"/>
      <c r="ARZ169" s="173"/>
      <c r="ASA169" s="173"/>
      <c r="ASB169" s="173"/>
      <c r="ASC169" s="173"/>
      <c r="ASD169" s="173"/>
      <c r="ASE169" s="125"/>
      <c r="ASF169" s="125"/>
      <c r="ASG169" s="134"/>
      <c r="ASH169" s="135"/>
      <c r="ASI169" s="135"/>
      <c r="ASJ169" s="135"/>
      <c r="ASK169" s="135"/>
      <c r="ASL169" s="173"/>
      <c r="ASM169" s="173"/>
      <c r="ASN169" s="173"/>
      <c r="ASO169" s="173"/>
      <c r="ASP169" s="173"/>
      <c r="ASQ169" s="173"/>
      <c r="ASR169" s="173"/>
      <c r="ASS169" s="173"/>
      <c r="AST169" s="173"/>
      <c r="ASU169" s="173"/>
      <c r="ASV169" s="125"/>
      <c r="ASW169" s="125"/>
      <c r="ASX169" s="134"/>
      <c r="ASY169" s="135"/>
      <c r="ASZ169" s="135"/>
      <c r="ATA169" s="135"/>
      <c r="ATB169" s="135"/>
      <c r="ATC169" s="173"/>
      <c r="ATD169" s="173"/>
      <c r="ATE169" s="173"/>
      <c r="ATF169" s="173"/>
      <c r="ATG169" s="173"/>
      <c r="ATH169" s="173"/>
      <c r="ATI169" s="173"/>
      <c r="ATJ169" s="173"/>
      <c r="ATK169" s="173"/>
      <c r="ATL169" s="173"/>
      <c r="ATM169" s="125"/>
      <c r="ATN169" s="125"/>
      <c r="ATO169" s="134"/>
      <c r="ATP169" s="135"/>
      <c r="ATQ169" s="135"/>
      <c r="ATR169" s="135"/>
      <c r="ATS169" s="135"/>
      <c r="ATT169" s="173"/>
      <c r="ATU169" s="173"/>
      <c r="ATV169" s="173"/>
      <c r="ATW169" s="173"/>
      <c r="ATX169" s="173"/>
      <c r="ATY169" s="173"/>
      <c r="ATZ169" s="173"/>
      <c r="AUA169" s="173"/>
      <c r="AUB169" s="173"/>
      <c r="AUC169" s="173"/>
      <c r="AUD169" s="125"/>
      <c r="AUE169" s="125"/>
      <c r="AUF169" s="134"/>
      <c r="AUG169" s="135"/>
      <c r="AUH169" s="135"/>
      <c r="AUI169" s="135"/>
      <c r="AUJ169" s="135"/>
      <c r="AUK169" s="173"/>
      <c r="AUL169" s="173"/>
      <c r="AUM169" s="173"/>
      <c r="AUN169" s="173"/>
      <c r="AUO169" s="173"/>
      <c r="AUP169" s="173"/>
      <c r="AUQ169" s="173"/>
      <c r="AUR169" s="173"/>
      <c r="AUS169" s="173"/>
      <c r="AUT169" s="173"/>
      <c r="AUU169" s="125"/>
      <c r="AUV169" s="125"/>
      <c r="AUW169" s="134"/>
      <c r="AUX169" s="135"/>
      <c r="AUY169" s="135"/>
      <c r="AUZ169" s="135"/>
      <c r="AVA169" s="135"/>
      <c r="AVB169" s="173"/>
      <c r="AVC169" s="173"/>
      <c r="AVD169" s="173"/>
      <c r="AVE169" s="173"/>
      <c r="AVF169" s="173"/>
      <c r="AVG169" s="173"/>
      <c r="AVH169" s="173"/>
      <c r="AVI169" s="173"/>
      <c r="AVJ169" s="173"/>
      <c r="AVK169" s="173"/>
      <c r="AVL169" s="125"/>
      <c r="AVM169" s="125"/>
      <c r="AVN169" s="134"/>
      <c r="AVO169" s="135"/>
      <c r="AVP169" s="135"/>
      <c r="AVQ169" s="135"/>
      <c r="AVR169" s="135"/>
      <c r="AVS169" s="173"/>
      <c r="AVT169" s="173"/>
      <c r="AVU169" s="173"/>
      <c r="AVV169" s="173"/>
      <c r="AVW169" s="173"/>
      <c r="AVX169" s="173"/>
      <c r="AVY169" s="173"/>
      <c r="AVZ169" s="173"/>
      <c r="AWA169" s="173"/>
      <c r="AWB169" s="173"/>
      <c r="AWC169" s="125"/>
      <c r="AWD169" s="125"/>
      <c r="AWE169" s="134"/>
      <c r="AWF169" s="135"/>
      <c r="AWG169" s="135"/>
      <c r="AWH169" s="135"/>
      <c r="AWI169" s="135"/>
      <c r="AWJ169" s="173"/>
      <c r="AWK169" s="173"/>
      <c r="AWL169" s="173"/>
      <c r="AWM169" s="173"/>
      <c r="AWN169" s="173"/>
      <c r="AWO169" s="173"/>
      <c r="AWP169" s="173"/>
      <c r="AWQ169" s="173"/>
      <c r="AWR169" s="173"/>
      <c r="AWS169" s="173"/>
      <c r="AWT169" s="125"/>
      <c r="AWU169" s="125"/>
      <c r="AWV169" s="134"/>
      <c r="AWW169" s="135"/>
      <c r="AWX169" s="135"/>
      <c r="AWY169" s="135"/>
      <c r="AWZ169" s="135"/>
      <c r="AXA169" s="173"/>
      <c r="AXB169" s="173"/>
      <c r="AXC169" s="173"/>
      <c r="AXD169" s="173"/>
      <c r="AXE169" s="173"/>
      <c r="AXF169" s="173"/>
      <c r="AXG169" s="173"/>
      <c r="AXH169" s="173"/>
      <c r="AXI169" s="173"/>
      <c r="AXJ169" s="173"/>
      <c r="AXK169" s="125"/>
      <c r="AXL169" s="125"/>
      <c r="AXM169" s="134"/>
      <c r="AXN169" s="135"/>
      <c r="AXO169" s="135"/>
      <c r="AXP169" s="135"/>
      <c r="AXQ169" s="135"/>
      <c r="AXR169" s="173"/>
      <c r="AXS169" s="173"/>
      <c r="AXT169" s="173"/>
      <c r="AXU169" s="173"/>
      <c r="AXV169" s="173"/>
      <c r="AXW169" s="173"/>
      <c r="AXX169" s="173"/>
      <c r="AXY169" s="173"/>
      <c r="AXZ169" s="173"/>
      <c r="AYA169" s="173"/>
      <c r="AYB169" s="125"/>
      <c r="AYC169" s="125"/>
      <c r="AYD169" s="134"/>
      <c r="AYE169" s="135"/>
      <c r="AYF169" s="135"/>
      <c r="AYG169" s="135"/>
      <c r="AYH169" s="135"/>
      <c r="AYI169" s="173"/>
      <c r="AYJ169" s="173"/>
      <c r="AYK169" s="173"/>
      <c r="AYL169" s="173"/>
      <c r="AYM169" s="173"/>
      <c r="AYN169" s="173"/>
      <c r="AYO169" s="173"/>
      <c r="AYP169" s="173"/>
      <c r="AYQ169" s="173"/>
      <c r="AYR169" s="173"/>
      <c r="AYS169" s="125"/>
      <c r="AYT169" s="125"/>
      <c r="AYU169" s="134"/>
      <c r="AYV169" s="135"/>
      <c r="AYW169" s="135"/>
      <c r="AYX169" s="135"/>
      <c r="AYY169" s="135"/>
      <c r="AYZ169" s="173"/>
      <c r="AZA169" s="173"/>
      <c r="AZB169" s="173"/>
      <c r="AZC169" s="173"/>
      <c r="AZD169" s="173"/>
      <c r="AZE169" s="173"/>
      <c r="AZF169" s="173"/>
      <c r="AZG169" s="173"/>
      <c r="AZH169" s="173"/>
      <c r="AZI169" s="173"/>
      <c r="AZJ169" s="125"/>
      <c r="AZK169" s="125"/>
      <c r="AZL169" s="134"/>
      <c r="AZM169" s="135"/>
      <c r="AZN169" s="135"/>
      <c r="AZO169" s="135"/>
      <c r="AZP169" s="135"/>
      <c r="AZQ169" s="173"/>
      <c r="AZR169" s="173"/>
      <c r="AZS169" s="173"/>
      <c r="AZT169" s="173"/>
      <c r="AZU169" s="173"/>
      <c r="AZV169" s="173"/>
      <c r="AZW169" s="173"/>
      <c r="AZX169" s="173"/>
      <c r="AZY169" s="173"/>
      <c r="AZZ169" s="173"/>
      <c r="BAA169" s="125"/>
      <c r="BAB169" s="125"/>
      <c r="BAC169" s="134"/>
      <c r="BAD169" s="135"/>
      <c r="BAE169" s="135"/>
      <c r="BAF169" s="135"/>
      <c r="BAG169" s="135"/>
      <c r="BAH169" s="173"/>
      <c r="BAI169" s="173"/>
      <c r="BAJ169" s="173"/>
      <c r="BAK169" s="173"/>
      <c r="BAL169" s="173"/>
      <c r="BAM169" s="173"/>
      <c r="BAN169" s="173"/>
      <c r="BAO169" s="173"/>
      <c r="BAP169" s="173"/>
      <c r="BAQ169" s="173"/>
      <c r="BAR169" s="125"/>
      <c r="BAS169" s="125"/>
      <c r="BAT169" s="134"/>
      <c r="BAU169" s="135"/>
      <c r="BAV169" s="135"/>
      <c r="BAW169" s="135"/>
      <c r="BAX169" s="135"/>
      <c r="BAY169" s="173"/>
      <c r="BAZ169" s="173"/>
      <c r="BBA169" s="173"/>
      <c r="BBB169" s="173"/>
      <c r="BBC169" s="173"/>
      <c r="BBD169" s="173"/>
      <c r="BBE169" s="173"/>
      <c r="BBF169" s="173"/>
      <c r="BBG169" s="173"/>
      <c r="BBH169" s="173"/>
      <c r="BBI169" s="125"/>
      <c r="BBJ169" s="125"/>
      <c r="BBK169" s="134"/>
      <c r="BBL169" s="135"/>
      <c r="BBM169" s="135"/>
      <c r="BBN169" s="135"/>
      <c r="BBO169" s="135"/>
      <c r="BBP169" s="173"/>
      <c r="BBQ169" s="173"/>
      <c r="BBR169" s="173"/>
      <c r="BBS169" s="173"/>
      <c r="BBT169" s="173"/>
      <c r="BBU169" s="173"/>
      <c r="BBV169" s="173"/>
      <c r="BBW169" s="173"/>
      <c r="BBX169" s="173"/>
      <c r="BBY169" s="173"/>
      <c r="BBZ169" s="125"/>
      <c r="BCA169" s="125"/>
      <c r="BCB169" s="134"/>
      <c r="BCC169" s="135"/>
      <c r="BCD169" s="135"/>
      <c r="BCE169" s="135"/>
      <c r="BCF169" s="135"/>
      <c r="BCG169" s="173"/>
      <c r="BCH169" s="173"/>
      <c r="BCI169" s="173"/>
      <c r="BCJ169" s="173"/>
      <c r="BCK169" s="173"/>
      <c r="BCL169" s="173"/>
      <c r="BCM169" s="173"/>
      <c r="BCN169" s="173"/>
      <c r="BCO169" s="173"/>
      <c r="BCP169" s="173"/>
      <c r="BCQ169" s="125"/>
      <c r="BCR169" s="125"/>
      <c r="BCS169" s="134"/>
      <c r="BCT169" s="135"/>
      <c r="BCU169" s="135"/>
      <c r="BCV169" s="135"/>
      <c r="BCW169" s="135"/>
      <c r="BCX169" s="173"/>
      <c r="BCY169" s="173"/>
      <c r="BCZ169" s="173"/>
      <c r="BDA169" s="173"/>
      <c r="BDB169" s="173"/>
      <c r="BDC169" s="173"/>
      <c r="BDD169" s="173"/>
      <c r="BDE169" s="173"/>
      <c r="BDF169" s="173"/>
      <c r="BDG169" s="173"/>
      <c r="BDH169" s="125"/>
      <c r="BDI169" s="125"/>
      <c r="BDJ169" s="134"/>
      <c r="BDK169" s="135"/>
      <c r="BDL169" s="135"/>
      <c r="BDM169" s="135"/>
      <c r="BDN169" s="135"/>
      <c r="BDO169" s="173"/>
      <c r="BDP169" s="173"/>
      <c r="BDQ169" s="173"/>
      <c r="BDR169" s="173"/>
      <c r="BDS169" s="173"/>
      <c r="BDT169" s="173"/>
      <c r="BDU169" s="173"/>
      <c r="BDV169" s="173"/>
      <c r="BDW169" s="173"/>
      <c r="BDX169" s="173"/>
      <c r="BDY169" s="125"/>
      <c r="BDZ169" s="125"/>
      <c r="BEA169" s="134"/>
      <c r="BEB169" s="135"/>
      <c r="BEC169" s="135"/>
      <c r="BED169" s="135"/>
      <c r="BEE169" s="135"/>
      <c r="BEF169" s="173"/>
      <c r="BEG169" s="173"/>
      <c r="BEH169" s="173"/>
      <c r="BEI169" s="173"/>
      <c r="BEJ169" s="173"/>
      <c r="BEK169" s="173"/>
      <c r="BEL169" s="173"/>
      <c r="BEM169" s="173"/>
      <c r="BEN169" s="173"/>
      <c r="BEO169" s="173"/>
      <c r="BEP169" s="125"/>
      <c r="BEQ169" s="125"/>
      <c r="BER169" s="134"/>
      <c r="BES169" s="135"/>
      <c r="BET169" s="135"/>
      <c r="BEU169" s="135"/>
      <c r="BEV169" s="135"/>
      <c r="BEW169" s="173"/>
      <c r="BEX169" s="173"/>
      <c r="BEY169" s="173"/>
      <c r="BEZ169" s="173"/>
      <c r="BFA169" s="173"/>
      <c r="BFB169" s="173"/>
      <c r="BFC169" s="173"/>
      <c r="BFD169" s="173"/>
      <c r="BFE169" s="173"/>
      <c r="BFF169" s="173"/>
      <c r="BFG169" s="125"/>
      <c r="BFH169" s="125"/>
      <c r="BFI169" s="134"/>
      <c r="BFJ169" s="135"/>
      <c r="BFK169" s="135"/>
      <c r="BFL169" s="135"/>
      <c r="BFM169" s="135"/>
      <c r="BFN169" s="173"/>
      <c r="BFO169" s="173"/>
      <c r="BFP169" s="173"/>
      <c r="BFQ169" s="173"/>
      <c r="BFR169" s="173"/>
      <c r="BFS169" s="173"/>
      <c r="BFT169" s="173"/>
      <c r="BFU169" s="173"/>
      <c r="BFV169" s="173"/>
      <c r="BFW169" s="173"/>
      <c r="BFX169" s="125"/>
      <c r="BFY169" s="125"/>
      <c r="BFZ169" s="134"/>
      <c r="BGA169" s="135"/>
      <c r="BGB169" s="135"/>
      <c r="BGC169" s="135"/>
      <c r="BGD169" s="135"/>
      <c r="BGE169" s="173"/>
      <c r="BGF169" s="173"/>
      <c r="BGG169" s="173"/>
      <c r="BGH169" s="173"/>
      <c r="BGI169" s="173"/>
      <c r="BGJ169" s="173"/>
      <c r="BGK169" s="173"/>
      <c r="BGL169" s="173"/>
      <c r="BGM169" s="173"/>
      <c r="BGN169" s="173"/>
      <c r="BGO169" s="125"/>
      <c r="BGP169" s="125"/>
      <c r="BGQ169" s="134"/>
      <c r="BGR169" s="135"/>
      <c r="BGS169" s="135"/>
      <c r="BGT169" s="135"/>
      <c r="BGU169" s="135"/>
      <c r="BGV169" s="173"/>
      <c r="BGW169" s="173"/>
      <c r="BGX169" s="173"/>
      <c r="BGY169" s="173"/>
      <c r="BGZ169" s="173"/>
      <c r="BHA169" s="173"/>
      <c r="BHB169" s="173"/>
      <c r="BHC169" s="173"/>
      <c r="BHD169" s="173"/>
      <c r="BHE169" s="173"/>
      <c r="BHF169" s="125"/>
      <c r="BHG169" s="125"/>
      <c r="BHH169" s="134"/>
      <c r="BHI169" s="135"/>
      <c r="BHJ169" s="135"/>
      <c r="BHK169" s="135"/>
      <c r="BHL169" s="135"/>
      <c r="BHM169" s="173"/>
      <c r="BHN169" s="173"/>
      <c r="BHO169" s="173"/>
      <c r="BHP169" s="173"/>
      <c r="BHQ169" s="173"/>
      <c r="BHR169" s="173"/>
      <c r="BHS169" s="173"/>
      <c r="BHT169" s="173"/>
      <c r="BHU169" s="173"/>
      <c r="BHV169" s="173"/>
      <c r="BHW169" s="125"/>
      <c r="BHX169" s="125"/>
      <c r="BHY169" s="134"/>
      <c r="BHZ169" s="135"/>
      <c r="BIA169" s="135"/>
      <c r="BIB169" s="135"/>
      <c r="BIC169" s="135"/>
      <c r="BID169" s="173"/>
      <c r="BIE169" s="173"/>
      <c r="BIF169" s="173"/>
      <c r="BIG169" s="173"/>
      <c r="BIH169" s="173"/>
      <c r="BII169" s="173"/>
      <c r="BIJ169" s="173"/>
      <c r="BIK169" s="173"/>
      <c r="BIL169" s="173"/>
      <c r="BIM169" s="173"/>
      <c r="BIN169" s="125"/>
      <c r="BIO169" s="125"/>
      <c r="BIP169" s="134"/>
      <c r="BIQ169" s="135"/>
      <c r="BIR169" s="135"/>
      <c r="BIS169" s="135"/>
      <c r="BIT169" s="135"/>
      <c r="BIU169" s="173"/>
      <c r="BIV169" s="173"/>
      <c r="BIW169" s="173"/>
      <c r="BIX169" s="173"/>
      <c r="BIY169" s="173"/>
      <c r="BIZ169" s="173"/>
      <c r="BJA169" s="173"/>
      <c r="BJB169" s="173"/>
      <c r="BJC169" s="173"/>
      <c r="BJD169" s="173"/>
      <c r="BJE169" s="125"/>
      <c r="BJF169" s="125"/>
      <c r="BJG169" s="134"/>
      <c r="BJH169" s="135"/>
      <c r="BJI169" s="135"/>
      <c r="BJJ169" s="135"/>
      <c r="BJK169" s="135"/>
      <c r="BJL169" s="173"/>
      <c r="BJM169" s="173"/>
      <c r="BJN169" s="173"/>
      <c r="BJO169" s="173"/>
      <c r="BJP169" s="173"/>
      <c r="BJQ169" s="173"/>
      <c r="BJR169" s="173"/>
      <c r="BJS169" s="173"/>
      <c r="BJT169" s="173"/>
      <c r="BJU169" s="173"/>
      <c r="BJV169" s="125"/>
      <c r="BJW169" s="125"/>
      <c r="BJX169" s="134"/>
      <c r="BJY169" s="135"/>
      <c r="BJZ169" s="135"/>
      <c r="BKA169" s="135"/>
      <c r="BKB169" s="135"/>
      <c r="BKC169" s="173"/>
      <c r="BKD169" s="173"/>
      <c r="BKE169" s="173"/>
      <c r="BKF169" s="173"/>
      <c r="BKG169" s="173"/>
      <c r="BKH169" s="173"/>
      <c r="BKI169" s="173"/>
      <c r="BKJ169" s="173"/>
      <c r="BKK169" s="173"/>
      <c r="BKL169" s="173"/>
      <c r="BKM169" s="125"/>
      <c r="BKN169" s="125"/>
      <c r="BKO169" s="134"/>
      <c r="BKP169" s="135"/>
      <c r="BKQ169" s="135"/>
      <c r="BKR169" s="135"/>
      <c r="BKS169" s="135"/>
      <c r="BKT169" s="173"/>
      <c r="BKU169" s="173"/>
      <c r="BKV169" s="173"/>
      <c r="BKW169" s="173"/>
      <c r="BKX169" s="173"/>
      <c r="BKY169" s="173"/>
      <c r="BKZ169" s="173"/>
      <c r="BLA169" s="173"/>
      <c r="BLB169" s="173"/>
      <c r="BLC169" s="173"/>
      <c r="BLD169" s="125"/>
      <c r="BLE169" s="125"/>
      <c r="BLF169" s="134"/>
      <c r="BLG169" s="135"/>
      <c r="BLH169" s="135"/>
      <c r="BLI169" s="135"/>
      <c r="BLJ169" s="135"/>
      <c r="BLK169" s="173"/>
      <c r="BLL169" s="173"/>
      <c r="BLM169" s="173"/>
      <c r="BLN169" s="173"/>
      <c r="BLO169" s="173"/>
      <c r="BLP169" s="173"/>
      <c r="BLQ169" s="173"/>
      <c r="BLR169" s="173"/>
      <c r="BLS169" s="173"/>
      <c r="BLT169" s="173"/>
      <c r="BLU169" s="125"/>
      <c r="BLV169" s="125"/>
      <c r="BLW169" s="134"/>
      <c r="BLX169" s="135"/>
      <c r="BLY169" s="135"/>
      <c r="BLZ169" s="135"/>
      <c r="BMA169" s="135"/>
      <c r="BMB169" s="173"/>
      <c r="BMC169" s="173"/>
      <c r="BMD169" s="173"/>
      <c r="BME169" s="173"/>
      <c r="BMF169" s="173"/>
      <c r="BMG169" s="173"/>
      <c r="BMH169" s="173"/>
      <c r="BMI169" s="173"/>
      <c r="BMJ169" s="173"/>
      <c r="BMK169" s="173"/>
      <c r="BML169" s="125"/>
      <c r="BMM169" s="125"/>
      <c r="BMN169" s="134"/>
      <c r="BMO169" s="135"/>
      <c r="BMP169" s="135"/>
      <c r="BMQ169" s="135"/>
      <c r="BMR169" s="135"/>
      <c r="BMS169" s="173"/>
      <c r="BMT169" s="173"/>
      <c r="BMU169" s="173"/>
      <c r="BMV169" s="173"/>
      <c r="BMW169" s="173"/>
      <c r="BMX169" s="173"/>
      <c r="BMY169" s="173"/>
      <c r="BMZ169" s="173"/>
      <c r="BNA169" s="173"/>
      <c r="BNB169" s="173"/>
      <c r="BNC169" s="125"/>
      <c r="BND169" s="125"/>
      <c r="BNE169" s="134"/>
      <c r="BNF169" s="135"/>
      <c r="BNG169" s="135"/>
      <c r="BNH169" s="135"/>
      <c r="BNI169" s="135"/>
      <c r="BNJ169" s="173"/>
      <c r="BNK169" s="173"/>
      <c r="BNL169" s="173"/>
      <c r="BNM169" s="173"/>
      <c r="BNN169" s="173"/>
      <c r="BNO169" s="173"/>
      <c r="BNP169" s="173"/>
      <c r="BNQ169" s="173"/>
      <c r="BNR169" s="173"/>
      <c r="BNS169" s="173"/>
      <c r="BNT169" s="125"/>
      <c r="BNU169" s="125"/>
      <c r="BNV169" s="134"/>
      <c r="BNW169" s="135"/>
      <c r="BNX169" s="135"/>
      <c r="BNY169" s="135"/>
      <c r="BNZ169" s="135"/>
      <c r="BOA169" s="173"/>
      <c r="BOB169" s="173"/>
      <c r="BOC169" s="173"/>
      <c r="BOD169" s="173"/>
      <c r="BOE169" s="173"/>
      <c r="BOF169" s="173"/>
      <c r="BOG169" s="173"/>
      <c r="BOH169" s="173"/>
      <c r="BOI169" s="173"/>
      <c r="BOJ169" s="173"/>
      <c r="BOK169" s="125"/>
      <c r="BOL169" s="125"/>
      <c r="BOM169" s="134"/>
      <c r="BON169" s="135"/>
      <c r="BOO169" s="135"/>
      <c r="BOP169" s="135"/>
      <c r="BOQ169" s="135"/>
      <c r="BOR169" s="173"/>
      <c r="BOS169" s="173"/>
      <c r="BOT169" s="173"/>
      <c r="BOU169" s="173"/>
      <c r="BOV169" s="173"/>
      <c r="BOW169" s="173"/>
      <c r="BOX169" s="173"/>
      <c r="BOY169" s="173"/>
      <c r="BOZ169" s="173"/>
      <c r="BPA169" s="173"/>
      <c r="BPB169" s="125"/>
      <c r="BPC169" s="125"/>
      <c r="BPD169" s="134"/>
      <c r="BPE169" s="135"/>
      <c r="BPF169" s="135"/>
      <c r="BPG169" s="135"/>
      <c r="BPH169" s="135"/>
      <c r="BPI169" s="173"/>
      <c r="BPJ169" s="173"/>
      <c r="BPK169" s="173"/>
      <c r="BPL169" s="173"/>
      <c r="BPM169" s="173"/>
      <c r="BPN169" s="173"/>
      <c r="BPO169" s="173"/>
      <c r="BPP169" s="173"/>
      <c r="BPQ169" s="173"/>
      <c r="BPR169" s="173"/>
      <c r="BPS169" s="125"/>
      <c r="BPT169" s="125"/>
      <c r="BPU169" s="134"/>
      <c r="BPV169" s="135"/>
      <c r="BPW169" s="135"/>
      <c r="BPX169" s="135"/>
      <c r="BPY169" s="135"/>
      <c r="BPZ169" s="173"/>
      <c r="BQA169" s="173"/>
      <c r="BQB169" s="173"/>
      <c r="BQC169" s="173"/>
      <c r="BQD169" s="173"/>
      <c r="BQE169" s="173"/>
      <c r="BQF169" s="173"/>
      <c r="BQG169" s="173"/>
      <c r="BQH169" s="173"/>
      <c r="BQI169" s="173"/>
      <c r="BQJ169" s="125"/>
      <c r="BQK169" s="125"/>
      <c r="BQL169" s="134"/>
      <c r="BQM169" s="135"/>
      <c r="BQN169" s="135"/>
      <c r="BQO169" s="135"/>
      <c r="BQP169" s="135"/>
      <c r="BQQ169" s="173"/>
      <c r="BQR169" s="173"/>
      <c r="BQS169" s="173"/>
      <c r="BQT169" s="173"/>
      <c r="BQU169" s="173"/>
      <c r="BQV169" s="173"/>
      <c r="BQW169" s="173"/>
      <c r="BQX169" s="173"/>
      <c r="BQY169" s="173"/>
      <c r="BQZ169" s="173"/>
      <c r="BRA169" s="125"/>
      <c r="BRB169" s="125"/>
      <c r="BRC169" s="134"/>
      <c r="BRD169" s="135"/>
      <c r="BRE169" s="135"/>
      <c r="BRF169" s="135"/>
      <c r="BRG169" s="135"/>
      <c r="BRH169" s="173"/>
      <c r="BRI169" s="173"/>
      <c r="BRJ169" s="173"/>
      <c r="BRK169" s="173"/>
      <c r="BRL169" s="173"/>
      <c r="BRM169" s="173"/>
      <c r="BRN169" s="173"/>
      <c r="BRO169" s="173"/>
      <c r="BRP169" s="173"/>
      <c r="BRQ169" s="173"/>
      <c r="BRR169" s="125"/>
      <c r="BRS169" s="125"/>
      <c r="BRT169" s="134"/>
      <c r="BRU169" s="135"/>
      <c r="BRV169" s="135"/>
      <c r="BRW169" s="135"/>
      <c r="BRX169" s="135"/>
      <c r="BRY169" s="173"/>
      <c r="BRZ169" s="173"/>
      <c r="BSA169" s="173"/>
      <c r="BSB169" s="173"/>
      <c r="BSC169" s="173"/>
      <c r="BSD169" s="173"/>
      <c r="BSE169" s="173"/>
      <c r="BSF169" s="173"/>
      <c r="BSG169" s="173"/>
      <c r="BSH169" s="173"/>
      <c r="BSI169" s="125"/>
      <c r="BSJ169" s="125"/>
      <c r="BSK169" s="134"/>
      <c r="BSL169" s="135"/>
      <c r="BSM169" s="135"/>
      <c r="BSN169" s="135"/>
      <c r="BSO169" s="135"/>
      <c r="BSP169" s="173"/>
      <c r="BSQ169" s="173"/>
      <c r="BSR169" s="173"/>
      <c r="BSS169" s="173"/>
      <c r="BST169" s="173"/>
      <c r="BSU169" s="173"/>
      <c r="BSV169" s="173"/>
      <c r="BSW169" s="173"/>
      <c r="BSX169" s="173"/>
      <c r="BSY169" s="173"/>
      <c r="BSZ169" s="125"/>
      <c r="BTA169" s="125"/>
      <c r="BTB169" s="134"/>
      <c r="BTC169" s="135"/>
      <c r="BTD169" s="135"/>
      <c r="BTE169" s="135"/>
      <c r="BTF169" s="135"/>
      <c r="BTG169" s="173"/>
      <c r="BTH169" s="173"/>
      <c r="BTI169" s="173"/>
      <c r="BTJ169" s="173"/>
      <c r="BTK169" s="173"/>
      <c r="BTL169" s="173"/>
      <c r="BTM169" s="173"/>
      <c r="BTN169" s="173"/>
      <c r="BTO169" s="173"/>
      <c r="BTP169" s="173"/>
      <c r="BTQ169" s="125"/>
      <c r="BTR169" s="125"/>
      <c r="BTS169" s="134"/>
      <c r="BTT169" s="135"/>
      <c r="BTU169" s="135"/>
      <c r="BTV169" s="135"/>
      <c r="BTW169" s="135"/>
      <c r="BTX169" s="173"/>
      <c r="BTY169" s="173"/>
      <c r="BTZ169" s="173"/>
      <c r="BUA169" s="173"/>
      <c r="BUB169" s="173"/>
      <c r="BUC169" s="173"/>
      <c r="BUD169" s="173"/>
      <c r="BUE169" s="173"/>
      <c r="BUF169" s="173"/>
      <c r="BUG169" s="173"/>
      <c r="BUH169" s="125"/>
      <c r="BUI169" s="125"/>
      <c r="BUJ169" s="134"/>
      <c r="BUK169" s="135"/>
      <c r="BUL169" s="135"/>
      <c r="BUM169" s="135"/>
      <c r="BUN169" s="135"/>
      <c r="BUO169" s="173"/>
      <c r="BUP169" s="173"/>
      <c r="BUQ169" s="173"/>
      <c r="BUR169" s="173"/>
      <c r="BUS169" s="173"/>
      <c r="BUT169" s="173"/>
      <c r="BUU169" s="173"/>
      <c r="BUV169" s="173"/>
      <c r="BUW169" s="173"/>
      <c r="BUX169" s="173"/>
      <c r="BUY169" s="125"/>
      <c r="BUZ169" s="125"/>
      <c r="BVA169" s="134"/>
      <c r="BVB169" s="135"/>
      <c r="BVC169" s="135"/>
      <c r="BVD169" s="135"/>
      <c r="BVE169" s="135"/>
      <c r="BVF169" s="173"/>
      <c r="BVG169" s="173"/>
      <c r="BVH169" s="173"/>
      <c r="BVI169" s="173"/>
      <c r="BVJ169" s="173"/>
      <c r="BVK169" s="173"/>
      <c r="BVL169" s="173"/>
      <c r="BVM169" s="173"/>
      <c r="BVN169" s="173"/>
      <c r="BVO169" s="173"/>
      <c r="BVP169" s="125"/>
      <c r="BVQ169" s="125"/>
      <c r="BVR169" s="134"/>
      <c r="BVS169" s="135"/>
      <c r="BVT169" s="135"/>
      <c r="BVU169" s="135"/>
      <c r="BVV169" s="135"/>
      <c r="BVW169" s="173"/>
      <c r="BVX169" s="173"/>
      <c r="BVY169" s="173"/>
      <c r="BVZ169" s="173"/>
      <c r="BWA169" s="173"/>
      <c r="BWB169" s="173"/>
      <c r="BWC169" s="173"/>
      <c r="BWD169" s="173"/>
      <c r="BWE169" s="173"/>
      <c r="BWF169" s="173"/>
      <c r="BWG169" s="125"/>
      <c r="BWH169" s="125"/>
      <c r="BWI169" s="134"/>
      <c r="BWJ169" s="135"/>
      <c r="BWK169" s="135"/>
      <c r="BWL169" s="135"/>
      <c r="BWM169" s="135"/>
      <c r="BWN169" s="173"/>
      <c r="BWO169" s="173"/>
      <c r="BWP169" s="173"/>
      <c r="BWQ169" s="173"/>
      <c r="BWR169" s="173"/>
      <c r="BWS169" s="173"/>
      <c r="BWT169" s="173"/>
      <c r="BWU169" s="173"/>
      <c r="BWV169" s="173"/>
      <c r="BWW169" s="173"/>
      <c r="BWX169" s="125"/>
      <c r="BWY169" s="125"/>
      <c r="BWZ169" s="134"/>
      <c r="BXA169" s="135"/>
      <c r="BXB169" s="135"/>
      <c r="BXC169" s="135"/>
      <c r="BXD169" s="135"/>
      <c r="BXE169" s="173"/>
      <c r="BXF169" s="173"/>
      <c r="BXG169" s="173"/>
      <c r="BXH169" s="173"/>
      <c r="BXI169" s="173"/>
      <c r="BXJ169" s="173"/>
      <c r="BXK169" s="173"/>
      <c r="BXL169" s="173"/>
      <c r="BXM169" s="173"/>
      <c r="BXN169" s="173"/>
      <c r="BXO169" s="125"/>
      <c r="BXP169" s="125"/>
      <c r="BXQ169" s="134"/>
      <c r="BXR169" s="135"/>
      <c r="BXS169" s="135"/>
      <c r="BXT169" s="135"/>
      <c r="BXU169" s="135"/>
      <c r="BXV169" s="173"/>
      <c r="BXW169" s="173"/>
      <c r="BXX169" s="173"/>
      <c r="BXY169" s="173"/>
      <c r="BXZ169" s="173"/>
      <c r="BYA169" s="173"/>
      <c r="BYB169" s="173"/>
      <c r="BYC169" s="173"/>
      <c r="BYD169" s="173"/>
      <c r="BYE169" s="173"/>
      <c r="BYF169" s="125"/>
      <c r="BYG169" s="125"/>
      <c r="BYH169" s="134"/>
      <c r="BYI169" s="135"/>
      <c r="BYJ169" s="135"/>
      <c r="BYK169" s="135"/>
      <c r="BYL169" s="135"/>
      <c r="BYM169" s="173"/>
      <c r="BYN169" s="173"/>
      <c r="BYO169" s="173"/>
      <c r="BYP169" s="173"/>
      <c r="BYQ169" s="173"/>
      <c r="BYR169" s="173"/>
      <c r="BYS169" s="173"/>
      <c r="BYT169" s="173"/>
      <c r="BYU169" s="173"/>
      <c r="BYV169" s="173"/>
      <c r="BYW169" s="125"/>
      <c r="BYX169" s="125"/>
      <c r="BYY169" s="134"/>
      <c r="BYZ169" s="135"/>
      <c r="BZA169" s="135"/>
      <c r="BZB169" s="135"/>
      <c r="BZC169" s="135"/>
      <c r="BZD169" s="173"/>
      <c r="BZE169" s="173"/>
      <c r="BZF169" s="173"/>
      <c r="BZG169" s="173"/>
      <c r="BZH169" s="173"/>
      <c r="BZI169" s="173"/>
      <c r="BZJ169" s="173"/>
      <c r="BZK169" s="173"/>
      <c r="BZL169" s="173"/>
      <c r="BZM169" s="173"/>
      <c r="BZN169" s="125"/>
      <c r="BZO169" s="125"/>
      <c r="BZP169" s="134"/>
      <c r="BZQ169" s="135"/>
      <c r="BZR169" s="135"/>
      <c r="BZS169" s="135"/>
      <c r="BZT169" s="135"/>
      <c r="BZU169" s="173"/>
      <c r="BZV169" s="173"/>
      <c r="BZW169" s="173"/>
      <c r="BZX169" s="173"/>
      <c r="BZY169" s="173"/>
      <c r="BZZ169" s="173"/>
      <c r="CAA169" s="173"/>
      <c r="CAB169" s="173"/>
      <c r="CAC169" s="173"/>
      <c r="CAD169" s="173"/>
      <c r="CAE169" s="125"/>
      <c r="CAF169" s="125"/>
      <c r="CAG169" s="134"/>
      <c r="CAH169" s="135"/>
      <c r="CAI169" s="135"/>
      <c r="CAJ169" s="135"/>
      <c r="CAK169" s="135"/>
      <c r="CAL169" s="173"/>
      <c r="CAM169" s="173"/>
      <c r="CAN169" s="173"/>
      <c r="CAO169" s="173"/>
      <c r="CAP169" s="173"/>
      <c r="CAQ169" s="173"/>
      <c r="CAR169" s="173"/>
      <c r="CAS169" s="173"/>
      <c r="CAT169" s="173"/>
      <c r="CAU169" s="173"/>
      <c r="CAV169" s="125"/>
      <c r="CAW169" s="125"/>
      <c r="CAX169" s="134"/>
      <c r="CAY169" s="135"/>
      <c r="CAZ169" s="135"/>
      <c r="CBA169" s="135"/>
      <c r="CBB169" s="135"/>
      <c r="CBC169" s="173"/>
      <c r="CBD169" s="173"/>
      <c r="CBE169" s="173"/>
      <c r="CBF169" s="173"/>
      <c r="CBG169" s="173"/>
      <c r="CBH169" s="173"/>
      <c r="CBI169" s="173"/>
      <c r="CBJ169" s="173"/>
      <c r="CBK169" s="173"/>
      <c r="CBL169" s="173"/>
      <c r="CBM169" s="125"/>
      <c r="CBN169" s="125"/>
      <c r="CBO169" s="134"/>
      <c r="CBP169" s="135"/>
      <c r="CBQ169" s="135"/>
      <c r="CBR169" s="135"/>
      <c r="CBS169" s="135"/>
      <c r="CBT169" s="173"/>
      <c r="CBU169" s="173"/>
      <c r="CBV169" s="173"/>
      <c r="CBW169" s="173"/>
      <c r="CBX169" s="173"/>
      <c r="CBY169" s="173"/>
      <c r="CBZ169" s="173"/>
      <c r="CCA169" s="173"/>
      <c r="CCB169" s="173"/>
      <c r="CCC169" s="173"/>
      <c r="CCD169" s="125"/>
      <c r="CCE169" s="125"/>
      <c r="CCF169" s="134"/>
      <c r="CCG169" s="135"/>
      <c r="CCH169" s="135"/>
      <c r="CCI169" s="135"/>
      <c r="CCJ169" s="135"/>
      <c r="CCK169" s="173"/>
      <c r="CCL169" s="173"/>
      <c r="CCM169" s="173"/>
      <c r="CCN169" s="173"/>
      <c r="CCO169" s="173"/>
      <c r="CCP169" s="173"/>
      <c r="CCQ169" s="173"/>
      <c r="CCR169" s="173"/>
      <c r="CCS169" s="173"/>
      <c r="CCT169" s="173"/>
      <c r="CCU169" s="125"/>
      <c r="CCV169" s="125"/>
      <c r="CCW169" s="134"/>
      <c r="CCX169" s="135"/>
      <c r="CCY169" s="135"/>
      <c r="CCZ169" s="135"/>
      <c r="CDA169" s="135"/>
      <c r="CDB169" s="173"/>
      <c r="CDC169" s="173"/>
      <c r="CDD169" s="173"/>
      <c r="CDE169" s="173"/>
      <c r="CDF169" s="173"/>
      <c r="CDG169" s="173"/>
      <c r="CDH169" s="173"/>
      <c r="CDI169" s="173"/>
      <c r="CDJ169" s="173"/>
      <c r="CDK169" s="173"/>
      <c r="CDL169" s="125"/>
      <c r="CDM169" s="125"/>
      <c r="CDN169" s="134"/>
      <c r="CDO169" s="135"/>
      <c r="CDP169" s="135"/>
      <c r="CDQ169" s="135"/>
      <c r="CDR169" s="135"/>
      <c r="CDS169" s="173"/>
      <c r="CDT169" s="173"/>
      <c r="CDU169" s="173"/>
      <c r="CDV169" s="173"/>
      <c r="CDW169" s="173"/>
      <c r="CDX169" s="173"/>
      <c r="CDY169" s="173"/>
      <c r="CDZ169" s="173"/>
      <c r="CEA169" s="173"/>
      <c r="CEB169" s="173"/>
      <c r="CEC169" s="125"/>
      <c r="CED169" s="125"/>
      <c r="CEE169" s="134"/>
      <c r="CEF169" s="135"/>
      <c r="CEG169" s="135"/>
      <c r="CEH169" s="135"/>
      <c r="CEI169" s="135"/>
      <c r="CEJ169" s="173"/>
      <c r="CEK169" s="173"/>
      <c r="CEL169" s="173"/>
      <c r="CEM169" s="173"/>
      <c r="CEN169" s="173"/>
      <c r="CEO169" s="173"/>
      <c r="CEP169" s="173"/>
      <c r="CEQ169" s="173"/>
      <c r="CER169" s="173"/>
      <c r="CES169" s="173"/>
      <c r="CET169" s="125"/>
      <c r="CEU169" s="125"/>
      <c r="CEV169" s="134"/>
      <c r="CEW169" s="135"/>
      <c r="CEX169" s="135"/>
      <c r="CEY169" s="135"/>
      <c r="CEZ169" s="135"/>
      <c r="CFA169" s="173"/>
      <c r="CFB169" s="173"/>
      <c r="CFC169" s="173"/>
      <c r="CFD169" s="173"/>
      <c r="CFE169" s="173"/>
      <c r="CFF169" s="173"/>
      <c r="CFG169" s="173"/>
      <c r="CFH169" s="173"/>
      <c r="CFI169" s="173"/>
      <c r="CFJ169" s="173"/>
      <c r="CFK169" s="125"/>
      <c r="CFL169" s="125"/>
      <c r="CFM169" s="134"/>
      <c r="CFN169" s="135"/>
      <c r="CFO169" s="135"/>
      <c r="CFP169" s="135"/>
      <c r="CFQ169" s="135"/>
      <c r="CFR169" s="173"/>
      <c r="CFS169" s="173"/>
      <c r="CFT169" s="173"/>
      <c r="CFU169" s="173"/>
      <c r="CFV169" s="173"/>
      <c r="CFW169" s="173"/>
      <c r="CFX169" s="173"/>
      <c r="CFY169" s="173"/>
      <c r="CFZ169" s="173"/>
      <c r="CGA169" s="173"/>
      <c r="CGB169" s="125"/>
      <c r="CGC169" s="125"/>
      <c r="CGD169" s="134"/>
      <c r="CGE169" s="135"/>
      <c r="CGF169" s="135"/>
      <c r="CGG169" s="135"/>
      <c r="CGH169" s="135"/>
      <c r="CGI169" s="173"/>
      <c r="CGJ169" s="173"/>
      <c r="CGK169" s="173"/>
      <c r="CGL169" s="173"/>
      <c r="CGM169" s="173"/>
      <c r="CGN169" s="173"/>
      <c r="CGO169" s="173"/>
      <c r="CGP169" s="173"/>
      <c r="CGQ169" s="173"/>
      <c r="CGR169" s="173"/>
      <c r="CGS169" s="125"/>
      <c r="CGT169" s="125"/>
      <c r="CGU169" s="134"/>
      <c r="CGV169" s="135"/>
      <c r="CGW169" s="135"/>
      <c r="CGX169" s="135"/>
      <c r="CGY169" s="135"/>
      <c r="CGZ169" s="173"/>
      <c r="CHA169" s="173"/>
      <c r="CHB169" s="173"/>
      <c r="CHC169" s="173"/>
      <c r="CHD169" s="173"/>
      <c r="CHE169" s="173"/>
      <c r="CHF169" s="173"/>
      <c r="CHG169" s="173"/>
      <c r="CHH169" s="173"/>
      <c r="CHI169" s="173"/>
      <c r="CHJ169" s="125"/>
      <c r="CHK169" s="125"/>
      <c r="CHL169" s="134"/>
      <c r="CHM169" s="135"/>
      <c r="CHN169" s="135"/>
      <c r="CHO169" s="135"/>
      <c r="CHP169" s="135"/>
      <c r="CHQ169" s="173"/>
      <c r="CHR169" s="173"/>
      <c r="CHS169" s="173"/>
      <c r="CHT169" s="173"/>
      <c r="CHU169" s="173"/>
      <c r="CHV169" s="173"/>
      <c r="CHW169" s="173"/>
      <c r="CHX169" s="173"/>
      <c r="CHY169" s="173"/>
      <c r="CHZ169" s="173"/>
      <c r="CIA169" s="125"/>
      <c r="CIB169" s="125"/>
      <c r="CIC169" s="134"/>
      <c r="CID169" s="135"/>
      <c r="CIE169" s="135"/>
      <c r="CIF169" s="135"/>
      <c r="CIG169" s="135"/>
      <c r="CIH169" s="173"/>
      <c r="CII169" s="173"/>
      <c r="CIJ169" s="173"/>
      <c r="CIK169" s="173"/>
      <c r="CIL169" s="173"/>
      <c r="CIM169" s="173"/>
      <c r="CIN169" s="173"/>
      <c r="CIO169" s="173"/>
      <c r="CIP169" s="173"/>
      <c r="CIQ169" s="173"/>
      <c r="CIR169" s="125"/>
      <c r="CIS169" s="125"/>
      <c r="CIT169" s="134"/>
      <c r="CIU169" s="135"/>
      <c r="CIV169" s="135"/>
      <c r="CIW169" s="135"/>
      <c r="CIX169" s="135"/>
      <c r="CIY169" s="173"/>
      <c r="CIZ169" s="173"/>
      <c r="CJA169" s="173"/>
      <c r="CJB169" s="173"/>
      <c r="CJC169" s="173"/>
      <c r="CJD169" s="173"/>
      <c r="CJE169" s="173"/>
      <c r="CJF169" s="173"/>
      <c r="CJG169" s="173"/>
      <c r="CJH169" s="173"/>
      <c r="CJI169" s="125"/>
      <c r="CJJ169" s="125"/>
      <c r="CJK169" s="134"/>
      <c r="CJL169" s="135"/>
      <c r="CJM169" s="135"/>
      <c r="CJN169" s="135"/>
      <c r="CJO169" s="135"/>
      <c r="CJP169" s="173"/>
      <c r="CJQ169" s="173"/>
      <c r="CJR169" s="173"/>
      <c r="CJS169" s="173"/>
      <c r="CJT169" s="173"/>
      <c r="CJU169" s="173"/>
      <c r="CJV169" s="173"/>
      <c r="CJW169" s="173"/>
      <c r="CJX169" s="173"/>
      <c r="CJY169" s="173"/>
      <c r="CJZ169" s="125"/>
      <c r="CKA169" s="125"/>
      <c r="CKB169" s="134"/>
      <c r="CKC169" s="135"/>
      <c r="CKD169" s="135"/>
      <c r="CKE169" s="135"/>
      <c r="CKF169" s="135"/>
      <c r="CKG169" s="173"/>
      <c r="CKH169" s="173"/>
      <c r="CKI169" s="173"/>
      <c r="CKJ169" s="173"/>
      <c r="CKK169" s="173"/>
      <c r="CKL169" s="173"/>
      <c r="CKM169" s="173"/>
      <c r="CKN169" s="173"/>
      <c r="CKO169" s="173"/>
      <c r="CKP169" s="173"/>
      <c r="CKQ169" s="125"/>
      <c r="CKR169" s="125"/>
      <c r="CKS169" s="134"/>
      <c r="CKT169" s="135"/>
      <c r="CKU169" s="135"/>
      <c r="CKV169" s="135"/>
      <c r="CKW169" s="135"/>
      <c r="CKX169" s="173"/>
      <c r="CKY169" s="173"/>
      <c r="CKZ169" s="173"/>
      <c r="CLA169" s="173"/>
      <c r="CLB169" s="173"/>
      <c r="CLC169" s="173"/>
      <c r="CLD169" s="173"/>
      <c r="CLE169" s="173"/>
      <c r="CLF169" s="173"/>
      <c r="CLG169" s="173"/>
      <c r="CLH169" s="125"/>
      <c r="CLI169" s="125"/>
      <c r="CLJ169" s="134"/>
      <c r="CLK169" s="135"/>
      <c r="CLL169" s="135"/>
      <c r="CLM169" s="135"/>
      <c r="CLN169" s="135"/>
      <c r="CLO169" s="173"/>
      <c r="CLP169" s="173"/>
      <c r="CLQ169" s="173"/>
      <c r="CLR169" s="173"/>
      <c r="CLS169" s="173"/>
      <c r="CLT169" s="173"/>
      <c r="CLU169" s="173"/>
      <c r="CLV169" s="173"/>
      <c r="CLW169" s="173"/>
      <c r="CLX169" s="173"/>
      <c r="CLY169" s="125"/>
      <c r="CLZ169" s="125"/>
      <c r="CMA169" s="134"/>
      <c r="CMB169" s="135"/>
      <c r="CMC169" s="135"/>
      <c r="CMD169" s="135"/>
      <c r="CME169" s="135"/>
      <c r="CMF169" s="173"/>
      <c r="CMG169" s="173"/>
      <c r="CMH169" s="173"/>
      <c r="CMI169" s="173"/>
      <c r="CMJ169" s="173"/>
      <c r="CMK169" s="173"/>
      <c r="CML169" s="173"/>
      <c r="CMM169" s="173"/>
      <c r="CMN169" s="173"/>
      <c r="CMO169" s="173"/>
      <c r="CMP169" s="125"/>
      <c r="CMQ169" s="125"/>
      <c r="CMR169" s="134"/>
      <c r="CMS169" s="135"/>
      <c r="CMT169" s="135"/>
      <c r="CMU169" s="135"/>
      <c r="CMV169" s="135"/>
      <c r="CMW169" s="173"/>
      <c r="CMX169" s="173"/>
      <c r="CMY169" s="173"/>
      <c r="CMZ169" s="173"/>
      <c r="CNA169" s="173"/>
      <c r="CNB169" s="173"/>
      <c r="CNC169" s="173"/>
      <c r="CND169" s="173"/>
      <c r="CNE169" s="173"/>
      <c r="CNF169" s="173"/>
      <c r="CNG169" s="125"/>
      <c r="CNH169" s="125"/>
      <c r="CNI169" s="134"/>
      <c r="CNJ169" s="135"/>
      <c r="CNK169" s="135"/>
      <c r="CNL169" s="135"/>
      <c r="CNM169" s="135"/>
      <c r="CNN169" s="173"/>
      <c r="CNO169" s="173"/>
      <c r="CNP169" s="173"/>
      <c r="CNQ169" s="173"/>
      <c r="CNR169" s="173"/>
      <c r="CNS169" s="173"/>
      <c r="CNT169" s="173"/>
      <c r="CNU169" s="173"/>
      <c r="CNV169" s="173"/>
      <c r="CNW169" s="173"/>
      <c r="CNX169" s="125"/>
      <c r="CNY169" s="125"/>
      <c r="CNZ169" s="134"/>
      <c r="COA169" s="135"/>
      <c r="COB169" s="135"/>
      <c r="COC169" s="135"/>
      <c r="COD169" s="135"/>
      <c r="COE169" s="173"/>
      <c r="COF169" s="173"/>
      <c r="COG169" s="173"/>
      <c r="COH169" s="173"/>
      <c r="COI169" s="173"/>
      <c r="COJ169" s="173"/>
      <c r="COK169" s="173"/>
      <c r="COL169" s="173"/>
      <c r="COM169" s="173"/>
      <c r="CON169" s="173"/>
      <c r="COO169" s="125"/>
      <c r="COP169" s="125"/>
      <c r="COQ169" s="134"/>
      <c r="COR169" s="135"/>
      <c r="COS169" s="135"/>
      <c r="COT169" s="135"/>
      <c r="COU169" s="135"/>
      <c r="COV169" s="173"/>
      <c r="COW169" s="173"/>
      <c r="COX169" s="173"/>
      <c r="COY169" s="173"/>
      <c r="COZ169" s="173"/>
      <c r="CPA169" s="173"/>
      <c r="CPB169" s="173"/>
      <c r="CPC169" s="173"/>
      <c r="CPD169" s="173"/>
      <c r="CPE169" s="173"/>
      <c r="CPF169" s="125"/>
      <c r="CPG169" s="125"/>
      <c r="CPH169" s="134"/>
      <c r="CPI169" s="135"/>
      <c r="CPJ169" s="135"/>
      <c r="CPK169" s="135"/>
      <c r="CPL169" s="135"/>
      <c r="CPM169" s="173"/>
      <c r="CPN169" s="173"/>
      <c r="CPO169" s="173"/>
      <c r="CPP169" s="173"/>
      <c r="CPQ169" s="173"/>
      <c r="CPR169" s="173"/>
      <c r="CPS169" s="173"/>
      <c r="CPT169" s="173"/>
      <c r="CPU169" s="173"/>
      <c r="CPV169" s="173"/>
      <c r="CPW169" s="125"/>
      <c r="CPX169" s="125"/>
      <c r="CPY169" s="134"/>
      <c r="CPZ169" s="135"/>
      <c r="CQA169" s="135"/>
      <c r="CQB169" s="135"/>
      <c r="CQC169" s="135"/>
      <c r="CQD169" s="173"/>
      <c r="CQE169" s="173"/>
      <c r="CQF169" s="173"/>
      <c r="CQG169" s="173"/>
      <c r="CQH169" s="173"/>
      <c r="CQI169" s="173"/>
      <c r="CQJ169" s="173"/>
      <c r="CQK169" s="173"/>
      <c r="CQL169" s="173"/>
      <c r="CQM169" s="173"/>
      <c r="CQN169" s="125"/>
      <c r="CQO169" s="125"/>
      <c r="CQP169" s="134"/>
      <c r="CQQ169" s="135"/>
      <c r="CQR169" s="135"/>
      <c r="CQS169" s="135"/>
      <c r="CQT169" s="135"/>
      <c r="CQU169" s="173"/>
      <c r="CQV169" s="173"/>
      <c r="CQW169" s="173"/>
      <c r="CQX169" s="173"/>
      <c r="CQY169" s="173"/>
      <c r="CQZ169" s="173"/>
      <c r="CRA169" s="173"/>
      <c r="CRB169" s="173"/>
      <c r="CRC169" s="173"/>
      <c r="CRD169" s="173"/>
      <c r="CRE169" s="125"/>
      <c r="CRF169" s="125"/>
      <c r="CRG169" s="134"/>
      <c r="CRH169" s="135"/>
      <c r="CRI169" s="135"/>
      <c r="CRJ169" s="135"/>
      <c r="CRK169" s="135"/>
      <c r="CRL169" s="173"/>
      <c r="CRM169" s="173"/>
      <c r="CRN169" s="173"/>
      <c r="CRO169" s="173"/>
      <c r="CRP169" s="173"/>
      <c r="CRQ169" s="173"/>
      <c r="CRR169" s="173"/>
      <c r="CRS169" s="173"/>
      <c r="CRT169" s="173"/>
      <c r="CRU169" s="173"/>
      <c r="CRV169" s="125"/>
      <c r="CRW169" s="125"/>
      <c r="CRX169" s="134"/>
      <c r="CRY169" s="135"/>
      <c r="CRZ169" s="135"/>
      <c r="CSA169" s="135"/>
      <c r="CSB169" s="135"/>
      <c r="CSC169" s="173"/>
      <c r="CSD169" s="173"/>
      <c r="CSE169" s="173"/>
      <c r="CSF169" s="173"/>
      <c r="CSG169" s="173"/>
      <c r="CSH169" s="173"/>
      <c r="CSI169" s="173"/>
      <c r="CSJ169" s="173"/>
      <c r="CSK169" s="173"/>
      <c r="CSL169" s="173"/>
      <c r="CSM169" s="125"/>
      <c r="CSN169" s="125"/>
      <c r="CSO169" s="134"/>
      <c r="CSP169" s="135"/>
      <c r="CSQ169" s="135"/>
      <c r="CSR169" s="135"/>
      <c r="CSS169" s="135"/>
      <c r="CST169" s="173"/>
      <c r="CSU169" s="173"/>
      <c r="CSV169" s="173"/>
      <c r="CSW169" s="173"/>
      <c r="CSX169" s="173"/>
      <c r="CSY169" s="173"/>
      <c r="CSZ169" s="173"/>
      <c r="CTA169" s="173"/>
      <c r="CTB169" s="173"/>
      <c r="CTC169" s="173"/>
      <c r="CTD169" s="125"/>
      <c r="CTE169" s="125"/>
      <c r="CTF169" s="134"/>
      <c r="CTG169" s="135"/>
      <c r="CTH169" s="135"/>
      <c r="CTI169" s="135"/>
      <c r="CTJ169" s="135"/>
      <c r="CTK169" s="173"/>
      <c r="CTL169" s="173"/>
      <c r="CTM169" s="173"/>
      <c r="CTN169" s="173"/>
      <c r="CTO169" s="173"/>
      <c r="CTP169" s="173"/>
      <c r="CTQ169" s="173"/>
      <c r="CTR169" s="173"/>
      <c r="CTS169" s="173"/>
      <c r="CTT169" s="173"/>
      <c r="CTU169" s="125"/>
      <c r="CTV169" s="125"/>
      <c r="CTW169" s="134"/>
      <c r="CTX169" s="135"/>
      <c r="CTY169" s="135"/>
      <c r="CTZ169" s="135"/>
      <c r="CUA169" s="135"/>
      <c r="CUB169" s="173"/>
      <c r="CUC169" s="173"/>
      <c r="CUD169" s="173"/>
      <c r="CUE169" s="173"/>
      <c r="CUF169" s="173"/>
      <c r="CUG169" s="173"/>
      <c r="CUH169" s="173"/>
      <c r="CUI169" s="173"/>
      <c r="CUJ169" s="173"/>
      <c r="CUK169" s="173"/>
      <c r="CUL169" s="125"/>
      <c r="CUM169" s="125"/>
      <c r="CUN169" s="134"/>
      <c r="CUO169" s="135"/>
      <c r="CUP169" s="135"/>
      <c r="CUQ169" s="135"/>
      <c r="CUR169" s="135"/>
      <c r="CUS169" s="173"/>
      <c r="CUT169" s="173"/>
      <c r="CUU169" s="173"/>
      <c r="CUV169" s="173"/>
      <c r="CUW169" s="173"/>
      <c r="CUX169" s="173"/>
      <c r="CUY169" s="173"/>
      <c r="CUZ169" s="173"/>
      <c r="CVA169" s="173"/>
      <c r="CVB169" s="173"/>
      <c r="CVC169" s="125"/>
      <c r="CVD169" s="125"/>
      <c r="CVE169" s="134"/>
      <c r="CVF169" s="135"/>
      <c r="CVG169" s="135"/>
      <c r="CVH169" s="135"/>
      <c r="CVI169" s="135"/>
      <c r="CVJ169" s="173"/>
      <c r="CVK169" s="173"/>
      <c r="CVL169" s="173"/>
      <c r="CVM169" s="173"/>
      <c r="CVN169" s="173"/>
      <c r="CVO169" s="173"/>
      <c r="CVP169" s="173"/>
      <c r="CVQ169" s="173"/>
      <c r="CVR169" s="173"/>
      <c r="CVS169" s="173"/>
      <c r="CVT169" s="125"/>
      <c r="CVU169" s="125"/>
      <c r="CVV169" s="134"/>
      <c r="CVW169" s="135"/>
      <c r="CVX169" s="135"/>
      <c r="CVY169" s="135"/>
      <c r="CVZ169" s="135"/>
      <c r="CWA169" s="173"/>
      <c r="CWB169" s="173"/>
      <c r="CWC169" s="173"/>
      <c r="CWD169" s="173"/>
      <c r="CWE169" s="173"/>
      <c r="CWF169" s="173"/>
      <c r="CWG169" s="173"/>
      <c r="CWH169" s="173"/>
      <c r="CWI169" s="173"/>
      <c r="CWJ169" s="173"/>
      <c r="CWK169" s="125"/>
      <c r="CWL169" s="125"/>
      <c r="CWM169" s="134"/>
      <c r="CWN169" s="135"/>
      <c r="CWO169" s="135"/>
      <c r="CWP169" s="135"/>
      <c r="CWQ169" s="135"/>
      <c r="CWR169" s="173"/>
      <c r="CWS169" s="173"/>
      <c r="CWT169" s="173"/>
      <c r="CWU169" s="173"/>
      <c r="CWV169" s="173"/>
      <c r="CWW169" s="173"/>
      <c r="CWX169" s="173"/>
      <c r="CWY169" s="173"/>
      <c r="CWZ169" s="173"/>
      <c r="CXA169" s="173"/>
      <c r="CXB169" s="125"/>
      <c r="CXC169" s="125"/>
      <c r="CXD169" s="134"/>
      <c r="CXE169" s="135"/>
      <c r="CXF169" s="135"/>
      <c r="CXG169" s="135"/>
      <c r="CXH169" s="135"/>
      <c r="CXI169" s="173"/>
      <c r="CXJ169" s="173"/>
      <c r="CXK169" s="173"/>
      <c r="CXL169" s="173"/>
      <c r="CXM169" s="173"/>
      <c r="CXN169" s="173"/>
      <c r="CXO169" s="173"/>
      <c r="CXP169" s="173"/>
      <c r="CXQ169" s="173"/>
      <c r="CXR169" s="173"/>
      <c r="CXS169" s="125"/>
      <c r="CXT169" s="125"/>
      <c r="CXU169" s="134"/>
      <c r="CXV169" s="135"/>
      <c r="CXW169" s="135"/>
      <c r="CXX169" s="135"/>
      <c r="CXY169" s="135"/>
      <c r="CXZ169" s="173"/>
      <c r="CYA169" s="173"/>
      <c r="CYB169" s="173"/>
      <c r="CYC169" s="173"/>
      <c r="CYD169" s="173"/>
      <c r="CYE169" s="173"/>
      <c r="CYF169" s="173"/>
      <c r="CYG169" s="173"/>
      <c r="CYH169" s="173"/>
      <c r="CYI169" s="173"/>
      <c r="CYJ169" s="125"/>
      <c r="CYK169" s="125"/>
      <c r="CYL169" s="134"/>
      <c r="CYM169" s="135"/>
      <c r="CYN169" s="135"/>
      <c r="CYO169" s="135"/>
      <c r="CYP169" s="135"/>
      <c r="CYQ169" s="173"/>
      <c r="CYR169" s="173"/>
      <c r="CYS169" s="173"/>
      <c r="CYT169" s="173"/>
      <c r="CYU169" s="173"/>
      <c r="CYV169" s="173"/>
      <c r="CYW169" s="173"/>
      <c r="CYX169" s="173"/>
      <c r="CYY169" s="173"/>
      <c r="CYZ169" s="173"/>
      <c r="CZA169" s="125"/>
      <c r="CZB169" s="125"/>
      <c r="CZC169" s="134"/>
      <c r="CZD169" s="135"/>
      <c r="CZE169" s="135"/>
      <c r="CZF169" s="135"/>
      <c r="CZG169" s="135"/>
      <c r="CZH169" s="173"/>
      <c r="CZI169" s="173"/>
      <c r="CZJ169" s="173"/>
      <c r="CZK169" s="173"/>
      <c r="CZL169" s="173"/>
      <c r="CZM169" s="173"/>
      <c r="CZN169" s="173"/>
      <c r="CZO169" s="173"/>
      <c r="CZP169" s="173"/>
      <c r="CZQ169" s="173"/>
      <c r="CZR169" s="125"/>
      <c r="CZS169" s="125"/>
      <c r="CZT169" s="134"/>
      <c r="CZU169" s="135"/>
      <c r="CZV169" s="135"/>
      <c r="CZW169" s="135"/>
      <c r="CZX169" s="135"/>
      <c r="CZY169" s="173"/>
      <c r="CZZ169" s="173"/>
      <c r="DAA169" s="173"/>
      <c r="DAB169" s="173"/>
      <c r="DAC169" s="173"/>
      <c r="DAD169" s="173"/>
      <c r="DAE169" s="173"/>
      <c r="DAF169" s="173"/>
      <c r="DAG169" s="173"/>
      <c r="DAH169" s="173"/>
      <c r="DAI169" s="125"/>
      <c r="DAJ169" s="125"/>
      <c r="DAK169" s="134"/>
      <c r="DAL169" s="135"/>
      <c r="DAM169" s="135"/>
      <c r="DAN169" s="135"/>
      <c r="DAO169" s="135"/>
      <c r="DAP169" s="173"/>
      <c r="DAQ169" s="173"/>
      <c r="DAR169" s="173"/>
      <c r="DAS169" s="173"/>
      <c r="DAT169" s="173"/>
      <c r="DAU169" s="173"/>
      <c r="DAV169" s="173"/>
      <c r="DAW169" s="173"/>
      <c r="DAX169" s="173"/>
      <c r="DAY169" s="173"/>
      <c r="DAZ169" s="125"/>
      <c r="DBA169" s="125"/>
      <c r="DBB169" s="134"/>
      <c r="DBC169" s="135"/>
      <c r="DBD169" s="135"/>
      <c r="DBE169" s="135"/>
      <c r="DBF169" s="135"/>
      <c r="DBG169" s="173"/>
      <c r="DBH169" s="173"/>
      <c r="DBI169" s="173"/>
      <c r="DBJ169" s="173"/>
      <c r="DBK169" s="173"/>
      <c r="DBL169" s="173"/>
      <c r="DBM169" s="173"/>
      <c r="DBN169" s="173"/>
      <c r="DBO169" s="173"/>
      <c r="DBP169" s="173"/>
      <c r="DBQ169" s="125"/>
      <c r="DBR169" s="125"/>
      <c r="DBS169" s="134"/>
      <c r="DBT169" s="135"/>
      <c r="DBU169" s="135"/>
      <c r="DBV169" s="135"/>
      <c r="DBW169" s="135"/>
      <c r="DBX169" s="173"/>
      <c r="DBY169" s="173"/>
      <c r="DBZ169" s="173"/>
      <c r="DCA169" s="173"/>
      <c r="DCB169" s="173"/>
      <c r="DCC169" s="173"/>
      <c r="DCD169" s="173"/>
      <c r="DCE169" s="173"/>
      <c r="DCF169" s="173"/>
      <c r="DCG169" s="173"/>
      <c r="DCH169" s="125"/>
      <c r="DCI169" s="125"/>
      <c r="DCJ169" s="134"/>
      <c r="DCK169" s="135"/>
      <c r="DCL169" s="135"/>
      <c r="DCM169" s="135"/>
      <c r="DCN169" s="135"/>
      <c r="DCO169" s="173"/>
      <c r="DCP169" s="173"/>
      <c r="DCQ169" s="173"/>
      <c r="DCR169" s="173"/>
      <c r="DCS169" s="173"/>
      <c r="DCT169" s="173"/>
      <c r="DCU169" s="173"/>
      <c r="DCV169" s="173"/>
      <c r="DCW169" s="173"/>
      <c r="DCX169" s="173"/>
      <c r="DCY169" s="125"/>
      <c r="DCZ169" s="125"/>
      <c r="DDA169" s="134"/>
      <c r="DDB169" s="135"/>
      <c r="DDC169" s="135"/>
      <c r="DDD169" s="135"/>
      <c r="DDE169" s="135"/>
      <c r="DDF169" s="173"/>
      <c r="DDG169" s="173"/>
      <c r="DDH169" s="173"/>
      <c r="DDI169" s="173"/>
      <c r="DDJ169" s="173"/>
      <c r="DDK169" s="173"/>
      <c r="DDL169" s="173"/>
      <c r="DDM169" s="173"/>
      <c r="DDN169" s="173"/>
      <c r="DDO169" s="173"/>
      <c r="DDP169" s="125"/>
      <c r="DDQ169" s="125"/>
      <c r="DDR169" s="134"/>
      <c r="DDS169" s="135"/>
      <c r="DDT169" s="135"/>
      <c r="DDU169" s="135"/>
      <c r="DDV169" s="135"/>
      <c r="DDW169" s="173"/>
      <c r="DDX169" s="173"/>
      <c r="DDY169" s="173"/>
      <c r="DDZ169" s="173"/>
      <c r="DEA169" s="173"/>
      <c r="DEB169" s="173"/>
      <c r="DEC169" s="173"/>
      <c r="DED169" s="173"/>
      <c r="DEE169" s="173"/>
      <c r="DEF169" s="173"/>
      <c r="DEG169" s="125"/>
      <c r="DEH169" s="125"/>
      <c r="DEI169" s="134"/>
      <c r="DEJ169" s="135"/>
      <c r="DEK169" s="135"/>
      <c r="DEL169" s="135"/>
      <c r="DEM169" s="135"/>
      <c r="DEN169" s="173"/>
      <c r="DEO169" s="173"/>
      <c r="DEP169" s="173"/>
      <c r="DEQ169" s="173"/>
      <c r="DER169" s="173"/>
      <c r="DES169" s="173"/>
      <c r="DET169" s="173"/>
      <c r="DEU169" s="173"/>
      <c r="DEV169" s="173"/>
      <c r="DEW169" s="173"/>
      <c r="DEX169" s="125"/>
      <c r="DEY169" s="125"/>
      <c r="DEZ169" s="134"/>
      <c r="DFA169" s="135"/>
      <c r="DFB169" s="135"/>
      <c r="DFC169" s="135"/>
      <c r="DFD169" s="135"/>
      <c r="DFE169" s="173"/>
      <c r="DFF169" s="173"/>
      <c r="DFG169" s="173"/>
      <c r="DFH169" s="173"/>
      <c r="DFI169" s="173"/>
      <c r="DFJ169" s="173"/>
      <c r="DFK169" s="173"/>
      <c r="DFL169" s="173"/>
      <c r="DFM169" s="173"/>
      <c r="DFN169" s="173"/>
      <c r="DFO169" s="125"/>
      <c r="DFP169" s="125"/>
      <c r="DFQ169" s="134"/>
      <c r="DFR169" s="135"/>
      <c r="DFS169" s="135"/>
      <c r="DFT169" s="135"/>
      <c r="DFU169" s="135"/>
      <c r="DFV169" s="173"/>
      <c r="DFW169" s="173"/>
      <c r="DFX169" s="173"/>
      <c r="DFY169" s="173"/>
      <c r="DFZ169" s="173"/>
      <c r="DGA169" s="173"/>
      <c r="DGB169" s="173"/>
      <c r="DGC169" s="173"/>
      <c r="DGD169" s="173"/>
      <c r="DGE169" s="173"/>
      <c r="DGF169" s="125"/>
      <c r="DGG169" s="125"/>
      <c r="DGH169" s="134"/>
      <c r="DGI169" s="135"/>
      <c r="DGJ169" s="135"/>
      <c r="DGK169" s="135"/>
      <c r="DGL169" s="135"/>
      <c r="DGM169" s="173"/>
      <c r="DGN169" s="173"/>
      <c r="DGO169" s="173"/>
      <c r="DGP169" s="173"/>
      <c r="DGQ169" s="173"/>
      <c r="DGR169" s="173"/>
      <c r="DGS169" s="173"/>
      <c r="DGT169" s="173"/>
      <c r="DGU169" s="173"/>
      <c r="DGV169" s="173"/>
      <c r="DGW169" s="125"/>
      <c r="DGX169" s="125"/>
      <c r="DGY169" s="134"/>
      <c r="DGZ169" s="135"/>
      <c r="DHA169" s="135"/>
      <c r="DHB169" s="135"/>
      <c r="DHC169" s="135"/>
      <c r="DHD169" s="173"/>
      <c r="DHE169" s="173"/>
      <c r="DHF169" s="173"/>
      <c r="DHG169" s="173"/>
      <c r="DHH169" s="173"/>
      <c r="DHI169" s="173"/>
      <c r="DHJ169" s="173"/>
      <c r="DHK169" s="173"/>
      <c r="DHL169" s="173"/>
      <c r="DHM169" s="173"/>
      <c r="DHN169" s="125"/>
      <c r="DHO169" s="125"/>
      <c r="DHP169" s="134"/>
      <c r="DHQ169" s="135"/>
      <c r="DHR169" s="135"/>
      <c r="DHS169" s="135"/>
      <c r="DHT169" s="135"/>
      <c r="DHU169" s="173"/>
      <c r="DHV169" s="173"/>
      <c r="DHW169" s="173"/>
      <c r="DHX169" s="173"/>
      <c r="DHY169" s="173"/>
      <c r="DHZ169" s="173"/>
      <c r="DIA169" s="173"/>
      <c r="DIB169" s="173"/>
      <c r="DIC169" s="173"/>
      <c r="DID169" s="173"/>
      <c r="DIE169" s="125"/>
      <c r="DIF169" s="125"/>
      <c r="DIG169" s="134"/>
      <c r="DIH169" s="135"/>
      <c r="DII169" s="135"/>
      <c r="DIJ169" s="135"/>
      <c r="DIK169" s="135"/>
      <c r="DIL169" s="173"/>
      <c r="DIM169" s="173"/>
      <c r="DIN169" s="173"/>
      <c r="DIO169" s="173"/>
      <c r="DIP169" s="173"/>
      <c r="DIQ169" s="173"/>
      <c r="DIR169" s="173"/>
      <c r="DIS169" s="173"/>
      <c r="DIT169" s="173"/>
      <c r="DIU169" s="173"/>
      <c r="DIV169" s="125"/>
      <c r="DIW169" s="125"/>
      <c r="DIX169" s="134"/>
      <c r="DIY169" s="135"/>
      <c r="DIZ169" s="135"/>
      <c r="DJA169" s="135"/>
      <c r="DJB169" s="135"/>
      <c r="DJC169" s="173"/>
      <c r="DJD169" s="173"/>
      <c r="DJE169" s="173"/>
      <c r="DJF169" s="173"/>
      <c r="DJG169" s="173"/>
      <c r="DJH169" s="173"/>
      <c r="DJI169" s="173"/>
      <c r="DJJ169" s="173"/>
      <c r="DJK169" s="173"/>
      <c r="DJL169" s="173"/>
      <c r="DJM169" s="125"/>
      <c r="DJN169" s="125"/>
      <c r="DJO169" s="134"/>
      <c r="DJP169" s="135"/>
      <c r="DJQ169" s="135"/>
      <c r="DJR169" s="135"/>
      <c r="DJS169" s="135"/>
      <c r="DJT169" s="173"/>
      <c r="DJU169" s="173"/>
      <c r="DJV169" s="173"/>
      <c r="DJW169" s="173"/>
      <c r="DJX169" s="173"/>
      <c r="DJY169" s="173"/>
      <c r="DJZ169" s="173"/>
      <c r="DKA169" s="173"/>
      <c r="DKB169" s="173"/>
      <c r="DKC169" s="173"/>
      <c r="DKD169" s="125"/>
      <c r="DKE169" s="125"/>
      <c r="DKF169" s="134"/>
      <c r="DKG169" s="135"/>
      <c r="DKH169" s="135"/>
      <c r="DKI169" s="135"/>
      <c r="DKJ169" s="135"/>
      <c r="DKK169" s="173"/>
      <c r="DKL169" s="173"/>
      <c r="DKM169" s="173"/>
      <c r="DKN169" s="173"/>
      <c r="DKO169" s="173"/>
      <c r="DKP169" s="173"/>
      <c r="DKQ169" s="173"/>
      <c r="DKR169" s="173"/>
      <c r="DKS169" s="173"/>
      <c r="DKT169" s="173"/>
      <c r="DKU169" s="125"/>
      <c r="DKV169" s="125"/>
      <c r="DKW169" s="134"/>
      <c r="DKX169" s="135"/>
      <c r="DKY169" s="135"/>
      <c r="DKZ169" s="135"/>
      <c r="DLA169" s="135"/>
      <c r="DLB169" s="173"/>
      <c r="DLC169" s="173"/>
      <c r="DLD169" s="173"/>
      <c r="DLE169" s="173"/>
      <c r="DLF169" s="173"/>
      <c r="DLG169" s="173"/>
      <c r="DLH169" s="173"/>
      <c r="DLI169" s="173"/>
      <c r="DLJ169" s="173"/>
      <c r="DLK169" s="173"/>
      <c r="DLL169" s="125"/>
      <c r="DLM169" s="125"/>
      <c r="DLN169" s="134"/>
      <c r="DLO169" s="135"/>
      <c r="DLP169" s="135"/>
      <c r="DLQ169" s="135"/>
      <c r="DLR169" s="135"/>
      <c r="DLS169" s="173"/>
      <c r="DLT169" s="173"/>
      <c r="DLU169" s="173"/>
      <c r="DLV169" s="173"/>
      <c r="DLW169" s="173"/>
      <c r="DLX169" s="173"/>
      <c r="DLY169" s="173"/>
      <c r="DLZ169" s="173"/>
      <c r="DMA169" s="173"/>
      <c r="DMB169" s="173"/>
      <c r="DMC169" s="125"/>
      <c r="DMD169" s="125"/>
      <c r="DME169" s="134"/>
      <c r="DMF169" s="135"/>
      <c r="DMG169" s="135"/>
      <c r="DMH169" s="135"/>
      <c r="DMI169" s="135"/>
      <c r="DMJ169" s="173"/>
      <c r="DMK169" s="173"/>
      <c r="DML169" s="173"/>
      <c r="DMM169" s="173"/>
      <c r="DMN169" s="173"/>
      <c r="DMO169" s="173"/>
      <c r="DMP169" s="173"/>
      <c r="DMQ169" s="173"/>
      <c r="DMR169" s="173"/>
      <c r="DMS169" s="173"/>
      <c r="DMT169" s="125"/>
      <c r="DMU169" s="125"/>
      <c r="DMV169" s="134"/>
      <c r="DMW169" s="135"/>
      <c r="DMX169" s="135"/>
      <c r="DMY169" s="135"/>
      <c r="DMZ169" s="135"/>
      <c r="DNA169" s="173"/>
      <c r="DNB169" s="173"/>
      <c r="DNC169" s="173"/>
      <c r="DND169" s="173"/>
      <c r="DNE169" s="173"/>
      <c r="DNF169" s="173"/>
      <c r="DNG169" s="173"/>
      <c r="DNH169" s="173"/>
      <c r="DNI169" s="173"/>
      <c r="DNJ169" s="173"/>
      <c r="DNK169" s="125"/>
      <c r="DNL169" s="125"/>
      <c r="DNM169" s="134"/>
      <c r="DNN169" s="135"/>
      <c r="DNO169" s="135"/>
      <c r="DNP169" s="135"/>
      <c r="DNQ169" s="135"/>
      <c r="DNR169" s="173"/>
      <c r="DNS169" s="173"/>
      <c r="DNT169" s="173"/>
      <c r="DNU169" s="173"/>
      <c r="DNV169" s="173"/>
      <c r="DNW169" s="173"/>
      <c r="DNX169" s="173"/>
      <c r="DNY169" s="173"/>
      <c r="DNZ169" s="173"/>
      <c r="DOA169" s="173"/>
      <c r="DOB169" s="125"/>
      <c r="DOC169" s="125"/>
      <c r="DOD169" s="134"/>
      <c r="DOE169" s="135"/>
      <c r="DOF169" s="135"/>
      <c r="DOG169" s="135"/>
      <c r="DOH169" s="135"/>
      <c r="DOI169" s="173"/>
      <c r="DOJ169" s="173"/>
      <c r="DOK169" s="173"/>
      <c r="DOL169" s="173"/>
      <c r="DOM169" s="173"/>
      <c r="DON169" s="173"/>
      <c r="DOO169" s="173"/>
      <c r="DOP169" s="173"/>
      <c r="DOQ169" s="173"/>
      <c r="DOR169" s="173"/>
      <c r="DOS169" s="125"/>
      <c r="DOT169" s="125"/>
      <c r="DOU169" s="134"/>
      <c r="DOV169" s="135"/>
      <c r="DOW169" s="135"/>
      <c r="DOX169" s="135"/>
      <c r="DOY169" s="135"/>
      <c r="DOZ169" s="173"/>
      <c r="DPA169" s="173"/>
      <c r="DPB169" s="173"/>
      <c r="DPC169" s="173"/>
      <c r="DPD169" s="173"/>
      <c r="DPE169" s="173"/>
      <c r="DPF169" s="173"/>
      <c r="DPG169" s="173"/>
      <c r="DPH169" s="173"/>
      <c r="DPI169" s="173"/>
      <c r="DPJ169" s="125"/>
      <c r="DPK169" s="125"/>
      <c r="DPL169" s="134"/>
      <c r="DPM169" s="135"/>
      <c r="DPN169" s="135"/>
      <c r="DPO169" s="135"/>
      <c r="DPP169" s="135"/>
      <c r="DPQ169" s="173"/>
      <c r="DPR169" s="173"/>
      <c r="DPS169" s="173"/>
      <c r="DPT169" s="173"/>
      <c r="DPU169" s="173"/>
      <c r="DPV169" s="173"/>
      <c r="DPW169" s="173"/>
      <c r="DPX169" s="173"/>
      <c r="DPY169" s="173"/>
      <c r="DPZ169" s="173"/>
      <c r="DQA169" s="125"/>
      <c r="DQB169" s="125"/>
      <c r="DQC169" s="134"/>
      <c r="DQD169" s="135"/>
      <c r="DQE169" s="135"/>
      <c r="DQF169" s="135"/>
      <c r="DQG169" s="135"/>
      <c r="DQH169" s="173"/>
      <c r="DQI169" s="173"/>
      <c r="DQJ169" s="173"/>
      <c r="DQK169" s="173"/>
      <c r="DQL169" s="173"/>
      <c r="DQM169" s="173"/>
      <c r="DQN169" s="173"/>
      <c r="DQO169" s="173"/>
      <c r="DQP169" s="173"/>
      <c r="DQQ169" s="173"/>
      <c r="DQR169" s="125"/>
      <c r="DQS169" s="125"/>
      <c r="DQT169" s="134"/>
      <c r="DQU169" s="135"/>
      <c r="DQV169" s="135"/>
      <c r="DQW169" s="135"/>
      <c r="DQX169" s="135"/>
      <c r="DQY169" s="173"/>
      <c r="DQZ169" s="173"/>
      <c r="DRA169" s="173"/>
      <c r="DRB169" s="173"/>
      <c r="DRC169" s="173"/>
      <c r="DRD169" s="173"/>
      <c r="DRE169" s="173"/>
      <c r="DRF169" s="173"/>
      <c r="DRG169" s="173"/>
      <c r="DRH169" s="173"/>
      <c r="DRI169" s="125"/>
      <c r="DRJ169" s="125"/>
      <c r="DRK169" s="134"/>
      <c r="DRL169" s="135"/>
      <c r="DRM169" s="135"/>
      <c r="DRN169" s="135"/>
      <c r="DRO169" s="135"/>
      <c r="DRP169" s="173"/>
      <c r="DRQ169" s="173"/>
      <c r="DRR169" s="173"/>
      <c r="DRS169" s="173"/>
      <c r="DRT169" s="173"/>
      <c r="DRU169" s="173"/>
      <c r="DRV169" s="173"/>
      <c r="DRW169" s="173"/>
      <c r="DRX169" s="173"/>
      <c r="DRY169" s="173"/>
      <c r="DRZ169" s="125"/>
      <c r="DSA169" s="125"/>
      <c r="DSB169" s="134"/>
      <c r="DSC169" s="135"/>
      <c r="DSD169" s="135"/>
      <c r="DSE169" s="135"/>
      <c r="DSF169" s="135"/>
      <c r="DSG169" s="173"/>
      <c r="DSH169" s="173"/>
      <c r="DSI169" s="173"/>
      <c r="DSJ169" s="173"/>
      <c r="DSK169" s="173"/>
      <c r="DSL169" s="173"/>
      <c r="DSM169" s="173"/>
      <c r="DSN169" s="173"/>
      <c r="DSO169" s="173"/>
      <c r="DSP169" s="173"/>
      <c r="DSQ169" s="125"/>
      <c r="DSR169" s="125"/>
      <c r="DSS169" s="134"/>
      <c r="DST169" s="135"/>
      <c r="DSU169" s="135"/>
      <c r="DSV169" s="135"/>
      <c r="DSW169" s="135"/>
      <c r="DSX169" s="173"/>
      <c r="DSY169" s="173"/>
      <c r="DSZ169" s="173"/>
      <c r="DTA169" s="173"/>
      <c r="DTB169" s="173"/>
      <c r="DTC169" s="173"/>
      <c r="DTD169" s="173"/>
      <c r="DTE169" s="173"/>
      <c r="DTF169" s="173"/>
      <c r="DTG169" s="173"/>
      <c r="DTH169" s="125"/>
      <c r="DTI169" s="125"/>
      <c r="DTJ169" s="134"/>
      <c r="DTK169" s="135"/>
      <c r="DTL169" s="135"/>
      <c r="DTM169" s="135"/>
      <c r="DTN169" s="135"/>
      <c r="DTO169" s="173"/>
      <c r="DTP169" s="173"/>
      <c r="DTQ169" s="173"/>
      <c r="DTR169" s="173"/>
      <c r="DTS169" s="173"/>
      <c r="DTT169" s="173"/>
      <c r="DTU169" s="173"/>
      <c r="DTV169" s="173"/>
      <c r="DTW169" s="173"/>
      <c r="DTX169" s="173"/>
      <c r="DTY169" s="125"/>
      <c r="DTZ169" s="125"/>
      <c r="DUA169" s="134"/>
      <c r="DUB169" s="135"/>
      <c r="DUC169" s="135"/>
      <c r="DUD169" s="135"/>
      <c r="DUE169" s="135"/>
      <c r="DUF169" s="173"/>
      <c r="DUG169" s="173"/>
      <c r="DUH169" s="173"/>
      <c r="DUI169" s="173"/>
      <c r="DUJ169" s="173"/>
      <c r="DUK169" s="173"/>
      <c r="DUL169" s="173"/>
      <c r="DUM169" s="173"/>
      <c r="DUN169" s="173"/>
      <c r="DUO169" s="173"/>
      <c r="DUP169" s="125"/>
      <c r="DUQ169" s="125"/>
      <c r="DUR169" s="134"/>
      <c r="DUS169" s="135"/>
      <c r="DUT169" s="135"/>
      <c r="DUU169" s="135"/>
      <c r="DUV169" s="135"/>
      <c r="DUW169" s="173"/>
      <c r="DUX169" s="173"/>
      <c r="DUY169" s="173"/>
      <c r="DUZ169" s="173"/>
      <c r="DVA169" s="173"/>
      <c r="DVB169" s="173"/>
      <c r="DVC169" s="173"/>
      <c r="DVD169" s="173"/>
      <c r="DVE169" s="173"/>
      <c r="DVF169" s="173"/>
      <c r="DVG169" s="125"/>
      <c r="DVH169" s="125"/>
      <c r="DVI169" s="134"/>
      <c r="DVJ169" s="135"/>
      <c r="DVK169" s="135"/>
      <c r="DVL169" s="135"/>
      <c r="DVM169" s="135"/>
      <c r="DVN169" s="173"/>
      <c r="DVO169" s="173"/>
      <c r="DVP169" s="173"/>
      <c r="DVQ169" s="173"/>
      <c r="DVR169" s="173"/>
      <c r="DVS169" s="173"/>
      <c r="DVT169" s="173"/>
      <c r="DVU169" s="173"/>
      <c r="DVV169" s="173"/>
      <c r="DVW169" s="173"/>
      <c r="DVX169" s="125"/>
      <c r="DVY169" s="125"/>
      <c r="DVZ169" s="134"/>
      <c r="DWA169" s="135"/>
      <c r="DWB169" s="135"/>
      <c r="DWC169" s="135"/>
      <c r="DWD169" s="135"/>
      <c r="DWE169" s="173"/>
      <c r="DWF169" s="173"/>
      <c r="DWG169" s="173"/>
      <c r="DWH169" s="173"/>
      <c r="DWI169" s="173"/>
      <c r="DWJ169" s="173"/>
      <c r="DWK169" s="173"/>
      <c r="DWL169" s="173"/>
      <c r="DWM169" s="173"/>
      <c r="DWN169" s="173"/>
      <c r="DWO169" s="125"/>
      <c r="DWP169" s="125"/>
      <c r="DWQ169" s="134"/>
      <c r="DWR169" s="135"/>
      <c r="DWS169" s="135"/>
      <c r="DWT169" s="135"/>
      <c r="DWU169" s="135"/>
      <c r="DWV169" s="173"/>
      <c r="DWW169" s="173"/>
      <c r="DWX169" s="173"/>
      <c r="DWY169" s="173"/>
      <c r="DWZ169" s="173"/>
      <c r="DXA169" s="173"/>
      <c r="DXB169" s="173"/>
      <c r="DXC169" s="173"/>
      <c r="DXD169" s="173"/>
      <c r="DXE169" s="173"/>
      <c r="DXF169" s="125"/>
      <c r="DXG169" s="125"/>
      <c r="DXH169" s="134"/>
      <c r="DXI169" s="135"/>
      <c r="DXJ169" s="135"/>
      <c r="DXK169" s="135"/>
      <c r="DXL169" s="135"/>
      <c r="DXM169" s="173"/>
      <c r="DXN169" s="173"/>
      <c r="DXO169" s="173"/>
      <c r="DXP169" s="173"/>
      <c r="DXQ169" s="173"/>
      <c r="DXR169" s="173"/>
      <c r="DXS169" s="173"/>
      <c r="DXT169" s="173"/>
      <c r="DXU169" s="173"/>
      <c r="DXV169" s="173"/>
      <c r="DXW169" s="125"/>
      <c r="DXX169" s="125"/>
      <c r="DXY169" s="134"/>
      <c r="DXZ169" s="135"/>
      <c r="DYA169" s="135"/>
      <c r="DYB169" s="135"/>
      <c r="DYC169" s="135"/>
      <c r="DYD169" s="173"/>
      <c r="DYE169" s="173"/>
      <c r="DYF169" s="173"/>
      <c r="DYG169" s="173"/>
      <c r="DYH169" s="173"/>
      <c r="DYI169" s="173"/>
      <c r="DYJ169" s="173"/>
      <c r="DYK169" s="173"/>
      <c r="DYL169" s="173"/>
      <c r="DYM169" s="173"/>
      <c r="DYN169" s="125"/>
      <c r="DYO169" s="125"/>
      <c r="DYP169" s="134"/>
      <c r="DYQ169" s="135"/>
      <c r="DYR169" s="135"/>
      <c r="DYS169" s="135"/>
      <c r="DYT169" s="135"/>
      <c r="DYU169" s="173"/>
      <c r="DYV169" s="173"/>
      <c r="DYW169" s="173"/>
      <c r="DYX169" s="173"/>
      <c r="DYY169" s="173"/>
      <c r="DYZ169" s="173"/>
      <c r="DZA169" s="173"/>
      <c r="DZB169" s="173"/>
      <c r="DZC169" s="173"/>
      <c r="DZD169" s="173"/>
      <c r="DZE169" s="125"/>
      <c r="DZF169" s="125"/>
      <c r="DZG169" s="134"/>
      <c r="DZH169" s="135"/>
      <c r="DZI169" s="135"/>
      <c r="DZJ169" s="135"/>
      <c r="DZK169" s="135"/>
      <c r="DZL169" s="173"/>
      <c r="DZM169" s="173"/>
      <c r="DZN169" s="173"/>
      <c r="DZO169" s="173"/>
      <c r="DZP169" s="173"/>
      <c r="DZQ169" s="173"/>
      <c r="DZR169" s="173"/>
      <c r="DZS169" s="173"/>
      <c r="DZT169" s="173"/>
      <c r="DZU169" s="173"/>
      <c r="DZV169" s="125"/>
      <c r="DZW169" s="125"/>
      <c r="DZX169" s="134"/>
      <c r="DZY169" s="135"/>
      <c r="DZZ169" s="135"/>
      <c r="EAA169" s="135"/>
      <c r="EAB169" s="135"/>
      <c r="EAC169" s="173"/>
      <c r="EAD169" s="173"/>
      <c r="EAE169" s="173"/>
      <c r="EAF169" s="173"/>
      <c r="EAG169" s="173"/>
      <c r="EAH169" s="173"/>
      <c r="EAI169" s="173"/>
      <c r="EAJ169" s="173"/>
      <c r="EAK169" s="173"/>
      <c r="EAL169" s="173"/>
      <c r="EAM169" s="125"/>
      <c r="EAN169" s="125"/>
      <c r="EAO169" s="134"/>
      <c r="EAP169" s="135"/>
      <c r="EAQ169" s="135"/>
      <c r="EAR169" s="135"/>
      <c r="EAS169" s="135"/>
      <c r="EAT169" s="173"/>
      <c r="EAU169" s="173"/>
      <c r="EAV169" s="173"/>
      <c r="EAW169" s="173"/>
      <c r="EAX169" s="173"/>
      <c r="EAY169" s="173"/>
      <c r="EAZ169" s="173"/>
      <c r="EBA169" s="173"/>
      <c r="EBB169" s="173"/>
      <c r="EBC169" s="173"/>
      <c r="EBD169" s="125"/>
      <c r="EBE169" s="125"/>
      <c r="EBF169" s="134"/>
      <c r="EBG169" s="135"/>
      <c r="EBH169" s="135"/>
      <c r="EBI169" s="135"/>
      <c r="EBJ169" s="135"/>
      <c r="EBK169" s="173"/>
      <c r="EBL169" s="173"/>
      <c r="EBM169" s="173"/>
      <c r="EBN169" s="173"/>
      <c r="EBO169" s="173"/>
      <c r="EBP169" s="173"/>
      <c r="EBQ169" s="173"/>
      <c r="EBR169" s="173"/>
      <c r="EBS169" s="173"/>
      <c r="EBT169" s="173"/>
      <c r="EBU169" s="125"/>
      <c r="EBV169" s="125"/>
      <c r="EBW169" s="134"/>
      <c r="EBX169" s="135"/>
      <c r="EBY169" s="135"/>
      <c r="EBZ169" s="135"/>
      <c r="ECA169" s="135"/>
      <c r="ECB169" s="173"/>
      <c r="ECC169" s="173"/>
      <c r="ECD169" s="173"/>
      <c r="ECE169" s="173"/>
      <c r="ECF169" s="173"/>
      <c r="ECG169" s="173"/>
      <c r="ECH169" s="173"/>
      <c r="ECI169" s="173"/>
      <c r="ECJ169" s="173"/>
      <c r="ECK169" s="173"/>
      <c r="ECL169" s="125"/>
      <c r="ECM169" s="125"/>
      <c r="ECN169" s="134"/>
      <c r="ECO169" s="135"/>
      <c r="ECP169" s="135"/>
      <c r="ECQ169" s="135"/>
      <c r="ECR169" s="135"/>
      <c r="ECS169" s="173"/>
      <c r="ECT169" s="173"/>
      <c r="ECU169" s="173"/>
      <c r="ECV169" s="173"/>
      <c r="ECW169" s="173"/>
      <c r="ECX169" s="173"/>
      <c r="ECY169" s="173"/>
      <c r="ECZ169" s="173"/>
      <c r="EDA169" s="173"/>
      <c r="EDB169" s="173"/>
      <c r="EDC169" s="125"/>
      <c r="EDD169" s="125"/>
      <c r="EDE169" s="134"/>
      <c r="EDF169" s="135"/>
      <c r="EDG169" s="135"/>
      <c r="EDH169" s="135"/>
      <c r="EDI169" s="135"/>
      <c r="EDJ169" s="173"/>
      <c r="EDK169" s="173"/>
      <c r="EDL169" s="173"/>
      <c r="EDM169" s="173"/>
      <c r="EDN169" s="173"/>
      <c r="EDO169" s="173"/>
      <c r="EDP169" s="173"/>
      <c r="EDQ169" s="173"/>
      <c r="EDR169" s="173"/>
      <c r="EDS169" s="173"/>
      <c r="EDT169" s="125"/>
      <c r="EDU169" s="125"/>
      <c r="EDV169" s="134"/>
      <c r="EDW169" s="135"/>
      <c r="EDX169" s="135"/>
      <c r="EDY169" s="135"/>
      <c r="EDZ169" s="135"/>
      <c r="EEA169" s="173"/>
      <c r="EEB169" s="173"/>
      <c r="EEC169" s="173"/>
      <c r="EED169" s="173"/>
      <c r="EEE169" s="173"/>
      <c r="EEF169" s="173"/>
      <c r="EEG169" s="173"/>
      <c r="EEH169" s="173"/>
      <c r="EEI169" s="173"/>
      <c r="EEJ169" s="173"/>
      <c r="EEK169" s="125"/>
      <c r="EEL169" s="125"/>
      <c r="EEM169" s="134"/>
      <c r="EEN169" s="135"/>
      <c r="EEO169" s="135"/>
      <c r="EEP169" s="135"/>
      <c r="EEQ169" s="135"/>
      <c r="EER169" s="173"/>
      <c r="EES169" s="173"/>
      <c r="EET169" s="173"/>
      <c r="EEU169" s="173"/>
      <c r="EEV169" s="173"/>
      <c r="EEW169" s="173"/>
      <c r="EEX169" s="173"/>
      <c r="EEY169" s="173"/>
      <c r="EEZ169" s="173"/>
      <c r="EFA169" s="173"/>
      <c r="EFB169" s="125"/>
      <c r="EFC169" s="125"/>
      <c r="EFD169" s="134"/>
      <c r="EFE169" s="135"/>
      <c r="EFF169" s="135"/>
      <c r="EFG169" s="135"/>
      <c r="EFH169" s="135"/>
      <c r="EFI169" s="173"/>
      <c r="EFJ169" s="173"/>
      <c r="EFK169" s="173"/>
      <c r="EFL169" s="173"/>
      <c r="EFM169" s="173"/>
      <c r="EFN169" s="173"/>
      <c r="EFO169" s="173"/>
      <c r="EFP169" s="173"/>
      <c r="EFQ169" s="173"/>
      <c r="EFR169" s="173"/>
      <c r="EFS169" s="125"/>
      <c r="EFT169" s="125"/>
      <c r="EFU169" s="134"/>
      <c r="EFV169" s="135"/>
      <c r="EFW169" s="135"/>
      <c r="EFX169" s="135"/>
      <c r="EFY169" s="135"/>
      <c r="EFZ169" s="173"/>
      <c r="EGA169" s="173"/>
      <c r="EGB169" s="173"/>
      <c r="EGC169" s="173"/>
      <c r="EGD169" s="173"/>
      <c r="EGE169" s="173"/>
      <c r="EGF169" s="173"/>
      <c r="EGG169" s="173"/>
      <c r="EGH169" s="173"/>
      <c r="EGI169" s="173"/>
      <c r="EGJ169" s="125"/>
      <c r="EGK169" s="125"/>
      <c r="EGL169" s="134"/>
      <c r="EGM169" s="135"/>
      <c r="EGN169" s="135"/>
      <c r="EGO169" s="135"/>
      <c r="EGP169" s="135"/>
      <c r="EGQ169" s="173"/>
      <c r="EGR169" s="173"/>
      <c r="EGS169" s="173"/>
      <c r="EGT169" s="173"/>
      <c r="EGU169" s="173"/>
      <c r="EGV169" s="173"/>
      <c r="EGW169" s="173"/>
      <c r="EGX169" s="173"/>
      <c r="EGY169" s="173"/>
      <c r="EGZ169" s="173"/>
      <c r="EHA169" s="125"/>
      <c r="EHB169" s="125"/>
      <c r="EHC169" s="134"/>
      <c r="EHD169" s="135"/>
      <c r="EHE169" s="135"/>
      <c r="EHF169" s="135"/>
      <c r="EHG169" s="135"/>
      <c r="EHH169" s="173"/>
      <c r="EHI169" s="173"/>
      <c r="EHJ169" s="173"/>
      <c r="EHK169" s="173"/>
      <c r="EHL169" s="173"/>
      <c r="EHM169" s="173"/>
      <c r="EHN169" s="173"/>
      <c r="EHO169" s="173"/>
      <c r="EHP169" s="173"/>
      <c r="EHQ169" s="173"/>
      <c r="EHR169" s="125"/>
      <c r="EHS169" s="125"/>
      <c r="EHT169" s="134"/>
      <c r="EHU169" s="135"/>
      <c r="EHV169" s="135"/>
      <c r="EHW169" s="135"/>
      <c r="EHX169" s="135"/>
      <c r="EHY169" s="173"/>
      <c r="EHZ169" s="173"/>
      <c r="EIA169" s="173"/>
      <c r="EIB169" s="173"/>
      <c r="EIC169" s="173"/>
      <c r="EID169" s="173"/>
      <c r="EIE169" s="173"/>
      <c r="EIF169" s="173"/>
      <c r="EIG169" s="173"/>
      <c r="EIH169" s="173"/>
      <c r="EII169" s="125"/>
      <c r="EIJ169" s="125"/>
      <c r="EIK169" s="134"/>
      <c r="EIL169" s="135"/>
      <c r="EIM169" s="135"/>
      <c r="EIN169" s="135"/>
      <c r="EIO169" s="135"/>
      <c r="EIP169" s="173"/>
      <c r="EIQ169" s="173"/>
      <c r="EIR169" s="173"/>
      <c r="EIS169" s="173"/>
      <c r="EIT169" s="173"/>
      <c r="EIU169" s="173"/>
      <c r="EIV169" s="173"/>
      <c r="EIW169" s="173"/>
      <c r="EIX169" s="173"/>
      <c r="EIY169" s="173"/>
      <c r="EIZ169" s="125"/>
      <c r="EJA169" s="125"/>
      <c r="EJB169" s="134"/>
      <c r="EJC169" s="135"/>
      <c r="EJD169" s="135"/>
      <c r="EJE169" s="135"/>
      <c r="EJF169" s="135"/>
      <c r="EJG169" s="173"/>
      <c r="EJH169" s="173"/>
      <c r="EJI169" s="173"/>
      <c r="EJJ169" s="173"/>
      <c r="EJK169" s="173"/>
      <c r="EJL169" s="173"/>
      <c r="EJM169" s="173"/>
      <c r="EJN169" s="173"/>
      <c r="EJO169" s="173"/>
      <c r="EJP169" s="173"/>
      <c r="EJQ169" s="125"/>
      <c r="EJR169" s="125"/>
      <c r="EJS169" s="134"/>
      <c r="EJT169" s="135"/>
      <c r="EJU169" s="135"/>
      <c r="EJV169" s="135"/>
      <c r="EJW169" s="135"/>
      <c r="EJX169" s="173"/>
      <c r="EJY169" s="173"/>
      <c r="EJZ169" s="173"/>
      <c r="EKA169" s="173"/>
      <c r="EKB169" s="173"/>
      <c r="EKC169" s="173"/>
      <c r="EKD169" s="173"/>
      <c r="EKE169" s="173"/>
      <c r="EKF169" s="173"/>
      <c r="EKG169" s="173"/>
      <c r="EKH169" s="125"/>
      <c r="EKI169" s="125"/>
      <c r="EKJ169" s="134"/>
      <c r="EKK169" s="135"/>
      <c r="EKL169" s="135"/>
      <c r="EKM169" s="135"/>
      <c r="EKN169" s="135"/>
      <c r="EKO169" s="173"/>
      <c r="EKP169" s="173"/>
      <c r="EKQ169" s="173"/>
      <c r="EKR169" s="173"/>
      <c r="EKS169" s="173"/>
      <c r="EKT169" s="173"/>
      <c r="EKU169" s="173"/>
      <c r="EKV169" s="173"/>
      <c r="EKW169" s="173"/>
      <c r="EKX169" s="173"/>
      <c r="EKY169" s="125"/>
      <c r="EKZ169" s="125"/>
      <c r="ELA169" s="134"/>
      <c r="ELB169" s="135"/>
      <c r="ELC169" s="135"/>
      <c r="ELD169" s="135"/>
      <c r="ELE169" s="135"/>
      <c r="ELF169" s="173"/>
      <c r="ELG169" s="173"/>
      <c r="ELH169" s="173"/>
      <c r="ELI169" s="173"/>
      <c r="ELJ169" s="173"/>
      <c r="ELK169" s="173"/>
      <c r="ELL169" s="173"/>
      <c r="ELM169" s="173"/>
      <c r="ELN169" s="173"/>
      <c r="ELO169" s="173"/>
      <c r="ELP169" s="125"/>
      <c r="ELQ169" s="125"/>
      <c r="ELR169" s="134"/>
      <c r="ELS169" s="135"/>
      <c r="ELT169" s="135"/>
      <c r="ELU169" s="135"/>
      <c r="ELV169" s="135"/>
      <c r="ELW169" s="173"/>
      <c r="ELX169" s="173"/>
      <c r="ELY169" s="173"/>
      <c r="ELZ169" s="173"/>
      <c r="EMA169" s="173"/>
      <c r="EMB169" s="173"/>
      <c r="EMC169" s="173"/>
      <c r="EMD169" s="173"/>
      <c r="EME169" s="173"/>
      <c r="EMF169" s="173"/>
      <c r="EMG169" s="125"/>
      <c r="EMH169" s="125"/>
      <c r="EMI169" s="134"/>
      <c r="EMJ169" s="135"/>
      <c r="EMK169" s="135"/>
      <c r="EML169" s="135"/>
      <c r="EMM169" s="135"/>
      <c r="EMN169" s="173"/>
      <c r="EMO169" s="173"/>
      <c r="EMP169" s="173"/>
      <c r="EMQ169" s="173"/>
      <c r="EMR169" s="173"/>
      <c r="EMS169" s="173"/>
      <c r="EMT169" s="173"/>
      <c r="EMU169" s="173"/>
      <c r="EMV169" s="173"/>
      <c r="EMW169" s="173"/>
      <c r="EMX169" s="125"/>
      <c r="EMY169" s="125"/>
      <c r="EMZ169" s="134"/>
      <c r="ENA169" s="135"/>
      <c r="ENB169" s="135"/>
      <c r="ENC169" s="135"/>
      <c r="END169" s="135"/>
      <c r="ENE169" s="173"/>
      <c r="ENF169" s="173"/>
      <c r="ENG169" s="173"/>
      <c r="ENH169" s="173"/>
      <c r="ENI169" s="173"/>
      <c r="ENJ169" s="173"/>
      <c r="ENK169" s="173"/>
      <c r="ENL169" s="173"/>
      <c r="ENM169" s="173"/>
      <c r="ENN169" s="173"/>
      <c r="ENO169" s="125"/>
      <c r="ENP169" s="125"/>
      <c r="ENQ169" s="134"/>
      <c r="ENR169" s="135"/>
      <c r="ENS169" s="135"/>
      <c r="ENT169" s="135"/>
      <c r="ENU169" s="135"/>
      <c r="ENV169" s="173"/>
      <c r="ENW169" s="173"/>
      <c r="ENX169" s="173"/>
      <c r="ENY169" s="173"/>
      <c r="ENZ169" s="173"/>
      <c r="EOA169" s="173"/>
      <c r="EOB169" s="173"/>
      <c r="EOC169" s="173"/>
      <c r="EOD169" s="173"/>
      <c r="EOE169" s="173"/>
      <c r="EOF169" s="125"/>
      <c r="EOG169" s="125"/>
      <c r="EOH169" s="134"/>
      <c r="EOI169" s="135"/>
      <c r="EOJ169" s="135"/>
      <c r="EOK169" s="135"/>
      <c r="EOL169" s="135"/>
      <c r="EOM169" s="173"/>
      <c r="EON169" s="173"/>
      <c r="EOO169" s="173"/>
      <c r="EOP169" s="173"/>
      <c r="EOQ169" s="173"/>
      <c r="EOR169" s="173"/>
      <c r="EOS169" s="173"/>
      <c r="EOT169" s="173"/>
      <c r="EOU169" s="173"/>
      <c r="EOV169" s="173"/>
      <c r="EOW169" s="125"/>
      <c r="EOX169" s="125"/>
      <c r="EOY169" s="134"/>
      <c r="EOZ169" s="135"/>
      <c r="EPA169" s="135"/>
      <c r="EPB169" s="135"/>
      <c r="EPC169" s="135"/>
      <c r="EPD169" s="173"/>
      <c r="EPE169" s="173"/>
      <c r="EPF169" s="173"/>
      <c r="EPG169" s="173"/>
      <c r="EPH169" s="173"/>
      <c r="EPI169" s="173"/>
      <c r="EPJ169" s="173"/>
      <c r="EPK169" s="173"/>
      <c r="EPL169" s="173"/>
      <c r="EPM169" s="173"/>
      <c r="EPN169" s="125"/>
      <c r="EPO169" s="125"/>
      <c r="EPP169" s="134"/>
      <c r="EPQ169" s="135"/>
      <c r="EPR169" s="135"/>
      <c r="EPS169" s="135"/>
      <c r="EPT169" s="135"/>
      <c r="EPU169" s="173"/>
      <c r="EPV169" s="173"/>
      <c r="EPW169" s="173"/>
      <c r="EPX169" s="173"/>
      <c r="EPY169" s="173"/>
      <c r="EPZ169" s="173"/>
      <c r="EQA169" s="173"/>
      <c r="EQB169" s="173"/>
      <c r="EQC169" s="173"/>
      <c r="EQD169" s="173"/>
      <c r="EQE169" s="125"/>
      <c r="EQF169" s="125"/>
      <c r="EQG169" s="134"/>
      <c r="EQH169" s="135"/>
      <c r="EQI169" s="135"/>
      <c r="EQJ169" s="135"/>
      <c r="EQK169" s="135"/>
      <c r="EQL169" s="173"/>
      <c r="EQM169" s="173"/>
      <c r="EQN169" s="173"/>
      <c r="EQO169" s="173"/>
      <c r="EQP169" s="173"/>
      <c r="EQQ169" s="173"/>
      <c r="EQR169" s="173"/>
      <c r="EQS169" s="173"/>
      <c r="EQT169" s="173"/>
      <c r="EQU169" s="173"/>
      <c r="EQV169" s="125"/>
      <c r="EQW169" s="125"/>
      <c r="EQX169" s="134"/>
      <c r="EQY169" s="135"/>
      <c r="EQZ169" s="135"/>
      <c r="ERA169" s="135"/>
      <c r="ERB169" s="135"/>
      <c r="ERC169" s="173"/>
      <c r="ERD169" s="173"/>
      <c r="ERE169" s="173"/>
      <c r="ERF169" s="173"/>
      <c r="ERG169" s="173"/>
      <c r="ERH169" s="173"/>
      <c r="ERI169" s="173"/>
      <c r="ERJ169" s="173"/>
      <c r="ERK169" s="173"/>
      <c r="ERL169" s="173"/>
      <c r="ERM169" s="125"/>
      <c r="ERN169" s="125"/>
      <c r="ERO169" s="134"/>
      <c r="ERP169" s="135"/>
      <c r="ERQ169" s="135"/>
      <c r="ERR169" s="135"/>
      <c r="ERS169" s="135"/>
      <c r="ERT169" s="173"/>
      <c r="ERU169" s="173"/>
      <c r="ERV169" s="173"/>
      <c r="ERW169" s="173"/>
      <c r="ERX169" s="173"/>
      <c r="ERY169" s="173"/>
      <c r="ERZ169" s="173"/>
      <c r="ESA169" s="173"/>
      <c r="ESB169" s="173"/>
      <c r="ESC169" s="173"/>
      <c r="ESD169" s="125"/>
      <c r="ESE169" s="125"/>
      <c r="ESF169" s="134"/>
      <c r="ESG169" s="135"/>
      <c r="ESH169" s="135"/>
      <c r="ESI169" s="135"/>
      <c r="ESJ169" s="135"/>
      <c r="ESK169" s="173"/>
      <c r="ESL169" s="173"/>
      <c r="ESM169" s="173"/>
      <c r="ESN169" s="173"/>
      <c r="ESO169" s="173"/>
      <c r="ESP169" s="173"/>
      <c r="ESQ169" s="173"/>
      <c r="ESR169" s="173"/>
      <c r="ESS169" s="173"/>
      <c r="EST169" s="173"/>
      <c r="ESU169" s="125"/>
      <c r="ESV169" s="125"/>
      <c r="ESW169" s="134"/>
      <c r="ESX169" s="135"/>
      <c r="ESY169" s="135"/>
      <c r="ESZ169" s="135"/>
      <c r="ETA169" s="135"/>
      <c r="ETB169" s="173"/>
      <c r="ETC169" s="173"/>
      <c r="ETD169" s="173"/>
      <c r="ETE169" s="173"/>
      <c r="ETF169" s="173"/>
      <c r="ETG169" s="173"/>
      <c r="ETH169" s="173"/>
      <c r="ETI169" s="173"/>
      <c r="ETJ169" s="173"/>
      <c r="ETK169" s="173"/>
      <c r="ETL169" s="125"/>
      <c r="ETM169" s="125"/>
      <c r="ETN169" s="134"/>
      <c r="ETO169" s="135"/>
      <c r="ETP169" s="135"/>
      <c r="ETQ169" s="135"/>
      <c r="ETR169" s="135"/>
      <c r="ETS169" s="173"/>
      <c r="ETT169" s="173"/>
      <c r="ETU169" s="173"/>
      <c r="ETV169" s="173"/>
      <c r="ETW169" s="173"/>
      <c r="ETX169" s="173"/>
      <c r="ETY169" s="173"/>
      <c r="ETZ169" s="173"/>
      <c r="EUA169" s="173"/>
      <c r="EUB169" s="173"/>
      <c r="EUC169" s="125"/>
      <c r="EUD169" s="125"/>
      <c r="EUE169" s="134"/>
      <c r="EUF169" s="135"/>
      <c r="EUG169" s="135"/>
      <c r="EUH169" s="135"/>
      <c r="EUI169" s="135"/>
      <c r="EUJ169" s="173"/>
      <c r="EUK169" s="173"/>
      <c r="EUL169" s="173"/>
      <c r="EUM169" s="173"/>
      <c r="EUN169" s="173"/>
      <c r="EUO169" s="173"/>
      <c r="EUP169" s="173"/>
      <c r="EUQ169" s="173"/>
      <c r="EUR169" s="173"/>
      <c r="EUS169" s="173"/>
      <c r="EUT169" s="125"/>
      <c r="EUU169" s="125"/>
      <c r="EUV169" s="134"/>
      <c r="EUW169" s="135"/>
      <c r="EUX169" s="135"/>
      <c r="EUY169" s="135"/>
      <c r="EUZ169" s="135"/>
      <c r="EVA169" s="173"/>
      <c r="EVB169" s="173"/>
      <c r="EVC169" s="173"/>
      <c r="EVD169" s="173"/>
      <c r="EVE169" s="173"/>
      <c r="EVF169" s="173"/>
      <c r="EVG169" s="173"/>
      <c r="EVH169" s="173"/>
      <c r="EVI169" s="173"/>
      <c r="EVJ169" s="173"/>
      <c r="EVK169" s="125"/>
      <c r="EVL169" s="125"/>
      <c r="EVM169" s="134"/>
      <c r="EVN169" s="135"/>
      <c r="EVO169" s="135"/>
      <c r="EVP169" s="135"/>
      <c r="EVQ169" s="135"/>
      <c r="EVR169" s="173"/>
      <c r="EVS169" s="173"/>
      <c r="EVT169" s="173"/>
      <c r="EVU169" s="173"/>
      <c r="EVV169" s="173"/>
      <c r="EVW169" s="173"/>
      <c r="EVX169" s="173"/>
      <c r="EVY169" s="173"/>
      <c r="EVZ169" s="173"/>
      <c r="EWA169" s="173"/>
      <c r="EWB169" s="125"/>
      <c r="EWC169" s="125"/>
      <c r="EWD169" s="134"/>
      <c r="EWE169" s="135"/>
      <c r="EWF169" s="135"/>
      <c r="EWG169" s="135"/>
      <c r="EWH169" s="135"/>
      <c r="EWI169" s="173"/>
      <c r="EWJ169" s="173"/>
      <c r="EWK169" s="173"/>
      <c r="EWL169" s="173"/>
      <c r="EWM169" s="173"/>
      <c r="EWN169" s="173"/>
      <c r="EWO169" s="173"/>
      <c r="EWP169" s="173"/>
      <c r="EWQ169" s="173"/>
      <c r="EWR169" s="173"/>
      <c r="EWS169" s="125"/>
      <c r="EWT169" s="125"/>
      <c r="EWU169" s="134"/>
      <c r="EWV169" s="135"/>
      <c r="EWW169" s="135"/>
      <c r="EWX169" s="135"/>
      <c r="EWY169" s="135"/>
      <c r="EWZ169" s="173"/>
      <c r="EXA169" s="173"/>
      <c r="EXB169" s="173"/>
      <c r="EXC169" s="173"/>
      <c r="EXD169" s="173"/>
      <c r="EXE169" s="173"/>
      <c r="EXF169" s="173"/>
      <c r="EXG169" s="173"/>
      <c r="EXH169" s="173"/>
      <c r="EXI169" s="173"/>
      <c r="EXJ169" s="125"/>
      <c r="EXK169" s="125"/>
      <c r="EXL169" s="134"/>
      <c r="EXM169" s="135"/>
      <c r="EXN169" s="135"/>
      <c r="EXO169" s="135"/>
      <c r="EXP169" s="135"/>
      <c r="EXQ169" s="173"/>
      <c r="EXR169" s="173"/>
      <c r="EXS169" s="173"/>
      <c r="EXT169" s="173"/>
      <c r="EXU169" s="173"/>
      <c r="EXV169" s="173"/>
      <c r="EXW169" s="173"/>
      <c r="EXX169" s="173"/>
      <c r="EXY169" s="173"/>
      <c r="EXZ169" s="173"/>
      <c r="EYA169" s="125"/>
      <c r="EYB169" s="125"/>
      <c r="EYC169" s="134"/>
      <c r="EYD169" s="135"/>
      <c r="EYE169" s="135"/>
      <c r="EYF169" s="135"/>
      <c r="EYG169" s="135"/>
      <c r="EYH169" s="173"/>
      <c r="EYI169" s="173"/>
      <c r="EYJ169" s="173"/>
      <c r="EYK169" s="173"/>
      <c r="EYL169" s="173"/>
      <c r="EYM169" s="173"/>
      <c r="EYN169" s="173"/>
      <c r="EYO169" s="173"/>
      <c r="EYP169" s="173"/>
      <c r="EYQ169" s="173"/>
      <c r="EYR169" s="125"/>
      <c r="EYS169" s="125"/>
      <c r="EYT169" s="134"/>
      <c r="EYU169" s="135"/>
      <c r="EYV169" s="135"/>
      <c r="EYW169" s="135"/>
      <c r="EYX169" s="135"/>
      <c r="EYY169" s="173"/>
      <c r="EYZ169" s="173"/>
      <c r="EZA169" s="173"/>
      <c r="EZB169" s="173"/>
      <c r="EZC169" s="173"/>
      <c r="EZD169" s="173"/>
      <c r="EZE169" s="173"/>
      <c r="EZF169" s="173"/>
      <c r="EZG169" s="173"/>
      <c r="EZH169" s="173"/>
      <c r="EZI169" s="125"/>
      <c r="EZJ169" s="125"/>
      <c r="EZK169" s="134"/>
      <c r="EZL169" s="135"/>
      <c r="EZM169" s="135"/>
      <c r="EZN169" s="135"/>
      <c r="EZO169" s="135"/>
      <c r="EZP169" s="173"/>
      <c r="EZQ169" s="173"/>
      <c r="EZR169" s="173"/>
      <c r="EZS169" s="173"/>
      <c r="EZT169" s="173"/>
      <c r="EZU169" s="173"/>
      <c r="EZV169" s="173"/>
      <c r="EZW169" s="173"/>
      <c r="EZX169" s="173"/>
      <c r="EZY169" s="173"/>
      <c r="EZZ169" s="125"/>
      <c r="FAA169" s="125"/>
      <c r="FAB169" s="134"/>
      <c r="FAC169" s="135"/>
      <c r="FAD169" s="135"/>
      <c r="FAE169" s="135"/>
      <c r="FAF169" s="135"/>
      <c r="FAG169" s="173"/>
      <c r="FAH169" s="173"/>
      <c r="FAI169" s="173"/>
      <c r="FAJ169" s="173"/>
      <c r="FAK169" s="173"/>
      <c r="FAL169" s="173"/>
      <c r="FAM169" s="173"/>
      <c r="FAN169" s="173"/>
      <c r="FAO169" s="173"/>
      <c r="FAP169" s="173"/>
      <c r="FAQ169" s="125"/>
      <c r="FAR169" s="125"/>
      <c r="FAS169" s="134"/>
      <c r="FAT169" s="135"/>
      <c r="FAU169" s="135"/>
      <c r="FAV169" s="135"/>
      <c r="FAW169" s="135"/>
      <c r="FAX169" s="173"/>
      <c r="FAY169" s="173"/>
      <c r="FAZ169" s="173"/>
      <c r="FBA169" s="173"/>
      <c r="FBB169" s="173"/>
      <c r="FBC169" s="173"/>
      <c r="FBD169" s="173"/>
      <c r="FBE169" s="173"/>
      <c r="FBF169" s="173"/>
      <c r="FBG169" s="173"/>
      <c r="FBH169" s="125"/>
      <c r="FBI169" s="125"/>
      <c r="FBJ169" s="134"/>
      <c r="FBK169" s="135"/>
      <c r="FBL169" s="135"/>
      <c r="FBM169" s="135"/>
      <c r="FBN169" s="135"/>
      <c r="FBO169" s="173"/>
      <c r="FBP169" s="173"/>
      <c r="FBQ169" s="173"/>
      <c r="FBR169" s="173"/>
      <c r="FBS169" s="173"/>
      <c r="FBT169" s="173"/>
      <c r="FBU169" s="173"/>
      <c r="FBV169" s="173"/>
      <c r="FBW169" s="173"/>
      <c r="FBX169" s="173"/>
      <c r="FBY169" s="125"/>
      <c r="FBZ169" s="125"/>
      <c r="FCA169" s="134"/>
      <c r="FCB169" s="135"/>
      <c r="FCC169" s="135"/>
      <c r="FCD169" s="135"/>
      <c r="FCE169" s="135"/>
      <c r="FCF169" s="173"/>
      <c r="FCG169" s="173"/>
      <c r="FCH169" s="173"/>
      <c r="FCI169" s="173"/>
      <c r="FCJ169" s="173"/>
      <c r="FCK169" s="173"/>
      <c r="FCL169" s="173"/>
      <c r="FCM169" s="173"/>
      <c r="FCN169" s="173"/>
      <c r="FCO169" s="173"/>
      <c r="FCP169" s="125"/>
      <c r="FCQ169" s="125"/>
      <c r="FCR169" s="134"/>
      <c r="FCS169" s="135"/>
      <c r="FCT169" s="135"/>
      <c r="FCU169" s="135"/>
      <c r="FCV169" s="135"/>
      <c r="FCW169" s="173"/>
      <c r="FCX169" s="173"/>
      <c r="FCY169" s="173"/>
      <c r="FCZ169" s="173"/>
      <c r="FDA169" s="173"/>
      <c r="FDB169" s="173"/>
      <c r="FDC169" s="173"/>
      <c r="FDD169" s="173"/>
      <c r="FDE169" s="173"/>
      <c r="FDF169" s="173"/>
      <c r="FDG169" s="125"/>
      <c r="FDH169" s="125"/>
      <c r="FDI169" s="134"/>
      <c r="FDJ169" s="135"/>
      <c r="FDK169" s="135"/>
      <c r="FDL169" s="135"/>
      <c r="FDM169" s="135"/>
      <c r="FDN169" s="173"/>
      <c r="FDO169" s="173"/>
      <c r="FDP169" s="173"/>
      <c r="FDQ169" s="173"/>
      <c r="FDR169" s="173"/>
      <c r="FDS169" s="173"/>
      <c r="FDT169" s="173"/>
      <c r="FDU169" s="173"/>
      <c r="FDV169" s="173"/>
      <c r="FDW169" s="173"/>
      <c r="FDX169" s="125"/>
      <c r="FDY169" s="125"/>
      <c r="FDZ169" s="134"/>
      <c r="FEA169" s="135"/>
      <c r="FEB169" s="135"/>
      <c r="FEC169" s="135"/>
      <c r="FED169" s="135"/>
      <c r="FEE169" s="173"/>
      <c r="FEF169" s="173"/>
      <c r="FEG169" s="173"/>
      <c r="FEH169" s="173"/>
      <c r="FEI169" s="173"/>
      <c r="FEJ169" s="173"/>
      <c r="FEK169" s="173"/>
      <c r="FEL169" s="173"/>
      <c r="FEM169" s="173"/>
      <c r="FEN169" s="173"/>
      <c r="FEO169" s="125"/>
      <c r="FEP169" s="125"/>
      <c r="FEQ169" s="134"/>
      <c r="FER169" s="135"/>
      <c r="FES169" s="135"/>
      <c r="FET169" s="135"/>
      <c r="FEU169" s="135"/>
      <c r="FEV169" s="173"/>
      <c r="FEW169" s="173"/>
      <c r="FEX169" s="173"/>
      <c r="FEY169" s="173"/>
      <c r="FEZ169" s="173"/>
      <c r="FFA169" s="173"/>
      <c r="FFB169" s="173"/>
      <c r="FFC169" s="173"/>
      <c r="FFD169" s="173"/>
      <c r="FFE169" s="173"/>
      <c r="FFF169" s="125"/>
      <c r="FFG169" s="125"/>
      <c r="FFH169" s="134"/>
      <c r="FFI169" s="135"/>
      <c r="FFJ169" s="135"/>
      <c r="FFK169" s="135"/>
      <c r="FFL169" s="135"/>
      <c r="FFM169" s="173"/>
      <c r="FFN169" s="173"/>
      <c r="FFO169" s="173"/>
      <c r="FFP169" s="173"/>
      <c r="FFQ169" s="173"/>
      <c r="FFR169" s="173"/>
      <c r="FFS169" s="173"/>
      <c r="FFT169" s="173"/>
      <c r="FFU169" s="173"/>
      <c r="FFV169" s="173"/>
      <c r="FFW169" s="125"/>
      <c r="FFX169" s="125"/>
      <c r="FFY169" s="134"/>
      <c r="FFZ169" s="135"/>
      <c r="FGA169" s="135"/>
      <c r="FGB169" s="135"/>
      <c r="FGC169" s="135"/>
      <c r="FGD169" s="173"/>
      <c r="FGE169" s="173"/>
      <c r="FGF169" s="173"/>
      <c r="FGG169" s="173"/>
      <c r="FGH169" s="173"/>
      <c r="FGI169" s="173"/>
      <c r="FGJ169" s="173"/>
      <c r="FGK169" s="173"/>
      <c r="FGL169" s="173"/>
      <c r="FGM169" s="173"/>
      <c r="FGN169" s="125"/>
      <c r="FGO169" s="125"/>
      <c r="FGP169" s="134"/>
      <c r="FGQ169" s="135"/>
      <c r="FGR169" s="135"/>
      <c r="FGS169" s="135"/>
      <c r="FGT169" s="135"/>
      <c r="FGU169" s="173"/>
      <c r="FGV169" s="173"/>
      <c r="FGW169" s="173"/>
      <c r="FGX169" s="173"/>
      <c r="FGY169" s="173"/>
      <c r="FGZ169" s="173"/>
      <c r="FHA169" s="173"/>
      <c r="FHB169" s="173"/>
      <c r="FHC169" s="173"/>
      <c r="FHD169" s="173"/>
      <c r="FHE169" s="125"/>
      <c r="FHF169" s="125"/>
      <c r="FHG169" s="134"/>
      <c r="FHH169" s="135"/>
      <c r="FHI169" s="135"/>
      <c r="FHJ169" s="135"/>
      <c r="FHK169" s="135"/>
      <c r="FHL169" s="173"/>
      <c r="FHM169" s="173"/>
      <c r="FHN169" s="173"/>
      <c r="FHO169" s="173"/>
      <c r="FHP169" s="173"/>
      <c r="FHQ169" s="173"/>
      <c r="FHR169" s="173"/>
      <c r="FHS169" s="173"/>
      <c r="FHT169" s="173"/>
      <c r="FHU169" s="173"/>
      <c r="FHV169" s="125"/>
      <c r="FHW169" s="125"/>
      <c r="FHX169" s="134"/>
      <c r="FHY169" s="135"/>
      <c r="FHZ169" s="135"/>
      <c r="FIA169" s="135"/>
      <c r="FIB169" s="135"/>
      <c r="FIC169" s="173"/>
      <c r="FID169" s="173"/>
      <c r="FIE169" s="173"/>
      <c r="FIF169" s="173"/>
      <c r="FIG169" s="173"/>
      <c r="FIH169" s="173"/>
      <c r="FII169" s="173"/>
      <c r="FIJ169" s="173"/>
      <c r="FIK169" s="173"/>
      <c r="FIL169" s="173"/>
      <c r="FIM169" s="125"/>
      <c r="FIN169" s="125"/>
      <c r="FIO169" s="134"/>
      <c r="FIP169" s="135"/>
      <c r="FIQ169" s="135"/>
      <c r="FIR169" s="135"/>
      <c r="FIS169" s="135"/>
      <c r="FIT169" s="173"/>
      <c r="FIU169" s="173"/>
      <c r="FIV169" s="173"/>
      <c r="FIW169" s="173"/>
      <c r="FIX169" s="173"/>
      <c r="FIY169" s="173"/>
      <c r="FIZ169" s="173"/>
      <c r="FJA169" s="173"/>
      <c r="FJB169" s="173"/>
      <c r="FJC169" s="173"/>
      <c r="FJD169" s="125"/>
      <c r="FJE169" s="125"/>
      <c r="FJF169" s="134"/>
      <c r="FJG169" s="135"/>
      <c r="FJH169" s="135"/>
      <c r="FJI169" s="135"/>
      <c r="FJJ169" s="135"/>
      <c r="FJK169" s="173"/>
      <c r="FJL169" s="173"/>
      <c r="FJM169" s="173"/>
      <c r="FJN169" s="173"/>
      <c r="FJO169" s="173"/>
      <c r="FJP169" s="173"/>
      <c r="FJQ169" s="173"/>
      <c r="FJR169" s="173"/>
      <c r="FJS169" s="173"/>
      <c r="FJT169" s="173"/>
      <c r="FJU169" s="125"/>
      <c r="FJV169" s="125"/>
      <c r="FJW169" s="134"/>
      <c r="FJX169" s="135"/>
      <c r="FJY169" s="135"/>
      <c r="FJZ169" s="135"/>
      <c r="FKA169" s="135"/>
      <c r="FKB169" s="173"/>
      <c r="FKC169" s="173"/>
      <c r="FKD169" s="173"/>
      <c r="FKE169" s="173"/>
      <c r="FKF169" s="173"/>
      <c r="FKG169" s="173"/>
      <c r="FKH169" s="173"/>
      <c r="FKI169" s="173"/>
      <c r="FKJ169" s="173"/>
      <c r="FKK169" s="173"/>
      <c r="FKL169" s="125"/>
      <c r="FKM169" s="125"/>
      <c r="FKN169" s="134"/>
      <c r="FKO169" s="135"/>
      <c r="FKP169" s="135"/>
      <c r="FKQ169" s="135"/>
      <c r="FKR169" s="135"/>
      <c r="FKS169" s="173"/>
      <c r="FKT169" s="173"/>
      <c r="FKU169" s="173"/>
      <c r="FKV169" s="173"/>
      <c r="FKW169" s="173"/>
      <c r="FKX169" s="173"/>
      <c r="FKY169" s="173"/>
      <c r="FKZ169" s="173"/>
      <c r="FLA169" s="173"/>
      <c r="FLB169" s="173"/>
      <c r="FLC169" s="125"/>
      <c r="FLD169" s="125"/>
      <c r="FLE169" s="134"/>
      <c r="FLF169" s="135"/>
      <c r="FLG169" s="135"/>
      <c r="FLH169" s="135"/>
      <c r="FLI169" s="135"/>
      <c r="FLJ169" s="173"/>
      <c r="FLK169" s="173"/>
      <c r="FLL169" s="173"/>
      <c r="FLM169" s="173"/>
      <c r="FLN169" s="173"/>
      <c r="FLO169" s="173"/>
      <c r="FLP169" s="173"/>
      <c r="FLQ169" s="173"/>
      <c r="FLR169" s="173"/>
      <c r="FLS169" s="173"/>
      <c r="FLT169" s="125"/>
      <c r="FLU169" s="125"/>
      <c r="FLV169" s="134"/>
      <c r="FLW169" s="135"/>
      <c r="FLX169" s="135"/>
      <c r="FLY169" s="135"/>
      <c r="FLZ169" s="135"/>
      <c r="FMA169" s="173"/>
      <c r="FMB169" s="173"/>
      <c r="FMC169" s="173"/>
      <c r="FMD169" s="173"/>
      <c r="FME169" s="173"/>
      <c r="FMF169" s="173"/>
      <c r="FMG169" s="173"/>
      <c r="FMH169" s="173"/>
      <c r="FMI169" s="173"/>
      <c r="FMJ169" s="173"/>
      <c r="FMK169" s="125"/>
      <c r="FML169" s="125"/>
      <c r="FMM169" s="134"/>
      <c r="FMN169" s="135"/>
      <c r="FMO169" s="135"/>
      <c r="FMP169" s="135"/>
      <c r="FMQ169" s="135"/>
      <c r="FMR169" s="173"/>
      <c r="FMS169" s="173"/>
      <c r="FMT169" s="173"/>
      <c r="FMU169" s="173"/>
      <c r="FMV169" s="173"/>
      <c r="FMW169" s="173"/>
      <c r="FMX169" s="173"/>
      <c r="FMY169" s="173"/>
      <c r="FMZ169" s="173"/>
      <c r="FNA169" s="173"/>
      <c r="FNB169" s="125"/>
      <c r="FNC169" s="125"/>
      <c r="FND169" s="134"/>
      <c r="FNE169" s="135"/>
      <c r="FNF169" s="135"/>
      <c r="FNG169" s="135"/>
      <c r="FNH169" s="135"/>
      <c r="FNI169" s="173"/>
      <c r="FNJ169" s="173"/>
      <c r="FNK169" s="173"/>
      <c r="FNL169" s="173"/>
      <c r="FNM169" s="173"/>
      <c r="FNN169" s="173"/>
      <c r="FNO169" s="173"/>
      <c r="FNP169" s="173"/>
      <c r="FNQ169" s="173"/>
      <c r="FNR169" s="173"/>
      <c r="FNS169" s="125"/>
      <c r="FNT169" s="125"/>
      <c r="FNU169" s="134"/>
      <c r="FNV169" s="135"/>
      <c r="FNW169" s="135"/>
      <c r="FNX169" s="135"/>
      <c r="FNY169" s="135"/>
      <c r="FNZ169" s="173"/>
      <c r="FOA169" s="173"/>
      <c r="FOB169" s="173"/>
      <c r="FOC169" s="173"/>
      <c r="FOD169" s="173"/>
      <c r="FOE169" s="173"/>
      <c r="FOF169" s="173"/>
      <c r="FOG169" s="173"/>
      <c r="FOH169" s="173"/>
      <c r="FOI169" s="173"/>
      <c r="FOJ169" s="125"/>
      <c r="FOK169" s="125"/>
      <c r="FOL169" s="134"/>
      <c r="FOM169" s="135"/>
      <c r="FON169" s="135"/>
      <c r="FOO169" s="135"/>
      <c r="FOP169" s="135"/>
      <c r="FOQ169" s="173"/>
      <c r="FOR169" s="173"/>
      <c r="FOS169" s="173"/>
      <c r="FOT169" s="173"/>
      <c r="FOU169" s="173"/>
      <c r="FOV169" s="173"/>
      <c r="FOW169" s="173"/>
      <c r="FOX169" s="173"/>
      <c r="FOY169" s="173"/>
      <c r="FOZ169" s="173"/>
      <c r="FPA169" s="125"/>
      <c r="FPB169" s="125"/>
      <c r="FPC169" s="134"/>
      <c r="FPD169" s="135"/>
      <c r="FPE169" s="135"/>
      <c r="FPF169" s="135"/>
      <c r="FPG169" s="135"/>
      <c r="FPH169" s="173"/>
      <c r="FPI169" s="173"/>
      <c r="FPJ169" s="173"/>
      <c r="FPK169" s="173"/>
      <c r="FPL169" s="173"/>
      <c r="FPM169" s="173"/>
      <c r="FPN169" s="173"/>
      <c r="FPO169" s="173"/>
      <c r="FPP169" s="173"/>
      <c r="FPQ169" s="173"/>
      <c r="FPR169" s="125"/>
      <c r="FPS169" s="125"/>
      <c r="FPT169" s="134"/>
      <c r="FPU169" s="135"/>
      <c r="FPV169" s="135"/>
      <c r="FPW169" s="135"/>
      <c r="FPX169" s="135"/>
      <c r="FPY169" s="173"/>
      <c r="FPZ169" s="173"/>
      <c r="FQA169" s="173"/>
      <c r="FQB169" s="173"/>
      <c r="FQC169" s="173"/>
      <c r="FQD169" s="173"/>
      <c r="FQE169" s="173"/>
      <c r="FQF169" s="173"/>
      <c r="FQG169" s="173"/>
      <c r="FQH169" s="173"/>
      <c r="FQI169" s="125"/>
      <c r="FQJ169" s="125"/>
      <c r="FQK169" s="134"/>
      <c r="FQL169" s="135"/>
      <c r="FQM169" s="135"/>
      <c r="FQN169" s="135"/>
      <c r="FQO169" s="135"/>
      <c r="FQP169" s="173"/>
      <c r="FQQ169" s="173"/>
      <c r="FQR169" s="173"/>
      <c r="FQS169" s="173"/>
      <c r="FQT169" s="173"/>
      <c r="FQU169" s="173"/>
      <c r="FQV169" s="173"/>
      <c r="FQW169" s="173"/>
      <c r="FQX169" s="173"/>
      <c r="FQY169" s="173"/>
      <c r="FQZ169" s="125"/>
      <c r="FRA169" s="125"/>
      <c r="FRB169" s="134"/>
      <c r="FRC169" s="135"/>
      <c r="FRD169" s="135"/>
      <c r="FRE169" s="135"/>
      <c r="FRF169" s="135"/>
      <c r="FRG169" s="173"/>
      <c r="FRH169" s="173"/>
      <c r="FRI169" s="173"/>
      <c r="FRJ169" s="173"/>
      <c r="FRK169" s="173"/>
      <c r="FRL169" s="173"/>
      <c r="FRM169" s="173"/>
      <c r="FRN169" s="173"/>
      <c r="FRO169" s="173"/>
      <c r="FRP169" s="173"/>
      <c r="FRQ169" s="125"/>
      <c r="FRR169" s="125"/>
      <c r="FRS169" s="134"/>
      <c r="FRT169" s="135"/>
      <c r="FRU169" s="135"/>
      <c r="FRV169" s="135"/>
      <c r="FRW169" s="135"/>
      <c r="FRX169" s="173"/>
      <c r="FRY169" s="173"/>
      <c r="FRZ169" s="173"/>
      <c r="FSA169" s="173"/>
      <c r="FSB169" s="173"/>
      <c r="FSC169" s="173"/>
      <c r="FSD169" s="173"/>
      <c r="FSE169" s="173"/>
      <c r="FSF169" s="173"/>
      <c r="FSG169" s="173"/>
      <c r="FSH169" s="125"/>
      <c r="FSI169" s="125"/>
      <c r="FSJ169" s="134"/>
      <c r="FSK169" s="135"/>
      <c r="FSL169" s="135"/>
      <c r="FSM169" s="135"/>
      <c r="FSN169" s="135"/>
      <c r="FSO169" s="173"/>
      <c r="FSP169" s="173"/>
      <c r="FSQ169" s="173"/>
      <c r="FSR169" s="173"/>
      <c r="FSS169" s="173"/>
      <c r="FST169" s="173"/>
      <c r="FSU169" s="173"/>
      <c r="FSV169" s="173"/>
      <c r="FSW169" s="173"/>
      <c r="FSX169" s="173"/>
      <c r="FSY169" s="125"/>
      <c r="FSZ169" s="125"/>
      <c r="FTA169" s="134"/>
      <c r="FTB169" s="135"/>
      <c r="FTC169" s="135"/>
      <c r="FTD169" s="135"/>
      <c r="FTE169" s="135"/>
      <c r="FTF169" s="173"/>
      <c r="FTG169" s="173"/>
      <c r="FTH169" s="173"/>
      <c r="FTI169" s="173"/>
      <c r="FTJ169" s="173"/>
      <c r="FTK169" s="173"/>
      <c r="FTL169" s="173"/>
      <c r="FTM169" s="173"/>
      <c r="FTN169" s="173"/>
      <c r="FTO169" s="173"/>
      <c r="FTP169" s="125"/>
      <c r="FTQ169" s="125"/>
      <c r="FTR169" s="134"/>
      <c r="FTS169" s="135"/>
      <c r="FTT169" s="135"/>
      <c r="FTU169" s="135"/>
      <c r="FTV169" s="135"/>
      <c r="FTW169" s="173"/>
      <c r="FTX169" s="173"/>
      <c r="FTY169" s="173"/>
      <c r="FTZ169" s="173"/>
      <c r="FUA169" s="173"/>
      <c r="FUB169" s="173"/>
      <c r="FUC169" s="173"/>
      <c r="FUD169" s="173"/>
      <c r="FUE169" s="173"/>
      <c r="FUF169" s="173"/>
      <c r="FUG169" s="125"/>
      <c r="FUH169" s="125"/>
      <c r="FUI169" s="134"/>
      <c r="FUJ169" s="135"/>
      <c r="FUK169" s="135"/>
      <c r="FUL169" s="135"/>
      <c r="FUM169" s="135"/>
      <c r="FUN169" s="173"/>
      <c r="FUO169" s="173"/>
      <c r="FUP169" s="173"/>
      <c r="FUQ169" s="173"/>
      <c r="FUR169" s="173"/>
      <c r="FUS169" s="173"/>
      <c r="FUT169" s="173"/>
      <c r="FUU169" s="173"/>
      <c r="FUV169" s="173"/>
      <c r="FUW169" s="173"/>
      <c r="FUX169" s="125"/>
      <c r="FUY169" s="125"/>
      <c r="FUZ169" s="134"/>
      <c r="FVA169" s="135"/>
      <c r="FVB169" s="135"/>
      <c r="FVC169" s="135"/>
      <c r="FVD169" s="135"/>
      <c r="FVE169" s="173"/>
      <c r="FVF169" s="173"/>
      <c r="FVG169" s="173"/>
      <c r="FVH169" s="173"/>
      <c r="FVI169" s="173"/>
      <c r="FVJ169" s="173"/>
      <c r="FVK169" s="173"/>
      <c r="FVL169" s="173"/>
      <c r="FVM169" s="173"/>
      <c r="FVN169" s="173"/>
      <c r="FVO169" s="125"/>
      <c r="FVP169" s="125"/>
      <c r="FVQ169" s="134"/>
      <c r="FVR169" s="135"/>
      <c r="FVS169" s="135"/>
      <c r="FVT169" s="135"/>
      <c r="FVU169" s="135"/>
      <c r="FVV169" s="173"/>
      <c r="FVW169" s="173"/>
      <c r="FVX169" s="173"/>
      <c r="FVY169" s="173"/>
      <c r="FVZ169" s="173"/>
      <c r="FWA169" s="173"/>
      <c r="FWB169" s="173"/>
      <c r="FWC169" s="173"/>
      <c r="FWD169" s="173"/>
      <c r="FWE169" s="173"/>
      <c r="FWF169" s="125"/>
      <c r="FWG169" s="125"/>
      <c r="FWH169" s="134"/>
      <c r="FWI169" s="135"/>
      <c r="FWJ169" s="135"/>
      <c r="FWK169" s="135"/>
      <c r="FWL169" s="135"/>
      <c r="FWM169" s="173"/>
      <c r="FWN169" s="173"/>
      <c r="FWO169" s="173"/>
      <c r="FWP169" s="173"/>
      <c r="FWQ169" s="173"/>
      <c r="FWR169" s="173"/>
      <c r="FWS169" s="173"/>
      <c r="FWT169" s="173"/>
      <c r="FWU169" s="173"/>
      <c r="FWV169" s="173"/>
      <c r="FWW169" s="125"/>
      <c r="FWX169" s="125"/>
      <c r="FWY169" s="134"/>
      <c r="FWZ169" s="135"/>
      <c r="FXA169" s="135"/>
      <c r="FXB169" s="135"/>
      <c r="FXC169" s="135"/>
      <c r="FXD169" s="173"/>
      <c r="FXE169" s="173"/>
      <c r="FXF169" s="173"/>
      <c r="FXG169" s="173"/>
      <c r="FXH169" s="173"/>
      <c r="FXI169" s="173"/>
      <c r="FXJ169" s="173"/>
      <c r="FXK169" s="173"/>
      <c r="FXL169" s="173"/>
      <c r="FXM169" s="173"/>
      <c r="FXN169" s="125"/>
      <c r="FXO169" s="125"/>
      <c r="FXP169" s="134"/>
      <c r="FXQ169" s="135"/>
      <c r="FXR169" s="135"/>
      <c r="FXS169" s="135"/>
      <c r="FXT169" s="135"/>
      <c r="FXU169" s="173"/>
      <c r="FXV169" s="173"/>
      <c r="FXW169" s="173"/>
      <c r="FXX169" s="173"/>
      <c r="FXY169" s="173"/>
      <c r="FXZ169" s="173"/>
      <c r="FYA169" s="173"/>
      <c r="FYB169" s="173"/>
      <c r="FYC169" s="173"/>
      <c r="FYD169" s="173"/>
      <c r="FYE169" s="125"/>
      <c r="FYF169" s="125"/>
      <c r="FYG169" s="134"/>
      <c r="FYH169" s="135"/>
      <c r="FYI169" s="135"/>
      <c r="FYJ169" s="135"/>
      <c r="FYK169" s="135"/>
      <c r="FYL169" s="173"/>
      <c r="FYM169" s="173"/>
      <c r="FYN169" s="173"/>
      <c r="FYO169" s="173"/>
      <c r="FYP169" s="173"/>
      <c r="FYQ169" s="173"/>
      <c r="FYR169" s="173"/>
      <c r="FYS169" s="173"/>
      <c r="FYT169" s="173"/>
      <c r="FYU169" s="173"/>
      <c r="FYV169" s="125"/>
      <c r="FYW169" s="125"/>
      <c r="FYX169" s="134"/>
      <c r="FYY169" s="135"/>
      <c r="FYZ169" s="135"/>
      <c r="FZA169" s="135"/>
      <c r="FZB169" s="135"/>
      <c r="FZC169" s="173"/>
      <c r="FZD169" s="173"/>
      <c r="FZE169" s="173"/>
      <c r="FZF169" s="173"/>
      <c r="FZG169" s="173"/>
      <c r="FZH169" s="173"/>
      <c r="FZI169" s="173"/>
      <c r="FZJ169" s="173"/>
      <c r="FZK169" s="173"/>
      <c r="FZL169" s="173"/>
      <c r="FZM169" s="125"/>
      <c r="FZN169" s="125"/>
      <c r="FZO169" s="134"/>
      <c r="FZP169" s="135"/>
      <c r="FZQ169" s="135"/>
      <c r="FZR169" s="135"/>
      <c r="FZS169" s="135"/>
      <c r="FZT169" s="173"/>
      <c r="FZU169" s="173"/>
      <c r="FZV169" s="173"/>
      <c r="FZW169" s="173"/>
      <c r="FZX169" s="173"/>
      <c r="FZY169" s="173"/>
      <c r="FZZ169" s="173"/>
      <c r="GAA169" s="173"/>
      <c r="GAB169" s="173"/>
      <c r="GAC169" s="173"/>
      <c r="GAD169" s="125"/>
      <c r="GAE169" s="125"/>
      <c r="GAF169" s="134"/>
      <c r="GAG169" s="135"/>
      <c r="GAH169" s="135"/>
      <c r="GAI169" s="135"/>
      <c r="GAJ169" s="135"/>
      <c r="GAK169" s="173"/>
      <c r="GAL169" s="173"/>
      <c r="GAM169" s="173"/>
      <c r="GAN169" s="173"/>
      <c r="GAO169" s="173"/>
      <c r="GAP169" s="173"/>
      <c r="GAQ169" s="173"/>
      <c r="GAR169" s="173"/>
      <c r="GAS169" s="173"/>
      <c r="GAT169" s="173"/>
      <c r="GAU169" s="125"/>
      <c r="GAV169" s="125"/>
      <c r="GAW169" s="134"/>
      <c r="GAX169" s="135"/>
      <c r="GAY169" s="135"/>
      <c r="GAZ169" s="135"/>
      <c r="GBA169" s="135"/>
      <c r="GBB169" s="173"/>
      <c r="GBC169" s="173"/>
      <c r="GBD169" s="173"/>
      <c r="GBE169" s="173"/>
      <c r="GBF169" s="173"/>
      <c r="GBG169" s="173"/>
      <c r="GBH169" s="173"/>
      <c r="GBI169" s="173"/>
      <c r="GBJ169" s="173"/>
      <c r="GBK169" s="173"/>
      <c r="GBL169" s="125"/>
      <c r="GBM169" s="125"/>
      <c r="GBN169" s="134"/>
      <c r="GBO169" s="135"/>
      <c r="GBP169" s="135"/>
      <c r="GBQ169" s="135"/>
      <c r="GBR169" s="135"/>
      <c r="GBS169" s="173"/>
      <c r="GBT169" s="173"/>
      <c r="GBU169" s="173"/>
      <c r="GBV169" s="173"/>
      <c r="GBW169" s="173"/>
      <c r="GBX169" s="173"/>
      <c r="GBY169" s="173"/>
      <c r="GBZ169" s="173"/>
      <c r="GCA169" s="173"/>
      <c r="GCB169" s="173"/>
      <c r="GCC169" s="125"/>
      <c r="GCD169" s="125"/>
      <c r="GCE169" s="134"/>
      <c r="GCF169" s="135"/>
      <c r="GCG169" s="135"/>
      <c r="GCH169" s="135"/>
      <c r="GCI169" s="135"/>
      <c r="GCJ169" s="173"/>
      <c r="GCK169" s="173"/>
      <c r="GCL169" s="173"/>
      <c r="GCM169" s="173"/>
      <c r="GCN169" s="173"/>
      <c r="GCO169" s="173"/>
      <c r="GCP169" s="173"/>
      <c r="GCQ169" s="173"/>
      <c r="GCR169" s="173"/>
      <c r="GCS169" s="173"/>
      <c r="GCT169" s="125"/>
      <c r="GCU169" s="125"/>
      <c r="GCV169" s="134"/>
      <c r="GCW169" s="135"/>
      <c r="GCX169" s="135"/>
      <c r="GCY169" s="135"/>
      <c r="GCZ169" s="135"/>
      <c r="GDA169" s="173"/>
      <c r="GDB169" s="173"/>
      <c r="GDC169" s="173"/>
      <c r="GDD169" s="173"/>
      <c r="GDE169" s="173"/>
      <c r="GDF169" s="173"/>
      <c r="GDG169" s="173"/>
      <c r="GDH169" s="173"/>
      <c r="GDI169" s="173"/>
      <c r="GDJ169" s="173"/>
      <c r="GDK169" s="125"/>
      <c r="GDL169" s="125"/>
      <c r="GDM169" s="134"/>
      <c r="GDN169" s="135"/>
      <c r="GDO169" s="135"/>
      <c r="GDP169" s="135"/>
      <c r="GDQ169" s="135"/>
      <c r="GDR169" s="173"/>
      <c r="GDS169" s="173"/>
      <c r="GDT169" s="173"/>
      <c r="GDU169" s="173"/>
      <c r="GDV169" s="173"/>
      <c r="GDW169" s="173"/>
      <c r="GDX169" s="173"/>
      <c r="GDY169" s="173"/>
      <c r="GDZ169" s="173"/>
      <c r="GEA169" s="173"/>
      <c r="GEB169" s="125"/>
      <c r="GEC169" s="125"/>
      <c r="GED169" s="134"/>
      <c r="GEE169" s="135"/>
      <c r="GEF169" s="135"/>
      <c r="GEG169" s="135"/>
      <c r="GEH169" s="135"/>
      <c r="GEI169" s="173"/>
      <c r="GEJ169" s="173"/>
      <c r="GEK169" s="173"/>
      <c r="GEL169" s="173"/>
      <c r="GEM169" s="173"/>
      <c r="GEN169" s="173"/>
      <c r="GEO169" s="173"/>
      <c r="GEP169" s="173"/>
      <c r="GEQ169" s="173"/>
      <c r="GER169" s="173"/>
      <c r="GES169" s="125"/>
      <c r="GET169" s="125"/>
      <c r="GEU169" s="134"/>
      <c r="GEV169" s="135"/>
      <c r="GEW169" s="135"/>
      <c r="GEX169" s="135"/>
      <c r="GEY169" s="135"/>
      <c r="GEZ169" s="173"/>
      <c r="GFA169" s="173"/>
      <c r="GFB169" s="173"/>
      <c r="GFC169" s="173"/>
      <c r="GFD169" s="173"/>
      <c r="GFE169" s="173"/>
      <c r="GFF169" s="173"/>
      <c r="GFG169" s="173"/>
      <c r="GFH169" s="173"/>
      <c r="GFI169" s="173"/>
      <c r="GFJ169" s="125"/>
      <c r="GFK169" s="125"/>
      <c r="GFL169" s="134"/>
      <c r="GFM169" s="135"/>
      <c r="GFN169" s="135"/>
      <c r="GFO169" s="135"/>
      <c r="GFP169" s="135"/>
      <c r="GFQ169" s="173"/>
      <c r="GFR169" s="173"/>
      <c r="GFS169" s="173"/>
      <c r="GFT169" s="173"/>
      <c r="GFU169" s="173"/>
      <c r="GFV169" s="173"/>
      <c r="GFW169" s="173"/>
      <c r="GFX169" s="173"/>
      <c r="GFY169" s="173"/>
      <c r="GFZ169" s="173"/>
      <c r="GGA169" s="125"/>
      <c r="GGB169" s="125"/>
      <c r="GGC169" s="134"/>
      <c r="GGD169" s="135"/>
      <c r="GGE169" s="135"/>
      <c r="GGF169" s="135"/>
      <c r="GGG169" s="135"/>
      <c r="GGH169" s="173"/>
      <c r="GGI169" s="173"/>
      <c r="GGJ169" s="173"/>
      <c r="GGK169" s="173"/>
      <c r="GGL169" s="173"/>
      <c r="GGM169" s="173"/>
      <c r="GGN169" s="173"/>
      <c r="GGO169" s="173"/>
      <c r="GGP169" s="173"/>
      <c r="GGQ169" s="173"/>
      <c r="GGR169" s="125"/>
      <c r="GGS169" s="125"/>
      <c r="GGT169" s="134"/>
      <c r="GGU169" s="135"/>
      <c r="GGV169" s="135"/>
      <c r="GGW169" s="135"/>
      <c r="GGX169" s="135"/>
      <c r="GGY169" s="173"/>
      <c r="GGZ169" s="173"/>
      <c r="GHA169" s="173"/>
      <c r="GHB169" s="173"/>
      <c r="GHC169" s="173"/>
      <c r="GHD169" s="173"/>
      <c r="GHE169" s="173"/>
      <c r="GHF169" s="173"/>
      <c r="GHG169" s="173"/>
      <c r="GHH169" s="173"/>
      <c r="GHI169" s="125"/>
      <c r="GHJ169" s="125"/>
      <c r="GHK169" s="134"/>
      <c r="GHL169" s="135"/>
      <c r="GHM169" s="135"/>
      <c r="GHN169" s="135"/>
      <c r="GHO169" s="135"/>
      <c r="GHP169" s="173"/>
      <c r="GHQ169" s="173"/>
      <c r="GHR169" s="173"/>
      <c r="GHS169" s="173"/>
      <c r="GHT169" s="173"/>
      <c r="GHU169" s="173"/>
      <c r="GHV169" s="173"/>
      <c r="GHW169" s="173"/>
      <c r="GHX169" s="173"/>
      <c r="GHY169" s="173"/>
      <c r="GHZ169" s="125"/>
      <c r="GIA169" s="125"/>
      <c r="GIB169" s="134"/>
      <c r="GIC169" s="135"/>
      <c r="GID169" s="135"/>
      <c r="GIE169" s="135"/>
      <c r="GIF169" s="135"/>
      <c r="GIG169" s="173"/>
      <c r="GIH169" s="173"/>
      <c r="GII169" s="173"/>
      <c r="GIJ169" s="173"/>
      <c r="GIK169" s="173"/>
      <c r="GIL169" s="173"/>
      <c r="GIM169" s="173"/>
      <c r="GIN169" s="173"/>
      <c r="GIO169" s="173"/>
      <c r="GIP169" s="173"/>
      <c r="GIQ169" s="125"/>
      <c r="GIR169" s="125"/>
      <c r="GIS169" s="134"/>
      <c r="GIT169" s="135"/>
      <c r="GIU169" s="135"/>
      <c r="GIV169" s="135"/>
      <c r="GIW169" s="135"/>
      <c r="GIX169" s="173"/>
      <c r="GIY169" s="173"/>
      <c r="GIZ169" s="173"/>
      <c r="GJA169" s="173"/>
      <c r="GJB169" s="173"/>
      <c r="GJC169" s="173"/>
      <c r="GJD169" s="173"/>
      <c r="GJE169" s="173"/>
      <c r="GJF169" s="173"/>
      <c r="GJG169" s="173"/>
      <c r="GJH169" s="125"/>
      <c r="GJI169" s="125"/>
      <c r="GJJ169" s="134"/>
      <c r="GJK169" s="135"/>
      <c r="GJL169" s="135"/>
      <c r="GJM169" s="135"/>
      <c r="GJN169" s="135"/>
      <c r="GJO169" s="173"/>
      <c r="GJP169" s="173"/>
      <c r="GJQ169" s="173"/>
      <c r="GJR169" s="173"/>
      <c r="GJS169" s="173"/>
      <c r="GJT169" s="173"/>
      <c r="GJU169" s="173"/>
      <c r="GJV169" s="173"/>
      <c r="GJW169" s="173"/>
      <c r="GJX169" s="173"/>
      <c r="GJY169" s="125"/>
      <c r="GJZ169" s="125"/>
      <c r="GKA169" s="134"/>
      <c r="GKB169" s="135"/>
      <c r="GKC169" s="135"/>
      <c r="GKD169" s="135"/>
      <c r="GKE169" s="135"/>
      <c r="GKF169" s="173"/>
      <c r="GKG169" s="173"/>
      <c r="GKH169" s="173"/>
      <c r="GKI169" s="173"/>
      <c r="GKJ169" s="173"/>
      <c r="GKK169" s="173"/>
      <c r="GKL169" s="173"/>
      <c r="GKM169" s="173"/>
      <c r="GKN169" s="173"/>
      <c r="GKO169" s="173"/>
      <c r="GKP169" s="125"/>
      <c r="GKQ169" s="125"/>
      <c r="GKR169" s="134"/>
      <c r="GKS169" s="135"/>
      <c r="GKT169" s="135"/>
      <c r="GKU169" s="135"/>
      <c r="GKV169" s="135"/>
      <c r="GKW169" s="173"/>
      <c r="GKX169" s="173"/>
      <c r="GKY169" s="173"/>
      <c r="GKZ169" s="173"/>
      <c r="GLA169" s="173"/>
      <c r="GLB169" s="173"/>
      <c r="GLC169" s="173"/>
      <c r="GLD169" s="173"/>
      <c r="GLE169" s="173"/>
      <c r="GLF169" s="173"/>
      <c r="GLG169" s="125"/>
      <c r="GLH169" s="125"/>
      <c r="GLI169" s="134"/>
      <c r="GLJ169" s="135"/>
      <c r="GLK169" s="135"/>
      <c r="GLL169" s="135"/>
      <c r="GLM169" s="135"/>
      <c r="GLN169" s="173"/>
      <c r="GLO169" s="173"/>
      <c r="GLP169" s="173"/>
      <c r="GLQ169" s="173"/>
      <c r="GLR169" s="173"/>
      <c r="GLS169" s="173"/>
      <c r="GLT169" s="173"/>
      <c r="GLU169" s="173"/>
      <c r="GLV169" s="173"/>
      <c r="GLW169" s="173"/>
      <c r="GLX169" s="125"/>
      <c r="GLY169" s="125"/>
      <c r="GLZ169" s="134"/>
      <c r="GMA169" s="135"/>
      <c r="GMB169" s="135"/>
      <c r="GMC169" s="135"/>
      <c r="GMD169" s="135"/>
      <c r="GME169" s="173"/>
      <c r="GMF169" s="173"/>
      <c r="GMG169" s="173"/>
      <c r="GMH169" s="173"/>
      <c r="GMI169" s="173"/>
      <c r="GMJ169" s="173"/>
      <c r="GMK169" s="173"/>
      <c r="GML169" s="173"/>
      <c r="GMM169" s="173"/>
      <c r="GMN169" s="173"/>
      <c r="GMO169" s="125"/>
      <c r="GMP169" s="125"/>
      <c r="GMQ169" s="134"/>
      <c r="GMR169" s="135"/>
      <c r="GMS169" s="135"/>
      <c r="GMT169" s="135"/>
      <c r="GMU169" s="135"/>
      <c r="GMV169" s="173"/>
      <c r="GMW169" s="173"/>
      <c r="GMX169" s="173"/>
      <c r="GMY169" s="173"/>
      <c r="GMZ169" s="173"/>
      <c r="GNA169" s="173"/>
      <c r="GNB169" s="173"/>
      <c r="GNC169" s="173"/>
      <c r="GND169" s="173"/>
      <c r="GNE169" s="173"/>
      <c r="GNF169" s="125"/>
      <c r="GNG169" s="125"/>
      <c r="GNH169" s="134"/>
      <c r="GNI169" s="135"/>
      <c r="GNJ169" s="135"/>
      <c r="GNK169" s="135"/>
      <c r="GNL169" s="135"/>
      <c r="GNM169" s="173"/>
      <c r="GNN169" s="173"/>
      <c r="GNO169" s="173"/>
      <c r="GNP169" s="173"/>
      <c r="GNQ169" s="173"/>
      <c r="GNR169" s="173"/>
      <c r="GNS169" s="173"/>
      <c r="GNT169" s="173"/>
      <c r="GNU169" s="173"/>
      <c r="GNV169" s="173"/>
      <c r="GNW169" s="125"/>
      <c r="GNX169" s="125"/>
      <c r="GNY169" s="134"/>
      <c r="GNZ169" s="135"/>
      <c r="GOA169" s="135"/>
      <c r="GOB169" s="135"/>
      <c r="GOC169" s="135"/>
      <c r="GOD169" s="173"/>
      <c r="GOE169" s="173"/>
      <c r="GOF169" s="173"/>
      <c r="GOG169" s="173"/>
      <c r="GOH169" s="173"/>
      <c r="GOI169" s="173"/>
      <c r="GOJ169" s="173"/>
      <c r="GOK169" s="173"/>
      <c r="GOL169" s="173"/>
      <c r="GOM169" s="173"/>
      <c r="GON169" s="125"/>
      <c r="GOO169" s="125"/>
      <c r="GOP169" s="134"/>
      <c r="GOQ169" s="135"/>
      <c r="GOR169" s="135"/>
      <c r="GOS169" s="135"/>
      <c r="GOT169" s="135"/>
      <c r="GOU169" s="173"/>
      <c r="GOV169" s="173"/>
      <c r="GOW169" s="173"/>
      <c r="GOX169" s="173"/>
      <c r="GOY169" s="173"/>
      <c r="GOZ169" s="173"/>
      <c r="GPA169" s="173"/>
      <c r="GPB169" s="173"/>
      <c r="GPC169" s="173"/>
      <c r="GPD169" s="173"/>
      <c r="GPE169" s="125"/>
      <c r="GPF169" s="125"/>
      <c r="GPG169" s="134"/>
      <c r="GPH169" s="135"/>
      <c r="GPI169" s="135"/>
      <c r="GPJ169" s="135"/>
      <c r="GPK169" s="135"/>
      <c r="GPL169" s="173"/>
      <c r="GPM169" s="173"/>
      <c r="GPN169" s="173"/>
      <c r="GPO169" s="173"/>
      <c r="GPP169" s="173"/>
      <c r="GPQ169" s="173"/>
      <c r="GPR169" s="173"/>
      <c r="GPS169" s="173"/>
      <c r="GPT169" s="173"/>
      <c r="GPU169" s="173"/>
      <c r="GPV169" s="125"/>
      <c r="GPW169" s="125"/>
      <c r="GPX169" s="134"/>
      <c r="GPY169" s="135"/>
      <c r="GPZ169" s="135"/>
      <c r="GQA169" s="135"/>
      <c r="GQB169" s="135"/>
      <c r="GQC169" s="173"/>
      <c r="GQD169" s="173"/>
      <c r="GQE169" s="173"/>
      <c r="GQF169" s="173"/>
      <c r="GQG169" s="173"/>
      <c r="GQH169" s="173"/>
      <c r="GQI169" s="173"/>
      <c r="GQJ169" s="173"/>
      <c r="GQK169" s="173"/>
      <c r="GQL169" s="173"/>
      <c r="GQM169" s="125"/>
      <c r="GQN169" s="125"/>
      <c r="GQO169" s="134"/>
      <c r="GQP169" s="135"/>
      <c r="GQQ169" s="135"/>
      <c r="GQR169" s="135"/>
      <c r="GQS169" s="135"/>
      <c r="GQT169" s="173"/>
      <c r="GQU169" s="173"/>
      <c r="GQV169" s="173"/>
      <c r="GQW169" s="173"/>
      <c r="GQX169" s="173"/>
      <c r="GQY169" s="173"/>
      <c r="GQZ169" s="173"/>
      <c r="GRA169" s="173"/>
      <c r="GRB169" s="173"/>
      <c r="GRC169" s="173"/>
      <c r="GRD169" s="125"/>
      <c r="GRE169" s="125"/>
      <c r="GRF169" s="134"/>
      <c r="GRG169" s="135"/>
      <c r="GRH169" s="135"/>
      <c r="GRI169" s="135"/>
      <c r="GRJ169" s="135"/>
      <c r="GRK169" s="173"/>
      <c r="GRL169" s="173"/>
      <c r="GRM169" s="173"/>
      <c r="GRN169" s="173"/>
      <c r="GRO169" s="173"/>
      <c r="GRP169" s="173"/>
      <c r="GRQ169" s="173"/>
      <c r="GRR169" s="173"/>
      <c r="GRS169" s="173"/>
      <c r="GRT169" s="173"/>
      <c r="GRU169" s="125"/>
      <c r="GRV169" s="125"/>
      <c r="GRW169" s="134"/>
      <c r="GRX169" s="135"/>
      <c r="GRY169" s="135"/>
      <c r="GRZ169" s="135"/>
      <c r="GSA169" s="135"/>
      <c r="GSB169" s="173"/>
      <c r="GSC169" s="173"/>
      <c r="GSD169" s="173"/>
      <c r="GSE169" s="173"/>
      <c r="GSF169" s="173"/>
      <c r="GSG169" s="173"/>
      <c r="GSH169" s="173"/>
      <c r="GSI169" s="173"/>
      <c r="GSJ169" s="173"/>
      <c r="GSK169" s="173"/>
      <c r="GSL169" s="125"/>
      <c r="GSM169" s="125"/>
      <c r="GSN169" s="134"/>
      <c r="GSO169" s="135"/>
      <c r="GSP169" s="135"/>
      <c r="GSQ169" s="135"/>
      <c r="GSR169" s="135"/>
      <c r="GSS169" s="173"/>
      <c r="GST169" s="173"/>
      <c r="GSU169" s="173"/>
      <c r="GSV169" s="173"/>
      <c r="GSW169" s="173"/>
      <c r="GSX169" s="173"/>
      <c r="GSY169" s="173"/>
      <c r="GSZ169" s="173"/>
      <c r="GTA169" s="173"/>
      <c r="GTB169" s="173"/>
      <c r="GTC169" s="125"/>
      <c r="GTD169" s="125"/>
      <c r="GTE169" s="134"/>
      <c r="GTF169" s="135"/>
      <c r="GTG169" s="135"/>
      <c r="GTH169" s="135"/>
      <c r="GTI169" s="135"/>
      <c r="GTJ169" s="173"/>
      <c r="GTK169" s="173"/>
      <c r="GTL169" s="173"/>
      <c r="GTM169" s="173"/>
      <c r="GTN169" s="173"/>
      <c r="GTO169" s="173"/>
      <c r="GTP169" s="173"/>
      <c r="GTQ169" s="173"/>
      <c r="GTR169" s="173"/>
      <c r="GTS169" s="173"/>
      <c r="GTT169" s="125"/>
      <c r="GTU169" s="125"/>
      <c r="GTV169" s="134"/>
      <c r="GTW169" s="135"/>
      <c r="GTX169" s="135"/>
      <c r="GTY169" s="135"/>
      <c r="GTZ169" s="135"/>
      <c r="GUA169" s="173"/>
      <c r="GUB169" s="173"/>
      <c r="GUC169" s="173"/>
      <c r="GUD169" s="173"/>
      <c r="GUE169" s="173"/>
      <c r="GUF169" s="173"/>
      <c r="GUG169" s="173"/>
      <c r="GUH169" s="173"/>
      <c r="GUI169" s="173"/>
      <c r="GUJ169" s="173"/>
      <c r="GUK169" s="125"/>
      <c r="GUL169" s="125"/>
      <c r="GUM169" s="134"/>
      <c r="GUN169" s="135"/>
      <c r="GUO169" s="135"/>
      <c r="GUP169" s="135"/>
      <c r="GUQ169" s="135"/>
      <c r="GUR169" s="173"/>
      <c r="GUS169" s="173"/>
      <c r="GUT169" s="173"/>
      <c r="GUU169" s="173"/>
      <c r="GUV169" s="173"/>
      <c r="GUW169" s="173"/>
      <c r="GUX169" s="173"/>
      <c r="GUY169" s="173"/>
      <c r="GUZ169" s="173"/>
      <c r="GVA169" s="173"/>
      <c r="GVB169" s="125"/>
      <c r="GVC169" s="125"/>
      <c r="GVD169" s="134"/>
      <c r="GVE169" s="135"/>
      <c r="GVF169" s="135"/>
      <c r="GVG169" s="135"/>
      <c r="GVH169" s="135"/>
      <c r="GVI169" s="173"/>
      <c r="GVJ169" s="173"/>
      <c r="GVK169" s="173"/>
      <c r="GVL169" s="173"/>
      <c r="GVM169" s="173"/>
      <c r="GVN169" s="173"/>
      <c r="GVO169" s="173"/>
      <c r="GVP169" s="173"/>
      <c r="GVQ169" s="173"/>
      <c r="GVR169" s="173"/>
      <c r="GVS169" s="125"/>
      <c r="GVT169" s="125"/>
      <c r="GVU169" s="134"/>
      <c r="GVV169" s="135"/>
      <c r="GVW169" s="135"/>
      <c r="GVX169" s="135"/>
      <c r="GVY169" s="135"/>
      <c r="GVZ169" s="173"/>
      <c r="GWA169" s="173"/>
      <c r="GWB169" s="173"/>
      <c r="GWC169" s="173"/>
      <c r="GWD169" s="173"/>
      <c r="GWE169" s="173"/>
      <c r="GWF169" s="173"/>
      <c r="GWG169" s="173"/>
      <c r="GWH169" s="173"/>
      <c r="GWI169" s="173"/>
      <c r="GWJ169" s="125"/>
      <c r="GWK169" s="125"/>
      <c r="GWL169" s="134"/>
      <c r="GWM169" s="135"/>
      <c r="GWN169" s="135"/>
      <c r="GWO169" s="135"/>
      <c r="GWP169" s="135"/>
      <c r="GWQ169" s="173"/>
      <c r="GWR169" s="173"/>
      <c r="GWS169" s="173"/>
      <c r="GWT169" s="173"/>
      <c r="GWU169" s="173"/>
      <c r="GWV169" s="173"/>
      <c r="GWW169" s="173"/>
      <c r="GWX169" s="173"/>
      <c r="GWY169" s="173"/>
      <c r="GWZ169" s="173"/>
      <c r="GXA169" s="125"/>
      <c r="GXB169" s="125"/>
      <c r="GXC169" s="134"/>
      <c r="GXD169" s="135"/>
      <c r="GXE169" s="135"/>
      <c r="GXF169" s="135"/>
      <c r="GXG169" s="135"/>
      <c r="GXH169" s="173"/>
      <c r="GXI169" s="173"/>
      <c r="GXJ169" s="173"/>
      <c r="GXK169" s="173"/>
      <c r="GXL169" s="173"/>
      <c r="GXM169" s="173"/>
      <c r="GXN169" s="173"/>
      <c r="GXO169" s="173"/>
      <c r="GXP169" s="173"/>
      <c r="GXQ169" s="173"/>
      <c r="GXR169" s="125"/>
      <c r="GXS169" s="125"/>
      <c r="GXT169" s="134"/>
      <c r="GXU169" s="135"/>
      <c r="GXV169" s="135"/>
      <c r="GXW169" s="135"/>
      <c r="GXX169" s="135"/>
      <c r="GXY169" s="173"/>
      <c r="GXZ169" s="173"/>
      <c r="GYA169" s="173"/>
      <c r="GYB169" s="173"/>
      <c r="GYC169" s="173"/>
      <c r="GYD169" s="173"/>
      <c r="GYE169" s="173"/>
      <c r="GYF169" s="173"/>
      <c r="GYG169" s="173"/>
      <c r="GYH169" s="173"/>
      <c r="GYI169" s="125"/>
      <c r="GYJ169" s="125"/>
      <c r="GYK169" s="134"/>
      <c r="GYL169" s="135"/>
      <c r="GYM169" s="135"/>
      <c r="GYN169" s="135"/>
      <c r="GYO169" s="135"/>
      <c r="GYP169" s="173"/>
      <c r="GYQ169" s="173"/>
      <c r="GYR169" s="173"/>
      <c r="GYS169" s="173"/>
      <c r="GYT169" s="173"/>
      <c r="GYU169" s="173"/>
      <c r="GYV169" s="173"/>
      <c r="GYW169" s="173"/>
      <c r="GYX169" s="173"/>
      <c r="GYY169" s="173"/>
      <c r="GYZ169" s="125"/>
      <c r="GZA169" s="125"/>
      <c r="GZB169" s="134"/>
      <c r="GZC169" s="135"/>
      <c r="GZD169" s="135"/>
      <c r="GZE169" s="135"/>
      <c r="GZF169" s="135"/>
      <c r="GZG169" s="173"/>
      <c r="GZH169" s="173"/>
      <c r="GZI169" s="173"/>
      <c r="GZJ169" s="173"/>
      <c r="GZK169" s="173"/>
      <c r="GZL169" s="173"/>
      <c r="GZM169" s="173"/>
      <c r="GZN169" s="173"/>
      <c r="GZO169" s="173"/>
      <c r="GZP169" s="173"/>
      <c r="GZQ169" s="125"/>
      <c r="GZR169" s="125"/>
      <c r="GZS169" s="134"/>
      <c r="GZT169" s="135"/>
      <c r="GZU169" s="135"/>
      <c r="GZV169" s="135"/>
      <c r="GZW169" s="135"/>
      <c r="GZX169" s="173"/>
      <c r="GZY169" s="173"/>
      <c r="GZZ169" s="173"/>
      <c r="HAA169" s="173"/>
      <c r="HAB169" s="173"/>
      <c r="HAC169" s="173"/>
      <c r="HAD169" s="173"/>
      <c r="HAE169" s="173"/>
      <c r="HAF169" s="173"/>
      <c r="HAG169" s="173"/>
      <c r="HAH169" s="125"/>
      <c r="HAI169" s="125"/>
      <c r="HAJ169" s="134"/>
      <c r="HAK169" s="135"/>
      <c r="HAL169" s="135"/>
      <c r="HAM169" s="135"/>
      <c r="HAN169" s="135"/>
      <c r="HAO169" s="173"/>
      <c r="HAP169" s="173"/>
      <c r="HAQ169" s="173"/>
      <c r="HAR169" s="173"/>
      <c r="HAS169" s="173"/>
      <c r="HAT169" s="173"/>
      <c r="HAU169" s="173"/>
      <c r="HAV169" s="173"/>
      <c r="HAW169" s="173"/>
      <c r="HAX169" s="173"/>
      <c r="HAY169" s="125"/>
      <c r="HAZ169" s="125"/>
      <c r="HBA169" s="134"/>
      <c r="HBB169" s="135"/>
      <c r="HBC169" s="135"/>
      <c r="HBD169" s="135"/>
      <c r="HBE169" s="135"/>
      <c r="HBF169" s="173"/>
      <c r="HBG169" s="173"/>
      <c r="HBH169" s="173"/>
      <c r="HBI169" s="173"/>
      <c r="HBJ169" s="173"/>
      <c r="HBK169" s="173"/>
      <c r="HBL169" s="173"/>
      <c r="HBM169" s="173"/>
      <c r="HBN169" s="173"/>
      <c r="HBO169" s="173"/>
      <c r="HBP169" s="125"/>
      <c r="HBQ169" s="125"/>
      <c r="HBR169" s="134"/>
      <c r="HBS169" s="135"/>
      <c r="HBT169" s="135"/>
      <c r="HBU169" s="135"/>
      <c r="HBV169" s="135"/>
      <c r="HBW169" s="173"/>
      <c r="HBX169" s="173"/>
      <c r="HBY169" s="173"/>
      <c r="HBZ169" s="173"/>
      <c r="HCA169" s="173"/>
      <c r="HCB169" s="173"/>
      <c r="HCC169" s="173"/>
      <c r="HCD169" s="173"/>
      <c r="HCE169" s="173"/>
      <c r="HCF169" s="173"/>
      <c r="HCG169" s="125"/>
      <c r="HCH169" s="125"/>
      <c r="HCI169" s="134"/>
      <c r="HCJ169" s="135"/>
      <c r="HCK169" s="135"/>
      <c r="HCL169" s="135"/>
      <c r="HCM169" s="135"/>
      <c r="HCN169" s="173"/>
      <c r="HCO169" s="173"/>
      <c r="HCP169" s="173"/>
      <c r="HCQ169" s="173"/>
      <c r="HCR169" s="173"/>
      <c r="HCS169" s="173"/>
      <c r="HCT169" s="173"/>
      <c r="HCU169" s="173"/>
      <c r="HCV169" s="173"/>
      <c r="HCW169" s="173"/>
      <c r="HCX169" s="125"/>
      <c r="HCY169" s="125"/>
      <c r="HCZ169" s="134"/>
      <c r="HDA169" s="135"/>
      <c r="HDB169" s="135"/>
      <c r="HDC169" s="135"/>
      <c r="HDD169" s="135"/>
      <c r="HDE169" s="173"/>
      <c r="HDF169" s="173"/>
      <c r="HDG169" s="173"/>
      <c r="HDH169" s="173"/>
      <c r="HDI169" s="173"/>
      <c r="HDJ169" s="173"/>
      <c r="HDK169" s="173"/>
      <c r="HDL169" s="173"/>
      <c r="HDM169" s="173"/>
      <c r="HDN169" s="173"/>
      <c r="HDO169" s="125"/>
      <c r="HDP169" s="125"/>
      <c r="HDQ169" s="134"/>
      <c r="HDR169" s="135"/>
      <c r="HDS169" s="135"/>
      <c r="HDT169" s="135"/>
      <c r="HDU169" s="135"/>
      <c r="HDV169" s="173"/>
      <c r="HDW169" s="173"/>
      <c r="HDX169" s="173"/>
      <c r="HDY169" s="173"/>
      <c r="HDZ169" s="173"/>
      <c r="HEA169" s="173"/>
      <c r="HEB169" s="173"/>
      <c r="HEC169" s="173"/>
      <c r="HED169" s="173"/>
      <c r="HEE169" s="173"/>
      <c r="HEF169" s="125"/>
      <c r="HEG169" s="125"/>
      <c r="HEH169" s="134"/>
      <c r="HEI169" s="135"/>
      <c r="HEJ169" s="135"/>
      <c r="HEK169" s="135"/>
      <c r="HEL169" s="135"/>
      <c r="HEM169" s="173"/>
      <c r="HEN169" s="173"/>
      <c r="HEO169" s="173"/>
      <c r="HEP169" s="173"/>
      <c r="HEQ169" s="173"/>
      <c r="HER169" s="173"/>
      <c r="HES169" s="173"/>
      <c r="HET169" s="173"/>
      <c r="HEU169" s="173"/>
      <c r="HEV169" s="173"/>
      <c r="HEW169" s="125"/>
      <c r="HEX169" s="125"/>
      <c r="HEY169" s="134"/>
      <c r="HEZ169" s="135"/>
      <c r="HFA169" s="135"/>
      <c r="HFB169" s="135"/>
      <c r="HFC169" s="135"/>
      <c r="HFD169" s="173"/>
      <c r="HFE169" s="173"/>
      <c r="HFF169" s="173"/>
      <c r="HFG169" s="173"/>
      <c r="HFH169" s="173"/>
      <c r="HFI169" s="173"/>
      <c r="HFJ169" s="173"/>
      <c r="HFK169" s="173"/>
      <c r="HFL169" s="173"/>
      <c r="HFM169" s="173"/>
      <c r="HFN169" s="125"/>
      <c r="HFO169" s="125"/>
      <c r="HFP169" s="134"/>
      <c r="HFQ169" s="135"/>
      <c r="HFR169" s="135"/>
      <c r="HFS169" s="135"/>
      <c r="HFT169" s="135"/>
      <c r="HFU169" s="173"/>
      <c r="HFV169" s="173"/>
      <c r="HFW169" s="173"/>
      <c r="HFX169" s="173"/>
      <c r="HFY169" s="173"/>
      <c r="HFZ169" s="173"/>
      <c r="HGA169" s="173"/>
      <c r="HGB169" s="173"/>
      <c r="HGC169" s="173"/>
      <c r="HGD169" s="173"/>
      <c r="HGE169" s="125"/>
      <c r="HGF169" s="125"/>
      <c r="HGG169" s="134"/>
      <c r="HGH169" s="135"/>
      <c r="HGI169" s="135"/>
      <c r="HGJ169" s="135"/>
      <c r="HGK169" s="135"/>
      <c r="HGL169" s="173"/>
      <c r="HGM169" s="173"/>
      <c r="HGN169" s="173"/>
      <c r="HGO169" s="173"/>
      <c r="HGP169" s="173"/>
      <c r="HGQ169" s="173"/>
      <c r="HGR169" s="173"/>
      <c r="HGS169" s="173"/>
      <c r="HGT169" s="173"/>
      <c r="HGU169" s="173"/>
      <c r="HGV169" s="125"/>
      <c r="HGW169" s="125"/>
      <c r="HGX169" s="134"/>
      <c r="HGY169" s="135"/>
      <c r="HGZ169" s="135"/>
      <c r="HHA169" s="135"/>
      <c r="HHB169" s="135"/>
      <c r="HHC169" s="173"/>
      <c r="HHD169" s="173"/>
      <c r="HHE169" s="173"/>
      <c r="HHF169" s="173"/>
      <c r="HHG169" s="173"/>
      <c r="HHH169" s="173"/>
      <c r="HHI169" s="173"/>
      <c r="HHJ169" s="173"/>
      <c r="HHK169" s="173"/>
      <c r="HHL169" s="173"/>
      <c r="HHM169" s="125"/>
      <c r="HHN169" s="125"/>
      <c r="HHO169" s="134"/>
      <c r="HHP169" s="135"/>
      <c r="HHQ169" s="135"/>
      <c r="HHR169" s="135"/>
      <c r="HHS169" s="135"/>
      <c r="HHT169" s="173"/>
      <c r="HHU169" s="173"/>
      <c r="HHV169" s="173"/>
      <c r="HHW169" s="173"/>
      <c r="HHX169" s="173"/>
      <c r="HHY169" s="173"/>
      <c r="HHZ169" s="173"/>
      <c r="HIA169" s="173"/>
      <c r="HIB169" s="173"/>
      <c r="HIC169" s="173"/>
      <c r="HID169" s="125"/>
      <c r="HIE169" s="125"/>
      <c r="HIF169" s="134"/>
      <c r="HIG169" s="135"/>
      <c r="HIH169" s="135"/>
      <c r="HII169" s="135"/>
      <c r="HIJ169" s="135"/>
      <c r="HIK169" s="173"/>
      <c r="HIL169" s="173"/>
      <c r="HIM169" s="173"/>
      <c r="HIN169" s="173"/>
      <c r="HIO169" s="173"/>
      <c r="HIP169" s="173"/>
      <c r="HIQ169" s="173"/>
      <c r="HIR169" s="173"/>
      <c r="HIS169" s="173"/>
      <c r="HIT169" s="173"/>
      <c r="HIU169" s="125"/>
      <c r="HIV169" s="125"/>
      <c r="HIW169" s="134"/>
      <c r="HIX169" s="135"/>
      <c r="HIY169" s="135"/>
      <c r="HIZ169" s="135"/>
      <c r="HJA169" s="135"/>
      <c r="HJB169" s="173"/>
      <c r="HJC169" s="173"/>
      <c r="HJD169" s="173"/>
      <c r="HJE169" s="173"/>
      <c r="HJF169" s="173"/>
      <c r="HJG169" s="173"/>
      <c r="HJH169" s="173"/>
      <c r="HJI169" s="173"/>
      <c r="HJJ169" s="173"/>
      <c r="HJK169" s="173"/>
      <c r="HJL169" s="125"/>
      <c r="HJM169" s="125"/>
      <c r="HJN169" s="134"/>
      <c r="HJO169" s="135"/>
      <c r="HJP169" s="135"/>
      <c r="HJQ169" s="135"/>
      <c r="HJR169" s="135"/>
      <c r="HJS169" s="173"/>
      <c r="HJT169" s="173"/>
      <c r="HJU169" s="173"/>
      <c r="HJV169" s="173"/>
      <c r="HJW169" s="173"/>
      <c r="HJX169" s="173"/>
      <c r="HJY169" s="173"/>
      <c r="HJZ169" s="173"/>
      <c r="HKA169" s="173"/>
      <c r="HKB169" s="173"/>
      <c r="HKC169" s="125"/>
      <c r="HKD169" s="125"/>
      <c r="HKE169" s="134"/>
      <c r="HKF169" s="135"/>
      <c r="HKG169" s="135"/>
      <c r="HKH169" s="135"/>
      <c r="HKI169" s="135"/>
      <c r="HKJ169" s="173"/>
      <c r="HKK169" s="173"/>
      <c r="HKL169" s="173"/>
      <c r="HKM169" s="173"/>
      <c r="HKN169" s="173"/>
      <c r="HKO169" s="173"/>
      <c r="HKP169" s="173"/>
      <c r="HKQ169" s="173"/>
      <c r="HKR169" s="173"/>
      <c r="HKS169" s="173"/>
      <c r="HKT169" s="125"/>
      <c r="HKU169" s="125"/>
      <c r="HKV169" s="134"/>
      <c r="HKW169" s="135"/>
      <c r="HKX169" s="135"/>
      <c r="HKY169" s="135"/>
      <c r="HKZ169" s="135"/>
      <c r="HLA169" s="173"/>
      <c r="HLB169" s="173"/>
      <c r="HLC169" s="173"/>
      <c r="HLD169" s="173"/>
      <c r="HLE169" s="173"/>
      <c r="HLF169" s="173"/>
      <c r="HLG169" s="173"/>
      <c r="HLH169" s="173"/>
      <c r="HLI169" s="173"/>
      <c r="HLJ169" s="173"/>
      <c r="HLK169" s="125"/>
      <c r="HLL169" s="125"/>
      <c r="HLM169" s="134"/>
      <c r="HLN169" s="135"/>
      <c r="HLO169" s="135"/>
      <c r="HLP169" s="135"/>
      <c r="HLQ169" s="135"/>
      <c r="HLR169" s="173"/>
      <c r="HLS169" s="173"/>
      <c r="HLT169" s="173"/>
      <c r="HLU169" s="173"/>
      <c r="HLV169" s="173"/>
      <c r="HLW169" s="173"/>
      <c r="HLX169" s="173"/>
      <c r="HLY169" s="173"/>
      <c r="HLZ169" s="173"/>
      <c r="HMA169" s="173"/>
      <c r="HMB169" s="125"/>
      <c r="HMC169" s="125"/>
      <c r="HMD169" s="134"/>
      <c r="HME169" s="135"/>
      <c r="HMF169" s="135"/>
      <c r="HMG169" s="135"/>
      <c r="HMH169" s="135"/>
      <c r="HMI169" s="173"/>
      <c r="HMJ169" s="173"/>
      <c r="HMK169" s="173"/>
      <c r="HML169" s="173"/>
      <c r="HMM169" s="173"/>
      <c r="HMN169" s="173"/>
      <c r="HMO169" s="173"/>
      <c r="HMP169" s="173"/>
      <c r="HMQ169" s="173"/>
      <c r="HMR169" s="173"/>
      <c r="HMS169" s="125"/>
      <c r="HMT169" s="125"/>
      <c r="HMU169" s="134"/>
      <c r="HMV169" s="135"/>
      <c r="HMW169" s="135"/>
      <c r="HMX169" s="135"/>
      <c r="HMY169" s="135"/>
      <c r="HMZ169" s="173"/>
      <c r="HNA169" s="173"/>
      <c r="HNB169" s="173"/>
      <c r="HNC169" s="173"/>
      <c r="HND169" s="173"/>
      <c r="HNE169" s="173"/>
      <c r="HNF169" s="173"/>
      <c r="HNG169" s="173"/>
      <c r="HNH169" s="173"/>
      <c r="HNI169" s="173"/>
      <c r="HNJ169" s="125"/>
      <c r="HNK169" s="125"/>
      <c r="HNL169" s="134"/>
      <c r="HNM169" s="135"/>
      <c r="HNN169" s="135"/>
      <c r="HNO169" s="135"/>
      <c r="HNP169" s="135"/>
      <c r="HNQ169" s="173"/>
      <c r="HNR169" s="173"/>
      <c r="HNS169" s="173"/>
      <c r="HNT169" s="173"/>
      <c r="HNU169" s="173"/>
      <c r="HNV169" s="173"/>
      <c r="HNW169" s="173"/>
      <c r="HNX169" s="173"/>
      <c r="HNY169" s="173"/>
      <c r="HNZ169" s="173"/>
      <c r="HOA169" s="125"/>
      <c r="HOB169" s="125"/>
      <c r="HOC169" s="134"/>
      <c r="HOD169" s="135"/>
      <c r="HOE169" s="135"/>
      <c r="HOF169" s="135"/>
      <c r="HOG169" s="135"/>
      <c r="HOH169" s="173"/>
      <c r="HOI169" s="173"/>
      <c r="HOJ169" s="173"/>
      <c r="HOK169" s="173"/>
      <c r="HOL169" s="173"/>
      <c r="HOM169" s="173"/>
      <c r="HON169" s="173"/>
      <c r="HOO169" s="173"/>
      <c r="HOP169" s="173"/>
      <c r="HOQ169" s="173"/>
      <c r="HOR169" s="125"/>
      <c r="HOS169" s="125"/>
      <c r="HOT169" s="134"/>
      <c r="HOU169" s="135"/>
      <c r="HOV169" s="135"/>
      <c r="HOW169" s="135"/>
      <c r="HOX169" s="135"/>
      <c r="HOY169" s="173"/>
      <c r="HOZ169" s="173"/>
      <c r="HPA169" s="173"/>
      <c r="HPB169" s="173"/>
      <c r="HPC169" s="173"/>
      <c r="HPD169" s="173"/>
      <c r="HPE169" s="173"/>
      <c r="HPF169" s="173"/>
      <c r="HPG169" s="173"/>
      <c r="HPH169" s="173"/>
      <c r="HPI169" s="125"/>
      <c r="HPJ169" s="125"/>
      <c r="HPK169" s="134"/>
      <c r="HPL169" s="135"/>
      <c r="HPM169" s="135"/>
      <c r="HPN169" s="135"/>
      <c r="HPO169" s="135"/>
      <c r="HPP169" s="173"/>
      <c r="HPQ169" s="173"/>
      <c r="HPR169" s="173"/>
      <c r="HPS169" s="173"/>
      <c r="HPT169" s="173"/>
      <c r="HPU169" s="173"/>
      <c r="HPV169" s="173"/>
      <c r="HPW169" s="173"/>
      <c r="HPX169" s="173"/>
      <c r="HPY169" s="173"/>
      <c r="HPZ169" s="125"/>
      <c r="HQA169" s="125"/>
      <c r="HQB169" s="134"/>
      <c r="HQC169" s="135"/>
      <c r="HQD169" s="135"/>
      <c r="HQE169" s="135"/>
      <c r="HQF169" s="135"/>
      <c r="HQG169" s="173"/>
      <c r="HQH169" s="173"/>
      <c r="HQI169" s="173"/>
      <c r="HQJ169" s="173"/>
      <c r="HQK169" s="173"/>
      <c r="HQL169" s="173"/>
      <c r="HQM169" s="173"/>
      <c r="HQN169" s="173"/>
      <c r="HQO169" s="173"/>
      <c r="HQP169" s="173"/>
      <c r="HQQ169" s="125"/>
      <c r="HQR169" s="125"/>
      <c r="HQS169" s="134"/>
      <c r="HQT169" s="135"/>
      <c r="HQU169" s="135"/>
      <c r="HQV169" s="135"/>
      <c r="HQW169" s="135"/>
      <c r="HQX169" s="173"/>
      <c r="HQY169" s="173"/>
      <c r="HQZ169" s="173"/>
      <c r="HRA169" s="173"/>
      <c r="HRB169" s="173"/>
      <c r="HRC169" s="173"/>
      <c r="HRD169" s="173"/>
      <c r="HRE169" s="173"/>
      <c r="HRF169" s="173"/>
      <c r="HRG169" s="173"/>
      <c r="HRH169" s="125"/>
      <c r="HRI169" s="125"/>
      <c r="HRJ169" s="134"/>
      <c r="HRK169" s="135"/>
      <c r="HRL169" s="135"/>
      <c r="HRM169" s="135"/>
      <c r="HRN169" s="135"/>
      <c r="HRO169" s="173"/>
      <c r="HRP169" s="173"/>
      <c r="HRQ169" s="173"/>
      <c r="HRR169" s="173"/>
      <c r="HRS169" s="173"/>
      <c r="HRT169" s="173"/>
      <c r="HRU169" s="173"/>
      <c r="HRV169" s="173"/>
      <c r="HRW169" s="173"/>
      <c r="HRX169" s="173"/>
      <c r="HRY169" s="125"/>
      <c r="HRZ169" s="125"/>
      <c r="HSA169" s="134"/>
      <c r="HSB169" s="135"/>
      <c r="HSC169" s="135"/>
      <c r="HSD169" s="135"/>
      <c r="HSE169" s="135"/>
      <c r="HSF169" s="173"/>
      <c r="HSG169" s="173"/>
      <c r="HSH169" s="173"/>
      <c r="HSI169" s="173"/>
      <c r="HSJ169" s="173"/>
      <c r="HSK169" s="173"/>
      <c r="HSL169" s="173"/>
      <c r="HSM169" s="173"/>
      <c r="HSN169" s="173"/>
      <c r="HSO169" s="173"/>
      <c r="HSP169" s="125"/>
      <c r="HSQ169" s="125"/>
      <c r="HSR169" s="134"/>
      <c r="HSS169" s="135"/>
      <c r="HST169" s="135"/>
      <c r="HSU169" s="135"/>
      <c r="HSV169" s="135"/>
      <c r="HSW169" s="173"/>
      <c r="HSX169" s="173"/>
      <c r="HSY169" s="173"/>
      <c r="HSZ169" s="173"/>
      <c r="HTA169" s="173"/>
      <c r="HTB169" s="173"/>
      <c r="HTC169" s="173"/>
      <c r="HTD169" s="173"/>
      <c r="HTE169" s="173"/>
      <c r="HTF169" s="173"/>
      <c r="HTG169" s="125"/>
      <c r="HTH169" s="125"/>
      <c r="HTI169" s="134"/>
      <c r="HTJ169" s="135"/>
      <c r="HTK169" s="135"/>
      <c r="HTL169" s="135"/>
      <c r="HTM169" s="135"/>
      <c r="HTN169" s="173"/>
      <c r="HTO169" s="173"/>
      <c r="HTP169" s="173"/>
      <c r="HTQ169" s="173"/>
      <c r="HTR169" s="173"/>
      <c r="HTS169" s="173"/>
      <c r="HTT169" s="173"/>
      <c r="HTU169" s="173"/>
      <c r="HTV169" s="173"/>
      <c r="HTW169" s="173"/>
      <c r="HTX169" s="125"/>
      <c r="HTY169" s="125"/>
      <c r="HTZ169" s="134"/>
      <c r="HUA169" s="135"/>
      <c r="HUB169" s="135"/>
      <c r="HUC169" s="135"/>
      <c r="HUD169" s="135"/>
      <c r="HUE169" s="173"/>
      <c r="HUF169" s="173"/>
      <c r="HUG169" s="173"/>
      <c r="HUH169" s="173"/>
      <c r="HUI169" s="173"/>
      <c r="HUJ169" s="173"/>
      <c r="HUK169" s="173"/>
      <c r="HUL169" s="173"/>
      <c r="HUM169" s="173"/>
      <c r="HUN169" s="173"/>
      <c r="HUO169" s="125"/>
      <c r="HUP169" s="125"/>
      <c r="HUQ169" s="134"/>
      <c r="HUR169" s="135"/>
      <c r="HUS169" s="135"/>
      <c r="HUT169" s="135"/>
      <c r="HUU169" s="135"/>
      <c r="HUV169" s="173"/>
      <c r="HUW169" s="173"/>
      <c r="HUX169" s="173"/>
      <c r="HUY169" s="173"/>
      <c r="HUZ169" s="173"/>
      <c r="HVA169" s="173"/>
      <c r="HVB169" s="173"/>
      <c r="HVC169" s="173"/>
      <c r="HVD169" s="173"/>
      <c r="HVE169" s="173"/>
      <c r="HVF169" s="125"/>
      <c r="HVG169" s="125"/>
      <c r="HVH169" s="134"/>
      <c r="HVI169" s="135"/>
      <c r="HVJ169" s="135"/>
      <c r="HVK169" s="135"/>
      <c r="HVL169" s="135"/>
      <c r="HVM169" s="173"/>
      <c r="HVN169" s="173"/>
      <c r="HVO169" s="173"/>
      <c r="HVP169" s="173"/>
      <c r="HVQ169" s="173"/>
      <c r="HVR169" s="173"/>
      <c r="HVS169" s="173"/>
      <c r="HVT169" s="173"/>
      <c r="HVU169" s="173"/>
      <c r="HVV169" s="173"/>
      <c r="HVW169" s="125"/>
      <c r="HVX169" s="125"/>
      <c r="HVY169" s="134"/>
      <c r="HVZ169" s="135"/>
      <c r="HWA169" s="135"/>
      <c r="HWB169" s="135"/>
      <c r="HWC169" s="135"/>
      <c r="HWD169" s="173"/>
      <c r="HWE169" s="173"/>
      <c r="HWF169" s="173"/>
      <c r="HWG169" s="173"/>
      <c r="HWH169" s="173"/>
      <c r="HWI169" s="173"/>
      <c r="HWJ169" s="173"/>
      <c r="HWK169" s="173"/>
      <c r="HWL169" s="173"/>
      <c r="HWM169" s="173"/>
      <c r="HWN169" s="125"/>
      <c r="HWO169" s="125"/>
      <c r="HWP169" s="134"/>
      <c r="HWQ169" s="135"/>
      <c r="HWR169" s="135"/>
      <c r="HWS169" s="135"/>
      <c r="HWT169" s="135"/>
      <c r="HWU169" s="173"/>
      <c r="HWV169" s="173"/>
      <c r="HWW169" s="173"/>
      <c r="HWX169" s="173"/>
      <c r="HWY169" s="173"/>
      <c r="HWZ169" s="173"/>
      <c r="HXA169" s="173"/>
      <c r="HXB169" s="173"/>
      <c r="HXC169" s="173"/>
      <c r="HXD169" s="173"/>
      <c r="HXE169" s="125"/>
      <c r="HXF169" s="125"/>
      <c r="HXG169" s="134"/>
      <c r="HXH169" s="135"/>
      <c r="HXI169" s="135"/>
      <c r="HXJ169" s="135"/>
      <c r="HXK169" s="135"/>
      <c r="HXL169" s="173"/>
      <c r="HXM169" s="173"/>
      <c r="HXN169" s="173"/>
      <c r="HXO169" s="173"/>
      <c r="HXP169" s="173"/>
      <c r="HXQ169" s="173"/>
      <c r="HXR169" s="173"/>
      <c r="HXS169" s="173"/>
      <c r="HXT169" s="173"/>
      <c r="HXU169" s="173"/>
      <c r="HXV169" s="125"/>
      <c r="HXW169" s="125"/>
      <c r="HXX169" s="134"/>
      <c r="HXY169" s="135"/>
      <c r="HXZ169" s="135"/>
      <c r="HYA169" s="135"/>
      <c r="HYB169" s="135"/>
      <c r="HYC169" s="173"/>
      <c r="HYD169" s="173"/>
      <c r="HYE169" s="173"/>
      <c r="HYF169" s="173"/>
      <c r="HYG169" s="173"/>
      <c r="HYH169" s="173"/>
      <c r="HYI169" s="173"/>
      <c r="HYJ169" s="173"/>
      <c r="HYK169" s="173"/>
      <c r="HYL169" s="173"/>
      <c r="HYM169" s="125"/>
      <c r="HYN169" s="125"/>
      <c r="HYO169" s="134"/>
      <c r="HYP169" s="135"/>
      <c r="HYQ169" s="135"/>
      <c r="HYR169" s="135"/>
      <c r="HYS169" s="135"/>
      <c r="HYT169" s="173"/>
      <c r="HYU169" s="173"/>
      <c r="HYV169" s="173"/>
      <c r="HYW169" s="173"/>
      <c r="HYX169" s="173"/>
      <c r="HYY169" s="173"/>
      <c r="HYZ169" s="173"/>
      <c r="HZA169" s="173"/>
      <c r="HZB169" s="173"/>
      <c r="HZC169" s="173"/>
      <c r="HZD169" s="125"/>
      <c r="HZE169" s="125"/>
      <c r="HZF169" s="134"/>
      <c r="HZG169" s="135"/>
      <c r="HZH169" s="135"/>
      <c r="HZI169" s="135"/>
      <c r="HZJ169" s="135"/>
      <c r="HZK169" s="173"/>
      <c r="HZL169" s="173"/>
      <c r="HZM169" s="173"/>
      <c r="HZN169" s="173"/>
      <c r="HZO169" s="173"/>
      <c r="HZP169" s="173"/>
      <c r="HZQ169" s="173"/>
      <c r="HZR169" s="173"/>
      <c r="HZS169" s="173"/>
      <c r="HZT169" s="173"/>
      <c r="HZU169" s="125"/>
      <c r="HZV169" s="125"/>
      <c r="HZW169" s="134"/>
      <c r="HZX169" s="135"/>
      <c r="HZY169" s="135"/>
      <c r="HZZ169" s="135"/>
      <c r="IAA169" s="135"/>
      <c r="IAB169" s="173"/>
      <c r="IAC169" s="173"/>
      <c r="IAD169" s="173"/>
      <c r="IAE169" s="173"/>
      <c r="IAF169" s="173"/>
      <c r="IAG169" s="173"/>
      <c r="IAH169" s="173"/>
      <c r="IAI169" s="173"/>
      <c r="IAJ169" s="173"/>
      <c r="IAK169" s="173"/>
      <c r="IAL169" s="125"/>
      <c r="IAM169" s="125"/>
      <c r="IAN169" s="134"/>
      <c r="IAO169" s="135"/>
      <c r="IAP169" s="135"/>
      <c r="IAQ169" s="135"/>
      <c r="IAR169" s="135"/>
      <c r="IAS169" s="173"/>
      <c r="IAT169" s="173"/>
      <c r="IAU169" s="173"/>
      <c r="IAV169" s="173"/>
      <c r="IAW169" s="173"/>
      <c r="IAX169" s="173"/>
      <c r="IAY169" s="173"/>
      <c r="IAZ169" s="173"/>
      <c r="IBA169" s="173"/>
      <c r="IBB169" s="173"/>
      <c r="IBC169" s="125"/>
      <c r="IBD169" s="125"/>
      <c r="IBE169" s="134"/>
      <c r="IBF169" s="135"/>
      <c r="IBG169" s="135"/>
      <c r="IBH169" s="135"/>
      <c r="IBI169" s="135"/>
      <c r="IBJ169" s="173"/>
      <c r="IBK169" s="173"/>
      <c r="IBL169" s="173"/>
      <c r="IBM169" s="173"/>
      <c r="IBN169" s="173"/>
      <c r="IBO169" s="173"/>
      <c r="IBP169" s="173"/>
      <c r="IBQ169" s="173"/>
      <c r="IBR169" s="173"/>
      <c r="IBS169" s="173"/>
      <c r="IBT169" s="125"/>
      <c r="IBU169" s="125"/>
      <c r="IBV169" s="134"/>
      <c r="IBW169" s="135"/>
      <c r="IBX169" s="135"/>
      <c r="IBY169" s="135"/>
      <c r="IBZ169" s="135"/>
      <c r="ICA169" s="173"/>
      <c r="ICB169" s="173"/>
      <c r="ICC169" s="173"/>
      <c r="ICD169" s="173"/>
      <c r="ICE169" s="173"/>
      <c r="ICF169" s="173"/>
      <c r="ICG169" s="173"/>
      <c r="ICH169" s="173"/>
      <c r="ICI169" s="173"/>
      <c r="ICJ169" s="173"/>
      <c r="ICK169" s="125"/>
      <c r="ICL169" s="125"/>
      <c r="ICM169" s="134"/>
      <c r="ICN169" s="135"/>
      <c r="ICO169" s="135"/>
      <c r="ICP169" s="135"/>
      <c r="ICQ169" s="135"/>
      <c r="ICR169" s="173"/>
      <c r="ICS169" s="173"/>
      <c r="ICT169" s="173"/>
      <c r="ICU169" s="173"/>
      <c r="ICV169" s="173"/>
      <c r="ICW169" s="173"/>
      <c r="ICX169" s="173"/>
      <c r="ICY169" s="173"/>
      <c r="ICZ169" s="173"/>
      <c r="IDA169" s="173"/>
      <c r="IDB169" s="125"/>
      <c r="IDC169" s="125"/>
      <c r="IDD169" s="134"/>
      <c r="IDE169" s="135"/>
      <c r="IDF169" s="135"/>
      <c r="IDG169" s="135"/>
      <c r="IDH169" s="135"/>
      <c r="IDI169" s="173"/>
      <c r="IDJ169" s="173"/>
      <c r="IDK169" s="173"/>
      <c r="IDL169" s="173"/>
      <c r="IDM169" s="173"/>
      <c r="IDN169" s="173"/>
      <c r="IDO169" s="173"/>
      <c r="IDP169" s="173"/>
      <c r="IDQ169" s="173"/>
      <c r="IDR169" s="173"/>
      <c r="IDS169" s="125"/>
      <c r="IDT169" s="125"/>
      <c r="IDU169" s="134"/>
      <c r="IDV169" s="135"/>
      <c r="IDW169" s="135"/>
      <c r="IDX169" s="135"/>
      <c r="IDY169" s="135"/>
      <c r="IDZ169" s="173"/>
      <c r="IEA169" s="173"/>
      <c r="IEB169" s="173"/>
      <c r="IEC169" s="173"/>
      <c r="IED169" s="173"/>
      <c r="IEE169" s="173"/>
      <c r="IEF169" s="173"/>
      <c r="IEG169" s="173"/>
      <c r="IEH169" s="173"/>
      <c r="IEI169" s="173"/>
      <c r="IEJ169" s="125"/>
      <c r="IEK169" s="125"/>
      <c r="IEL169" s="134"/>
      <c r="IEM169" s="135"/>
      <c r="IEN169" s="135"/>
      <c r="IEO169" s="135"/>
      <c r="IEP169" s="135"/>
      <c r="IEQ169" s="173"/>
      <c r="IER169" s="173"/>
      <c r="IES169" s="173"/>
      <c r="IET169" s="173"/>
      <c r="IEU169" s="173"/>
      <c r="IEV169" s="173"/>
      <c r="IEW169" s="173"/>
      <c r="IEX169" s="173"/>
      <c r="IEY169" s="173"/>
      <c r="IEZ169" s="173"/>
      <c r="IFA169" s="125"/>
      <c r="IFB169" s="125"/>
      <c r="IFC169" s="134"/>
      <c r="IFD169" s="135"/>
      <c r="IFE169" s="135"/>
      <c r="IFF169" s="135"/>
      <c r="IFG169" s="135"/>
      <c r="IFH169" s="173"/>
      <c r="IFI169" s="173"/>
      <c r="IFJ169" s="173"/>
      <c r="IFK169" s="173"/>
      <c r="IFL169" s="173"/>
      <c r="IFM169" s="173"/>
      <c r="IFN169" s="173"/>
      <c r="IFO169" s="173"/>
      <c r="IFP169" s="173"/>
      <c r="IFQ169" s="173"/>
      <c r="IFR169" s="125"/>
      <c r="IFS169" s="125"/>
      <c r="IFT169" s="134"/>
      <c r="IFU169" s="135"/>
      <c r="IFV169" s="135"/>
      <c r="IFW169" s="135"/>
      <c r="IFX169" s="135"/>
      <c r="IFY169" s="173"/>
      <c r="IFZ169" s="173"/>
      <c r="IGA169" s="173"/>
      <c r="IGB169" s="173"/>
      <c r="IGC169" s="173"/>
      <c r="IGD169" s="173"/>
      <c r="IGE169" s="173"/>
      <c r="IGF169" s="173"/>
      <c r="IGG169" s="173"/>
      <c r="IGH169" s="173"/>
      <c r="IGI169" s="125"/>
      <c r="IGJ169" s="125"/>
      <c r="IGK169" s="134"/>
      <c r="IGL169" s="135"/>
      <c r="IGM169" s="135"/>
      <c r="IGN169" s="135"/>
      <c r="IGO169" s="135"/>
      <c r="IGP169" s="173"/>
      <c r="IGQ169" s="173"/>
      <c r="IGR169" s="173"/>
      <c r="IGS169" s="173"/>
      <c r="IGT169" s="173"/>
      <c r="IGU169" s="173"/>
      <c r="IGV169" s="173"/>
      <c r="IGW169" s="173"/>
      <c r="IGX169" s="173"/>
      <c r="IGY169" s="173"/>
      <c r="IGZ169" s="125"/>
      <c r="IHA169" s="125"/>
      <c r="IHB169" s="134"/>
      <c r="IHC169" s="135"/>
      <c r="IHD169" s="135"/>
      <c r="IHE169" s="135"/>
      <c r="IHF169" s="135"/>
      <c r="IHG169" s="173"/>
      <c r="IHH169" s="173"/>
      <c r="IHI169" s="173"/>
      <c r="IHJ169" s="173"/>
      <c r="IHK169" s="173"/>
      <c r="IHL169" s="173"/>
      <c r="IHM169" s="173"/>
      <c r="IHN169" s="173"/>
      <c r="IHO169" s="173"/>
      <c r="IHP169" s="173"/>
      <c r="IHQ169" s="125"/>
      <c r="IHR169" s="125"/>
      <c r="IHS169" s="134"/>
      <c r="IHT169" s="135"/>
      <c r="IHU169" s="135"/>
      <c r="IHV169" s="135"/>
      <c r="IHW169" s="135"/>
      <c r="IHX169" s="173"/>
      <c r="IHY169" s="173"/>
      <c r="IHZ169" s="173"/>
      <c r="IIA169" s="173"/>
      <c r="IIB169" s="173"/>
      <c r="IIC169" s="173"/>
      <c r="IID169" s="173"/>
      <c r="IIE169" s="173"/>
      <c r="IIF169" s="173"/>
      <c r="IIG169" s="173"/>
      <c r="IIH169" s="125"/>
      <c r="III169" s="125"/>
      <c r="IIJ169" s="134"/>
      <c r="IIK169" s="135"/>
      <c r="IIL169" s="135"/>
      <c r="IIM169" s="135"/>
      <c r="IIN169" s="135"/>
      <c r="IIO169" s="173"/>
      <c r="IIP169" s="173"/>
      <c r="IIQ169" s="173"/>
      <c r="IIR169" s="173"/>
      <c r="IIS169" s="173"/>
      <c r="IIT169" s="173"/>
      <c r="IIU169" s="173"/>
      <c r="IIV169" s="173"/>
      <c r="IIW169" s="173"/>
      <c r="IIX169" s="173"/>
      <c r="IIY169" s="125"/>
      <c r="IIZ169" s="125"/>
      <c r="IJA169" s="134"/>
      <c r="IJB169" s="135"/>
      <c r="IJC169" s="135"/>
      <c r="IJD169" s="135"/>
      <c r="IJE169" s="135"/>
      <c r="IJF169" s="173"/>
      <c r="IJG169" s="173"/>
      <c r="IJH169" s="173"/>
      <c r="IJI169" s="173"/>
      <c r="IJJ169" s="173"/>
      <c r="IJK169" s="173"/>
      <c r="IJL169" s="173"/>
      <c r="IJM169" s="173"/>
      <c r="IJN169" s="173"/>
      <c r="IJO169" s="173"/>
      <c r="IJP169" s="125"/>
      <c r="IJQ169" s="125"/>
      <c r="IJR169" s="134"/>
      <c r="IJS169" s="135"/>
      <c r="IJT169" s="135"/>
      <c r="IJU169" s="135"/>
      <c r="IJV169" s="135"/>
      <c r="IJW169" s="173"/>
      <c r="IJX169" s="173"/>
      <c r="IJY169" s="173"/>
      <c r="IJZ169" s="173"/>
      <c r="IKA169" s="173"/>
      <c r="IKB169" s="173"/>
      <c r="IKC169" s="173"/>
      <c r="IKD169" s="173"/>
      <c r="IKE169" s="173"/>
      <c r="IKF169" s="173"/>
      <c r="IKG169" s="125"/>
      <c r="IKH169" s="125"/>
      <c r="IKI169" s="134"/>
      <c r="IKJ169" s="135"/>
      <c r="IKK169" s="135"/>
      <c r="IKL169" s="135"/>
      <c r="IKM169" s="135"/>
      <c r="IKN169" s="173"/>
      <c r="IKO169" s="173"/>
      <c r="IKP169" s="173"/>
      <c r="IKQ169" s="173"/>
      <c r="IKR169" s="173"/>
      <c r="IKS169" s="173"/>
      <c r="IKT169" s="173"/>
      <c r="IKU169" s="173"/>
      <c r="IKV169" s="173"/>
      <c r="IKW169" s="173"/>
      <c r="IKX169" s="125"/>
      <c r="IKY169" s="125"/>
      <c r="IKZ169" s="134"/>
      <c r="ILA169" s="135"/>
      <c r="ILB169" s="135"/>
      <c r="ILC169" s="135"/>
      <c r="ILD169" s="135"/>
      <c r="ILE169" s="173"/>
      <c r="ILF169" s="173"/>
      <c r="ILG169" s="173"/>
      <c r="ILH169" s="173"/>
      <c r="ILI169" s="173"/>
      <c r="ILJ169" s="173"/>
      <c r="ILK169" s="173"/>
      <c r="ILL169" s="173"/>
      <c r="ILM169" s="173"/>
      <c r="ILN169" s="173"/>
      <c r="ILO169" s="125"/>
      <c r="ILP169" s="125"/>
      <c r="ILQ169" s="134"/>
      <c r="ILR169" s="135"/>
      <c r="ILS169" s="135"/>
      <c r="ILT169" s="135"/>
      <c r="ILU169" s="135"/>
      <c r="ILV169" s="173"/>
      <c r="ILW169" s="173"/>
      <c r="ILX169" s="173"/>
      <c r="ILY169" s="173"/>
      <c r="ILZ169" s="173"/>
      <c r="IMA169" s="173"/>
      <c r="IMB169" s="173"/>
      <c r="IMC169" s="173"/>
      <c r="IMD169" s="173"/>
      <c r="IME169" s="173"/>
      <c r="IMF169" s="125"/>
      <c r="IMG169" s="125"/>
      <c r="IMH169" s="134"/>
      <c r="IMI169" s="135"/>
      <c r="IMJ169" s="135"/>
      <c r="IMK169" s="135"/>
      <c r="IML169" s="135"/>
      <c r="IMM169" s="173"/>
      <c r="IMN169" s="173"/>
      <c r="IMO169" s="173"/>
      <c r="IMP169" s="173"/>
      <c r="IMQ169" s="173"/>
      <c r="IMR169" s="173"/>
      <c r="IMS169" s="173"/>
      <c r="IMT169" s="173"/>
      <c r="IMU169" s="173"/>
      <c r="IMV169" s="173"/>
      <c r="IMW169" s="125"/>
      <c r="IMX169" s="125"/>
      <c r="IMY169" s="134"/>
      <c r="IMZ169" s="135"/>
      <c r="INA169" s="135"/>
      <c r="INB169" s="135"/>
      <c r="INC169" s="135"/>
      <c r="IND169" s="173"/>
      <c r="INE169" s="173"/>
      <c r="INF169" s="173"/>
      <c r="ING169" s="173"/>
      <c r="INH169" s="173"/>
      <c r="INI169" s="173"/>
      <c r="INJ169" s="173"/>
      <c r="INK169" s="173"/>
      <c r="INL169" s="173"/>
      <c r="INM169" s="173"/>
      <c r="INN169" s="125"/>
      <c r="INO169" s="125"/>
      <c r="INP169" s="134"/>
      <c r="INQ169" s="135"/>
      <c r="INR169" s="135"/>
      <c r="INS169" s="135"/>
      <c r="INT169" s="135"/>
      <c r="INU169" s="173"/>
      <c r="INV169" s="173"/>
      <c r="INW169" s="173"/>
      <c r="INX169" s="173"/>
      <c r="INY169" s="173"/>
      <c r="INZ169" s="173"/>
      <c r="IOA169" s="173"/>
      <c r="IOB169" s="173"/>
      <c r="IOC169" s="173"/>
      <c r="IOD169" s="173"/>
      <c r="IOE169" s="125"/>
      <c r="IOF169" s="125"/>
      <c r="IOG169" s="134"/>
      <c r="IOH169" s="135"/>
      <c r="IOI169" s="135"/>
      <c r="IOJ169" s="135"/>
      <c r="IOK169" s="135"/>
      <c r="IOL169" s="173"/>
      <c r="IOM169" s="173"/>
      <c r="ION169" s="173"/>
      <c r="IOO169" s="173"/>
      <c r="IOP169" s="173"/>
      <c r="IOQ169" s="173"/>
      <c r="IOR169" s="173"/>
      <c r="IOS169" s="173"/>
      <c r="IOT169" s="173"/>
      <c r="IOU169" s="173"/>
      <c r="IOV169" s="125"/>
      <c r="IOW169" s="125"/>
      <c r="IOX169" s="134"/>
      <c r="IOY169" s="135"/>
      <c r="IOZ169" s="135"/>
      <c r="IPA169" s="135"/>
      <c r="IPB169" s="135"/>
      <c r="IPC169" s="173"/>
      <c r="IPD169" s="173"/>
      <c r="IPE169" s="173"/>
      <c r="IPF169" s="173"/>
      <c r="IPG169" s="173"/>
      <c r="IPH169" s="173"/>
      <c r="IPI169" s="173"/>
      <c r="IPJ169" s="173"/>
      <c r="IPK169" s="173"/>
      <c r="IPL169" s="173"/>
      <c r="IPM169" s="125"/>
      <c r="IPN169" s="125"/>
      <c r="IPO169" s="134"/>
      <c r="IPP169" s="135"/>
      <c r="IPQ169" s="135"/>
      <c r="IPR169" s="135"/>
      <c r="IPS169" s="135"/>
      <c r="IPT169" s="173"/>
      <c r="IPU169" s="173"/>
      <c r="IPV169" s="173"/>
      <c r="IPW169" s="173"/>
      <c r="IPX169" s="173"/>
      <c r="IPY169" s="173"/>
      <c r="IPZ169" s="173"/>
      <c r="IQA169" s="173"/>
      <c r="IQB169" s="173"/>
      <c r="IQC169" s="173"/>
      <c r="IQD169" s="125"/>
      <c r="IQE169" s="125"/>
      <c r="IQF169" s="134"/>
      <c r="IQG169" s="135"/>
      <c r="IQH169" s="135"/>
      <c r="IQI169" s="135"/>
      <c r="IQJ169" s="135"/>
      <c r="IQK169" s="173"/>
      <c r="IQL169" s="173"/>
      <c r="IQM169" s="173"/>
      <c r="IQN169" s="173"/>
      <c r="IQO169" s="173"/>
      <c r="IQP169" s="173"/>
      <c r="IQQ169" s="173"/>
      <c r="IQR169" s="173"/>
      <c r="IQS169" s="173"/>
      <c r="IQT169" s="173"/>
      <c r="IQU169" s="125"/>
      <c r="IQV169" s="125"/>
      <c r="IQW169" s="134"/>
      <c r="IQX169" s="135"/>
      <c r="IQY169" s="135"/>
      <c r="IQZ169" s="135"/>
      <c r="IRA169" s="135"/>
      <c r="IRB169" s="173"/>
      <c r="IRC169" s="173"/>
      <c r="IRD169" s="173"/>
      <c r="IRE169" s="173"/>
      <c r="IRF169" s="173"/>
      <c r="IRG169" s="173"/>
      <c r="IRH169" s="173"/>
      <c r="IRI169" s="173"/>
      <c r="IRJ169" s="173"/>
      <c r="IRK169" s="173"/>
      <c r="IRL169" s="125"/>
      <c r="IRM169" s="125"/>
      <c r="IRN169" s="134"/>
      <c r="IRO169" s="135"/>
      <c r="IRP169" s="135"/>
      <c r="IRQ169" s="135"/>
      <c r="IRR169" s="135"/>
      <c r="IRS169" s="173"/>
      <c r="IRT169" s="173"/>
      <c r="IRU169" s="173"/>
      <c r="IRV169" s="173"/>
      <c r="IRW169" s="173"/>
      <c r="IRX169" s="173"/>
      <c r="IRY169" s="173"/>
      <c r="IRZ169" s="173"/>
      <c r="ISA169" s="173"/>
      <c r="ISB169" s="173"/>
      <c r="ISC169" s="125"/>
      <c r="ISD169" s="125"/>
      <c r="ISE169" s="134"/>
      <c r="ISF169" s="135"/>
      <c r="ISG169" s="135"/>
      <c r="ISH169" s="135"/>
      <c r="ISI169" s="135"/>
      <c r="ISJ169" s="173"/>
      <c r="ISK169" s="173"/>
      <c r="ISL169" s="173"/>
      <c r="ISM169" s="173"/>
      <c r="ISN169" s="173"/>
      <c r="ISO169" s="173"/>
      <c r="ISP169" s="173"/>
      <c r="ISQ169" s="173"/>
      <c r="ISR169" s="173"/>
      <c r="ISS169" s="173"/>
      <c r="IST169" s="125"/>
      <c r="ISU169" s="125"/>
      <c r="ISV169" s="134"/>
      <c r="ISW169" s="135"/>
      <c r="ISX169" s="135"/>
      <c r="ISY169" s="135"/>
      <c r="ISZ169" s="135"/>
      <c r="ITA169" s="173"/>
      <c r="ITB169" s="173"/>
      <c r="ITC169" s="173"/>
      <c r="ITD169" s="173"/>
      <c r="ITE169" s="173"/>
      <c r="ITF169" s="173"/>
      <c r="ITG169" s="173"/>
      <c r="ITH169" s="173"/>
      <c r="ITI169" s="173"/>
      <c r="ITJ169" s="173"/>
      <c r="ITK169" s="125"/>
      <c r="ITL169" s="125"/>
      <c r="ITM169" s="134"/>
      <c r="ITN169" s="135"/>
      <c r="ITO169" s="135"/>
      <c r="ITP169" s="135"/>
      <c r="ITQ169" s="135"/>
      <c r="ITR169" s="173"/>
      <c r="ITS169" s="173"/>
      <c r="ITT169" s="173"/>
      <c r="ITU169" s="173"/>
      <c r="ITV169" s="173"/>
      <c r="ITW169" s="173"/>
      <c r="ITX169" s="173"/>
      <c r="ITY169" s="173"/>
      <c r="ITZ169" s="173"/>
      <c r="IUA169" s="173"/>
      <c r="IUB169" s="125"/>
      <c r="IUC169" s="125"/>
      <c r="IUD169" s="134"/>
      <c r="IUE169" s="135"/>
      <c r="IUF169" s="135"/>
      <c r="IUG169" s="135"/>
      <c r="IUH169" s="135"/>
      <c r="IUI169" s="173"/>
      <c r="IUJ169" s="173"/>
      <c r="IUK169" s="173"/>
      <c r="IUL169" s="173"/>
      <c r="IUM169" s="173"/>
      <c r="IUN169" s="173"/>
      <c r="IUO169" s="173"/>
      <c r="IUP169" s="173"/>
      <c r="IUQ169" s="173"/>
      <c r="IUR169" s="173"/>
      <c r="IUS169" s="125"/>
      <c r="IUT169" s="125"/>
      <c r="IUU169" s="134"/>
      <c r="IUV169" s="135"/>
      <c r="IUW169" s="135"/>
      <c r="IUX169" s="135"/>
      <c r="IUY169" s="135"/>
      <c r="IUZ169" s="173"/>
      <c r="IVA169" s="173"/>
      <c r="IVB169" s="173"/>
      <c r="IVC169" s="173"/>
      <c r="IVD169" s="173"/>
      <c r="IVE169" s="173"/>
      <c r="IVF169" s="173"/>
      <c r="IVG169" s="173"/>
      <c r="IVH169" s="173"/>
      <c r="IVI169" s="173"/>
      <c r="IVJ169" s="125"/>
      <c r="IVK169" s="125"/>
      <c r="IVL169" s="134"/>
      <c r="IVM169" s="135"/>
      <c r="IVN169" s="135"/>
      <c r="IVO169" s="135"/>
      <c r="IVP169" s="135"/>
      <c r="IVQ169" s="173"/>
      <c r="IVR169" s="173"/>
      <c r="IVS169" s="173"/>
      <c r="IVT169" s="173"/>
      <c r="IVU169" s="173"/>
      <c r="IVV169" s="173"/>
      <c r="IVW169" s="173"/>
      <c r="IVX169" s="173"/>
      <c r="IVY169" s="173"/>
      <c r="IVZ169" s="173"/>
      <c r="IWA169" s="125"/>
      <c r="IWB169" s="125"/>
      <c r="IWC169" s="134"/>
      <c r="IWD169" s="135"/>
      <c r="IWE169" s="135"/>
      <c r="IWF169" s="135"/>
      <c r="IWG169" s="135"/>
      <c r="IWH169" s="173"/>
      <c r="IWI169" s="173"/>
      <c r="IWJ169" s="173"/>
      <c r="IWK169" s="173"/>
      <c r="IWL169" s="173"/>
      <c r="IWM169" s="173"/>
      <c r="IWN169" s="173"/>
      <c r="IWO169" s="173"/>
      <c r="IWP169" s="173"/>
      <c r="IWQ169" s="173"/>
      <c r="IWR169" s="125"/>
      <c r="IWS169" s="125"/>
      <c r="IWT169" s="134"/>
      <c r="IWU169" s="135"/>
      <c r="IWV169" s="135"/>
      <c r="IWW169" s="135"/>
      <c r="IWX169" s="135"/>
      <c r="IWY169" s="173"/>
      <c r="IWZ169" s="173"/>
      <c r="IXA169" s="173"/>
      <c r="IXB169" s="173"/>
      <c r="IXC169" s="173"/>
      <c r="IXD169" s="173"/>
      <c r="IXE169" s="173"/>
      <c r="IXF169" s="173"/>
      <c r="IXG169" s="173"/>
      <c r="IXH169" s="173"/>
      <c r="IXI169" s="125"/>
      <c r="IXJ169" s="125"/>
      <c r="IXK169" s="134"/>
      <c r="IXL169" s="135"/>
      <c r="IXM169" s="135"/>
      <c r="IXN169" s="135"/>
      <c r="IXO169" s="135"/>
      <c r="IXP169" s="173"/>
      <c r="IXQ169" s="173"/>
      <c r="IXR169" s="173"/>
      <c r="IXS169" s="173"/>
      <c r="IXT169" s="173"/>
      <c r="IXU169" s="173"/>
      <c r="IXV169" s="173"/>
      <c r="IXW169" s="173"/>
      <c r="IXX169" s="173"/>
      <c r="IXY169" s="173"/>
      <c r="IXZ169" s="125"/>
      <c r="IYA169" s="125"/>
      <c r="IYB169" s="134"/>
      <c r="IYC169" s="135"/>
      <c r="IYD169" s="135"/>
      <c r="IYE169" s="135"/>
      <c r="IYF169" s="135"/>
      <c r="IYG169" s="173"/>
      <c r="IYH169" s="173"/>
      <c r="IYI169" s="173"/>
      <c r="IYJ169" s="173"/>
      <c r="IYK169" s="173"/>
      <c r="IYL169" s="173"/>
      <c r="IYM169" s="173"/>
      <c r="IYN169" s="173"/>
      <c r="IYO169" s="173"/>
      <c r="IYP169" s="173"/>
      <c r="IYQ169" s="125"/>
      <c r="IYR169" s="125"/>
      <c r="IYS169" s="134"/>
      <c r="IYT169" s="135"/>
      <c r="IYU169" s="135"/>
      <c r="IYV169" s="135"/>
      <c r="IYW169" s="135"/>
      <c r="IYX169" s="173"/>
      <c r="IYY169" s="173"/>
      <c r="IYZ169" s="173"/>
      <c r="IZA169" s="173"/>
      <c r="IZB169" s="173"/>
      <c r="IZC169" s="173"/>
      <c r="IZD169" s="173"/>
      <c r="IZE169" s="173"/>
      <c r="IZF169" s="173"/>
      <c r="IZG169" s="173"/>
      <c r="IZH169" s="125"/>
      <c r="IZI169" s="125"/>
      <c r="IZJ169" s="134"/>
      <c r="IZK169" s="135"/>
      <c r="IZL169" s="135"/>
      <c r="IZM169" s="135"/>
      <c r="IZN169" s="135"/>
      <c r="IZO169" s="173"/>
      <c r="IZP169" s="173"/>
      <c r="IZQ169" s="173"/>
      <c r="IZR169" s="173"/>
      <c r="IZS169" s="173"/>
      <c r="IZT169" s="173"/>
      <c r="IZU169" s="173"/>
      <c r="IZV169" s="173"/>
      <c r="IZW169" s="173"/>
      <c r="IZX169" s="173"/>
      <c r="IZY169" s="125"/>
      <c r="IZZ169" s="125"/>
      <c r="JAA169" s="134"/>
      <c r="JAB169" s="135"/>
      <c r="JAC169" s="135"/>
      <c r="JAD169" s="135"/>
      <c r="JAE169" s="135"/>
      <c r="JAF169" s="173"/>
      <c r="JAG169" s="173"/>
      <c r="JAH169" s="173"/>
      <c r="JAI169" s="173"/>
      <c r="JAJ169" s="173"/>
      <c r="JAK169" s="173"/>
      <c r="JAL169" s="173"/>
      <c r="JAM169" s="173"/>
      <c r="JAN169" s="173"/>
      <c r="JAO169" s="173"/>
      <c r="JAP169" s="125"/>
      <c r="JAQ169" s="125"/>
      <c r="JAR169" s="134"/>
      <c r="JAS169" s="135"/>
      <c r="JAT169" s="135"/>
      <c r="JAU169" s="135"/>
      <c r="JAV169" s="135"/>
      <c r="JAW169" s="173"/>
      <c r="JAX169" s="173"/>
      <c r="JAY169" s="173"/>
      <c r="JAZ169" s="173"/>
      <c r="JBA169" s="173"/>
      <c r="JBB169" s="173"/>
      <c r="JBC169" s="173"/>
      <c r="JBD169" s="173"/>
      <c r="JBE169" s="173"/>
      <c r="JBF169" s="173"/>
      <c r="JBG169" s="125"/>
      <c r="JBH169" s="125"/>
      <c r="JBI169" s="134"/>
      <c r="JBJ169" s="135"/>
      <c r="JBK169" s="135"/>
      <c r="JBL169" s="135"/>
      <c r="JBM169" s="135"/>
      <c r="JBN169" s="173"/>
      <c r="JBO169" s="173"/>
      <c r="JBP169" s="173"/>
      <c r="JBQ169" s="173"/>
      <c r="JBR169" s="173"/>
      <c r="JBS169" s="173"/>
      <c r="JBT169" s="173"/>
      <c r="JBU169" s="173"/>
      <c r="JBV169" s="173"/>
      <c r="JBW169" s="173"/>
      <c r="JBX169" s="125"/>
      <c r="JBY169" s="125"/>
      <c r="JBZ169" s="134"/>
      <c r="JCA169" s="135"/>
      <c r="JCB169" s="135"/>
      <c r="JCC169" s="135"/>
      <c r="JCD169" s="135"/>
      <c r="JCE169" s="173"/>
      <c r="JCF169" s="173"/>
      <c r="JCG169" s="173"/>
      <c r="JCH169" s="173"/>
      <c r="JCI169" s="173"/>
      <c r="JCJ169" s="173"/>
      <c r="JCK169" s="173"/>
      <c r="JCL169" s="173"/>
      <c r="JCM169" s="173"/>
      <c r="JCN169" s="173"/>
      <c r="JCO169" s="125"/>
      <c r="JCP169" s="125"/>
      <c r="JCQ169" s="134"/>
      <c r="JCR169" s="135"/>
      <c r="JCS169" s="135"/>
      <c r="JCT169" s="135"/>
      <c r="JCU169" s="135"/>
      <c r="JCV169" s="173"/>
      <c r="JCW169" s="173"/>
      <c r="JCX169" s="173"/>
      <c r="JCY169" s="173"/>
      <c r="JCZ169" s="173"/>
      <c r="JDA169" s="173"/>
      <c r="JDB169" s="173"/>
      <c r="JDC169" s="173"/>
      <c r="JDD169" s="173"/>
      <c r="JDE169" s="173"/>
      <c r="JDF169" s="125"/>
      <c r="JDG169" s="125"/>
      <c r="JDH169" s="134"/>
      <c r="JDI169" s="135"/>
      <c r="JDJ169" s="135"/>
      <c r="JDK169" s="135"/>
      <c r="JDL169" s="135"/>
      <c r="JDM169" s="173"/>
      <c r="JDN169" s="173"/>
      <c r="JDO169" s="173"/>
      <c r="JDP169" s="173"/>
      <c r="JDQ169" s="173"/>
      <c r="JDR169" s="173"/>
      <c r="JDS169" s="173"/>
      <c r="JDT169" s="173"/>
      <c r="JDU169" s="173"/>
      <c r="JDV169" s="173"/>
      <c r="JDW169" s="125"/>
      <c r="JDX169" s="125"/>
      <c r="JDY169" s="134"/>
      <c r="JDZ169" s="135"/>
      <c r="JEA169" s="135"/>
      <c r="JEB169" s="135"/>
      <c r="JEC169" s="135"/>
      <c r="JED169" s="173"/>
      <c r="JEE169" s="173"/>
      <c r="JEF169" s="173"/>
      <c r="JEG169" s="173"/>
      <c r="JEH169" s="173"/>
      <c r="JEI169" s="173"/>
      <c r="JEJ169" s="173"/>
      <c r="JEK169" s="173"/>
      <c r="JEL169" s="173"/>
      <c r="JEM169" s="173"/>
      <c r="JEN169" s="125"/>
      <c r="JEO169" s="125"/>
      <c r="JEP169" s="134"/>
      <c r="JEQ169" s="135"/>
      <c r="JER169" s="135"/>
      <c r="JES169" s="135"/>
      <c r="JET169" s="135"/>
      <c r="JEU169" s="173"/>
      <c r="JEV169" s="173"/>
      <c r="JEW169" s="173"/>
      <c r="JEX169" s="173"/>
      <c r="JEY169" s="173"/>
      <c r="JEZ169" s="173"/>
      <c r="JFA169" s="173"/>
      <c r="JFB169" s="173"/>
      <c r="JFC169" s="173"/>
      <c r="JFD169" s="173"/>
      <c r="JFE169" s="125"/>
      <c r="JFF169" s="125"/>
      <c r="JFG169" s="134"/>
      <c r="JFH169" s="135"/>
      <c r="JFI169" s="135"/>
      <c r="JFJ169" s="135"/>
      <c r="JFK169" s="135"/>
      <c r="JFL169" s="173"/>
      <c r="JFM169" s="173"/>
      <c r="JFN169" s="173"/>
      <c r="JFO169" s="173"/>
      <c r="JFP169" s="173"/>
      <c r="JFQ169" s="173"/>
      <c r="JFR169" s="173"/>
      <c r="JFS169" s="173"/>
      <c r="JFT169" s="173"/>
      <c r="JFU169" s="173"/>
      <c r="JFV169" s="125"/>
      <c r="JFW169" s="125"/>
      <c r="JFX169" s="134"/>
      <c r="JFY169" s="135"/>
      <c r="JFZ169" s="135"/>
      <c r="JGA169" s="135"/>
      <c r="JGB169" s="135"/>
      <c r="JGC169" s="173"/>
      <c r="JGD169" s="173"/>
      <c r="JGE169" s="173"/>
      <c r="JGF169" s="173"/>
      <c r="JGG169" s="173"/>
      <c r="JGH169" s="173"/>
      <c r="JGI169" s="173"/>
      <c r="JGJ169" s="173"/>
      <c r="JGK169" s="173"/>
      <c r="JGL169" s="173"/>
      <c r="JGM169" s="125"/>
      <c r="JGN169" s="125"/>
      <c r="JGO169" s="134"/>
      <c r="JGP169" s="135"/>
      <c r="JGQ169" s="135"/>
      <c r="JGR169" s="135"/>
      <c r="JGS169" s="135"/>
      <c r="JGT169" s="173"/>
      <c r="JGU169" s="173"/>
      <c r="JGV169" s="173"/>
      <c r="JGW169" s="173"/>
      <c r="JGX169" s="173"/>
      <c r="JGY169" s="173"/>
      <c r="JGZ169" s="173"/>
      <c r="JHA169" s="173"/>
      <c r="JHB169" s="173"/>
      <c r="JHC169" s="173"/>
      <c r="JHD169" s="125"/>
      <c r="JHE169" s="125"/>
      <c r="JHF169" s="134"/>
      <c r="JHG169" s="135"/>
      <c r="JHH169" s="135"/>
      <c r="JHI169" s="135"/>
      <c r="JHJ169" s="135"/>
      <c r="JHK169" s="173"/>
      <c r="JHL169" s="173"/>
      <c r="JHM169" s="173"/>
      <c r="JHN169" s="173"/>
      <c r="JHO169" s="173"/>
      <c r="JHP169" s="173"/>
      <c r="JHQ169" s="173"/>
      <c r="JHR169" s="173"/>
      <c r="JHS169" s="173"/>
      <c r="JHT169" s="173"/>
      <c r="JHU169" s="125"/>
      <c r="JHV169" s="125"/>
      <c r="JHW169" s="134"/>
      <c r="JHX169" s="135"/>
      <c r="JHY169" s="135"/>
      <c r="JHZ169" s="135"/>
      <c r="JIA169" s="135"/>
      <c r="JIB169" s="173"/>
      <c r="JIC169" s="173"/>
      <c r="JID169" s="173"/>
      <c r="JIE169" s="173"/>
      <c r="JIF169" s="173"/>
      <c r="JIG169" s="173"/>
      <c r="JIH169" s="173"/>
      <c r="JII169" s="173"/>
      <c r="JIJ169" s="173"/>
      <c r="JIK169" s="173"/>
      <c r="JIL169" s="125"/>
      <c r="JIM169" s="125"/>
      <c r="JIN169" s="134"/>
      <c r="JIO169" s="135"/>
      <c r="JIP169" s="135"/>
      <c r="JIQ169" s="135"/>
      <c r="JIR169" s="135"/>
      <c r="JIS169" s="173"/>
      <c r="JIT169" s="173"/>
      <c r="JIU169" s="173"/>
      <c r="JIV169" s="173"/>
      <c r="JIW169" s="173"/>
      <c r="JIX169" s="173"/>
      <c r="JIY169" s="173"/>
      <c r="JIZ169" s="173"/>
      <c r="JJA169" s="173"/>
      <c r="JJB169" s="173"/>
      <c r="JJC169" s="125"/>
      <c r="JJD169" s="125"/>
      <c r="JJE169" s="134"/>
      <c r="JJF169" s="135"/>
      <c r="JJG169" s="135"/>
      <c r="JJH169" s="135"/>
      <c r="JJI169" s="135"/>
      <c r="JJJ169" s="173"/>
      <c r="JJK169" s="173"/>
      <c r="JJL169" s="173"/>
      <c r="JJM169" s="173"/>
      <c r="JJN169" s="173"/>
      <c r="JJO169" s="173"/>
      <c r="JJP169" s="173"/>
      <c r="JJQ169" s="173"/>
      <c r="JJR169" s="173"/>
      <c r="JJS169" s="173"/>
      <c r="JJT169" s="125"/>
      <c r="JJU169" s="125"/>
      <c r="JJV169" s="134"/>
      <c r="JJW169" s="135"/>
      <c r="JJX169" s="135"/>
      <c r="JJY169" s="135"/>
      <c r="JJZ169" s="135"/>
      <c r="JKA169" s="173"/>
      <c r="JKB169" s="173"/>
      <c r="JKC169" s="173"/>
      <c r="JKD169" s="173"/>
      <c r="JKE169" s="173"/>
      <c r="JKF169" s="173"/>
      <c r="JKG169" s="173"/>
      <c r="JKH169" s="173"/>
      <c r="JKI169" s="173"/>
      <c r="JKJ169" s="173"/>
      <c r="JKK169" s="125"/>
      <c r="JKL169" s="125"/>
      <c r="JKM169" s="134"/>
      <c r="JKN169" s="135"/>
      <c r="JKO169" s="135"/>
      <c r="JKP169" s="135"/>
      <c r="JKQ169" s="135"/>
      <c r="JKR169" s="173"/>
      <c r="JKS169" s="173"/>
      <c r="JKT169" s="173"/>
      <c r="JKU169" s="173"/>
      <c r="JKV169" s="173"/>
      <c r="JKW169" s="173"/>
      <c r="JKX169" s="173"/>
      <c r="JKY169" s="173"/>
      <c r="JKZ169" s="173"/>
      <c r="JLA169" s="173"/>
      <c r="JLB169" s="125"/>
      <c r="JLC169" s="125"/>
      <c r="JLD169" s="134"/>
      <c r="JLE169" s="135"/>
      <c r="JLF169" s="135"/>
      <c r="JLG169" s="135"/>
      <c r="JLH169" s="135"/>
      <c r="JLI169" s="173"/>
      <c r="JLJ169" s="173"/>
      <c r="JLK169" s="173"/>
      <c r="JLL169" s="173"/>
      <c r="JLM169" s="173"/>
      <c r="JLN169" s="173"/>
      <c r="JLO169" s="173"/>
      <c r="JLP169" s="173"/>
      <c r="JLQ169" s="173"/>
      <c r="JLR169" s="173"/>
      <c r="JLS169" s="125"/>
      <c r="JLT169" s="125"/>
      <c r="JLU169" s="134"/>
      <c r="JLV169" s="135"/>
      <c r="JLW169" s="135"/>
      <c r="JLX169" s="135"/>
      <c r="JLY169" s="135"/>
      <c r="JLZ169" s="173"/>
      <c r="JMA169" s="173"/>
      <c r="JMB169" s="173"/>
      <c r="JMC169" s="173"/>
      <c r="JMD169" s="173"/>
      <c r="JME169" s="173"/>
      <c r="JMF169" s="173"/>
      <c r="JMG169" s="173"/>
      <c r="JMH169" s="173"/>
      <c r="JMI169" s="173"/>
      <c r="JMJ169" s="125"/>
      <c r="JMK169" s="125"/>
      <c r="JML169" s="134"/>
      <c r="JMM169" s="135"/>
      <c r="JMN169" s="135"/>
      <c r="JMO169" s="135"/>
      <c r="JMP169" s="135"/>
      <c r="JMQ169" s="173"/>
      <c r="JMR169" s="173"/>
      <c r="JMS169" s="173"/>
      <c r="JMT169" s="173"/>
      <c r="JMU169" s="173"/>
      <c r="JMV169" s="173"/>
      <c r="JMW169" s="173"/>
      <c r="JMX169" s="173"/>
      <c r="JMY169" s="173"/>
      <c r="JMZ169" s="173"/>
      <c r="JNA169" s="125"/>
      <c r="JNB169" s="125"/>
      <c r="JNC169" s="134"/>
      <c r="JND169" s="135"/>
      <c r="JNE169" s="135"/>
      <c r="JNF169" s="135"/>
      <c r="JNG169" s="135"/>
      <c r="JNH169" s="173"/>
      <c r="JNI169" s="173"/>
      <c r="JNJ169" s="173"/>
      <c r="JNK169" s="173"/>
      <c r="JNL169" s="173"/>
      <c r="JNM169" s="173"/>
      <c r="JNN169" s="173"/>
      <c r="JNO169" s="173"/>
      <c r="JNP169" s="173"/>
      <c r="JNQ169" s="173"/>
      <c r="JNR169" s="125"/>
      <c r="JNS169" s="125"/>
      <c r="JNT169" s="134"/>
      <c r="JNU169" s="135"/>
      <c r="JNV169" s="135"/>
      <c r="JNW169" s="135"/>
      <c r="JNX169" s="135"/>
      <c r="JNY169" s="173"/>
      <c r="JNZ169" s="173"/>
      <c r="JOA169" s="173"/>
      <c r="JOB169" s="173"/>
      <c r="JOC169" s="173"/>
      <c r="JOD169" s="173"/>
      <c r="JOE169" s="173"/>
      <c r="JOF169" s="173"/>
      <c r="JOG169" s="173"/>
      <c r="JOH169" s="173"/>
      <c r="JOI169" s="125"/>
      <c r="JOJ169" s="125"/>
      <c r="JOK169" s="134"/>
      <c r="JOL169" s="135"/>
      <c r="JOM169" s="135"/>
      <c r="JON169" s="135"/>
      <c r="JOO169" s="135"/>
      <c r="JOP169" s="173"/>
      <c r="JOQ169" s="173"/>
      <c r="JOR169" s="173"/>
      <c r="JOS169" s="173"/>
      <c r="JOT169" s="173"/>
      <c r="JOU169" s="173"/>
      <c r="JOV169" s="173"/>
      <c r="JOW169" s="173"/>
      <c r="JOX169" s="173"/>
      <c r="JOY169" s="173"/>
      <c r="JOZ169" s="125"/>
      <c r="JPA169" s="125"/>
      <c r="JPB169" s="134"/>
      <c r="JPC169" s="135"/>
      <c r="JPD169" s="135"/>
      <c r="JPE169" s="135"/>
      <c r="JPF169" s="135"/>
      <c r="JPG169" s="173"/>
      <c r="JPH169" s="173"/>
      <c r="JPI169" s="173"/>
      <c r="JPJ169" s="173"/>
      <c r="JPK169" s="173"/>
      <c r="JPL169" s="173"/>
      <c r="JPM169" s="173"/>
      <c r="JPN169" s="173"/>
      <c r="JPO169" s="173"/>
      <c r="JPP169" s="173"/>
      <c r="JPQ169" s="125"/>
      <c r="JPR169" s="125"/>
      <c r="JPS169" s="134"/>
      <c r="JPT169" s="135"/>
      <c r="JPU169" s="135"/>
      <c r="JPV169" s="135"/>
      <c r="JPW169" s="135"/>
      <c r="JPX169" s="173"/>
      <c r="JPY169" s="173"/>
      <c r="JPZ169" s="173"/>
      <c r="JQA169" s="173"/>
      <c r="JQB169" s="173"/>
      <c r="JQC169" s="173"/>
      <c r="JQD169" s="173"/>
      <c r="JQE169" s="173"/>
      <c r="JQF169" s="173"/>
      <c r="JQG169" s="173"/>
      <c r="JQH169" s="125"/>
      <c r="JQI169" s="125"/>
      <c r="JQJ169" s="134"/>
      <c r="JQK169" s="135"/>
      <c r="JQL169" s="135"/>
      <c r="JQM169" s="135"/>
      <c r="JQN169" s="135"/>
      <c r="JQO169" s="173"/>
      <c r="JQP169" s="173"/>
      <c r="JQQ169" s="173"/>
      <c r="JQR169" s="173"/>
      <c r="JQS169" s="173"/>
      <c r="JQT169" s="173"/>
      <c r="JQU169" s="173"/>
      <c r="JQV169" s="173"/>
      <c r="JQW169" s="173"/>
      <c r="JQX169" s="173"/>
      <c r="JQY169" s="125"/>
      <c r="JQZ169" s="125"/>
      <c r="JRA169" s="134"/>
      <c r="JRB169" s="135"/>
      <c r="JRC169" s="135"/>
      <c r="JRD169" s="135"/>
      <c r="JRE169" s="135"/>
      <c r="JRF169" s="173"/>
      <c r="JRG169" s="173"/>
      <c r="JRH169" s="173"/>
      <c r="JRI169" s="173"/>
      <c r="JRJ169" s="173"/>
      <c r="JRK169" s="173"/>
      <c r="JRL169" s="173"/>
      <c r="JRM169" s="173"/>
      <c r="JRN169" s="173"/>
      <c r="JRO169" s="173"/>
      <c r="JRP169" s="125"/>
      <c r="JRQ169" s="125"/>
      <c r="JRR169" s="134"/>
      <c r="JRS169" s="135"/>
      <c r="JRT169" s="135"/>
      <c r="JRU169" s="135"/>
      <c r="JRV169" s="135"/>
      <c r="JRW169" s="173"/>
      <c r="JRX169" s="173"/>
      <c r="JRY169" s="173"/>
      <c r="JRZ169" s="173"/>
      <c r="JSA169" s="173"/>
      <c r="JSB169" s="173"/>
      <c r="JSC169" s="173"/>
      <c r="JSD169" s="173"/>
      <c r="JSE169" s="173"/>
      <c r="JSF169" s="173"/>
      <c r="JSG169" s="125"/>
      <c r="JSH169" s="125"/>
      <c r="JSI169" s="134"/>
      <c r="JSJ169" s="135"/>
      <c r="JSK169" s="135"/>
      <c r="JSL169" s="135"/>
      <c r="JSM169" s="135"/>
      <c r="JSN169" s="173"/>
      <c r="JSO169" s="173"/>
      <c r="JSP169" s="173"/>
      <c r="JSQ169" s="173"/>
      <c r="JSR169" s="173"/>
      <c r="JSS169" s="173"/>
      <c r="JST169" s="173"/>
      <c r="JSU169" s="173"/>
      <c r="JSV169" s="173"/>
      <c r="JSW169" s="173"/>
      <c r="JSX169" s="125"/>
      <c r="JSY169" s="125"/>
      <c r="JSZ169" s="134"/>
      <c r="JTA169" s="135"/>
      <c r="JTB169" s="135"/>
      <c r="JTC169" s="135"/>
      <c r="JTD169" s="135"/>
      <c r="JTE169" s="173"/>
      <c r="JTF169" s="173"/>
      <c r="JTG169" s="173"/>
      <c r="JTH169" s="173"/>
      <c r="JTI169" s="173"/>
      <c r="JTJ169" s="173"/>
      <c r="JTK169" s="173"/>
      <c r="JTL169" s="173"/>
      <c r="JTM169" s="173"/>
      <c r="JTN169" s="173"/>
      <c r="JTO169" s="125"/>
      <c r="JTP169" s="125"/>
      <c r="JTQ169" s="134"/>
      <c r="JTR169" s="135"/>
      <c r="JTS169" s="135"/>
      <c r="JTT169" s="135"/>
      <c r="JTU169" s="135"/>
      <c r="JTV169" s="173"/>
      <c r="JTW169" s="173"/>
      <c r="JTX169" s="173"/>
      <c r="JTY169" s="173"/>
      <c r="JTZ169" s="173"/>
      <c r="JUA169" s="173"/>
      <c r="JUB169" s="173"/>
      <c r="JUC169" s="173"/>
      <c r="JUD169" s="173"/>
      <c r="JUE169" s="173"/>
      <c r="JUF169" s="125"/>
      <c r="JUG169" s="125"/>
      <c r="JUH169" s="134"/>
      <c r="JUI169" s="135"/>
      <c r="JUJ169" s="135"/>
      <c r="JUK169" s="135"/>
      <c r="JUL169" s="135"/>
      <c r="JUM169" s="173"/>
      <c r="JUN169" s="173"/>
      <c r="JUO169" s="173"/>
      <c r="JUP169" s="173"/>
      <c r="JUQ169" s="173"/>
      <c r="JUR169" s="173"/>
      <c r="JUS169" s="173"/>
      <c r="JUT169" s="173"/>
      <c r="JUU169" s="173"/>
      <c r="JUV169" s="173"/>
      <c r="JUW169" s="125"/>
      <c r="JUX169" s="125"/>
      <c r="JUY169" s="134"/>
      <c r="JUZ169" s="135"/>
      <c r="JVA169" s="135"/>
      <c r="JVB169" s="135"/>
      <c r="JVC169" s="135"/>
      <c r="JVD169" s="173"/>
      <c r="JVE169" s="173"/>
      <c r="JVF169" s="173"/>
      <c r="JVG169" s="173"/>
      <c r="JVH169" s="173"/>
      <c r="JVI169" s="173"/>
      <c r="JVJ169" s="173"/>
      <c r="JVK169" s="173"/>
      <c r="JVL169" s="173"/>
      <c r="JVM169" s="173"/>
      <c r="JVN169" s="125"/>
      <c r="JVO169" s="125"/>
      <c r="JVP169" s="134"/>
      <c r="JVQ169" s="135"/>
      <c r="JVR169" s="135"/>
      <c r="JVS169" s="135"/>
      <c r="JVT169" s="135"/>
      <c r="JVU169" s="173"/>
      <c r="JVV169" s="173"/>
      <c r="JVW169" s="173"/>
      <c r="JVX169" s="173"/>
      <c r="JVY169" s="173"/>
      <c r="JVZ169" s="173"/>
      <c r="JWA169" s="173"/>
      <c r="JWB169" s="173"/>
      <c r="JWC169" s="173"/>
      <c r="JWD169" s="173"/>
      <c r="JWE169" s="125"/>
      <c r="JWF169" s="125"/>
      <c r="JWG169" s="134"/>
      <c r="JWH169" s="135"/>
      <c r="JWI169" s="135"/>
      <c r="JWJ169" s="135"/>
      <c r="JWK169" s="135"/>
      <c r="JWL169" s="173"/>
      <c r="JWM169" s="173"/>
      <c r="JWN169" s="173"/>
      <c r="JWO169" s="173"/>
      <c r="JWP169" s="173"/>
      <c r="JWQ169" s="173"/>
      <c r="JWR169" s="173"/>
      <c r="JWS169" s="173"/>
      <c r="JWT169" s="173"/>
      <c r="JWU169" s="173"/>
      <c r="JWV169" s="125"/>
      <c r="JWW169" s="125"/>
      <c r="JWX169" s="134"/>
      <c r="JWY169" s="135"/>
      <c r="JWZ169" s="135"/>
      <c r="JXA169" s="135"/>
      <c r="JXB169" s="135"/>
      <c r="JXC169" s="173"/>
      <c r="JXD169" s="173"/>
      <c r="JXE169" s="173"/>
      <c r="JXF169" s="173"/>
      <c r="JXG169" s="173"/>
      <c r="JXH169" s="173"/>
      <c r="JXI169" s="173"/>
      <c r="JXJ169" s="173"/>
      <c r="JXK169" s="173"/>
      <c r="JXL169" s="173"/>
      <c r="JXM169" s="125"/>
      <c r="JXN169" s="125"/>
      <c r="JXO169" s="134"/>
      <c r="JXP169" s="135"/>
      <c r="JXQ169" s="135"/>
      <c r="JXR169" s="135"/>
      <c r="JXS169" s="135"/>
      <c r="JXT169" s="173"/>
      <c r="JXU169" s="173"/>
      <c r="JXV169" s="173"/>
      <c r="JXW169" s="173"/>
      <c r="JXX169" s="173"/>
      <c r="JXY169" s="173"/>
      <c r="JXZ169" s="173"/>
      <c r="JYA169" s="173"/>
      <c r="JYB169" s="173"/>
      <c r="JYC169" s="173"/>
      <c r="JYD169" s="125"/>
      <c r="JYE169" s="125"/>
      <c r="JYF169" s="134"/>
      <c r="JYG169" s="135"/>
      <c r="JYH169" s="135"/>
      <c r="JYI169" s="135"/>
      <c r="JYJ169" s="135"/>
      <c r="JYK169" s="173"/>
      <c r="JYL169" s="173"/>
      <c r="JYM169" s="173"/>
      <c r="JYN169" s="173"/>
      <c r="JYO169" s="173"/>
      <c r="JYP169" s="173"/>
      <c r="JYQ169" s="173"/>
      <c r="JYR169" s="173"/>
      <c r="JYS169" s="173"/>
      <c r="JYT169" s="173"/>
      <c r="JYU169" s="125"/>
      <c r="JYV169" s="125"/>
      <c r="JYW169" s="134"/>
      <c r="JYX169" s="135"/>
      <c r="JYY169" s="135"/>
      <c r="JYZ169" s="135"/>
      <c r="JZA169" s="135"/>
      <c r="JZB169" s="173"/>
      <c r="JZC169" s="173"/>
      <c r="JZD169" s="173"/>
      <c r="JZE169" s="173"/>
      <c r="JZF169" s="173"/>
      <c r="JZG169" s="173"/>
      <c r="JZH169" s="173"/>
      <c r="JZI169" s="173"/>
      <c r="JZJ169" s="173"/>
      <c r="JZK169" s="173"/>
      <c r="JZL169" s="125"/>
      <c r="JZM169" s="125"/>
      <c r="JZN169" s="134"/>
      <c r="JZO169" s="135"/>
      <c r="JZP169" s="135"/>
      <c r="JZQ169" s="135"/>
      <c r="JZR169" s="135"/>
      <c r="JZS169" s="173"/>
      <c r="JZT169" s="173"/>
      <c r="JZU169" s="173"/>
      <c r="JZV169" s="173"/>
      <c r="JZW169" s="173"/>
      <c r="JZX169" s="173"/>
      <c r="JZY169" s="173"/>
      <c r="JZZ169" s="173"/>
      <c r="KAA169" s="173"/>
      <c r="KAB169" s="173"/>
      <c r="KAC169" s="125"/>
      <c r="KAD169" s="125"/>
      <c r="KAE169" s="134"/>
      <c r="KAF169" s="135"/>
      <c r="KAG169" s="135"/>
      <c r="KAH169" s="135"/>
      <c r="KAI169" s="135"/>
      <c r="KAJ169" s="173"/>
      <c r="KAK169" s="173"/>
      <c r="KAL169" s="173"/>
      <c r="KAM169" s="173"/>
      <c r="KAN169" s="173"/>
      <c r="KAO169" s="173"/>
      <c r="KAP169" s="173"/>
      <c r="KAQ169" s="173"/>
      <c r="KAR169" s="173"/>
      <c r="KAS169" s="173"/>
      <c r="KAT169" s="125"/>
      <c r="KAU169" s="125"/>
      <c r="KAV169" s="134"/>
      <c r="KAW169" s="135"/>
      <c r="KAX169" s="135"/>
      <c r="KAY169" s="135"/>
      <c r="KAZ169" s="135"/>
      <c r="KBA169" s="173"/>
      <c r="KBB169" s="173"/>
      <c r="KBC169" s="173"/>
      <c r="KBD169" s="173"/>
      <c r="KBE169" s="173"/>
      <c r="KBF169" s="173"/>
      <c r="KBG169" s="173"/>
      <c r="KBH169" s="173"/>
      <c r="KBI169" s="173"/>
      <c r="KBJ169" s="173"/>
      <c r="KBK169" s="125"/>
      <c r="KBL169" s="125"/>
      <c r="KBM169" s="134"/>
      <c r="KBN169" s="135"/>
      <c r="KBO169" s="135"/>
      <c r="KBP169" s="135"/>
      <c r="KBQ169" s="135"/>
      <c r="KBR169" s="173"/>
      <c r="KBS169" s="173"/>
      <c r="KBT169" s="173"/>
      <c r="KBU169" s="173"/>
      <c r="KBV169" s="173"/>
      <c r="KBW169" s="173"/>
      <c r="KBX169" s="173"/>
      <c r="KBY169" s="173"/>
      <c r="KBZ169" s="173"/>
      <c r="KCA169" s="173"/>
      <c r="KCB169" s="125"/>
      <c r="KCC169" s="125"/>
      <c r="KCD169" s="134"/>
      <c r="KCE169" s="135"/>
      <c r="KCF169" s="135"/>
      <c r="KCG169" s="135"/>
      <c r="KCH169" s="135"/>
      <c r="KCI169" s="173"/>
      <c r="KCJ169" s="173"/>
      <c r="KCK169" s="173"/>
      <c r="KCL169" s="173"/>
      <c r="KCM169" s="173"/>
      <c r="KCN169" s="173"/>
      <c r="KCO169" s="173"/>
      <c r="KCP169" s="173"/>
      <c r="KCQ169" s="173"/>
      <c r="KCR169" s="173"/>
      <c r="KCS169" s="125"/>
      <c r="KCT169" s="125"/>
      <c r="KCU169" s="134"/>
      <c r="KCV169" s="135"/>
      <c r="KCW169" s="135"/>
      <c r="KCX169" s="135"/>
      <c r="KCY169" s="135"/>
      <c r="KCZ169" s="173"/>
      <c r="KDA169" s="173"/>
      <c r="KDB169" s="173"/>
      <c r="KDC169" s="173"/>
      <c r="KDD169" s="173"/>
      <c r="KDE169" s="173"/>
      <c r="KDF169" s="173"/>
      <c r="KDG169" s="173"/>
      <c r="KDH169" s="173"/>
      <c r="KDI169" s="173"/>
      <c r="KDJ169" s="125"/>
      <c r="KDK169" s="125"/>
      <c r="KDL169" s="134"/>
      <c r="KDM169" s="135"/>
      <c r="KDN169" s="135"/>
      <c r="KDO169" s="135"/>
      <c r="KDP169" s="135"/>
      <c r="KDQ169" s="173"/>
      <c r="KDR169" s="173"/>
      <c r="KDS169" s="173"/>
      <c r="KDT169" s="173"/>
      <c r="KDU169" s="173"/>
      <c r="KDV169" s="173"/>
      <c r="KDW169" s="173"/>
      <c r="KDX169" s="173"/>
      <c r="KDY169" s="173"/>
      <c r="KDZ169" s="173"/>
      <c r="KEA169" s="125"/>
      <c r="KEB169" s="125"/>
      <c r="KEC169" s="134"/>
      <c r="KED169" s="135"/>
      <c r="KEE169" s="135"/>
      <c r="KEF169" s="135"/>
      <c r="KEG169" s="135"/>
      <c r="KEH169" s="173"/>
      <c r="KEI169" s="173"/>
      <c r="KEJ169" s="173"/>
      <c r="KEK169" s="173"/>
      <c r="KEL169" s="173"/>
      <c r="KEM169" s="173"/>
      <c r="KEN169" s="173"/>
      <c r="KEO169" s="173"/>
      <c r="KEP169" s="173"/>
      <c r="KEQ169" s="173"/>
      <c r="KER169" s="125"/>
      <c r="KES169" s="125"/>
      <c r="KET169" s="134"/>
      <c r="KEU169" s="135"/>
      <c r="KEV169" s="135"/>
      <c r="KEW169" s="135"/>
      <c r="KEX169" s="135"/>
      <c r="KEY169" s="173"/>
      <c r="KEZ169" s="173"/>
      <c r="KFA169" s="173"/>
      <c r="KFB169" s="173"/>
      <c r="KFC169" s="173"/>
      <c r="KFD169" s="173"/>
      <c r="KFE169" s="173"/>
      <c r="KFF169" s="173"/>
      <c r="KFG169" s="173"/>
      <c r="KFH169" s="173"/>
      <c r="KFI169" s="125"/>
      <c r="KFJ169" s="125"/>
      <c r="KFK169" s="134"/>
      <c r="KFL169" s="135"/>
      <c r="KFM169" s="135"/>
      <c r="KFN169" s="135"/>
      <c r="KFO169" s="135"/>
      <c r="KFP169" s="173"/>
      <c r="KFQ169" s="173"/>
      <c r="KFR169" s="173"/>
      <c r="KFS169" s="173"/>
      <c r="KFT169" s="173"/>
      <c r="KFU169" s="173"/>
      <c r="KFV169" s="173"/>
      <c r="KFW169" s="173"/>
      <c r="KFX169" s="173"/>
      <c r="KFY169" s="173"/>
      <c r="KFZ169" s="125"/>
      <c r="KGA169" s="125"/>
      <c r="KGB169" s="134"/>
      <c r="KGC169" s="135"/>
      <c r="KGD169" s="135"/>
      <c r="KGE169" s="135"/>
      <c r="KGF169" s="135"/>
      <c r="KGG169" s="173"/>
      <c r="KGH169" s="173"/>
      <c r="KGI169" s="173"/>
      <c r="KGJ169" s="173"/>
      <c r="KGK169" s="173"/>
      <c r="KGL169" s="173"/>
      <c r="KGM169" s="173"/>
      <c r="KGN169" s="173"/>
      <c r="KGO169" s="173"/>
      <c r="KGP169" s="173"/>
      <c r="KGQ169" s="125"/>
      <c r="KGR169" s="125"/>
      <c r="KGS169" s="134"/>
      <c r="KGT169" s="135"/>
      <c r="KGU169" s="135"/>
      <c r="KGV169" s="135"/>
      <c r="KGW169" s="135"/>
      <c r="KGX169" s="173"/>
      <c r="KGY169" s="173"/>
      <c r="KGZ169" s="173"/>
      <c r="KHA169" s="173"/>
      <c r="KHB169" s="173"/>
      <c r="KHC169" s="173"/>
      <c r="KHD169" s="173"/>
      <c r="KHE169" s="173"/>
      <c r="KHF169" s="173"/>
      <c r="KHG169" s="173"/>
      <c r="KHH169" s="125"/>
      <c r="KHI169" s="125"/>
      <c r="KHJ169" s="134"/>
      <c r="KHK169" s="135"/>
      <c r="KHL169" s="135"/>
      <c r="KHM169" s="135"/>
      <c r="KHN169" s="135"/>
      <c r="KHO169" s="173"/>
      <c r="KHP169" s="173"/>
      <c r="KHQ169" s="173"/>
      <c r="KHR169" s="173"/>
      <c r="KHS169" s="173"/>
      <c r="KHT169" s="173"/>
      <c r="KHU169" s="173"/>
      <c r="KHV169" s="173"/>
      <c r="KHW169" s="173"/>
      <c r="KHX169" s="173"/>
      <c r="KHY169" s="125"/>
      <c r="KHZ169" s="125"/>
      <c r="KIA169" s="134"/>
      <c r="KIB169" s="135"/>
      <c r="KIC169" s="135"/>
      <c r="KID169" s="135"/>
      <c r="KIE169" s="135"/>
      <c r="KIF169" s="173"/>
      <c r="KIG169" s="173"/>
      <c r="KIH169" s="173"/>
      <c r="KII169" s="173"/>
      <c r="KIJ169" s="173"/>
      <c r="KIK169" s="173"/>
      <c r="KIL169" s="173"/>
      <c r="KIM169" s="173"/>
      <c r="KIN169" s="173"/>
      <c r="KIO169" s="173"/>
      <c r="KIP169" s="125"/>
      <c r="KIQ169" s="125"/>
      <c r="KIR169" s="134"/>
      <c r="KIS169" s="135"/>
      <c r="KIT169" s="135"/>
      <c r="KIU169" s="135"/>
      <c r="KIV169" s="135"/>
      <c r="KIW169" s="173"/>
      <c r="KIX169" s="173"/>
      <c r="KIY169" s="173"/>
      <c r="KIZ169" s="173"/>
      <c r="KJA169" s="173"/>
      <c r="KJB169" s="173"/>
      <c r="KJC169" s="173"/>
      <c r="KJD169" s="173"/>
      <c r="KJE169" s="173"/>
      <c r="KJF169" s="173"/>
      <c r="KJG169" s="125"/>
      <c r="KJH169" s="125"/>
      <c r="KJI169" s="134"/>
      <c r="KJJ169" s="135"/>
      <c r="KJK169" s="135"/>
      <c r="KJL169" s="135"/>
      <c r="KJM169" s="135"/>
      <c r="KJN169" s="173"/>
      <c r="KJO169" s="173"/>
      <c r="KJP169" s="173"/>
      <c r="KJQ169" s="173"/>
      <c r="KJR169" s="173"/>
      <c r="KJS169" s="173"/>
      <c r="KJT169" s="173"/>
      <c r="KJU169" s="173"/>
      <c r="KJV169" s="173"/>
      <c r="KJW169" s="173"/>
      <c r="KJX169" s="125"/>
      <c r="KJY169" s="125"/>
      <c r="KJZ169" s="134"/>
      <c r="KKA169" s="135"/>
      <c r="KKB169" s="135"/>
      <c r="KKC169" s="135"/>
      <c r="KKD169" s="135"/>
      <c r="KKE169" s="173"/>
      <c r="KKF169" s="173"/>
      <c r="KKG169" s="173"/>
      <c r="KKH169" s="173"/>
      <c r="KKI169" s="173"/>
      <c r="KKJ169" s="173"/>
      <c r="KKK169" s="173"/>
      <c r="KKL169" s="173"/>
      <c r="KKM169" s="173"/>
      <c r="KKN169" s="173"/>
      <c r="KKO169" s="125"/>
      <c r="KKP169" s="125"/>
      <c r="KKQ169" s="134"/>
      <c r="KKR169" s="135"/>
      <c r="KKS169" s="135"/>
      <c r="KKT169" s="135"/>
      <c r="KKU169" s="135"/>
      <c r="KKV169" s="173"/>
      <c r="KKW169" s="173"/>
      <c r="KKX169" s="173"/>
      <c r="KKY169" s="173"/>
      <c r="KKZ169" s="173"/>
      <c r="KLA169" s="173"/>
      <c r="KLB169" s="173"/>
      <c r="KLC169" s="173"/>
      <c r="KLD169" s="173"/>
      <c r="KLE169" s="173"/>
      <c r="KLF169" s="125"/>
      <c r="KLG169" s="125"/>
      <c r="KLH169" s="134"/>
      <c r="KLI169" s="135"/>
      <c r="KLJ169" s="135"/>
      <c r="KLK169" s="135"/>
      <c r="KLL169" s="135"/>
      <c r="KLM169" s="173"/>
      <c r="KLN169" s="173"/>
      <c r="KLO169" s="173"/>
      <c r="KLP169" s="173"/>
      <c r="KLQ169" s="173"/>
      <c r="KLR169" s="173"/>
      <c r="KLS169" s="173"/>
      <c r="KLT169" s="173"/>
      <c r="KLU169" s="173"/>
      <c r="KLV169" s="173"/>
      <c r="KLW169" s="125"/>
      <c r="KLX169" s="125"/>
      <c r="KLY169" s="134"/>
      <c r="KLZ169" s="135"/>
      <c r="KMA169" s="135"/>
      <c r="KMB169" s="135"/>
      <c r="KMC169" s="135"/>
      <c r="KMD169" s="173"/>
      <c r="KME169" s="173"/>
      <c r="KMF169" s="173"/>
      <c r="KMG169" s="173"/>
      <c r="KMH169" s="173"/>
      <c r="KMI169" s="173"/>
      <c r="KMJ169" s="173"/>
      <c r="KMK169" s="173"/>
      <c r="KML169" s="173"/>
      <c r="KMM169" s="173"/>
      <c r="KMN169" s="125"/>
      <c r="KMO169" s="125"/>
      <c r="KMP169" s="134"/>
      <c r="KMQ169" s="135"/>
      <c r="KMR169" s="135"/>
      <c r="KMS169" s="135"/>
      <c r="KMT169" s="135"/>
      <c r="KMU169" s="173"/>
      <c r="KMV169" s="173"/>
      <c r="KMW169" s="173"/>
      <c r="KMX169" s="173"/>
      <c r="KMY169" s="173"/>
      <c r="KMZ169" s="173"/>
      <c r="KNA169" s="173"/>
      <c r="KNB169" s="173"/>
      <c r="KNC169" s="173"/>
      <c r="KND169" s="173"/>
      <c r="KNE169" s="125"/>
      <c r="KNF169" s="125"/>
      <c r="KNG169" s="134"/>
      <c r="KNH169" s="135"/>
      <c r="KNI169" s="135"/>
      <c r="KNJ169" s="135"/>
      <c r="KNK169" s="135"/>
      <c r="KNL169" s="173"/>
      <c r="KNM169" s="173"/>
      <c r="KNN169" s="173"/>
      <c r="KNO169" s="173"/>
      <c r="KNP169" s="173"/>
      <c r="KNQ169" s="173"/>
      <c r="KNR169" s="173"/>
      <c r="KNS169" s="173"/>
      <c r="KNT169" s="173"/>
      <c r="KNU169" s="173"/>
      <c r="KNV169" s="125"/>
      <c r="KNW169" s="125"/>
      <c r="KNX169" s="134"/>
      <c r="KNY169" s="135"/>
      <c r="KNZ169" s="135"/>
      <c r="KOA169" s="135"/>
      <c r="KOB169" s="135"/>
      <c r="KOC169" s="173"/>
      <c r="KOD169" s="173"/>
      <c r="KOE169" s="173"/>
      <c r="KOF169" s="173"/>
      <c r="KOG169" s="173"/>
      <c r="KOH169" s="173"/>
      <c r="KOI169" s="173"/>
      <c r="KOJ169" s="173"/>
      <c r="KOK169" s="173"/>
      <c r="KOL169" s="173"/>
      <c r="KOM169" s="125"/>
      <c r="KON169" s="125"/>
      <c r="KOO169" s="134"/>
      <c r="KOP169" s="135"/>
      <c r="KOQ169" s="135"/>
      <c r="KOR169" s="135"/>
      <c r="KOS169" s="135"/>
      <c r="KOT169" s="173"/>
      <c r="KOU169" s="173"/>
      <c r="KOV169" s="173"/>
      <c r="KOW169" s="173"/>
      <c r="KOX169" s="173"/>
      <c r="KOY169" s="173"/>
      <c r="KOZ169" s="173"/>
      <c r="KPA169" s="173"/>
      <c r="KPB169" s="173"/>
      <c r="KPC169" s="173"/>
      <c r="KPD169" s="125"/>
      <c r="KPE169" s="125"/>
      <c r="KPF169" s="134"/>
      <c r="KPG169" s="135"/>
      <c r="KPH169" s="135"/>
      <c r="KPI169" s="135"/>
      <c r="KPJ169" s="135"/>
      <c r="KPK169" s="173"/>
      <c r="KPL169" s="173"/>
      <c r="KPM169" s="173"/>
      <c r="KPN169" s="173"/>
      <c r="KPO169" s="173"/>
      <c r="KPP169" s="173"/>
      <c r="KPQ169" s="173"/>
      <c r="KPR169" s="173"/>
      <c r="KPS169" s="173"/>
      <c r="KPT169" s="173"/>
      <c r="KPU169" s="125"/>
      <c r="KPV169" s="125"/>
      <c r="KPW169" s="134"/>
      <c r="KPX169" s="135"/>
      <c r="KPY169" s="135"/>
      <c r="KPZ169" s="135"/>
      <c r="KQA169" s="135"/>
      <c r="KQB169" s="173"/>
      <c r="KQC169" s="173"/>
      <c r="KQD169" s="173"/>
      <c r="KQE169" s="173"/>
      <c r="KQF169" s="173"/>
      <c r="KQG169" s="173"/>
      <c r="KQH169" s="173"/>
      <c r="KQI169" s="173"/>
      <c r="KQJ169" s="173"/>
      <c r="KQK169" s="173"/>
      <c r="KQL169" s="125"/>
      <c r="KQM169" s="125"/>
      <c r="KQN169" s="134"/>
      <c r="KQO169" s="135"/>
      <c r="KQP169" s="135"/>
      <c r="KQQ169" s="135"/>
      <c r="KQR169" s="135"/>
      <c r="KQS169" s="173"/>
      <c r="KQT169" s="173"/>
      <c r="KQU169" s="173"/>
      <c r="KQV169" s="173"/>
      <c r="KQW169" s="173"/>
      <c r="KQX169" s="173"/>
      <c r="KQY169" s="173"/>
      <c r="KQZ169" s="173"/>
      <c r="KRA169" s="173"/>
      <c r="KRB169" s="173"/>
      <c r="KRC169" s="125"/>
      <c r="KRD169" s="125"/>
      <c r="KRE169" s="134"/>
      <c r="KRF169" s="135"/>
      <c r="KRG169" s="135"/>
      <c r="KRH169" s="135"/>
      <c r="KRI169" s="135"/>
      <c r="KRJ169" s="173"/>
      <c r="KRK169" s="173"/>
      <c r="KRL169" s="173"/>
      <c r="KRM169" s="173"/>
      <c r="KRN169" s="173"/>
      <c r="KRO169" s="173"/>
      <c r="KRP169" s="173"/>
      <c r="KRQ169" s="173"/>
      <c r="KRR169" s="173"/>
      <c r="KRS169" s="173"/>
      <c r="KRT169" s="125"/>
      <c r="KRU169" s="125"/>
      <c r="KRV169" s="134"/>
      <c r="KRW169" s="135"/>
      <c r="KRX169" s="135"/>
      <c r="KRY169" s="135"/>
      <c r="KRZ169" s="135"/>
      <c r="KSA169" s="173"/>
      <c r="KSB169" s="173"/>
      <c r="KSC169" s="173"/>
      <c r="KSD169" s="173"/>
      <c r="KSE169" s="173"/>
      <c r="KSF169" s="173"/>
      <c r="KSG169" s="173"/>
      <c r="KSH169" s="173"/>
      <c r="KSI169" s="173"/>
      <c r="KSJ169" s="173"/>
      <c r="KSK169" s="125"/>
      <c r="KSL169" s="125"/>
      <c r="KSM169" s="134"/>
      <c r="KSN169" s="135"/>
      <c r="KSO169" s="135"/>
      <c r="KSP169" s="135"/>
      <c r="KSQ169" s="135"/>
      <c r="KSR169" s="173"/>
      <c r="KSS169" s="173"/>
      <c r="KST169" s="173"/>
      <c r="KSU169" s="173"/>
      <c r="KSV169" s="173"/>
      <c r="KSW169" s="173"/>
      <c r="KSX169" s="173"/>
      <c r="KSY169" s="173"/>
      <c r="KSZ169" s="173"/>
      <c r="KTA169" s="173"/>
      <c r="KTB169" s="125"/>
      <c r="KTC169" s="125"/>
      <c r="KTD169" s="134"/>
      <c r="KTE169" s="135"/>
      <c r="KTF169" s="135"/>
      <c r="KTG169" s="135"/>
      <c r="KTH169" s="135"/>
      <c r="KTI169" s="173"/>
      <c r="KTJ169" s="173"/>
      <c r="KTK169" s="173"/>
      <c r="KTL169" s="173"/>
      <c r="KTM169" s="173"/>
      <c r="KTN169" s="173"/>
      <c r="KTO169" s="173"/>
      <c r="KTP169" s="173"/>
      <c r="KTQ169" s="173"/>
      <c r="KTR169" s="173"/>
      <c r="KTS169" s="125"/>
      <c r="KTT169" s="125"/>
      <c r="KTU169" s="134"/>
      <c r="KTV169" s="135"/>
      <c r="KTW169" s="135"/>
      <c r="KTX169" s="135"/>
      <c r="KTY169" s="135"/>
      <c r="KTZ169" s="173"/>
      <c r="KUA169" s="173"/>
      <c r="KUB169" s="173"/>
      <c r="KUC169" s="173"/>
      <c r="KUD169" s="173"/>
      <c r="KUE169" s="173"/>
      <c r="KUF169" s="173"/>
      <c r="KUG169" s="173"/>
      <c r="KUH169" s="173"/>
      <c r="KUI169" s="173"/>
      <c r="KUJ169" s="125"/>
      <c r="KUK169" s="125"/>
      <c r="KUL169" s="134"/>
      <c r="KUM169" s="135"/>
      <c r="KUN169" s="135"/>
      <c r="KUO169" s="135"/>
      <c r="KUP169" s="135"/>
      <c r="KUQ169" s="173"/>
      <c r="KUR169" s="173"/>
      <c r="KUS169" s="173"/>
      <c r="KUT169" s="173"/>
      <c r="KUU169" s="173"/>
      <c r="KUV169" s="173"/>
      <c r="KUW169" s="173"/>
      <c r="KUX169" s="173"/>
      <c r="KUY169" s="173"/>
      <c r="KUZ169" s="173"/>
      <c r="KVA169" s="125"/>
      <c r="KVB169" s="125"/>
      <c r="KVC169" s="134"/>
      <c r="KVD169" s="135"/>
      <c r="KVE169" s="135"/>
      <c r="KVF169" s="135"/>
      <c r="KVG169" s="135"/>
      <c r="KVH169" s="173"/>
      <c r="KVI169" s="173"/>
      <c r="KVJ169" s="173"/>
      <c r="KVK169" s="173"/>
      <c r="KVL169" s="173"/>
      <c r="KVM169" s="173"/>
      <c r="KVN169" s="173"/>
      <c r="KVO169" s="173"/>
      <c r="KVP169" s="173"/>
      <c r="KVQ169" s="173"/>
      <c r="KVR169" s="125"/>
      <c r="KVS169" s="125"/>
      <c r="KVT169" s="134"/>
      <c r="KVU169" s="135"/>
      <c r="KVV169" s="135"/>
      <c r="KVW169" s="135"/>
      <c r="KVX169" s="135"/>
      <c r="KVY169" s="173"/>
      <c r="KVZ169" s="173"/>
      <c r="KWA169" s="173"/>
      <c r="KWB169" s="173"/>
      <c r="KWC169" s="173"/>
      <c r="KWD169" s="173"/>
      <c r="KWE169" s="173"/>
      <c r="KWF169" s="173"/>
      <c r="KWG169" s="173"/>
      <c r="KWH169" s="173"/>
      <c r="KWI169" s="125"/>
      <c r="KWJ169" s="125"/>
      <c r="KWK169" s="134"/>
      <c r="KWL169" s="135"/>
      <c r="KWM169" s="135"/>
      <c r="KWN169" s="135"/>
      <c r="KWO169" s="135"/>
      <c r="KWP169" s="173"/>
      <c r="KWQ169" s="173"/>
      <c r="KWR169" s="173"/>
      <c r="KWS169" s="173"/>
      <c r="KWT169" s="173"/>
      <c r="KWU169" s="173"/>
      <c r="KWV169" s="173"/>
      <c r="KWW169" s="173"/>
      <c r="KWX169" s="173"/>
      <c r="KWY169" s="173"/>
      <c r="KWZ169" s="125"/>
      <c r="KXA169" s="125"/>
      <c r="KXB169" s="134"/>
      <c r="KXC169" s="135"/>
      <c r="KXD169" s="135"/>
      <c r="KXE169" s="135"/>
      <c r="KXF169" s="135"/>
      <c r="KXG169" s="173"/>
      <c r="KXH169" s="173"/>
      <c r="KXI169" s="173"/>
      <c r="KXJ169" s="173"/>
      <c r="KXK169" s="173"/>
      <c r="KXL169" s="173"/>
      <c r="KXM169" s="173"/>
      <c r="KXN169" s="173"/>
      <c r="KXO169" s="173"/>
      <c r="KXP169" s="173"/>
      <c r="KXQ169" s="125"/>
      <c r="KXR169" s="125"/>
      <c r="KXS169" s="134"/>
      <c r="KXT169" s="135"/>
      <c r="KXU169" s="135"/>
      <c r="KXV169" s="135"/>
      <c r="KXW169" s="135"/>
      <c r="KXX169" s="173"/>
      <c r="KXY169" s="173"/>
      <c r="KXZ169" s="173"/>
      <c r="KYA169" s="173"/>
      <c r="KYB169" s="173"/>
      <c r="KYC169" s="173"/>
      <c r="KYD169" s="173"/>
      <c r="KYE169" s="173"/>
      <c r="KYF169" s="173"/>
      <c r="KYG169" s="173"/>
      <c r="KYH169" s="125"/>
      <c r="KYI169" s="125"/>
      <c r="KYJ169" s="134"/>
      <c r="KYK169" s="135"/>
      <c r="KYL169" s="135"/>
      <c r="KYM169" s="135"/>
      <c r="KYN169" s="135"/>
      <c r="KYO169" s="173"/>
      <c r="KYP169" s="173"/>
      <c r="KYQ169" s="173"/>
      <c r="KYR169" s="173"/>
      <c r="KYS169" s="173"/>
      <c r="KYT169" s="173"/>
      <c r="KYU169" s="173"/>
      <c r="KYV169" s="173"/>
      <c r="KYW169" s="173"/>
      <c r="KYX169" s="173"/>
      <c r="KYY169" s="125"/>
      <c r="KYZ169" s="125"/>
      <c r="KZA169" s="134"/>
      <c r="KZB169" s="135"/>
      <c r="KZC169" s="135"/>
      <c r="KZD169" s="135"/>
      <c r="KZE169" s="135"/>
      <c r="KZF169" s="173"/>
      <c r="KZG169" s="173"/>
      <c r="KZH169" s="173"/>
      <c r="KZI169" s="173"/>
      <c r="KZJ169" s="173"/>
      <c r="KZK169" s="173"/>
      <c r="KZL169" s="173"/>
      <c r="KZM169" s="173"/>
      <c r="KZN169" s="173"/>
      <c r="KZO169" s="173"/>
      <c r="KZP169" s="125"/>
      <c r="KZQ169" s="125"/>
      <c r="KZR169" s="134"/>
      <c r="KZS169" s="135"/>
      <c r="KZT169" s="135"/>
      <c r="KZU169" s="135"/>
      <c r="KZV169" s="135"/>
      <c r="KZW169" s="173"/>
      <c r="KZX169" s="173"/>
      <c r="KZY169" s="173"/>
      <c r="KZZ169" s="173"/>
      <c r="LAA169" s="173"/>
      <c r="LAB169" s="173"/>
      <c r="LAC169" s="173"/>
      <c r="LAD169" s="173"/>
      <c r="LAE169" s="173"/>
      <c r="LAF169" s="173"/>
      <c r="LAG169" s="125"/>
      <c r="LAH169" s="125"/>
      <c r="LAI169" s="134"/>
      <c r="LAJ169" s="135"/>
      <c r="LAK169" s="135"/>
      <c r="LAL169" s="135"/>
      <c r="LAM169" s="135"/>
      <c r="LAN169" s="173"/>
      <c r="LAO169" s="173"/>
      <c r="LAP169" s="173"/>
      <c r="LAQ169" s="173"/>
      <c r="LAR169" s="173"/>
      <c r="LAS169" s="173"/>
      <c r="LAT169" s="173"/>
      <c r="LAU169" s="173"/>
      <c r="LAV169" s="173"/>
      <c r="LAW169" s="173"/>
      <c r="LAX169" s="125"/>
      <c r="LAY169" s="125"/>
      <c r="LAZ169" s="134"/>
      <c r="LBA169" s="135"/>
      <c r="LBB169" s="135"/>
      <c r="LBC169" s="135"/>
      <c r="LBD169" s="135"/>
      <c r="LBE169" s="173"/>
      <c r="LBF169" s="173"/>
      <c r="LBG169" s="173"/>
      <c r="LBH169" s="173"/>
      <c r="LBI169" s="173"/>
      <c r="LBJ169" s="173"/>
      <c r="LBK169" s="173"/>
      <c r="LBL169" s="173"/>
      <c r="LBM169" s="173"/>
      <c r="LBN169" s="173"/>
      <c r="LBO169" s="125"/>
      <c r="LBP169" s="125"/>
      <c r="LBQ169" s="134"/>
      <c r="LBR169" s="135"/>
      <c r="LBS169" s="135"/>
      <c r="LBT169" s="135"/>
      <c r="LBU169" s="135"/>
      <c r="LBV169" s="173"/>
      <c r="LBW169" s="173"/>
      <c r="LBX169" s="173"/>
      <c r="LBY169" s="173"/>
      <c r="LBZ169" s="173"/>
      <c r="LCA169" s="173"/>
      <c r="LCB169" s="173"/>
      <c r="LCC169" s="173"/>
      <c r="LCD169" s="173"/>
      <c r="LCE169" s="173"/>
      <c r="LCF169" s="125"/>
      <c r="LCG169" s="125"/>
      <c r="LCH169" s="134"/>
      <c r="LCI169" s="135"/>
      <c r="LCJ169" s="135"/>
      <c r="LCK169" s="135"/>
      <c r="LCL169" s="135"/>
      <c r="LCM169" s="173"/>
      <c r="LCN169" s="173"/>
      <c r="LCO169" s="173"/>
      <c r="LCP169" s="173"/>
      <c r="LCQ169" s="173"/>
      <c r="LCR169" s="173"/>
      <c r="LCS169" s="173"/>
      <c r="LCT169" s="173"/>
      <c r="LCU169" s="173"/>
      <c r="LCV169" s="173"/>
      <c r="LCW169" s="125"/>
      <c r="LCX169" s="125"/>
      <c r="LCY169" s="134"/>
      <c r="LCZ169" s="135"/>
      <c r="LDA169" s="135"/>
      <c r="LDB169" s="135"/>
      <c r="LDC169" s="135"/>
      <c r="LDD169" s="173"/>
      <c r="LDE169" s="173"/>
      <c r="LDF169" s="173"/>
      <c r="LDG169" s="173"/>
      <c r="LDH169" s="173"/>
      <c r="LDI169" s="173"/>
      <c r="LDJ169" s="173"/>
      <c r="LDK169" s="173"/>
      <c r="LDL169" s="173"/>
      <c r="LDM169" s="173"/>
      <c r="LDN169" s="125"/>
      <c r="LDO169" s="125"/>
      <c r="LDP169" s="134"/>
      <c r="LDQ169" s="135"/>
      <c r="LDR169" s="135"/>
      <c r="LDS169" s="135"/>
      <c r="LDT169" s="135"/>
      <c r="LDU169" s="173"/>
      <c r="LDV169" s="173"/>
      <c r="LDW169" s="173"/>
      <c r="LDX169" s="173"/>
      <c r="LDY169" s="173"/>
      <c r="LDZ169" s="173"/>
      <c r="LEA169" s="173"/>
      <c r="LEB169" s="173"/>
      <c r="LEC169" s="173"/>
      <c r="LED169" s="173"/>
      <c r="LEE169" s="125"/>
      <c r="LEF169" s="125"/>
      <c r="LEG169" s="134"/>
      <c r="LEH169" s="135"/>
      <c r="LEI169" s="135"/>
      <c r="LEJ169" s="135"/>
      <c r="LEK169" s="135"/>
      <c r="LEL169" s="173"/>
      <c r="LEM169" s="173"/>
      <c r="LEN169" s="173"/>
      <c r="LEO169" s="173"/>
      <c r="LEP169" s="173"/>
      <c r="LEQ169" s="173"/>
      <c r="LER169" s="173"/>
      <c r="LES169" s="173"/>
      <c r="LET169" s="173"/>
      <c r="LEU169" s="173"/>
      <c r="LEV169" s="125"/>
      <c r="LEW169" s="125"/>
      <c r="LEX169" s="134"/>
      <c r="LEY169" s="135"/>
      <c r="LEZ169" s="135"/>
      <c r="LFA169" s="135"/>
      <c r="LFB169" s="135"/>
      <c r="LFC169" s="173"/>
      <c r="LFD169" s="173"/>
      <c r="LFE169" s="173"/>
      <c r="LFF169" s="173"/>
      <c r="LFG169" s="173"/>
      <c r="LFH169" s="173"/>
      <c r="LFI169" s="173"/>
      <c r="LFJ169" s="173"/>
      <c r="LFK169" s="173"/>
      <c r="LFL169" s="173"/>
      <c r="LFM169" s="125"/>
      <c r="LFN169" s="125"/>
      <c r="LFO169" s="134"/>
      <c r="LFP169" s="135"/>
      <c r="LFQ169" s="135"/>
      <c r="LFR169" s="135"/>
      <c r="LFS169" s="135"/>
      <c r="LFT169" s="173"/>
      <c r="LFU169" s="173"/>
      <c r="LFV169" s="173"/>
      <c r="LFW169" s="173"/>
      <c r="LFX169" s="173"/>
      <c r="LFY169" s="173"/>
      <c r="LFZ169" s="173"/>
      <c r="LGA169" s="173"/>
      <c r="LGB169" s="173"/>
      <c r="LGC169" s="173"/>
      <c r="LGD169" s="125"/>
      <c r="LGE169" s="125"/>
      <c r="LGF169" s="134"/>
      <c r="LGG169" s="135"/>
      <c r="LGH169" s="135"/>
      <c r="LGI169" s="135"/>
      <c r="LGJ169" s="135"/>
      <c r="LGK169" s="173"/>
      <c r="LGL169" s="173"/>
      <c r="LGM169" s="173"/>
      <c r="LGN169" s="173"/>
      <c r="LGO169" s="173"/>
      <c r="LGP169" s="173"/>
      <c r="LGQ169" s="173"/>
      <c r="LGR169" s="173"/>
      <c r="LGS169" s="173"/>
      <c r="LGT169" s="173"/>
      <c r="LGU169" s="125"/>
      <c r="LGV169" s="125"/>
      <c r="LGW169" s="134"/>
      <c r="LGX169" s="135"/>
      <c r="LGY169" s="135"/>
      <c r="LGZ169" s="135"/>
      <c r="LHA169" s="135"/>
      <c r="LHB169" s="173"/>
      <c r="LHC169" s="173"/>
      <c r="LHD169" s="173"/>
      <c r="LHE169" s="173"/>
      <c r="LHF169" s="173"/>
      <c r="LHG169" s="173"/>
      <c r="LHH169" s="173"/>
      <c r="LHI169" s="173"/>
      <c r="LHJ169" s="173"/>
      <c r="LHK169" s="173"/>
      <c r="LHL169" s="125"/>
      <c r="LHM169" s="125"/>
      <c r="LHN169" s="134"/>
      <c r="LHO169" s="135"/>
      <c r="LHP169" s="135"/>
      <c r="LHQ169" s="135"/>
      <c r="LHR169" s="135"/>
      <c r="LHS169" s="173"/>
      <c r="LHT169" s="173"/>
      <c r="LHU169" s="173"/>
      <c r="LHV169" s="173"/>
      <c r="LHW169" s="173"/>
      <c r="LHX169" s="173"/>
      <c r="LHY169" s="173"/>
      <c r="LHZ169" s="173"/>
      <c r="LIA169" s="173"/>
      <c r="LIB169" s="173"/>
      <c r="LIC169" s="125"/>
      <c r="LID169" s="125"/>
      <c r="LIE169" s="134"/>
      <c r="LIF169" s="135"/>
      <c r="LIG169" s="135"/>
      <c r="LIH169" s="135"/>
      <c r="LII169" s="135"/>
      <c r="LIJ169" s="173"/>
      <c r="LIK169" s="173"/>
      <c r="LIL169" s="173"/>
      <c r="LIM169" s="173"/>
      <c r="LIN169" s="173"/>
      <c r="LIO169" s="173"/>
      <c r="LIP169" s="173"/>
      <c r="LIQ169" s="173"/>
      <c r="LIR169" s="173"/>
      <c r="LIS169" s="173"/>
      <c r="LIT169" s="125"/>
      <c r="LIU169" s="125"/>
      <c r="LIV169" s="134"/>
      <c r="LIW169" s="135"/>
      <c r="LIX169" s="135"/>
      <c r="LIY169" s="135"/>
      <c r="LIZ169" s="135"/>
      <c r="LJA169" s="173"/>
      <c r="LJB169" s="173"/>
      <c r="LJC169" s="173"/>
      <c r="LJD169" s="173"/>
      <c r="LJE169" s="173"/>
      <c r="LJF169" s="173"/>
      <c r="LJG169" s="173"/>
      <c r="LJH169" s="173"/>
      <c r="LJI169" s="173"/>
      <c r="LJJ169" s="173"/>
      <c r="LJK169" s="125"/>
      <c r="LJL169" s="125"/>
      <c r="LJM169" s="134"/>
      <c r="LJN169" s="135"/>
      <c r="LJO169" s="135"/>
      <c r="LJP169" s="135"/>
      <c r="LJQ169" s="135"/>
      <c r="LJR169" s="173"/>
      <c r="LJS169" s="173"/>
      <c r="LJT169" s="173"/>
      <c r="LJU169" s="173"/>
      <c r="LJV169" s="173"/>
      <c r="LJW169" s="173"/>
      <c r="LJX169" s="173"/>
      <c r="LJY169" s="173"/>
      <c r="LJZ169" s="173"/>
      <c r="LKA169" s="173"/>
      <c r="LKB169" s="125"/>
      <c r="LKC169" s="125"/>
      <c r="LKD169" s="134"/>
      <c r="LKE169" s="135"/>
      <c r="LKF169" s="135"/>
      <c r="LKG169" s="135"/>
      <c r="LKH169" s="135"/>
      <c r="LKI169" s="173"/>
      <c r="LKJ169" s="173"/>
      <c r="LKK169" s="173"/>
      <c r="LKL169" s="173"/>
      <c r="LKM169" s="173"/>
      <c r="LKN169" s="173"/>
      <c r="LKO169" s="173"/>
      <c r="LKP169" s="173"/>
      <c r="LKQ169" s="173"/>
      <c r="LKR169" s="173"/>
      <c r="LKS169" s="125"/>
      <c r="LKT169" s="125"/>
      <c r="LKU169" s="134"/>
      <c r="LKV169" s="135"/>
      <c r="LKW169" s="135"/>
      <c r="LKX169" s="135"/>
      <c r="LKY169" s="135"/>
      <c r="LKZ169" s="173"/>
      <c r="LLA169" s="173"/>
      <c r="LLB169" s="173"/>
      <c r="LLC169" s="173"/>
      <c r="LLD169" s="173"/>
      <c r="LLE169" s="173"/>
      <c r="LLF169" s="173"/>
      <c r="LLG169" s="173"/>
      <c r="LLH169" s="173"/>
      <c r="LLI169" s="173"/>
      <c r="LLJ169" s="125"/>
      <c r="LLK169" s="125"/>
      <c r="LLL169" s="134"/>
      <c r="LLM169" s="135"/>
      <c r="LLN169" s="135"/>
      <c r="LLO169" s="135"/>
      <c r="LLP169" s="135"/>
      <c r="LLQ169" s="173"/>
      <c r="LLR169" s="173"/>
      <c r="LLS169" s="173"/>
      <c r="LLT169" s="173"/>
      <c r="LLU169" s="173"/>
      <c r="LLV169" s="173"/>
      <c r="LLW169" s="173"/>
      <c r="LLX169" s="173"/>
      <c r="LLY169" s="173"/>
      <c r="LLZ169" s="173"/>
      <c r="LMA169" s="125"/>
      <c r="LMB169" s="125"/>
      <c r="LMC169" s="134"/>
      <c r="LMD169" s="135"/>
      <c r="LME169" s="135"/>
      <c r="LMF169" s="135"/>
      <c r="LMG169" s="135"/>
      <c r="LMH169" s="173"/>
      <c r="LMI169" s="173"/>
      <c r="LMJ169" s="173"/>
      <c r="LMK169" s="173"/>
      <c r="LML169" s="173"/>
      <c r="LMM169" s="173"/>
      <c r="LMN169" s="173"/>
      <c r="LMO169" s="173"/>
      <c r="LMP169" s="173"/>
      <c r="LMQ169" s="173"/>
      <c r="LMR169" s="125"/>
      <c r="LMS169" s="125"/>
      <c r="LMT169" s="134"/>
      <c r="LMU169" s="135"/>
      <c r="LMV169" s="135"/>
      <c r="LMW169" s="135"/>
      <c r="LMX169" s="135"/>
      <c r="LMY169" s="173"/>
      <c r="LMZ169" s="173"/>
      <c r="LNA169" s="173"/>
      <c r="LNB169" s="173"/>
      <c r="LNC169" s="173"/>
      <c r="LND169" s="173"/>
      <c r="LNE169" s="173"/>
      <c r="LNF169" s="173"/>
      <c r="LNG169" s="173"/>
      <c r="LNH169" s="173"/>
      <c r="LNI169" s="125"/>
      <c r="LNJ169" s="125"/>
      <c r="LNK169" s="134"/>
      <c r="LNL169" s="135"/>
      <c r="LNM169" s="135"/>
      <c r="LNN169" s="135"/>
      <c r="LNO169" s="135"/>
      <c r="LNP169" s="173"/>
      <c r="LNQ169" s="173"/>
      <c r="LNR169" s="173"/>
      <c r="LNS169" s="173"/>
      <c r="LNT169" s="173"/>
      <c r="LNU169" s="173"/>
      <c r="LNV169" s="173"/>
      <c r="LNW169" s="173"/>
      <c r="LNX169" s="173"/>
      <c r="LNY169" s="173"/>
      <c r="LNZ169" s="125"/>
      <c r="LOA169" s="125"/>
      <c r="LOB169" s="134"/>
      <c r="LOC169" s="135"/>
      <c r="LOD169" s="135"/>
      <c r="LOE169" s="135"/>
      <c r="LOF169" s="135"/>
      <c r="LOG169" s="173"/>
      <c r="LOH169" s="173"/>
      <c r="LOI169" s="173"/>
      <c r="LOJ169" s="173"/>
      <c r="LOK169" s="173"/>
      <c r="LOL169" s="173"/>
      <c r="LOM169" s="173"/>
      <c r="LON169" s="173"/>
      <c r="LOO169" s="173"/>
      <c r="LOP169" s="173"/>
      <c r="LOQ169" s="125"/>
      <c r="LOR169" s="125"/>
      <c r="LOS169" s="134"/>
      <c r="LOT169" s="135"/>
      <c r="LOU169" s="135"/>
      <c r="LOV169" s="135"/>
      <c r="LOW169" s="135"/>
      <c r="LOX169" s="173"/>
      <c r="LOY169" s="173"/>
      <c r="LOZ169" s="173"/>
      <c r="LPA169" s="173"/>
      <c r="LPB169" s="173"/>
      <c r="LPC169" s="173"/>
      <c r="LPD169" s="173"/>
      <c r="LPE169" s="173"/>
      <c r="LPF169" s="173"/>
      <c r="LPG169" s="173"/>
      <c r="LPH169" s="125"/>
      <c r="LPI169" s="125"/>
      <c r="LPJ169" s="134"/>
      <c r="LPK169" s="135"/>
      <c r="LPL169" s="135"/>
      <c r="LPM169" s="135"/>
      <c r="LPN169" s="135"/>
      <c r="LPO169" s="173"/>
      <c r="LPP169" s="173"/>
      <c r="LPQ169" s="173"/>
      <c r="LPR169" s="173"/>
      <c r="LPS169" s="173"/>
      <c r="LPT169" s="173"/>
      <c r="LPU169" s="173"/>
      <c r="LPV169" s="173"/>
      <c r="LPW169" s="173"/>
      <c r="LPX169" s="173"/>
      <c r="LPY169" s="125"/>
      <c r="LPZ169" s="125"/>
      <c r="LQA169" s="134"/>
      <c r="LQB169" s="135"/>
      <c r="LQC169" s="135"/>
      <c r="LQD169" s="135"/>
      <c r="LQE169" s="135"/>
      <c r="LQF169" s="173"/>
      <c r="LQG169" s="173"/>
      <c r="LQH169" s="173"/>
      <c r="LQI169" s="173"/>
      <c r="LQJ169" s="173"/>
      <c r="LQK169" s="173"/>
      <c r="LQL169" s="173"/>
      <c r="LQM169" s="173"/>
      <c r="LQN169" s="173"/>
      <c r="LQO169" s="173"/>
      <c r="LQP169" s="125"/>
      <c r="LQQ169" s="125"/>
      <c r="LQR169" s="134"/>
      <c r="LQS169" s="135"/>
      <c r="LQT169" s="135"/>
      <c r="LQU169" s="135"/>
      <c r="LQV169" s="135"/>
      <c r="LQW169" s="173"/>
      <c r="LQX169" s="173"/>
      <c r="LQY169" s="173"/>
      <c r="LQZ169" s="173"/>
      <c r="LRA169" s="173"/>
      <c r="LRB169" s="173"/>
      <c r="LRC169" s="173"/>
      <c r="LRD169" s="173"/>
      <c r="LRE169" s="173"/>
      <c r="LRF169" s="173"/>
      <c r="LRG169" s="125"/>
      <c r="LRH169" s="125"/>
      <c r="LRI169" s="134"/>
      <c r="LRJ169" s="135"/>
      <c r="LRK169" s="135"/>
      <c r="LRL169" s="135"/>
      <c r="LRM169" s="135"/>
      <c r="LRN169" s="173"/>
      <c r="LRO169" s="173"/>
      <c r="LRP169" s="173"/>
      <c r="LRQ169" s="173"/>
      <c r="LRR169" s="173"/>
      <c r="LRS169" s="173"/>
      <c r="LRT169" s="173"/>
      <c r="LRU169" s="173"/>
      <c r="LRV169" s="173"/>
      <c r="LRW169" s="173"/>
      <c r="LRX169" s="125"/>
      <c r="LRY169" s="125"/>
      <c r="LRZ169" s="134"/>
      <c r="LSA169" s="135"/>
      <c r="LSB169" s="135"/>
      <c r="LSC169" s="135"/>
      <c r="LSD169" s="135"/>
      <c r="LSE169" s="173"/>
      <c r="LSF169" s="173"/>
      <c r="LSG169" s="173"/>
      <c r="LSH169" s="173"/>
      <c r="LSI169" s="173"/>
      <c r="LSJ169" s="173"/>
      <c r="LSK169" s="173"/>
      <c r="LSL169" s="173"/>
      <c r="LSM169" s="173"/>
      <c r="LSN169" s="173"/>
      <c r="LSO169" s="125"/>
      <c r="LSP169" s="125"/>
      <c r="LSQ169" s="134"/>
      <c r="LSR169" s="135"/>
      <c r="LSS169" s="135"/>
      <c r="LST169" s="135"/>
      <c r="LSU169" s="135"/>
      <c r="LSV169" s="173"/>
      <c r="LSW169" s="173"/>
      <c r="LSX169" s="173"/>
      <c r="LSY169" s="173"/>
      <c r="LSZ169" s="173"/>
      <c r="LTA169" s="173"/>
      <c r="LTB169" s="173"/>
      <c r="LTC169" s="173"/>
      <c r="LTD169" s="173"/>
      <c r="LTE169" s="173"/>
      <c r="LTF169" s="125"/>
      <c r="LTG169" s="125"/>
      <c r="LTH169" s="134"/>
      <c r="LTI169" s="135"/>
      <c r="LTJ169" s="135"/>
      <c r="LTK169" s="135"/>
      <c r="LTL169" s="135"/>
      <c r="LTM169" s="173"/>
      <c r="LTN169" s="173"/>
      <c r="LTO169" s="173"/>
      <c r="LTP169" s="173"/>
      <c r="LTQ169" s="173"/>
      <c r="LTR169" s="173"/>
      <c r="LTS169" s="173"/>
      <c r="LTT169" s="173"/>
      <c r="LTU169" s="173"/>
      <c r="LTV169" s="173"/>
      <c r="LTW169" s="125"/>
      <c r="LTX169" s="125"/>
      <c r="LTY169" s="134"/>
      <c r="LTZ169" s="135"/>
      <c r="LUA169" s="135"/>
      <c r="LUB169" s="135"/>
      <c r="LUC169" s="135"/>
      <c r="LUD169" s="173"/>
      <c r="LUE169" s="173"/>
      <c r="LUF169" s="173"/>
      <c r="LUG169" s="173"/>
      <c r="LUH169" s="173"/>
      <c r="LUI169" s="173"/>
      <c r="LUJ169" s="173"/>
      <c r="LUK169" s="173"/>
      <c r="LUL169" s="173"/>
      <c r="LUM169" s="173"/>
      <c r="LUN169" s="125"/>
      <c r="LUO169" s="125"/>
      <c r="LUP169" s="134"/>
      <c r="LUQ169" s="135"/>
      <c r="LUR169" s="135"/>
      <c r="LUS169" s="135"/>
      <c r="LUT169" s="135"/>
      <c r="LUU169" s="173"/>
      <c r="LUV169" s="173"/>
      <c r="LUW169" s="173"/>
      <c r="LUX169" s="173"/>
      <c r="LUY169" s="173"/>
      <c r="LUZ169" s="173"/>
      <c r="LVA169" s="173"/>
      <c r="LVB169" s="173"/>
      <c r="LVC169" s="173"/>
      <c r="LVD169" s="173"/>
      <c r="LVE169" s="125"/>
      <c r="LVF169" s="125"/>
      <c r="LVG169" s="134"/>
      <c r="LVH169" s="135"/>
      <c r="LVI169" s="135"/>
      <c r="LVJ169" s="135"/>
      <c r="LVK169" s="135"/>
      <c r="LVL169" s="173"/>
      <c r="LVM169" s="173"/>
      <c r="LVN169" s="173"/>
      <c r="LVO169" s="173"/>
      <c r="LVP169" s="173"/>
      <c r="LVQ169" s="173"/>
      <c r="LVR169" s="173"/>
      <c r="LVS169" s="173"/>
      <c r="LVT169" s="173"/>
      <c r="LVU169" s="173"/>
      <c r="LVV169" s="125"/>
      <c r="LVW169" s="125"/>
      <c r="LVX169" s="134"/>
      <c r="LVY169" s="135"/>
      <c r="LVZ169" s="135"/>
      <c r="LWA169" s="135"/>
      <c r="LWB169" s="135"/>
      <c r="LWC169" s="173"/>
      <c r="LWD169" s="173"/>
      <c r="LWE169" s="173"/>
      <c r="LWF169" s="173"/>
      <c r="LWG169" s="173"/>
      <c r="LWH169" s="173"/>
      <c r="LWI169" s="173"/>
      <c r="LWJ169" s="173"/>
      <c r="LWK169" s="173"/>
      <c r="LWL169" s="173"/>
      <c r="LWM169" s="125"/>
      <c r="LWN169" s="125"/>
      <c r="LWO169" s="134"/>
      <c r="LWP169" s="135"/>
      <c r="LWQ169" s="135"/>
      <c r="LWR169" s="135"/>
      <c r="LWS169" s="135"/>
      <c r="LWT169" s="173"/>
      <c r="LWU169" s="173"/>
      <c r="LWV169" s="173"/>
      <c r="LWW169" s="173"/>
      <c r="LWX169" s="173"/>
      <c r="LWY169" s="173"/>
      <c r="LWZ169" s="173"/>
      <c r="LXA169" s="173"/>
      <c r="LXB169" s="173"/>
      <c r="LXC169" s="173"/>
      <c r="LXD169" s="125"/>
      <c r="LXE169" s="125"/>
      <c r="LXF169" s="134"/>
      <c r="LXG169" s="135"/>
      <c r="LXH169" s="135"/>
      <c r="LXI169" s="135"/>
      <c r="LXJ169" s="135"/>
      <c r="LXK169" s="173"/>
      <c r="LXL169" s="173"/>
      <c r="LXM169" s="173"/>
      <c r="LXN169" s="173"/>
      <c r="LXO169" s="173"/>
      <c r="LXP169" s="173"/>
      <c r="LXQ169" s="173"/>
      <c r="LXR169" s="173"/>
      <c r="LXS169" s="173"/>
      <c r="LXT169" s="173"/>
      <c r="LXU169" s="125"/>
      <c r="LXV169" s="125"/>
      <c r="LXW169" s="134"/>
      <c r="LXX169" s="135"/>
      <c r="LXY169" s="135"/>
      <c r="LXZ169" s="135"/>
      <c r="LYA169" s="135"/>
      <c r="LYB169" s="173"/>
      <c r="LYC169" s="173"/>
      <c r="LYD169" s="173"/>
      <c r="LYE169" s="173"/>
      <c r="LYF169" s="173"/>
      <c r="LYG169" s="173"/>
      <c r="LYH169" s="173"/>
      <c r="LYI169" s="173"/>
      <c r="LYJ169" s="173"/>
      <c r="LYK169" s="173"/>
      <c r="LYL169" s="125"/>
      <c r="LYM169" s="125"/>
      <c r="LYN169" s="134"/>
      <c r="LYO169" s="135"/>
      <c r="LYP169" s="135"/>
      <c r="LYQ169" s="135"/>
      <c r="LYR169" s="135"/>
      <c r="LYS169" s="173"/>
      <c r="LYT169" s="173"/>
      <c r="LYU169" s="173"/>
      <c r="LYV169" s="173"/>
      <c r="LYW169" s="173"/>
      <c r="LYX169" s="173"/>
      <c r="LYY169" s="173"/>
      <c r="LYZ169" s="173"/>
      <c r="LZA169" s="173"/>
      <c r="LZB169" s="173"/>
      <c r="LZC169" s="125"/>
      <c r="LZD169" s="125"/>
      <c r="LZE169" s="134"/>
      <c r="LZF169" s="135"/>
      <c r="LZG169" s="135"/>
      <c r="LZH169" s="135"/>
      <c r="LZI169" s="135"/>
      <c r="LZJ169" s="173"/>
      <c r="LZK169" s="173"/>
      <c r="LZL169" s="173"/>
      <c r="LZM169" s="173"/>
      <c r="LZN169" s="173"/>
      <c r="LZO169" s="173"/>
      <c r="LZP169" s="173"/>
      <c r="LZQ169" s="173"/>
      <c r="LZR169" s="173"/>
      <c r="LZS169" s="173"/>
      <c r="LZT169" s="125"/>
      <c r="LZU169" s="125"/>
      <c r="LZV169" s="134"/>
      <c r="LZW169" s="135"/>
      <c r="LZX169" s="135"/>
      <c r="LZY169" s="135"/>
      <c r="LZZ169" s="135"/>
      <c r="MAA169" s="173"/>
      <c r="MAB169" s="173"/>
      <c r="MAC169" s="173"/>
      <c r="MAD169" s="173"/>
      <c r="MAE169" s="173"/>
      <c r="MAF169" s="173"/>
      <c r="MAG169" s="173"/>
      <c r="MAH169" s="173"/>
      <c r="MAI169" s="173"/>
      <c r="MAJ169" s="173"/>
      <c r="MAK169" s="125"/>
      <c r="MAL169" s="125"/>
      <c r="MAM169" s="134"/>
      <c r="MAN169" s="135"/>
      <c r="MAO169" s="135"/>
      <c r="MAP169" s="135"/>
      <c r="MAQ169" s="135"/>
      <c r="MAR169" s="173"/>
      <c r="MAS169" s="173"/>
      <c r="MAT169" s="173"/>
      <c r="MAU169" s="173"/>
      <c r="MAV169" s="173"/>
      <c r="MAW169" s="173"/>
      <c r="MAX169" s="173"/>
      <c r="MAY169" s="173"/>
      <c r="MAZ169" s="173"/>
      <c r="MBA169" s="173"/>
      <c r="MBB169" s="125"/>
      <c r="MBC169" s="125"/>
      <c r="MBD169" s="134"/>
      <c r="MBE169" s="135"/>
      <c r="MBF169" s="135"/>
      <c r="MBG169" s="135"/>
      <c r="MBH169" s="135"/>
      <c r="MBI169" s="173"/>
      <c r="MBJ169" s="173"/>
      <c r="MBK169" s="173"/>
      <c r="MBL169" s="173"/>
      <c r="MBM169" s="173"/>
      <c r="MBN169" s="173"/>
      <c r="MBO169" s="173"/>
      <c r="MBP169" s="173"/>
      <c r="MBQ169" s="173"/>
      <c r="MBR169" s="173"/>
      <c r="MBS169" s="125"/>
      <c r="MBT169" s="125"/>
      <c r="MBU169" s="134"/>
      <c r="MBV169" s="135"/>
      <c r="MBW169" s="135"/>
      <c r="MBX169" s="135"/>
      <c r="MBY169" s="135"/>
      <c r="MBZ169" s="173"/>
      <c r="MCA169" s="173"/>
      <c r="MCB169" s="173"/>
      <c r="MCC169" s="173"/>
      <c r="MCD169" s="173"/>
      <c r="MCE169" s="173"/>
      <c r="MCF169" s="173"/>
      <c r="MCG169" s="173"/>
      <c r="MCH169" s="173"/>
      <c r="MCI169" s="173"/>
      <c r="MCJ169" s="125"/>
      <c r="MCK169" s="125"/>
      <c r="MCL169" s="134"/>
      <c r="MCM169" s="135"/>
      <c r="MCN169" s="135"/>
      <c r="MCO169" s="135"/>
      <c r="MCP169" s="135"/>
      <c r="MCQ169" s="173"/>
      <c r="MCR169" s="173"/>
      <c r="MCS169" s="173"/>
      <c r="MCT169" s="173"/>
      <c r="MCU169" s="173"/>
      <c r="MCV169" s="173"/>
      <c r="MCW169" s="173"/>
      <c r="MCX169" s="173"/>
      <c r="MCY169" s="173"/>
      <c r="MCZ169" s="173"/>
      <c r="MDA169" s="125"/>
      <c r="MDB169" s="125"/>
      <c r="MDC169" s="134"/>
      <c r="MDD169" s="135"/>
      <c r="MDE169" s="135"/>
      <c r="MDF169" s="135"/>
      <c r="MDG169" s="135"/>
      <c r="MDH169" s="173"/>
      <c r="MDI169" s="173"/>
      <c r="MDJ169" s="173"/>
      <c r="MDK169" s="173"/>
      <c r="MDL169" s="173"/>
      <c r="MDM169" s="173"/>
      <c r="MDN169" s="173"/>
      <c r="MDO169" s="173"/>
      <c r="MDP169" s="173"/>
      <c r="MDQ169" s="173"/>
      <c r="MDR169" s="125"/>
      <c r="MDS169" s="125"/>
      <c r="MDT169" s="134"/>
      <c r="MDU169" s="135"/>
      <c r="MDV169" s="135"/>
      <c r="MDW169" s="135"/>
      <c r="MDX169" s="135"/>
      <c r="MDY169" s="173"/>
      <c r="MDZ169" s="173"/>
      <c r="MEA169" s="173"/>
      <c r="MEB169" s="173"/>
      <c r="MEC169" s="173"/>
      <c r="MED169" s="173"/>
      <c r="MEE169" s="173"/>
      <c r="MEF169" s="173"/>
      <c r="MEG169" s="173"/>
      <c r="MEH169" s="173"/>
      <c r="MEI169" s="125"/>
      <c r="MEJ169" s="125"/>
      <c r="MEK169" s="134"/>
      <c r="MEL169" s="135"/>
      <c r="MEM169" s="135"/>
      <c r="MEN169" s="135"/>
      <c r="MEO169" s="135"/>
      <c r="MEP169" s="173"/>
      <c r="MEQ169" s="173"/>
      <c r="MER169" s="173"/>
      <c r="MES169" s="173"/>
      <c r="MET169" s="173"/>
      <c r="MEU169" s="173"/>
      <c r="MEV169" s="173"/>
      <c r="MEW169" s="173"/>
      <c r="MEX169" s="173"/>
      <c r="MEY169" s="173"/>
      <c r="MEZ169" s="125"/>
      <c r="MFA169" s="125"/>
      <c r="MFB169" s="134"/>
      <c r="MFC169" s="135"/>
      <c r="MFD169" s="135"/>
      <c r="MFE169" s="135"/>
      <c r="MFF169" s="135"/>
      <c r="MFG169" s="173"/>
      <c r="MFH169" s="173"/>
      <c r="MFI169" s="173"/>
      <c r="MFJ169" s="173"/>
      <c r="MFK169" s="173"/>
      <c r="MFL169" s="173"/>
      <c r="MFM169" s="173"/>
      <c r="MFN169" s="173"/>
      <c r="MFO169" s="173"/>
      <c r="MFP169" s="173"/>
      <c r="MFQ169" s="125"/>
      <c r="MFR169" s="125"/>
      <c r="MFS169" s="134"/>
      <c r="MFT169" s="135"/>
      <c r="MFU169" s="135"/>
      <c r="MFV169" s="135"/>
      <c r="MFW169" s="135"/>
      <c r="MFX169" s="173"/>
      <c r="MFY169" s="173"/>
      <c r="MFZ169" s="173"/>
      <c r="MGA169" s="173"/>
      <c r="MGB169" s="173"/>
      <c r="MGC169" s="173"/>
      <c r="MGD169" s="173"/>
      <c r="MGE169" s="173"/>
      <c r="MGF169" s="173"/>
      <c r="MGG169" s="173"/>
      <c r="MGH169" s="125"/>
      <c r="MGI169" s="125"/>
      <c r="MGJ169" s="134"/>
      <c r="MGK169" s="135"/>
      <c r="MGL169" s="135"/>
      <c r="MGM169" s="135"/>
      <c r="MGN169" s="135"/>
      <c r="MGO169" s="173"/>
      <c r="MGP169" s="173"/>
      <c r="MGQ169" s="173"/>
      <c r="MGR169" s="173"/>
      <c r="MGS169" s="173"/>
      <c r="MGT169" s="173"/>
      <c r="MGU169" s="173"/>
      <c r="MGV169" s="173"/>
      <c r="MGW169" s="173"/>
      <c r="MGX169" s="173"/>
      <c r="MGY169" s="125"/>
      <c r="MGZ169" s="125"/>
      <c r="MHA169" s="134"/>
      <c r="MHB169" s="135"/>
      <c r="MHC169" s="135"/>
      <c r="MHD169" s="135"/>
      <c r="MHE169" s="135"/>
      <c r="MHF169" s="173"/>
      <c r="MHG169" s="173"/>
      <c r="MHH169" s="173"/>
      <c r="MHI169" s="173"/>
      <c r="MHJ169" s="173"/>
      <c r="MHK169" s="173"/>
      <c r="MHL169" s="173"/>
      <c r="MHM169" s="173"/>
      <c r="MHN169" s="173"/>
      <c r="MHO169" s="173"/>
      <c r="MHP169" s="125"/>
      <c r="MHQ169" s="125"/>
      <c r="MHR169" s="134"/>
      <c r="MHS169" s="135"/>
      <c r="MHT169" s="135"/>
      <c r="MHU169" s="135"/>
      <c r="MHV169" s="135"/>
      <c r="MHW169" s="173"/>
      <c r="MHX169" s="173"/>
      <c r="MHY169" s="173"/>
      <c r="MHZ169" s="173"/>
      <c r="MIA169" s="173"/>
      <c r="MIB169" s="173"/>
      <c r="MIC169" s="173"/>
      <c r="MID169" s="173"/>
      <c r="MIE169" s="173"/>
      <c r="MIF169" s="173"/>
      <c r="MIG169" s="125"/>
      <c r="MIH169" s="125"/>
      <c r="MII169" s="134"/>
      <c r="MIJ169" s="135"/>
      <c r="MIK169" s="135"/>
      <c r="MIL169" s="135"/>
      <c r="MIM169" s="135"/>
      <c r="MIN169" s="173"/>
      <c r="MIO169" s="173"/>
      <c r="MIP169" s="173"/>
      <c r="MIQ169" s="173"/>
      <c r="MIR169" s="173"/>
      <c r="MIS169" s="173"/>
      <c r="MIT169" s="173"/>
      <c r="MIU169" s="173"/>
      <c r="MIV169" s="173"/>
      <c r="MIW169" s="173"/>
      <c r="MIX169" s="125"/>
      <c r="MIY169" s="125"/>
      <c r="MIZ169" s="134"/>
      <c r="MJA169" s="135"/>
      <c r="MJB169" s="135"/>
      <c r="MJC169" s="135"/>
      <c r="MJD169" s="135"/>
      <c r="MJE169" s="173"/>
      <c r="MJF169" s="173"/>
      <c r="MJG169" s="173"/>
      <c r="MJH169" s="173"/>
      <c r="MJI169" s="173"/>
      <c r="MJJ169" s="173"/>
      <c r="MJK169" s="173"/>
      <c r="MJL169" s="173"/>
      <c r="MJM169" s="173"/>
      <c r="MJN169" s="173"/>
      <c r="MJO169" s="125"/>
      <c r="MJP169" s="125"/>
      <c r="MJQ169" s="134"/>
      <c r="MJR169" s="135"/>
      <c r="MJS169" s="135"/>
      <c r="MJT169" s="135"/>
      <c r="MJU169" s="135"/>
      <c r="MJV169" s="173"/>
      <c r="MJW169" s="173"/>
      <c r="MJX169" s="173"/>
      <c r="MJY169" s="173"/>
      <c r="MJZ169" s="173"/>
      <c r="MKA169" s="173"/>
      <c r="MKB169" s="173"/>
      <c r="MKC169" s="173"/>
      <c r="MKD169" s="173"/>
      <c r="MKE169" s="173"/>
      <c r="MKF169" s="125"/>
      <c r="MKG169" s="125"/>
      <c r="MKH169" s="134"/>
      <c r="MKI169" s="135"/>
      <c r="MKJ169" s="135"/>
      <c r="MKK169" s="135"/>
      <c r="MKL169" s="135"/>
      <c r="MKM169" s="173"/>
      <c r="MKN169" s="173"/>
      <c r="MKO169" s="173"/>
      <c r="MKP169" s="173"/>
      <c r="MKQ169" s="173"/>
      <c r="MKR169" s="173"/>
      <c r="MKS169" s="173"/>
      <c r="MKT169" s="173"/>
      <c r="MKU169" s="173"/>
      <c r="MKV169" s="173"/>
      <c r="MKW169" s="125"/>
      <c r="MKX169" s="125"/>
      <c r="MKY169" s="134"/>
      <c r="MKZ169" s="135"/>
      <c r="MLA169" s="135"/>
      <c r="MLB169" s="135"/>
      <c r="MLC169" s="135"/>
      <c r="MLD169" s="173"/>
      <c r="MLE169" s="173"/>
      <c r="MLF169" s="173"/>
      <c r="MLG169" s="173"/>
      <c r="MLH169" s="173"/>
      <c r="MLI169" s="173"/>
      <c r="MLJ169" s="173"/>
      <c r="MLK169" s="173"/>
      <c r="MLL169" s="173"/>
      <c r="MLM169" s="173"/>
      <c r="MLN169" s="125"/>
      <c r="MLO169" s="125"/>
      <c r="MLP169" s="134"/>
      <c r="MLQ169" s="135"/>
      <c r="MLR169" s="135"/>
      <c r="MLS169" s="135"/>
      <c r="MLT169" s="135"/>
      <c r="MLU169" s="173"/>
      <c r="MLV169" s="173"/>
      <c r="MLW169" s="173"/>
      <c r="MLX169" s="173"/>
      <c r="MLY169" s="173"/>
      <c r="MLZ169" s="173"/>
      <c r="MMA169" s="173"/>
      <c r="MMB169" s="173"/>
      <c r="MMC169" s="173"/>
      <c r="MMD169" s="173"/>
      <c r="MME169" s="125"/>
      <c r="MMF169" s="125"/>
      <c r="MMG169" s="134"/>
      <c r="MMH169" s="135"/>
      <c r="MMI169" s="135"/>
      <c r="MMJ169" s="135"/>
      <c r="MMK169" s="135"/>
      <c r="MML169" s="173"/>
      <c r="MMM169" s="173"/>
      <c r="MMN169" s="173"/>
      <c r="MMO169" s="173"/>
      <c r="MMP169" s="173"/>
      <c r="MMQ169" s="173"/>
      <c r="MMR169" s="173"/>
      <c r="MMS169" s="173"/>
      <c r="MMT169" s="173"/>
      <c r="MMU169" s="173"/>
      <c r="MMV169" s="125"/>
      <c r="MMW169" s="125"/>
      <c r="MMX169" s="134"/>
      <c r="MMY169" s="135"/>
      <c r="MMZ169" s="135"/>
      <c r="MNA169" s="135"/>
      <c r="MNB169" s="135"/>
      <c r="MNC169" s="173"/>
      <c r="MND169" s="173"/>
      <c r="MNE169" s="173"/>
      <c r="MNF169" s="173"/>
      <c r="MNG169" s="173"/>
      <c r="MNH169" s="173"/>
      <c r="MNI169" s="173"/>
      <c r="MNJ169" s="173"/>
      <c r="MNK169" s="173"/>
      <c r="MNL169" s="173"/>
      <c r="MNM169" s="125"/>
      <c r="MNN169" s="125"/>
      <c r="MNO169" s="134"/>
      <c r="MNP169" s="135"/>
      <c r="MNQ169" s="135"/>
      <c r="MNR169" s="135"/>
      <c r="MNS169" s="135"/>
      <c r="MNT169" s="173"/>
      <c r="MNU169" s="173"/>
      <c r="MNV169" s="173"/>
      <c r="MNW169" s="173"/>
      <c r="MNX169" s="173"/>
      <c r="MNY169" s="173"/>
      <c r="MNZ169" s="173"/>
      <c r="MOA169" s="173"/>
      <c r="MOB169" s="173"/>
      <c r="MOC169" s="173"/>
      <c r="MOD169" s="125"/>
      <c r="MOE169" s="125"/>
      <c r="MOF169" s="134"/>
      <c r="MOG169" s="135"/>
      <c r="MOH169" s="135"/>
      <c r="MOI169" s="135"/>
      <c r="MOJ169" s="135"/>
      <c r="MOK169" s="173"/>
      <c r="MOL169" s="173"/>
      <c r="MOM169" s="173"/>
      <c r="MON169" s="173"/>
      <c r="MOO169" s="173"/>
      <c r="MOP169" s="173"/>
      <c r="MOQ169" s="173"/>
      <c r="MOR169" s="173"/>
      <c r="MOS169" s="173"/>
      <c r="MOT169" s="173"/>
      <c r="MOU169" s="125"/>
      <c r="MOV169" s="125"/>
      <c r="MOW169" s="134"/>
      <c r="MOX169" s="135"/>
      <c r="MOY169" s="135"/>
      <c r="MOZ169" s="135"/>
      <c r="MPA169" s="135"/>
      <c r="MPB169" s="173"/>
      <c r="MPC169" s="173"/>
      <c r="MPD169" s="173"/>
      <c r="MPE169" s="173"/>
      <c r="MPF169" s="173"/>
      <c r="MPG169" s="173"/>
      <c r="MPH169" s="173"/>
      <c r="MPI169" s="173"/>
      <c r="MPJ169" s="173"/>
      <c r="MPK169" s="173"/>
      <c r="MPL169" s="125"/>
      <c r="MPM169" s="125"/>
      <c r="MPN169" s="134"/>
      <c r="MPO169" s="135"/>
      <c r="MPP169" s="135"/>
      <c r="MPQ169" s="135"/>
      <c r="MPR169" s="135"/>
      <c r="MPS169" s="173"/>
      <c r="MPT169" s="173"/>
      <c r="MPU169" s="173"/>
      <c r="MPV169" s="173"/>
      <c r="MPW169" s="173"/>
      <c r="MPX169" s="173"/>
      <c r="MPY169" s="173"/>
      <c r="MPZ169" s="173"/>
      <c r="MQA169" s="173"/>
      <c r="MQB169" s="173"/>
      <c r="MQC169" s="125"/>
      <c r="MQD169" s="125"/>
      <c r="MQE169" s="134"/>
      <c r="MQF169" s="135"/>
      <c r="MQG169" s="135"/>
      <c r="MQH169" s="135"/>
      <c r="MQI169" s="135"/>
      <c r="MQJ169" s="173"/>
      <c r="MQK169" s="173"/>
      <c r="MQL169" s="173"/>
      <c r="MQM169" s="173"/>
      <c r="MQN169" s="173"/>
      <c r="MQO169" s="173"/>
      <c r="MQP169" s="173"/>
      <c r="MQQ169" s="173"/>
      <c r="MQR169" s="173"/>
      <c r="MQS169" s="173"/>
      <c r="MQT169" s="125"/>
      <c r="MQU169" s="125"/>
      <c r="MQV169" s="134"/>
      <c r="MQW169" s="135"/>
      <c r="MQX169" s="135"/>
      <c r="MQY169" s="135"/>
      <c r="MQZ169" s="135"/>
      <c r="MRA169" s="173"/>
      <c r="MRB169" s="173"/>
      <c r="MRC169" s="173"/>
      <c r="MRD169" s="173"/>
      <c r="MRE169" s="173"/>
      <c r="MRF169" s="173"/>
      <c r="MRG169" s="173"/>
      <c r="MRH169" s="173"/>
      <c r="MRI169" s="173"/>
      <c r="MRJ169" s="173"/>
      <c r="MRK169" s="125"/>
      <c r="MRL169" s="125"/>
      <c r="MRM169" s="134"/>
      <c r="MRN169" s="135"/>
      <c r="MRO169" s="135"/>
      <c r="MRP169" s="135"/>
      <c r="MRQ169" s="135"/>
      <c r="MRR169" s="173"/>
      <c r="MRS169" s="173"/>
      <c r="MRT169" s="173"/>
      <c r="MRU169" s="173"/>
      <c r="MRV169" s="173"/>
      <c r="MRW169" s="173"/>
      <c r="MRX169" s="173"/>
      <c r="MRY169" s="173"/>
      <c r="MRZ169" s="173"/>
      <c r="MSA169" s="173"/>
      <c r="MSB169" s="125"/>
      <c r="MSC169" s="125"/>
      <c r="MSD169" s="134"/>
      <c r="MSE169" s="135"/>
      <c r="MSF169" s="135"/>
      <c r="MSG169" s="135"/>
      <c r="MSH169" s="135"/>
      <c r="MSI169" s="173"/>
      <c r="MSJ169" s="173"/>
      <c r="MSK169" s="173"/>
      <c r="MSL169" s="173"/>
      <c r="MSM169" s="173"/>
      <c r="MSN169" s="173"/>
      <c r="MSO169" s="173"/>
      <c r="MSP169" s="173"/>
      <c r="MSQ169" s="173"/>
      <c r="MSR169" s="173"/>
      <c r="MSS169" s="125"/>
      <c r="MST169" s="125"/>
      <c r="MSU169" s="134"/>
      <c r="MSV169" s="135"/>
      <c r="MSW169" s="135"/>
      <c r="MSX169" s="135"/>
      <c r="MSY169" s="135"/>
      <c r="MSZ169" s="173"/>
      <c r="MTA169" s="173"/>
      <c r="MTB169" s="173"/>
      <c r="MTC169" s="173"/>
      <c r="MTD169" s="173"/>
      <c r="MTE169" s="173"/>
      <c r="MTF169" s="173"/>
      <c r="MTG169" s="173"/>
      <c r="MTH169" s="173"/>
      <c r="MTI169" s="173"/>
      <c r="MTJ169" s="125"/>
      <c r="MTK169" s="125"/>
      <c r="MTL169" s="134"/>
      <c r="MTM169" s="135"/>
      <c r="MTN169" s="135"/>
      <c r="MTO169" s="135"/>
      <c r="MTP169" s="135"/>
      <c r="MTQ169" s="173"/>
      <c r="MTR169" s="173"/>
      <c r="MTS169" s="173"/>
      <c r="MTT169" s="173"/>
      <c r="MTU169" s="173"/>
      <c r="MTV169" s="173"/>
      <c r="MTW169" s="173"/>
      <c r="MTX169" s="173"/>
      <c r="MTY169" s="173"/>
      <c r="MTZ169" s="173"/>
      <c r="MUA169" s="125"/>
      <c r="MUB169" s="125"/>
      <c r="MUC169" s="134"/>
      <c r="MUD169" s="135"/>
      <c r="MUE169" s="135"/>
      <c r="MUF169" s="135"/>
      <c r="MUG169" s="135"/>
      <c r="MUH169" s="173"/>
      <c r="MUI169" s="173"/>
      <c r="MUJ169" s="173"/>
      <c r="MUK169" s="173"/>
      <c r="MUL169" s="173"/>
      <c r="MUM169" s="173"/>
      <c r="MUN169" s="173"/>
      <c r="MUO169" s="173"/>
      <c r="MUP169" s="173"/>
      <c r="MUQ169" s="173"/>
      <c r="MUR169" s="125"/>
      <c r="MUS169" s="125"/>
      <c r="MUT169" s="134"/>
      <c r="MUU169" s="135"/>
      <c r="MUV169" s="135"/>
      <c r="MUW169" s="135"/>
      <c r="MUX169" s="135"/>
      <c r="MUY169" s="173"/>
      <c r="MUZ169" s="173"/>
      <c r="MVA169" s="173"/>
      <c r="MVB169" s="173"/>
      <c r="MVC169" s="173"/>
      <c r="MVD169" s="173"/>
      <c r="MVE169" s="173"/>
      <c r="MVF169" s="173"/>
      <c r="MVG169" s="173"/>
      <c r="MVH169" s="173"/>
      <c r="MVI169" s="125"/>
      <c r="MVJ169" s="125"/>
      <c r="MVK169" s="134"/>
      <c r="MVL169" s="135"/>
      <c r="MVM169" s="135"/>
      <c r="MVN169" s="135"/>
      <c r="MVO169" s="135"/>
      <c r="MVP169" s="173"/>
      <c r="MVQ169" s="173"/>
      <c r="MVR169" s="173"/>
      <c r="MVS169" s="173"/>
      <c r="MVT169" s="173"/>
      <c r="MVU169" s="173"/>
      <c r="MVV169" s="173"/>
      <c r="MVW169" s="173"/>
      <c r="MVX169" s="173"/>
      <c r="MVY169" s="173"/>
      <c r="MVZ169" s="125"/>
      <c r="MWA169" s="125"/>
      <c r="MWB169" s="134"/>
      <c r="MWC169" s="135"/>
      <c r="MWD169" s="135"/>
      <c r="MWE169" s="135"/>
      <c r="MWF169" s="135"/>
      <c r="MWG169" s="173"/>
      <c r="MWH169" s="173"/>
      <c r="MWI169" s="173"/>
      <c r="MWJ169" s="173"/>
      <c r="MWK169" s="173"/>
      <c r="MWL169" s="173"/>
      <c r="MWM169" s="173"/>
      <c r="MWN169" s="173"/>
      <c r="MWO169" s="173"/>
      <c r="MWP169" s="173"/>
      <c r="MWQ169" s="125"/>
      <c r="MWR169" s="125"/>
      <c r="MWS169" s="134"/>
      <c r="MWT169" s="135"/>
      <c r="MWU169" s="135"/>
      <c r="MWV169" s="135"/>
      <c r="MWW169" s="135"/>
      <c r="MWX169" s="173"/>
      <c r="MWY169" s="173"/>
      <c r="MWZ169" s="173"/>
      <c r="MXA169" s="173"/>
      <c r="MXB169" s="173"/>
      <c r="MXC169" s="173"/>
      <c r="MXD169" s="173"/>
      <c r="MXE169" s="173"/>
      <c r="MXF169" s="173"/>
      <c r="MXG169" s="173"/>
      <c r="MXH169" s="125"/>
      <c r="MXI169" s="125"/>
      <c r="MXJ169" s="134"/>
      <c r="MXK169" s="135"/>
      <c r="MXL169" s="135"/>
      <c r="MXM169" s="135"/>
      <c r="MXN169" s="135"/>
      <c r="MXO169" s="173"/>
      <c r="MXP169" s="173"/>
      <c r="MXQ169" s="173"/>
      <c r="MXR169" s="173"/>
      <c r="MXS169" s="173"/>
      <c r="MXT169" s="173"/>
      <c r="MXU169" s="173"/>
      <c r="MXV169" s="173"/>
      <c r="MXW169" s="173"/>
      <c r="MXX169" s="173"/>
      <c r="MXY169" s="125"/>
      <c r="MXZ169" s="125"/>
      <c r="MYA169" s="134"/>
      <c r="MYB169" s="135"/>
      <c r="MYC169" s="135"/>
      <c r="MYD169" s="135"/>
      <c r="MYE169" s="135"/>
      <c r="MYF169" s="173"/>
      <c r="MYG169" s="173"/>
      <c r="MYH169" s="173"/>
      <c r="MYI169" s="173"/>
      <c r="MYJ169" s="173"/>
      <c r="MYK169" s="173"/>
      <c r="MYL169" s="173"/>
      <c r="MYM169" s="173"/>
      <c r="MYN169" s="173"/>
      <c r="MYO169" s="173"/>
      <c r="MYP169" s="125"/>
      <c r="MYQ169" s="125"/>
      <c r="MYR169" s="134"/>
      <c r="MYS169" s="135"/>
      <c r="MYT169" s="135"/>
      <c r="MYU169" s="135"/>
      <c r="MYV169" s="135"/>
      <c r="MYW169" s="173"/>
      <c r="MYX169" s="173"/>
      <c r="MYY169" s="173"/>
      <c r="MYZ169" s="173"/>
      <c r="MZA169" s="173"/>
      <c r="MZB169" s="173"/>
      <c r="MZC169" s="173"/>
      <c r="MZD169" s="173"/>
      <c r="MZE169" s="173"/>
      <c r="MZF169" s="173"/>
      <c r="MZG169" s="125"/>
      <c r="MZH169" s="125"/>
      <c r="MZI169" s="134"/>
      <c r="MZJ169" s="135"/>
      <c r="MZK169" s="135"/>
      <c r="MZL169" s="135"/>
      <c r="MZM169" s="135"/>
      <c r="MZN169" s="173"/>
      <c r="MZO169" s="173"/>
      <c r="MZP169" s="173"/>
      <c r="MZQ169" s="173"/>
      <c r="MZR169" s="173"/>
      <c r="MZS169" s="173"/>
      <c r="MZT169" s="173"/>
      <c r="MZU169" s="173"/>
      <c r="MZV169" s="173"/>
      <c r="MZW169" s="173"/>
      <c r="MZX169" s="125"/>
      <c r="MZY169" s="125"/>
      <c r="MZZ169" s="134"/>
      <c r="NAA169" s="135"/>
      <c r="NAB169" s="135"/>
      <c r="NAC169" s="135"/>
      <c r="NAD169" s="135"/>
      <c r="NAE169" s="173"/>
      <c r="NAF169" s="173"/>
      <c r="NAG169" s="173"/>
      <c r="NAH169" s="173"/>
      <c r="NAI169" s="173"/>
      <c r="NAJ169" s="173"/>
      <c r="NAK169" s="173"/>
      <c r="NAL169" s="173"/>
      <c r="NAM169" s="173"/>
      <c r="NAN169" s="173"/>
      <c r="NAO169" s="125"/>
      <c r="NAP169" s="125"/>
      <c r="NAQ169" s="134"/>
      <c r="NAR169" s="135"/>
      <c r="NAS169" s="135"/>
      <c r="NAT169" s="135"/>
      <c r="NAU169" s="135"/>
      <c r="NAV169" s="173"/>
      <c r="NAW169" s="173"/>
      <c r="NAX169" s="173"/>
      <c r="NAY169" s="173"/>
      <c r="NAZ169" s="173"/>
      <c r="NBA169" s="173"/>
      <c r="NBB169" s="173"/>
      <c r="NBC169" s="173"/>
      <c r="NBD169" s="173"/>
      <c r="NBE169" s="173"/>
      <c r="NBF169" s="125"/>
      <c r="NBG169" s="125"/>
      <c r="NBH169" s="134"/>
      <c r="NBI169" s="135"/>
      <c r="NBJ169" s="135"/>
      <c r="NBK169" s="135"/>
      <c r="NBL169" s="135"/>
      <c r="NBM169" s="173"/>
      <c r="NBN169" s="173"/>
      <c r="NBO169" s="173"/>
      <c r="NBP169" s="173"/>
      <c r="NBQ169" s="173"/>
      <c r="NBR169" s="173"/>
      <c r="NBS169" s="173"/>
      <c r="NBT169" s="173"/>
      <c r="NBU169" s="173"/>
      <c r="NBV169" s="173"/>
      <c r="NBW169" s="125"/>
      <c r="NBX169" s="125"/>
      <c r="NBY169" s="134"/>
      <c r="NBZ169" s="135"/>
      <c r="NCA169" s="135"/>
      <c r="NCB169" s="135"/>
      <c r="NCC169" s="135"/>
      <c r="NCD169" s="173"/>
      <c r="NCE169" s="173"/>
      <c r="NCF169" s="173"/>
      <c r="NCG169" s="173"/>
      <c r="NCH169" s="173"/>
      <c r="NCI169" s="173"/>
      <c r="NCJ169" s="173"/>
      <c r="NCK169" s="173"/>
      <c r="NCL169" s="173"/>
      <c r="NCM169" s="173"/>
      <c r="NCN169" s="125"/>
      <c r="NCO169" s="125"/>
      <c r="NCP169" s="134"/>
      <c r="NCQ169" s="135"/>
      <c r="NCR169" s="135"/>
      <c r="NCS169" s="135"/>
      <c r="NCT169" s="135"/>
      <c r="NCU169" s="173"/>
      <c r="NCV169" s="173"/>
      <c r="NCW169" s="173"/>
      <c r="NCX169" s="173"/>
      <c r="NCY169" s="173"/>
      <c r="NCZ169" s="173"/>
      <c r="NDA169" s="173"/>
      <c r="NDB169" s="173"/>
      <c r="NDC169" s="173"/>
      <c r="NDD169" s="173"/>
      <c r="NDE169" s="125"/>
      <c r="NDF169" s="125"/>
      <c r="NDG169" s="134"/>
      <c r="NDH169" s="135"/>
      <c r="NDI169" s="135"/>
      <c r="NDJ169" s="135"/>
      <c r="NDK169" s="135"/>
      <c r="NDL169" s="173"/>
      <c r="NDM169" s="173"/>
      <c r="NDN169" s="173"/>
      <c r="NDO169" s="173"/>
      <c r="NDP169" s="173"/>
      <c r="NDQ169" s="173"/>
      <c r="NDR169" s="173"/>
      <c r="NDS169" s="173"/>
      <c r="NDT169" s="173"/>
      <c r="NDU169" s="173"/>
      <c r="NDV169" s="125"/>
      <c r="NDW169" s="125"/>
      <c r="NDX169" s="134"/>
      <c r="NDY169" s="135"/>
      <c r="NDZ169" s="135"/>
      <c r="NEA169" s="135"/>
      <c r="NEB169" s="135"/>
      <c r="NEC169" s="173"/>
      <c r="NED169" s="173"/>
      <c r="NEE169" s="173"/>
      <c r="NEF169" s="173"/>
      <c r="NEG169" s="173"/>
      <c r="NEH169" s="173"/>
      <c r="NEI169" s="173"/>
      <c r="NEJ169" s="173"/>
      <c r="NEK169" s="173"/>
      <c r="NEL169" s="173"/>
      <c r="NEM169" s="125"/>
      <c r="NEN169" s="125"/>
      <c r="NEO169" s="134"/>
      <c r="NEP169" s="135"/>
      <c r="NEQ169" s="135"/>
      <c r="NER169" s="135"/>
      <c r="NES169" s="135"/>
      <c r="NET169" s="173"/>
      <c r="NEU169" s="173"/>
      <c r="NEV169" s="173"/>
      <c r="NEW169" s="173"/>
      <c r="NEX169" s="173"/>
      <c r="NEY169" s="173"/>
      <c r="NEZ169" s="173"/>
      <c r="NFA169" s="173"/>
      <c r="NFB169" s="173"/>
      <c r="NFC169" s="173"/>
      <c r="NFD169" s="125"/>
      <c r="NFE169" s="125"/>
      <c r="NFF169" s="134"/>
      <c r="NFG169" s="135"/>
      <c r="NFH169" s="135"/>
      <c r="NFI169" s="135"/>
      <c r="NFJ169" s="135"/>
      <c r="NFK169" s="173"/>
      <c r="NFL169" s="173"/>
      <c r="NFM169" s="173"/>
      <c r="NFN169" s="173"/>
      <c r="NFO169" s="173"/>
      <c r="NFP169" s="173"/>
      <c r="NFQ169" s="173"/>
      <c r="NFR169" s="173"/>
      <c r="NFS169" s="173"/>
      <c r="NFT169" s="173"/>
      <c r="NFU169" s="125"/>
      <c r="NFV169" s="125"/>
      <c r="NFW169" s="134"/>
      <c r="NFX169" s="135"/>
      <c r="NFY169" s="135"/>
      <c r="NFZ169" s="135"/>
      <c r="NGA169" s="135"/>
      <c r="NGB169" s="173"/>
      <c r="NGC169" s="173"/>
      <c r="NGD169" s="173"/>
      <c r="NGE169" s="173"/>
      <c r="NGF169" s="173"/>
      <c r="NGG169" s="173"/>
      <c r="NGH169" s="173"/>
      <c r="NGI169" s="173"/>
      <c r="NGJ169" s="173"/>
      <c r="NGK169" s="173"/>
      <c r="NGL169" s="125"/>
      <c r="NGM169" s="125"/>
      <c r="NGN169" s="134"/>
      <c r="NGO169" s="135"/>
      <c r="NGP169" s="135"/>
      <c r="NGQ169" s="135"/>
      <c r="NGR169" s="135"/>
      <c r="NGS169" s="173"/>
      <c r="NGT169" s="173"/>
      <c r="NGU169" s="173"/>
      <c r="NGV169" s="173"/>
      <c r="NGW169" s="173"/>
      <c r="NGX169" s="173"/>
      <c r="NGY169" s="173"/>
      <c r="NGZ169" s="173"/>
      <c r="NHA169" s="173"/>
      <c r="NHB169" s="173"/>
      <c r="NHC169" s="125"/>
      <c r="NHD169" s="125"/>
      <c r="NHE169" s="134"/>
      <c r="NHF169" s="135"/>
      <c r="NHG169" s="135"/>
      <c r="NHH169" s="135"/>
      <c r="NHI169" s="135"/>
      <c r="NHJ169" s="173"/>
      <c r="NHK169" s="173"/>
      <c r="NHL169" s="173"/>
      <c r="NHM169" s="173"/>
      <c r="NHN169" s="173"/>
      <c r="NHO169" s="173"/>
      <c r="NHP169" s="173"/>
      <c r="NHQ169" s="173"/>
      <c r="NHR169" s="173"/>
      <c r="NHS169" s="173"/>
      <c r="NHT169" s="125"/>
      <c r="NHU169" s="125"/>
      <c r="NHV169" s="134"/>
      <c r="NHW169" s="135"/>
      <c r="NHX169" s="135"/>
      <c r="NHY169" s="135"/>
      <c r="NHZ169" s="135"/>
      <c r="NIA169" s="173"/>
      <c r="NIB169" s="173"/>
      <c r="NIC169" s="173"/>
      <c r="NID169" s="173"/>
      <c r="NIE169" s="173"/>
      <c r="NIF169" s="173"/>
      <c r="NIG169" s="173"/>
      <c r="NIH169" s="173"/>
      <c r="NII169" s="173"/>
      <c r="NIJ169" s="173"/>
      <c r="NIK169" s="125"/>
      <c r="NIL169" s="125"/>
      <c r="NIM169" s="134"/>
      <c r="NIN169" s="135"/>
      <c r="NIO169" s="135"/>
      <c r="NIP169" s="135"/>
      <c r="NIQ169" s="135"/>
      <c r="NIR169" s="173"/>
      <c r="NIS169" s="173"/>
      <c r="NIT169" s="173"/>
      <c r="NIU169" s="173"/>
      <c r="NIV169" s="173"/>
      <c r="NIW169" s="173"/>
      <c r="NIX169" s="173"/>
      <c r="NIY169" s="173"/>
      <c r="NIZ169" s="173"/>
      <c r="NJA169" s="173"/>
      <c r="NJB169" s="125"/>
      <c r="NJC169" s="125"/>
      <c r="NJD169" s="134"/>
      <c r="NJE169" s="135"/>
      <c r="NJF169" s="135"/>
      <c r="NJG169" s="135"/>
      <c r="NJH169" s="135"/>
      <c r="NJI169" s="173"/>
      <c r="NJJ169" s="173"/>
      <c r="NJK169" s="173"/>
      <c r="NJL169" s="173"/>
      <c r="NJM169" s="173"/>
      <c r="NJN169" s="173"/>
      <c r="NJO169" s="173"/>
      <c r="NJP169" s="173"/>
      <c r="NJQ169" s="173"/>
      <c r="NJR169" s="173"/>
      <c r="NJS169" s="125"/>
      <c r="NJT169" s="125"/>
      <c r="NJU169" s="134"/>
      <c r="NJV169" s="135"/>
      <c r="NJW169" s="135"/>
      <c r="NJX169" s="135"/>
      <c r="NJY169" s="135"/>
      <c r="NJZ169" s="173"/>
      <c r="NKA169" s="173"/>
      <c r="NKB169" s="173"/>
      <c r="NKC169" s="173"/>
      <c r="NKD169" s="173"/>
      <c r="NKE169" s="173"/>
      <c r="NKF169" s="173"/>
      <c r="NKG169" s="173"/>
      <c r="NKH169" s="173"/>
      <c r="NKI169" s="173"/>
      <c r="NKJ169" s="125"/>
      <c r="NKK169" s="125"/>
      <c r="NKL169" s="134"/>
      <c r="NKM169" s="135"/>
      <c r="NKN169" s="135"/>
      <c r="NKO169" s="135"/>
      <c r="NKP169" s="135"/>
      <c r="NKQ169" s="173"/>
      <c r="NKR169" s="173"/>
      <c r="NKS169" s="173"/>
      <c r="NKT169" s="173"/>
      <c r="NKU169" s="173"/>
      <c r="NKV169" s="173"/>
      <c r="NKW169" s="173"/>
      <c r="NKX169" s="173"/>
      <c r="NKY169" s="173"/>
      <c r="NKZ169" s="173"/>
      <c r="NLA169" s="125"/>
      <c r="NLB169" s="125"/>
      <c r="NLC169" s="134"/>
      <c r="NLD169" s="135"/>
      <c r="NLE169" s="135"/>
      <c r="NLF169" s="135"/>
      <c r="NLG169" s="135"/>
      <c r="NLH169" s="173"/>
      <c r="NLI169" s="173"/>
      <c r="NLJ169" s="173"/>
      <c r="NLK169" s="173"/>
      <c r="NLL169" s="173"/>
      <c r="NLM169" s="173"/>
      <c r="NLN169" s="173"/>
      <c r="NLO169" s="173"/>
      <c r="NLP169" s="173"/>
      <c r="NLQ169" s="173"/>
      <c r="NLR169" s="125"/>
      <c r="NLS169" s="125"/>
      <c r="NLT169" s="134"/>
      <c r="NLU169" s="135"/>
      <c r="NLV169" s="135"/>
      <c r="NLW169" s="135"/>
      <c r="NLX169" s="135"/>
      <c r="NLY169" s="173"/>
      <c r="NLZ169" s="173"/>
      <c r="NMA169" s="173"/>
      <c r="NMB169" s="173"/>
      <c r="NMC169" s="173"/>
      <c r="NMD169" s="173"/>
      <c r="NME169" s="173"/>
      <c r="NMF169" s="173"/>
      <c r="NMG169" s="173"/>
      <c r="NMH169" s="173"/>
      <c r="NMI169" s="125"/>
      <c r="NMJ169" s="125"/>
      <c r="NMK169" s="134"/>
      <c r="NML169" s="135"/>
      <c r="NMM169" s="135"/>
      <c r="NMN169" s="135"/>
      <c r="NMO169" s="135"/>
      <c r="NMP169" s="173"/>
      <c r="NMQ169" s="173"/>
      <c r="NMR169" s="173"/>
      <c r="NMS169" s="173"/>
      <c r="NMT169" s="173"/>
      <c r="NMU169" s="173"/>
      <c r="NMV169" s="173"/>
      <c r="NMW169" s="173"/>
      <c r="NMX169" s="173"/>
      <c r="NMY169" s="173"/>
      <c r="NMZ169" s="125"/>
      <c r="NNA169" s="125"/>
      <c r="NNB169" s="134"/>
      <c r="NNC169" s="135"/>
      <c r="NND169" s="135"/>
      <c r="NNE169" s="135"/>
      <c r="NNF169" s="135"/>
      <c r="NNG169" s="173"/>
      <c r="NNH169" s="173"/>
      <c r="NNI169" s="173"/>
      <c r="NNJ169" s="173"/>
      <c r="NNK169" s="173"/>
      <c r="NNL169" s="173"/>
      <c r="NNM169" s="173"/>
      <c r="NNN169" s="173"/>
      <c r="NNO169" s="173"/>
      <c r="NNP169" s="173"/>
      <c r="NNQ169" s="125"/>
      <c r="NNR169" s="125"/>
      <c r="NNS169" s="134"/>
      <c r="NNT169" s="135"/>
      <c r="NNU169" s="135"/>
      <c r="NNV169" s="135"/>
      <c r="NNW169" s="135"/>
      <c r="NNX169" s="173"/>
      <c r="NNY169" s="173"/>
      <c r="NNZ169" s="173"/>
      <c r="NOA169" s="173"/>
      <c r="NOB169" s="173"/>
      <c r="NOC169" s="173"/>
      <c r="NOD169" s="173"/>
      <c r="NOE169" s="173"/>
      <c r="NOF169" s="173"/>
      <c r="NOG169" s="173"/>
      <c r="NOH169" s="125"/>
      <c r="NOI169" s="125"/>
      <c r="NOJ169" s="134"/>
      <c r="NOK169" s="135"/>
      <c r="NOL169" s="135"/>
      <c r="NOM169" s="135"/>
      <c r="NON169" s="135"/>
      <c r="NOO169" s="173"/>
      <c r="NOP169" s="173"/>
      <c r="NOQ169" s="173"/>
      <c r="NOR169" s="173"/>
      <c r="NOS169" s="173"/>
      <c r="NOT169" s="173"/>
      <c r="NOU169" s="173"/>
      <c r="NOV169" s="173"/>
      <c r="NOW169" s="173"/>
      <c r="NOX169" s="173"/>
      <c r="NOY169" s="125"/>
      <c r="NOZ169" s="125"/>
      <c r="NPA169" s="134"/>
      <c r="NPB169" s="135"/>
      <c r="NPC169" s="135"/>
      <c r="NPD169" s="135"/>
      <c r="NPE169" s="135"/>
      <c r="NPF169" s="173"/>
      <c r="NPG169" s="173"/>
      <c r="NPH169" s="173"/>
      <c r="NPI169" s="173"/>
      <c r="NPJ169" s="173"/>
      <c r="NPK169" s="173"/>
      <c r="NPL169" s="173"/>
      <c r="NPM169" s="173"/>
      <c r="NPN169" s="173"/>
      <c r="NPO169" s="173"/>
      <c r="NPP169" s="125"/>
      <c r="NPQ169" s="125"/>
      <c r="NPR169" s="134"/>
      <c r="NPS169" s="135"/>
      <c r="NPT169" s="135"/>
      <c r="NPU169" s="135"/>
      <c r="NPV169" s="135"/>
      <c r="NPW169" s="173"/>
      <c r="NPX169" s="173"/>
      <c r="NPY169" s="173"/>
      <c r="NPZ169" s="173"/>
      <c r="NQA169" s="173"/>
      <c r="NQB169" s="173"/>
      <c r="NQC169" s="173"/>
      <c r="NQD169" s="173"/>
      <c r="NQE169" s="173"/>
      <c r="NQF169" s="173"/>
      <c r="NQG169" s="125"/>
      <c r="NQH169" s="125"/>
      <c r="NQI169" s="134"/>
      <c r="NQJ169" s="135"/>
      <c r="NQK169" s="135"/>
      <c r="NQL169" s="135"/>
      <c r="NQM169" s="135"/>
      <c r="NQN169" s="173"/>
      <c r="NQO169" s="173"/>
      <c r="NQP169" s="173"/>
      <c r="NQQ169" s="173"/>
      <c r="NQR169" s="173"/>
      <c r="NQS169" s="173"/>
      <c r="NQT169" s="173"/>
      <c r="NQU169" s="173"/>
      <c r="NQV169" s="173"/>
      <c r="NQW169" s="173"/>
      <c r="NQX169" s="125"/>
      <c r="NQY169" s="125"/>
      <c r="NQZ169" s="134"/>
      <c r="NRA169" s="135"/>
      <c r="NRB169" s="135"/>
      <c r="NRC169" s="135"/>
      <c r="NRD169" s="135"/>
      <c r="NRE169" s="173"/>
      <c r="NRF169" s="173"/>
      <c r="NRG169" s="173"/>
      <c r="NRH169" s="173"/>
      <c r="NRI169" s="173"/>
      <c r="NRJ169" s="173"/>
      <c r="NRK169" s="173"/>
      <c r="NRL169" s="173"/>
      <c r="NRM169" s="173"/>
      <c r="NRN169" s="173"/>
      <c r="NRO169" s="125"/>
      <c r="NRP169" s="125"/>
      <c r="NRQ169" s="134"/>
      <c r="NRR169" s="135"/>
      <c r="NRS169" s="135"/>
      <c r="NRT169" s="135"/>
      <c r="NRU169" s="135"/>
      <c r="NRV169" s="173"/>
      <c r="NRW169" s="173"/>
      <c r="NRX169" s="173"/>
      <c r="NRY169" s="173"/>
      <c r="NRZ169" s="173"/>
      <c r="NSA169" s="173"/>
      <c r="NSB169" s="173"/>
      <c r="NSC169" s="173"/>
      <c r="NSD169" s="173"/>
      <c r="NSE169" s="173"/>
      <c r="NSF169" s="125"/>
      <c r="NSG169" s="125"/>
      <c r="NSH169" s="134"/>
      <c r="NSI169" s="135"/>
      <c r="NSJ169" s="135"/>
      <c r="NSK169" s="135"/>
      <c r="NSL169" s="135"/>
      <c r="NSM169" s="173"/>
      <c r="NSN169" s="173"/>
      <c r="NSO169" s="173"/>
      <c r="NSP169" s="173"/>
      <c r="NSQ169" s="173"/>
      <c r="NSR169" s="173"/>
      <c r="NSS169" s="173"/>
      <c r="NST169" s="173"/>
      <c r="NSU169" s="173"/>
      <c r="NSV169" s="173"/>
      <c r="NSW169" s="125"/>
      <c r="NSX169" s="125"/>
      <c r="NSY169" s="134"/>
      <c r="NSZ169" s="135"/>
      <c r="NTA169" s="135"/>
      <c r="NTB169" s="135"/>
      <c r="NTC169" s="135"/>
      <c r="NTD169" s="173"/>
      <c r="NTE169" s="173"/>
      <c r="NTF169" s="173"/>
      <c r="NTG169" s="173"/>
      <c r="NTH169" s="173"/>
      <c r="NTI169" s="173"/>
      <c r="NTJ169" s="173"/>
      <c r="NTK169" s="173"/>
      <c r="NTL169" s="173"/>
      <c r="NTM169" s="173"/>
      <c r="NTN169" s="125"/>
      <c r="NTO169" s="125"/>
      <c r="NTP169" s="134"/>
      <c r="NTQ169" s="135"/>
      <c r="NTR169" s="135"/>
      <c r="NTS169" s="135"/>
      <c r="NTT169" s="135"/>
      <c r="NTU169" s="173"/>
      <c r="NTV169" s="173"/>
      <c r="NTW169" s="173"/>
      <c r="NTX169" s="173"/>
      <c r="NTY169" s="173"/>
      <c r="NTZ169" s="173"/>
      <c r="NUA169" s="173"/>
      <c r="NUB169" s="173"/>
      <c r="NUC169" s="173"/>
      <c r="NUD169" s="173"/>
      <c r="NUE169" s="125"/>
      <c r="NUF169" s="125"/>
      <c r="NUG169" s="134"/>
      <c r="NUH169" s="135"/>
      <c r="NUI169" s="135"/>
      <c r="NUJ169" s="135"/>
      <c r="NUK169" s="135"/>
      <c r="NUL169" s="173"/>
      <c r="NUM169" s="173"/>
      <c r="NUN169" s="173"/>
      <c r="NUO169" s="173"/>
      <c r="NUP169" s="173"/>
      <c r="NUQ169" s="173"/>
      <c r="NUR169" s="173"/>
      <c r="NUS169" s="173"/>
      <c r="NUT169" s="173"/>
      <c r="NUU169" s="173"/>
      <c r="NUV169" s="125"/>
      <c r="NUW169" s="125"/>
      <c r="NUX169" s="134"/>
      <c r="NUY169" s="135"/>
      <c r="NUZ169" s="135"/>
      <c r="NVA169" s="135"/>
      <c r="NVB169" s="135"/>
      <c r="NVC169" s="173"/>
      <c r="NVD169" s="173"/>
      <c r="NVE169" s="173"/>
      <c r="NVF169" s="173"/>
      <c r="NVG169" s="173"/>
      <c r="NVH169" s="173"/>
      <c r="NVI169" s="173"/>
      <c r="NVJ169" s="173"/>
      <c r="NVK169" s="173"/>
      <c r="NVL169" s="173"/>
      <c r="NVM169" s="125"/>
      <c r="NVN169" s="125"/>
      <c r="NVO169" s="134"/>
      <c r="NVP169" s="135"/>
      <c r="NVQ169" s="135"/>
      <c r="NVR169" s="135"/>
      <c r="NVS169" s="135"/>
      <c r="NVT169" s="173"/>
      <c r="NVU169" s="173"/>
      <c r="NVV169" s="173"/>
      <c r="NVW169" s="173"/>
      <c r="NVX169" s="173"/>
      <c r="NVY169" s="173"/>
      <c r="NVZ169" s="173"/>
      <c r="NWA169" s="173"/>
      <c r="NWB169" s="173"/>
      <c r="NWC169" s="173"/>
      <c r="NWD169" s="125"/>
      <c r="NWE169" s="125"/>
      <c r="NWF169" s="134"/>
      <c r="NWG169" s="135"/>
      <c r="NWH169" s="135"/>
      <c r="NWI169" s="135"/>
      <c r="NWJ169" s="135"/>
      <c r="NWK169" s="173"/>
      <c r="NWL169" s="173"/>
      <c r="NWM169" s="173"/>
      <c r="NWN169" s="173"/>
      <c r="NWO169" s="173"/>
      <c r="NWP169" s="173"/>
      <c r="NWQ169" s="173"/>
      <c r="NWR169" s="173"/>
      <c r="NWS169" s="173"/>
      <c r="NWT169" s="173"/>
      <c r="NWU169" s="125"/>
      <c r="NWV169" s="125"/>
      <c r="NWW169" s="134"/>
      <c r="NWX169" s="135"/>
      <c r="NWY169" s="135"/>
      <c r="NWZ169" s="135"/>
      <c r="NXA169" s="135"/>
      <c r="NXB169" s="173"/>
      <c r="NXC169" s="173"/>
      <c r="NXD169" s="173"/>
      <c r="NXE169" s="173"/>
      <c r="NXF169" s="173"/>
      <c r="NXG169" s="173"/>
      <c r="NXH169" s="173"/>
      <c r="NXI169" s="173"/>
      <c r="NXJ169" s="173"/>
      <c r="NXK169" s="173"/>
      <c r="NXL169" s="125"/>
      <c r="NXM169" s="125"/>
      <c r="NXN169" s="134"/>
      <c r="NXO169" s="135"/>
      <c r="NXP169" s="135"/>
      <c r="NXQ169" s="135"/>
      <c r="NXR169" s="135"/>
      <c r="NXS169" s="173"/>
      <c r="NXT169" s="173"/>
      <c r="NXU169" s="173"/>
      <c r="NXV169" s="173"/>
      <c r="NXW169" s="173"/>
      <c r="NXX169" s="173"/>
      <c r="NXY169" s="173"/>
      <c r="NXZ169" s="173"/>
      <c r="NYA169" s="173"/>
      <c r="NYB169" s="173"/>
      <c r="NYC169" s="125"/>
      <c r="NYD169" s="125"/>
      <c r="NYE169" s="134"/>
      <c r="NYF169" s="135"/>
      <c r="NYG169" s="135"/>
      <c r="NYH169" s="135"/>
      <c r="NYI169" s="135"/>
      <c r="NYJ169" s="173"/>
      <c r="NYK169" s="173"/>
      <c r="NYL169" s="173"/>
      <c r="NYM169" s="173"/>
      <c r="NYN169" s="173"/>
      <c r="NYO169" s="173"/>
      <c r="NYP169" s="173"/>
      <c r="NYQ169" s="173"/>
      <c r="NYR169" s="173"/>
      <c r="NYS169" s="173"/>
      <c r="NYT169" s="125"/>
      <c r="NYU169" s="125"/>
      <c r="NYV169" s="134"/>
      <c r="NYW169" s="135"/>
      <c r="NYX169" s="135"/>
      <c r="NYY169" s="135"/>
      <c r="NYZ169" s="135"/>
      <c r="NZA169" s="173"/>
      <c r="NZB169" s="173"/>
      <c r="NZC169" s="173"/>
      <c r="NZD169" s="173"/>
      <c r="NZE169" s="173"/>
      <c r="NZF169" s="173"/>
      <c r="NZG169" s="173"/>
      <c r="NZH169" s="173"/>
      <c r="NZI169" s="173"/>
      <c r="NZJ169" s="173"/>
      <c r="NZK169" s="125"/>
      <c r="NZL169" s="125"/>
      <c r="NZM169" s="134"/>
      <c r="NZN169" s="135"/>
      <c r="NZO169" s="135"/>
      <c r="NZP169" s="135"/>
      <c r="NZQ169" s="135"/>
      <c r="NZR169" s="173"/>
      <c r="NZS169" s="173"/>
      <c r="NZT169" s="173"/>
      <c r="NZU169" s="173"/>
      <c r="NZV169" s="173"/>
      <c r="NZW169" s="173"/>
      <c r="NZX169" s="173"/>
      <c r="NZY169" s="173"/>
      <c r="NZZ169" s="173"/>
      <c r="OAA169" s="173"/>
      <c r="OAB169" s="125"/>
      <c r="OAC169" s="125"/>
      <c r="OAD169" s="134"/>
      <c r="OAE169" s="135"/>
      <c r="OAF169" s="135"/>
      <c r="OAG169" s="135"/>
      <c r="OAH169" s="135"/>
      <c r="OAI169" s="173"/>
      <c r="OAJ169" s="173"/>
      <c r="OAK169" s="173"/>
      <c r="OAL169" s="173"/>
      <c r="OAM169" s="173"/>
      <c r="OAN169" s="173"/>
      <c r="OAO169" s="173"/>
      <c r="OAP169" s="173"/>
      <c r="OAQ169" s="173"/>
      <c r="OAR169" s="173"/>
      <c r="OAS169" s="125"/>
      <c r="OAT169" s="125"/>
      <c r="OAU169" s="134"/>
      <c r="OAV169" s="135"/>
      <c r="OAW169" s="135"/>
      <c r="OAX169" s="135"/>
      <c r="OAY169" s="135"/>
      <c r="OAZ169" s="173"/>
      <c r="OBA169" s="173"/>
      <c r="OBB169" s="173"/>
      <c r="OBC169" s="173"/>
      <c r="OBD169" s="173"/>
      <c r="OBE169" s="173"/>
      <c r="OBF169" s="173"/>
      <c r="OBG169" s="173"/>
      <c r="OBH169" s="173"/>
      <c r="OBI169" s="173"/>
      <c r="OBJ169" s="125"/>
      <c r="OBK169" s="125"/>
      <c r="OBL169" s="134"/>
      <c r="OBM169" s="135"/>
      <c r="OBN169" s="135"/>
      <c r="OBO169" s="135"/>
      <c r="OBP169" s="135"/>
      <c r="OBQ169" s="173"/>
      <c r="OBR169" s="173"/>
      <c r="OBS169" s="173"/>
      <c r="OBT169" s="173"/>
      <c r="OBU169" s="173"/>
      <c r="OBV169" s="173"/>
      <c r="OBW169" s="173"/>
      <c r="OBX169" s="173"/>
      <c r="OBY169" s="173"/>
      <c r="OBZ169" s="173"/>
      <c r="OCA169" s="125"/>
      <c r="OCB169" s="125"/>
      <c r="OCC169" s="134"/>
      <c r="OCD169" s="135"/>
      <c r="OCE169" s="135"/>
      <c r="OCF169" s="135"/>
      <c r="OCG169" s="135"/>
      <c r="OCH169" s="173"/>
      <c r="OCI169" s="173"/>
      <c r="OCJ169" s="173"/>
      <c r="OCK169" s="173"/>
      <c r="OCL169" s="173"/>
      <c r="OCM169" s="173"/>
      <c r="OCN169" s="173"/>
      <c r="OCO169" s="173"/>
      <c r="OCP169" s="173"/>
      <c r="OCQ169" s="173"/>
      <c r="OCR169" s="125"/>
      <c r="OCS169" s="125"/>
      <c r="OCT169" s="134"/>
      <c r="OCU169" s="135"/>
      <c r="OCV169" s="135"/>
      <c r="OCW169" s="135"/>
      <c r="OCX169" s="135"/>
      <c r="OCY169" s="173"/>
      <c r="OCZ169" s="173"/>
      <c r="ODA169" s="173"/>
      <c r="ODB169" s="173"/>
      <c r="ODC169" s="173"/>
      <c r="ODD169" s="173"/>
      <c r="ODE169" s="173"/>
      <c r="ODF169" s="173"/>
      <c r="ODG169" s="173"/>
      <c r="ODH169" s="173"/>
      <c r="ODI169" s="125"/>
      <c r="ODJ169" s="125"/>
      <c r="ODK169" s="134"/>
      <c r="ODL169" s="135"/>
      <c r="ODM169" s="135"/>
      <c r="ODN169" s="135"/>
      <c r="ODO169" s="135"/>
      <c r="ODP169" s="173"/>
      <c r="ODQ169" s="173"/>
      <c r="ODR169" s="173"/>
      <c r="ODS169" s="173"/>
      <c r="ODT169" s="173"/>
      <c r="ODU169" s="173"/>
      <c r="ODV169" s="173"/>
      <c r="ODW169" s="173"/>
      <c r="ODX169" s="173"/>
      <c r="ODY169" s="173"/>
      <c r="ODZ169" s="125"/>
      <c r="OEA169" s="125"/>
      <c r="OEB169" s="134"/>
      <c r="OEC169" s="135"/>
      <c r="OED169" s="135"/>
      <c r="OEE169" s="135"/>
      <c r="OEF169" s="135"/>
      <c r="OEG169" s="173"/>
      <c r="OEH169" s="173"/>
      <c r="OEI169" s="173"/>
      <c r="OEJ169" s="173"/>
      <c r="OEK169" s="173"/>
      <c r="OEL169" s="173"/>
      <c r="OEM169" s="173"/>
      <c r="OEN169" s="173"/>
      <c r="OEO169" s="173"/>
      <c r="OEP169" s="173"/>
      <c r="OEQ169" s="125"/>
      <c r="OER169" s="125"/>
      <c r="OES169" s="134"/>
      <c r="OET169" s="135"/>
      <c r="OEU169" s="135"/>
      <c r="OEV169" s="135"/>
      <c r="OEW169" s="135"/>
      <c r="OEX169" s="173"/>
      <c r="OEY169" s="173"/>
      <c r="OEZ169" s="173"/>
      <c r="OFA169" s="173"/>
      <c r="OFB169" s="173"/>
      <c r="OFC169" s="173"/>
      <c r="OFD169" s="173"/>
      <c r="OFE169" s="173"/>
      <c r="OFF169" s="173"/>
      <c r="OFG169" s="173"/>
      <c r="OFH169" s="125"/>
      <c r="OFI169" s="125"/>
      <c r="OFJ169" s="134"/>
      <c r="OFK169" s="135"/>
      <c r="OFL169" s="135"/>
      <c r="OFM169" s="135"/>
      <c r="OFN169" s="135"/>
      <c r="OFO169" s="173"/>
      <c r="OFP169" s="173"/>
      <c r="OFQ169" s="173"/>
      <c r="OFR169" s="173"/>
      <c r="OFS169" s="173"/>
      <c r="OFT169" s="173"/>
      <c r="OFU169" s="173"/>
      <c r="OFV169" s="173"/>
      <c r="OFW169" s="173"/>
      <c r="OFX169" s="173"/>
      <c r="OFY169" s="125"/>
      <c r="OFZ169" s="125"/>
      <c r="OGA169" s="134"/>
      <c r="OGB169" s="135"/>
      <c r="OGC169" s="135"/>
      <c r="OGD169" s="135"/>
      <c r="OGE169" s="135"/>
      <c r="OGF169" s="173"/>
      <c r="OGG169" s="173"/>
      <c r="OGH169" s="173"/>
      <c r="OGI169" s="173"/>
      <c r="OGJ169" s="173"/>
      <c r="OGK169" s="173"/>
      <c r="OGL169" s="173"/>
      <c r="OGM169" s="173"/>
      <c r="OGN169" s="173"/>
      <c r="OGO169" s="173"/>
      <c r="OGP169" s="125"/>
      <c r="OGQ169" s="125"/>
      <c r="OGR169" s="134"/>
      <c r="OGS169" s="135"/>
      <c r="OGT169" s="135"/>
      <c r="OGU169" s="135"/>
      <c r="OGV169" s="135"/>
      <c r="OGW169" s="173"/>
      <c r="OGX169" s="173"/>
      <c r="OGY169" s="173"/>
      <c r="OGZ169" s="173"/>
      <c r="OHA169" s="173"/>
      <c r="OHB169" s="173"/>
      <c r="OHC169" s="173"/>
      <c r="OHD169" s="173"/>
      <c r="OHE169" s="173"/>
      <c r="OHF169" s="173"/>
      <c r="OHG169" s="125"/>
      <c r="OHH169" s="125"/>
      <c r="OHI169" s="134"/>
      <c r="OHJ169" s="135"/>
      <c r="OHK169" s="135"/>
      <c r="OHL169" s="135"/>
      <c r="OHM169" s="135"/>
      <c r="OHN169" s="173"/>
      <c r="OHO169" s="173"/>
      <c r="OHP169" s="173"/>
      <c r="OHQ169" s="173"/>
      <c r="OHR169" s="173"/>
      <c r="OHS169" s="173"/>
      <c r="OHT169" s="173"/>
      <c r="OHU169" s="173"/>
      <c r="OHV169" s="173"/>
      <c r="OHW169" s="173"/>
      <c r="OHX169" s="125"/>
      <c r="OHY169" s="125"/>
      <c r="OHZ169" s="134"/>
      <c r="OIA169" s="135"/>
      <c r="OIB169" s="135"/>
      <c r="OIC169" s="135"/>
      <c r="OID169" s="135"/>
      <c r="OIE169" s="173"/>
      <c r="OIF169" s="173"/>
      <c r="OIG169" s="173"/>
      <c r="OIH169" s="173"/>
      <c r="OII169" s="173"/>
      <c r="OIJ169" s="173"/>
      <c r="OIK169" s="173"/>
      <c r="OIL169" s="173"/>
      <c r="OIM169" s="173"/>
      <c r="OIN169" s="173"/>
      <c r="OIO169" s="125"/>
      <c r="OIP169" s="125"/>
      <c r="OIQ169" s="134"/>
      <c r="OIR169" s="135"/>
      <c r="OIS169" s="135"/>
      <c r="OIT169" s="135"/>
      <c r="OIU169" s="135"/>
      <c r="OIV169" s="173"/>
      <c r="OIW169" s="173"/>
      <c r="OIX169" s="173"/>
      <c r="OIY169" s="173"/>
      <c r="OIZ169" s="173"/>
      <c r="OJA169" s="173"/>
      <c r="OJB169" s="173"/>
      <c r="OJC169" s="173"/>
      <c r="OJD169" s="173"/>
      <c r="OJE169" s="173"/>
      <c r="OJF169" s="125"/>
      <c r="OJG169" s="125"/>
      <c r="OJH169" s="134"/>
      <c r="OJI169" s="135"/>
      <c r="OJJ169" s="135"/>
      <c r="OJK169" s="135"/>
      <c r="OJL169" s="135"/>
      <c r="OJM169" s="173"/>
      <c r="OJN169" s="173"/>
      <c r="OJO169" s="173"/>
      <c r="OJP169" s="173"/>
      <c r="OJQ169" s="173"/>
      <c r="OJR169" s="173"/>
      <c r="OJS169" s="173"/>
      <c r="OJT169" s="173"/>
      <c r="OJU169" s="173"/>
      <c r="OJV169" s="173"/>
      <c r="OJW169" s="125"/>
      <c r="OJX169" s="125"/>
      <c r="OJY169" s="134"/>
      <c r="OJZ169" s="135"/>
      <c r="OKA169" s="135"/>
      <c r="OKB169" s="135"/>
      <c r="OKC169" s="135"/>
      <c r="OKD169" s="173"/>
      <c r="OKE169" s="173"/>
      <c r="OKF169" s="173"/>
      <c r="OKG169" s="173"/>
      <c r="OKH169" s="173"/>
      <c r="OKI169" s="173"/>
      <c r="OKJ169" s="173"/>
      <c r="OKK169" s="173"/>
      <c r="OKL169" s="173"/>
      <c r="OKM169" s="173"/>
      <c r="OKN169" s="125"/>
      <c r="OKO169" s="125"/>
      <c r="OKP169" s="134"/>
      <c r="OKQ169" s="135"/>
      <c r="OKR169" s="135"/>
      <c r="OKS169" s="135"/>
      <c r="OKT169" s="135"/>
      <c r="OKU169" s="173"/>
      <c r="OKV169" s="173"/>
      <c r="OKW169" s="173"/>
      <c r="OKX169" s="173"/>
      <c r="OKY169" s="173"/>
      <c r="OKZ169" s="173"/>
      <c r="OLA169" s="173"/>
      <c r="OLB169" s="173"/>
      <c r="OLC169" s="173"/>
      <c r="OLD169" s="173"/>
      <c r="OLE169" s="125"/>
      <c r="OLF169" s="125"/>
      <c r="OLG169" s="134"/>
      <c r="OLH169" s="135"/>
      <c r="OLI169" s="135"/>
      <c r="OLJ169" s="135"/>
      <c r="OLK169" s="135"/>
      <c r="OLL169" s="173"/>
      <c r="OLM169" s="173"/>
      <c r="OLN169" s="173"/>
      <c r="OLO169" s="173"/>
      <c r="OLP169" s="173"/>
      <c r="OLQ169" s="173"/>
      <c r="OLR169" s="173"/>
      <c r="OLS169" s="173"/>
      <c r="OLT169" s="173"/>
      <c r="OLU169" s="173"/>
      <c r="OLV169" s="125"/>
      <c r="OLW169" s="125"/>
      <c r="OLX169" s="134"/>
      <c r="OLY169" s="135"/>
      <c r="OLZ169" s="135"/>
      <c r="OMA169" s="135"/>
      <c r="OMB169" s="135"/>
      <c r="OMC169" s="173"/>
      <c r="OMD169" s="173"/>
      <c r="OME169" s="173"/>
      <c r="OMF169" s="173"/>
      <c r="OMG169" s="173"/>
      <c r="OMH169" s="173"/>
      <c r="OMI169" s="173"/>
      <c r="OMJ169" s="173"/>
      <c r="OMK169" s="173"/>
      <c r="OML169" s="173"/>
      <c r="OMM169" s="125"/>
      <c r="OMN169" s="125"/>
      <c r="OMO169" s="134"/>
      <c r="OMP169" s="135"/>
      <c r="OMQ169" s="135"/>
      <c r="OMR169" s="135"/>
      <c r="OMS169" s="135"/>
      <c r="OMT169" s="173"/>
      <c r="OMU169" s="173"/>
      <c r="OMV169" s="173"/>
      <c r="OMW169" s="173"/>
      <c r="OMX169" s="173"/>
      <c r="OMY169" s="173"/>
      <c r="OMZ169" s="173"/>
      <c r="ONA169" s="173"/>
      <c r="ONB169" s="173"/>
      <c r="ONC169" s="173"/>
      <c r="OND169" s="125"/>
      <c r="ONE169" s="125"/>
      <c r="ONF169" s="134"/>
      <c r="ONG169" s="135"/>
      <c r="ONH169" s="135"/>
      <c r="ONI169" s="135"/>
      <c r="ONJ169" s="135"/>
      <c r="ONK169" s="173"/>
      <c r="ONL169" s="173"/>
      <c r="ONM169" s="173"/>
      <c r="ONN169" s="173"/>
      <c r="ONO169" s="173"/>
      <c r="ONP169" s="173"/>
      <c r="ONQ169" s="173"/>
      <c r="ONR169" s="173"/>
      <c r="ONS169" s="173"/>
      <c r="ONT169" s="173"/>
      <c r="ONU169" s="125"/>
      <c r="ONV169" s="125"/>
      <c r="ONW169" s="134"/>
      <c r="ONX169" s="135"/>
      <c r="ONY169" s="135"/>
      <c r="ONZ169" s="135"/>
      <c r="OOA169" s="135"/>
      <c r="OOB169" s="173"/>
      <c r="OOC169" s="173"/>
      <c r="OOD169" s="173"/>
      <c r="OOE169" s="173"/>
      <c r="OOF169" s="173"/>
      <c r="OOG169" s="173"/>
      <c r="OOH169" s="173"/>
      <c r="OOI169" s="173"/>
      <c r="OOJ169" s="173"/>
      <c r="OOK169" s="173"/>
      <c r="OOL169" s="125"/>
      <c r="OOM169" s="125"/>
      <c r="OON169" s="134"/>
      <c r="OOO169" s="135"/>
      <c r="OOP169" s="135"/>
      <c r="OOQ169" s="135"/>
      <c r="OOR169" s="135"/>
      <c r="OOS169" s="173"/>
      <c r="OOT169" s="173"/>
      <c r="OOU169" s="173"/>
      <c r="OOV169" s="173"/>
      <c r="OOW169" s="173"/>
      <c r="OOX169" s="173"/>
      <c r="OOY169" s="173"/>
      <c r="OOZ169" s="173"/>
      <c r="OPA169" s="173"/>
      <c r="OPB169" s="173"/>
      <c r="OPC169" s="125"/>
      <c r="OPD169" s="125"/>
      <c r="OPE169" s="134"/>
      <c r="OPF169" s="135"/>
      <c r="OPG169" s="135"/>
      <c r="OPH169" s="135"/>
      <c r="OPI169" s="135"/>
      <c r="OPJ169" s="173"/>
      <c r="OPK169" s="173"/>
      <c r="OPL169" s="173"/>
      <c r="OPM169" s="173"/>
      <c r="OPN169" s="173"/>
      <c r="OPO169" s="173"/>
      <c r="OPP169" s="173"/>
      <c r="OPQ169" s="173"/>
      <c r="OPR169" s="173"/>
      <c r="OPS169" s="173"/>
      <c r="OPT169" s="125"/>
      <c r="OPU169" s="125"/>
      <c r="OPV169" s="134"/>
      <c r="OPW169" s="135"/>
      <c r="OPX169" s="135"/>
      <c r="OPY169" s="135"/>
      <c r="OPZ169" s="135"/>
      <c r="OQA169" s="173"/>
      <c r="OQB169" s="173"/>
      <c r="OQC169" s="173"/>
      <c r="OQD169" s="173"/>
      <c r="OQE169" s="173"/>
      <c r="OQF169" s="173"/>
      <c r="OQG169" s="173"/>
      <c r="OQH169" s="173"/>
      <c r="OQI169" s="173"/>
      <c r="OQJ169" s="173"/>
      <c r="OQK169" s="125"/>
      <c r="OQL169" s="125"/>
      <c r="OQM169" s="134"/>
      <c r="OQN169" s="135"/>
      <c r="OQO169" s="135"/>
      <c r="OQP169" s="135"/>
      <c r="OQQ169" s="135"/>
      <c r="OQR169" s="173"/>
      <c r="OQS169" s="173"/>
      <c r="OQT169" s="173"/>
      <c r="OQU169" s="173"/>
      <c r="OQV169" s="173"/>
      <c r="OQW169" s="173"/>
      <c r="OQX169" s="173"/>
      <c r="OQY169" s="173"/>
      <c r="OQZ169" s="173"/>
      <c r="ORA169" s="173"/>
      <c r="ORB169" s="125"/>
      <c r="ORC169" s="125"/>
      <c r="ORD169" s="134"/>
      <c r="ORE169" s="135"/>
      <c r="ORF169" s="135"/>
      <c r="ORG169" s="135"/>
      <c r="ORH169" s="135"/>
      <c r="ORI169" s="173"/>
      <c r="ORJ169" s="173"/>
      <c r="ORK169" s="173"/>
      <c r="ORL169" s="173"/>
      <c r="ORM169" s="173"/>
      <c r="ORN169" s="173"/>
      <c r="ORO169" s="173"/>
      <c r="ORP169" s="173"/>
      <c r="ORQ169" s="173"/>
      <c r="ORR169" s="173"/>
      <c r="ORS169" s="125"/>
      <c r="ORT169" s="125"/>
      <c r="ORU169" s="134"/>
      <c r="ORV169" s="135"/>
      <c r="ORW169" s="135"/>
      <c r="ORX169" s="135"/>
      <c r="ORY169" s="135"/>
      <c r="ORZ169" s="173"/>
      <c r="OSA169" s="173"/>
      <c r="OSB169" s="173"/>
      <c r="OSC169" s="173"/>
      <c r="OSD169" s="173"/>
      <c r="OSE169" s="173"/>
      <c r="OSF169" s="173"/>
      <c r="OSG169" s="173"/>
      <c r="OSH169" s="173"/>
      <c r="OSI169" s="173"/>
      <c r="OSJ169" s="125"/>
      <c r="OSK169" s="125"/>
      <c r="OSL169" s="134"/>
      <c r="OSM169" s="135"/>
      <c r="OSN169" s="135"/>
      <c r="OSO169" s="135"/>
      <c r="OSP169" s="135"/>
      <c r="OSQ169" s="173"/>
      <c r="OSR169" s="173"/>
      <c r="OSS169" s="173"/>
      <c r="OST169" s="173"/>
      <c r="OSU169" s="173"/>
      <c r="OSV169" s="173"/>
      <c r="OSW169" s="173"/>
      <c r="OSX169" s="173"/>
      <c r="OSY169" s="173"/>
      <c r="OSZ169" s="173"/>
      <c r="OTA169" s="125"/>
      <c r="OTB169" s="125"/>
      <c r="OTC169" s="134"/>
      <c r="OTD169" s="135"/>
      <c r="OTE169" s="135"/>
      <c r="OTF169" s="135"/>
      <c r="OTG169" s="135"/>
      <c r="OTH169" s="173"/>
      <c r="OTI169" s="173"/>
      <c r="OTJ169" s="173"/>
      <c r="OTK169" s="173"/>
      <c r="OTL169" s="173"/>
      <c r="OTM169" s="173"/>
      <c r="OTN169" s="173"/>
      <c r="OTO169" s="173"/>
      <c r="OTP169" s="173"/>
      <c r="OTQ169" s="173"/>
      <c r="OTR169" s="125"/>
      <c r="OTS169" s="125"/>
      <c r="OTT169" s="134"/>
      <c r="OTU169" s="135"/>
      <c r="OTV169" s="135"/>
      <c r="OTW169" s="135"/>
      <c r="OTX169" s="135"/>
      <c r="OTY169" s="173"/>
      <c r="OTZ169" s="173"/>
      <c r="OUA169" s="173"/>
      <c r="OUB169" s="173"/>
      <c r="OUC169" s="173"/>
      <c r="OUD169" s="173"/>
      <c r="OUE169" s="173"/>
      <c r="OUF169" s="173"/>
      <c r="OUG169" s="173"/>
      <c r="OUH169" s="173"/>
      <c r="OUI169" s="125"/>
      <c r="OUJ169" s="125"/>
      <c r="OUK169" s="134"/>
      <c r="OUL169" s="135"/>
      <c r="OUM169" s="135"/>
      <c r="OUN169" s="135"/>
      <c r="OUO169" s="135"/>
      <c r="OUP169" s="173"/>
      <c r="OUQ169" s="173"/>
      <c r="OUR169" s="173"/>
      <c r="OUS169" s="173"/>
      <c r="OUT169" s="173"/>
      <c r="OUU169" s="173"/>
      <c r="OUV169" s="173"/>
      <c r="OUW169" s="173"/>
      <c r="OUX169" s="173"/>
      <c r="OUY169" s="173"/>
      <c r="OUZ169" s="125"/>
      <c r="OVA169" s="125"/>
      <c r="OVB169" s="134"/>
      <c r="OVC169" s="135"/>
      <c r="OVD169" s="135"/>
      <c r="OVE169" s="135"/>
      <c r="OVF169" s="135"/>
      <c r="OVG169" s="173"/>
      <c r="OVH169" s="173"/>
      <c r="OVI169" s="173"/>
      <c r="OVJ169" s="173"/>
      <c r="OVK169" s="173"/>
      <c r="OVL169" s="173"/>
      <c r="OVM169" s="173"/>
      <c r="OVN169" s="173"/>
      <c r="OVO169" s="173"/>
      <c r="OVP169" s="173"/>
      <c r="OVQ169" s="125"/>
      <c r="OVR169" s="125"/>
      <c r="OVS169" s="134"/>
      <c r="OVT169" s="135"/>
      <c r="OVU169" s="135"/>
      <c r="OVV169" s="135"/>
      <c r="OVW169" s="135"/>
      <c r="OVX169" s="173"/>
      <c r="OVY169" s="173"/>
      <c r="OVZ169" s="173"/>
      <c r="OWA169" s="173"/>
      <c r="OWB169" s="173"/>
      <c r="OWC169" s="173"/>
      <c r="OWD169" s="173"/>
      <c r="OWE169" s="173"/>
      <c r="OWF169" s="173"/>
      <c r="OWG169" s="173"/>
      <c r="OWH169" s="125"/>
      <c r="OWI169" s="125"/>
      <c r="OWJ169" s="134"/>
      <c r="OWK169" s="135"/>
      <c r="OWL169" s="135"/>
      <c r="OWM169" s="135"/>
      <c r="OWN169" s="135"/>
      <c r="OWO169" s="173"/>
      <c r="OWP169" s="173"/>
      <c r="OWQ169" s="173"/>
      <c r="OWR169" s="173"/>
      <c r="OWS169" s="173"/>
      <c r="OWT169" s="173"/>
      <c r="OWU169" s="173"/>
      <c r="OWV169" s="173"/>
      <c r="OWW169" s="173"/>
      <c r="OWX169" s="173"/>
      <c r="OWY169" s="125"/>
      <c r="OWZ169" s="125"/>
      <c r="OXA169" s="134"/>
      <c r="OXB169" s="135"/>
      <c r="OXC169" s="135"/>
      <c r="OXD169" s="135"/>
      <c r="OXE169" s="135"/>
      <c r="OXF169" s="173"/>
      <c r="OXG169" s="173"/>
      <c r="OXH169" s="173"/>
      <c r="OXI169" s="173"/>
      <c r="OXJ169" s="173"/>
      <c r="OXK169" s="173"/>
      <c r="OXL169" s="173"/>
      <c r="OXM169" s="173"/>
      <c r="OXN169" s="173"/>
      <c r="OXO169" s="173"/>
      <c r="OXP169" s="125"/>
      <c r="OXQ169" s="125"/>
      <c r="OXR169" s="134"/>
      <c r="OXS169" s="135"/>
      <c r="OXT169" s="135"/>
      <c r="OXU169" s="135"/>
      <c r="OXV169" s="135"/>
      <c r="OXW169" s="173"/>
      <c r="OXX169" s="173"/>
      <c r="OXY169" s="173"/>
      <c r="OXZ169" s="173"/>
      <c r="OYA169" s="173"/>
      <c r="OYB169" s="173"/>
      <c r="OYC169" s="173"/>
      <c r="OYD169" s="173"/>
      <c r="OYE169" s="173"/>
      <c r="OYF169" s="173"/>
      <c r="OYG169" s="125"/>
      <c r="OYH169" s="125"/>
      <c r="OYI169" s="134"/>
      <c r="OYJ169" s="135"/>
      <c r="OYK169" s="135"/>
      <c r="OYL169" s="135"/>
      <c r="OYM169" s="135"/>
      <c r="OYN169" s="173"/>
      <c r="OYO169" s="173"/>
      <c r="OYP169" s="173"/>
      <c r="OYQ169" s="173"/>
      <c r="OYR169" s="173"/>
      <c r="OYS169" s="173"/>
      <c r="OYT169" s="173"/>
      <c r="OYU169" s="173"/>
      <c r="OYV169" s="173"/>
      <c r="OYW169" s="173"/>
      <c r="OYX169" s="125"/>
      <c r="OYY169" s="125"/>
      <c r="OYZ169" s="134"/>
      <c r="OZA169" s="135"/>
      <c r="OZB169" s="135"/>
      <c r="OZC169" s="135"/>
      <c r="OZD169" s="135"/>
      <c r="OZE169" s="173"/>
      <c r="OZF169" s="173"/>
      <c r="OZG169" s="173"/>
      <c r="OZH169" s="173"/>
      <c r="OZI169" s="173"/>
      <c r="OZJ169" s="173"/>
      <c r="OZK169" s="173"/>
      <c r="OZL169" s="173"/>
      <c r="OZM169" s="173"/>
      <c r="OZN169" s="173"/>
      <c r="OZO169" s="125"/>
      <c r="OZP169" s="125"/>
      <c r="OZQ169" s="134"/>
      <c r="OZR169" s="135"/>
      <c r="OZS169" s="135"/>
      <c r="OZT169" s="135"/>
      <c r="OZU169" s="135"/>
      <c r="OZV169" s="173"/>
      <c r="OZW169" s="173"/>
      <c r="OZX169" s="173"/>
      <c r="OZY169" s="173"/>
      <c r="OZZ169" s="173"/>
      <c r="PAA169" s="173"/>
      <c r="PAB169" s="173"/>
      <c r="PAC169" s="173"/>
      <c r="PAD169" s="173"/>
      <c r="PAE169" s="173"/>
      <c r="PAF169" s="125"/>
      <c r="PAG169" s="125"/>
      <c r="PAH169" s="134"/>
      <c r="PAI169" s="135"/>
      <c r="PAJ169" s="135"/>
      <c r="PAK169" s="135"/>
      <c r="PAL169" s="135"/>
      <c r="PAM169" s="173"/>
      <c r="PAN169" s="173"/>
      <c r="PAO169" s="173"/>
      <c r="PAP169" s="173"/>
      <c r="PAQ169" s="173"/>
      <c r="PAR169" s="173"/>
      <c r="PAS169" s="173"/>
      <c r="PAT169" s="173"/>
      <c r="PAU169" s="173"/>
      <c r="PAV169" s="173"/>
      <c r="PAW169" s="125"/>
      <c r="PAX169" s="125"/>
      <c r="PAY169" s="134"/>
      <c r="PAZ169" s="135"/>
      <c r="PBA169" s="135"/>
      <c r="PBB169" s="135"/>
      <c r="PBC169" s="135"/>
      <c r="PBD169" s="173"/>
      <c r="PBE169" s="173"/>
      <c r="PBF169" s="173"/>
      <c r="PBG169" s="173"/>
      <c r="PBH169" s="173"/>
      <c r="PBI169" s="173"/>
      <c r="PBJ169" s="173"/>
      <c r="PBK169" s="173"/>
      <c r="PBL169" s="173"/>
      <c r="PBM169" s="173"/>
      <c r="PBN169" s="125"/>
      <c r="PBO169" s="125"/>
      <c r="PBP169" s="134"/>
      <c r="PBQ169" s="135"/>
      <c r="PBR169" s="135"/>
      <c r="PBS169" s="135"/>
      <c r="PBT169" s="135"/>
      <c r="PBU169" s="173"/>
      <c r="PBV169" s="173"/>
      <c r="PBW169" s="173"/>
      <c r="PBX169" s="173"/>
      <c r="PBY169" s="173"/>
      <c r="PBZ169" s="173"/>
      <c r="PCA169" s="173"/>
      <c r="PCB169" s="173"/>
      <c r="PCC169" s="173"/>
      <c r="PCD169" s="173"/>
      <c r="PCE169" s="125"/>
      <c r="PCF169" s="125"/>
      <c r="PCG169" s="134"/>
      <c r="PCH169" s="135"/>
      <c r="PCI169" s="135"/>
      <c r="PCJ169" s="135"/>
      <c r="PCK169" s="135"/>
      <c r="PCL169" s="173"/>
      <c r="PCM169" s="173"/>
      <c r="PCN169" s="173"/>
      <c r="PCO169" s="173"/>
      <c r="PCP169" s="173"/>
      <c r="PCQ169" s="173"/>
      <c r="PCR169" s="173"/>
      <c r="PCS169" s="173"/>
      <c r="PCT169" s="173"/>
      <c r="PCU169" s="173"/>
      <c r="PCV169" s="125"/>
      <c r="PCW169" s="125"/>
      <c r="PCX169" s="134"/>
      <c r="PCY169" s="135"/>
      <c r="PCZ169" s="135"/>
      <c r="PDA169" s="135"/>
      <c r="PDB169" s="135"/>
      <c r="PDC169" s="173"/>
      <c r="PDD169" s="173"/>
      <c r="PDE169" s="173"/>
      <c r="PDF169" s="173"/>
      <c r="PDG169" s="173"/>
      <c r="PDH169" s="173"/>
      <c r="PDI169" s="173"/>
      <c r="PDJ169" s="173"/>
      <c r="PDK169" s="173"/>
      <c r="PDL169" s="173"/>
      <c r="PDM169" s="125"/>
      <c r="PDN169" s="125"/>
      <c r="PDO169" s="134"/>
      <c r="PDP169" s="135"/>
      <c r="PDQ169" s="135"/>
      <c r="PDR169" s="135"/>
      <c r="PDS169" s="135"/>
      <c r="PDT169" s="173"/>
      <c r="PDU169" s="173"/>
      <c r="PDV169" s="173"/>
      <c r="PDW169" s="173"/>
      <c r="PDX169" s="173"/>
      <c r="PDY169" s="173"/>
      <c r="PDZ169" s="173"/>
      <c r="PEA169" s="173"/>
      <c r="PEB169" s="173"/>
      <c r="PEC169" s="173"/>
      <c r="PED169" s="125"/>
      <c r="PEE169" s="125"/>
      <c r="PEF169" s="134"/>
      <c r="PEG169" s="135"/>
      <c r="PEH169" s="135"/>
      <c r="PEI169" s="135"/>
      <c r="PEJ169" s="135"/>
      <c r="PEK169" s="173"/>
      <c r="PEL169" s="173"/>
      <c r="PEM169" s="173"/>
      <c r="PEN169" s="173"/>
      <c r="PEO169" s="173"/>
      <c r="PEP169" s="173"/>
      <c r="PEQ169" s="173"/>
      <c r="PER169" s="173"/>
      <c r="PES169" s="173"/>
      <c r="PET169" s="173"/>
      <c r="PEU169" s="125"/>
      <c r="PEV169" s="125"/>
      <c r="PEW169" s="134"/>
      <c r="PEX169" s="135"/>
      <c r="PEY169" s="135"/>
      <c r="PEZ169" s="135"/>
      <c r="PFA169" s="135"/>
      <c r="PFB169" s="173"/>
      <c r="PFC169" s="173"/>
      <c r="PFD169" s="173"/>
      <c r="PFE169" s="173"/>
      <c r="PFF169" s="173"/>
      <c r="PFG169" s="173"/>
      <c r="PFH169" s="173"/>
      <c r="PFI169" s="173"/>
      <c r="PFJ169" s="173"/>
      <c r="PFK169" s="173"/>
      <c r="PFL169" s="125"/>
      <c r="PFM169" s="125"/>
      <c r="PFN169" s="134"/>
      <c r="PFO169" s="135"/>
      <c r="PFP169" s="135"/>
      <c r="PFQ169" s="135"/>
      <c r="PFR169" s="135"/>
      <c r="PFS169" s="173"/>
      <c r="PFT169" s="173"/>
      <c r="PFU169" s="173"/>
      <c r="PFV169" s="173"/>
      <c r="PFW169" s="173"/>
      <c r="PFX169" s="173"/>
      <c r="PFY169" s="173"/>
      <c r="PFZ169" s="173"/>
      <c r="PGA169" s="173"/>
      <c r="PGB169" s="173"/>
      <c r="PGC169" s="125"/>
      <c r="PGD169" s="125"/>
      <c r="PGE169" s="134"/>
      <c r="PGF169" s="135"/>
      <c r="PGG169" s="135"/>
      <c r="PGH169" s="135"/>
      <c r="PGI169" s="135"/>
      <c r="PGJ169" s="173"/>
      <c r="PGK169" s="173"/>
      <c r="PGL169" s="173"/>
      <c r="PGM169" s="173"/>
      <c r="PGN169" s="173"/>
      <c r="PGO169" s="173"/>
      <c r="PGP169" s="173"/>
      <c r="PGQ169" s="173"/>
      <c r="PGR169" s="173"/>
      <c r="PGS169" s="173"/>
      <c r="PGT169" s="125"/>
      <c r="PGU169" s="125"/>
      <c r="PGV169" s="134"/>
      <c r="PGW169" s="135"/>
      <c r="PGX169" s="135"/>
      <c r="PGY169" s="135"/>
      <c r="PGZ169" s="135"/>
      <c r="PHA169" s="173"/>
      <c r="PHB169" s="173"/>
      <c r="PHC169" s="173"/>
      <c r="PHD169" s="173"/>
      <c r="PHE169" s="173"/>
      <c r="PHF169" s="173"/>
      <c r="PHG169" s="173"/>
      <c r="PHH169" s="173"/>
      <c r="PHI169" s="173"/>
      <c r="PHJ169" s="173"/>
      <c r="PHK169" s="125"/>
      <c r="PHL169" s="125"/>
      <c r="PHM169" s="134"/>
      <c r="PHN169" s="135"/>
      <c r="PHO169" s="135"/>
      <c r="PHP169" s="135"/>
      <c r="PHQ169" s="135"/>
      <c r="PHR169" s="173"/>
      <c r="PHS169" s="173"/>
      <c r="PHT169" s="173"/>
      <c r="PHU169" s="173"/>
      <c r="PHV169" s="173"/>
      <c r="PHW169" s="173"/>
      <c r="PHX169" s="173"/>
      <c r="PHY169" s="173"/>
      <c r="PHZ169" s="173"/>
      <c r="PIA169" s="173"/>
      <c r="PIB169" s="125"/>
      <c r="PIC169" s="125"/>
      <c r="PID169" s="134"/>
      <c r="PIE169" s="135"/>
      <c r="PIF169" s="135"/>
      <c r="PIG169" s="135"/>
      <c r="PIH169" s="135"/>
      <c r="PII169" s="173"/>
      <c r="PIJ169" s="173"/>
      <c r="PIK169" s="173"/>
      <c r="PIL169" s="173"/>
      <c r="PIM169" s="173"/>
      <c r="PIN169" s="173"/>
      <c r="PIO169" s="173"/>
      <c r="PIP169" s="173"/>
      <c r="PIQ169" s="173"/>
      <c r="PIR169" s="173"/>
      <c r="PIS169" s="125"/>
      <c r="PIT169" s="125"/>
      <c r="PIU169" s="134"/>
      <c r="PIV169" s="135"/>
      <c r="PIW169" s="135"/>
      <c r="PIX169" s="135"/>
      <c r="PIY169" s="135"/>
      <c r="PIZ169" s="173"/>
      <c r="PJA169" s="173"/>
      <c r="PJB169" s="173"/>
      <c r="PJC169" s="173"/>
      <c r="PJD169" s="173"/>
      <c r="PJE169" s="173"/>
      <c r="PJF169" s="173"/>
      <c r="PJG169" s="173"/>
      <c r="PJH169" s="173"/>
      <c r="PJI169" s="173"/>
      <c r="PJJ169" s="125"/>
      <c r="PJK169" s="125"/>
      <c r="PJL169" s="134"/>
      <c r="PJM169" s="135"/>
      <c r="PJN169" s="135"/>
      <c r="PJO169" s="135"/>
      <c r="PJP169" s="135"/>
      <c r="PJQ169" s="173"/>
      <c r="PJR169" s="173"/>
      <c r="PJS169" s="173"/>
      <c r="PJT169" s="173"/>
      <c r="PJU169" s="173"/>
      <c r="PJV169" s="173"/>
      <c r="PJW169" s="173"/>
      <c r="PJX169" s="173"/>
      <c r="PJY169" s="173"/>
      <c r="PJZ169" s="173"/>
      <c r="PKA169" s="125"/>
      <c r="PKB169" s="125"/>
      <c r="PKC169" s="134"/>
      <c r="PKD169" s="135"/>
      <c r="PKE169" s="135"/>
      <c r="PKF169" s="135"/>
      <c r="PKG169" s="135"/>
      <c r="PKH169" s="173"/>
      <c r="PKI169" s="173"/>
      <c r="PKJ169" s="173"/>
      <c r="PKK169" s="173"/>
      <c r="PKL169" s="173"/>
      <c r="PKM169" s="173"/>
      <c r="PKN169" s="173"/>
      <c r="PKO169" s="173"/>
      <c r="PKP169" s="173"/>
      <c r="PKQ169" s="173"/>
      <c r="PKR169" s="125"/>
      <c r="PKS169" s="125"/>
      <c r="PKT169" s="134"/>
      <c r="PKU169" s="135"/>
      <c r="PKV169" s="135"/>
      <c r="PKW169" s="135"/>
      <c r="PKX169" s="135"/>
      <c r="PKY169" s="173"/>
      <c r="PKZ169" s="173"/>
      <c r="PLA169" s="173"/>
      <c r="PLB169" s="173"/>
      <c r="PLC169" s="173"/>
      <c r="PLD169" s="173"/>
      <c r="PLE169" s="173"/>
      <c r="PLF169" s="173"/>
      <c r="PLG169" s="173"/>
      <c r="PLH169" s="173"/>
      <c r="PLI169" s="125"/>
      <c r="PLJ169" s="125"/>
      <c r="PLK169" s="134"/>
      <c r="PLL169" s="135"/>
      <c r="PLM169" s="135"/>
      <c r="PLN169" s="135"/>
      <c r="PLO169" s="135"/>
      <c r="PLP169" s="173"/>
      <c r="PLQ169" s="173"/>
      <c r="PLR169" s="173"/>
      <c r="PLS169" s="173"/>
      <c r="PLT169" s="173"/>
      <c r="PLU169" s="173"/>
      <c r="PLV169" s="173"/>
      <c r="PLW169" s="173"/>
      <c r="PLX169" s="173"/>
      <c r="PLY169" s="173"/>
      <c r="PLZ169" s="125"/>
      <c r="PMA169" s="125"/>
      <c r="PMB169" s="134"/>
      <c r="PMC169" s="135"/>
      <c r="PMD169" s="135"/>
      <c r="PME169" s="135"/>
      <c r="PMF169" s="135"/>
      <c r="PMG169" s="173"/>
      <c r="PMH169" s="173"/>
      <c r="PMI169" s="173"/>
      <c r="PMJ169" s="173"/>
      <c r="PMK169" s="173"/>
      <c r="PML169" s="173"/>
      <c r="PMM169" s="173"/>
      <c r="PMN169" s="173"/>
      <c r="PMO169" s="173"/>
      <c r="PMP169" s="173"/>
      <c r="PMQ169" s="125"/>
      <c r="PMR169" s="125"/>
      <c r="PMS169" s="134"/>
      <c r="PMT169" s="135"/>
      <c r="PMU169" s="135"/>
      <c r="PMV169" s="135"/>
      <c r="PMW169" s="135"/>
      <c r="PMX169" s="173"/>
      <c r="PMY169" s="173"/>
      <c r="PMZ169" s="173"/>
      <c r="PNA169" s="173"/>
      <c r="PNB169" s="173"/>
      <c r="PNC169" s="173"/>
      <c r="PND169" s="173"/>
      <c r="PNE169" s="173"/>
      <c r="PNF169" s="173"/>
      <c r="PNG169" s="173"/>
      <c r="PNH169" s="125"/>
      <c r="PNI169" s="125"/>
      <c r="PNJ169" s="134"/>
      <c r="PNK169" s="135"/>
      <c r="PNL169" s="135"/>
      <c r="PNM169" s="135"/>
      <c r="PNN169" s="135"/>
      <c r="PNO169" s="173"/>
      <c r="PNP169" s="173"/>
      <c r="PNQ169" s="173"/>
      <c r="PNR169" s="173"/>
      <c r="PNS169" s="173"/>
      <c r="PNT169" s="173"/>
      <c r="PNU169" s="173"/>
      <c r="PNV169" s="173"/>
      <c r="PNW169" s="173"/>
      <c r="PNX169" s="173"/>
      <c r="PNY169" s="125"/>
      <c r="PNZ169" s="125"/>
      <c r="POA169" s="134"/>
      <c r="POB169" s="135"/>
      <c r="POC169" s="135"/>
      <c r="POD169" s="135"/>
      <c r="POE169" s="135"/>
      <c r="POF169" s="173"/>
      <c r="POG169" s="173"/>
      <c r="POH169" s="173"/>
      <c r="POI169" s="173"/>
      <c r="POJ169" s="173"/>
      <c r="POK169" s="173"/>
      <c r="POL169" s="173"/>
      <c r="POM169" s="173"/>
      <c r="PON169" s="173"/>
      <c r="POO169" s="173"/>
      <c r="POP169" s="125"/>
      <c r="POQ169" s="125"/>
      <c r="POR169" s="134"/>
      <c r="POS169" s="135"/>
      <c r="POT169" s="135"/>
      <c r="POU169" s="135"/>
      <c r="POV169" s="135"/>
      <c r="POW169" s="173"/>
      <c r="POX169" s="173"/>
      <c r="POY169" s="173"/>
      <c r="POZ169" s="173"/>
      <c r="PPA169" s="173"/>
      <c r="PPB169" s="173"/>
      <c r="PPC169" s="173"/>
      <c r="PPD169" s="173"/>
      <c r="PPE169" s="173"/>
      <c r="PPF169" s="173"/>
      <c r="PPG169" s="125"/>
      <c r="PPH169" s="125"/>
      <c r="PPI169" s="134"/>
      <c r="PPJ169" s="135"/>
      <c r="PPK169" s="135"/>
      <c r="PPL169" s="135"/>
      <c r="PPM169" s="135"/>
      <c r="PPN169" s="173"/>
      <c r="PPO169" s="173"/>
      <c r="PPP169" s="173"/>
      <c r="PPQ169" s="173"/>
      <c r="PPR169" s="173"/>
      <c r="PPS169" s="173"/>
      <c r="PPT169" s="173"/>
      <c r="PPU169" s="173"/>
      <c r="PPV169" s="173"/>
      <c r="PPW169" s="173"/>
      <c r="PPX169" s="125"/>
      <c r="PPY169" s="125"/>
      <c r="PPZ169" s="134"/>
      <c r="PQA169" s="135"/>
      <c r="PQB169" s="135"/>
      <c r="PQC169" s="135"/>
      <c r="PQD169" s="135"/>
      <c r="PQE169" s="173"/>
      <c r="PQF169" s="173"/>
      <c r="PQG169" s="173"/>
      <c r="PQH169" s="173"/>
      <c r="PQI169" s="173"/>
      <c r="PQJ169" s="173"/>
      <c r="PQK169" s="173"/>
      <c r="PQL169" s="173"/>
      <c r="PQM169" s="173"/>
      <c r="PQN169" s="173"/>
      <c r="PQO169" s="125"/>
      <c r="PQP169" s="125"/>
      <c r="PQQ169" s="134"/>
      <c r="PQR169" s="135"/>
      <c r="PQS169" s="135"/>
      <c r="PQT169" s="135"/>
      <c r="PQU169" s="135"/>
      <c r="PQV169" s="173"/>
      <c r="PQW169" s="173"/>
      <c r="PQX169" s="173"/>
      <c r="PQY169" s="173"/>
      <c r="PQZ169" s="173"/>
      <c r="PRA169" s="173"/>
      <c r="PRB169" s="173"/>
      <c r="PRC169" s="173"/>
      <c r="PRD169" s="173"/>
      <c r="PRE169" s="173"/>
      <c r="PRF169" s="125"/>
      <c r="PRG169" s="125"/>
      <c r="PRH169" s="134"/>
      <c r="PRI169" s="135"/>
      <c r="PRJ169" s="135"/>
      <c r="PRK169" s="135"/>
      <c r="PRL169" s="135"/>
      <c r="PRM169" s="173"/>
      <c r="PRN169" s="173"/>
      <c r="PRO169" s="173"/>
      <c r="PRP169" s="173"/>
      <c r="PRQ169" s="173"/>
      <c r="PRR169" s="173"/>
      <c r="PRS169" s="173"/>
      <c r="PRT169" s="173"/>
      <c r="PRU169" s="173"/>
      <c r="PRV169" s="173"/>
      <c r="PRW169" s="125"/>
      <c r="PRX169" s="125"/>
      <c r="PRY169" s="134"/>
      <c r="PRZ169" s="135"/>
      <c r="PSA169" s="135"/>
      <c r="PSB169" s="135"/>
      <c r="PSC169" s="135"/>
      <c r="PSD169" s="173"/>
      <c r="PSE169" s="173"/>
      <c r="PSF169" s="173"/>
      <c r="PSG169" s="173"/>
      <c r="PSH169" s="173"/>
      <c r="PSI169" s="173"/>
      <c r="PSJ169" s="173"/>
      <c r="PSK169" s="173"/>
      <c r="PSL169" s="173"/>
      <c r="PSM169" s="173"/>
      <c r="PSN169" s="125"/>
      <c r="PSO169" s="125"/>
      <c r="PSP169" s="134"/>
      <c r="PSQ169" s="135"/>
      <c r="PSR169" s="135"/>
      <c r="PSS169" s="135"/>
      <c r="PST169" s="135"/>
      <c r="PSU169" s="173"/>
      <c r="PSV169" s="173"/>
      <c r="PSW169" s="173"/>
      <c r="PSX169" s="173"/>
      <c r="PSY169" s="173"/>
      <c r="PSZ169" s="173"/>
      <c r="PTA169" s="173"/>
      <c r="PTB169" s="173"/>
      <c r="PTC169" s="173"/>
      <c r="PTD169" s="173"/>
      <c r="PTE169" s="125"/>
      <c r="PTF169" s="125"/>
      <c r="PTG169" s="134"/>
      <c r="PTH169" s="135"/>
      <c r="PTI169" s="135"/>
      <c r="PTJ169" s="135"/>
      <c r="PTK169" s="135"/>
      <c r="PTL169" s="173"/>
      <c r="PTM169" s="173"/>
      <c r="PTN169" s="173"/>
      <c r="PTO169" s="173"/>
      <c r="PTP169" s="173"/>
      <c r="PTQ169" s="173"/>
      <c r="PTR169" s="173"/>
      <c r="PTS169" s="173"/>
      <c r="PTT169" s="173"/>
      <c r="PTU169" s="173"/>
      <c r="PTV169" s="125"/>
      <c r="PTW169" s="125"/>
      <c r="PTX169" s="134"/>
      <c r="PTY169" s="135"/>
      <c r="PTZ169" s="135"/>
      <c r="PUA169" s="135"/>
      <c r="PUB169" s="135"/>
      <c r="PUC169" s="173"/>
      <c r="PUD169" s="173"/>
      <c r="PUE169" s="173"/>
      <c r="PUF169" s="173"/>
      <c r="PUG169" s="173"/>
      <c r="PUH169" s="173"/>
      <c r="PUI169" s="173"/>
      <c r="PUJ169" s="173"/>
      <c r="PUK169" s="173"/>
      <c r="PUL169" s="173"/>
      <c r="PUM169" s="125"/>
      <c r="PUN169" s="125"/>
      <c r="PUO169" s="134"/>
      <c r="PUP169" s="135"/>
      <c r="PUQ169" s="135"/>
      <c r="PUR169" s="135"/>
      <c r="PUS169" s="135"/>
      <c r="PUT169" s="173"/>
      <c r="PUU169" s="173"/>
      <c r="PUV169" s="173"/>
      <c r="PUW169" s="173"/>
      <c r="PUX169" s="173"/>
      <c r="PUY169" s="173"/>
      <c r="PUZ169" s="173"/>
      <c r="PVA169" s="173"/>
      <c r="PVB169" s="173"/>
      <c r="PVC169" s="173"/>
      <c r="PVD169" s="125"/>
      <c r="PVE169" s="125"/>
      <c r="PVF169" s="134"/>
      <c r="PVG169" s="135"/>
      <c r="PVH169" s="135"/>
      <c r="PVI169" s="135"/>
      <c r="PVJ169" s="135"/>
      <c r="PVK169" s="173"/>
      <c r="PVL169" s="173"/>
      <c r="PVM169" s="173"/>
      <c r="PVN169" s="173"/>
      <c r="PVO169" s="173"/>
      <c r="PVP169" s="173"/>
      <c r="PVQ169" s="173"/>
      <c r="PVR169" s="173"/>
      <c r="PVS169" s="173"/>
      <c r="PVT169" s="173"/>
      <c r="PVU169" s="125"/>
      <c r="PVV169" s="125"/>
      <c r="PVW169" s="134"/>
      <c r="PVX169" s="135"/>
      <c r="PVY169" s="135"/>
      <c r="PVZ169" s="135"/>
      <c r="PWA169" s="135"/>
      <c r="PWB169" s="173"/>
      <c r="PWC169" s="173"/>
      <c r="PWD169" s="173"/>
      <c r="PWE169" s="173"/>
      <c r="PWF169" s="173"/>
      <c r="PWG169" s="173"/>
      <c r="PWH169" s="173"/>
      <c r="PWI169" s="173"/>
      <c r="PWJ169" s="173"/>
      <c r="PWK169" s="173"/>
      <c r="PWL169" s="125"/>
      <c r="PWM169" s="125"/>
      <c r="PWN169" s="134"/>
      <c r="PWO169" s="135"/>
      <c r="PWP169" s="135"/>
      <c r="PWQ169" s="135"/>
      <c r="PWR169" s="135"/>
      <c r="PWS169" s="173"/>
      <c r="PWT169" s="173"/>
      <c r="PWU169" s="173"/>
      <c r="PWV169" s="173"/>
      <c r="PWW169" s="173"/>
      <c r="PWX169" s="173"/>
      <c r="PWY169" s="173"/>
      <c r="PWZ169" s="173"/>
      <c r="PXA169" s="173"/>
      <c r="PXB169" s="173"/>
      <c r="PXC169" s="125"/>
      <c r="PXD169" s="125"/>
      <c r="PXE169" s="134"/>
      <c r="PXF169" s="135"/>
      <c r="PXG169" s="135"/>
      <c r="PXH169" s="135"/>
      <c r="PXI169" s="135"/>
      <c r="PXJ169" s="173"/>
      <c r="PXK169" s="173"/>
      <c r="PXL169" s="173"/>
      <c r="PXM169" s="173"/>
      <c r="PXN169" s="173"/>
      <c r="PXO169" s="173"/>
      <c r="PXP169" s="173"/>
      <c r="PXQ169" s="173"/>
      <c r="PXR169" s="173"/>
      <c r="PXS169" s="173"/>
      <c r="PXT169" s="125"/>
      <c r="PXU169" s="125"/>
      <c r="PXV169" s="134"/>
      <c r="PXW169" s="135"/>
      <c r="PXX169" s="135"/>
      <c r="PXY169" s="135"/>
      <c r="PXZ169" s="135"/>
      <c r="PYA169" s="173"/>
      <c r="PYB169" s="173"/>
      <c r="PYC169" s="173"/>
      <c r="PYD169" s="173"/>
      <c r="PYE169" s="173"/>
      <c r="PYF169" s="173"/>
      <c r="PYG169" s="173"/>
      <c r="PYH169" s="173"/>
      <c r="PYI169" s="173"/>
      <c r="PYJ169" s="173"/>
      <c r="PYK169" s="125"/>
      <c r="PYL169" s="125"/>
      <c r="PYM169" s="134"/>
      <c r="PYN169" s="135"/>
      <c r="PYO169" s="135"/>
      <c r="PYP169" s="135"/>
      <c r="PYQ169" s="135"/>
      <c r="PYR169" s="173"/>
      <c r="PYS169" s="173"/>
      <c r="PYT169" s="173"/>
      <c r="PYU169" s="173"/>
      <c r="PYV169" s="173"/>
      <c r="PYW169" s="173"/>
      <c r="PYX169" s="173"/>
      <c r="PYY169" s="173"/>
      <c r="PYZ169" s="173"/>
      <c r="PZA169" s="173"/>
      <c r="PZB169" s="125"/>
      <c r="PZC169" s="125"/>
      <c r="PZD169" s="134"/>
      <c r="PZE169" s="135"/>
      <c r="PZF169" s="135"/>
      <c r="PZG169" s="135"/>
      <c r="PZH169" s="135"/>
      <c r="PZI169" s="173"/>
      <c r="PZJ169" s="173"/>
      <c r="PZK169" s="173"/>
      <c r="PZL169" s="173"/>
      <c r="PZM169" s="173"/>
      <c r="PZN169" s="173"/>
      <c r="PZO169" s="173"/>
      <c r="PZP169" s="173"/>
      <c r="PZQ169" s="173"/>
      <c r="PZR169" s="173"/>
      <c r="PZS169" s="125"/>
      <c r="PZT169" s="125"/>
      <c r="PZU169" s="134"/>
      <c r="PZV169" s="135"/>
      <c r="PZW169" s="135"/>
      <c r="PZX169" s="135"/>
      <c r="PZY169" s="135"/>
      <c r="PZZ169" s="173"/>
      <c r="QAA169" s="173"/>
      <c r="QAB169" s="173"/>
      <c r="QAC169" s="173"/>
      <c r="QAD169" s="173"/>
      <c r="QAE169" s="173"/>
      <c r="QAF169" s="173"/>
      <c r="QAG169" s="173"/>
      <c r="QAH169" s="173"/>
      <c r="QAI169" s="173"/>
      <c r="QAJ169" s="125"/>
      <c r="QAK169" s="125"/>
      <c r="QAL169" s="134"/>
      <c r="QAM169" s="135"/>
      <c r="QAN169" s="135"/>
      <c r="QAO169" s="135"/>
      <c r="QAP169" s="135"/>
      <c r="QAQ169" s="173"/>
      <c r="QAR169" s="173"/>
      <c r="QAS169" s="173"/>
      <c r="QAT169" s="173"/>
      <c r="QAU169" s="173"/>
      <c r="QAV169" s="173"/>
      <c r="QAW169" s="173"/>
      <c r="QAX169" s="173"/>
      <c r="QAY169" s="173"/>
      <c r="QAZ169" s="173"/>
      <c r="QBA169" s="125"/>
      <c r="QBB169" s="125"/>
      <c r="QBC169" s="134"/>
      <c r="QBD169" s="135"/>
      <c r="QBE169" s="135"/>
      <c r="QBF169" s="135"/>
      <c r="QBG169" s="135"/>
      <c r="QBH169" s="173"/>
      <c r="QBI169" s="173"/>
      <c r="QBJ169" s="173"/>
      <c r="QBK169" s="173"/>
      <c r="QBL169" s="173"/>
      <c r="QBM169" s="173"/>
      <c r="QBN169" s="173"/>
      <c r="QBO169" s="173"/>
      <c r="QBP169" s="173"/>
      <c r="QBQ169" s="173"/>
      <c r="QBR169" s="125"/>
      <c r="QBS169" s="125"/>
      <c r="QBT169" s="134"/>
      <c r="QBU169" s="135"/>
      <c r="QBV169" s="135"/>
      <c r="QBW169" s="135"/>
      <c r="QBX169" s="135"/>
      <c r="QBY169" s="173"/>
      <c r="QBZ169" s="173"/>
      <c r="QCA169" s="173"/>
      <c r="QCB169" s="173"/>
      <c r="QCC169" s="173"/>
      <c r="QCD169" s="173"/>
      <c r="QCE169" s="173"/>
      <c r="QCF169" s="173"/>
      <c r="QCG169" s="173"/>
      <c r="QCH169" s="173"/>
      <c r="QCI169" s="125"/>
      <c r="QCJ169" s="125"/>
      <c r="QCK169" s="134"/>
      <c r="QCL169" s="135"/>
      <c r="QCM169" s="135"/>
      <c r="QCN169" s="135"/>
      <c r="QCO169" s="135"/>
      <c r="QCP169" s="173"/>
      <c r="QCQ169" s="173"/>
      <c r="QCR169" s="173"/>
      <c r="QCS169" s="173"/>
      <c r="QCT169" s="173"/>
      <c r="QCU169" s="173"/>
      <c r="QCV169" s="173"/>
      <c r="QCW169" s="173"/>
      <c r="QCX169" s="173"/>
      <c r="QCY169" s="173"/>
      <c r="QCZ169" s="125"/>
      <c r="QDA169" s="125"/>
      <c r="QDB169" s="134"/>
      <c r="QDC169" s="135"/>
      <c r="QDD169" s="135"/>
      <c r="QDE169" s="135"/>
      <c r="QDF169" s="135"/>
      <c r="QDG169" s="173"/>
      <c r="QDH169" s="173"/>
      <c r="QDI169" s="173"/>
      <c r="QDJ169" s="173"/>
      <c r="QDK169" s="173"/>
      <c r="QDL169" s="173"/>
      <c r="QDM169" s="173"/>
      <c r="QDN169" s="173"/>
      <c r="QDO169" s="173"/>
      <c r="QDP169" s="173"/>
      <c r="QDQ169" s="125"/>
      <c r="QDR169" s="125"/>
      <c r="QDS169" s="134"/>
      <c r="QDT169" s="135"/>
      <c r="QDU169" s="135"/>
      <c r="QDV169" s="135"/>
      <c r="QDW169" s="135"/>
      <c r="QDX169" s="173"/>
      <c r="QDY169" s="173"/>
      <c r="QDZ169" s="173"/>
      <c r="QEA169" s="173"/>
      <c r="QEB169" s="173"/>
      <c r="QEC169" s="173"/>
      <c r="QED169" s="173"/>
      <c r="QEE169" s="173"/>
      <c r="QEF169" s="173"/>
      <c r="QEG169" s="173"/>
      <c r="QEH169" s="125"/>
      <c r="QEI169" s="125"/>
      <c r="QEJ169" s="134"/>
      <c r="QEK169" s="135"/>
      <c r="QEL169" s="135"/>
      <c r="QEM169" s="135"/>
      <c r="QEN169" s="135"/>
      <c r="QEO169" s="173"/>
      <c r="QEP169" s="173"/>
      <c r="QEQ169" s="173"/>
      <c r="QER169" s="173"/>
      <c r="QES169" s="173"/>
      <c r="QET169" s="173"/>
      <c r="QEU169" s="173"/>
      <c r="QEV169" s="173"/>
      <c r="QEW169" s="173"/>
      <c r="QEX169" s="173"/>
      <c r="QEY169" s="125"/>
      <c r="QEZ169" s="125"/>
      <c r="QFA169" s="134"/>
      <c r="QFB169" s="135"/>
      <c r="QFC169" s="135"/>
      <c r="QFD169" s="135"/>
      <c r="QFE169" s="135"/>
      <c r="QFF169" s="173"/>
      <c r="QFG169" s="173"/>
      <c r="QFH169" s="173"/>
      <c r="QFI169" s="173"/>
      <c r="QFJ169" s="173"/>
      <c r="QFK169" s="173"/>
      <c r="QFL169" s="173"/>
      <c r="QFM169" s="173"/>
      <c r="QFN169" s="173"/>
      <c r="QFO169" s="173"/>
      <c r="QFP169" s="125"/>
      <c r="QFQ169" s="125"/>
      <c r="QFR169" s="134"/>
      <c r="QFS169" s="135"/>
      <c r="QFT169" s="135"/>
      <c r="QFU169" s="135"/>
      <c r="QFV169" s="135"/>
      <c r="QFW169" s="173"/>
      <c r="QFX169" s="173"/>
      <c r="QFY169" s="173"/>
      <c r="QFZ169" s="173"/>
      <c r="QGA169" s="173"/>
      <c r="QGB169" s="173"/>
      <c r="QGC169" s="173"/>
      <c r="QGD169" s="173"/>
      <c r="QGE169" s="173"/>
      <c r="QGF169" s="173"/>
      <c r="QGG169" s="125"/>
      <c r="QGH169" s="125"/>
      <c r="QGI169" s="134"/>
      <c r="QGJ169" s="135"/>
      <c r="QGK169" s="135"/>
      <c r="QGL169" s="135"/>
      <c r="QGM169" s="135"/>
      <c r="QGN169" s="173"/>
      <c r="QGO169" s="173"/>
      <c r="QGP169" s="173"/>
      <c r="QGQ169" s="173"/>
      <c r="QGR169" s="173"/>
      <c r="QGS169" s="173"/>
      <c r="QGT169" s="173"/>
      <c r="QGU169" s="173"/>
      <c r="QGV169" s="173"/>
      <c r="QGW169" s="173"/>
      <c r="QGX169" s="125"/>
      <c r="QGY169" s="125"/>
      <c r="QGZ169" s="134"/>
      <c r="QHA169" s="135"/>
      <c r="QHB169" s="135"/>
      <c r="QHC169" s="135"/>
      <c r="QHD169" s="135"/>
      <c r="QHE169" s="173"/>
      <c r="QHF169" s="173"/>
      <c r="QHG169" s="173"/>
      <c r="QHH169" s="173"/>
      <c r="QHI169" s="173"/>
      <c r="QHJ169" s="173"/>
      <c r="QHK169" s="173"/>
      <c r="QHL169" s="173"/>
      <c r="QHM169" s="173"/>
      <c r="QHN169" s="173"/>
      <c r="QHO169" s="125"/>
      <c r="QHP169" s="125"/>
      <c r="QHQ169" s="134"/>
      <c r="QHR169" s="135"/>
      <c r="QHS169" s="135"/>
      <c r="QHT169" s="135"/>
      <c r="QHU169" s="135"/>
      <c r="QHV169" s="173"/>
      <c r="QHW169" s="173"/>
      <c r="QHX169" s="173"/>
      <c r="QHY169" s="173"/>
      <c r="QHZ169" s="173"/>
      <c r="QIA169" s="173"/>
      <c r="QIB169" s="173"/>
      <c r="QIC169" s="173"/>
      <c r="QID169" s="173"/>
      <c r="QIE169" s="173"/>
      <c r="QIF169" s="125"/>
      <c r="QIG169" s="125"/>
      <c r="QIH169" s="134"/>
      <c r="QII169" s="135"/>
      <c r="QIJ169" s="135"/>
      <c r="QIK169" s="135"/>
      <c r="QIL169" s="135"/>
      <c r="QIM169" s="173"/>
      <c r="QIN169" s="173"/>
      <c r="QIO169" s="173"/>
      <c r="QIP169" s="173"/>
      <c r="QIQ169" s="173"/>
      <c r="QIR169" s="173"/>
      <c r="QIS169" s="173"/>
      <c r="QIT169" s="173"/>
      <c r="QIU169" s="173"/>
      <c r="QIV169" s="173"/>
      <c r="QIW169" s="125"/>
      <c r="QIX169" s="125"/>
      <c r="QIY169" s="134"/>
      <c r="QIZ169" s="135"/>
      <c r="QJA169" s="135"/>
      <c r="QJB169" s="135"/>
      <c r="QJC169" s="135"/>
      <c r="QJD169" s="173"/>
      <c r="QJE169" s="173"/>
      <c r="QJF169" s="173"/>
      <c r="QJG169" s="173"/>
      <c r="QJH169" s="173"/>
      <c r="QJI169" s="173"/>
      <c r="QJJ169" s="173"/>
      <c r="QJK169" s="173"/>
      <c r="QJL169" s="173"/>
      <c r="QJM169" s="173"/>
      <c r="QJN169" s="125"/>
      <c r="QJO169" s="125"/>
      <c r="QJP169" s="134"/>
      <c r="QJQ169" s="135"/>
      <c r="QJR169" s="135"/>
      <c r="QJS169" s="135"/>
      <c r="QJT169" s="135"/>
      <c r="QJU169" s="173"/>
      <c r="QJV169" s="173"/>
      <c r="QJW169" s="173"/>
      <c r="QJX169" s="173"/>
      <c r="QJY169" s="173"/>
      <c r="QJZ169" s="173"/>
      <c r="QKA169" s="173"/>
      <c r="QKB169" s="173"/>
      <c r="QKC169" s="173"/>
      <c r="QKD169" s="173"/>
      <c r="QKE169" s="125"/>
      <c r="QKF169" s="125"/>
      <c r="QKG169" s="134"/>
      <c r="QKH169" s="135"/>
      <c r="QKI169" s="135"/>
      <c r="QKJ169" s="135"/>
      <c r="QKK169" s="135"/>
      <c r="QKL169" s="173"/>
      <c r="QKM169" s="173"/>
      <c r="QKN169" s="173"/>
      <c r="QKO169" s="173"/>
      <c r="QKP169" s="173"/>
      <c r="QKQ169" s="173"/>
      <c r="QKR169" s="173"/>
      <c r="QKS169" s="173"/>
      <c r="QKT169" s="173"/>
      <c r="QKU169" s="173"/>
      <c r="QKV169" s="125"/>
      <c r="QKW169" s="125"/>
      <c r="QKX169" s="134"/>
      <c r="QKY169" s="135"/>
      <c r="QKZ169" s="135"/>
      <c r="QLA169" s="135"/>
      <c r="QLB169" s="135"/>
      <c r="QLC169" s="173"/>
      <c r="QLD169" s="173"/>
      <c r="QLE169" s="173"/>
      <c r="QLF169" s="173"/>
      <c r="QLG169" s="173"/>
      <c r="QLH169" s="173"/>
      <c r="QLI169" s="173"/>
      <c r="QLJ169" s="173"/>
      <c r="QLK169" s="173"/>
      <c r="QLL169" s="173"/>
      <c r="QLM169" s="125"/>
      <c r="QLN169" s="125"/>
      <c r="QLO169" s="134"/>
      <c r="QLP169" s="135"/>
      <c r="QLQ169" s="135"/>
      <c r="QLR169" s="135"/>
      <c r="QLS169" s="135"/>
      <c r="QLT169" s="173"/>
      <c r="QLU169" s="173"/>
      <c r="QLV169" s="173"/>
      <c r="QLW169" s="173"/>
      <c r="QLX169" s="173"/>
      <c r="QLY169" s="173"/>
      <c r="QLZ169" s="173"/>
      <c r="QMA169" s="173"/>
      <c r="QMB169" s="173"/>
      <c r="QMC169" s="173"/>
      <c r="QMD169" s="125"/>
      <c r="QME169" s="125"/>
      <c r="QMF169" s="134"/>
      <c r="QMG169" s="135"/>
      <c r="QMH169" s="135"/>
      <c r="QMI169" s="135"/>
      <c r="QMJ169" s="135"/>
      <c r="QMK169" s="173"/>
      <c r="QML169" s="173"/>
      <c r="QMM169" s="173"/>
      <c r="QMN169" s="173"/>
      <c r="QMO169" s="173"/>
      <c r="QMP169" s="173"/>
      <c r="QMQ169" s="173"/>
      <c r="QMR169" s="173"/>
      <c r="QMS169" s="173"/>
      <c r="QMT169" s="173"/>
      <c r="QMU169" s="125"/>
      <c r="QMV169" s="125"/>
      <c r="QMW169" s="134"/>
      <c r="QMX169" s="135"/>
      <c r="QMY169" s="135"/>
      <c r="QMZ169" s="135"/>
      <c r="QNA169" s="135"/>
      <c r="QNB169" s="173"/>
      <c r="QNC169" s="173"/>
      <c r="QND169" s="173"/>
      <c r="QNE169" s="173"/>
      <c r="QNF169" s="173"/>
      <c r="QNG169" s="173"/>
      <c r="QNH169" s="173"/>
      <c r="QNI169" s="173"/>
      <c r="QNJ169" s="173"/>
      <c r="QNK169" s="173"/>
      <c r="QNL169" s="125"/>
      <c r="QNM169" s="125"/>
      <c r="QNN169" s="134"/>
      <c r="QNO169" s="135"/>
      <c r="QNP169" s="135"/>
      <c r="QNQ169" s="135"/>
      <c r="QNR169" s="135"/>
      <c r="QNS169" s="173"/>
      <c r="QNT169" s="173"/>
      <c r="QNU169" s="173"/>
      <c r="QNV169" s="173"/>
      <c r="QNW169" s="173"/>
      <c r="QNX169" s="173"/>
      <c r="QNY169" s="173"/>
      <c r="QNZ169" s="173"/>
      <c r="QOA169" s="173"/>
      <c r="QOB169" s="173"/>
      <c r="QOC169" s="125"/>
      <c r="QOD169" s="125"/>
      <c r="QOE169" s="134"/>
      <c r="QOF169" s="135"/>
      <c r="QOG169" s="135"/>
      <c r="QOH169" s="135"/>
      <c r="QOI169" s="135"/>
      <c r="QOJ169" s="173"/>
      <c r="QOK169" s="173"/>
      <c r="QOL169" s="173"/>
      <c r="QOM169" s="173"/>
      <c r="QON169" s="173"/>
      <c r="QOO169" s="173"/>
      <c r="QOP169" s="173"/>
      <c r="QOQ169" s="173"/>
      <c r="QOR169" s="173"/>
      <c r="QOS169" s="173"/>
      <c r="QOT169" s="125"/>
      <c r="QOU169" s="125"/>
      <c r="QOV169" s="134"/>
      <c r="QOW169" s="135"/>
      <c r="QOX169" s="135"/>
      <c r="QOY169" s="135"/>
      <c r="QOZ169" s="135"/>
      <c r="QPA169" s="173"/>
      <c r="QPB169" s="173"/>
      <c r="QPC169" s="173"/>
      <c r="QPD169" s="173"/>
      <c r="QPE169" s="173"/>
      <c r="QPF169" s="173"/>
      <c r="QPG169" s="173"/>
      <c r="QPH169" s="173"/>
      <c r="QPI169" s="173"/>
      <c r="QPJ169" s="173"/>
      <c r="QPK169" s="125"/>
      <c r="QPL169" s="125"/>
      <c r="QPM169" s="134"/>
      <c r="QPN169" s="135"/>
      <c r="QPO169" s="135"/>
      <c r="QPP169" s="135"/>
      <c r="QPQ169" s="135"/>
      <c r="QPR169" s="173"/>
      <c r="QPS169" s="173"/>
      <c r="QPT169" s="173"/>
      <c r="QPU169" s="173"/>
      <c r="QPV169" s="173"/>
      <c r="QPW169" s="173"/>
      <c r="QPX169" s="173"/>
      <c r="QPY169" s="173"/>
      <c r="QPZ169" s="173"/>
      <c r="QQA169" s="173"/>
      <c r="QQB169" s="125"/>
      <c r="QQC169" s="125"/>
      <c r="QQD169" s="134"/>
      <c r="QQE169" s="135"/>
      <c r="QQF169" s="135"/>
      <c r="QQG169" s="135"/>
      <c r="QQH169" s="135"/>
      <c r="QQI169" s="173"/>
      <c r="QQJ169" s="173"/>
      <c r="QQK169" s="173"/>
      <c r="QQL169" s="173"/>
      <c r="QQM169" s="173"/>
      <c r="QQN169" s="173"/>
      <c r="QQO169" s="173"/>
      <c r="QQP169" s="173"/>
      <c r="QQQ169" s="173"/>
      <c r="QQR169" s="173"/>
      <c r="QQS169" s="125"/>
      <c r="QQT169" s="125"/>
      <c r="QQU169" s="134"/>
      <c r="QQV169" s="135"/>
      <c r="QQW169" s="135"/>
      <c r="QQX169" s="135"/>
      <c r="QQY169" s="135"/>
      <c r="QQZ169" s="173"/>
      <c r="QRA169" s="173"/>
      <c r="QRB169" s="173"/>
      <c r="QRC169" s="173"/>
      <c r="QRD169" s="173"/>
      <c r="QRE169" s="173"/>
      <c r="QRF169" s="173"/>
      <c r="QRG169" s="173"/>
      <c r="QRH169" s="173"/>
      <c r="QRI169" s="173"/>
      <c r="QRJ169" s="125"/>
      <c r="QRK169" s="125"/>
      <c r="QRL169" s="134"/>
      <c r="QRM169" s="135"/>
      <c r="QRN169" s="135"/>
      <c r="QRO169" s="135"/>
      <c r="QRP169" s="135"/>
      <c r="QRQ169" s="173"/>
      <c r="QRR169" s="173"/>
      <c r="QRS169" s="173"/>
      <c r="QRT169" s="173"/>
      <c r="QRU169" s="173"/>
      <c r="QRV169" s="173"/>
      <c r="QRW169" s="173"/>
      <c r="QRX169" s="173"/>
      <c r="QRY169" s="173"/>
      <c r="QRZ169" s="173"/>
      <c r="QSA169" s="125"/>
      <c r="QSB169" s="125"/>
      <c r="QSC169" s="134"/>
      <c r="QSD169" s="135"/>
      <c r="QSE169" s="135"/>
      <c r="QSF169" s="135"/>
      <c r="QSG169" s="135"/>
      <c r="QSH169" s="173"/>
      <c r="QSI169" s="173"/>
      <c r="QSJ169" s="173"/>
      <c r="QSK169" s="173"/>
      <c r="QSL169" s="173"/>
      <c r="QSM169" s="173"/>
      <c r="QSN169" s="173"/>
      <c r="QSO169" s="173"/>
      <c r="QSP169" s="173"/>
      <c r="QSQ169" s="173"/>
      <c r="QSR169" s="125"/>
      <c r="QSS169" s="125"/>
      <c r="QST169" s="134"/>
      <c r="QSU169" s="135"/>
      <c r="QSV169" s="135"/>
      <c r="QSW169" s="135"/>
      <c r="QSX169" s="135"/>
      <c r="QSY169" s="173"/>
      <c r="QSZ169" s="173"/>
      <c r="QTA169" s="173"/>
      <c r="QTB169" s="173"/>
      <c r="QTC169" s="173"/>
      <c r="QTD169" s="173"/>
      <c r="QTE169" s="173"/>
      <c r="QTF169" s="173"/>
      <c r="QTG169" s="173"/>
      <c r="QTH169" s="173"/>
      <c r="QTI169" s="125"/>
      <c r="QTJ169" s="125"/>
      <c r="QTK169" s="134"/>
      <c r="QTL169" s="135"/>
      <c r="QTM169" s="135"/>
      <c r="QTN169" s="135"/>
      <c r="QTO169" s="135"/>
      <c r="QTP169" s="173"/>
      <c r="QTQ169" s="173"/>
      <c r="QTR169" s="173"/>
      <c r="QTS169" s="173"/>
      <c r="QTT169" s="173"/>
      <c r="QTU169" s="173"/>
      <c r="QTV169" s="173"/>
      <c r="QTW169" s="173"/>
      <c r="QTX169" s="173"/>
      <c r="QTY169" s="173"/>
      <c r="QTZ169" s="125"/>
      <c r="QUA169" s="125"/>
      <c r="QUB169" s="134"/>
      <c r="QUC169" s="135"/>
      <c r="QUD169" s="135"/>
      <c r="QUE169" s="135"/>
      <c r="QUF169" s="135"/>
      <c r="QUG169" s="173"/>
      <c r="QUH169" s="173"/>
      <c r="QUI169" s="173"/>
      <c r="QUJ169" s="173"/>
      <c r="QUK169" s="173"/>
      <c r="QUL169" s="173"/>
      <c r="QUM169" s="173"/>
      <c r="QUN169" s="173"/>
      <c r="QUO169" s="173"/>
      <c r="QUP169" s="173"/>
      <c r="QUQ169" s="125"/>
      <c r="QUR169" s="125"/>
      <c r="QUS169" s="134"/>
      <c r="QUT169" s="135"/>
      <c r="QUU169" s="135"/>
      <c r="QUV169" s="135"/>
      <c r="QUW169" s="135"/>
      <c r="QUX169" s="173"/>
      <c r="QUY169" s="173"/>
      <c r="QUZ169" s="173"/>
      <c r="QVA169" s="173"/>
      <c r="QVB169" s="173"/>
      <c r="QVC169" s="173"/>
      <c r="QVD169" s="173"/>
      <c r="QVE169" s="173"/>
      <c r="QVF169" s="173"/>
      <c r="QVG169" s="173"/>
      <c r="QVH169" s="125"/>
      <c r="QVI169" s="125"/>
      <c r="QVJ169" s="134"/>
      <c r="QVK169" s="135"/>
      <c r="QVL169" s="135"/>
      <c r="QVM169" s="135"/>
      <c r="QVN169" s="135"/>
      <c r="QVO169" s="173"/>
      <c r="QVP169" s="173"/>
      <c r="QVQ169" s="173"/>
      <c r="QVR169" s="173"/>
      <c r="QVS169" s="173"/>
      <c r="QVT169" s="173"/>
      <c r="QVU169" s="173"/>
      <c r="QVV169" s="173"/>
      <c r="QVW169" s="173"/>
      <c r="QVX169" s="173"/>
      <c r="QVY169" s="125"/>
      <c r="QVZ169" s="125"/>
      <c r="QWA169" s="134"/>
      <c r="QWB169" s="135"/>
      <c r="QWC169" s="135"/>
      <c r="QWD169" s="135"/>
      <c r="QWE169" s="135"/>
      <c r="QWF169" s="173"/>
      <c r="QWG169" s="173"/>
      <c r="QWH169" s="173"/>
      <c r="QWI169" s="173"/>
      <c r="QWJ169" s="173"/>
      <c r="QWK169" s="173"/>
      <c r="QWL169" s="173"/>
      <c r="QWM169" s="173"/>
      <c r="QWN169" s="173"/>
      <c r="QWO169" s="173"/>
      <c r="QWP169" s="125"/>
      <c r="QWQ169" s="125"/>
      <c r="QWR169" s="134"/>
      <c r="QWS169" s="135"/>
      <c r="QWT169" s="135"/>
      <c r="QWU169" s="135"/>
      <c r="QWV169" s="135"/>
      <c r="QWW169" s="173"/>
      <c r="QWX169" s="173"/>
      <c r="QWY169" s="173"/>
      <c r="QWZ169" s="173"/>
      <c r="QXA169" s="173"/>
      <c r="QXB169" s="173"/>
      <c r="QXC169" s="173"/>
      <c r="QXD169" s="173"/>
      <c r="QXE169" s="173"/>
      <c r="QXF169" s="173"/>
      <c r="QXG169" s="125"/>
      <c r="QXH169" s="125"/>
      <c r="QXI169" s="134"/>
      <c r="QXJ169" s="135"/>
      <c r="QXK169" s="135"/>
      <c r="QXL169" s="135"/>
      <c r="QXM169" s="135"/>
      <c r="QXN169" s="173"/>
      <c r="QXO169" s="173"/>
      <c r="QXP169" s="173"/>
      <c r="QXQ169" s="173"/>
      <c r="QXR169" s="173"/>
      <c r="QXS169" s="173"/>
      <c r="QXT169" s="173"/>
      <c r="QXU169" s="173"/>
      <c r="QXV169" s="173"/>
      <c r="QXW169" s="173"/>
      <c r="QXX169" s="125"/>
      <c r="QXY169" s="125"/>
      <c r="QXZ169" s="134"/>
      <c r="QYA169" s="135"/>
      <c r="QYB169" s="135"/>
      <c r="QYC169" s="135"/>
      <c r="QYD169" s="135"/>
      <c r="QYE169" s="173"/>
      <c r="QYF169" s="173"/>
      <c r="QYG169" s="173"/>
      <c r="QYH169" s="173"/>
      <c r="QYI169" s="173"/>
      <c r="QYJ169" s="173"/>
      <c r="QYK169" s="173"/>
      <c r="QYL169" s="173"/>
      <c r="QYM169" s="173"/>
      <c r="QYN169" s="173"/>
      <c r="QYO169" s="125"/>
      <c r="QYP169" s="125"/>
      <c r="QYQ169" s="134"/>
      <c r="QYR169" s="135"/>
      <c r="QYS169" s="135"/>
      <c r="QYT169" s="135"/>
      <c r="QYU169" s="135"/>
      <c r="QYV169" s="173"/>
      <c r="QYW169" s="173"/>
      <c r="QYX169" s="173"/>
      <c r="QYY169" s="173"/>
      <c r="QYZ169" s="173"/>
      <c r="QZA169" s="173"/>
      <c r="QZB169" s="173"/>
      <c r="QZC169" s="173"/>
      <c r="QZD169" s="173"/>
      <c r="QZE169" s="173"/>
      <c r="QZF169" s="125"/>
      <c r="QZG169" s="125"/>
      <c r="QZH169" s="134"/>
      <c r="QZI169" s="135"/>
      <c r="QZJ169" s="135"/>
      <c r="QZK169" s="135"/>
      <c r="QZL169" s="135"/>
      <c r="QZM169" s="173"/>
      <c r="QZN169" s="173"/>
      <c r="QZO169" s="173"/>
      <c r="QZP169" s="173"/>
      <c r="QZQ169" s="173"/>
      <c r="QZR169" s="173"/>
      <c r="QZS169" s="173"/>
      <c r="QZT169" s="173"/>
      <c r="QZU169" s="173"/>
      <c r="QZV169" s="173"/>
      <c r="QZW169" s="125"/>
      <c r="QZX169" s="125"/>
      <c r="QZY169" s="134"/>
      <c r="QZZ169" s="135"/>
      <c r="RAA169" s="135"/>
      <c r="RAB169" s="135"/>
      <c r="RAC169" s="135"/>
      <c r="RAD169" s="173"/>
      <c r="RAE169" s="173"/>
      <c r="RAF169" s="173"/>
      <c r="RAG169" s="173"/>
      <c r="RAH169" s="173"/>
      <c r="RAI169" s="173"/>
      <c r="RAJ169" s="173"/>
      <c r="RAK169" s="173"/>
      <c r="RAL169" s="173"/>
      <c r="RAM169" s="173"/>
      <c r="RAN169" s="125"/>
      <c r="RAO169" s="125"/>
      <c r="RAP169" s="134"/>
      <c r="RAQ169" s="135"/>
      <c r="RAR169" s="135"/>
      <c r="RAS169" s="135"/>
      <c r="RAT169" s="135"/>
      <c r="RAU169" s="173"/>
      <c r="RAV169" s="173"/>
      <c r="RAW169" s="173"/>
      <c r="RAX169" s="173"/>
      <c r="RAY169" s="173"/>
      <c r="RAZ169" s="173"/>
      <c r="RBA169" s="173"/>
      <c r="RBB169" s="173"/>
      <c r="RBC169" s="173"/>
      <c r="RBD169" s="173"/>
      <c r="RBE169" s="125"/>
      <c r="RBF169" s="125"/>
      <c r="RBG169" s="134"/>
      <c r="RBH169" s="135"/>
      <c r="RBI169" s="135"/>
      <c r="RBJ169" s="135"/>
      <c r="RBK169" s="135"/>
      <c r="RBL169" s="173"/>
      <c r="RBM169" s="173"/>
      <c r="RBN169" s="173"/>
      <c r="RBO169" s="173"/>
      <c r="RBP169" s="173"/>
      <c r="RBQ169" s="173"/>
      <c r="RBR169" s="173"/>
      <c r="RBS169" s="173"/>
      <c r="RBT169" s="173"/>
      <c r="RBU169" s="173"/>
      <c r="RBV169" s="125"/>
      <c r="RBW169" s="125"/>
      <c r="RBX169" s="134"/>
      <c r="RBY169" s="135"/>
      <c r="RBZ169" s="135"/>
      <c r="RCA169" s="135"/>
      <c r="RCB169" s="135"/>
      <c r="RCC169" s="173"/>
      <c r="RCD169" s="173"/>
      <c r="RCE169" s="173"/>
      <c r="RCF169" s="173"/>
      <c r="RCG169" s="173"/>
      <c r="RCH169" s="173"/>
      <c r="RCI169" s="173"/>
      <c r="RCJ169" s="173"/>
      <c r="RCK169" s="173"/>
      <c r="RCL169" s="173"/>
      <c r="RCM169" s="125"/>
      <c r="RCN169" s="125"/>
      <c r="RCO169" s="134"/>
      <c r="RCP169" s="135"/>
      <c r="RCQ169" s="135"/>
      <c r="RCR169" s="135"/>
      <c r="RCS169" s="135"/>
      <c r="RCT169" s="173"/>
      <c r="RCU169" s="173"/>
      <c r="RCV169" s="173"/>
      <c r="RCW169" s="173"/>
      <c r="RCX169" s="173"/>
      <c r="RCY169" s="173"/>
      <c r="RCZ169" s="173"/>
      <c r="RDA169" s="173"/>
      <c r="RDB169" s="173"/>
      <c r="RDC169" s="173"/>
      <c r="RDD169" s="125"/>
      <c r="RDE169" s="125"/>
      <c r="RDF169" s="134"/>
      <c r="RDG169" s="135"/>
      <c r="RDH169" s="135"/>
      <c r="RDI169" s="135"/>
      <c r="RDJ169" s="135"/>
      <c r="RDK169" s="173"/>
      <c r="RDL169" s="173"/>
      <c r="RDM169" s="173"/>
      <c r="RDN169" s="173"/>
      <c r="RDO169" s="173"/>
      <c r="RDP169" s="173"/>
      <c r="RDQ169" s="173"/>
      <c r="RDR169" s="173"/>
      <c r="RDS169" s="173"/>
      <c r="RDT169" s="173"/>
      <c r="RDU169" s="125"/>
      <c r="RDV169" s="125"/>
      <c r="RDW169" s="134"/>
      <c r="RDX169" s="135"/>
      <c r="RDY169" s="135"/>
      <c r="RDZ169" s="135"/>
      <c r="REA169" s="135"/>
      <c r="REB169" s="173"/>
      <c r="REC169" s="173"/>
      <c r="RED169" s="173"/>
      <c r="REE169" s="173"/>
      <c r="REF169" s="173"/>
      <c r="REG169" s="173"/>
      <c r="REH169" s="173"/>
      <c r="REI169" s="173"/>
      <c r="REJ169" s="173"/>
      <c r="REK169" s="173"/>
      <c r="REL169" s="125"/>
      <c r="REM169" s="125"/>
      <c r="REN169" s="134"/>
      <c r="REO169" s="135"/>
      <c r="REP169" s="135"/>
      <c r="REQ169" s="135"/>
      <c r="RER169" s="135"/>
      <c r="RES169" s="173"/>
      <c r="RET169" s="173"/>
      <c r="REU169" s="173"/>
      <c r="REV169" s="173"/>
      <c r="REW169" s="173"/>
      <c r="REX169" s="173"/>
      <c r="REY169" s="173"/>
      <c r="REZ169" s="173"/>
      <c r="RFA169" s="173"/>
      <c r="RFB169" s="173"/>
      <c r="RFC169" s="125"/>
      <c r="RFD169" s="125"/>
      <c r="RFE169" s="134"/>
      <c r="RFF169" s="135"/>
      <c r="RFG169" s="135"/>
      <c r="RFH169" s="135"/>
      <c r="RFI169" s="135"/>
      <c r="RFJ169" s="173"/>
      <c r="RFK169" s="173"/>
      <c r="RFL169" s="173"/>
      <c r="RFM169" s="173"/>
      <c r="RFN169" s="173"/>
      <c r="RFO169" s="173"/>
      <c r="RFP169" s="173"/>
      <c r="RFQ169" s="173"/>
      <c r="RFR169" s="173"/>
      <c r="RFS169" s="173"/>
      <c r="RFT169" s="125"/>
      <c r="RFU169" s="125"/>
      <c r="RFV169" s="134"/>
      <c r="RFW169" s="135"/>
      <c r="RFX169" s="135"/>
      <c r="RFY169" s="135"/>
      <c r="RFZ169" s="135"/>
      <c r="RGA169" s="173"/>
      <c r="RGB169" s="173"/>
      <c r="RGC169" s="173"/>
      <c r="RGD169" s="173"/>
      <c r="RGE169" s="173"/>
      <c r="RGF169" s="173"/>
      <c r="RGG169" s="173"/>
      <c r="RGH169" s="173"/>
      <c r="RGI169" s="173"/>
      <c r="RGJ169" s="173"/>
      <c r="RGK169" s="125"/>
      <c r="RGL169" s="125"/>
      <c r="RGM169" s="134"/>
      <c r="RGN169" s="135"/>
      <c r="RGO169" s="135"/>
      <c r="RGP169" s="135"/>
      <c r="RGQ169" s="135"/>
      <c r="RGR169" s="173"/>
      <c r="RGS169" s="173"/>
      <c r="RGT169" s="173"/>
      <c r="RGU169" s="173"/>
      <c r="RGV169" s="173"/>
      <c r="RGW169" s="173"/>
      <c r="RGX169" s="173"/>
      <c r="RGY169" s="173"/>
      <c r="RGZ169" s="173"/>
      <c r="RHA169" s="173"/>
      <c r="RHB169" s="125"/>
      <c r="RHC169" s="125"/>
      <c r="RHD169" s="134"/>
      <c r="RHE169" s="135"/>
      <c r="RHF169" s="135"/>
      <c r="RHG169" s="135"/>
      <c r="RHH169" s="135"/>
      <c r="RHI169" s="173"/>
      <c r="RHJ169" s="173"/>
      <c r="RHK169" s="173"/>
      <c r="RHL169" s="173"/>
      <c r="RHM169" s="173"/>
      <c r="RHN169" s="173"/>
      <c r="RHO169" s="173"/>
      <c r="RHP169" s="173"/>
      <c r="RHQ169" s="173"/>
      <c r="RHR169" s="173"/>
      <c r="RHS169" s="125"/>
      <c r="RHT169" s="125"/>
      <c r="RHU169" s="134"/>
      <c r="RHV169" s="135"/>
      <c r="RHW169" s="135"/>
      <c r="RHX169" s="135"/>
      <c r="RHY169" s="135"/>
      <c r="RHZ169" s="173"/>
      <c r="RIA169" s="173"/>
      <c r="RIB169" s="173"/>
      <c r="RIC169" s="173"/>
      <c r="RID169" s="173"/>
      <c r="RIE169" s="173"/>
      <c r="RIF169" s="173"/>
      <c r="RIG169" s="173"/>
      <c r="RIH169" s="173"/>
      <c r="RII169" s="173"/>
      <c r="RIJ169" s="125"/>
      <c r="RIK169" s="125"/>
      <c r="RIL169" s="134"/>
      <c r="RIM169" s="135"/>
      <c r="RIN169" s="135"/>
      <c r="RIO169" s="135"/>
      <c r="RIP169" s="135"/>
      <c r="RIQ169" s="173"/>
      <c r="RIR169" s="173"/>
      <c r="RIS169" s="173"/>
      <c r="RIT169" s="173"/>
      <c r="RIU169" s="173"/>
      <c r="RIV169" s="173"/>
      <c r="RIW169" s="173"/>
      <c r="RIX169" s="173"/>
      <c r="RIY169" s="173"/>
      <c r="RIZ169" s="173"/>
      <c r="RJA169" s="125"/>
      <c r="RJB169" s="125"/>
      <c r="RJC169" s="134"/>
      <c r="RJD169" s="135"/>
      <c r="RJE169" s="135"/>
      <c r="RJF169" s="135"/>
      <c r="RJG169" s="135"/>
      <c r="RJH169" s="173"/>
      <c r="RJI169" s="173"/>
      <c r="RJJ169" s="173"/>
      <c r="RJK169" s="173"/>
      <c r="RJL169" s="173"/>
      <c r="RJM169" s="173"/>
      <c r="RJN169" s="173"/>
      <c r="RJO169" s="173"/>
      <c r="RJP169" s="173"/>
      <c r="RJQ169" s="173"/>
      <c r="RJR169" s="125"/>
      <c r="RJS169" s="125"/>
      <c r="RJT169" s="134"/>
      <c r="RJU169" s="135"/>
      <c r="RJV169" s="135"/>
      <c r="RJW169" s="135"/>
      <c r="RJX169" s="135"/>
      <c r="RJY169" s="173"/>
      <c r="RJZ169" s="173"/>
      <c r="RKA169" s="173"/>
      <c r="RKB169" s="173"/>
      <c r="RKC169" s="173"/>
      <c r="RKD169" s="173"/>
      <c r="RKE169" s="173"/>
      <c r="RKF169" s="173"/>
      <c r="RKG169" s="173"/>
      <c r="RKH169" s="173"/>
      <c r="RKI169" s="125"/>
      <c r="RKJ169" s="125"/>
      <c r="RKK169" s="134"/>
      <c r="RKL169" s="135"/>
      <c r="RKM169" s="135"/>
      <c r="RKN169" s="135"/>
      <c r="RKO169" s="135"/>
      <c r="RKP169" s="173"/>
      <c r="RKQ169" s="173"/>
      <c r="RKR169" s="173"/>
      <c r="RKS169" s="173"/>
      <c r="RKT169" s="173"/>
      <c r="RKU169" s="173"/>
      <c r="RKV169" s="173"/>
      <c r="RKW169" s="173"/>
      <c r="RKX169" s="173"/>
      <c r="RKY169" s="173"/>
      <c r="RKZ169" s="125"/>
      <c r="RLA169" s="125"/>
      <c r="RLB169" s="134"/>
      <c r="RLC169" s="135"/>
      <c r="RLD169" s="135"/>
      <c r="RLE169" s="135"/>
      <c r="RLF169" s="135"/>
      <c r="RLG169" s="173"/>
      <c r="RLH169" s="173"/>
      <c r="RLI169" s="173"/>
      <c r="RLJ169" s="173"/>
      <c r="RLK169" s="173"/>
      <c r="RLL169" s="173"/>
      <c r="RLM169" s="173"/>
      <c r="RLN169" s="173"/>
      <c r="RLO169" s="173"/>
      <c r="RLP169" s="173"/>
      <c r="RLQ169" s="125"/>
      <c r="RLR169" s="125"/>
      <c r="RLS169" s="134"/>
      <c r="RLT169" s="135"/>
      <c r="RLU169" s="135"/>
      <c r="RLV169" s="135"/>
      <c r="RLW169" s="135"/>
      <c r="RLX169" s="173"/>
      <c r="RLY169" s="173"/>
      <c r="RLZ169" s="173"/>
      <c r="RMA169" s="173"/>
      <c r="RMB169" s="173"/>
      <c r="RMC169" s="173"/>
      <c r="RMD169" s="173"/>
      <c r="RME169" s="173"/>
      <c r="RMF169" s="173"/>
      <c r="RMG169" s="173"/>
      <c r="RMH169" s="125"/>
      <c r="RMI169" s="125"/>
      <c r="RMJ169" s="134"/>
      <c r="RMK169" s="135"/>
      <c r="RML169" s="135"/>
      <c r="RMM169" s="135"/>
      <c r="RMN169" s="135"/>
      <c r="RMO169" s="173"/>
      <c r="RMP169" s="173"/>
      <c r="RMQ169" s="173"/>
      <c r="RMR169" s="173"/>
      <c r="RMS169" s="173"/>
      <c r="RMT169" s="173"/>
      <c r="RMU169" s="173"/>
      <c r="RMV169" s="173"/>
      <c r="RMW169" s="173"/>
      <c r="RMX169" s="173"/>
      <c r="RMY169" s="125"/>
      <c r="RMZ169" s="125"/>
      <c r="RNA169" s="134"/>
      <c r="RNB169" s="135"/>
      <c r="RNC169" s="135"/>
      <c r="RND169" s="135"/>
      <c r="RNE169" s="135"/>
      <c r="RNF169" s="173"/>
      <c r="RNG169" s="173"/>
      <c r="RNH169" s="173"/>
      <c r="RNI169" s="173"/>
      <c r="RNJ169" s="173"/>
      <c r="RNK169" s="173"/>
      <c r="RNL169" s="173"/>
      <c r="RNM169" s="173"/>
      <c r="RNN169" s="173"/>
      <c r="RNO169" s="173"/>
      <c r="RNP169" s="125"/>
      <c r="RNQ169" s="125"/>
      <c r="RNR169" s="134"/>
      <c r="RNS169" s="135"/>
      <c r="RNT169" s="135"/>
      <c r="RNU169" s="135"/>
      <c r="RNV169" s="135"/>
      <c r="RNW169" s="173"/>
      <c r="RNX169" s="173"/>
      <c r="RNY169" s="173"/>
      <c r="RNZ169" s="173"/>
      <c r="ROA169" s="173"/>
      <c r="ROB169" s="173"/>
      <c r="ROC169" s="173"/>
      <c r="ROD169" s="173"/>
      <c r="ROE169" s="173"/>
      <c r="ROF169" s="173"/>
      <c r="ROG169" s="125"/>
      <c r="ROH169" s="125"/>
      <c r="ROI169" s="134"/>
      <c r="ROJ169" s="135"/>
      <c r="ROK169" s="135"/>
      <c r="ROL169" s="135"/>
      <c r="ROM169" s="135"/>
      <c r="RON169" s="173"/>
      <c r="ROO169" s="173"/>
      <c r="ROP169" s="173"/>
      <c r="ROQ169" s="173"/>
      <c r="ROR169" s="173"/>
      <c r="ROS169" s="173"/>
      <c r="ROT169" s="173"/>
      <c r="ROU169" s="173"/>
      <c r="ROV169" s="173"/>
      <c r="ROW169" s="173"/>
      <c r="ROX169" s="125"/>
      <c r="ROY169" s="125"/>
      <c r="ROZ169" s="134"/>
      <c r="RPA169" s="135"/>
      <c r="RPB169" s="135"/>
      <c r="RPC169" s="135"/>
      <c r="RPD169" s="135"/>
      <c r="RPE169" s="173"/>
      <c r="RPF169" s="173"/>
      <c r="RPG169" s="173"/>
      <c r="RPH169" s="173"/>
      <c r="RPI169" s="173"/>
      <c r="RPJ169" s="173"/>
      <c r="RPK169" s="173"/>
      <c r="RPL169" s="173"/>
      <c r="RPM169" s="173"/>
      <c r="RPN169" s="173"/>
      <c r="RPO169" s="125"/>
      <c r="RPP169" s="125"/>
      <c r="RPQ169" s="134"/>
      <c r="RPR169" s="135"/>
      <c r="RPS169" s="135"/>
      <c r="RPT169" s="135"/>
      <c r="RPU169" s="135"/>
      <c r="RPV169" s="173"/>
      <c r="RPW169" s="173"/>
      <c r="RPX169" s="173"/>
      <c r="RPY169" s="173"/>
      <c r="RPZ169" s="173"/>
      <c r="RQA169" s="173"/>
      <c r="RQB169" s="173"/>
      <c r="RQC169" s="173"/>
      <c r="RQD169" s="173"/>
      <c r="RQE169" s="173"/>
      <c r="RQF169" s="125"/>
      <c r="RQG169" s="125"/>
      <c r="RQH169" s="134"/>
      <c r="RQI169" s="135"/>
      <c r="RQJ169" s="135"/>
      <c r="RQK169" s="135"/>
      <c r="RQL169" s="135"/>
      <c r="RQM169" s="173"/>
      <c r="RQN169" s="173"/>
      <c r="RQO169" s="173"/>
      <c r="RQP169" s="173"/>
      <c r="RQQ169" s="173"/>
      <c r="RQR169" s="173"/>
      <c r="RQS169" s="173"/>
      <c r="RQT169" s="173"/>
      <c r="RQU169" s="173"/>
      <c r="RQV169" s="173"/>
      <c r="RQW169" s="125"/>
      <c r="RQX169" s="125"/>
      <c r="RQY169" s="134"/>
      <c r="RQZ169" s="135"/>
      <c r="RRA169" s="135"/>
      <c r="RRB169" s="135"/>
      <c r="RRC169" s="135"/>
      <c r="RRD169" s="173"/>
      <c r="RRE169" s="173"/>
      <c r="RRF169" s="173"/>
      <c r="RRG169" s="173"/>
      <c r="RRH169" s="173"/>
      <c r="RRI169" s="173"/>
      <c r="RRJ169" s="173"/>
      <c r="RRK169" s="173"/>
      <c r="RRL169" s="173"/>
      <c r="RRM169" s="173"/>
      <c r="RRN169" s="125"/>
      <c r="RRO169" s="125"/>
      <c r="RRP169" s="134"/>
      <c r="RRQ169" s="135"/>
      <c r="RRR169" s="135"/>
      <c r="RRS169" s="135"/>
      <c r="RRT169" s="135"/>
      <c r="RRU169" s="173"/>
      <c r="RRV169" s="173"/>
      <c r="RRW169" s="173"/>
      <c r="RRX169" s="173"/>
      <c r="RRY169" s="173"/>
      <c r="RRZ169" s="173"/>
      <c r="RSA169" s="173"/>
      <c r="RSB169" s="173"/>
      <c r="RSC169" s="173"/>
      <c r="RSD169" s="173"/>
      <c r="RSE169" s="125"/>
      <c r="RSF169" s="125"/>
      <c r="RSG169" s="134"/>
      <c r="RSH169" s="135"/>
      <c r="RSI169" s="135"/>
      <c r="RSJ169" s="135"/>
      <c r="RSK169" s="135"/>
      <c r="RSL169" s="173"/>
      <c r="RSM169" s="173"/>
      <c r="RSN169" s="173"/>
      <c r="RSO169" s="173"/>
      <c r="RSP169" s="173"/>
      <c r="RSQ169" s="173"/>
      <c r="RSR169" s="173"/>
      <c r="RSS169" s="173"/>
      <c r="RST169" s="173"/>
      <c r="RSU169" s="173"/>
      <c r="RSV169" s="125"/>
      <c r="RSW169" s="125"/>
      <c r="RSX169" s="134"/>
      <c r="RSY169" s="135"/>
      <c r="RSZ169" s="135"/>
      <c r="RTA169" s="135"/>
      <c r="RTB169" s="135"/>
      <c r="RTC169" s="173"/>
      <c r="RTD169" s="173"/>
      <c r="RTE169" s="173"/>
      <c r="RTF169" s="173"/>
      <c r="RTG169" s="173"/>
      <c r="RTH169" s="173"/>
      <c r="RTI169" s="173"/>
      <c r="RTJ169" s="173"/>
      <c r="RTK169" s="173"/>
      <c r="RTL169" s="173"/>
      <c r="RTM169" s="125"/>
      <c r="RTN169" s="125"/>
      <c r="RTO169" s="134"/>
      <c r="RTP169" s="135"/>
      <c r="RTQ169" s="135"/>
      <c r="RTR169" s="135"/>
      <c r="RTS169" s="135"/>
      <c r="RTT169" s="173"/>
      <c r="RTU169" s="173"/>
      <c r="RTV169" s="173"/>
      <c r="RTW169" s="173"/>
      <c r="RTX169" s="173"/>
      <c r="RTY169" s="173"/>
      <c r="RTZ169" s="173"/>
      <c r="RUA169" s="173"/>
      <c r="RUB169" s="173"/>
      <c r="RUC169" s="173"/>
      <c r="RUD169" s="125"/>
      <c r="RUE169" s="125"/>
      <c r="RUF169" s="134"/>
      <c r="RUG169" s="135"/>
      <c r="RUH169" s="135"/>
      <c r="RUI169" s="135"/>
      <c r="RUJ169" s="135"/>
      <c r="RUK169" s="173"/>
      <c r="RUL169" s="173"/>
      <c r="RUM169" s="173"/>
      <c r="RUN169" s="173"/>
      <c r="RUO169" s="173"/>
      <c r="RUP169" s="173"/>
      <c r="RUQ169" s="173"/>
      <c r="RUR169" s="173"/>
      <c r="RUS169" s="173"/>
      <c r="RUT169" s="173"/>
      <c r="RUU169" s="125"/>
      <c r="RUV169" s="125"/>
      <c r="RUW169" s="134"/>
      <c r="RUX169" s="135"/>
      <c r="RUY169" s="135"/>
      <c r="RUZ169" s="135"/>
      <c r="RVA169" s="135"/>
      <c r="RVB169" s="173"/>
      <c r="RVC169" s="173"/>
      <c r="RVD169" s="173"/>
      <c r="RVE169" s="173"/>
      <c r="RVF169" s="173"/>
      <c r="RVG169" s="173"/>
      <c r="RVH169" s="173"/>
      <c r="RVI169" s="173"/>
      <c r="RVJ169" s="173"/>
      <c r="RVK169" s="173"/>
      <c r="RVL169" s="125"/>
      <c r="RVM169" s="125"/>
      <c r="RVN169" s="134"/>
      <c r="RVO169" s="135"/>
      <c r="RVP169" s="135"/>
      <c r="RVQ169" s="135"/>
      <c r="RVR169" s="135"/>
      <c r="RVS169" s="173"/>
      <c r="RVT169" s="173"/>
      <c r="RVU169" s="173"/>
      <c r="RVV169" s="173"/>
      <c r="RVW169" s="173"/>
      <c r="RVX169" s="173"/>
      <c r="RVY169" s="173"/>
      <c r="RVZ169" s="173"/>
      <c r="RWA169" s="173"/>
      <c r="RWB169" s="173"/>
      <c r="RWC169" s="125"/>
      <c r="RWD169" s="125"/>
      <c r="RWE169" s="134"/>
      <c r="RWF169" s="135"/>
      <c r="RWG169" s="135"/>
      <c r="RWH169" s="135"/>
      <c r="RWI169" s="135"/>
      <c r="RWJ169" s="173"/>
      <c r="RWK169" s="173"/>
      <c r="RWL169" s="173"/>
      <c r="RWM169" s="173"/>
      <c r="RWN169" s="173"/>
      <c r="RWO169" s="173"/>
      <c r="RWP169" s="173"/>
      <c r="RWQ169" s="173"/>
      <c r="RWR169" s="173"/>
      <c r="RWS169" s="173"/>
      <c r="RWT169" s="125"/>
      <c r="RWU169" s="125"/>
      <c r="RWV169" s="134"/>
      <c r="RWW169" s="135"/>
      <c r="RWX169" s="135"/>
      <c r="RWY169" s="135"/>
      <c r="RWZ169" s="135"/>
      <c r="RXA169" s="173"/>
      <c r="RXB169" s="173"/>
      <c r="RXC169" s="173"/>
      <c r="RXD169" s="173"/>
      <c r="RXE169" s="173"/>
      <c r="RXF169" s="173"/>
      <c r="RXG169" s="173"/>
      <c r="RXH169" s="173"/>
      <c r="RXI169" s="173"/>
      <c r="RXJ169" s="173"/>
      <c r="RXK169" s="125"/>
      <c r="RXL169" s="125"/>
      <c r="RXM169" s="134"/>
      <c r="RXN169" s="135"/>
      <c r="RXO169" s="135"/>
      <c r="RXP169" s="135"/>
      <c r="RXQ169" s="135"/>
      <c r="RXR169" s="173"/>
      <c r="RXS169" s="173"/>
      <c r="RXT169" s="173"/>
      <c r="RXU169" s="173"/>
      <c r="RXV169" s="173"/>
      <c r="RXW169" s="173"/>
      <c r="RXX169" s="173"/>
      <c r="RXY169" s="173"/>
      <c r="RXZ169" s="173"/>
      <c r="RYA169" s="173"/>
      <c r="RYB169" s="125"/>
      <c r="RYC169" s="125"/>
      <c r="RYD169" s="134"/>
      <c r="RYE169" s="135"/>
      <c r="RYF169" s="135"/>
      <c r="RYG169" s="135"/>
      <c r="RYH169" s="135"/>
      <c r="RYI169" s="173"/>
      <c r="RYJ169" s="173"/>
      <c r="RYK169" s="173"/>
      <c r="RYL169" s="173"/>
      <c r="RYM169" s="173"/>
      <c r="RYN169" s="173"/>
      <c r="RYO169" s="173"/>
      <c r="RYP169" s="173"/>
      <c r="RYQ169" s="173"/>
      <c r="RYR169" s="173"/>
      <c r="RYS169" s="125"/>
      <c r="RYT169" s="125"/>
      <c r="RYU169" s="134"/>
      <c r="RYV169" s="135"/>
      <c r="RYW169" s="135"/>
      <c r="RYX169" s="135"/>
      <c r="RYY169" s="135"/>
      <c r="RYZ169" s="173"/>
      <c r="RZA169" s="173"/>
      <c r="RZB169" s="173"/>
      <c r="RZC169" s="173"/>
      <c r="RZD169" s="173"/>
      <c r="RZE169" s="173"/>
      <c r="RZF169" s="173"/>
      <c r="RZG169" s="173"/>
      <c r="RZH169" s="173"/>
      <c r="RZI169" s="173"/>
      <c r="RZJ169" s="125"/>
      <c r="RZK169" s="125"/>
      <c r="RZL169" s="134"/>
      <c r="RZM169" s="135"/>
      <c r="RZN169" s="135"/>
      <c r="RZO169" s="135"/>
      <c r="RZP169" s="135"/>
      <c r="RZQ169" s="173"/>
      <c r="RZR169" s="173"/>
      <c r="RZS169" s="173"/>
      <c r="RZT169" s="173"/>
      <c r="RZU169" s="173"/>
      <c r="RZV169" s="173"/>
      <c r="RZW169" s="173"/>
      <c r="RZX169" s="173"/>
      <c r="RZY169" s="173"/>
      <c r="RZZ169" s="173"/>
      <c r="SAA169" s="125"/>
      <c r="SAB169" s="125"/>
      <c r="SAC169" s="134"/>
      <c r="SAD169" s="135"/>
      <c r="SAE169" s="135"/>
      <c r="SAF169" s="135"/>
      <c r="SAG169" s="135"/>
      <c r="SAH169" s="173"/>
      <c r="SAI169" s="173"/>
      <c r="SAJ169" s="173"/>
      <c r="SAK169" s="173"/>
      <c r="SAL169" s="173"/>
      <c r="SAM169" s="173"/>
      <c r="SAN169" s="173"/>
      <c r="SAO169" s="173"/>
      <c r="SAP169" s="173"/>
      <c r="SAQ169" s="173"/>
      <c r="SAR169" s="125"/>
      <c r="SAS169" s="125"/>
      <c r="SAT169" s="134"/>
      <c r="SAU169" s="135"/>
      <c r="SAV169" s="135"/>
      <c r="SAW169" s="135"/>
      <c r="SAX169" s="135"/>
      <c r="SAY169" s="173"/>
      <c r="SAZ169" s="173"/>
      <c r="SBA169" s="173"/>
      <c r="SBB169" s="173"/>
      <c r="SBC169" s="173"/>
      <c r="SBD169" s="173"/>
      <c r="SBE169" s="173"/>
      <c r="SBF169" s="173"/>
      <c r="SBG169" s="173"/>
      <c r="SBH169" s="173"/>
      <c r="SBI169" s="125"/>
      <c r="SBJ169" s="125"/>
      <c r="SBK169" s="134"/>
      <c r="SBL169" s="135"/>
      <c r="SBM169" s="135"/>
      <c r="SBN169" s="135"/>
      <c r="SBO169" s="135"/>
      <c r="SBP169" s="173"/>
      <c r="SBQ169" s="173"/>
      <c r="SBR169" s="173"/>
      <c r="SBS169" s="173"/>
      <c r="SBT169" s="173"/>
      <c r="SBU169" s="173"/>
      <c r="SBV169" s="173"/>
      <c r="SBW169" s="173"/>
      <c r="SBX169" s="173"/>
      <c r="SBY169" s="173"/>
      <c r="SBZ169" s="125"/>
      <c r="SCA169" s="125"/>
      <c r="SCB169" s="134"/>
      <c r="SCC169" s="135"/>
      <c r="SCD169" s="135"/>
      <c r="SCE169" s="135"/>
      <c r="SCF169" s="135"/>
      <c r="SCG169" s="173"/>
      <c r="SCH169" s="173"/>
      <c r="SCI169" s="173"/>
      <c r="SCJ169" s="173"/>
      <c r="SCK169" s="173"/>
      <c r="SCL169" s="173"/>
      <c r="SCM169" s="173"/>
      <c r="SCN169" s="173"/>
      <c r="SCO169" s="173"/>
      <c r="SCP169" s="173"/>
      <c r="SCQ169" s="125"/>
      <c r="SCR169" s="125"/>
      <c r="SCS169" s="134"/>
      <c r="SCT169" s="135"/>
      <c r="SCU169" s="135"/>
      <c r="SCV169" s="135"/>
      <c r="SCW169" s="135"/>
      <c r="SCX169" s="173"/>
      <c r="SCY169" s="173"/>
      <c r="SCZ169" s="173"/>
      <c r="SDA169" s="173"/>
      <c r="SDB169" s="173"/>
      <c r="SDC169" s="173"/>
      <c r="SDD169" s="173"/>
      <c r="SDE169" s="173"/>
      <c r="SDF169" s="173"/>
      <c r="SDG169" s="173"/>
      <c r="SDH169" s="125"/>
      <c r="SDI169" s="125"/>
      <c r="SDJ169" s="134"/>
      <c r="SDK169" s="135"/>
      <c r="SDL169" s="135"/>
      <c r="SDM169" s="135"/>
      <c r="SDN169" s="135"/>
      <c r="SDO169" s="173"/>
      <c r="SDP169" s="173"/>
      <c r="SDQ169" s="173"/>
      <c r="SDR169" s="173"/>
      <c r="SDS169" s="173"/>
      <c r="SDT169" s="173"/>
      <c r="SDU169" s="173"/>
      <c r="SDV169" s="173"/>
      <c r="SDW169" s="173"/>
      <c r="SDX169" s="173"/>
      <c r="SDY169" s="125"/>
      <c r="SDZ169" s="125"/>
      <c r="SEA169" s="134"/>
      <c r="SEB169" s="135"/>
      <c r="SEC169" s="135"/>
      <c r="SED169" s="135"/>
      <c r="SEE169" s="135"/>
      <c r="SEF169" s="173"/>
      <c r="SEG169" s="173"/>
      <c r="SEH169" s="173"/>
      <c r="SEI169" s="173"/>
      <c r="SEJ169" s="173"/>
      <c r="SEK169" s="173"/>
      <c r="SEL169" s="173"/>
      <c r="SEM169" s="173"/>
      <c r="SEN169" s="173"/>
      <c r="SEO169" s="173"/>
      <c r="SEP169" s="125"/>
      <c r="SEQ169" s="125"/>
      <c r="SER169" s="134"/>
      <c r="SES169" s="135"/>
      <c r="SET169" s="135"/>
      <c r="SEU169" s="135"/>
      <c r="SEV169" s="135"/>
      <c r="SEW169" s="173"/>
      <c r="SEX169" s="173"/>
      <c r="SEY169" s="173"/>
      <c r="SEZ169" s="173"/>
      <c r="SFA169" s="173"/>
      <c r="SFB169" s="173"/>
      <c r="SFC169" s="173"/>
      <c r="SFD169" s="173"/>
      <c r="SFE169" s="173"/>
      <c r="SFF169" s="173"/>
      <c r="SFG169" s="125"/>
      <c r="SFH169" s="125"/>
      <c r="SFI169" s="134"/>
      <c r="SFJ169" s="135"/>
      <c r="SFK169" s="135"/>
      <c r="SFL169" s="135"/>
      <c r="SFM169" s="135"/>
      <c r="SFN169" s="173"/>
      <c r="SFO169" s="173"/>
      <c r="SFP169" s="173"/>
      <c r="SFQ169" s="173"/>
      <c r="SFR169" s="173"/>
      <c r="SFS169" s="173"/>
      <c r="SFT169" s="173"/>
      <c r="SFU169" s="173"/>
      <c r="SFV169" s="173"/>
      <c r="SFW169" s="173"/>
      <c r="SFX169" s="125"/>
      <c r="SFY169" s="125"/>
      <c r="SFZ169" s="134"/>
      <c r="SGA169" s="135"/>
      <c r="SGB169" s="135"/>
      <c r="SGC169" s="135"/>
      <c r="SGD169" s="135"/>
      <c r="SGE169" s="173"/>
      <c r="SGF169" s="173"/>
      <c r="SGG169" s="173"/>
      <c r="SGH169" s="173"/>
      <c r="SGI169" s="173"/>
      <c r="SGJ169" s="173"/>
      <c r="SGK169" s="173"/>
      <c r="SGL169" s="173"/>
      <c r="SGM169" s="173"/>
      <c r="SGN169" s="173"/>
      <c r="SGO169" s="125"/>
      <c r="SGP169" s="125"/>
      <c r="SGQ169" s="134"/>
      <c r="SGR169" s="135"/>
      <c r="SGS169" s="135"/>
      <c r="SGT169" s="135"/>
      <c r="SGU169" s="135"/>
      <c r="SGV169" s="173"/>
      <c r="SGW169" s="173"/>
      <c r="SGX169" s="173"/>
      <c r="SGY169" s="173"/>
      <c r="SGZ169" s="173"/>
      <c r="SHA169" s="173"/>
      <c r="SHB169" s="173"/>
      <c r="SHC169" s="173"/>
      <c r="SHD169" s="173"/>
      <c r="SHE169" s="173"/>
      <c r="SHF169" s="125"/>
      <c r="SHG169" s="125"/>
      <c r="SHH169" s="134"/>
      <c r="SHI169" s="135"/>
      <c r="SHJ169" s="135"/>
      <c r="SHK169" s="135"/>
      <c r="SHL169" s="135"/>
      <c r="SHM169" s="173"/>
      <c r="SHN169" s="173"/>
      <c r="SHO169" s="173"/>
      <c r="SHP169" s="173"/>
      <c r="SHQ169" s="173"/>
      <c r="SHR169" s="173"/>
      <c r="SHS169" s="173"/>
      <c r="SHT169" s="173"/>
      <c r="SHU169" s="173"/>
      <c r="SHV169" s="173"/>
      <c r="SHW169" s="125"/>
      <c r="SHX169" s="125"/>
      <c r="SHY169" s="134"/>
      <c r="SHZ169" s="135"/>
      <c r="SIA169" s="135"/>
      <c r="SIB169" s="135"/>
      <c r="SIC169" s="135"/>
      <c r="SID169" s="173"/>
      <c r="SIE169" s="173"/>
      <c r="SIF169" s="173"/>
      <c r="SIG169" s="173"/>
      <c r="SIH169" s="173"/>
      <c r="SII169" s="173"/>
      <c r="SIJ169" s="173"/>
      <c r="SIK169" s="173"/>
      <c r="SIL169" s="173"/>
      <c r="SIM169" s="173"/>
      <c r="SIN169" s="125"/>
      <c r="SIO169" s="125"/>
      <c r="SIP169" s="134"/>
      <c r="SIQ169" s="135"/>
      <c r="SIR169" s="135"/>
      <c r="SIS169" s="135"/>
      <c r="SIT169" s="135"/>
      <c r="SIU169" s="173"/>
      <c r="SIV169" s="173"/>
      <c r="SIW169" s="173"/>
      <c r="SIX169" s="173"/>
      <c r="SIY169" s="173"/>
      <c r="SIZ169" s="173"/>
      <c r="SJA169" s="173"/>
      <c r="SJB169" s="173"/>
      <c r="SJC169" s="173"/>
      <c r="SJD169" s="173"/>
      <c r="SJE169" s="125"/>
      <c r="SJF169" s="125"/>
      <c r="SJG169" s="134"/>
      <c r="SJH169" s="135"/>
      <c r="SJI169" s="135"/>
      <c r="SJJ169" s="135"/>
      <c r="SJK169" s="135"/>
      <c r="SJL169" s="173"/>
      <c r="SJM169" s="173"/>
      <c r="SJN169" s="173"/>
      <c r="SJO169" s="173"/>
      <c r="SJP169" s="173"/>
      <c r="SJQ169" s="173"/>
      <c r="SJR169" s="173"/>
      <c r="SJS169" s="173"/>
      <c r="SJT169" s="173"/>
      <c r="SJU169" s="173"/>
      <c r="SJV169" s="125"/>
      <c r="SJW169" s="125"/>
      <c r="SJX169" s="134"/>
      <c r="SJY169" s="135"/>
      <c r="SJZ169" s="135"/>
      <c r="SKA169" s="135"/>
      <c r="SKB169" s="135"/>
      <c r="SKC169" s="173"/>
      <c r="SKD169" s="173"/>
      <c r="SKE169" s="173"/>
      <c r="SKF169" s="173"/>
      <c r="SKG169" s="173"/>
      <c r="SKH169" s="173"/>
      <c r="SKI169" s="173"/>
      <c r="SKJ169" s="173"/>
      <c r="SKK169" s="173"/>
      <c r="SKL169" s="173"/>
      <c r="SKM169" s="125"/>
      <c r="SKN169" s="125"/>
      <c r="SKO169" s="134"/>
      <c r="SKP169" s="135"/>
      <c r="SKQ169" s="135"/>
      <c r="SKR169" s="135"/>
      <c r="SKS169" s="135"/>
      <c r="SKT169" s="173"/>
      <c r="SKU169" s="173"/>
      <c r="SKV169" s="173"/>
      <c r="SKW169" s="173"/>
      <c r="SKX169" s="173"/>
      <c r="SKY169" s="173"/>
      <c r="SKZ169" s="173"/>
      <c r="SLA169" s="173"/>
      <c r="SLB169" s="173"/>
      <c r="SLC169" s="173"/>
      <c r="SLD169" s="125"/>
      <c r="SLE169" s="125"/>
      <c r="SLF169" s="134"/>
      <c r="SLG169" s="135"/>
      <c r="SLH169" s="135"/>
      <c r="SLI169" s="135"/>
      <c r="SLJ169" s="135"/>
      <c r="SLK169" s="173"/>
      <c r="SLL169" s="173"/>
      <c r="SLM169" s="173"/>
      <c r="SLN169" s="173"/>
      <c r="SLO169" s="173"/>
      <c r="SLP169" s="173"/>
      <c r="SLQ169" s="173"/>
      <c r="SLR169" s="173"/>
      <c r="SLS169" s="173"/>
      <c r="SLT169" s="173"/>
      <c r="SLU169" s="125"/>
      <c r="SLV169" s="125"/>
      <c r="SLW169" s="134"/>
      <c r="SLX169" s="135"/>
      <c r="SLY169" s="135"/>
      <c r="SLZ169" s="135"/>
      <c r="SMA169" s="135"/>
      <c r="SMB169" s="173"/>
      <c r="SMC169" s="173"/>
      <c r="SMD169" s="173"/>
      <c r="SME169" s="173"/>
      <c r="SMF169" s="173"/>
      <c r="SMG169" s="173"/>
      <c r="SMH169" s="173"/>
      <c r="SMI169" s="173"/>
      <c r="SMJ169" s="173"/>
      <c r="SMK169" s="173"/>
      <c r="SML169" s="125"/>
      <c r="SMM169" s="125"/>
      <c r="SMN169" s="134"/>
      <c r="SMO169" s="135"/>
      <c r="SMP169" s="135"/>
      <c r="SMQ169" s="135"/>
      <c r="SMR169" s="135"/>
      <c r="SMS169" s="173"/>
      <c r="SMT169" s="173"/>
      <c r="SMU169" s="173"/>
      <c r="SMV169" s="173"/>
      <c r="SMW169" s="173"/>
      <c r="SMX169" s="173"/>
      <c r="SMY169" s="173"/>
      <c r="SMZ169" s="173"/>
      <c r="SNA169" s="173"/>
      <c r="SNB169" s="173"/>
      <c r="SNC169" s="125"/>
      <c r="SND169" s="125"/>
      <c r="SNE169" s="134"/>
      <c r="SNF169" s="135"/>
      <c r="SNG169" s="135"/>
      <c r="SNH169" s="135"/>
      <c r="SNI169" s="135"/>
      <c r="SNJ169" s="173"/>
      <c r="SNK169" s="173"/>
      <c r="SNL169" s="173"/>
      <c r="SNM169" s="173"/>
      <c r="SNN169" s="173"/>
      <c r="SNO169" s="173"/>
      <c r="SNP169" s="173"/>
      <c r="SNQ169" s="173"/>
      <c r="SNR169" s="173"/>
      <c r="SNS169" s="173"/>
      <c r="SNT169" s="125"/>
      <c r="SNU169" s="125"/>
      <c r="SNV169" s="134"/>
      <c r="SNW169" s="135"/>
      <c r="SNX169" s="135"/>
      <c r="SNY169" s="135"/>
      <c r="SNZ169" s="135"/>
      <c r="SOA169" s="173"/>
      <c r="SOB169" s="173"/>
      <c r="SOC169" s="173"/>
      <c r="SOD169" s="173"/>
      <c r="SOE169" s="173"/>
      <c r="SOF169" s="173"/>
      <c r="SOG169" s="173"/>
      <c r="SOH169" s="173"/>
      <c r="SOI169" s="173"/>
      <c r="SOJ169" s="173"/>
      <c r="SOK169" s="125"/>
      <c r="SOL169" s="125"/>
      <c r="SOM169" s="134"/>
      <c r="SON169" s="135"/>
      <c r="SOO169" s="135"/>
      <c r="SOP169" s="135"/>
      <c r="SOQ169" s="135"/>
      <c r="SOR169" s="173"/>
      <c r="SOS169" s="173"/>
      <c r="SOT169" s="173"/>
      <c r="SOU169" s="173"/>
      <c r="SOV169" s="173"/>
      <c r="SOW169" s="173"/>
      <c r="SOX169" s="173"/>
      <c r="SOY169" s="173"/>
      <c r="SOZ169" s="173"/>
      <c r="SPA169" s="173"/>
      <c r="SPB169" s="125"/>
      <c r="SPC169" s="125"/>
      <c r="SPD169" s="134"/>
      <c r="SPE169" s="135"/>
      <c r="SPF169" s="135"/>
      <c r="SPG169" s="135"/>
      <c r="SPH169" s="135"/>
      <c r="SPI169" s="173"/>
      <c r="SPJ169" s="173"/>
      <c r="SPK169" s="173"/>
      <c r="SPL169" s="173"/>
      <c r="SPM169" s="173"/>
      <c r="SPN169" s="173"/>
      <c r="SPO169" s="173"/>
      <c r="SPP169" s="173"/>
      <c r="SPQ169" s="173"/>
      <c r="SPR169" s="173"/>
      <c r="SPS169" s="125"/>
      <c r="SPT169" s="125"/>
      <c r="SPU169" s="134"/>
      <c r="SPV169" s="135"/>
      <c r="SPW169" s="135"/>
      <c r="SPX169" s="135"/>
      <c r="SPY169" s="135"/>
      <c r="SPZ169" s="173"/>
      <c r="SQA169" s="173"/>
      <c r="SQB169" s="173"/>
      <c r="SQC169" s="173"/>
      <c r="SQD169" s="173"/>
      <c r="SQE169" s="173"/>
      <c r="SQF169" s="173"/>
      <c r="SQG169" s="173"/>
      <c r="SQH169" s="173"/>
      <c r="SQI169" s="173"/>
      <c r="SQJ169" s="125"/>
      <c r="SQK169" s="125"/>
      <c r="SQL169" s="134"/>
      <c r="SQM169" s="135"/>
      <c r="SQN169" s="135"/>
      <c r="SQO169" s="135"/>
      <c r="SQP169" s="135"/>
      <c r="SQQ169" s="173"/>
      <c r="SQR169" s="173"/>
      <c r="SQS169" s="173"/>
      <c r="SQT169" s="173"/>
      <c r="SQU169" s="173"/>
      <c r="SQV169" s="173"/>
      <c r="SQW169" s="173"/>
      <c r="SQX169" s="173"/>
      <c r="SQY169" s="173"/>
      <c r="SQZ169" s="173"/>
      <c r="SRA169" s="125"/>
      <c r="SRB169" s="125"/>
      <c r="SRC169" s="134"/>
      <c r="SRD169" s="135"/>
      <c r="SRE169" s="135"/>
      <c r="SRF169" s="135"/>
      <c r="SRG169" s="135"/>
      <c r="SRH169" s="173"/>
      <c r="SRI169" s="173"/>
      <c r="SRJ169" s="173"/>
      <c r="SRK169" s="173"/>
      <c r="SRL169" s="173"/>
      <c r="SRM169" s="173"/>
      <c r="SRN169" s="173"/>
      <c r="SRO169" s="173"/>
      <c r="SRP169" s="173"/>
      <c r="SRQ169" s="173"/>
      <c r="SRR169" s="125"/>
      <c r="SRS169" s="125"/>
      <c r="SRT169" s="134"/>
      <c r="SRU169" s="135"/>
      <c r="SRV169" s="135"/>
      <c r="SRW169" s="135"/>
      <c r="SRX169" s="135"/>
      <c r="SRY169" s="173"/>
      <c r="SRZ169" s="173"/>
      <c r="SSA169" s="173"/>
      <c r="SSB169" s="173"/>
      <c r="SSC169" s="173"/>
      <c r="SSD169" s="173"/>
      <c r="SSE169" s="173"/>
      <c r="SSF169" s="173"/>
      <c r="SSG169" s="173"/>
      <c r="SSH169" s="173"/>
      <c r="SSI169" s="125"/>
      <c r="SSJ169" s="125"/>
      <c r="SSK169" s="134"/>
      <c r="SSL169" s="135"/>
      <c r="SSM169" s="135"/>
      <c r="SSN169" s="135"/>
      <c r="SSO169" s="135"/>
      <c r="SSP169" s="173"/>
      <c r="SSQ169" s="173"/>
      <c r="SSR169" s="173"/>
      <c r="SSS169" s="173"/>
      <c r="SST169" s="173"/>
      <c r="SSU169" s="173"/>
      <c r="SSV169" s="173"/>
      <c r="SSW169" s="173"/>
      <c r="SSX169" s="173"/>
      <c r="SSY169" s="173"/>
      <c r="SSZ169" s="125"/>
      <c r="STA169" s="125"/>
      <c r="STB169" s="134"/>
      <c r="STC169" s="135"/>
      <c r="STD169" s="135"/>
      <c r="STE169" s="135"/>
      <c r="STF169" s="135"/>
      <c r="STG169" s="173"/>
      <c r="STH169" s="173"/>
      <c r="STI169" s="173"/>
      <c r="STJ169" s="173"/>
      <c r="STK169" s="173"/>
      <c r="STL169" s="173"/>
      <c r="STM169" s="173"/>
      <c r="STN169" s="173"/>
      <c r="STO169" s="173"/>
      <c r="STP169" s="173"/>
      <c r="STQ169" s="125"/>
      <c r="STR169" s="125"/>
      <c r="STS169" s="134"/>
      <c r="STT169" s="135"/>
      <c r="STU169" s="135"/>
      <c r="STV169" s="135"/>
      <c r="STW169" s="135"/>
      <c r="STX169" s="173"/>
      <c r="STY169" s="173"/>
      <c r="STZ169" s="173"/>
      <c r="SUA169" s="173"/>
      <c r="SUB169" s="173"/>
      <c r="SUC169" s="173"/>
      <c r="SUD169" s="173"/>
      <c r="SUE169" s="173"/>
      <c r="SUF169" s="173"/>
      <c r="SUG169" s="173"/>
      <c r="SUH169" s="125"/>
      <c r="SUI169" s="125"/>
      <c r="SUJ169" s="134"/>
      <c r="SUK169" s="135"/>
      <c r="SUL169" s="135"/>
      <c r="SUM169" s="135"/>
      <c r="SUN169" s="135"/>
      <c r="SUO169" s="173"/>
      <c r="SUP169" s="173"/>
      <c r="SUQ169" s="173"/>
      <c r="SUR169" s="173"/>
      <c r="SUS169" s="173"/>
      <c r="SUT169" s="173"/>
      <c r="SUU169" s="173"/>
      <c r="SUV169" s="173"/>
      <c r="SUW169" s="173"/>
      <c r="SUX169" s="173"/>
      <c r="SUY169" s="125"/>
      <c r="SUZ169" s="125"/>
      <c r="SVA169" s="134"/>
      <c r="SVB169" s="135"/>
      <c r="SVC169" s="135"/>
      <c r="SVD169" s="135"/>
      <c r="SVE169" s="135"/>
      <c r="SVF169" s="173"/>
      <c r="SVG169" s="173"/>
      <c r="SVH169" s="173"/>
      <c r="SVI169" s="173"/>
      <c r="SVJ169" s="173"/>
      <c r="SVK169" s="173"/>
      <c r="SVL169" s="173"/>
      <c r="SVM169" s="173"/>
      <c r="SVN169" s="173"/>
      <c r="SVO169" s="173"/>
      <c r="SVP169" s="125"/>
      <c r="SVQ169" s="125"/>
      <c r="SVR169" s="134"/>
      <c r="SVS169" s="135"/>
      <c r="SVT169" s="135"/>
      <c r="SVU169" s="135"/>
      <c r="SVV169" s="135"/>
      <c r="SVW169" s="173"/>
      <c r="SVX169" s="173"/>
      <c r="SVY169" s="173"/>
      <c r="SVZ169" s="173"/>
      <c r="SWA169" s="173"/>
      <c r="SWB169" s="173"/>
      <c r="SWC169" s="173"/>
      <c r="SWD169" s="173"/>
      <c r="SWE169" s="173"/>
      <c r="SWF169" s="173"/>
      <c r="SWG169" s="125"/>
      <c r="SWH169" s="125"/>
      <c r="SWI169" s="134"/>
      <c r="SWJ169" s="135"/>
      <c r="SWK169" s="135"/>
      <c r="SWL169" s="135"/>
      <c r="SWM169" s="135"/>
      <c r="SWN169" s="173"/>
      <c r="SWO169" s="173"/>
      <c r="SWP169" s="173"/>
      <c r="SWQ169" s="173"/>
      <c r="SWR169" s="173"/>
      <c r="SWS169" s="173"/>
      <c r="SWT169" s="173"/>
      <c r="SWU169" s="173"/>
      <c r="SWV169" s="173"/>
      <c r="SWW169" s="173"/>
      <c r="SWX169" s="125"/>
      <c r="SWY169" s="125"/>
      <c r="SWZ169" s="134"/>
      <c r="SXA169" s="135"/>
      <c r="SXB169" s="135"/>
      <c r="SXC169" s="135"/>
      <c r="SXD169" s="135"/>
      <c r="SXE169" s="173"/>
      <c r="SXF169" s="173"/>
      <c r="SXG169" s="173"/>
      <c r="SXH169" s="173"/>
      <c r="SXI169" s="173"/>
      <c r="SXJ169" s="173"/>
      <c r="SXK169" s="173"/>
      <c r="SXL169" s="173"/>
      <c r="SXM169" s="173"/>
      <c r="SXN169" s="173"/>
      <c r="SXO169" s="125"/>
      <c r="SXP169" s="125"/>
      <c r="SXQ169" s="134"/>
      <c r="SXR169" s="135"/>
      <c r="SXS169" s="135"/>
      <c r="SXT169" s="135"/>
      <c r="SXU169" s="135"/>
      <c r="SXV169" s="173"/>
      <c r="SXW169" s="173"/>
      <c r="SXX169" s="173"/>
      <c r="SXY169" s="173"/>
      <c r="SXZ169" s="173"/>
      <c r="SYA169" s="173"/>
      <c r="SYB169" s="173"/>
      <c r="SYC169" s="173"/>
      <c r="SYD169" s="173"/>
      <c r="SYE169" s="173"/>
      <c r="SYF169" s="125"/>
      <c r="SYG169" s="125"/>
      <c r="SYH169" s="134"/>
      <c r="SYI169" s="135"/>
      <c r="SYJ169" s="135"/>
      <c r="SYK169" s="135"/>
      <c r="SYL169" s="135"/>
      <c r="SYM169" s="173"/>
      <c r="SYN169" s="173"/>
      <c r="SYO169" s="173"/>
      <c r="SYP169" s="173"/>
      <c r="SYQ169" s="173"/>
      <c r="SYR169" s="173"/>
      <c r="SYS169" s="173"/>
      <c r="SYT169" s="173"/>
      <c r="SYU169" s="173"/>
      <c r="SYV169" s="173"/>
      <c r="SYW169" s="125"/>
      <c r="SYX169" s="125"/>
      <c r="SYY169" s="134"/>
      <c r="SYZ169" s="135"/>
      <c r="SZA169" s="135"/>
      <c r="SZB169" s="135"/>
      <c r="SZC169" s="135"/>
      <c r="SZD169" s="173"/>
      <c r="SZE169" s="173"/>
      <c r="SZF169" s="173"/>
      <c r="SZG169" s="173"/>
      <c r="SZH169" s="173"/>
      <c r="SZI169" s="173"/>
      <c r="SZJ169" s="173"/>
      <c r="SZK169" s="173"/>
      <c r="SZL169" s="173"/>
      <c r="SZM169" s="173"/>
      <c r="SZN169" s="125"/>
      <c r="SZO169" s="125"/>
      <c r="SZP169" s="134"/>
      <c r="SZQ169" s="135"/>
      <c r="SZR169" s="135"/>
      <c r="SZS169" s="135"/>
      <c r="SZT169" s="135"/>
      <c r="SZU169" s="173"/>
      <c r="SZV169" s="173"/>
      <c r="SZW169" s="173"/>
      <c r="SZX169" s="173"/>
      <c r="SZY169" s="173"/>
      <c r="SZZ169" s="173"/>
      <c r="TAA169" s="173"/>
      <c r="TAB169" s="173"/>
      <c r="TAC169" s="173"/>
      <c r="TAD169" s="173"/>
      <c r="TAE169" s="125"/>
      <c r="TAF169" s="125"/>
      <c r="TAG169" s="134"/>
      <c r="TAH169" s="135"/>
      <c r="TAI169" s="135"/>
      <c r="TAJ169" s="135"/>
      <c r="TAK169" s="135"/>
      <c r="TAL169" s="173"/>
      <c r="TAM169" s="173"/>
      <c r="TAN169" s="173"/>
      <c r="TAO169" s="173"/>
      <c r="TAP169" s="173"/>
      <c r="TAQ169" s="173"/>
      <c r="TAR169" s="173"/>
      <c r="TAS169" s="173"/>
      <c r="TAT169" s="173"/>
      <c r="TAU169" s="173"/>
      <c r="TAV169" s="125"/>
      <c r="TAW169" s="125"/>
      <c r="TAX169" s="134"/>
      <c r="TAY169" s="135"/>
      <c r="TAZ169" s="135"/>
      <c r="TBA169" s="135"/>
      <c r="TBB169" s="135"/>
      <c r="TBC169" s="173"/>
      <c r="TBD169" s="173"/>
      <c r="TBE169" s="173"/>
      <c r="TBF169" s="173"/>
      <c r="TBG169" s="173"/>
      <c r="TBH169" s="173"/>
      <c r="TBI169" s="173"/>
      <c r="TBJ169" s="173"/>
      <c r="TBK169" s="173"/>
      <c r="TBL169" s="173"/>
      <c r="TBM169" s="125"/>
      <c r="TBN169" s="125"/>
      <c r="TBO169" s="134"/>
      <c r="TBP169" s="135"/>
      <c r="TBQ169" s="135"/>
      <c r="TBR169" s="135"/>
      <c r="TBS169" s="135"/>
      <c r="TBT169" s="173"/>
      <c r="TBU169" s="173"/>
      <c r="TBV169" s="173"/>
      <c r="TBW169" s="173"/>
      <c r="TBX169" s="173"/>
      <c r="TBY169" s="173"/>
      <c r="TBZ169" s="173"/>
      <c r="TCA169" s="173"/>
      <c r="TCB169" s="173"/>
      <c r="TCC169" s="173"/>
      <c r="TCD169" s="125"/>
      <c r="TCE169" s="125"/>
      <c r="TCF169" s="134"/>
      <c r="TCG169" s="135"/>
      <c r="TCH169" s="135"/>
      <c r="TCI169" s="135"/>
      <c r="TCJ169" s="135"/>
      <c r="TCK169" s="173"/>
      <c r="TCL169" s="173"/>
      <c r="TCM169" s="173"/>
      <c r="TCN169" s="173"/>
      <c r="TCO169" s="173"/>
      <c r="TCP169" s="173"/>
      <c r="TCQ169" s="173"/>
      <c r="TCR169" s="173"/>
      <c r="TCS169" s="173"/>
      <c r="TCT169" s="173"/>
      <c r="TCU169" s="125"/>
      <c r="TCV169" s="125"/>
      <c r="TCW169" s="134"/>
      <c r="TCX169" s="135"/>
      <c r="TCY169" s="135"/>
      <c r="TCZ169" s="135"/>
      <c r="TDA169" s="135"/>
      <c r="TDB169" s="173"/>
      <c r="TDC169" s="173"/>
      <c r="TDD169" s="173"/>
      <c r="TDE169" s="173"/>
      <c r="TDF169" s="173"/>
      <c r="TDG169" s="173"/>
      <c r="TDH169" s="173"/>
      <c r="TDI169" s="173"/>
      <c r="TDJ169" s="173"/>
      <c r="TDK169" s="173"/>
      <c r="TDL169" s="125"/>
      <c r="TDM169" s="125"/>
      <c r="TDN169" s="134"/>
      <c r="TDO169" s="135"/>
      <c r="TDP169" s="135"/>
      <c r="TDQ169" s="135"/>
      <c r="TDR169" s="135"/>
      <c r="TDS169" s="173"/>
      <c r="TDT169" s="173"/>
      <c r="TDU169" s="173"/>
      <c r="TDV169" s="173"/>
      <c r="TDW169" s="173"/>
      <c r="TDX169" s="173"/>
      <c r="TDY169" s="173"/>
      <c r="TDZ169" s="173"/>
      <c r="TEA169" s="173"/>
      <c r="TEB169" s="173"/>
      <c r="TEC169" s="125"/>
      <c r="TED169" s="125"/>
      <c r="TEE169" s="134"/>
      <c r="TEF169" s="135"/>
      <c r="TEG169" s="135"/>
      <c r="TEH169" s="135"/>
      <c r="TEI169" s="135"/>
      <c r="TEJ169" s="173"/>
      <c r="TEK169" s="173"/>
      <c r="TEL169" s="173"/>
      <c r="TEM169" s="173"/>
      <c r="TEN169" s="173"/>
      <c r="TEO169" s="173"/>
      <c r="TEP169" s="173"/>
      <c r="TEQ169" s="173"/>
      <c r="TER169" s="173"/>
      <c r="TES169" s="173"/>
      <c r="TET169" s="125"/>
      <c r="TEU169" s="125"/>
      <c r="TEV169" s="134"/>
      <c r="TEW169" s="135"/>
      <c r="TEX169" s="135"/>
      <c r="TEY169" s="135"/>
      <c r="TEZ169" s="135"/>
      <c r="TFA169" s="173"/>
      <c r="TFB169" s="173"/>
      <c r="TFC169" s="173"/>
      <c r="TFD169" s="173"/>
      <c r="TFE169" s="173"/>
      <c r="TFF169" s="173"/>
      <c r="TFG169" s="173"/>
      <c r="TFH169" s="173"/>
      <c r="TFI169" s="173"/>
      <c r="TFJ169" s="173"/>
      <c r="TFK169" s="125"/>
      <c r="TFL169" s="125"/>
      <c r="TFM169" s="134"/>
      <c r="TFN169" s="135"/>
      <c r="TFO169" s="135"/>
      <c r="TFP169" s="135"/>
      <c r="TFQ169" s="135"/>
      <c r="TFR169" s="173"/>
      <c r="TFS169" s="173"/>
      <c r="TFT169" s="173"/>
      <c r="TFU169" s="173"/>
      <c r="TFV169" s="173"/>
      <c r="TFW169" s="173"/>
      <c r="TFX169" s="173"/>
      <c r="TFY169" s="173"/>
      <c r="TFZ169" s="173"/>
      <c r="TGA169" s="173"/>
      <c r="TGB169" s="125"/>
      <c r="TGC169" s="125"/>
      <c r="TGD169" s="134"/>
      <c r="TGE169" s="135"/>
      <c r="TGF169" s="135"/>
      <c r="TGG169" s="135"/>
      <c r="TGH169" s="135"/>
      <c r="TGI169" s="173"/>
      <c r="TGJ169" s="173"/>
      <c r="TGK169" s="173"/>
      <c r="TGL169" s="173"/>
      <c r="TGM169" s="173"/>
      <c r="TGN169" s="173"/>
      <c r="TGO169" s="173"/>
      <c r="TGP169" s="173"/>
      <c r="TGQ169" s="173"/>
      <c r="TGR169" s="173"/>
      <c r="TGS169" s="125"/>
      <c r="TGT169" s="125"/>
      <c r="TGU169" s="134"/>
      <c r="TGV169" s="135"/>
      <c r="TGW169" s="135"/>
      <c r="TGX169" s="135"/>
      <c r="TGY169" s="135"/>
      <c r="TGZ169" s="173"/>
      <c r="THA169" s="173"/>
      <c r="THB169" s="173"/>
      <c r="THC169" s="173"/>
      <c r="THD169" s="173"/>
      <c r="THE169" s="173"/>
      <c r="THF169" s="173"/>
      <c r="THG169" s="173"/>
      <c r="THH169" s="173"/>
      <c r="THI169" s="173"/>
      <c r="THJ169" s="125"/>
      <c r="THK169" s="125"/>
      <c r="THL169" s="134"/>
      <c r="THM169" s="135"/>
      <c r="THN169" s="135"/>
      <c r="THO169" s="135"/>
      <c r="THP169" s="135"/>
      <c r="THQ169" s="173"/>
      <c r="THR169" s="173"/>
      <c r="THS169" s="173"/>
      <c r="THT169" s="173"/>
      <c r="THU169" s="173"/>
      <c r="THV169" s="173"/>
      <c r="THW169" s="173"/>
      <c r="THX169" s="173"/>
      <c r="THY169" s="173"/>
      <c r="THZ169" s="173"/>
      <c r="TIA169" s="125"/>
      <c r="TIB169" s="125"/>
      <c r="TIC169" s="134"/>
      <c r="TID169" s="135"/>
      <c r="TIE169" s="135"/>
      <c r="TIF169" s="135"/>
      <c r="TIG169" s="135"/>
      <c r="TIH169" s="173"/>
      <c r="TII169" s="173"/>
      <c r="TIJ169" s="173"/>
      <c r="TIK169" s="173"/>
      <c r="TIL169" s="173"/>
      <c r="TIM169" s="173"/>
      <c r="TIN169" s="173"/>
      <c r="TIO169" s="173"/>
      <c r="TIP169" s="173"/>
      <c r="TIQ169" s="173"/>
      <c r="TIR169" s="125"/>
      <c r="TIS169" s="125"/>
      <c r="TIT169" s="134"/>
      <c r="TIU169" s="135"/>
      <c r="TIV169" s="135"/>
      <c r="TIW169" s="135"/>
      <c r="TIX169" s="135"/>
      <c r="TIY169" s="173"/>
      <c r="TIZ169" s="173"/>
      <c r="TJA169" s="173"/>
      <c r="TJB169" s="173"/>
      <c r="TJC169" s="173"/>
      <c r="TJD169" s="173"/>
      <c r="TJE169" s="173"/>
      <c r="TJF169" s="173"/>
      <c r="TJG169" s="173"/>
      <c r="TJH169" s="173"/>
      <c r="TJI169" s="125"/>
      <c r="TJJ169" s="125"/>
      <c r="TJK169" s="134"/>
      <c r="TJL169" s="135"/>
      <c r="TJM169" s="135"/>
      <c r="TJN169" s="135"/>
      <c r="TJO169" s="135"/>
      <c r="TJP169" s="173"/>
      <c r="TJQ169" s="173"/>
      <c r="TJR169" s="173"/>
      <c r="TJS169" s="173"/>
      <c r="TJT169" s="173"/>
      <c r="TJU169" s="173"/>
      <c r="TJV169" s="173"/>
      <c r="TJW169" s="173"/>
      <c r="TJX169" s="173"/>
      <c r="TJY169" s="173"/>
      <c r="TJZ169" s="125"/>
      <c r="TKA169" s="125"/>
      <c r="TKB169" s="134"/>
      <c r="TKC169" s="135"/>
      <c r="TKD169" s="135"/>
      <c r="TKE169" s="135"/>
      <c r="TKF169" s="135"/>
      <c r="TKG169" s="173"/>
      <c r="TKH169" s="173"/>
      <c r="TKI169" s="173"/>
      <c r="TKJ169" s="173"/>
      <c r="TKK169" s="173"/>
      <c r="TKL169" s="173"/>
      <c r="TKM169" s="173"/>
      <c r="TKN169" s="173"/>
      <c r="TKO169" s="173"/>
      <c r="TKP169" s="173"/>
      <c r="TKQ169" s="125"/>
      <c r="TKR169" s="125"/>
      <c r="TKS169" s="134"/>
      <c r="TKT169" s="135"/>
      <c r="TKU169" s="135"/>
      <c r="TKV169" s="135"/>
      <c r="TKW169" s="135"/>
      <c r="TKX169" s="173"/>
      <c r="TKY169" s="173"/>
      <c r="TKZ169" s="173"/>
      <c r="TLA169" s="173"/>
      <c r="TLB169" s="173"/>
      <c r="TLC169" s="173"/>
      <c r="TLD169" s="173"/>
      <c r="TLE169" s="173"/>
      <c r="TLF169" s="173"/>
      <c r="TLG169" s="173"/>
      <c r="TLH169" s="125"/>
      <c r="TLI169" s="125"/>
      <c r="TLJ169" s="134"/>
      <c r="TLK169" s="135"/>
      <c r="TLL169" s="135"/>
      <c r="TLM169" s="135"/>
      <c r="TLN169" s="135"/>
      <c r="TLO169" s="173"/>
      <c r="TLP169" s="173"/>
      <c r="TLQ169" s="173"/>
      <c r="TLR169" s="173"/>
      <c r="TLS169" s="173"/>
      <c r="TLT169" s="173"/>
      <c r="TLU169" s="173"/>
      <c r="TLV169" s="173"/>
      <c r="TLW169" s="173"/>
      <c r="TLX169" s="173"/>
      <c r="TLY169" s="125"/>
      <c r="TLZ169" s="125"/>
      <c r="TMA169" s="134"/>
      <c r="TMB169" s="135"/>
      <c r="TMC169" s="135"/>
      <c r="TMD169" s="135"/>
      <c r="TME169" s="135"/>
      <c r="TMF169" s="173"/>
      <c r="TMG169" s="173"/>
      <c r="TMH169" s="173"/>
      <c r="TMI169" s="173"/>
      <c r="TMJ169" s="173"/>
      <c r="TMK169" s="173"/>
      <c r="TML169" s="173"/>
      <c r="TMM169" s="173"/>
      <c r="TMN169" s="173"/>
      <c r="TMO169" s="173"/>
      <c r="TMP169" s="125"/>
      <c r="TMQ169" s="125"/>
      <c r="TMR169" s="134"/>
      <c r="TMS169" s="135"/>
      <c r="TMT169" s="135"/>
      <c r="TMU169" s="135"/>
      <c r="TMV169" s="135"/>
      <c r="TMW169" s="173"/>
      <c r="TMX169" s="173"/>
      <c r="TMY169" s="173"/>
      <c r="TMZ169" s="173"/>
      <c r="TNA169" s="173"/>
      <c r="TNB169" s="173"/>
      <c r="TNC169" s="173"/>
      <c r="TND169" s="173"/>
      <c r="TNE169" s="173"/>
      <c r="TNF169" s="173"/>
      <c r="TNG169" s="125"/>
      <c r="TNH169" s="125"/>
      <c r="TNI169" s="134"/>
      <c r="TNJ169" s="135"/>
      <c r="TNK169" s="135"/>
      <c r="TNL169" s="135"/>
      <c r="TNM169" s="135"/>
      <c r="TNN169" s="173"/>
      <c r="TNO169" s="173"/>
      <c r="TNP169" s="173"/>
      <c r="TNQ169" s="173"/>
      <c r="TNR169" s="173"/>
      <c r="TNS169" s="173"/>
      <c r="TNT169" s="173"/>
      <c r="TNU169" s="173"/>
      <c r="TNV169" s="173"/>
      <c r="TNW169" s="173"/>
      <c r="TNX169" s="125"/>
      <c r="TNY169" s="125"/>
      <c r="TNZ169" s="134"/>
      <c r="TOA169" s="135"/>
      <c r="TOB169" s="135"/>
      <c r="TOC169" s="135"/>
      <c r="TOD169" s="135"/>
      <c r="TOE169" s="173"/>
      <c r="TOF169" s="173"/>
      <c r="TOG169" s="173"/>
      <c r="TOH169" s="173"/>
      <c r="TOI169" s="173"/>
      <c r="TOJ169" s="173"/>
      <c r="TOK169" s="173"/>
      <c r="TOL169" s="173"/>
      <c r="TOM169" s="173"/>
      <c r="TON169" s="173"/>
      <c r="TOO169" s="125"/>
      <c r="TOP169" s="125"/>
      <c r="TOQ169" s="134"/>
      <c r="TOR169" s="135"/>
      <c r="TOS169" s="135"/>
      <c r="TOT169" s="135"/>
      <c r="TOU169" s="135"/>
      <c r="TOV169" s="173"/>
      <c r="TOW169" s="173"/>
      <c r="TOX169" s="173"/>
      <c r="TOY169" s="173"/>
      <c r="TOZ169" s="173"/>
      <c r="TPA169" s="173"/>
      <c r="TPB169" s="173"/>
      <c r="TPC169" s="173"/>
      <c r="TPD169" s="173"/>
      <c r="TPE169" s="173"/>
      <c r="TPF169" s="125"/>
      <c r="TPG169" s="125"/>
      <c r="TPH169" s="134"/>
      <c r="TPI169" s="135"/>
      <c r="TPJ169" s="135"/>
      <c r="TPK169" s="135"/>
      <c r="TPL169" s="135"/>
      <c r="TPM169" s="173"/>
      <c r="TPN169" s="173"/>
      <c r="TPO169" s="173"/>
      <c r="TPP169" s="173"/>
      <c r="TPQ169" s="173"/>
      <c r="TPR169" s="173"/>
      <c r="TPS169" s="173"/>
      <c r="TPT169" s="173"/>
      <c r="TPU169" s="173"/>
      <c r="TPV169" s="173"/>
      <c r="TPW169" s="125"/>
      <c r="TPX169" s="125"/>
      <c r="TPY169" s="134"/>
      <c r="TPZ169" s="135"/>
      <c r="TQA169" s="135"/>
      <c r="TQB169" s="135"/>
      <c r="TQC169" s="135"/>
      <c r="TQD169" s="173"/>
      <c r="TQE169" s="173"/>
      <c r="TQF169" s="173"/>
      <c r="TQG169" s="173"/>
      <c r="TQH169" s="173"/>
      <c r="TQI169" s="173"/>
      <c r="TQJ169" s="173"/>
      <c r="TQK169" s="173"/>
      <c r="TQL169" s="173"/>
      <c r="TQM169" s="173"/>
      <c r="TQN169" s="125"/>
      <c r="TQO169" s="125"/>
      <c r="TQP169" s="134"/>
      <c r="TQQ169" s="135"/>
      <c r="TQR169" s="135"/>
      <c r="TQS169" s="135"/>
      <c r="TQT169" s="135"/>
      <c r="TQU169" s="173"/>
      <c r="TQV169" s="173"/>
      <c r="TQW169" s="173"/>
      <c r="TQX169" s="173"/>
      <c r="TQY169" s="173"/>
      <c r="TQZ169" s="173"/>
      <c r="TRA169" s="173"/>
      <c r="TRB169" s="173"/>
      <c r="TRC169" s="173"/>
      <c r="TRD169" s="173"/>
      <c r="TRE169" s="125"/>
      <c r="TRF169" s="125"/>
      <c r="TRG169" s="134"/>
      <c r="TRH169" s="135"/>
      <c r="TRI169" s="135"/>
      <c r="TRJ169" s="135"/>
      <c r="TRK169" s="135"/>
      <c r="TRL169" s="173"/>
      <c r="TRM169" s="173"/>
      <c r="TRN169" s="173"/>
      <c r="TRO169" s="173"/>
      <c r="TRP169" s="173"/>
      <c r="TRQ169" s="173"/>
      <c r="TRR169" s="173"/>
      <c r="TRS169" s="173"/>
      <c r="TRT169" s="173"/>
      <c r="TRU169" s="173"/>
      <c r="TRV169" s="125"/>
      <c r="TRW169" s="125"/>
      <c r="TRX169" s="134"/>
      <c r="TRY169" s="135"/>
      <c r="TRZ169" s="135"/>
      <c r="TSA169" s="135"/>
      <c r="TSB169" s="135"/>
      <c r="TSC169" s="173"/>
      <c r="TSD169" s="173"/>
      <c r="TSE169" s="173"/>
      <c r="TSF169" s="173"/>
      <c r="TSG169" s="173"/>
      <c r="TSH169" s="173"/>
      <c r="TSI169" s="173"/>
      <c r="TSJ169" s="173"/>
      <c r="TSK169" s="173"/>
      <c r="TSL169" s="173"/>
      <c r="TSM169" s="125"/>
      <c r="TSN169" s="125"/>
      <c r="TSO169" s="134"/>
      <c r="TSP169" s="135"/>
      <c r="TSQ169" s="135"/>
      <c r="TSR169" s="135"/>
      <c r="TSS169" s="135"/>
      <c r="TST169" s="173"/>
      <c r="TSU169" s="173"/>
      <c r="TSV169" s="173"/>
      <c r="TSW169" s="173"/>
      <c r="TSX169" s="173"/>
      <c r="TSY169" s="173"/>
      <c r="TSZ169" s="173"/>
      <c r="TTA169" s="173"/>
      <c r="TTB169" s="173"/>
      <c r="TTC169" s="173"/>
      <c r="TTD169" s="125"/>
      <c r="TTE169" s="125"/>
      <c r="TTF169" s="134"/>
      <c r="TTG169" s="135"/>
      <c r="TTH169" s="135"/>
      <c r="TTI169" s="135"/>
      <c r="TTJ169" s="135"/>
      <c r="TTK169" s="173"/>
      <c r="TTL169" s="173"/>
      <c r="TTM169" s="173"/>
      <c r="TTN169" s="173"/>
      <c r="TTO169" s="173"/>
      <c r="TTP169" s="173"/>
      <c r="TTQ169" s="173"/>
      <c r="TTR169" s="173"/>
      <c r="TTS169" s="173"/>
      <c r="TTT169" s="173"/>
      <c r="TTU169" s="125"/>
      <c r="TTV169" s="125"/>
      <c r="TTW169" s="134"/>
      <c r="TTX169" s="135"/>
      <c r="TTY169" s="135"/>
      <c r="TTZ169" s="135"/>
      <c r="TUA169" s="135"/>
      <c r="TUB169" s="173"/>
      <c r="TUC169" s="173"/>
      <c r="TUD169" s="173"/>
      <c r="TUE169" s="173"/>
      <c r="TUF169" s="173"/>
      <c r="TUG169" s="173"/>
      <c r="TUH169" s="173"/>
      <c r="TUI169" s="173"/>
      <c r="TUJ169" s="173"/>
      <c r="TUK169" s="173"/>
      <c r="TUL169" s="125"/>
      <c r="TUM169" s="125"/>
      <c r="TUN169" s="134"/>
      <c r="TUO169" s="135"/>
      <c r="TUP169" s="135"/>
      <c r="TUQ169" s="135"/>
      <c r="TUR169" s="135"/>
      <c r="TUS169" s="173"/>
      <c r="TUT169" s="173"/>
      <c r="TUU169" s="173"/>
      <c r="TUV169" s="173"/>
      <c r="TUW169" s="173"/>
      <c r="TUX169" s="173"/>
      <c r="TUY169" s="173"/>
      <c r="TUZ169" s="173"/>
      <c r="TVA169" s="173"/>
      <c r="TVB169" s="173"/>
      <c r="TVC169" s="125"/>
      <c r="TVD169" s="125"/>
      <c r="TVE169" s="134"/>
      <c r="TVF169" s="135"/>
      <c r="TVG169" s="135"/>
      <c r="TVH169" s="135"/>
      <c r="TVI169" s="135"/>
      <c r="TVJ169" s="173"/>
      <c r="TVK169" s="173"/>
      <c r="TVL169" s="173"/>
      <c r="TVM169" s="173"/>
      <c r="TVN169" s="173"/>
      <c r="TVO169" s="173"/>
      <c r="TVP169" s="173"/>
      <c r="TVQ169" s="173"/>
      <c r="TVR169" s="173"/>
      <c r="TVS169" s="173"/>
      <c r="TVT169" s="125"/>
      <c r="TVU169" s="125"/>
      <c r="TVV169" s="134"/>
      <c r="TVW169" s="135"/>
      <c r="TVX169" s="135"/>
      <c r="TVY169" s="135"/>
      <c r="TVZ169" s="135"/>
      <c r="TWA169" s="173"/>
      <c r="TWB169" s="173"/>
      <c r="TWC169" s="173"/>
      <c r="TWD169" s="173"/>
      <c r="TWE169" s="173"/>
      <c r="TWF169" s="173"/>
      <c r="TWG169" s="173"/>
      <c r="TWH169" s="173"/>
      <c r="TWI169" s="173"/>
      <c r="TWJ169" s="173"/>
      <c r="TWK169" s="125"/>
      <c r="TWL169" s="125"/>
      <c r="TWM169" s="134"/>
      <c r="TWN169" s="135"/>
      <c r="TWO169" s="135"/>
      <c r="TWP169" s="135"/>
      <c r="TWQ169" s="135"/>
      <c r="TWR169" s="173"/>
      <c r="TWS169" s="173"/>
      <c r="TWT169" s="173"/>
      <c r="TWU169" s="173"/>
      <c r="TWV169" s="173"/>
      <c r="TWW169" s="173"/>
      <c r="TWX169" s="173"/>
      <c r="TWY169" s="173"/>
      <c r="TWZ169" s="173"/>
      <c r="TXA169" s="173"/>
      <c r="TXB169" s="125"/>
      <c r="TXC169" s="125"/>
      <c r="TXD169" s="134"/>
      <c r="TXE169" s="135"/>
      <c r="TXF169" s="135"/>
      <c r="TXG169" s="135"/>
      <c r="TXH169" s="135"/>
      <c r="TXI169" s="173"/>
      <c r="TXJ169" s="173"/>
      <c r="TXK169" s="173"/>
      <c r="TXL169" s="173"/>
      <c r="TXM169" s="173"/>
      <c r="TXN169" s="173"/>
      <c r="TXO169" s="173"/>
      <c r="TXP169" s="173"/>
      <c r="TXQ169" s="173"/>
      <c r="TXR169" s="173"/>
      <c r="TXS169" s="125"/>
      <c r="TXT169" s="125"/>
      <c r="TXU169" s="134"/>
      <c r="TXV169" s="135"/>
      <c r="TXW169" s="135"/>
      <c r="TXX169" s="135"/>
      <c r="TXY169" s="135"/>
      <c r="TXZ169" s="173"/>
      <c r="TYA169" s="173"/>
      <c r="TYB169" s="173"/>
      <c r="TYC169" s="173"/>
      <c r="TYD169" s="173"/>
      <c r="TYE169" s="173"/>
      <c r="TYF169" s="173"/>
      <c r="TYG169" s="173"/>
      <c r="TYH169" s="173"/>
      <c r="TYI169" s="173"/>
      <c r="TYJ169" s="125"/>
      <c r="TYK169" s="125"/>
      <c r="TYL169" s="134"/>
      <c r="TYM169" s="135"/>
      <c r="TYN169" s="135"/>
      <c r="TYO169" s="135"/>
      <c r="TYP169" s="135"/>
      <c r="TYQ169" s="173"/>
      <c r="TYR169" s="173"/>
      <c r="TYS169" s="173"/>
      <c r="TYT169" s="173"/>
      <c r="TYU169" s="173"/>
      <c r="TYV169" s="173"/>
      <c r="TYW169" s="173"/>
      <c r="TYX169" s="173"/>
      <c r="TYY169" s="173"/>
      <c r="TYZ169" s="173"/>
      <c r="TZA169" s="125"/>
      <c r="TZB169" s="125"/>
      <c r="TZC169" s="134"/>
      <c r="TZD169" s="135"/>
      <c r="TZE169" s="135"/>
      <c r="TZF169" s="135"/>
      <c r="TZG169" s="135"/>
      <c r="TZH169" s="173"/>
      <c r="TZI169" s="173"/>
      <c r="TZJ169" s="173"/>
      <c r="TZK169" s="173"/>
      <c r="TZL169" s="173"/>
      <c r="TZM169" s="173"/>
      <c r="TZN169" s="173"/>
      <c r="TZO169" s="173"/>
      <c r="TZP169" s="173"/>
      <c r="TZQ169" s="173"/>
      <c r="TZR169" s="125"/>
      <c r="TZS169" s="125"/>
      <c r="TZT169" s="134"/>
      <c r="TZU169" s="135"/>
      <c r="TZV169" s="135"/>
      <c r="TZW169" s="135"/>
      <c r="TZX169" s="135"/>
      <c r="TZY169" s="173"/>
      <c r="TZZ169" s="173"/>
      <c r="UAA169" s="173"/>
      <c r="UAB169" s="173"/>
      <c r="UAC169" s="173"/>
      <c r="UAD169" s="173"/>
      <c r="UAE169" s="173"/>
      <c r="UAF169" s="173"/>
      <c r="UAG169" s="173"/>
      <c r="UAH169" s="173"/>
      <c r="UAI169" s="125"/>
      <c r="UAJ169" s="125"/>
      <c r="UAK169" s="134"/>
      <c r="UAL169" s="135"/>
      <c r="UAM169" s="135"/>
      <c r="UAN169" s="135"/>
      <c r="UAO169" s="135"/>
      <c r="UAP169" s="173"/>
      <c r="UAQ169" s="173"/>
      <c r="UAR169" s="173"/>
      <c r="UAS169" s="173"/>
      <c r="UAT169" s="173"/>
      <c r="UAU169" s="173"/>
      <c r="UAV169" s="173"/>
      <c r="UAW169" s="173"/>
      <c r="UAX169" s="173"/>
      <c r="UAY169" s="173"/>
      <c r="UAZ169" s="125"/>
      <c r="UBA169" s="125"/>
      <c r="UBB169" s="134"/>
      <c r="UBC169" s="135"/>
      <c r="UBD169" s="135"/>
      <c r="UBE169" s="135"/>
      <c r="UBF169" s="135"/>
      <c r="UBG169" s="173"/>
      <c r="UBH169" s="173"/>
      <c r="UBI169" s="173"/>
      <c r="UBJ169" s="173"/>
      <c r="UBK169" s="173"/>
      <c r="UBL169" s="173"/>
      <c r="UBM169" s="173"/>
      <c r="UBN169" s="173"/>
      <c r="UBO169" s="173"/>
      <c r="UBP169" s="173"/>
      <c r="UBQ169" s="125"/>
      <c r="UBR169" s="125"/>
      <c r="UBS169" s="134"/>
      <c r="UBT169" s="135"/>
      <c r="UBU169" s="135"/>
      <c r="UBV169" s="135"/>
      <c r="UBW169" s="135"/>
      <c r="UBX169" s="173"/>
      <c r="UBY169" s="173"/>
      <c r="UBZ169" s="173"/>
      <c r="UCA169" s="173"/>
      <c r="UCB169" s="173"/>
      <c r="UCC169" s="173"/>
      <c r="UCD169" s="173"/>
      <c r="UCE169" s="173"/>
      <c r="UCF169" s="173"/>
      <c r="UCG169" s="173"/>
      <c r="UCH169" s="125"/>
      <c r="UCI169" s="125"/>
      <c r="UCJ169" s="134"/>
      <c r="UCK169" s="135"/>
      <c r="UCL169" s="135"/>
      <c r="UCM169" s="135"/>
      <c r="UCN169" s="135"/>
      <c r="UCO169" s="173"/>
      <c r="UCP169" s="173"/>
      <c r="UCQ169" s="173"/>
      <c r="UCR169" s="173"/>
      <c r="UCS169" s="173"/>
      <c r="UCT169" s="173"/>
      <c r="UCU169" s="173"/>
      <c r="UCV169" s="173"/>
      <c r="UCW169" s="173"/>
      <c r="UCX169" s="173"/>
      <c r="UCY169" s="125"/>
      <c r="UCZ169" s="125"/>
      <c r="UDA169" s="134"/>
      <c r="UDB169" s="135"/>
      <c r="UDC169" s="135"/>
      <c r="UDD169" s="135"/>
      <c r="UDE169" s="135"/>
      <c r="UDF169" s="173"/>
      <c r="UDG169" s="173"/>
      <c r="UDH169" s="173"/>
      <c r="UDI169" s="173"/>
      <c r="UDJ169" s="173"/>
      <c r="UDK169" s="173"/>
      <c r="UDL169" s="173"/>
      <c r="UDM169" s="173"/>
      <c r="UDN169" s="173"/>
      <c r="UDO169" s="173"/>
      <c r="UDP169" s="125"/>
      <c r="UDQ169" s="125"/>
      <c r="UDR169" s="134"/>
      <c r="UDS169" s="135"/>
      <c r="UDT169" s="135"/>
      <c r="UDU169" s="135"/>
      <c r="UDV169" s="135"/>
      <c r="UDW169" s="173"/>
      <c r="UDX169" s="173"/>
      <c r="UDY169" s="173"/>
      <c r="UDZ169" s="173"/>
      <c r="UEA169" s="173"/>
      <c r="UEB169" s="173"/>
      <c r="UEC169" s="173"/>
      <c r="UED169" s="173"/>
      <c r="UEE169" s="173"/>
      <c r="UEF169" s="173"/>
      <c r="UEG169" s="125"/>
      <c r="UEH169" s="125"/>
      <c r="UEI169" s="134"/>
      <c r="UEJ169" s="135"/>
      <c r="UEK169" s="135"/>
      <c r="UEL169" s="135"/>
      <c r="UEM169" s="135"/>
      <c r="UEN169" s="173"/>
      <c r="UEO169" s="173"/>
      <c r="UEP169" s="173"/>
      <c r="UEQ169" s="173"/>
      <c r="UER169" s="173"/>
      <c r="UES169" s="173"/>
      <c r="UET169" s="173"/>
      <c r="UEU169" s="173"/>
      <c r="UEV169" s="173"/>
      <c r="UEW169" s="173"/>
      <c r="UEX169" s="125"/>
      <c r="UEY169" s="125"/>
      <c r="UEZ169" s="134"/>
      <c r="UFA169" s="135"/>
      <c r="UFB169" s="135"/>
      <c r="UFC169" s="135"/>
      <c r="UFD169" s="135"/>
      <c r="UFE169" s="173"/>
      <c r="UFF169" s="173"/>
      <c r="UFG169" s="173"/>
      <c r="UFH169" s="173"/>
      <c r="UFI169" s="173"/>
      <c r="UFJ169" s="173"/>
      <c r="UFK169" s="173"/>
      <c r="UFL169" s="173"/>
      <c r="UFM169" s="173"/>
      <c r="UFN169" s="173"/>
      <c r="UFO169" s="125"/>
      <c r="UFP169" s="125"/>
      <c r="UFQ169" s="134"/>
      <c r="UFR169" s="135"/>
      <c r="UFS169" s="135"/>
      <c r="UFT169" s="135"/>
      <c r="UFU169" s="135"/>
      <c r="UFV169" s="173"/>
      <c r="UFW169" s="173"/>
      <c r="UFX169" s="173"/>
      <c r="UFY169" s="173"/>
      <c r="UFZ169" s="173"/>
      <c r="UGA169" s="173"/>
      <c r="UGB169" s="173"/>
      <c r="UGC169" s="173"/>
      <c r="UGD169" s="173"/>
      <c r="UGE169" s="173"/>
      <c r="UGF169" s="125"/>
      <c r="UGG169" s="125"/>
      <c r="UGH169" s="134"/>
      <c r="UGI169" s="135"/>
      <c r="UGJ169" s="135"/>
      <c r="UGK169" s="135"/>
      <c r="UGL169" s="135"/>
      <c r="UGM169" s="173"/>
      <c r="UGN169" s="173"/>
      <c r="UGO169" s="173"/>
      <c r="UGP169" s="173"/>
      <c r="UGQ169" s="173"/>
      <c r="UGR169" s="173"/>
      <c r="UGS169" s="173"/>
      <c r="UGT169" s="173"/>
      <c r="UGU169" s="173"/>
      <c r="UGV169" s="173"/>
      <c r="UGW169" s="125"/>
      <c r="UGX169" s="125"/>
      <c r="UGY169" s="134"/>
      <c r="UGZ169" s="135"/>
      <c r="UHA169" s="135"/>
      <c r="UHB169" s="135"/>
      <c r="UHC169" s="135"/>
      <c r="UHD169" s="173"/>
      <c r="UHE169" s="173"/>
      <c r="UHF169" s="173"/>
      <c r="UHG169" s="173"/>
      <c r="UHH169" s="173"/>
      <c r="UHI169" s="173"/>
      <c r="UHJ169" s="173"/>
      <c r="UHK169" s="173"/>
      <c r="UHL169" s="173"/>
      <c r="UHM169" s="173"/>
      <c r="UHN169" s="125"/>
      <c r="UHO169" s="125"/>
      <c r="UHP169" s="134"/>
      <c r="UHQ169" s="135"/>
      <c r="UHR169" s="135"/>
      <c r="UHS169" s="135"/>
      <c r="UHT169" s="135"/>
      <c r="UHU169" s="173"/>
      <c r="UHV169" s="173"/>
      <c r="UHW169" s="173"/>
      <c r="UHX169" s="173"/>
      <c r="UHY169" s="173"/>
      <c r="UHZ169" s="173"/>
      <c r="UIA169" s="173"/>
      <c r="UIB169" s="173"/>
      <c r="UIC169" s="173"/>
      <c r="UID169" s="173"/>
      <c r="UIE169" s="125"/>
      <c r="UIF169" s="125"/>
      <c r="UIG169" s="134"/>
      <c r="UIH169" s="135"/>
      <c r="UII169" s="135"/>
      <c r="UIJ169" s="135"/>
      <c r="UIK169" s="135"/>
      <c r="UIL169" s="173"/>
      <c r="UIM169" s="173"/>
      <c r="UIN169" s="173"/>
      <c r="UIO169" s="173"/>
      <c r="UIP169" s="173"/>
      <c r="UIQ169" s="173"/>
      <c r="UIR169" s="173"/>
      <c r="UIS169" s="173"/>
      <c r="UIT169" s="173"/>
      <c r="UIU169" s="173"/>
      <c r="UIV169" s="125"/>
      <c r="UIW169" s="125"/>
      <c r="UIX169" s="134"/>
      <c r="UIY169" s="135"/>
      <c r="UIZ169" s="135"/>
      <c r="UJA169" s="135"/>
      <c r="UJB169" s="135"/>
      <c r="UJC169" s="173"/>
      <c r="UJD169" s="173"/>
      <c r="UJE169" s="173"/>
      <c r="UJF169" s="173"/>
      <c r="UJG169" s="173"/>
      <c r="UJH169" s="173"/>
      <c r="UJI169" s="173"/>
      <c r="UJJ169" s="173"/>
      <c r="UJK169" s="173"/>
      <c r="UJL169" s="173"/>
      <c r="UJM169" s="125"/>
      <c r="UJN169" s="125"/>
      <c r="UJO169" s="134"/>
      <c r="UJP169" s="135"/>
      <c r="UJQ169" s="135"/>
      <c r="UJR169" s="135"/>
      <c r="UJS169" s="135"/>
      <c r="UJT169" s="173"/>
      <c r="UJU169" s="173"/>
      <c r="UJV169" s="173"/>
      <c r="UJW169" s="173"/>
      <c r="UJX169" s="173"/>
      <c r="UJY169" s="173"/>
      <c r="UJZ169" s="173"/>
      <c r="UKA169" s="173"/>
      <c r="UKB169" s="173"/>
      <c r="UKC169" s="173"/>
      <c r="UKD169" s="125"/>
      <c r="UKE169" s="125"/>
      <c r="UKF169" s="134"/>
      <c r="UKG169" s="135"/>
      <c r="UKH169" s="135"/>
      <c r="UKI169" s="135"/>
      <c r="UKJ169" s="135"/>
      <c r="UKK169" s="173"/>
      <c r="UKL169" s="173"/>
      <c r="UKM169" s="173"/>
      <c r="UKN169" s="173"/>
      <c r="UKO169" s="173"/>
      <c r="UKP169" s="173"/>
      <c r="UKQ169" s="173"/>
      <c r="UKR169" s="173"/>
      <c r="UKS169" s="173"/>
      <c r="UKT169" s="173"/>
      <c r="UKU169" s="125"/>
      <c r="UKV169" s="125"/>
      <c r="UKW169" s="134"/>
      <c r="UKX169" s="135"/>
      <c r="UKY169" s="135"/>
      <c r="UKZ169" s="135"/>
      <c r="ULA169" s="135"/>
      <c r="ULB169" s="173"/>
      <c r="ULC169" s="173"/>
      <c r="ULD169" s="173"/>
      <c r="ULE169" s="173"/>
      <c r="ULF169" s="173"/>
      <c r="ULG169" s="173"/>
      <c r="ULH169" s="173"/>
      <c r="ULI169" s="173"/>
      <c r="ULJ169" s="173"/>
      <c r="ULK169" s="173"/>
      <c r="ULL169" s="125"/>
      <c r="ULM169" s="125"/>
      <c r="ULN169" s="134"/>
      <c r="ULO169" s="135"/>
      <c r="ULP169" s="135"/>
      <c r="ULQ169" s="135"/>
      <c r="ULR169" s="135"/>
      <c r="ULS169" s="173"/>
      <c r="ULT169" s="173"/>
      <c r="ULU169" s="173"/>
      <c r="ULV169" s="173"/>
      <c r="ULW169" s="173"/>
      <c r="ULX169" s="173"/>
      <c r="ULY169" s="173"/>
      <c r="ULZ169" s="173"/>
      <c r="UMA169" s="173"/>
      <c r="UMB169" s="173"/>
      <c r="UMC169" s="125"/>
      <c r="UMD169" s="125"/>
      <c r="UME169" s="134"/>
      <c r="UMF169" s="135"/>
      <c r="UMG169" s="135"/>
      <c r="UMH169" s="135"/>
      <c r="UMI169" s="135"/>
      <c r="UMJ169" s="173"/>
      <c r="UMK169" s="173"/>
      <c r="UML169" s="173"/>
      <c r="UMM169" s="173"/>
      <c r="UMN169" s="173"/>
      <c r="UMO169" s="173"/>
      <c r="UMP169" s="173"/>
      <c r="UMQ169" s="173"/>
      <c r="UMR169" s="173"/>
      <c r="UMS169" s="173"/>
      <c r="UMT169" s="125"/>
      <c r="UMU169" s="125"/>
      <c r="UMV169" s="134"/>
      <c r="UMW169" s="135"/>
      <c r="UMX169" s="135"/>
      <c r="UMY169" s="135"/>
      <c r="UMZ169" s="135"/>
      <c r="UNA169" s="173"/>
      <c r="UNB169" s="173"/>
      <c r="UNC169" s="173"/>
      <c r="UND169" s="173"/>
      <c r="UNE169" s="173"/>
      <c r="UNF169" s="173"/>
      <c r="UNG169" s="173"/>
      <c r="UNH169" s="173"/>
      <c r="UNI169" s="173"/>
      <c r="UNJ169" s="173"/>
      <c r="UNK169" s="125"/>
      <c r="UNL169" s="125"/>
      <c r="UNM169" s="134"/>
      <c r="UNN169" s="135"/>
      <c r="UNO169" s="135"/>
      <c r="UNP169" s="135"/>
      <c r="UNQ169" s="135"/>
      <c r="UNR169" s="173"/>
      <c r="UNS169" s="173"/>
      <c r="UNT169" s="173"/>
      <c r="UNU169" s="173"/>
      <c r="UNV169" s="173"/>
      <c r="UNW169" s="173"/>
      <c r="UNX169" s="173"/>
      <c r="UNY169" s="173"/>
      <c r="UNZ169" s="173"/>
      <c r="UOA169" s="173"/>
      <c r="UOB169" s="125"/>
      <c r="UOC169" s="125"/>
      <c r="UOD169" s="134"/>
      <c r="UOE169" s="135"/>
      <c r="UOF169" s="135"/>
      <c r="UOG169" s="135"/>
      <c r="UOH169" s="135"/>
      <c r="UOI169" s="173"/>
      <c r="UOJ169" s="173"/>
      <c r="UOK169" s="173"/>
      <c r="UOL169" s="173"/>
      <c r="UOM169" s="173"/>
      <c r="UON169" s="173"/>
      <c r="UOO169" s="173"/>
      <c r="UOP169" s="173"/>
      <c r="UOQ169" s="173"/>
      <c r="UOR169" s="173"/>
      <c r="UOS169" s="125"/>
      <c r="UOT169" s="125"/>
      <c r="UOU169" s="134"/>
      <c r="UOV169" s="135"/>
      <c r="UOW169" s="135"/>
      <c r="UOX169" s="135"/>
      <c r="UOY169" s="135"/>
      <c r="UOZ169" s="173"/>
      <c r="UPA169" s="173"/>
      <c r="UPB169" s="173"/>
      <c r="UPC169" s="173"/>
      <c r="UPD169" s="173"/>
      <c r="UPE169" s="173"/>
      <c r="UPF169" s="173"/>
      <c r="UPG169" s="173"/>
      <c r="UPH169" s="173"/>
      <c r="UPI169" s="173"/>
      <c r="UPJ169" s="125"/>
      <c r="UPK169" s="125"/>
      <c r="UPL169" s="134"/>
      <c r="UPM169" s="135"/>
      <c r="UPN169" s="135"/>
      <c r="UPO169" s="135"/>
      <c r="UPP169" s="135"/>
      <c r="UPQ169" s="173"/>
      <c r="UPR169" s="173"/>
      <c r="UPS169" s="173"/>
      <c r="UPT169" s="173"/>
      <c r="UPU169" s="173"/>
      <c r="UPV169" s="173"/>
      <c r="UPW169" s="173"/>
      <c r="UPX169" s="173"/>
      <c r="UPY169" s="173"/>
      <c r="UPZ169" s="173"/>
      <c r="UQA169" s="125"/>
      <c r="UQB169" s="125"/>
      <c r="UQC169" s="134"/>
      <c r="UQD169" s="135"/>
      <c r="UQE169" s="135"/>
      <c r="UQF169" s="135"/>
      <c r="UQG169" s="135"/>
      <c r="UQH169" s="173"/>
      <c r="UQI169" s="173"/>
      <c r="UQJ169" s="173"/>
      <c r="UQK169" s="173"/>
      <c r="UQL169" s="173"/>
      <c r="UQM169" s="173"/>
      <c r="UQN169" s="173"/>
      <c r="UQO169" s="173"/>
      <c r="UQP169" s="173"/>
      <c r="UQQ169" s="173"/>
      <c r="UQR169" s="125"/>
      <c r="UQS169" s="125"/>
      <c r="UQT169" s="134"/>
      <c r="UQU169" s="135"/>
      <c r="UQV169" s="135"/>
      <c r="UQW169" s="135"/>
      <c r="UQX169" s="135"/>
      <c r="UQY169" s="173"/>
      <c r="UQZ169" s="173"/>
      <c r="URA169" s="173"/>
      <c r="URB169" s="173"/>
      <c r="URC169" s="173"/>
      <c r="URD169" s="173"/>
      <c r="URE169" s="173"/>
      <c r="URF169" s="173"/>
      <c r="URG169" s="173"/>
      <c r="URH169" s="173"/>
      <c r="URI169" s="125"/>
      <c r="URJ169" s="125"/>
      <c r="URK169" s="134"/>
      <c r="URL169" s="135"/>
      <c r="URM169" s="135"/>
      <c r="URN169" s="135"/>
      <c r="URO169" s="135"/>
      <c r="URP169" s="173"/>
      <c r="URQ169" s="173"/>
      <c r="URR169" s="173"/>
      <c r="URS169" s="173"/>
      <c r="URT169" s="173"/>
      <c r="URU169" s="173"/>
      <c r="URV169" s="173"/>
      <c r="URW169" s="173"/>
      <c r="URX169" s="173"/>
      <c r="URY169" s="173"/>
      <c r="URZ169" s="125"/>
      <c r="USA169" s="125"/>
      <c r="USB169" s="134"/>
      <c r="USC169" s="135"/>
      <c r="USD169" s="135"/>
      <c r="USE169" s="135"/>
      <c r="USF169" s="135"/>
      <c r="USG169" s="173"/>
      <c r="USH169" s="173"/>
      <c r="USI169" s="173"/>
      <c r="USJ169" s="173"/>
      <c r="USK169" s="173"/>
      <c r="USL169" s="173"/>
      <c r="USM169" s="173"/>
      <c r="USN169" s="173"/>
      <c r="USO169" s="173"/>
      <c r="USP169" s="173"/>
      <c r="USQ169" s="125"/>
      <c r="USR169" s="125"/>
      <c r="USS169" s="134"/>
      <c r="UST169" s="135"/>
      <c r="USU169" s="135"/>
      <c r="USV169" s="135"/>
      <c r="USW169" s="135"/>
      <c r="USX169" s="173"/>
      <c r="USY169" s="173"/>
      <c r="USZ169" s="173"/>
      <c r="UTA169" s="173"/>
      <c r="UTB169" s="173"/>
      <c r="UTC169" s="173"/>
      <c r="UTD169" s="173"/>
      <c r="UTE169" s="173"/>
      <c r="UTF169" s="173"/>
      <c r="UTG169" s="173"/>
      <c r="UTH169" s="125"/>
      <c r="UTI169" s="125"/>
      <c r="UTJ169" s="134"/>
      <c r="UTK169" s="135"/>
      <c r="UTL169" s="135"/>
      <c r="UTM169" s="135"/>
      <c r="UTN169" s="135"/>
      <c r="UTO169" s="173"/>
      <c r="UTP169" s="173"/>
      <c r="UTQ169" s="173"/>
      <c r="UTR169" s="173"/>
      <c r="UTS169" s="173"/>
      <c r="UTT169" s="173"/>
      <c r="UTU169" s="173"/>
      <c r="UTV169" s="173"/>
      <c r="UTW169" s="173"/>
      <c r="UTX169" s="173"/>
      <c r="UTY169" s="125"/>
      <c r="UTZ169" s="125"/>
      <c r="UUA169" s="134"/>
      <c r="UUB169" s="135"/>
      <c r="UUC169" s="135"/>
      <c r="UUD169" s="135"/>
      <c r="UUE169" s="135"/>
      <c r="UUF169" s="173"/>
      <c r="UUG169" s="173"/>
      <c r="UUH169" s="173"/>
      <c r="UUI169" s="173"/>
      <c r="UUJ169" s="173"/>
      <c r="UUK169" s="173"/>
      <c r="UUL169" s="173"/>
      <c r="UUM169" s="173"/>
      <c r="UUN169" s="173"/>
      <c r="UUO169" s="173"/>
      <c r="UUP169" s="125"/>
      <c r="UUQ169" s="125"/>
      <c r="UUR169" s="134"/>
      <c r="UUS169" s="135"/>
      <c r="UUT169" s="135"/>
      <c r="UUU169" s="135"/>
      <c r="UUV169" s="135"/>
      <c r="UUW169" s="173"/>
      <c r="UUX169" s="173"/>
      <c r="UUY169" s="173"/>
      <c r="UUZ169" s="173"/>
      <c r="UVA169" s="173"/>
      <c r="UVB169" s="173"/>
      <c r="UVC169" s="173"/>
      <c r="UVD169" s="173"/>
      <c r="UVE169" s="173"/>
      <c r="UVF169" s="173"/>
      <c r="UVG169" s="125"/>
      <c r="UVH169" s="125"/>
      <c r="UVI169" s="134"/>
      <c r="UVJ169" s="135"/>
      <c r="UVK169" s="135"/>
      <c r="UVL169" s="135"/>
      <c r="UVM169" s="135"/>
      <c r="UVN169" s="173"/>
      <c r="UVO169" s="173"/>
      <c r="UVP169" s="173"/>
      <c r="UVQ169" s="173"/>
      <c r="UVR169" s="173"/>
      <c r="UVS169" s="173"/>
      <c r="UVT169" s="173"/>
      <c r="UVU169" s="173"/>
      <c r="UVV169" s="173"/>
      <c r="UVW169" s="173"/>
      <c r="UVX169" s="125"/>
      <c r="UVY169" s="125"/>
      <c r="UVZ169" s="134"/>
      <c r="UWA169" s="135"/>
      <c r="UWB169" s="135"/>
      <c r="UWC169" s="135"/>
      <c r="UWD169" s="135"/>
      <c r="UWE169" s="173"/>
      <c r="UWF169" s="173"/>
      <c r="UWG169" s="173"/>
      <c r="UWH169" s="173"/>
      <c r="UWI169" s="173"/>
      <c r="UWJ169" s="173"/>
      <c r="UWK169" s="173"/>
      <c r="UWL169" s="173"/>
      <c r="UWM169" s="173"/>
      <c r="UWN169" s="173"/>
      <c r="UWO169" s="125"/>
      <c r="UWP169" s="125"/>
      <c r="UWQ169" s="134"/>
      <c r="UWR169" s="135"/>
      <c r="UWS169" s="135"/>
      <c r="UWT169" s="135"/>
      <c r="UWU169" s="135"/>
      <c r="UWV169" s="173"/>
      <c r="UWW169" s="173"/>
      <c r="UWX169" s="173"/>
      <c r="UWY169" s="173"/>
      <c r="UWZ169" s="173"/>
      <c r="UXA169" s="173"/>
      <c r="UXB169" s="173"/>
      <c r="UXC169" s="173"/>
      <c r="UXD169" s="173"/>
      <c r="UXE169" s="173"/>
      <c r="UXF169" s="125"/>
      <c r="UXG169" s="125"/>
      <c r="UXH169" s="134"/>
      <c r="UXI169" s="135"/>
      <c r="UXJ169" s="135"/>
      <c r="UXK169" s="135"/>
      <c r="UXL169" s="135"/>
      <c r="UXM169" s="173"/>
      <c r="UXN169" s="173"/>
      <c r="UXO169" s="173"/>
      <c r="UXP169" s="173"/>
      <c r="UXQ169" s="173"/>
      <c r="UXR169" s="173"/>
      <c r="UXS169" s="173"/>
      <c r="UXT169" s="173"/>
      <c r="UXU169" s="173"/>
      <c r="UXV169" s="173"/>
      <c r="UXW169" s="125"/>
      <c r="UXX169" s="125"/>
      <c r="UXY169" s="134"/>
      <c r="UXZ169" s="135"/>
      <c r="UYA169" s="135"/>
      <c r="UYB169" s="135"/>
      <c r="UYC169" s="135"/>
      <c r="UYD169" s="173"/>
      <c r="UYE169" s="173"/>
      <c r="UYF169" s="173"/>
      <c r="UYG169" s="173"/>
      <c r="UYH169" s="173"/>
      <c r="UYI169" s="173"/>
      <c r="UYJ169" s="173"/>
      <c r="UYK169" s="173"/>
      <c r="UYL169" s="173"/>
      <c r="UYM169" s="173"/>
      <c r="UYN169" s="125"/>
      <c r="UYO169" s="125"/>
      <c r="UYP169" s="134"/>
      <c r="UYQ169" s="135"/>
      <c r="UYR169" s="135"/>
      <c r="UYS169" s="135"/>
      <c r="UYT169" s="135"/>
      <c r="UYU169" s="173"/>
      <c r="UYV169" s="173"/>
      <c r="UYW169" s="173"/>
      <c r="UYX169" s="173"/>
      <c r="UYY169" s="173"/>
      <c r="UYZ169" s="173"/>
      <c r="UZA169" s="173"/>
      <c r="UZB169" s="173"/>
      <c r="UZC169" s="173"/>
      <c r="UZD169" s="173"/>
      <c r="UZE169" s="125"/>
      <c r="UZF169" s="125"/>
      <c r="UZG169" s="134"/>
      <c r="UZH169" s="135"/>
      <c r="UZI169" s="135"/>
      <c r="UZJ169" s="135"/>
      <c r="UZK169" s="135"/>
      <c r="UZL169" s="173"/>
      <c r="UZM169" s="173"/>
      <c r="UZN169" s="173"/>
      <c r="UZO169" s="173"/>
      <c r="UZP169" s="173"/>
      <c r="UZQ169" s="173"/>
      <c r="UZR169" s="173"/>
      <c r="UZS169" s="173"/>
      <c r="UZT169" s="173"/>
      <c r="UZU169" s="173"/>
      <c r="UZV169" s="125"/>
      <c r="UZW169" s="125"/>
      <c r="UZX169" s="134"/>
      <c r="UZY169" s="135"/>
      <c r="UZZ169" s="135"/>
      <c r="VAA169" s="135"/>
      <c r="VAB169" s="135"/>
      <c r="VAC169" s="173"/>
      <c r="VAD169" s="173"/>
      <c r="VAE169" s="173"/>
      <c r="VAF169" s="173"/>
      <c r="VAG169" s="173"/>
      <c r="VAH169" s="173"/>
      <c r="VAI169" s="173"/>
      <c r="VAJ169" s="173"/>
      <c r="VAK169" s="173"/>
      <c r="VAL169" s="173"/>
      <c r="VAM169" s="125"/>
      <c r="VAN169" s="125"/>
      <c r="VAO169" s="134"/>
      <c r="VAP169" s="135"/>
      <c r="VAQ169" s="135"/>
      <c r="VAR169" s="135"/>
      <c r="VAS169" s="135"/>
      <c r="VAT169" s="173"/>
      <c r="VAU169" s="173"/>
      <c r="VAV169" s="173"/>
      <c r="VAW169" s="173"/>
      <c r="VAX169" s="173"/>
      <c r="VAY169" s="173"/>
      <c r="VAZ169" s="173"/>
      <c r="VBA169" s="173"/>
      <c r="VBB169" s="173"/>
      <c r="VBC169" s="173"/>
      <c r="VBD169" s="125"/>
      <c r="VBE169" s="125"/>
      <c r="VBF169" s="134"/>
      <c r="VBG169" s="135"/>
      <c r="VBH169" s="135"/>
      <c r="VBI169" s="135"/>
      <c r="VBJ169" s="135"/>
      <c r="VBK169" s="173"/>
      <c r="VBL169" s="173"/>
      <c r="VBM169" s="173"/>
      <c r="VBN169" s="173"/>
      <c r="VBO169" s="173"/>
      <c r="VBP169" s="173"/>
      <c r="VBQ169" s="173"/>
      <c r="VBR169" s="173"/>
      <c r="VBS169" s="173"/>
      <c r="VBT169" s="173"/>
      <c r="VBU169" s="125"/>
      <c r="VBV169" s="125"/>
      <c r="VBW169" s="134"/>
      <c r="VBX169" s="135"/>
      <c r="VBY169" s="135"/>
      <c r="VBZ169" s="135"/>
      <c r="VCA169" s="135"/>
      <c r="VCB169" s="173"/>
      <c r="VCC169" s="173"/>
      <c r="VCD169" s="173"/>
      <c r="VCE169" s="173"/>
      <c r="VCF169" s="173"/>
      <c r="VCG169" s="173"/>
      <c r="VCH169" s="173"/>
      <c r="VCI169" s="173"/>
      <c r="VCJ169" s="173"/>
      <c r="VCK169" s="173"/>
      <c r="VCL169" s="125"/>
      <c r="VCM169" s="125"/>
      <c r="VCN169" s="134"/>
      <c r="VCO169" s="135"/>
      <c r="VCP169" s="135"/>
      <c r="VCQ169" s="135"/>
      <c r="VCR169" s="135"/>
      <c r="VCS169" s="173"/>
      <c r="VCT169" s="173"/>
      <c r="VCU169" s="173"/>
      <c r="VCV169" s="173"/>
      <c r="VCW169" s="173"/>
      <c r="VCX169" s="173"/>
      <c r="VCY169" s="173"/>
      <c r="VCZ169" s="173"/>
      <c r="VDA169" s="173"/>
      <c r="VDB169" s="173"/>
      <c r="VDC169" s="125"/>
      <c r="VDD169" s="125"/>
      <c r="VDE169" s="134"/>
      <c r="VDF169" s="135"/>
      <c r="VDG169" s="135"/>
      <c r="VDH169" s="135"/>
      <c r="VDI169" s="135"/>
      <c r="VDJ169" s="173"/>
      <c r="VDK169" s="173"/>
      <c r="VDL169" s="173"/>
      <c r="VDM169" s="173"/>
      <c r="VDN169" s="173"/>
      <c r="VDO169" s="173"/>
      <c r="VDP169" s="173"/>
      <c r="VDQ169" s="173"/>
      <c r="VDR169" s="173"/>
      <c r="VDS169" s="173"/>
      <c r="VDT169" s="125"/>
      <c r="VDU169" s="125"/>
      <c r="VDV169" s="134"/>
      <c r="VDW169" s="135"/>
      <c r="VDX169" s="135"/>
      <c r="VDY169" s="135"/>
      <c r="VDZ169" s="135"/>
      <c r="VEA169" s="173"/>
      <c r="VEB169" s="173"/>
      <c r="VEC169" s="173"/>
      <c r="VED169" s="173"/>
      <c r="VEE169" s="173"/>
      <c r="VEF169" s="173"/>
      <c r="VEG169" s="173"/>
      <c r="VEH169" s="173"/>
      <c r="VEI169" s="173"/>
      <c r="VEJ169" s="173"/>
      <c r="VEK169" s="125"/>
      <c r="VEL169" s="125"/>
      <c r="VEM169" s="134"/>
      <c r="VEN169" s="135"/>
      <c r="VEO169" s="135"/>
      <c r="VEP169" s="135"/>
      <c r="VEQ169" s="135"/>
      <c r="VER169" s="173"/>
      <c r="VES169" s="173"/>
      <c r="VET169" s="173"/>
      <c r="VEU169" s="173"/>
      <c r="VEV169" s="173"/>
      <c r="VEW169" s="173"/>
      <c r="VEX169" s="173"/>
      <c r="VEY169" s="173"/>
      <c r="VEZ169" s="173"/>
      <c r="VFA169" s="173"/>
      <c r="VFB169" s="125"/>
      <c r="VFC169" s="125"/>
      <c r="VFD169" s="134"/>
      <c r="VFE169" s="135"/>
      <c r="VFF169" s="135"/>
      <c r="VFG169" s="135"/>
      <c r="VFH169" s="135"/>
      <c r="VFI169" s="173"/>
      <c r="VFJ169" s="173"/>
      <c r="VFK169" s="173"/>
      <c r="VFL169" s="173"/>
      <c r="VFM169" s="173"/>
      <c r="VFN169" s="173"/>
      <c r="VFO169" s="173"/>
      <c r="VFP169" s="173"/>
      <c r="VFQ169" s="173"/>
      <c r="VFR169" s="173"/>
      <c r="VFS169" s="125"/>
      <c r="VFT169" s="125"/>
      <c r="VFU169" s="134"/>
      <c r="VFV169" s="135"/>
      <c r="VFW169" s="135"/>
      <c r="VFX169" s="135"/>
      <c r="VFY169" s="135"/>
      <c r="VFZ169" s="173"/>
      <c r="VGA169" s="173"/>
      <c r="VGB169" s="173"/>
      <c r="VGC169" s="173"/>
      <c r="VGD169" s="173"/>
      <c r="VGE169" s="173"/>
      <c r="VGF169" s="173"/>
      <c r="VGG169" s="173"/>
      <c r="VGH169" s="173"/>
      <c r="VGI169" s="173"/>
      <c r="VGJ169" s="125"/>
      <c r="VGK169" s="125"/>
      <c r="VGL169" s="134"/>
      <c r="VGM169" s="135"/>
      <c r="VGN169" s="135"/>
      <c r="VGO169" s="135"/>
      <c r="VGP169" s="135"/>
      <c r="VGQ169" s="173"/>
      <c r="VGR169" s="173"/>
      <c r="VGS169" s="173"/>
      <c r="VGT169" s="173"/>
      <c r="VGU169" s="173"/>
      <c r="VGV169" s="173"/>
      <c r="VGW169" s="173"/>
      <c r="VGX169" s="173"/>
      <c r="VGY169" s="173"/>
      <c r="VGZ169" s="173"/>
      <c r="VHA169" s="125"/>
      <c r="VHB169" s="125"/>
      <c r="VHC169" s="134"/>
      <c r="VHD169" s="135"/>
      <c r="VHE169" s="135"/>
      <c r="VHF169" s="135"/>
      <c r="VHG169" s="135"/>
      <c r="VHH169" s="173"/>
      <c r="VHI169" s="173"/>
      <c r="VHJ169" s="173"/>
      <c r="VHK169" s="173"/>
      <c r="VHL169" s="173"/>
      <c r="VHM169" s="173"/>
      <c r="VHN169" s="173"/>
      <c r="VHO169" s="173"/>
      <c r="VHP169" s="173"/>
      <c r="VHQ169" s="173"/>
      <c r="VHR169" s="125"/>
      <c r="VHS169" s="125"/>
      <c r="VHT169" s="134"/>
      <c r="VHU169" s="135"/>
      <c r="VHV169" s="135"/>
      <c r="VHW169" s="135"/>
      <c r="VHX169" s="135"/>
      <c r="VHY169" s="173"/>
      <c r="VHZ169" s="173"/>
      <c r="VIA169" s="173"/>
      <c r="VIB169" s="173"/>
      <c r="VIC169" s="173"/>
      <c r="VID169" s="173"/>
      <c r="VIE169" s="173"/>
      <c r="VIF169" s="173"/>
      <c r="VIG169" s="173"/>
      <c r="VIH169" s="173"/>
      <c r="VII169" s="125"/>
      <c r="VIJ169" s="125"/>
      <c r="VIK169" s="134"/>
      <c r="VIL169" s="135"/>
      <c r="VIM169" s="135"/>
      <c r="VIN169" s="135"/>
      <c r="VIO169" s="135"/>
      <c r="VIP169" s="173"/>
      <c r="VIQ169" s="173"/>
      <c r="VIR169" s="173"/>
      <c r="VIS169" s="173"/>
      <c r="VIT169" s="173"/>
      <c r="VIU169" s="173"/>
      <c r="VIV169" s="173"/>
      <c r="VIW169" s="173"/>
      <c r="VIX169" s="173"/>
      <c r="VIY169" s="173"/>
      <c r="VIZ169" s="125"/>
      <c r="VJA169" s="125"/>
      <c r="VJB169" s="134"/>
      <c r="VJC169" s="135"/>
      <c r="VJD169" s="135"/>
      <c r="VJE169" s="135"/>
      <c r="VJF169" s="135"/>
      <c r="VJG169" s="173"/>
      <c r="VJH169" s="173"/>
      <c r="VJI169" s="173"/>
      <c r="VJJ169" s="173"/>
      <c r="VJK169" s="173"/>
      <c r="VJL169" s="173"/>
      <c r="VJM169" s="173"/>
      <c r="VJN169" s="173"/>
      <c r="VJO169" s="173"/>
      <c r="VJP169" s="173"/>
      <c r="VJQ169" s="125"/>
      <c r="VJR169" s="125"/>
      <c r="VJS169" s="134"/>
      <c r="VJT169" s="135"/>
      <c r="VJU169" s="135"/>
      <c r="VJV169" s="135"/>
      <c r="VJW169" s="135"/>
      <c r="VJX169" s="173"/>
      <c r="VJY169" s="173"/>
      <c r="VJZ169" s="173"/>
      <c r="VKA169" s="173"/>
      <c r="VKB169" s="173"/>
      <c r="VKC169" s="173"/>
      <c r="VKD169" s="173"/>
      <c r="VKE169" s="173"/>
      <c r="VKF169" s="173"/>
      <c r="VKG169" s="173"/>
      <c r="VKH169" s="125"/>
      <c r="VKI169" s="125"/>
      <c r="VKJ169" s="134"/>
      <c r="VKK169" s="135"/>
      <c r="VKL169" s="135"/>
      <c r="VKM169" s="135"/>
      <c r="VKN169" s="135"/>
      <c r="VKO169" s="173"/>
      <c r="VKP169" s="173"/>
      <c r="VKQ169" s="173"/>
      <c r="VKR169" s="173"/>
      <c r="VKS169" s="173"/>
      <c r="VKT169" s="173"/>
      <c r="VKU169" s="173"/>
      <c r="VKV169" s="173"/>
      <c r="VKW169" s="173"/>
      <c r="VKX169" s="173"/>
      <c r="VKY169" s="125"/>
      <c r="VKZ169" s="125"/>
      <c r="VLA169" s="134"/>
      <c r="VLB169" s="135"/>
      <c r="VLC169" s="135"/>
      <c r="VLD169" s="135"/>
      <c r="VLE169" s="135"/>
      <c r="VLF169" s="173"/>
      <c r="VLG169" s="173"/>
      <c r="VLH169" s="173"/>
      <c r="VLI169" s="173"/>
      <c r="VLJ169" s="173"/>
      <c r="VLK169" s="173"/>
      <c r="VLL169" s="173"/>
      <c r="VLM169" s="173"/>
      <c r="VLN169" s="173"/>
      <c r="VLO169" s="173"/>
      <c r="VLP169" s="125"/>
      <c r="VLQ169" s="125"/>
      <c r="VLR169" s="134"/>
      <c r="VLS169" s="135"/>
      <c r="VLT169" s="135"/>
      <c r="VLU169" s="135"/>
      <c r="VLV169" s="135"/>
      <c r="VLW169" s="173"/>
      <c r="VLX169" s="173"/>
      <c r="VLY169" s="173"/>
      <c r="VLZ169" s="173"/>
      <c r="VMA169" s="173"/>
      <c r="VMB169" s="173"/>
      <c r="VMC169" s="173"/>
      <c r="VMD169" s="173"/>
      <c r="VME169" s="173"/>
      <c r="VMF169" s="173"/>
      <c r="VMG169" s="125"/>
      <c r="VMH169" s="125"/>
      <c r="VMI169" s="134"/>
      <c r="VMJ169" s="135"/>
      <c r="VMK169" s="135"/>
      <c r="VML169" s="135"/>
      <c r="VMM169" s="135"/>
      <c r="VMN169" s="173"/>
      <c r="VMO169" s="173"/>
      <c r="VMP169" s="173"/>
      <c r="VMQ169" s="173"/>
      <c r="VMR169" s="173"/>
      <c r="VMS169" s="173"/>
      <c r="VMT169" s="173"/>
      <c r="VMU169" s="173"/>
      <c r="VMV169" s="173"/>
      <c r="VMW169" s="173"/>
      <c r="VMX169" s="125"/>
      <c r="VMY169" s="125"/>
      <c r="VMZ169" s="134"/>
      <c r="VNA169" s="135"/>
      <c r="VNB169" s="135"/>
      <c r="VNC169" s="135"/>
      <c r="VND169" s="135"/>
      <c r="VNE169" s="173"/>
      <c r="VNF169" s="173"/>
      <c r="VNG169" s="173"/>
      <c r="VNH169" s="173"/>
      <c r="VNI169" s="173"/>
      <c r="VNJ169" s="173"/>
      <c r="VNK169" s="173"/>
      <c r="VNL169" s="173"/>
      <c r="VNM169" s="173"/>
      <c r="VNN169" s="173"/>
      <c r="VNO169" s="125"/>
      <c r="VNP169" s="125"/>
      <c r="VNQ169" s="134"/>
      <c r="VNR169" s="135"/>
      <c r="VNS169" s="135"/>
      <c r="VNT169" s="135"/>
      <c r="VNU169" s="135"/>
      <c r="VNV169" s="173"/>
      <c r="VNW169" s="173"/>
      <c r="VNX169" s="173"/>
      <c r="VNY169" s="173"/>
      <c r="VNZ169" s="173"/>
      <c r="VOA169" s="173"/>
      <c r="VOB169" s="173"/>
      <c r="VOC169" s="173"/>
      <c r="VOD169" s="173"/>
      <c r="VOE169" s="173"/>
      <c r="VOF169" s="125"/>
      <c r="VOG169" s="125"/>
      <c r="VOH169" s="134"/>
      <c r="VOI169" s="135"/>
      <c r="VOJ169" s="135"/>
      <c r="VOK169" s="135"/>
      <c r="VOL169" s="135"/>
      <c r="VOM169" s="173"/>
      <c r="VON169" s="173"/>
      <c r="VOO169" s="173"/>
      <c r="VOP169" s="173"/>
      <c r="VOQ169" s="173"/>
      <c r="VOR169" s="173"/>
      <c r="VOS169" s="173"/>
      <c r="VOT169" s="173"/>
      <c r="VOU169" s="173"/>
      <c r="VOV169" s="173"/>
      <c r="VOW169" s="125"/>
      <c r="VOX169" s="125"/>
      <c r="VOY169" s="134"/>
      <c r="VOZ169" s="135"/>
      <c r="VPA169" s="135"/>
      <c r="VPB169" s="135"/>
      <c r="VPC169" s="135"/>
      <c r="VPD169" s="173"/>
      <c r="VPE169" s="173"/>
      <c r="VPF169" s="173"/>
      <c r="VPG169" s="173"/>
      <c r="VPH169" s="173"/>
      <c r="VPI169" s="173"/>
      <c r="VPJ169" s="173"/>
      <c r="VPK169" s="173"/>
      <c r="VPL169" s="173"/>
      <c r="VPM169" s="173"/>
      <c r="VPN169" s="125"/>
      <c r="VPO169" s="125"/>
      <c r="VPP169" s="134"/>
      <c r="VPQ169" s="135"/>
      <c r="VPR169" s="135"/>
      <c r="VPS169" s="135"/>
      <c r="VPT169" s="135"/>
      <c r="VPU169" s="173"/>
      <c r="VPV169" s="173"/>
      <c r="VPW169" s="173"/>
      <c r="VPX169" s="173"/>
      <c r="VPY169" s="173"/>
      <c r="VPZ169" s="173"/>
      <c r="VQA169" s="173"/>
      <c r="VQB169" s="173"/>
      <c r="VQC169" s="173"/>
      <c r="VQD169" s="173"/>
      <c r="VQE169" s="125"/>
      <c r="VQF169" s="125"/>
      <c r="VQG169" s="134"/>
      <c r="VQH169" s="135"/>
      <c r="VQI169" s="135"/>
      <c r="VQJ169" s="135"/>
      <c r="VQK169" s="135"/>
      <c r="VQL169" s="173"/>
      <c r="VQM169" s="173"/>
      <c r="VQN169" s="173"/>
      <c r="VQO169" s="173"/>
      <c r="VQP169" s="173"/>
      <c r="VQQ169" s="173"/>
      <c r="VQR169" s="173"/>
      <c r="VQS169" s="173"/>
      <c r="VQT169" s="173"/>
      <c r="VQU169" s="173"/>
      <c r="VQV169" s="125"/>
      <c r="VQW169" s="125"/>
      <c r="VQX169" s="134"/>
      <c r="VQY169" s="135"/>
      <c r="VQZ169" s="135"/>
      <c r="VRA169" s="135"/>
      <c r="VRB169" s="135"/>
      <c r="VRC169" s="173"/>
      <c r="VRD169" s="173"/>
      <c r="VRE169" s="173"/>
      <c r="VRF169" s="173"/>
      <c r="VRG169" s="173"/>
      <c r="VRH169" s="173"/>
      <c r="VRI169" s="173"/>
      <c r="VRJ169" s="173"/>
      <c r="VRK169" s="173"/>
      <c r="VRL169" s="173"/>
      <c r="VRM169" s="125"/>
      <c r="VRN169" s="125"/>
      <c r="VRO169" s="134"/>
      <c r="VRP169" s="135"/>
      <c r="VRQ169" s="135"/>
      <c r="VRR169" s="135"/>
      <c r="VRS169" s="135"/>
      <c r="VRT169" s="173"/>
      <c r="VRU169" s="173"/>
      <c r="VRV169" s="173"/>
      <c r="VRW169" s="173"/>
      <c r="VRX169" s="173"/>
      <c r="VRY169" s="173"/>
      <c r="VRZ169" s="173"/>
      <c r="VSA169" s="173"/>
      <c r="VSB169" s="173"/>
      <c r="VSC169" s="173"/>
      <c r="VSD169" s="125"/>
      <c r="VSE169" s="125"/>
      <c r="VSF169" s="134"/>
      <c r="VSG169" s="135"/>
      <c r="VSH169" s="135"/>
      <c r="VSI169" s="135"/>
      <c r="VSJ169" s="135"/>
      <c r="VSK169" s="173"/>
      <c r="VSL169" s="173"/>
      <c r="VSM169" s="173"/>
      <c r="VSN169" s="173"/>
      <c r="VSO169" s="173"/>
      <c r="VSP169" s="173"/>
      <c r="VSQ169" s="173"/>
      <c r="VSR169" s="173"/>
      <c r="VSS169" s="173"/>
      <c r="VST169" s="173"/>
      <c r="VSU169" s="125"/>
      <c r="VSV169" s="125"/>
      <c r="VSW169" s="134"/>
      <c r="VSX169" s="135"/>
      <c r="VSY169" s="135"/>
      <c r="VSZ169" s="135"/>
      <c r="VTA169" s="135"/>
      <c r="VTB169" s="173"/>
      <c r="VTC169" s="173"/>
      <c r="VTD169" s="173"/>
      <c r="VTE169" s="173"/>
      <c r="VTF169" s="173"/>
      <c r="VTG169" s="173"/>
      <c r="VTH169" s="173"/>
      <c r="VTI169" s="173"/>
      <c r="VTJ169" s="173"/>
      <c r="VTK169" s="173"/>
      <c r="VTL169" s="125"/>
      <c r="VTM169" s="125"/>
      <c r="VTN169" s="134"/>
      <c r="VTO169" s="135"/>
      <c r="VTP169" s="135"/>
      <c r="VTQ169" s="135"/>
      <c r="VTR169" s="135"/>
      <c r="VTS169" s="173"/>
      <c r="VTT169" s="173"/>
      <c r="VTU169" s="173"/>
      <c r="VTV169" s="173"/>
      <c r="VTW169" s="173"/>
      <c r="VTX169" s="173"/>
      <c r="VTY169" s="173"/>
      <c r="VTZ169" s="173"/>
      <c r="VUA169" s="173"/>
      <c r="VUB169" s="173"/>
      <c r="VUC169" s="125"/>
      <c r="VUD169" s="125"/>
      <c r="VUE169" s="134"/>
      <c r="VUF169" s="135"/>
      <c r="VUG169" s="135"/>
      <c r="VUH169" s="135"/>
      <c r="VUI169" s="135"/>
      <c r="VUJ169" s="173"/>
      <c r="VUK169" s="173"/>
      <c r="VUL169" s="173"/>
      <c r="VUM169" s="173"/>
      <c r="VUN169" s="173"/>
      <c r="VUO169" s="173"/>
      <c r="VUP169" s="173"/>
      <c r="VUQ169" s="173"/>
      <c r="VUR169" s="173"/>
      <c r="VUS169" s="173"/>
      <c r="VUT169" s="125"/>
      <c r="VUU169" s="125"/>
      <c r="VUV169" s="134"/>
      <c r="VUW169" s="135"/>
      <c r="VUX169" s="135"/>
      <c r="VUY169" s="135"/>
      <c r="VUZ169" s="135"/>
      <c r="VVA169" s="173"/>
      <c r="VVB169" s="173"/>
      <c r="VVC169" s="173"/>
      <c r="VVD169" s="173"/>
      <c r="VVE169" s="173"/>
      <c r="VVF169" s="173"/>
      <c r="VVG169" s="173"/>
      <c r="VVH169" s="173"/>
      <c r="VVI169" s="173"/>
      <c r="VVJ169" s="173"/>
      <c r="VVK169" s="125"/>
      <c r="VVL169" s="125"/>
      <c r="VVM169" s="134"/>
      <c r="VVN169" s="135"/>
      <c r="VVO169" s="135"/>
      <c r="VVP169" s="135"/>
      <c r="VVQ169" s="135"/>
      <c r="VVR169" s="173"/>
      <c r="VVS169" s="173"/>
      <c r="VVT169" s="173"/>
      <c r="VVU169" s="173"/>
      <c r="VVV169" s="173"/>
      <c r="VVW169" s="173"/>
      <c r="VVX169" s="173"/>
      <c r="VVY169" s="173"/>
      <c r="VVZ169" s="173"/>
      <c r="VWA169" s="173"/>
      <c r="VWB169" s="125"/>
      <c r="VWC169" s="125"/>
      <c r="VWD169" s="134"/>
      <c r="VWE169" s="135"/>
      <c r="VWF169" s="135"/>
      <c r="VWG169" s="135"/>
      <c r="VWH169" s="135"/>
      <c r="VWI169" s="173"/>
      <c r="VWJ169" s="173"/>
      <c r="VWK169" s="173"/>
      <c r="VWL169" s="173"/>
      <c r="VWM169" s="173"/>
      <c r="VWN169" s="173"/>
      <c r="VWO169" s="173"/>
      <c r="VWP169" s="173"/>
      <c r="VWQ169" s="173"/>
      <c r="VWR169" s="173"/>
      <c r="VWS169" s="125"/>
      <c r="VWT169" s="125"/>
      <c r="VWU169" s="134"/>
      <c r="VWV169" s="135"/>
      <c r="VWW169" s="135"/>
      <c r="VWX169" s="135"/>
      <c r="VWY169" s="135"/>
      <c r="VWZ169" s="173"/>
      <c r="VXA169" s="173"/>
      <c r="VXB169" s="173"/>
      <c r="VXC169" s="173"/>
      <c r="VXD169" s="173"/>
      <c r="VXE169" s="173"/>
      <c r="VXF169" s="173"/>
      <c r="VXG169" s="173"/>
      <c r="VXH169" s="173"/>
      <c r="VXI169" s="173"/>
      <c r="VXJ169" s="125"/>
      <c r="VXK169" s="125"/>
      <c r="VXL169" s="134"/>
      <c r="VXM169" s="135"/>
      <c r="VXN169" s="135"/>
      <c r="VXO169" s="135"/>
      <c r="VXP169" s="135"/>
      <c r="VXQ169" s="173"/>
      <c r="VXR169" s="173"/>
      <c r="VXS169" s="173"/>
      <c r="VXT169" s="173"/>
      <c r="VXU169" s="173"/>
      <c r="VXV169" s="173"/>
      <c r="VXW169" s="173"/>
      <c r="VXX169" s="173"/>
      <c r="VXY169" s="173"/>
      <c r="VXZ169" s="173"/>
      <c r="VYA169" s="125"/>
      <c r="VYB169" s="125"/>
      <c r="VYC169" s="134"/>
      <c r="VYD169" s="135"/>
      <c r="VYE169" s="135"/>
      <c r="VYF169" s="135"/>
      <c r="VYG169" s="135"/>
      <c r="VYH169" s="173"/>
      <c r="VYI169" s="173"/>
      <c r="VYJ169" s="173"/>
      <c r="VYK169" s="173"/>
      <c r="VYL169" s="173"/>
      <c r="VYM169" s="173"/>
      <c r="VYN169" s="173"/>
      <c r="VYO169" s="173"/>
      <c r="VYP169" s="173"/>
      <c r="VYQ169" s="173"/>
      <c r="VYR169" s="125"/>
      <c r="VYS169" s="125"/>
      <c r="VYT169" s="134"/>
      <c r="VYU169" s="135"/>
      <c r="VYV169" s="135"/>
      <c r="VYW169" s="135"/>
      <c r="VYX169" s="135"/>
      <c r="VYY169" s="173"/>
      <c r="VYZ169" s="173"/>
      <c r="VZA169" s="173"/>
      <c r="VZB169" s="173"/>
      <c r="VZC169" s="173"/>
      <c r="VZD169" s="173"/>
      <c r="VZE169" s="173"/>
      <c r="VZF169" s="173"/>
      <c r="VZG169" s="173"/>
      <c r="VZH169" s="173"/>
      <c r="VZI169" s="125"/>
      <c r="VZJ169" s="125"/>
      <c r="VZK169" s="134"/>
      <c r="VZL169" s="135"/>
      <c r="VZM169" s="135"/>
      <c r="VZN169" s="135"/>
      <c r="VZO169" s="135"/>
      <c r="VZP169" s="173"/>
      <c r="VZQ169" s="173"/>
      <c r="VZR169" s="173"/>
      <c r="VZS169" s="173"/>
      <c r="VZT169" s="173"/>
      <c r="VZU169" s="173"/>
      <c r="VZV169" s="173"/>
      <c r="VZW169" s="173"/>
      <c r="VZX169" s="173"/>
      <c r="VZY169" s="173"/>
      <c r="VZZ169" s="125"/>
      <c r="WAA169" s="125"/>
      <c r="WAB169" s="134"/>
      <c r="WAC169" s="135"/>
      <c r="WAD169" s="135"/>
      <c r="WAE169" s="135"/>
      <c r="WAF169" s="135"/>
      <c r="WAG169" s="173"/>
      <c r="WAH169" s="173"/>
      <c r="WAI169" s="173"/>
      <c r="WAJ169" s="173"/>
      <c r="WAK169" s="173"/>
      <c r="WAL169" s="173"/>
      <c r="WAM169" s="173"/>
      <c r="WAN169" s="173"/>
      <c r="WAO169" s="173"/>
      <c r="WAP169" s="173"/>
      <c r="WAQ169" s="125"/>
      <c r="WAR169" s="125"/>
      <c r="WAS169" s="134"/>
      <c r="WAT169" s="135"/>
      <c r="WAU169" s="135"/>
      <c r="WAV169" s="135"/>
      <c r="WAW169" s="135"/>
      <c r="WAX169" s="173"/>
      <c r="WAY169" s="173"/>
      <c r="WAZ169" s="173"/>
      <c r="WBA169" s="173"/>
      <c r="WBB169" s="173"/>
      <c r="WBC169" s="173"/>
      <c r="WBD169" s="173"/>
      <c r="WBE169" s="173"/>
      <c r="WBF169" s="173"/>
      <c r="WBG169" s="173"/>
      <c r="WBH169" s="125"/>
      <c r="WBI169" s="125"/>
      <c r="WBJ169" s="134"/>
      <c r="WBK169" s="135"/>
      <c r="WBL169" s="135"/>
      <c r="WBM169" s="135"/>
      <c r="WBN169" s="135"/>
      <c r="WBO169" s="173"/>
      <c r="WBP169" s="173"/>
      <c r="WBQ169" s="173"/>
      <c r="WBR169" s="173"/>
      <c r="WBS169" s="173"/>
      <c r="WBT169" s="173"/>
      <c r="WBU169" s="173"/>
      <c r="WBV169" s="173"/>
      <c r="WBW169" s="173"/>
      <c r="WBX169" s="173"/>
      <c r="WBY169" s="125"/>
      <c r="WBZ169" s="125"/>
      <c r="WCA169" s="134"/>
      <c r="WCB169" s="135"/>
      <c r="WCC169" s="135"/>
      <c r="WCD169" s="135"/>
      <c r="WCE169" s="135"/>
      <c r="WCF169" s="173"/>
      <c r="WCG169" s="173"/>
      <c r="WCH169" s="173"/>
      <c r="WCI169" s="173"/>
      <c r="WCJ169" s="173"/>
      <c r="WCK169" s="173"/>
      <c r="WCL169" s="173"/>
      <c r="WCM169" s="173"/>
      <c r="WCN169" s="173"/>
      <c r="WCO169" s="173"/>
      <c r="WCP169" s="125"/>
      <c r="WCQ169" s="125"/>
      <c r="WCR169" s="134"/>
      <c r="WCS169" s="135"/>
      <c r="WCT169" s="135"/>
      <c r="WCU169" s="135"/>
      <c r="WCV169" s="135"/>
      <c r="WCW169" s="173"/>
      <c r="WCX169" s="173"/>
      <c r="WCY169" s="173"/>
      <c r="WCZ169" s="173"/>
      <c r="WDA169" s="173"/>
      <c r="WDB169" s="173"/>
      <c r="WDC169" s="173"/>
      <c r="WDD169" s="173"/>
      <c r="WDE169" s="173"/>
      <c r="WDF169" s="173"/>
      <c r="WDG169" s="125"/>
      <c r="WDH169" s="125"/>
      <c r="WDI169" s="134"/>
      <c r="WDJ169" s="135"/>
      <c r="WDK169" s="135"/>
      <c r="WDL169" s="135"/>
      <c r="WDM169" s="135"/>
      <c r="WDN169" s="173"/>
      <c r="WDO169" s="173"/>
      <c r="WDP169" s="173"/>
      <c r="WDQ169" s="173"/>
      <c r="WDR169" s="173"/>
      <c r="WDS169" s="173"/>
      <c r="WDT169" s="173"/>
      <c r="WDU169" s="173"/>
      <c r="WDV169" s="173"/>
      <c r="WDW169" s="173"/>
      <c r="WDX169" s="125"/>
      <c r="WDY169" s="125"/>
      <c r="WDZ169" s="134"/>
      <c r="WEA169" s="135"/>
      <c r="WEB169" s="135"/>
      <c r="WEC169" s="135"/>
      <c r="WED169" s="135"/>
      <c r="WEE169" s="173"/>
      <c r="WEF169" s="173"/>
      <c r="WEG169" s="173"/>
      <c r="WEH169" s="173"/>
      <c r="WEI169" s="173"/>
      <c r="WEJ169" s="173"/>
      <c r="WEK169" s="173"/>
      <c r="WEL169" s="173"/>
      <c r="WEM169" s="173"/>
      <c r="WEN169" s="173"/>
      <c r="WEO169" s="125"/>
      <c r="WEP169" s="125"/>
      <c r="WEQ169" s="134"/>
      <c r="WER169" s="135"/>
      <c r="WES169" s="135"/>
      <c r="WET169" s="135"/>
      <c r="WEU169" s="135"/>
      <c r="WEV169" s="173"/>
      <c r="WEW169" s="173"/>
      <c r="WEX169" s="173"/>
      <c r="WEY169" s="173"/>
      <c r="WEZ169" s="173"/>
      <c r="WFA169" s="173"/>
      <c r="WFB169" s="173"/>
      <c r="WFC169" s="173"/>
      <c r="WFD169" s="173"/>
      <c r="WFE169" s="173"/>
      <c r="WFF169" s="125"/>
      <c r="WFG169" s="125"/>
      <c r="WFH169" s="134"/>
      <c r="WFI169" s="135"/>
      <c r="WFJ169" s="135"/>
      <c r="WFK169" s="135"/>
      <c r="WFL169" s="135"/>
      <c r="WFM169" s="173"/>
      <c r="WFN169" s="173"/>
      <c r="WFO169" s="173"/>
      <c r="WFP169" s="173"/>
      <c r="WFQ169" s="173"/>
      <c r="WFR169" s="173"/>
      <c r="WFS169" s="173"/>
      <c r="WFT169" s="173"/>
      <c r="WFU169" s="173"/>
      <c r="WFV169" s="173"/>
      <c r="WFW169" s="125"/>
      <c r="WFX169" s="125"/>
      <c r="WFY169" s="134"/>
      <c r="WFZ169" s="135"/>
      <c r="WGA169" s="135"/>
      <c r="WGB169" s="135"/>
      <c r="WGC169" s="135"/>
      <c r="WGD169" s="173"/>
      <c r="WGE169" s="173"/>
      <c r="WGF169" s="173"/>
      <c r="WGG169" s="173"/>
      <c r="WGH169" s="173"/>
      <c r="WGI169" s="173"/>
      <c r="WGJ169" s="173"/>
      <c r="WGK169" s="173"/>
      <c r="WGL169" s="173"/>
      <c r="WGM169" s="173"/>
      <c r="WGN169" s="125"/>
      <c r="WGO169" s="125"/>
      <c r="WGP169" s="134"/>
      <c r="WGQ169" s="135"/>
      <c r="WGR169" s="135"/>
      <c r="WGS169" s="135"/>
      <c r="WGT169" s="135"/>
      <c r="WGU169" s="173"/>
      <c r="WGV169" s="173"/>
      <c r="WGW169" s="173"/>
      <c r="WGX169" s="173"/>
      <c r="WGY169" s="173"/>
      <c r="WGZ169" s="173"/>
      <c r="WHA169" s="173"/>
      <c r="WHB169" s="173"/>
      <c r="WHC169" s="173"/>
      <c r="WHD169" s="173"/>
      <c r="WHE169" s="125"/>
      <c r="WHF169" s="125"/>
      <c r="WHG169" s="134"/>
      <c r="WHH169" s="135"/>
      <c r="WHI169" s="135"/>
      <c r="WHJ169" s="135"/>
      <c r="WHK169" s="135"/>
      <c r="WHL169" s="173"/>
      <c r="WHM169" s="173"/>
      <c r="WHN169" s="173"/>
      <c r="WHO169" s="173"/>
      <c r="WHP169" s="173"/>
      <c r="WHQ169" s="173"/>
      <c r="WHR169" s="173"/>
      <c r="WHS169" s="173"/>
      <c r="WHT169" s="173"/>
      <c r="WHU169" s="173"/>
      <c r="WHV169" s="125"/>
      <c r="WHW169" s="125"/>
      <c r="WHX169" s="134"/>
      <c r="WHY169" s="135"/>
      <c r="WHZ169" s="135"/>
      <c r="WIA169" s="135"/>
      <c r="WIB169" s="135"/>
      <c r="WIC169" s="173"/>
      <c r="WID169" s="173"/>
      <c r="WIE169" s="173"/>
      <c r="WIF169" s="173"/>
      <c r="WIG169" s="173"/>
      <c r="WIH169" s="173"/>
      <c r="WII169" s="173"/>
      <c r="WIJ169" s="173"/>
      <c r="WIK169" s="173"/>
      <c r="WIL169" s="173"/>
      <c r="WIM169" s="125"/>
      <c r="WIN169" s="125"/>
      <c r="WIO169" s="134"/>
      <c r="WIP169" s="135"/>
      <c r="WIQ169" s="135"/>
      <c r="WIR169" s="135"/>
      <c r="WIS169" s="135"/>
      <c r="WIT169" s="173"/>
      <c r="WIU169" s="173"/>
      <c r="WIV169" s="173"/>
      <c r="WIW169" s="173"/>
      <c r="WIX169" s="173"/>
      <c r="WIY169" s="173"/>
      <c r="WIZ169" s="173"/>
      <c r="WJA169" s="173"/>
      <c r="WJB169" s="173"/>
      <c r="WJC169" s="173"/>
      <c r="WJD169" s="125"/>
      <c r="WJE169" s="125"/>
      <c r="WJF169" s="134"/>
      <c r="WJG169" s="135"/>
      <c r="WJH169" s="135"/>
      <c r="WJI169" s="135"/>
      <c r="WJJ169" s="135"/>
      <c r="WJK169" s="173"/>
      <c r="WJL169" s="173"/>
      <c r="WJM169" s="173"/>
      <c r="WJN169" s="173"/>
      <c r="WJO169" s="173"/>
      <c r="WJP169" s="173"/>
      <c r="WJQ169" s="173"/>
      <c r="WJR169" s="173"/>
      <c r="WJS169" s="173"/>
      <c r="WJT169" s="173"/>
      <c r="WJU169" s="125"/>
      <c r="WJV169" s="125"/>
      <c r="WJW169" s="134"/>
      <c r="WJX169" s="135"/>
      <c r="WJY169" s="135"/>
      <c r="WJZ169" s="135"/>
      <c r="WKA169" s="135"/>
      <c r="WKB169" s="173"/>
      <c r="WKC169" s="173"/>
      <c r="WKD169" s="173"/>
      <c r="WKE169" s="173"/>
      <c r="WKF169" s="173"/>
      <c r="WKG169" s="173"/>
      <c r="WKH169" s="173"/>
      <c r="WKI169" s="173"/>
      <c r="WKJ169" s="173"/>
      <c r="WKK169" s="173"/>
      <c r="WKL169" s="125"/>
      <c r="WKM169" s="125"/>
      <c r="WKN169" s="134"/>
      <c r="WKO169" s="135"/>
      <c r="WKP169" s="135"/>
      <c r="WKQ169" s="135"/>
      <c r="WKR169" s="135"/>
      <c r="WKS169" s="173"/>
      <c r="WKT169" s="173"/>
      <c r="WKU169" s="173"/>
      <c r="WKV169" s="173"/>
      <c r="WKW169" s="173"/>
      <c r="WKX169" s="173"/>
      <c r="WKY169" s="173"/>
      <c r="WKZ169" s="173"/>
      <c r="WLA169" s="173"/>
      <c r="WLB169" s="173"/>
      <c r="WLC169" s="125"/>
      <c r="WLD169" s="125"/>
      <c r="WLE169" s="134"/>
      <c r="WLF169" s="135"/>
      <c r="WLG169" s="135"/>
      <c r="WLH169" s="135"/>
      <c r="WLI169" s="135"/>
      <c r="WLJ169" s="173"/>
      <c r="WLK169" s="173"/>
      <c r="WLL169" s="173"/>
      <c r="WLM169" s="173"/>
      <c r="WLN169" s="173"/>
      <c r="WLO169" s="173"/>
      <c r="WLP169" s="173"/>
      <c r="WLQ169" s="173"/>
      <c r="WLR169" s="173"/>
      <c r="WLS169" s="173"/>
      <c r="WLT169" s="125"/>
      <c r="WLU169" s="125"/>
      <c r="WLV169" s="134"/>
      <c r="WLW169" s="135"/>
      <c r="WLX169" s="135"/>
      <c r="WLY169" s="135"/>
      <c r="WLZ169" s="135"/>
      <c r="WMA169" s="173"/>
      <c r="WMB169" s="173"/>
      <c r="WMC169" s="173"/>
      <c r="WMD169" s="173"/>
      <c r="WME169" s="173"/>
      <c r="WMF169" s="173"/>
      <c r="WMG169" s="173"/>
      <c r="WMH169" s="173"/>
      <c r="WMI169" s="173"/>
      <c r="WMJ169" s="173"/>
      <c r="WMK169" s="125"/>
      <c r="WML169" s="125"/>
      <c r="WMM169" s="134"/>
      <c r="WMN169" s="135"/>
      <c r="WMO169" s="135"/>
      <c r="WMP169" s="135"/>
      <c r="WMQ169" s="135"/>
      <c r="WMR169" s="173"/>
      <c r="WMS169" s="173"/>
      <c r="WMT169" s="173"/>
      <c r="WMU169" s="173"/>
      <c r="WMV169" s="173"/>
      <c r="WMW169" s="173"/>
      <c r="WMX169" s="173"/>
      <c r="WMY169" s="173"/>
      <c r="WMZ169" s="173"/>
      <c r="WNA169" s="173"/>
      <c r="WNB169" s="125"/>
      <c r="WNC169" s="125"/>
      <c r="WND169" s="134"/>
      <c r="WNE169" s="135"/>
      <c r="WNF169" s="135"/>
      <c r="WNG169" s="135"/>
      <c r="WNH169" s="135"/>
      <c r="WNI169" s="173"/>
      <c r="WNJ169" s="173"/>
      <c r="WNK169" s="173"/>
      <c r="WNL169" s="173"/>
      <c r="WNM169" s="173"/>
      <c r="WNN169" s="173"/>
      <c r="WNO169" s="173"/>
      <c r="WNP169" s="173"/>
      <c r="WNQ169" s="173"/>
      <c r="WNR169" s="173"/>
      <c r="WNS169" s="125"/>
      <c r="WNT169" s="125"/>
      <c r="WNU169" s="134"/>
      <c r="WNV169" s="135"/>
      <c r="WNW169" s="135"/>
      <c r="WNX169" s="135"/>
      <c r="WNY169" s="135"/>
      <c r="WNZ169" s="173"/>
      <c r="WOA169" s="173"/>
      <c r="WOB169" s="173"/>
      <c r="WOC169" s="173"/>
      <c r="WOD169" s="173"/>
      <c r="WOE169" s="173"/>
      <c r="WOF169" s="173"/>
      <c r="WOG169" s="173"/>
      <c r="WOH169" s="173"/>
      <c r="WOI169" s="173"/>
      <c r="WOJ169" s="125"/>
      <c r="WOK169" s="125"/>
      <c r="WOL169" s="134"/>
      <c r="WOM169" s="135"/>
      <c r="WON169" s="135"/>
      <c r="WOO169" s="135"/>
      <c r="WOP169" s="135"/>
      <c r="WOQ169" s="173"/>
      <c r="WOR169" s="173"/>
      <c r="WOS169" s="173"/>
      <c r="WOT169" s="173"/>
      <c r="WOU169" s="173"/>
      <c r="WOV169" s="173"/>
      <c r="WOW169" s="173"/>
      <c r="WOX169" s="173"/>
      <c r="WOY169" s="173"/>
      <c r="WOZ169" s="173"/>
      <c r="WPA169" s="125"/>
      <c r="WPB169" s="125"/>
      <c r="WPC169" s="134"/>
      <c r="WPD169" s="135"/>
      <c r="WPE169" s="135"/>
      <c r="WPF169" s="135"/>
      <c r="WPG169" s="135"/>
      <c r="WPH169" s="173"/>
      <c r="WPI169" s="173"/>
      <c r="WPJ169" s="173"/>
      <c r="WPK169" s="173"/>
      <c r="WPL169" s="173"/>
      <c r="WPM169" s="173"/>
      <c r="WPN169" s="173"/>
      <c r="WPO169" s="173"/>
      <c r="WPP169" s="173"/>
      <c r="WPQ169" s="173"/>
      <c r="WPR169" s="125"/>
      <c r="WPS169" s="125"/>
      <c r="WPT169" s="134"/>
      <c r="WPU169" s="135"/>
      <c r="WPV169" s="135"/>
      <c r="WPW169" s="135"/>
      <c r="WPX169" s="135"/>
      <c r="WPY169" s="173"/>
      <c r="WPZ169" s="173"/>
      <c r="WQA169" s="173"/>
      <c r="WQB169" s="173"/>
      <c r="WQC169" s="173"/>
      <c r="WQD169" s="173"/>
      <c r="WQE169" s="173"/>
      <c r="WQF169" s="173"/>
      <c r="WQG169" s="173"/>
      <c r="WQH169" s="173"/>
      <c r="WQI169" s="125"/>
      <c r="WQJ169" s="125"/>
      <c r="WQK169" s="134"/>
      <c r="WQL169" s="135"/>
      <c r="WQM169" s="135"/>
      <c r="WQN169" s="135"/>
      <c r="WQO169" s="135"/>
      <c r="WQP169" s="173"/>
      <c r="WQQ169" s="173"/>
      <c r="WQR169" s="173"/>
      <c r="WQS169" s="173"/>
      <c r="WQT169" s="173"/>
      <c r="WQU169" s="173"/>
      <c r="WQV169" s="173"/>
      <c r="WQW169" s="173"/>
      <c r="WQX169" s="173"/>
      <c r="WQY169" s="173"/>
      <c r="WQZ169" s="125"/>
      <c r="WRA169" s="125"/>
      <c r="WRB169" s="134"/>
      <c r="WRC169" s="135"/>
      <c r="WRD169" s="135"/>
      <c r="WRE169" s="135"/>
      <c r="WRF169" s="135"/>
      <c r="WRG169" s="173"/>
      <c r="WRH169" s="173"/>
      <c r="WRI169" s="173"/>
      <c r="WRJ169" s="173"/>
      <c r="WRK169" s="173"/>
      <c r="WRL169" s="173"/>
      <c r="WRM169" s="173"/>
      <c r="WRN169" s="173"/>
      <c r="WRO169" s="173"/>
      <c r="WRP169" s="173"/>
      <c r="WRQ169" s="125"/>
      <c r="WRR169" s="125"/>
      <c r="WRS169" s="134"/>
      <c r="WRT169" s="135"/>
      <c r="WRU169" s="135"/>
      <c r="WRV169" s="135"/>
      <c r="WRW169" s="135"/>
      <c r="WRX169" s="173"/>
      <c r="WRY169" s="173"/>
      <c r="WRZ169" s="173"/>
      <c r="WSA169" s="173"/>
      <c r="WSB169" s="173"/>
      <c r="WSC169" s="173"/>
      <c r="WSD169" s="173"/>
      <c r="WSE169" s="173"/>
      <c r="WSF169" s="173"/>
      <c r="WSG169" s="173"/>
      <c r="WSH169" s="125"/>
      <c r="WSI169" s="125"/>
      <c r="WSJ169" s="134"/>
      <c r="WSK169" s="135"/>
      <c r="WSL169" s="135"/>
      <c r="WSM169" s="135"/>
      <c r="WSN169" s="135"/>
      <c r="WSO169" s="173"/>
      <c r="WSP169" s="173"/>
      <c r="WSQ169" s="173"/>
      <c r="WSR169" s="173"/>
      <c r="WSS169" s="173"/>
      <c r="WST169" s="173"/>
      <c r="WSU169" s="173"/>
      <c r="WSV169" s="173"/>
      <c r="WSW169" s="173"/>
      <c r="WSX169" s="173"/>
      <c r="WSY169" s="125"/>
      <c r="WSZ169" s="125"/>
      <c r="WTA169" s="134"/>
      <c r="WTB169" s="135"/>
      <c r="WTC169" s="135"/>
      <c r="WTD169" s="135"/>
      <c r="WTE169" s="135"/>
      <c r="WTF169" s="173"/>
      <c r="WTG169" s="173"/>
      <c r="WTH169" s="173"/>
      <c r="WTI169" s="173"/>
      <c r="WTJ169" s="173"/>
      <c r="WTK169" s="173"/>
      <c r="WTL169" s="173"/>
      <c r="WTM169" s="173"/>
      <c r="WTN169" s="173"/>
      <c r="WTO169" s="173"/>
      <c r="WTP169" s="125"/>
      <c r="WTQ169" s="125"/>
      <c r="WTR169" s="134"/>
      <c r="WTS169" s="135"/>
      <c r="WTT169" s="135"/>
      <c r="WTU169" s="135"/>
      <c r="WTV169" s="135"/>
      <c r="WTW169" s="173"/>
      <c r="WTX169" s="173"/>
      <c r="WTY169" s="173"/>
      <c r="WTZ169" s="173"/>
      <c r="WUA169" s="173"/>
      <c r="WUB169" s="173"/>
      <c r="WUC169" s="173"/>
      <c r="WUD169" s="173"/>
      <c r="WUE169" s="173"/>
      <c r="WUF169" s="173"/>
      <c r="WUG169" s="125"/>
      <c r="WUH169" s="125"/>
      <c r="WUI169" s="134"/>
      <c r="WUJ169" s="135"/>
      <c r="WUK169" s="135"/>
      <c r="WUL169" s="135"/>
      <c r="WUM169" s="135"/>
      <c r="WUN169" s="173"/>
      <c r="WUO169" s="173"/>
      <c r="WUP169" s="173"/>
      <c r="WUQ169" s="173"/>
      <c r="WUR169" s="173"/>
      <c r="WUS169" s="173"/>
      <c r="WUT169" s="173"/>
      <c r="WUU169" s="173"/>
      <c r="WUV169" s="173"/>
      <c r="WUW169" s="173"/>
      <c r="WUX169" s="125"/>
      <c r="WUY169" s="125"/>
      <c r="WUZ169" s="134"/>
      <c r="WVA169" s="135"/>
      <c r="WVB169" s="135"/>
      <c r="WVC169" s="135"/>
      <c r="WVD169" s="135"/>
      <c r="WVE169" s="173"/>
      <c r="WVF169" s="173"/>
      <c r="WVG169" s="173"/>
      <c r="WVH169" s="173"/>
      <c r="WVI169" s="173"/>
      <c r="WVJ169" s="173"/>
      <c r="WVK169" s="173"/>
      <c r="WVL169" s="173"/>
      <c r="WVM169" s="173"/>
      <c r="WVN169" s="173"/>
      <c r="WVO169" s="125"/>
      <c r="WVP169" s="125"/>
      <c r="WVQ169" s="134"/>
      <c r="WVR169" s="135"/>
      <c r="WVS169" s="135"/>
      <c r="WVT169" s="135"/>
      <c r="WVU169" s="135"/>
      <c r="WVV169" s="173"/>
      <c r="WVW169" s="173"/>
      <c r="WVX169" s="173"/>
      <c r="WVY169" s="173"/>
      <c r="WVZ169" s="173"/>
      <c r="WWA169" s="173"/>
      <c r="WWB169" s="173"/>
      <c r="WWC169" s="173"/>
      <c r="WWD169" s="173"/>
      <c r="WWE169" s="173"/>
      <c r="WWF169" s="125"/>
      <c r="WWG169" s="125"/>
      <c r="WWH169" s="134"/>
      <c r="WWI169" s="135"/>
      <c r="WWJ169" s="135"/>
      <c r="WWK169" s="135"/>
      <c r="WWL169" s="135"/>
      <c r="WWM169" s="173"/>
      <c r="WWN169" s="173"/>
      <c r="WWO169" s="173"/>
      <c r="WWP169" s="173"/>
      <c r="WWQ169" s="173"/>
      <c r="WWR169" s="173"/>
      <c r="WWS169" s="173"/>
      <c r="WWT169" s="173"/>
      <c r="WWU169" s="173"/>
      <c r="WWV169" s="173"/>
      <c r="WWW169" s="125"/>
      <c r="WWX169" s="125"/>
      <c r="WWY169" s="134"/>
      <c r="WWZ169" s="135"/>
      <c r="WXA169" s="135"/>
      <c r="WXB169" s="135"/>
      <c r="WXC169" s="135"/>
      <c r="WXD169" s="173"/>
      <c r="WXE169" s="173"/>
      <c r="WXF169" s="173"/>
      <c r="WXG169" s="173"/>
      <c r="WXH169" s="173"/>
      <c r="WXI169" s="173"/>
      <c r="WXJ169" s="173"/>
      <c r="WXK169" s="173"/>
      <c r="WXL169" s="173"/>
      <c r="WXM169" s="173"/>
      <c r="WXN169" s="125"/>
      <c r="WXO169" s="125"/>
      <c r="WXP169" s="134"/>
      <c r="WXQ169" s="135"/>
      <c r="WXR169" s="135"/>
      <c r="WXS169" s="135"/>
      <c r="WXT169" s="135"/>
      <c r="WXU169" s="173"/>
      <c r="WXV169" s="173"/>
      <c r="WXW169" s="173"/>
      <c r="WXX169" s="173"/>
      <c r="WXY169" s="173"/>
      <c r="WXZ169" s="173"/>
      <c r="WYA169" s="173"/>
      <c r="WYB169" s="173"/>
      <c r="WYC169" s="173"/>
      <c r="WYD169" s="173"/>
      <c r="WYE169" s="125"/>
      <c r="WYF169" s="125"/>
      <c r="WYG169" s="134"/>
      <c r="WYH169" s="135"/>
      <c r="WYI169" s="135"/>
      <c r="WYJ169" s="135"/>
      <c r="WYK169" s="135"/>
      <c r="WYL169" s="173"/>
      <c r="WYM169" s="173"/>
      <c r="WYN169" s="173"/>
      <c r="WYO169" s="173"/>
      <c r="WYP169" s="173"/>
      <c r="WYQ169" s="173"/>
      <c r="WYR169" s="173"/>
      <c r="WYS169" s="173"/>
      <c r="WYT169" s="173"/>
      <c r="WYU169" s="173"/>
      <c r="WYV169" s="125"/>
      <c r="WYW169" s="125"/>
      <c r="WYX169" s="134"/>
      <c r="WYY169" s="135"/>
      <c r="WYZ169" s="135"/>
      <c r="WZA169" s="135"/>
      <c r="WZB169" s="135"/>
      <c r="WZC169" s="173"/>
      <c r="WZD169" s="173"/>
      <c r="WZE169" s="173"/>
      <c r="WZF169" s="173"/>
      <c r="WZG169" s="173"/>
      <c r="WZH169" s="173"/>
      <c r="WZI169" s="173"/>
      <c r="WZJ169" s="173"/>
      <c r="WZK169" s="173"/>
      <c r="WZL169" s="173"/>
      <c r="WZM169" s="125"/>
      <c r="WZN169" s="125"/>
      <c r="WZO169" s="134"/>
      <c r="WZP169" s="135"/>
      <c r="WZQ169" s="135"/>
      <c r="WZR169" s="135"/>
      <c r="WZS169" s="135"/>
      <c r="WZT169" s="173"/>
      <c r="WZU169" s="173"/>
      <c r="WZV169" s="173"/>
      <c r="WZW169" s="173"/>
      <c r="WZX169" s="173"/>
      <c r="WZY169" s="173"/>
      <c r="WZZ169" s="173"/>
      <c r="XAA169" s="173"/>
      <c r="XAB169" s="173"/>
      <c r="XAC169" s="173"/>
      <c r="XAD169" s="125"/>
      <c r="XAE169" s="125"/>
      <c r="XAF169" s="134"/>
      <c r="XAG169" s="135"/>
      <c r="XAH169" s="135"/>
      <c r="XAI169" s="135"/>
      <c r="XAJ169" s="135"/>
      <c r="XAK169" s="173"/>
      <c r="XAL169" s="173"/>
      <c r="XAM169" s="173"/>
      <c r="XAN169" s="173"/>
      <c r="XAO169" s="173"/>
      <c r="XAP169" s="173"/>
      <c r="XAQ169" s="173"/>
      <c r="XAR169" s="173"/>
      <c r="XAS169" s="173"/>
      <c r="XAT169" s="173"/>
      <c r="XAU169" s="125"/>
      <c r="XAV169" s="125"/>
      <c r="XAW169" s="134"/>
      <c r="XAX169" s="135"/>
      <c r="XAY169" s="135"/>
      <c r="XAZ169" s="135"/>
      <c r="XBA169" s="135"/>
      <c r="XBB169" s="173"/>
      <c r="XBC169" s="173"/>
      <c r="XBD169" s="173"/>
      <c r="XBE169" s="173"/>
      <c r="XBF169" s="173"/>
      <c r="XBG169" s="173"/>
      <c r="XBH169" s="173"/>
      <c r="XBI169" s="173"/>
      <c r="XBJ169" s="173"/>
      <c r="XBK169" s="173"/>
      <c r="XBL169" s="125"/>
      <c r="XBM169" s="125"/>
      <c r="XBN169" s="134"/>
      <c r="XBO169" s="135"/>
      <c r="XBP169" s="135"/>
      <c r="XBQ169" s="135"/>
      <c r="XBR169" s="135"/>
      <c r="XBS169" s="173"/>
      <c r="XBT169" s="173"/>
      <c r="XBU169" s="173"/>
      <c r="XBV169" s="173"/>
      <c r="XBW169" s="173"/>
      <c r="XBX169" s="173"/>
      <c r="XBY169" s="173"/>
      <c r="XBZ169" s="173"/>
      <c r="XCA169" s="173"/>
      <c r="XCB169" s="173"/>
      <c r="XCC169" s="125"/>
      <c r="XCD169" s="125"/>
      <c r="XCE169" s="134"/>
      <c r="XCF169" s="135"/>
      <c r="XCG169" s="135"/>
      <c r="XCH169" s="135"/>
      <c r="XCI169" s="135"/>
      <c r="XCJ169" s="173"/>
      <c r="XCK169" s="173"/>
      <c r="XCL169" s="173"/>
      <c r="XCM169" s="173"/>
      <c r="XCN169" s="173"/>
      <c r="XCO169" s="173"/>
      <c r="XCP169" s="173"/>
      <c r="XCQ169" s="173"/>
      <c r="XCR169" s="173"/>
      <c r="XCS169" s="173"/>
      <c r="XCT169" s="125"/>
      <c r="XCU169" s="125"/>
      <c r="XCV169" s="134"/>
      <c r="XCW169" s="135"/>
      <c r="XCX169" s="135"/>
      <c r="XCY169" s="135"/>
      <c r="XCZ169" s="135"/>
      <c r="XDA169" s="173"/>
      <c r="XDB169" s="173"/>
      <c r="XDC169" s="173"/>
      <c r="XDD169" s="173"/>
      <c r="XDE169" s="173"/>
      <c r="XDF169" s="173"/>
      <c r="XDG169" s="173"/>
      <c r="XDH169" s="173"/>
      <c r="XDI169" s="173"/>
      <c r="XDJ169" s="173"/>
      <c r="XDK169" s="125"/>
      <c r="XDL169" s="125"/>
      <c r="XDM169" s="134"/>
      <c r="XDN169" s="135"/>
      <c r="XDO169" s="135"/>
      <c r="XDP169" s="135"/>
      <c r="XDQ169" s="135"/>
      <c r="XDR169" s="173"/>
      <c r="XDS169" s="173"/>
      <c r="XDT169" s="173"/>
      <c r="XDU169" s="173"/>
      <c r="XDV169" s="173"/>
      <c r="XDW169" s="173"/>
      <c r="XDX169" s="173"/>
      <c r="XDY169" s="173"/>
      <c r="XDZ169" s="173"/>
      <c r="XEA169" s="173"/>
      <c r="XEB169" s="125"/>
      <c r="XEC169" s="125"/>
      <c r="XED169" s="134"/>
      <c r="XEE169" s="135"/>
      <c r="XEF169" s="135"/>
      <c r="XEG169" s="135"/>
      <c r="XEH169" s="135"/>
      <c r="XEI169" s="173"/>
      <c r="XEJ169" s="173"/>
      <c r="XEK169" s="173"/>
      <c r="XEL169" s="173"/>
      <c r="XEM169" s="173"/>
      <c r="XEN169" s="173"/>
      <c r="XEO169" s="173"/>
      <c r="XEP169" s="173"/>
      <c r="XEQ169" s="173"/>
      <c r="XER169" s="173"/>
      <c r="XES169" s="125"/>
      <c r="XET169" s="125"/>
      <c r="XEU169" s="134"/>
      <c r="XEV169" s="135"/>
      <c r="XEW169" s="135"/>
      <c r="XEX169" s="135"/>
      <c r="XEY169" s="135"/>
      <c r="XEZ169" s="173"/>
      <c r="XFA169" s="173"/>
      <c r="XFB169" s="173"/>
    </row>
    <row r="170" spans="1:16382" customFormat="1" hidden="1">
      <c r="A170" s="1"/>
      <c r="B170" s="6"/>
      <c r="C170" s="164" t="s">
        <v>184</v>
      </c>
      <c r="D170" s="1"/>
      <c r="E170" s="1"/>
      <c r="F170" s="1"/>
      <c r="G170" s="164" t="s">
        <v>176</v>
      </c>
      <c r="H170" s="165"/>
      <c r="I170" s="165"/>
      <c r="J170" s="170" t="e">
        <f t="shared" ref="J170:R170" si="114">J169/I169-1</f>
        <v>#DIV/0!</v>
      </c>
      <c r="K170" s="170" t="e">
        <f t="shared" si="114"/>
        <v>#DIV/0!</v>
      </c>
      <c r="L170" s="170" t="e">
        <f t="shared" si="114"/>
        <v>#DIV/0!</v>
      </c>
      <c r="M170" s="170" t="e">
        <f t="shared" si="114"/>
        <v>#DIV/0!</v>
      </c>
      <c r="N170" s="170" t="e">
        <f t="shared" si="114"/>
        <v>#DIV/0!</v>
      </c>
      <c r="O170" s="170" t="e">
        <f t="shared" si="114"/>
        <v>#DIV/0!</v>
      </c>
      <c r="P170" s="170" t="e">
        <f t="shared" si="114"/>
        <v>#DIV/0!</v>
      </c>
      <c r="Q170" s="170" t="e">
        <f t="shared" si="114"/>
        <v>#DIV/0!</v>
      </c>
      <c r="R170" s="170" t="e">
        <f t="shared" si="114"/>
        <v>#DIV/0!</v>
      </c>
      <c r="S170" s="1"/>
      <c r="T170" s="1"/>
      <c r="U170" s="1"/>
      <c r="V170" s="1"/>
      <c r="W170" s="1"/>
      <c r="X170" s="1"/>
    </row>
    <row r="171" spans="1:16382" customFormat="1" ht="15" hidden="1" customHeight="1">
      <c r="A171" s="4" t="str">
        <f>'[7]Input sheet'!A73</f>
        <v>Turkey</v>
      </c>
      <c r="B171" s="129" t="str">
        <f>'[7]Input sheet'!B73</f>
        <v>Employment</v>
      </c>
      <c r="C171" s="4" t="str">
        <f>'[7]Input sheet'!C73</f>
        <v>Indirect Tourism Employment by Sector</v>
      </c>
      <c r="D171" s="2" t="str">
        <f>'[7]Input sheet'!D73</f>
        <v>Accommodation</v>
      </c>
      <c r="E171" s="1"/>
      <c r="F171" s="1"/>
      <c r="G171" s="1" t="str">
        <f>'[7]Input sheet'!G73</f>
        <v>Thousands</v>
      </c>
      <c r="H171" s="169"/>
      <c r="I171" s="169"/>
      <c r="J171" s="169"/>
      <c r="K171" s="169"/>
      <c r="L171" s="169"/>
      <c r="M171" s="169"/>
      <c r="N171" s="169" t="e">
        <f>N89*1000/N186</f>
        <v>#DIV/0!</v>
      </c>
      <c r="O171" s="169" t="e">
        <f>O89*1000/O186</f>
        <v>#DIV/0!</v>
      </c>
      <c r="P171" s="169" t="e">
        <f>P89*1000/P186</f>
        <v>#DIV/0!</v>
      </c>
      <c r="Q171" s="169" t="e">
        <f>Q89*1000/Q186</f>
        <v>#DIV/0!</v>
      </c>
      <c r="R171" s="169" t="e">
        <f>R89*1000/R186</f>
        <v>#DIV/0!</v>
      </c>
    </row>
    <row r="172" spans="1:16382" customFormat="1" ht="15" hidden="1" customHeight="1">
      <c r="A172" s="1"/>
      <c r="B172" s="6"/>
      <c r="C172" s="164" t="s">
        <v>184</v>
      </c>
      <c r="D172" s="1"/>
      <c r="E172" s="1"/>
      <c r="F172" s="1"/>
      <c r="G172" s="164" t="s">
        <v>176</v>
      </c>
      <c r="H172" s="165"/>
      <c r="I172" s="165"/>
      <c r="J172" s="170" t="e">
        <f t="shared" ref="J172:R172" si="115">J171/I171-1</f>
        <v>#DIV/0!</v>
      </c>
      <c r="K172" s="170" t="e">
        <f t="shared" si="115"/>
        <v>#DIV/0!</v>
      </c>
      <c r="L172" s="170" t="e">
        <f t="shared" si="115"/>
        <v>#DIV/0!</v>
      </c>
      <c r="M172" s="170" t="e">
        <f t="shared" si="115"/>
        <v>#DIV/0!</v>
      </c>
      <c r="N172" s="170" t="e">
        <f t="shared" si="115"/>
        <v>#DIV/0!</v>
      </c>
      <c r="O172" s="170" t="e">
        <f t="shared" si="115"/>
        <v>#DIV/0!</v>
      </c>
      <c r="P172" s="170" t="e">
        <f t="shared" si="115"/>
        <v>#DIV/0!</v>
      </c>
      <c r="Q172" s="170" t="e">
        <f t="shared" si="115"/>
        <v>#DIV/0!</v>
      </c>
      <c r="R172" s="170" t="e">
        <f t="shared" si="115"/>
        <v>#DIV/0!</v>
      </c>
    </row>
    <row r="173" spans="1:16382" customFormat="1" ht="15" hidden="1" customHeight="1">
      <c r="A173" s="4" t="str">
        <f>'[7]Input sheet'!A74</f>
        <v>Turkey</v>
      </c>
      <c r="B173" s="129" t="str">
        <f>'[7]Input sheet'!B74</f>
        <v>Employment</v>
      </c>
      <c r="C173" s="4" t="str">
        <f>'[7]Input sheet'!C74</f>
        <v>Indirect Tourism Employment by Sector</v>
      </c>
      <c r="D173" s="2" t="str">
        <f>'[7]Input sheet'!D74</f>
        <v>Entertainment &amp; Sightseeing</v>
      </c>
      <c r="E173" s="1"/>
      <c r="F173" s="1"/>
      <c r="G173" s="1" t="str">
        <f>'[7]Input sheet'!G74</f>
        <v>Thousands</v>
      </c>
      <c r="H173" s="169"/>
      <c r="I173" s="169"/>
      <c r="J173" s="169"/>
      <c r="K173" s="169"/>
      <c r="L173" s="169"/>
      <c r="M173" s="169"/>
      <c r="N173" s="169" t="e">
        <f>N91*1000/N187</f>
        <v>#DIV/0!</v>
      </c>
      <c r="O173" s="169" t="e">
        <f>O91*1000/O187</f>
        <v>#DIV/0!</v>
      </c>
      <c r="P173" s="169" t="e">
        <f>P91*1000/P187</f>
        <v>#DIV/0!</v>
      </c>
      <c r="Q173" s="169" t="e">
        <f>Q91*1000/Q187</f>
        <v>#DIV/0!</v>
      </c>
      <c r="R173" s="169" t="e">
        <f>R91*1000/R187</f>
        <v>#DIV/0!</v>
      </c>
    </row>
    <row r="174" spans="1:16382" customFormat="1" ht="15" hidden="1" customHeight="1">
      <c r="A174" s="1"/>
      <c r="B174" s="6"/>
      <c r="C174" s="164" t="s">
        <v>184</v>
      </c>
      <c r="D174" s="1"/>
      <c r="E174" s="1"/>
      <c r="F174" s="1"/>
      <c r="G174" s="164" t="s">
        <v>176</v>
      </c>
      <c r="H174" s="165"/>
      <c r="I174" s="165"/>
      <c r="J174" s="170" t="e">
        <f t="shared" ref="J174:R174" si="116">J173/I173-1</f>
        <v>#DIV/0!</v>
      </c>
      <c r="K174" s="170" t="e">
        <f t="shared" si="116"/>
        <v>#DIV/0!</v>
      </c>
      <c r="L174" s="170" t="e">
        <f t="shared" si="116"/>
        <v>#DIV/0!</v>
      </c>
      <c r="M174" s="170" t="e">
        <f t="shared" si="116"/>
        <v>#DIV/0!</v>
      </c>
      <c r="N174" s="170" t="e">
        <f t="shared" si="116"/>
        <v>#DIV/0!</v>
      </c>
      <c r="O174" s="170" t="e">
        <f t="shared" si="116"/>
        <v>#DIV/0!</v>
      </c>
      <c r="P174" s="170" t="e">
        <f t="shared" si="116"/>
        <v>#DIV/0!</v>
      </c>
      <c r="Q174" s="170" t="e">
        <f t="shared" si="116"/>
        <v>#DIV/0!</v>
      </c>
      <c r="R174" s="170" t="e">
        <f t="shared" si="116"/>
        <v>#DIV/0!</v>
      </c>
    </row>
    <row r="175" spans="1:16382" customFormat="1" ht="15" hidden="1" customHeight="1">
      <c r="A175" s="4" t="str">
        <f>'[7]Input sheet'!A75</f>
        <v>Turkey</v>
      </c>
      <c r="B175" s="129" t="str">
        <f>'[7]Input sheet'!B75</f>
        <v>Employment</v>
      </c>
      <c r="C175" s="4" t="str">
        <f>'[7]Input sheet'!C75</f>
        <v>Indirect Tourism Employment by Sector</v>
      </c>
      <c r="D175" s="2" t="str">
        <f>'[7]Input sheet'!D75</f>
        <v>Foodservice</v>
      </c>
      <c r="E175" s="1"/>
      <c r="F175" s="1"/>
      <c r="G175" s="1" t="str">
        <f>'[7]Input sheet'!G75</f>
        <v>Thousands</v>
      </c>
      <c r="H175" s="169"/>
      <c r="I175" s="169"/>
      <c r="J175" s="169"/>
      <c r="K175" s="169"/>
      <c r="L175" s="169"/>
      <c r="M175" s="169"/>
      <c r="N175" s="169" t="e">
        <f>N93*1000/N188</f>
        <v>#DIV/0!</v>
      </c>
      <c r="O175" s="169" t="e">
        <f>O93*1000/O188</f>
        <v>#DIV/0!</v>
      </c>
      <c r="P175" s="169" t="e">
        <f>P93*1000/P188</f>
        <v>#DIV/0!</v>
      </c>
      <c r="Q175" s="169" t="e">
        <f>Q93*1000/Q188</f>
        <v>#DIV/0!</v>
      </c>
      <c r="R175" s="169" t="e">
        <f>R93*1000/R188</f>
        <v>#DIV/0!</v>
      </c>
    </row>
    <row r="176" spans="1:16382" customFormat="1" ht="15" hidden="1" customHeight="1">
      <c r="A176" s="1"/>
      <c r="B176" s="6"/>
      <c r="C176" s="164" t="s">
        <v>184</v>
      </c>
      <c r="D176" s="1"/>
      <c r="E176" s="1"/>
      <c r="F176" s="1"/>
      <c r="G176" s="164" t="s">
        <v>176</v>
      </c>
      <c r="H176" s="165"/>
      <c r="I176" s="165"/>
      <c r="J176" s="170" t="e">
        <f t="shared" ref="J176:R176" si="117">J175/I175-1</f>
        <v>#DIV/0!</v>
      </c>
      <c r="K176" s="170" t="e">
        <f t="shared" si="117"/>
        <v>#DIV/0!</v>
      </c>
      <c r="L176" s="170" t="e">
        <f t="shared" si="117"/>
        <v>#DIV/0!</v>
      </c>
      <c r="M176" s="170" t="e">
        <f t="shared" si="117"/>
        <v>#DIV/0!</v>
      </c>
      <c r="N176" s="170" t="e">
        <f t="shared" si="117"/>
        <v>#DIV/0!</v>
      </c>
      <c r="O176" s="170" t="e">
        <f t="shared" si="117"/>
        <v>#DIV/0!</v>
      </c>
      <c r="P176" s="170" t="e">
        <f t="shared" si="117"/>
        <v>#DIV/0!</v>
      </c>
      <c r="Q176" s="170" t="e">
        <f t="shared" si="117"/>
        <v>#DIV/0!</v>
      </c>
      <c r="R176" s="170" t="e">
        <f t="shared" si="117"/>
        <v>#DIV/0!</v>
      </c>
    </row>
    <row r="177" spans="1:29" customFormat="1" ht="15" hidden="1" customHeight="1">
      <c r="A177" s="4" t="str">
        <f>'[7]Input sheet'!A76</f>
        <v>Turkey</v>
      </c>
      <c r="B177" s="129" t="str">
        <f>'[7]Input sheet'!B76</f>
        <v>Employment</v>
      </c>
      <c r="C177" s="4" t="str">
        <f>'[7]Input sheet'!C76</f>
        <v>Indirect Tourism Employment by Sector</v>
      </c>
      <c r="D177" s="2" t="str">
        <f>'[7]Input sheet'!D76</f>
        <v>Retail</v>
      </c>
      <c r="E177" s="1"/>
      <c r="F177" s="1"/>
      <c r="G177" s="1" t="str">
        <f>'[7]Input sheet'!G76</f>
        <v>Thousands</v>
      </c>
      <c r="H177" s="169"/>
      <c r="I177" s="169"/>
      <c r="J177" s="169"/>
      <c r="K177" s="169"/>
      <c r="L177" s="169"/>
      <c r="M177" s="169"/>
      <c r="N177" s="169" t="e">
        <f>N95*1000/N189</f>
        <v>#DIV/0!</v>
      </c>
      <c r="O177" s="169" t="e">
        <f>O95*1000/O189</f>
        <v>#DIV/0!</v>
      </c>
      <c r="P177" s="169" t="e">
        <f>P95*1000/P189</f>
        <v>#DIV/0!</v>
      </c>
      <c r="Q177" s="169" t="e">
        <f>Q95*1000/Q189</f>
        <v>#DIV/0!</v>
      </c>
      <c r="R177" s="169" t="e">
        <f>R95*1000/R189</f>
        <v>#DIV/0!</v>
      </c>
    </row>
    <row r="178" spans="1:29" customFormat="1" ht="15" hidden="1" customHeight="1">
      <c r="A178" s="1"/>
      <c r="B178" s="6"/>
      <c r="C178" s="164" t="s">
        <v>184</v>
      </c>
      <c r="D178" s="1"/>
      <c r="E178" s="1"/>
      <c r="F178" s="1"/>
      <c r="G178" s="164" t="s">
        <v>176</v>
      </c>
      <c r="H178" s="165"/>
      <c r="I178" s="165"/>
      <c r="J178" s="170" t="e">
        <f t="shared" ref="J178:R178" si="118">J177/I177-1</f>
        <v>#DIV/0!</v>
      </c>
      <c r="K178" s="170" t="e">
        <f t="shared" si="118"/>
        <v>#DIV/0!</v>
      </c>
      <c r="L178" s="170" t="e">
        <f t="shared" si="118"/>
        <v>#DIV/0!</v>
      </c>
      <c r="M178" s="170" t="e">
        <f t="shared" si="118"/>
        <v>#DIV/0!</v>
      </c>
      <c r="N178" s="170" t="e">
        <f t="shared" si="118"/>
        <v>#DIV/0!</v>
      </c>
      <c r="O178" s="170" t="e">
        <f t="shared" si="118"/>
        <v>#DIV/0!</v>
      </c>
      <c r="P178" s="170" t="e">
        <f t="shared" si="118"/>
        <v>#DIV/0!</v>
      </c>
      <c r="Q178" s="170" t="e">
        <f t="shared" si="118"/>
        <v>#DIV/0!</v>
      </c>
      <c r="R178" s="170" t="e">
        <f t="shared" si="118"/>
        <v>#DIV/0!</v>
      </c>
    </row>
    <row r="179" spans="1:29" customFormat="1" ht="15" hidden="1" customHeight="1">
      <c r="A179" s="4" t="str">
        <f>'[7]Input sheet'!A77</f>
        <v>Turkey</v>
      </c>
      <c r="B179" s="129" t="str">
        <f>'[7]Input sheet'!B77</f>
        <v>Employment</v>
      </c>
      <c r="C179" s="4" t="str">
        <f>'[7]Input sheet'!C77</f>
        <v>Indirect Tourism Employment by Sector</v>
      </c>
      <c r="D179" s="2" t="str">
        <f>'[7]Input sheet'!D77</f>
        <v>Transportation</v>
      </c>
      <c r="E179" s="1"/>
      <c r="F179" s="1"/>
      <c r="G179" s="1" t="str">
        <f>'[7]Input sheet'!G77</f>
        <v>Thousands</v>
      </c>
      <c r="H179" s="169"/>
      <c r="I179" s="169"/>
      <c r="J179" s="169"/>
      <c r="K179" s="169"/>
      <c r="L179" s="169"/>
      <c r="M179" s="169"/>
      <c r="N179" s="169" t="e">
        <f>N97*1000/N190</f>
        <v>#DIV/0!</v>
      </c>
      <c r="O179" s="169" t="e">
        <f>O97*1000/O190</f>
        <v>#DIV/0!</v>
      </c>
      <c r="P179" s="169" t="e">
        <f>P97*1000/P190</f>
        <v>#DIV/0!</v>
      </c>
      <c r="Q179" s="169" t="e">
        <f>Q97*1000/Q190</f>
        <v>#DIV/0!</v>
      </c>
      <c r="R179" s="169" t="e">
        <f>R97*1000/R190</f>
        <v>#DIV/0!</v>
      </c>
    </row>
    <row r="180" spans="1:29" customFormat="1" ht="15" hidden="1" customHeight="1">
      <c r="A180" s="1"/>
      <c r="B180" s="6"/>
      <c r="C180" s="164" t="s">
        <v>184</v>
      </c>
      <c r="D180" s="1"/>
      <c r="E180" s="1"/>
      <c r="F180" s="1"/>
      <c r="G180" s="164" t="s">
        <v>176</v>
      </c>
      <c r="H180" s="165"/>
      <c r="I180" s="165"/>
      <c r="J180" s="170" t="e">
        <f t="shared" ref="J180:R180" si="119">J179/I179-1</f>
        <v>#DIV/0!</v>
      </c>
      <c r="K180" s="170" t="e">
        <f t="shared" si="119"/>
        <v>#DIV/0!</v>
      </c>
      <c r="L180" s="170" t="e">
        <f t="shared" si="119"/>
        <v>#DIV/0!</v>
      </c>
      <c r="M180" s="170" t="e">
        <f t="shared" si="119"/>
        <v>#DIV/0!</v>
      </c>
      <c r="N180" s="170" t="e">
        <f t="shared" si="119"/>
        <v>#DIV/0!</v>
      </c>
      <c r="O180" s="170" t="e">
        <f t="shared" si="119"/>
        <v>#DIV/0!</v>
      </c>
      <c r="P180" s="170" t="e">
        <f t="shared" si="119"/>
        <v>#DIV/0!</v>
      </c>
      <c r="Q180" s="170" t="e">
        <f t="shared" si="119"/>
        <v>#DIV/0!</v>
      </c>
      <c r="R180" s="170" t="e">
        <f t="shared" si="119"/>
        <v>#DIV/0!</v>
      </c>
    </row>
    <row r="181" spans="1:29" customFormat="1" ht="15" hidden="1" customHeight="1">
      <c r="A181" s="4" t="str">
        <f>'[7]Input sheet'!A78</f>
        <v>Turkey</v>
      </c>
      <c r="B181" s="129" t="str">
        <f>'[7]Input sheet'!B78</f>
        <v>Employment</v>
      </c>
      <c r="C181" s="4" t="str">
        <f>'[7]Input sheet'!C78</f>
        <v>Indirect Tourism Employment by Sector</v>
      </c>
      <c r="D181" s="2" t="str">
        <f>'[7]Input sheet'!D78</f>
        <v>Travel Intermediation</v>
      </c>
      <c r="E181" s="1"/>
      <c r="F181" s="1"/>
      <c r="G181" s="1" t="str">
        <f>'[7]Input sheet'!G78</f>
        <v>Thousands</v>
      </c>
      <c r="H181" s="169"/>
      <c r="I181" s="169"/>
      <c r="J181" s="169"/>
      <c r="K181" s="169"/>
      <c r="L181" s="169"/>
      <c r="M181" s="169"/>
      <c r="N181" s="169" t="e">
        <f>N99*1000/N191</f>
        <v>#DIV/0!</v>
      </c>
      <c r="O181" s="169" t="e">
        <f>O99*1000/O191</f>
        <v>#DIV/0!</v>
      </c>
      <c r="P181" s="169" t="e">
        <f>P99*1000/P191</f>
        <v>#DIV/0!</v>
      </c>
      <c r="Q181" s="169" t="e">
        <f>Q99*1000/Q191</f>
        <v>#DIV/0!</v>
      </c>
      <c r="R181" s="169" t="e">
        <f>R99*1000/R191</f>
        <v>#DIV/0!</v>
      </c>
    </row>
    <row r="182" spans="1:29" customFormat="1" ht="15" hidden="1" customHeight="1">
      <c r="A182" s="1"/>
      <c r="B182" s="6"/>
      <c r="C182" s="164" t="s">
        <v>184</v>
      </c>
      <c r="D182" s="1"/>
      <c r="E182" s="1"/>
      <c r="F182" s="1"/>
      <c r="G182" s="164" t="s">
        <v>176</v>
      </c>
      <c r="H182" s="165"/>
      <c r="I182" s="165"/>
      <c r="J182" s="170" t="e">
        <f t="shared" ref="J182:R182" si="120">J181/I181-1</f>
        <v>#DIV/0!</v>
      </c>
      <c r="K182" s="170" t="e">
        <f t="shared" si="120"/>
        <v>#DIV/0!</v>
      </c>
      <c r="L182" s="170" t="e">
        <f t="shared" si="120"/>
        <v>#DIV/0!</v>
      </c>
      <c r="M182" s="170" t="e">
        <f t="shared" si="120"/>
        <v>#DIV/0!</v>
      </c>
      <c r="N182" s="170" t="e">
        <f t="shared" si="120"/>
        <v>#DIV/0!</v>
      </c>
      <c r="O182" s="170" t="e">
        <f t="shared" si="120"/>
        <v>#DIV/0!</v>
      </c>
      <c r="P182" s="170" t="e">
        <f t="shared" si="120"/>
        <v>#DIV/0!</v>
      </c>
      <c r="Q182" s="170" t="e">
        <f t="shared" si="120"/>
        <v>#DIV/0!</v>
      </c>
      <c r="R182" s="170" t="e">
        <f t="shared" si="120"/>
        <v>#DIV/0!</v>
      </c>
    </row>
    <row r="183" spans="1:29" customFormat="1" ht="15" hidden="1" customHeight="1">
      <c r="A183" s="4" t="str">
        <f>'[7]Input sheet'!A79</f>
        <v>Turkey</v>
      </c>
      <c r="B183" s="129" t="str">
        <f>'[7]Input sheet'!B79</f>
        <v>Employment</v>
      </c>
      <c r="C183" s="4" t="str">
        <f>'[7]Input sheet'!C79</f>
        <v>Indirect Tourism Employment by Sector</v>
      </c>
      <c r="D183" s="2" t="str">
        <f>'[7]Input sheet'!D79</f>
        <v>Other Sectors</v>
      </c>
      <c r="E183" s="1"/>
      <c r="F183" s="1"/>
      <c r="G183" s="1" t="str">
        <f>'[7]Input sheet'!G79</f>
        <v>Thousands</v>
      </c>
      <c r="H183" s="169"/>
      <c r="I183" s="169"/>
      <c r="J183" s="169"/>
      <c r="K183" s="169"/>
      <c r="L183" s="169"/>
      <c r="M183" s="169"/>
      <c r="N183" s="169" t="e">
        <f>N101*1000/N192</f>
        <v>#DIV/0!</v>
      </c>
      <c r="O183" s="169" t="e">
        <f>O101*1000/O192</f>
        <v>#DIV/0!</v>
      </c>
      <c r="P183" s="169" t="e">
        <f>P101*1000/P192</f>
        <v>#DIV/0!</v>
      </c>
      <c r="Q183" s="169" t="e">
        <f>Q101*1000/Q192</f>
        <v>#DIV/0!</v>
      </c>
      <c r="R183" s="169" t="e">
        <f>R101*1000/R192</f>
        <v>#DIV/0!</v>
      </c>
    </row>
    <row r="184" spans="1:29" customFormat="1" ht="15" hidden="1" customHeight="1">
      <c r="A184" s="1"/>
      <c r="B184" s="6"/>
      <c r="C184" s="164" t="s">
        <v>184</v>
      </c>
      <c r="D184" s="1"/>
      <c r="E184" s="1"/>
      <c r="F184" s="1"/>
      <c r="G184" s="164" t="s">
        <v>176</v>
      </c>
      <c r="H184" s="165"/>
      <c r="I184" s="165"/>
      <c r="J184" s="170" t="e">
        <f t="shared" ref="J184:R184" si="121">J183/I183-1</f>
        <v>#DIV/0!</v>
      </c>
      <c r="K184" s="170" t="e">
        <f t="shared" si="121"/>
        <v>#DIV/0!</v>
      </c>
      <c r="L184" s="170" t="e">
        <f t="shared" si="121"/>
        <v>#DIV/0!</v>
      </c>
      <c r="M184" s="170" t="e">
        <f t="shared" si="121"/>
        <v>#DIV/0!</v>
      </c>
      <c r="N184" s="170" t="e">
        <f t="shared" si="121"/>
        <v>#DIV/0!</v>
      </c>
      <c r="O184" s="170" t="e">
        <f t="shared" si="121"/>
        <v>#DIV/0!</v>
      </c>
      <c r="P184" s="170" t="e">
        <f t="shared" si="121"/>
        <v>#DIV/0!</v>
      </c>
      <c r="Q184" s="170" t="e">
        <f t="shared" si="121"/>
        <v>#DIV/0!</v>
      </c>
      <c r="R184" s="170" t="e">
        <f t="shared" si="121"/>
        <v>#DIV/0!</v>
      </c>
    </row>
    <row r="185" spans="1:29" customFormat="1" ht="15" hidden="1" customHeight="1" outlineLevel="1">
      <c r="A185" s="1"/>
      <c r="B185" s="6"/>
      <c r="C185" s="174" t="s">
        <v>347</v>
      </c>
      <c r="D185" s="34"/>
      <c r="E185" s="34"/>
      <c r="F185" s="34"/>
      <c r="G185" s="174"/>
      <c r="H185" s="183" t="e">
        <f>H87*1000/H169</f>
        <v>#DIV/0!</v>
      </c>
      <c r="I185" s="183" t="e">
        <f>I87*1000/I169</f>
        <v>#DIV/0!</v>
      </c>
      <c r="J185" s="183" t="e">
        <f t="shared" ref="J185:R185" si="122">J87*1000/J169</f>
        <v>#DIV/0!</v>
      </c>
      <c r="K185" s="183" t="e">
        <f t="shared" si="122"/>
        <v>#DIV/0!</v>
      </c>
      <c r="L185" s="183" t="e">
        <f t="shared" si="122"/>
        <v>#DIV/0!</v>
      </c>
      <c r="M185" s="183" t="e">
        <f t="shared" si="122"/>
        <v>#DIV/0!</v>
      </c>
      <c r="N185" s="183" t="e">
        <f t="shared" si="122"/>
        <v>#DIV/0!</v>
      </c>
      <c r="O185" s="183" t="e">
        <f t="shared" si="122"/>
        <v>#DIV/0!</v>
      </c>
      <c r="P185" s="183" t="e">
        <f t="shared" si="122"/>
        <v>#DIV/0!</v>
      </c>
      <c r="Q185" s="183" t="e">
        <f t="shared" si="122"/>
        <v>#DIV/0!</v>
      </c>
      <c r="R185" s="183" t="e">
        <f t="shared" si="122"/>
        <v>#DIV/0!</v>
      </c>
    </row>
    <row r="186" spans="1:29" customFormat="1" ht="15" hidden="1" customHeight="1" outlineLevel="1">
      <c r="A186" s="1"/>
      <c r="B186" s="6"/>
      <c r="C186" s="174"/>
      <c r="D186" s="175" t="s">
        <v>36</v>
      </c>
      <c r="E186" s="34"/>
      <c r="F186" s="34"/>
      <c r="G186" s="174"/>
      <c r="H186" s="184" t="e">
        <f t="shared" ref="H186:M186" si="123">H89*1000/H171</f>
        <v>#DIV/0!</v>
      </c>
      <c r="I186" s="184" t="e">
        <f t="shared" si="123"/>
        <v>#DIV/0!</v>
      </c>
      <c r="J186" s="184" t="e">
        <f t="shared" si="123"/>
        <v>#DIV/0!</v>
      </c>
      <c r="K186" s="184" t="e">
        <f t="shared" si="123"/>
        <v>#DIV/0!</v>
      </c>
      <c r="L186" s="184" t="e">
        <f t="shared" si="123"/>
        <v>#DIV/0!</v>
      </c>
      <c r="M186" s="184" t="e">
        <f t="shared" si="123"/>
        <v>#DIV/0!</v>
      </c>
      <c r="N186" s="190" t="e">
        <f>M186*(1+(((M186/J186)^(1/4))-1))*0.99</f>
        <v>#DIV/0!</v>
      </c>
      <c r="O186" s="190" t="e">
        <f>N186*(1+(((N186/K186)^(1/4))-1)*0.6)</f>
        <v>#DIV/0!</v>
      </c>
      <c r="P186" s="190" t="e">
        <f>O186*(1+(((O186/L186)^(1/4))-1)*0.7)</f>
        <v>#DIV/0!</v>
      </c>
      <c r="Q186" s="190" t="e">
        <f>P186*(1+(((P186/M186)^(1/4))-1)*2.01)</f>
        <v>#DIV/0!</v>
      </c>
      <c r="R186" s="190" t="e">
        <f>Q186*(1+(((Q186/N186)^(1/4))-1)*1.3)</f>
        <v>#DIV/0!</v>
      </c>
    </row>
    <row r="187" spans="1:29" customFormat="1" ht="15" hidden="1" customHeight="1" outlineLevel="1">
      <c r="A187" s="1"/>
      <c r="B187" s="6"/>
      <c r="C187" s="174"/>
      <c r="D187" s="175" t="s">
        <v>37</v>
      </c>
      <c r="E187" s="34"/>
      <c r="F187" s="34"/>
      <c r="G187" s="174"/>
      <c r="H187" s="184" t="e">
        <f t="shared" ref="H187:M187" si="124">H91*1000/H173</f>
        <v>#DIV/0!</v>
      </c>
      <c r="I187" s="184" t="e">
        <f t="shared" si="124"/>
        <v>#DIV/0!</v>
      </c>
      <c r="J187" s="184" t="e">
        <f t="shared" si="124"/>
        <v>#DIV/0!</v>
      </c>
      <c r="K187" s="184" t="e">
        <f t="shared" si="124"/>
        <v>#DIV/0!</v>
      </c>
      <c r="L187" s="184" t="e">
        <f t="shared" si="124"/>
        <v>#DIV/0!</v>
      </c>
      <c r="M187" s="184" t="e">
        <f t="shared" si="124"/>
        <v>#DIV/0!</v>
      </c>
      <c r="N187" s="190" t="e">
        <f>M187*(1+(((M187/J187)^(1/4))-1)*2.2)</f>
        <v>#DIV/0!</v>
      </c>
      <c r="O187" s="190" t="e">
        <f>N187*(1+(((N187/K187)^(1/4))-1)*0.3)</f>
        <v>#DIV/0!</v>
      </c>
      <c r="P187" s="190" t="e">
        <f>O187*(1+(((O187/L187)^(1/4))-1)*0.999)</f>
        <v>#DIV/0!</v>
      </c>
      <c r="Q187" s="190" t="e">
        <f>P187*(1+(((P187/M187)^(1/4))-1)*2.5)</f>
        <v>#DIV/0!</v>
      </c>
      <c r="R187" s="190" t="e">
        <f>Q187*(1+(((Q187/N187)^(1/4))-1)*2.2)</f>
        <v>#DIV/0!</v>
      </c>
      <c r="S187" s="1"/>
      <c r="T187" s="1"/>
      <c r="U187" s="1"/>
      <c r="V187" s="1"/>
      <c r="W187" s="1"/>
      <c r="X187" s="1"/>
      <c r="Y187" s="1"/>
      <c r="Z187" s="1"/>
      <c r="AA187" s="1"/>
      <c r="AB187" s="1"/>
      <c r="AC187" s="1"/>
    </row>
    <row r="188" spans="1:29" customFormat="1" ht="15" hidden="1" customHeight="1" outlineLevel="1">
      <c r="A188" s="1"/>
      <c r="B188" s="6"/>
      <c r="C188" s="174"/>
      <c r="D188" s="175" t="s">
        <v>38</v>
      </c>
      <c r="E188" s="34"/>
      <c r="F188" s="34"/>
      <c r="G188" s="174"/>
      <c r="H188" s="184" t="e">
        <f t="shared" ref="H188:M188" si="125">H93*1000/H175</f>
        <v>#DIV/0!</v>
      </c>
      <c r="I188" s="184" t="e">
        <f t="shared" si="125"/>
        <v>#DIV/0!</v>
      </c>
      <c r="J188" s="184" t="e">
        <f t="shared" si="125"/>
        <v>#DIV/0!</v>
      </c>
      <c r="K188" s="184" t="e">
        <f t="shared" si="125"/>
        <v>#DIV/0!</v>
      </c>
      <c r="L188" s="184" t="e">
        <f t="shared" si="125"/>
        <v>#DIV/0!</v>
      </c>
      <c r="M188" s="184" t="e">
        <f t="shared" si="125"/>
        <v>#DIV/0!</v>
      </c>
      <c r="N188" s="190" t="e">
        <f>M188*(1+(((M188/J188)^(1/4))-1)*0.8)</f>
        <v>#DIV/0!</v>
      </c>
      <c r="O188" s="190" t="e">
        <f>N188*(1+(((N188/K188)^(1/4))-1)*0.95)</f>
        <v>#DIV/0!</v>
      </c>
      <c r="P188" s="190" t="e">
        <f>O188*(1+(((O188/L188)^(1/4))-1)*1.2)</f>
        <v>#DIV/0!</v>
      </c>
      <c r="Q188" s="190" t="e">
        <f>P188*(1+(((P188/M188)^(1/4))-1)*1.91)</f>
        <v>#DIV/0!</v>
      </c>
      <c r="R188" s="190" t="e">
        <f>Q188*(1+(((Q188/N188)^(1/4))-1)*1.21)</f>
        <v>#DIV/0!</v>
      </c>
      <c r="S188" s="1"/>
      <c r="T188" s="1"/>
      <c r="U188" s="1"/>
      <c r="V188" s="1"/>
      <c r="W188" s="1"/>
      <c r="X188" s="1"/>
      <c r="Y188" s="1"/>
      <c r="Z188" s="1"/>
      <c r="AA188" s="1"/>
      <c r="AB188" s="1"/>
      <c r="AC188" s="1"/>
    </row>
    <row r="189" spans="1:29" customFormat="1" ht="15" hidden="1" customHeight="1" outlineLevel="1">
      <c r="A189" s="1"/>
      <c r="B189" s="6"/>
      <c r="C189" s="174"/>
      <c r="D189" s="175" t="s">
        <v>39</v>
      </c>
      <c r="E189" s="34"/>
      <c r="F189" s="34"/>
      <c r="G189" s="174"/>
      <c r="H189" s="184" t="e">
        <f t="shared" ref="H189:M189" si="126">H95*1000/H177</f>
        <v>#DIV/0!</v>
      </c>
      <c r="I189" s="184" t="e">
        <f t="shared" si="126"/>
        <v>#DIV/0!</v>
      </c>
      <c r="J189" s="184" t="e">
        <f t="shared" si="126"/>
        <v>#DIV/0!</v>
      </c>
      <c r="K189" s="184" t="e">
        <f t="shared" si="126"/>
        <v>#DIV/0!</v>
      </c>
      <c r="L189" s="184" t="e">
        <f t="shared" si="126"/>
        <v>#DIV/0!</v>
      </c>
      <c r="M189" s="184" t="e">
        <f t="shared" si="126"/>
        <v>#DIV/0!</v>
      </c>
      <c r="N189" s="190" t="e">
        <f>M189*(1+(((M189/J189)^(1/4))-1))*1.01</f>
        <v>#DIV/0!</v>
      </c>
      <c r="O189" s="190" t="e">
        <f>N189*(1+(((N189/K189)^(1/4))-1))*1.007</f>
        <v>#DIV/0!</v>
      </c>
      <c r="P189" s="190" t="e">
        <f>O189*(1+(((O189/L189)^(1/4))-1))</f>
        <v>#DIV/0!</v>
      </c>
      <c r="Q189" s="190" t="e">
        <f>P189*(1+(((P189/M189)^(1/4))-1))*1.025</f>
        <v>#DIV/0!</v>
      </c>
      <c r="R189" s="190" t="e">
        <f>Q189*(1+(((Q189/N189)^(1/4))-1))*1.018</f>
        <v>#DIV/0!</v>
      </c>
      <c r="S189" s="1"/>
      <c r="T189" s="1"/>
      <c r="U189" s="1"/>
      <c r="V189" s="1"/>
      <c r="W189" s="1"/>
      <c r="X189" s="1"/>
      <c r="Y189" s="1"/>
      <c r="Z189" s="1"/>
      <c r="AA189" s="1"/>
      <c r="AB189" s="1"/>
      <c r="AC189" s="1"/>
    </row>
    <row r="190" spans="1:29" customFormat="1" ht="15" hidden="1" customHeight="1" outlineLevel="1">
      <c r="A190" s="1"/>
      <c r="B190" s="6"/>
      <c r="C190" s="174"/>
      <c r="D190" s="175" t="s">
        <v>40</v>
      </c>
      <c r="E190" s="34"/>
      <c r="F190" s="34"/>
      <c r="G190" s="174"/>
      <c r="H190" s="184" t="e">
        <f t="shared" ref="H190:M190" si="127">H97*1000/H179</f>
        <v>#DIV/0!</v>
      </c>
      <c r="I190" s="184" t="e">
        <f t="shared" si="127"/>
        <v>#DIV/0!</v>
      </c>
      <c r="J190" s="184" t="e">
        <f t="shared" si="127"/>
        <v>#DIV/0!</v>
      </c>
      <c r="K190" s="184" t="e">
        <f t="shared" si="127"/>
        <v>#DIV/0!</v>
      </c>
      <c r="L190" s="184" t="e">
        <f t="shared" si="127"/>
        <v>#DIV/0!</v>
      </c>
      <c r="M190" s="184" t="e">
        <f t="shared" si="127"/>
        <v>#DIV/0!</v>
      </c>
      <c r="N190" s="190" t="e">
        <f>M190*(1+(((M190/J190)^(1/4))-1)*0.7)</f>
        <v>#DIV/0!</v>
      </c>
      <c r="O190" s="190" t="e">
        <f>N190*(1+(((N190/K190)^(1/4))-1))*0.992</f>
        <v>#DIV/0!</v>
      </c>
      <c r="P190" s="190" t="e">
        <f>O190*(1+(((O190/L190)^(1/4))-1)*1.1)</f>
        <v>#DIV/0!</v>
      </c>
      <c r="Q190" s="190" t="e">
        <f>P190*(1+(((P190/M190)^(1/4))-1)*1.54)</f>
        <v>#DIV/0!</v>
      </c>
      <c r="R190" s="190" t="e">
        <f>Q190*(1+(((Q190/N190)^(1/4))-1)*1.54)</f>
        <v>#DIV/0!</v>
      </c>
      <c r="S190" s="1"/>
      <c r="T190" s="1"/>
      <c r="U190" s="1"/>
      <c r="V190" s="1"/>
      <c r="W190" s="1"/>
      <c r="X190" s="1"/>
      <c r="Y190" s="1"/>
      <c r="Z190" s="1"/>
      <c r="AA190" s="1"/>
      <c r="AB190" s="1"/>
      <c r="AC190" s="1"/>
    </row>
    <row r="191" spans="1:29" customFormat="1" ht="15" hidden="1" customHeight="1" outlineLevel="1">
      <c r="A191" s="1"/>
      <c r="B191" s="6"/>
      <c r="C191" s="174"/>
      <c r="D191" s="175" t="s">
        <v>41</v>
      </c>
      <c r="E191" s="34"/>
      <c r="F191" s="34"/>
      <c r="G191" s="174"/>
      <c r="H191" s="184" t="e">
        <f t="shared" ref="H191:M191" si="128">H99*1000/H181</f>
        <v>#DIV/0!</v>
      </c>
      <c r="I191" s="184" t="e">
        <f t="shared" si="128"/>
        <v>#DIV/0!</v>
      </c>
      <c r="J191" s="184" t="e">
        <f t="shared" si="128"/>
        <v>#DIV/0!</v>
      </c>
      <c r="K191" s="184" t="e">
        <f t="shared" si="128"/>
        <v>#DIV/0!</v>
      </c>
      <c r="L191" s="184" t="e">
        <f t="shared" si="128"/>
        <v>#DIV/0!</v>
      </c>
      <c r="M191" s="184" t="e">
        <f t="shared" si="128"/>
        <v>#DIV/0!</v>
      </c>
      <c r="N191" s="190" t="e">
        <f>M191*(1+(((M191/J191)^(1/4))-1)*0.7)</f>
        <v>#DIV/0!</v>
      </c>
      <c r="O191" s="190" t="e">
        <f>N191*(1+(((N191/K191)^(1/4))-1)*0.99)</f>
        <v>#DIV/0!</v>
      </c>
      <c r="P191" s="190" t="e">
        <f>O191*(1+(((O191/L191)^(1/4))-1)*0.8)</f>
        <v>#DIV/0!</v>
      </c>
      <c r="Q191" s="190" t="e">
        <f>P191*(1+(((P191/M191)^(1/4))-1))*1.021</f>
        <v>#DIV/0!</v>
      </c>
      <c r="R191" s="190" t="e">
        <f>Q191*(1+(((Q191/N191)^(1/4))-1)*1.28)</f>
        <v>#DIV/0!</v>
      </c>
      <c r="S191" s="1"/>
      <c r="T191" s="1"/>
      <c r="U191" s="1"/>
      <c r="V191" s="1"/>
      <c r="W191" s="1"/>
      <c r="X191" s="1"/>
      <c r="Y191" s="1"/>
      <c r="Z191" s="1"/>
      <c r="AA191" s="1"/>
      <c r="AB191" s="1"/>
      <c r="AC191" s="1"/>
    </row>
    <row r="192" spans="1:29" customFormat="1" ht="15" hidden="1" customHeight="1" outlineLevel="1">
      <c r="A192" s="1"/>
      <c r="B192" s="6"/>
      <c r="C192" s="174"/>
      <c r="D192" s="175" t="s">
        <v>42</v>
      </c>
      <c r="E192" s="34"/>
      <c r="F192" s="34"/>
      <c r="G192" s="174"/>
      <c r="H192" s="184" t="e">
        <f t="shared" ref="H192:M192" si="129">H101*1000/H183</f>
        <v>#DIV/0!</v>
      </c>
      <c r="I192" s="184" t="e">
        <f t="shared" si="129"/>
        <v>#DIV/0!</v>
      </c>
      <c r="J192" s="184" t="e">
        <f t="shared" si="129"/>
        <v>#DIV/0!</v>
      </c>
      <c r="K192" s="184" t="e">
        <f t="shared" si="129"/>
        <v>#DIV/0!</v>
      </c>
      <c r="L192" s="184" t="e">
        <f t="shared" si="129"/>
        <v>#DIV/0!</v>
      </c>
      <c r="M192" s="184" t="e">
        <f t="shared" si="129"/>
        <v>#DIV/0!</v>
      </c>
      <c r="N192" s="190" t="e">
        <f>M192*(1+(((M192/J192)^(1/4))-1))*1.044</f>
        <v>#DIV/0!</v>
      </c>
      <c r="O192" s="190" t="e">
        <f>N192*(1+(((N192/K192)^(1/4))-1)*3)</f>
        <v>#DIV/0!</v>
      </c>
      <c r="P192" s="190" t="e">
        <f>O192*(1+(((O192/L192)^(1/4))-1))*1.04</f>
        <v>#DIV/0!</v>
      </c>
      <c r="Q192" s="190" t="e">
        <f>P192*(1+(((P192/M192)^(1/4))-1)*1.2)</f>
        <v>#DIV/0!</v>
      </c>
      <c r="R192" s="190" t="e">
        <f>Q192*(1+(((Q192/N192)^(1/4))-1)*1.3)</f>
        <v>#DIV/0!</v>
      </c>
      <c r="S192" s="1"/>
      <c r="T192" s="1"/>
      <c r="U192" s="1"/>
      <c r="V192" s="1"/>
      <c r="W192" s="1"/>
      <c r="X192" s="1"/>
      <c r="Y192" s="1"/>
      <c r="Z192" s="1"/>
      <c r="AA192" s="1"/>
      <c r="AB192" s="1"/>
      <c r="AC192" s="1"/>
    </row>
    <row r="193" spans="1:16382" customFormat="1" hidden="1">
      <c r="A193" s="125" t="str">
        <f>'[7]Input sheet'!A80</f>
        <v>Turkey</v>
      </c>
      <c r="B193" s="125" t="str">
        <f>'[7]Input sheet'!B80</f>
        <v>Employment</v>
      </c>
      <c r="C193" s="134" t="str">
        <f>'[7]Input sheet'!C80</f>
        <v>Indirect Tourism Employment as a Percentage of Total Employment</v>
      </c>
      <c r="D193" s="135"/>
      <c r="E193" s="135"/>
      <c r="F193" s="135"/>
      <c r="G193" s="134" t="str">
        <f>'[7]Input sheet'!G80</f>
        <v>%</v>
      </c>
      <c r="H193" s="186" t="e">
        <f>H169/H$508</f>
        <v>#DIV/0!</v>
      </c>
      <c r="I193" s="186" t="e">
        <f>I169/I$508</f>
        <v>#DIV/0!</v>
      </c>
      <c r="J193" s="186" t="e">
        <f t="shared" ref="J193:R193" si="130">J169/J$508</f>
        <v>#DIV/0!</v>
      </c>
      <c r="K193" s="186" t="e">
        <f t="shared" si="130"/>
        <v>#DIV/0!</v>
      </c>
      <c r="L193" s="186" t="e">
        <f t="shared" si="130"/>
        <v>#DIV/0!</v>
      </c>
      <c r="M193" s="186" t="e">
        <f t="shared" si="130"/>
        <v>#DIV/0!</v>
      </c>
      <c r="N193" s="186" t="e">
        <f t="shared" si="130"/>
        <v>#DIV/0!</v>
      </c>
      <c r="O193" s="186" t="e">
        <f t="shared" si="130"/>
        <v>#DIV/0!</v>
      </c>
      <c r="P193" s="186" t="e">
        <f t="shared" si="130"/>
        <v>#DIV/0!</v>
      </c>
      <c r="Q193" s="186" t="e">
        <f t="shared" si="130"/>
        <v>#DIV/0!</v>
      </c>
      <c r="R193" s="186" t="e">
        <f t="shared" si="130"/>
        <v>#DIV/0!</v>
      </c>
      <c r="S193" s="125" t="e">
        <f>'[7]Input sheet'!R80</f>
        <v>#REF!</v>
      </c>
      <c r="T193" s="125" t="e">
        <f>'[7]Input sheet'!S80</f>
        <v>#REF!</v>
      </c>
      <c r="U193" s="134" t="str">
        <f>'[7]Input sheet'!T80</f>
        <v>(Total tourism employment - direct tourism employment)/total non-farm employment</v>
      </c>
      <c r="V193" s="135">
        <f>'[7]Input sheet'!U80</f>
        <v>0</v>
      </c>
      <c r="W193" s="135" t="e">
        <f>'[7]Input sheet'!W80</f>
        <v>#REF!</v>
      </c>
      <c r="X193" s="135" t="e">
        <f>'[7]Input sheet'!X80</f>
        <v>#REF!</v>
      </c>
      <c r="Y193" s="1"/>
      <c r="Z193" s="1"/>
      <c r="AA193" s="1"/>
      <c r="AB193" s="1"/>
      <c r="AC193" s="1"/>
      <c r="AO193" s="135"/>
      <c r="AP193" s="135"/>
      <c r="AQ193" s="173"/>
      <c r="AR193" s="173"/>
      <c r="AS193" s="173"/>
      <c r="AT193" s="173"/>
      <c r="AU193" s="173"/>
      <c r="AV193" s="173"/>
      <c r="AW193" s="173"/>
      <c r="AX193" s="173"/>
      <c r="AY193" s="173"/>
      <c r="AZ193" s="173"/>
      <c r="BA193" s="125"/>
      <c r="BB193" s="125"/>
      <c r="BC193" s="134"/>
      <c r="BD193" s="135"/>
      <c r="BE193" s="135"/>
      <c r="BF193" s="135"/>
      <c r="BG193" s="135"/>
      <c r="BH193" s="173"/>
      <c r="BI193" s="173"/>
      <c r="BJ193" s="173"/>
      <c r="BK193" s="173"/>
      <c r="BL193" s="173"/>
      <c r="BM193" s="173"/>
      <c r="BN193" s="173"/>
      <c r="BO193" s="173"/>
      <c r="BP193" s="173"/>
      <c r="BQ193" s="173"/>
      <c r="BR193" s="125"/>
      <c r="BS193" s="125"/>
      <c r="BT193" s="134"/>
      <c r="BU193" s="135"/>
      <c r="BV193" s="135"/>
      <c r="BW193" s="135"/>
      <c r="BX193" s="135"/>
      <c r="BY193" s="173"/>
      <c r="BZ193" s="173"/>
      <c r="CA193" s="173"/>
      <c r="CB193" s="173"/>
      <c r="CC193" s="173"/>
      <c r="CD193" s="173"/>
      <c r="CE193" s="173"/>
      <c r="CF193" s="173"/>
      <c r="CG193" s="173"/>
      <c r="CH193" s="173"/>
      <c r="CI193" s="125"/>
      <c r="CJ193" s="125"/>
      <c r="CK193" s="134"/>
      <c r="CL193" s="135"/>
      <c r="CM193" s="135"/>
      <c r="CN193" s="135"/>
      <c r="CO193" s="135"/>
      <c r="CP193" s="173"/>
      <c r="CQ193" s="173"/>
      <c r="CR193" s="173"/>
      <c r="CS193" s="173"/>
      <c r="CT193" s="173"/>
      <c r="CU193" s="173"/>
      <c r="CV193" s="173"/>
      <c r="CW193" s="173"/>
      <c r="CX193" s="173"/>
      <c r="CY193" s="173"/>
      <c r="CZ193" s="125"/>
      <c r="DA193" s="125"/>
      <c r="DB193" s="134"/>
      <c r="DC193" s="135"/>
      <c r="DD193" s="135"/>
      <c r="DE193" s="135"/>
      <c r="DF193" s="135"/>
      <c r="DG193" s="173"/>
      <c r="DH193" s="173"/>
      <c r="DI193" s="173"/>
      <c r="DJ193" s="173"/>
      <c r="DK193" s="173"/>
      <c r="DL193" s="173"/>
      <c r="DM193" s="173"/>
      <c r="DN193" s="173"/>
      <c r="DO193" s="173"/>
      <c r="DP193" s="173"/>
      <c r="DQ193" s="125"/>
      <c r="DR193" s="125"/>
      <c r="DS193" s="134"/>
      <c r="DT193" s="135"/>
      <c r="DU193" s="135"/>
      <c r="DV193" s="135"/>
      <c r="DW193" s="135"/>
      <c r="DX193" s="173"/>
      <c r="DY193" s="173"/>
      <c r="DZ193" s="173"/>
      <c r="EA193" s="173"/>
      <c r="EB193" s="173"/>
      <c r="EC193" s="173"/>
      <c r="ED193" s="173"/>
      <c r="EE193" s="173"/>
      <c r="EF193" s="173"/>
      <c r="EG193" s="173"/>
      <c r="EH193" s="125"/>
      <c r="EI193" s="125"/>
      <c r="EJ193" s="134"/>
      <c r="EK193" s="135"/>
      <c r="EL193" s="135"/>
      <c r="EM193" s="135"/>
      <c r="EN193" s="135"/>
      <c r="EO193" s="173"/>
      <c r="EP193" s="173"/>
      <c r="EQ193" s="173"/>
      <c r="ER193" s="173"/>
      <c r="ES193" s="173"/>
      <c r="ET193" s="173"/>
      <c r="EU193" s="173"/>
      <c r="EV193" s="173"/>
      <c r="EW193" s="173"/>
      <c r="EX193" s="173"/>
      <c r="EY193" s="125"/>
      <c r="EZ193" s="125"/>
      <c r="FA193" s="134"/>
      <c r="FB193" s="135"/>
      <c r="FC193" s="135"/>
      <c r="FD193" s="135"/>
      <c r="FE193" s="135"/>
      <c r="FF193" s="173"/>
      <c r="FG193" s="173"/>
      <c r="FH193" s="173"/>
      <c r="FI193" s="173"/>
      <c r="FJ193" s="173"/>
      <c r="FK193" s="173"/>
      <c r="FL193" s="173"/>
      <c r="FM193" s="173"/>
      <c r="FN193" s="173"/>
      <c r="FO193" s="173"/>
      <c r="FP193" s="125"/>
      <c r="FQ193" s="125"/>
      <c r="FR193" s="134"/>
      <c r="FS193" s="135"/>
      <c r="FT193" s="135"/>
      <c r="FU193" s="135"/>
      <c r="FV193" s="135"/>
      <c r="FW193" s="173"/>
      <c r="FX193" s="173"/>
      <c r="FY193" s="173"/>
      <c r="FZ193" s="173"/>
      <c r="GA193" s="173"/>
      <c r="GB193" s="173"/>
      <c r="GC193" s="173"/>
      <c r="GD193" s="173"/>
      <c r="GE193" s="173"/>
      <c r="GF193" s="173"/>
      <c r="GG193" s="125"/>
      <c r="GH193" s="125"/>
      <c r="GI193" s="134"/>
      <c r="GJ193" s="135"/>
      <c r="GK193" s="135"/>
      <c r="GL193" s="135"/>
      <c r="GM193" s="135"/>
      <c r="GN193" s="173"/>
      <c r="GO193" s="173"/>
      <c r="GP193" s="173"/>
      <c r="GQ193" s="173"/>
      <c r="GR193" s="173"/>
      <c r="GS193" s="173"/>
      <c r="GT193" s="173"/>
      <c r="GU193" s="173"/>
      <c r="GV193" s="173"/>
      <c r="GW193" s="173"/>
      <c r="GX193" s="125"/>
      <c r="GY193" s="125"/>
      <c r="GZ193" s="134"/>
      <c r="HA193" s="135"/>
      <c r="HB193" s="135"/>
      <c r="HC193" s="135"/>
      <c r="HD193" s="135"/>
      <c r="HE193" s="173"/>
      <c r="HF193" s="173"/>
      <c r="HG193" s="173"/>
      <c r="HH193" s="173"/>
      <c r="HI193" s="173"/>
      <c r="HJ193" s="173"/>
      <c r="HK193" s="173"/>
      <c r="HL193" s="173"/>
      <c r="HM193" s="173"/>
      <c r="HN193" s="173"/>
      <c r="HO193" s="125"/>
      <c r="HP193" s="125"/>
      <c r="HQ193" s="134"/>
      <c r="HR193" s="135"/>
      <c r="HS193" s="135"/>
      <c r="HT193" s="135"/>
      <c r="HU193" s="135"/>
      <c r="HV193" s="173"/>
      <c r="HW193" s="173"/>
      <c r="HX193" s="173"/>
      <c r="HY193" s="173"/>
      <c r="HZ193" s="173"/>
      <c r="IA193" s="173"/>
      <c r="IB193" s="173"/>
      <c r="IC193" s="173"/>
      <c r="ID193" s="173"/>
      <c r="IE193" s="173"/>
      <c r="IF193" s="125"/>
      <c r="IG193" s="125"/>
      <c r="IH193" s="134"/>
      <c r="II193" s="135"/>
      <c r="IJ193" s="135"/>
      <c r="IK193" s="135"/>
      <c r="IL193" s="135"/>
      <c r="IM193" s="173"/>
      <c r="IN193" s="173"/>
      <c r="IO193" s="173"/>
      <c r="IP193" s="173"/>
      <c r="IQ193" s="173"/>
      <c r="IR193" s="173"/>
      <c r="IS193" s="173"/>
      <c r="IT193" s="173"/>
      <c r="IU193" s="173"/>
      <c r="IV193" s="173"/>
      <c r="IW193" s="125"/>
      <c r="IX193" s="125"/>
      <c r="IY193" s="134"/>
      <c r="IZ193" s="135"/>
      <c r="JA193" s="135"/>
      <c r="JB193" s="135"/>
      <c r="JC193" s="135"/>
      <c r="JD193" s="173"/>
      <c r="JE193" s="173"/>
      <c r="JF193" s="173"/>
      <c r="JG193" s="173"/>
      <c r="JH193" s="173"/>
      <c r="JI193" s="173"/>
      <c r="JJ193" s="173"/>
      <c r="JK193" s="173"/>
      <c r="JL193" s="173"/>
      <c r="JM193" s="173"/>
      <c r="JN193" s="125"/>
      <c r="JO193" s="125"/>
      <c r="JP193" s="134"/>
      <c r="JQ193" s="135"/>
      <c r="JR193" s="135"/>
      <c r="JS193" s="135"/>
      <c r="JT193" s="135"/>
      <c r="JU193" s="173"/>
      <c r="JV193" s="173"/>
      <c r="JW193" s="173"/>
      <c r="JX193" s="173"/>
      <c r="JY193" s="173"/>
      <c r="JZ193" s="173"/>
      <c r="KA193" s="173"/>
      <c r="KB193" s="173"/>
      <c r="KC193" s="173"/>
      <c r="KD193" s="173"/>
      <c r="KE193" s="125"/>
      <c r="KF193" s="125"/>
      <c r="KG193" s="134"/>
      <c r="KH193" s="135"/>
      <c r="KI193" s="135"/>
      <c r="KJ193" s="135"/>
      <c r="KK193" s="135"/>
      <c r="KL193" s="173"/>
      <c r="KM193" s="173"/>
      <c r="KN193" s="173"/>
      <c r="KO193" s="173"/>
      <c r="KP193" s="173"/>
      <c r="KQ193" s="173"/>
      <c r="KR193" s="173"/>
      <c r="KS193" s="173"/>
      <c r="KT193" s="173"/>
      <c r="KU193" s="173"/>
      <c r="KV193" s="125"/>
      <c r="KW193" s="125"/>
      <c r="KX193" s="134"/>
      <c r="KY193" s="135"/>
      <c r="KZ193" s="135"/>
      <c r="LA193" s="135"/>
      <c r="LB193" s="135"/>
      <c r="LC193" s="173"/>
      <c r="LD193" s="173"/>
      <c r="LE193" s="173"/>
      <c r="LF193" s="173"/>
      <c r="LG193" s="173"/>
      <c r="LH193" s="173"/>
      <c r="LI193" s="173"/>
      <c r="LJ193" s="173"/>
      <c r="LK193" s="173"/>
      <c r="LL193" s="173"/>
      <c r="LM193" s="125"/>
      <c r="LN193" s="125"/>
      <c r="LO193" s="134"/>
      <c r="LP193" s="135"/>
      <c r="LQ193" s="135"/>
      <c r="LR193" s="135"/>
      <c r="LS193" s="135"/>
      <c r="LT193" s="173"/>
      <c r="LU193" s="173"/>
      <c r="LV193" s="173"/>
      <c r="LW193" s="173"/>
      <c r="LX193" s="173"/>
      <c r="LY193" s="173"/>
      <c r="LZ193" s="173"/>
      <c r="MA193" s="173"/>
      <c r="MB193" s="173"/>
      <c r="MC193" s="173"/>
      <c r="MD193" s="125"/>
      <c r="ME193" s="125"/>
      <c r="MF193" s="134"/>
      <c r="MG193" s="135"/>
      <c r="MH193" s="135"/>
      <c r="MI193" s="135"/>
      <c r="MJ193" s="135"/>
      <c r="MK193" s="173"/>
      <c r="ML193" s="173"/>
      <c r="MM193" s="173"/>
      <c r="MN193" s="173"/>
      <c r="MO193" s="173"/>
      <c r="MP193" s="173"/>
      <c r="MQ193" s="173"/>
      <c r="MR193" s="173"/>
      <c r="MS193" s="173"/>
      <c r="MT193" s="173"/>
      <c r="MU193" s="125"/>
      <c r="MV193" s="125"/>
      <c r="MW193" s="134"/>
      <c r="MX193" s="135"/>
      <c r="MY193" s="135"/>
      <c r="MZ193" s="135"/>
      <c r="NA193" s="135"/>
      <c r="NB193" s="173"/>
      <c r="NC193" s="173"/>
      <c r="ND193" s="173"/>
      <c r="NE193" s="173"/>
      <c r="NF193" s="173"/>
      <c r="NG193" s="173"/>
      <c r="NH193" s="173"/>
      <c r="NI193" s="173"/>
      <c r="NJ193" s="173"/>
      <c r="NK193" s="173"/>
      <c r="NL193" s="125"/>
      <c r="NM193" s="125"/>
      <c r="NN193" s="134"/>
      <c r="NO193" s="135"/>
      <c r="NP193" s="135"/>
      <c r="NQ193" s="135"/>
      <c r="NR193" s="135"/>
      <c r="NS193" s="173"/>
      <c r="NT193" s="173"/>
      <c r="NU193" s="173"/>
      <c r="NV193" s="173"/>
      <c r="NW193" s="173"/>
      <c r="NX193" s="173"/>
      <c r="NY193" s="173"/>
      <c r="NZ193" s="173"/>
      <c r="OA193" s="173"/>
      <c r="OB193" s="173"/>
      <c r="OC193" s="125"/>
      <c r="OD193" s="125"/>
      <c r="OE193" s="134"/>
      <c r="OF193" s="135"/>
      <c r="OG193" s="135"/>
      <c r="OH193" s="135"/>
      <c r="OI193" s="135"/>
      <c r="OJ193" s="173"/>
      <c r="OK193" s="173"/>
      <c r="OL193" s="173"/>
      <c r="OM193" s="173"/>
      <c r="ON193" s="173"/>
      <c r="OO193" s="173"/>
      <c r="OP193" s="173"/>
      <c r="OQ193" s="173"/>
      <c r="OR193" s="173"/>
      <c r="OS193" s="173"/>
      <c r="OT193" s="125"/>
      <c r="OU193" s="125"/>
      <c r="OV193" s="134"/>
      <c r="OW193" s="135"/>
      <c r="OX193" s="135"/>
      <c r="OY193" s="135"/>
      <c r="OZ193" s="135"/>
      <c r="PA193" s="173"/>
      <c r="PB193" s="173"/>
      <c r="PC193" s="173"/>
      <c r="PD193" s="173"/>
      <c r="PE193" s="173"/>
      <c r="PF193" s="173"/>
      <c r="PG193" s="173"/>
      <c r="PH193" s="173"/>
      <c r="PI193" s="173"/>
      <c r="PJ193" s="173"/>
      <c r="PK193" s="125"/>
      <c r="PL193" s="125"/>
      <c r="PM193" s="134"/>
      <c r="PN193" s="135"/>
      <c r="PO193" s="135"/>
      <c r="PP193" s="135"/>
      <c r="PQ193" s="135"/>
      <c r="PR193" s="173"/>
      <c r="PS193" s="173"/>
      <c r="PT193" s="173"/>
      <c r="PU193" s="173"/>
      <c r="PV193" s="173"/>
      <c r="PW193" s="173"/>
      <c r="PX193" s="173"/>
      <c r="PY193" s="173"/>
      <c r="PZ193" s="173"/>
      <c r="QA193" s="173"/>
      <c r="QB193" s="125"/>
      <c r="QC193" s="125"/>
      <c r="QD193" s="134"/>
      <c r="QE193" s="135"/>
      <c r="QF193" s="135"/>
      <c r="QG193" s="135"/>
      <c r="QH193" s="135"/>
      <c r="QI193" s="173"/>
      <c r="QJ193" s="173"/>
      <c r="QK193" s="173"/>
      <c r="QL193" s="173"/>
      <c r="QM193" s="173"/>
      <c r="QN193" s="173"/>
      <c r="QO193" s="173"/>
      <c r="QP193" s="173"/>
      <c r="QQ193" s="173"/>
      <c r="QR193" s="173"/>
      <c r="QS193" s="125"/>
      <c r="QT193" s="125"/>
      <c r="QU193" s="134"/>
      <c r="QV193" s="135"/>
      <c r="QW193" s="135"/>
      <c r="QX193" s="135"/>
      <c r="QY193" s="135"/>
      <c r="QZ193" s="173"/>
      <c r="RA193" s="173"/>
      <c r="RB193" s="173"/>
      <c r="RC193" s="173"/>
      <c r="RD193" s="173"/>
      <c r="RE193" s="173"/>
      <c r="RF193" s="173"/>
      <c r="RG193" s="173"/>
      <c r="RH193" s="173"/>
      <c r="RI193" s="173"/>
      <c r="RJ193" s="125"/>
      <c r="RK193" s="125"/>
      <c r="RL193" s="134"/>
      <c r="RM193" s="135"/>
      <c r="RN193" s="135"/>
      <c r="RO193" s="135"/>
      <c r="RP193" s="135"/>
      <c r="RQ193" s="173"/>
      <c r="RR193" s="173"/>
      <c r="RS193" s="173"/>
      <c r="RT193" s="173"/>
      <c r="RU193" s="173"/>
      <c r="RV193" s="173"/>
      <c r="RW193" s="173"/>
      <c r="RX193" s="173"/>
      <c r="RY193" s="173"/>
      <c r="RZ193" s="173"/>
      <c r="SA193" s="125"/>
      <c r="SB193" s="125"/>
      <c r="SC193" s="134"/>
      <c r="SD193" s="135"/>
      <c r="SE193" s="135"/>
      <c r="SF193" s="135"/>
      <c r="SG193" s="135"/>
      <c r="SH193" s="173"/>
      <c r="SI193" s="173"/>
      <c r="SJ193" s="173"/>
      <c r="SK193" s="173"/>
      <c r="SL193" s="173"/>
      <c r="SM193" s="173"/>
      <c r="SN193" s="173"/>
      <c r="SO193" s="173"/>
      <c r="SP193" s="173"/>
      <c r="SQ193" s="173"/>
      <c r="SR193" s="125"/>
      <c r="SS193" s="125"/>
      <c r="ST193" s="134"/>
      <c r="SU193" s="135"/>
      <c r="SV193" s="135"/>
      <c r="SW193" s="135"/>
      <c r="SX193" s="135"/>
      <c r="SY193" s="173"/>
      <c r="SZ193" s="173"/>
      <c r="TA193" s="173"/>
      <c r="TB193" s="173"/>
      <c r="TC193" s="173"/>
      <c r="TD193" s="173"/>
      <c r="TE193" s="173"/>
      <c r="TF193" s="173"/>
      <c r="TG193" s="173"/>
      <c r="TH193" s="173"/>
      <c r="TI193" s="125"/>
      <c r="TJ193" s="125"/>
      <c r="TK193" s="134"/>
      <c r="TL193" s="135"/>
      <c r="TM193" s="135"/>
      <c r="TN193" s="135"/>
      <c r="TO193" s="135"/>
      <c r="TP193" s="173"/>
      <c r="TQ193" s="173"/>
      <c r="TR193" s="173"/>
      <c r="TS193" s="173"/>
      <c r="TT193" s="173"/>
      <c r="TU193" s="173"/>
      <c r="TV193" s="173"/>
      <c r="TW193" s="173"/>
      <c r="TX193" s="173"/>
      <c r="TY193" s="173"/>
      <c r="TZ193" s="125"/>
      <c r="UA193" s="125"/>
      <c r="UB193" s="134"/>
      <c r="UC193" s="135"/>
      <c r="UD193" s="135"/>
      <c r="UE193" s="135"/>
      <c r="UF193" s="135"/>
      <c r="UG193" s="173"/>
      <c r="UH193" s="173"/>
      <c r="UI193" s="173"/>
      <c r="UJ193" s="173"/>
      <c r="UK193" s="173"/>
      <c r="UL193" s="173"/>
      <c r="UM193" s="173"/>
      <c r="UN193" s="173"/>
      <c r="UO193" s="173"/>
      <c r="UP193" s="173"/>
      <c r="UQ193" s="125"/>
      <c r="UR193" s="125"/>
      <c r="US193" s="134"/>
      <c r="UT193" s="135"/>
      <c r="UU193" s="135"/>
      <c r="UV193" s="135"/>
      <c r="UW193" s="135"/>
      <c r="UX193" s="173"/>
      <c r="UY193" s="173"/>
      <c r="UZ193" s="173"/>
      <c r="VA193" s="173"/>
      <c r="VB193" s="173"/>
      <c r="VC193" s="173"/>
      <c r="VD193" s="173"/>
      <c r="VE193" s="173"/>
      <c r="VF193" s="173"/>
      <c r="VG193" s="173"/>
      <c r="VH193" s="125"/>
      <c r="VI193" s="125"/>
      <c r="VJ193" s="134"/>
      <c r="VK193" s="135"/>
      <c r="VL193" s="135"/>
      <c r="VM193" s="135"/>
      <c r="VN193" s="135"/>
      <c r="VO193" s="173"/>
      <c r="VP193" s="173"/>
      <c r="VQ193" s="173"/>
      <c r="VR193" s="173"/>
      <c r="VS193" s="173"/>
      <c r="VT193" s="173"/>
      <c r="VU193" s="173"/>
      <c r="VV193" s="173"/>
      <c r="VW193" s="173"/>
      <c r="VX193" s="173"/>
      <c r="VY193" s="125"/>
      <c r="VZ193" s="125"/>
      <c r="WA193" s="134"/>
      <c r="WB193" s="135"/>
      <c r="WC193" s="135"/>
      <c r="WD193" s="135"/>
      <c r="WE193" s="135"/>
      <c r="WF193" s="173"/>
      <c r="WG193" s="173"/>
      <c r="WH193" s="173"/>
      <c r="WI193" s="173"/>
      <c r="WJ193" s="173"/>
      <c r="WK193" s="173"/>
      <c r="WL193" s="173"/>
      <c r="WM193" s="173"/>
      <c r="WN193" s="173"/>
      <c r="WO193" s="173"/>
      <c r="WP193" s="125"/>
      <c r="WQ193" s="125"/>
      <c r="WR193" s="134"/>
      <c r="WS193" s="135"/>
      <c r="WT193" s="135"/>
      <c r="WU193" s="135"/>
      <c r="WV193" s="135"/>
      <c r="WW193" s="173"/>
      <c r="WX193" s="173"/>
      <c r="WY193" s="173"/>
      <c r="WZ193" s="173"/>
      <c r="XA193" s="173"/>
      <c r="XB193" s="173"/>
      <c r="XC193" s="173"/>
      <c r="XD193" s="173"/>
      <c r="XE193" s="173"/>
      <c r="XF193" s="173"/>
      <c r="XG193" s="125"/>
      <c r="XH193" s="125"/>
      <c r="XI193" s="134"/>
      <c r="XJ193" s="135"/>
      <c r="XK193" s="135"/>
      <c r="XL193" s="135"/>
      <c r="XM193" s="135"/>
      <c r="XN193" s="173"/>
      <c r="XO193" s="173"/>
      <c r="XP193" s="173"/>
      <c r="XQ193" s="173"/>
      <c r="XR193" s="173"/>
      <c r="XS193" s="173"/>
      <c r="XT193" s="173"/>
      <c r="XU193" s="173"/>
      <c r="XV193" s="173"/>
      <c r="XW193" s="173"/>
      <c r="XX193" s="125"/>
      <c r="XY193" s="125"/>
      <c r="XZ193" s="134"/>
      <c r="YA193" s="135"/>
      <c r="YB193" s="135"/>
      <c r="YC193" s="135"/>
      <c r="YD193" s="135"/>
      <c r="YE193" s="173"/>
      <c r="YF193" s="173"/>
      <c r="YG193" s="173"/>
      <c r="YH193" s="173"/>
      <c r="YI193" s="173"/>
      <c r="YJ193" s="173"/>
      <c r="YK193" s="173"/>
      <c r="YL193" s="173"/>
      <c r="YM193" s="173"/>
      <c r="YN193" s="173"/>
      <c r="YO193" s="125"/>
      <c r="YP193" s="125"/>
      <c r="YQ193" s="134"/>
      <c r="YR193" s="135"/>
      <c r="YS193" s="135"/>
      <c r="YT193" s="135"/>
      <c r="YU193" s="135"/>
      <c r="YV193" s="173"/>
      <c r="YW193" s="173"/>
      <c r="YX193" s="173"/>
      <c r="YY193" s="173"/>
      <c r="YZ193" s="173"/>
      <c r="ZA193" s="173"/>
      <c r="ZB193" s="173"/>
      <c r="ZC193" s="173"/>
      <c r="ZD193" s="173"/>
      <c r="ZE193" s="173"/>
      <c r="ZF193" s="125"/>
      <c r="ZG193" s="125"/>
      <c r="ZH193" s="134"/>
      <c r="ZI193" s="135"/>
      <c r="ZJ193" s="135"/>
      <c r="ZK193" s="135"/>
      <c r="ZL193" s="135"/>
      <c r="ZM193" s="173"/>
      <c r="ZN193" s="173"/>
      <c r="ZO193" s="173"/>
      <c r="ZP193" s="173"/>
      <c r="ZQ193" s="173"/>
      <c r="ZR193" s="173"/>
      <c r="ZS193" s="173"/>
      <c r="ZT193" s="173"/>
      <c r="ZU193" s="173"/>
      <c r="ZV193" s="173"/>
      <c r="ZW193" s="125"/>
      <c r="ZX193" s="125"/>
      <c r="ZY193" s="134"/>
      <c r="ZZ193" s="135"/>
      <c r="AAA193" s="135"/>
      <c r="AAB193" s="135"/>
      <c r="AAC193" s="135"/>
      <c r="AAD193" s="173"/>
      <c r="AAE193" s="173"/>
      <c r="AAF193" s="173"/>
      <c r="AAG193" s="173"/>
      <c r="AAH193" s="173"/>
      <c r="AAI193" s="173"/>
      <c r="AAJ193" s="173"/>
      <c r="AAK193" s="173"/>
      <c r="AAL193" s="173"/>
      <c r="AAM193" s="173"/>
      <c r="AAN193" s="125"/>
      <c r="AAO193" s="125"/>
      <c r="AAP193" s="134"/>
      <c r="AAQ193" s="135"/>
      <c r="AAR193" s="135"/>
      <c r="AAS193" s="135"/>
      <c r="AAT193" s="135"/>
      <c r="AAU193" s="173"/>
      <c r="AAV193" s="173"/>
      <c r="AAW193" s="173"/>
      <c r="AAX193" s="173"/>
      <c r="AAY193" s="173"/>
      <c r="AAZ193" s="173"/>
      <c r="ABA193" s="173"/>
      <c r="ABB193" s="173"/>
      <c r="ABC193" s="173"/>
      <c r="ABD193" s="173"/>
      <c r="ABE193" s="125"/>
      <c r="ABF193" s="125"/>
      <c r="ABG193" s="134"/>
      <c r="ABH193" s="135"/>
      <c r="ABI193" s="135"/>
      <c r="ABJ193" s="135"/>
      <c r="ABK193" s="135"/>
      <c r="ABL193" s="173"/>
      <c r="ABM193" s="173"/>
      <c r="ABN193" s="173"/>
      <c r="ABO193" s="173"/>
      <c r="ABP193" s="173"/>
      <c r="ABQ193" s="173"/>
      <c r="ABR193" s="173"/>
      <c r="ABS193" s="173"/>
      <c r="ABT193" s="173"/>
      <c r="ABU193" s="173"/>
      <c r="ABV193" s="125"/>
      <c r="ABW193" s="125"/>
      <c r="ABX193" s="134"/>
      <c r="ABY193" s="135"/>
      <c r="ABZ193" s="135"/>
      <c r="ACA193" s="135"/>
      <c r="ACB193" s="135"/>
      <c r="ACC193" s="173"/>
      <c r="ACD193" s="173"/>
      <c r="ACE193" s="173"/>
      <c r="ACF193" s="173"/>
      <c r="ACG193" s="173"/>
      <c r="ACH193" s="173"/>
      <c r="ACI193" s="173"/>
      <c r="ACJ193" s="173"/>
      <c r="ACK193" s="173"/>
      <c r="ACL193" s="173"/>
      <c r="ACM193" s="125"/>
      <c r="ACN193" s="125"/>
      <c r="ACO193" s="134"/>
      <c r="ACP193" s="135"/>
      <c r="ACQ193" s="135"/>
      <c r="ACR193" s="135"/>
      <c r="ACS193" s="135"/>
      <c r="ACT193" s="173"/>
      <c r="ACU193" s="173"/>
      <c r="ACV193" s="173"/>
      <c r="ACW193" s="173"/>
      <c r="ACX193" s="173"/>
      <c r="ACY193" s="173"/>
      <c r="ACZ193" s="173"/>
      <c r="ADA193" s="173"/>
      <c r="ADB193" s="173"/>
      <c r="ADC193" s="173"/>
      <c r="ADD193" s="125"/>
      <c r="ADE193" s="125"/>
      <c r="ADF193" s="134"/>
      <c r="ADG193" s="135"/>
      <c r="ADH193" s="135"/>
      <c r="ADI193" s="135"/>
      <c r="ADJ193" s="135"/>
      <c r="ADK193" s="173"/>
      <c r="ADL193" s="173"/>
      <c r="ADM193" s="173"/>
      <c r="ADN193" s="173"/>
      <c r="ADO193" s="173"/>
      <c r="ADP193" s="173"/>
      <c r="ADQ193" s="173"/>
      <c r="ADR193" s="173"/>
      <c r="ADS193" s="173"/>
      <c r="ADT193" s="173"/>
      <c r="ADU193" s="125"/>
      <c r="ADV193" s="125"/>
      <c r="ADW193" s="134"/>
      <c r="ADX193" s="135"/>
      <c r="ADY193" s="135"/>
      <c r="ADZ193" s="135"/>
      <c r="AEA193" s="135"/>
      <c r="AEB193" s="173"/>
      <c r="AEC193" s="173"/>
      <c r="AED193" s="173"/>
      <c r="AEE193" s="173"/>
      <c r="AEF193" s="173"/>
      <c r="AEG193" s="173"/>
      <c r="AEH193" s="173"/>
      <c r="AEI193" s="173"/>
      <c r="AEJ193" s="173"/>
      <c r="AEK193" s="173"/>
      <c r="AEL193" s="125"/>
      <c r="AEM193" s="125"/>
      <c r="AEN193" s="134"/>
      <c r="AEO193" s="135"/>
      <c r="AEP193" s="135"/>
      <c r="AEQ193" s="135"/>
      <c r="AER193" s="135"/>
      <c r="AES193" s="173"/>
      <c r="AET193" s="173"/>
      <c r="AEU193" s="173"/>
      <c r="AEV193" s="173"/>
      <c r="AEW193" s="173"/>
      <c r="AEX193" s="173"/>
      <c r="AEY193" s="173"/>
      <c r="AEZ193" s="173"/>
      <c r="AFA193" s="173"/>
      <c r="AFB193" s="173"/>
      <c r="AFC193" s="125"/>
      <c r="AFD193" s="125"/>
      <c r="AFE193" s="134"/>
      <c r="AFF193" s="135"/>
      <c r="AFG193" s="135"/>
      <c r="AFH193" s="135"/>
      <c r="AFI193" s="135"/>
      <c r="AFJ193" s="173"/>
      <c r="AFK193" s="173"/>
      <c r="AFL193" s="173"/>
      <c r="AFM193" s="173"/>
      <c r="AFN193" s="173"/>
      <c r="AFO193" s="173"/>
      <c r="AFP193" s="173"/>
      <c r="AFQ193" s="173"/>
      <c r="AFR193" s="173"/>
      <c r="AFS193" s="173"/>
      <c r="AFT193" s="125"/>
      <c r="AFU193" s="125"/>
      <c r="AFV193" s="134"/>
      <c r="AFW193" s="135"/>
      <c r="AFX193" s="135"/>
      <c r="AFY193" s="135"/>
      <c r="AFZ193" s="135"/>
      <c r="AGA193" s="173"/>
      <c r="AGB193" s="173"/>
      <c r="AGC193" s="173"/>
      <c r="AGD193" s="173"/>
      <c r="AGE193" s="173"/>
      <c r="AGF193" s="173"/>
      <c r="AGG193" s="173"/>
      <c r="AGH193" s="173"/>
      <c r="AGI193" s="173"/>
      <c r="AGJ193" s="173"/>
      <c r="AGK193" s="125"/>
      <c r="AGL193" s="125"/>
      <c r="AGM193" s="134"/>
      <c r="AGN193" s="135"/>
      <c r="AGO193" s="135"/>
      <c r="AGP193" s="135"/>
      <c r="AGQ193" s="135"/>
      <c r="AGR193" s="173"/>
      <c r="AGS193" s="173"/>
      <c r="AGT193" s="173"/>
      <c r="AGU193" s="173"/>
      <c r="AGV193" s="173"/>
      <c r="AGW193" s="173"/>
      <c r="AGX193" s="173"/>
      <c r="AGY193" s="173"/>
      <c r="AGZ193" s="173"/>
      <c r="AHA193" s="173"/>
      <c r="AHB193" s="125"/>
      <c r="AHC193" s="125"/>
      <c r="AHD193" s="134"/>
      <c r="AHE193" s="135"/>
      <c r="AHF193" s="135"/>
      <c r="AHG193" s="135"/>
      <c r="AHH193" s="135"/>
      <c r="AHI193" s="173"/>
      <c r="AHJ193" s="173"/>
      <c r="AHK193" s="173"/>
      <c r="AHL193" s="173"/>
      <c r="AHM193" s="173"/>
      <c r="AHN193" s="173"/>
      <c r="AHO193" s="173"/>
      <c r="AHP193" s="173"/>
      <c r="AHQ193" s="173"/>
      <c r="AHR193" s="173"/>
      <c r="AHS193" s="125"/>
      <c r="AHT193" s="125"/>
      <c r="AHU193" s="134"/>
      <c r="AHV193" s="135"/>
      <c r="AHW193" s="135"/>
      <c r="AHX193" s="135"/>
      <c r="AHY193" s="135"/>
      <c r="AHZ193" s="173"/>
      <c r="AIA193" s="173"/>
      <c r="AIB193" s="173"/>
      <c r="AIC193" s="173"/>
      <c r="AID193" s="173"/>
      <c r="AIE193" s="173"/>
      <c r="AIF193" s="173"/>
      <c r="AIG193" s="173"/>
      <c r="AIH193" s="173"/>
      <c r="AII193" s="173"/>
      <c r="AIJ193" s="125"/>
      <c r="AIK193" s="125"/>
      <c r="AIL193" s="134"/>
      <c r="AIM193" s="135"/>
      <c r="AIN193" s="135"/>
      <c r="AIO193" s="135"/>
      <c r="AIP193" s="135"/>
      <c r="AIQ193" s="173"/>
      <c r="AIR193" s="173"/>
      <c r="AIS193" s="173"/>
      <c r="AIT193" s="173"/>
      <c r="AIU193" s="173"/>
      <c r="AIV193" s="173"/>
      <c r="AIW193" s="173"/>
      <c r="AIX193" s="173"/>
      <c r="AIY193" s="173"/>
      <c r="AIZ193" s="173"/>
      <c r="AJA193" s="125"/>
      <c r="AJB193" s="125"/>
      <c r="AJC193" s="134"/>
      <c r="AJD193" s="135"/>
      <c r="AJE193" s="135"/>
      <c r="AJF193" s="135"/>
      <c r="AJG193" s="135"/>
      <c r="AJH193" s="173"/>
      <c r="AJI193" s="173"/>
      <c r="AJJ193" s="173"/>
      <c r="AJK193" s="173"/>
      <c r="AJL193" s="173"/>
      <c r="AJM193" s="173"/>
      <c r="AJN193" s="173"/>
      <c r="AJO193" s="173"/>
      <c r="AJP193" s="173"/>
      <c r="AJQ193" s="173"/>
      <c r="AJR193" s="125"/>
      <c r="AJS193" s="125"/>
      <c r="AJT193" s="134"/>
      <c r="AJU193" s="135"/>
      <c r="AJV193" s="135"/>
      <c r="AJW193" s="135"/>
      <c r="AJX193" s="135"/>
      <c r="AJY193" s="173"/>
      <c r="AJZ193" s="173"/>
      <c r="AKA193" s="173"/>
      <c r="AKB193" s="173"/>
      <c r="AKC193" s="173"/>
      <c r="AKD193" s="173"/>
      <c r="AKE193" s="173"/>
      <c r="AKF193" s="173"/>
      <c r="AKG193" s="173"/>
      <c r="AKH193" s="173"/>
      <c r="AKI193" s="125"/>
      <c r="AKJ193" s="125"/>
      <c r="AKK193" s="134"/>
      <c r="AKL193" s="135"/>
      <c r="AKM193" s="135"/>
      <c r="AKN193" s="135"/>
      <c r="AKO193" s="135"/>
      <c r="AKP193" s="173"/>
      <c r="AKQ193" s="173"/>
      <c r="AKR193" s="173"/>
      <c r="AKS193" s="173"/>
      <c r="AKT193" s="173"/>
      <c r="AKU193" s="173"/>
      <c r="AKV193" s="173"/>
      <c r="AKW193" s="173"/>
      <c r="AKX193" s="173"/>
      <c r="AKY193" s="173"/>
      <c r="AKZ193" s="125"/>
      <c r="ALA193" s="125"/>
      <c r="ALB193" s="134"/>
      <c r="ALC193" s="135"/>
      <c r="ALD193" s="135"/>
      <c r="ALE193" s="135"/>
      <c r="ALF193" s="135"/>
      <c r="ALG193" s="173"/>
      <c r="ALH193" s="173"/>
      <c r="ALI193" s="173"/>
      <c r="ALJ193" s="173"/>
      <c r="ALK193" s="173"/>
      <c r="ALL193" s="173"/>
      <c r="ALM193" s="173"/>
      <c r="ALN193" s="173"/>
      <c r="ALO193" s="173"/>
      <c r="ALP193" s="173"/>
      <c r="ALQ193" s="125"/>
      <c r="ALR193" s="125"/>
      <c r="ALS193" s="134"/>
      <c r="ALT193" s="135"/>
      <c r="ALU193" s="135"/>
      <c r="ALV193" s="135"/>
      <c r="ALW193" s="135"/>
      <c r="ALX193" s="173"/>
      <c r="ALY193" s="173"/>
      <c r="ALZ193" s="173"/>
      <c r="AMA193" s="173"/>
      <c r="AMB193" s="173"/>
      <c r="AMC193" s="173"/>
      <c r="AMD193" s="173"/>
      <c r="AME193" s="173"/>
      <c r="AMF193" s="173"/>
      <c r="AMG193" s="173"/>
      <c r="AMH193" s="125"/>
      <c r="AMI193" s="125"/>
      <c r="AMJ193" s="134"/>
      <c r="AMK193" s="135"/>
      <c r="AML193" s="135"/>
      <c r="AMM193" s="135"/>
      <c r="AMN193" s="135"/>
      <c r="AMO193" s="173"/>
      <c r="AMP193" s="173"/>
      <c r="AMQ193" s="173"/>
      <c r="AMR193" s="173"/>
      <c r="AMS193" s="173"/>
      <c r="AMT193" s="173"/>
      <c r="AMU193" s="173"/>
      <c r="AMV193" s="173"/>
      <c r="AMW193" s="173"/>
      <c r="AMX193" s="173"/>
      <c r="AMY193" s="125"/>
      <c r="AMZ193" s="125"/>
      <c r="ANA193" s="134"/>
      <c r="ANB193" s="135"/>
      <c r="ANC193" s="135"/>
      <c r="AND193" s="135"/>
      <c r="ANE193" s="135"/>
      <c r="ANF193" s="173"/>
      <c r="ANG193" s="173"/>
      <c r="ANH193" s="173"/>
      <c r="ANI193" s="173"/>
      <c r="ANJ193" s="173"/>
      <c r="ANK193" s="173"/>
      <c r="ANL193" s="173"/>
      <c r="ANM193" s="173"/>
      <c r="ANN193" s="173"/>
      <c r="ANO193" s="173"/>
      <c r="ANP193" s="125"/>
      <c r="ANQ193" s="125"/>
      <c r="ANR193" s="134"/>
      <c r="ANS193" s="135"/>
      <c r="ANT193" s="135"/>
      <c r="ANU193" s="135"/>
      <c r="ANV193" s="135"/>
      <c r="ANW193" s="173"/>
      <c r="ANX193" s="173"/>
      <c r="ANY193" s="173"/>
      <c r="ANZ193" s="173"/>
      <c r="AOA193" s="173"/>
      <c r="AOB193" s="173"/>
      <c r="AOC193" s="173"/>
      <c r="AOD193" s="173"/>
      <c r="AOE193" s="173"/>
      <c r="AOF193" s="173"/>
      <c r="AOG193" s="125"/>
      <c r="AOH193" s="125"/>
      <c r="AOI193" s="134"/>
      <c r="AOJ193" s="135"/>
      <c r="AOK193" s="135"/>
      <c r="AOL193" s="135"/>
      <c r="AOM193" s="135"/>
      <c r="AON193" s="173"/>
      <c r="AOO193" s="173"/>
      <c r="AOP193" s="173"/>
      <c r="AOQ193" s="173"/>
      <c r="AOR193" s="173"/>
      <c r="AOS193" s="173"/>
      <c r="AOT193" s="173"/>
      <c r="AOU193" s="173"/>
      <c r="AOV193" s="173"/>
      <c r="AOW193" s="173"/>
      <c r="AOX193" s="125"/>
      <c r="AOY193" s="125"/>
      <c r="AOZ193" s="134"/>
      <c r="APA193" s="135"/>
      <c r="APB193" s="135"/>
      <c r="APC193" s="135"/>
      <c r="APD193" s="135"/>
      <c r="APE193" s="173"/>
      <c r="APF193" s="173"/>
      <c r="APG193" s="173"/>
      <c r="APH193" s="173"/>
      <c r="API193" s="173"/>
      <c r="APJ193" s="173"/>
      <c r="APK193" s="173"/>
      <c r="APL193" s="173"/>
      <c r="APM193" s="173"/>
      <c r="APN193" s="173"/>
      <c r="APO193" s="125"/>
      <c r="APP193" s="125"/>
      <c r="APQ193" s="134"/>
      <c r="APR193" s="135"/>
      <c r="APS193" s="135"/>
      <c r="APT193" s="135"/>
      <c r="APU193" s="135"/>
      <c r="APV193" s="173"/>
      <c r="APW193" s="173"/>
      <c r="APX193" s="173"/>
      <c r="APY193" s="173"/>
      <c r="APZ193" s="173"/>
      <c r="AQA193" s="173"/>
      <c r="AQB193" s="173"/>
      <c r="AQC193" s="173"/>
      <c r="AQD193" s="173"/>
      <c r="AQE193" s="173"/>
      <c r="AQF193" s="125"/>
      <c r="AQG193" s="125"/>
      <c r="AQH193" s="134"/>
      <c r="AQI193" s="135"/>
      <c r="AQJ193" s="135"/>
      <c r="AQK193" s="135"/>
      <c r="AQL193" s="135"/>
      <c r="AQM193" s="173"/>
      <c r="AQN193" s="173"/>
      <c r="AQO193" s="173"/>
      <c r="AQP193" s="173"/>
      <c r="AQQ193" s="173"/>
      <c r="AQR193" s="173"/>
      <c r="AQS193" s="173"/>
      <c r="AQT193" s="173"/>
      <c r="AQU193" s="173"/>
      <c r="AQV193" s="173"/>
      <c r="AQW193" s="125"/>
      <c r="AQX193" s="125"/>
      <c r="AQY193" s="134"/>
      <c r="AQZ193" s="135"/>
      <c r="ARA193" s="135"/>
      <c r="ARB193" s="135"/>
      <c r="ARC193" s="135"/>
      <c r="ARD193" s="173"/>
      <c r="ARE193" s="173"/>
      <c r="ARF193" s="173"/>
      <c r="ARG193" s="173"/>
      <c r="ARH193" s="173"/>
      <c r="ARI193" s="173"/>
      <c r="ARJ193" s="173"/>
      <c r="ARK193" s="173"/>
      <c r="ARL193" s="173"/>
      <c r="ARM193" s="173"/>
      <c r="ARN193" s="125"/>
      <c r="ARO193" s="125"/>
      <c r="ARP193" s="134"/>
      <c r="ARQ193" s="135"/>
      <c r="ARR193" s="135"/>
      <c r="ARS193" s="135"/>
      <c r="ART193" s="135"/>
      <c r="ARU193" s="173"/>
      <c r="ARV193" s="173"/>
      <c r="ARW193" s="173"/>
      <c r="ARX193" s="173"/>
      <c r="ARY193" s="173"/>
      <c r="ARZ193" s="173"/>
      <c r="ASA193" s="173"/>
      <c r="ASB193" s="173"/>
      <c r="ASC193" s="173"/>
      <c r="ASD193" s="173"/>
      <c r="ASE193" s="125"/>
      <c r="ASF193" s="125"/>
      <c r="ASG193" s="134"/>
      <c r="ASH193" s="135"/>
      <c r="ASI193" s="135"/>
      <c r="ASJ193" s="135"/>
      <c r="ASK193" s="135"/>
      <c r="ASL193" s="173"/>
      <c r="ASM193" s="173"/>
      <c r="ASN193" s="173"/>
      <c r="ASO193" s="173"/>
      <c r="ASP193" s="173"/>
      <c r="ASQ193" s="173"/>
      <c r="ASR193" s="173"/>
      <c r="ASS193" s="173"/>
      <c r="AST193" s="173"/>
      <c r="ASU193" s="173"/>
      <c r="ASV193" s="125"/>
      <c r="ASW193" s="125"/>
      <c r="ASX193" s="134"/>
      <c r="ASY193" s="135"/>
      <c r="ASZ193" s="135"/>
      <c r="ATA193" s="135"/>
      <c r="ATB193" s="135"/>
      <c r="ATC193" s="173"/>
      <c r="ATD193" s="173"/>
      <c r="ATE193" s="173"/>
      <c r="ATF193" s="173"/>
      <c r="ATG193" s="173"/>
      <c r="ATH193" s="173"/>
      <c r="ATI193" s="173"/>
      <c r="ATJ193" s="173"/>
      <c r="ATK193" s="173"/>
      <c r="ATL193" s="173"/>
      <c r="ATM193" s="125"/>
      <c r="ATN193" s="125"/>
      <c r="ATO193" s="134"/>
      <c r="ATP193" s="135"/>
      <c r="ATQ193" s="135"/>
      <c r="ATR193" s="135"/>
      <c r="ATS193" s="135"/>
      <c r="ATT193" s="173"/>
      <c r="ATU193" s="173"/>
      <c r="ATV193" s="173"/>
      <c r="ATW193" s="173"/>
      <c r="ATX193" s="173"/>
      <c r="ATY193" s="173"/>
      <c r="ATZ193" s="173"/>
      <c r="AUA193" s="173"/>
      <c r="AUB193" s="173"/>
      <c r="AUC193" s="173"/>
      <c r="AUD193" s="125"/>
      <c r="AUE193" s="125"/>
      <c r="AUF193" s="134"/>
      <c r="AUG193" s="135"/>
      <c r="AUH193" s="135"/>
      <c r="AUI193" s="135"/>
      <c r="AUJ193" s="135"/>
      <c r="AUK193" s="173"/>
      <c r="AUL193" s="173"/>
      <c r="AUM193" s="173"/>
      <c r="AUN193" s="173"/>
      <c r="AUO193" s="173"/>
      <c r="AUP193" s="173"/>
      <c r="AUQ193" s="173"/>
      <c r="AUR193" s="173"/>
      <c r="AUS193" s="173"/>
      <c r="AUT193" s="173"/>
      <c r="AUU193" s="125"/>
      <c r="AUV193" s="125"/>
      <c r="AUW193" s="134"/>
      <c r="AUX193" s="135"/>
      <c r="AUY193" s="135"/>
      <c r="AUZ193" s="135"/>
      <c r="AVA193" s="135"/>
      <c r="AVB193" s="173"/>
      <c r="AVC193" s="173"/>
      <c r="AVD193" s="173"/>
      <c r="AVE193" s="173"/>
      <c r="AVF193" s="173"/>
      <c r="AVG193" s="173"/>
      <c r="AVH193" s="173"/>
      <c r="AVI193" s="173"/>
      <c r="AVJ193" s="173"/>
      <c r="AVK193" s="173"/>
      <c r="AVL193" s="125"/>
      <c r="AVM193" s="125"/>
      <c r="AVN193" s="134"/>
      <c r="AVO193" s="135"/>
      <c r="AVP193" s="135"/>
      <c r="AVQ193" s="135"/>
      <c r="AVR193" s="135"/>
      <c r="AVS193" s="173"/>
      <c r="AVT193" s="173"/>
      <c r="AVU193" s="173"/>
      <c r="AVV193" s="173"/>
      <c r="AVW193" s="173"/>
      <c r="AVX193" s="173"/>
      <c r="AVY193" s="173"/>
      <c r="AVZ193" s="173"/>
      <c r="AWA193" s="173"/>
      <c r="AWB193" s="173"/>
      <c r="AWC193" s="125"/>
      <c r="AWD193" s="125"/>
      <c r="AWE193" s="134"/>
      <c r="AWF193" s="135"/>
      <c r="AWG193" s="135"/>
      <c r="AWH193" s="135"/>
      <c r="AWI193" s="135"/>
      <c r="AWJ193" s="173"/>
      <c r="AWK193" s="173"/>
      <c r="AWL193" s="173"/>
      <c r="AWM193" s="173"/>
      <c r="AWN193" s="173"/>
      <c r="AWO193" s="173"/>
      <c r="AWP193" s="173"/>
      <c r="AWQ193" s="173"/>
      <c r="AWR193" s="173"/>
      <c r="AWS193" s="173"/>
      <c r="AWT193" s="125"/>
      <c r="AWU193" s="125"/>
      <c r="AWV193" s="134"/>
      <c r="AWW193" s="135"/>
      <c r="AWX193" s="135"/>
      <c r="AWY193" s="135"/>
      <c r="AWZ193" s="135"/>
      <c r="AXA193" s="173"/>
      <c r="AXB193" s="173"/>
      <c r="AXC193" s="173"/>
      <c r="AXD193" s="173"/>
      <c r="AXE193" s="173"/>
      <c r="AXF193" s="173"/>
      <c r="AXG193" s="173"/>
      <c r="AXH193" s="173"/>
      <c r="AXI193" s="173"/>
      <c r="AXJ193" s="173"/>
      <c r="AXK193" s="125"/>
      <c r="AXL193" s="125"/>
      <c r="AXM193" s="134"/>
      <c r="AXN193" s="135"/>
      <c r="AXO193" s="135"/>
      <c r="AXP193" s="135"/>
      <c r="AXQ193" s="135"/>
      <c r="AXR193" s="173"/>
      <c r="AXS193" s="173"/>
      <c r="AXT193" s="173"/>
      <c r="AXU193" s="173"/>
      <c r="AXV193" s="173"/>
      <c r="AXW193" s="173"/>
      <c r="AXX193" s="173"/>
      <c r="AXY193" s="173"/>
      <c r="AXZ193" s="173"/>
      <c r="AYA193" s="173"/>
      <c r="AYB193" s="125"/>
      <c r="AYC193" s="125"/>
      <c r="AYD193" s="134"/>
      <c r="AYE193" s="135"/>
      <c r="AYF193" s="135"/>
      <c r="AYG193" s="135"/>
      <c r="AYH193" s="135"/>
      <c r="AYI193" s="173"/>
      <c r="AYJ193" s="173"/>
      <c r="AYK193" s="173"/>
      <c r="AYL193" s="173"/>
      <c r="AYM193" s="173"/>
      <c r="AYN193" s="173"/>
      <c r="AYO193" s="173"/>
      <c r="AYP193" s="173"/>
      <c r="AYQ193" s="173"/>
      <c r="AYR193" s="173"/>
      <c r="AYS193" s="125"/>
      <c r="AYT193" s="125"/>
      <c r="AYU193" s="134"/>
      <c r="AYV193" s="135"/>
      <c r="AYW193" s="135"/>
      <c r="AYX193" s="135"/>
      <c r="AYY193" s="135"/>
      <c r="AYZ193" s="173"/>
      <c r="AZA193" s="173"/>
      <c r="AZB193" s="173"/>
      <c r="AZC193" s="173"/>
      <c r="AZD193" s="173"/>
      <c r="AZE193" s="173"/>
      <c r="AZF193" s="173"/>
      <c r="AZG193" s="173"/>
      <c r="AZH193" s="173"/>
      <c r="AZI193" s="173"/>
      <c r="AZJ193" s="125"/>
      <c r="AZK193" s="125"/>
      <c r="AZL193" s="134"/>
      <c r="AZM193" s="135"/>
      <c r="AZN193" s="135"/>
      <c r="AZO193" s="135"/>
      <c r="AZP193" s="135"/>
      <c r="AZQ193" s="173"/>
      <c r="AZR193" s="173"/>
      <c r="AZS193" s="173"/>
      <c r="AZT193" s="173"/>
      <c r="AZU193" s="173"/>
      <c r="AZV193" s="173"/>
      <c r="AZW193" s="173"/>
      <c r="AZX193" s="173"/>
      <c r="AZY193" s="173"/>
      <c r="AZZ193" s="173"/>
      <c r="BAA193" s="125"/>
      <c r="BAB193" s="125"/>
      <c r="BAC193" s="134"/>
      <c r="BAD193" s="135"/>
      <c r="BAE193" s="135"/>
      <c r="BAF193" s="135"/>
      <c r="BAG193" s="135"/>
      <c r="BAH193" s="173"/>
      <c r="BAI193" s="173"/>
      <c r="BAJ193" s="173"/>
      <c r="BAK193" s="173"/>
      <c r="BAL193" s="173"/>
      <c r="BAM193" s="173"/>
      <c r="BAN193" s="173"/>
      <c r="BAO193" s="173"/>
      <c r="BAP193" s="173"/>
      <c r="BAQ193" s="173"/>
      <c r="BAR193" s="125"/>
      <c r="BAS193" s="125"/>
      <c r="BAT193" s="134"/>
      <c r="BAU193" s="135"/>
      <c r="BAV193" s="135"/>
      <c r="BAW193" s="135"/>
      <c r="BAX193" s="135"/>
      <c r="BAY193" s="173"/>
      <c r="BAZ193" s="173"/>
      <c r="BBA193" s="173"/>
      <c r="BBB193" s="173"/>
      <c r="BBC193" s="173"/>
      <c r="BBD193" s="173"/>
      <c r="BBE193" s="173"/>
      <c r="BBF193" s="173"/>
      <c r="BBG193" s="173"/>
      <c r="BBH193" s="173"/>
      <c r="BBI193" s="125"/>
      <c r="BBJ193" s="125"/>
      <c r="BBK193" s="134"/>
      <c r="BBL193" s="135"/>
      <c r="BBM193" s="135"/>
      <c r="BBN193" s="135"/>
      <c r="BBO193" s="135"/>
      <c r="BBP193" s="173"/>
      <c r="BBQ193" s="173"/>
      <c r="BBR193" s="173"/>
      <c r="BBS193" s="173"/>
      <c r="BBT193" s="173"/>
      <c r="BBU193" s="173"/>
      <c r="BBV193" s="173"/>
      <c r="BBW193" s="173"/>
      <c r="BBX193" s="173"/>
      <c r="BBY193" s="173"/>
      <c r="BBZ193" s="125"/>
      <c r="BCA193" s="125"/>
      <c r="BCB193" s="134"/>
      <c r="BCC193" s="135"/>
      <c r="BCD193" s="135"/>
      <c r="BCE193" s="135"/>
      <c r="BCF193" s="135"/>
      <c r="BCG193" s="173"/>
      <c r="BCH193" s="173"/>
      <c r="BCI193" s="173"/>
      <c r="BCJ193" s="173"/>
      <c r="BCK193" s="173"/>
      <c r="BCL193" s="173"/>
      <c r="BCM193" s="173"/>
      <c r="BCN193" s="173"/>
      <c r="BCO193" s="173"/>
      <c r="BCP193" s="173"/>
      <c r="BCQ193" s="125"/>
      <c r="BCR193" s="125"/>
      <c r="BCS193" s="134"/>
      <c r="BCT193" s="135"/>
      <c r="BCU193" s="135"/>
      <c r="BCV193" s="135"/>
      <c r="BCW193" s="135"/>
      <c r="BCX193" s="173"/>
      <c r="BCY193" s="173"/>
      <c r="BCZ193" s="173"/>
      <c r="BDA193" s="173"/>
      <c r="BDB193" s="173"/>
      <c r="BDC193" s="173"/>
      <c r="BDD193" s="173"/>
      <c r="BDE193" s="173"/>
      <c r="BDF193" s="173"/>
      <c r="BDG193" s="173"/>
      <c r="BDH193" s="125"/>
      <c r="BDI193" s="125"/>
      <c r="BDJ193" s="134"/>
      <c r="BDK193" s="135"/>
      <c r="BDL193" s="135"/>
      <c r="BDM193" s="135"/>
      <c r="BDN193" s="135"/>
      <c r="BDO193" s="173"/>
      <c r="BDP193" s="173"/>
      <c r="BDQ193" s="173"/>
      <c r="BDR193" s="173"/>
      <c r="BDS193" s="173"/>
      <c r="BDT193" s="173"/>
      <c r="BDU193" s="173"/>
      <c r="BDV193" s="173"/>
      <c r="BDW193" s="173"/>
      <c r="BDX193" s="173"/>
      <c r="BDY193" s="125"/>
      <c r="BDZ193" s="125"/>
      <c r="BEA193" s="134"/>
      <c r="BEB193" s="135"/>
      <c r="BEC193" s="135"/>
      <c r="BED193" s="135"/>
      <c r="BEE193" s="135"/>
      <c r="BEF193" s="173"/>
      <c r="BEG193" s="173"/>
      <c r="BEH193" s="173"/>
      <c r="BEI193" s="173"/>
      <c r="BEJ193" s="173"/>
      <c r="BEK193" s="173"/>
      <c r="BEL193" s="173"/>
      <c r="BEM193" s="173"/>
      <c r="BEN193" s="173"/>
      <c r="BEO193" s="173"/>
      <c r="BEP193" s="125"/>
      <c r="BEQ193" s="125"/>
      <c r="BER193" s="134"/>
      <c r="BES193" s="135"/>
      <c r="BET193" s="135"/>
      <c r="BEU193" s="135"/>
      <c r="BEV193" s="135"/>
      <c r="BEW193" s="173"/>
      <c r="BEX193" s="173"/>
      <c r="BEY193" s="173"/>
      <c r="BEZ193" s="173"/>
      <c r="BFA193" s="173"/>
      <c r="BFB193" s="173"/>
      <c r="BFC193" s="173"/>
      <c r="BFD193" s="173"/>
      <c r="BFE193" s="173"/>
      <c r="BFF193" s="173"/>
      <c r="BFG193" s="125"/>
      <c r="BFH193" s="125"/>
      <c r="BFI193" s="134"/>
      <c r="BFJ193" s="135"/>
      <c r="BFK193" s="135"/>
      <c r="BFL193" s="135"/>
      <c r="BFM193" s="135"/>
      <c r="BFN193" s="173"/>
      <c r="BFO193" s="173"/>
      <c r="BFP193" s="173"/>
      <c r="BFQ193" s="173"/>
      <c r="BFR193" s="173"/>
      <c r="BFS193" s="173"/>
      <c r="BFT193" s="173"/>
      <c r="BFU193" s="173"/>
      <c r="BFV193" s="173"/>
      <c r="BFW193" s="173"/>
      <c r="BFX193" s="125"/>
      <c r="BFY193" s="125"/>
      <c r="BFZ193" s="134"/>
      <c r="BGA193" s="135"/>
      <c r="BGB193" s="135"/>
      <c r="BGC193" s="135"/>
      <c r="BGD193" s="135"/>
      <c r="BGE193" s="173"/>
      <c r="BGF193" s="173"/>
      <c r="BGG193" s="173"/>
      <c r="BGH193" s="173"/>
      <c r="BGI193" s="173"/>
      <c r="BGJ193" s="173"/>
      <c r="BGK193" s="173"/>
      <c r="BGL193" s="173"/>
      <c r="BGM193" s="173"/>
      <c r="BGN193" s="173"/>
      <c r="BGO193" s="125"/>
      <c r="BGP193" s="125"/>
      <c r="BGQ193" s="134"/>
      <c r="BGR193" s="135"/>
      <c r="BGS193" s="135"/>
      <c r="BGT193" s="135"/>
      <c r="BGU193" s="135"/>
      <c r="BGV193" s="173"/>
      <c r="BGW193" s="173"/>
      <c r="BGX193" s="173"/>
      <c r="BGY193" s="173"/>
      <c r="BGZ193" s="173"/>
      <c r="BHA193" s="173"/>
      <c r="BHB193" s="173"/>
      <c r="BHC193" s="173"/>
      <c r="BHD193" s="173"/>
      <c r="BHE193" s="173"/>
      <c r="BHF193" s="125"/>
      <c r="BHG193" s="125"/>
      <c r="BHH193" s="134"/>
      <c r="BHI193" s="135"/>
      <c r="BHJ193" s="135"/>
      <c r="BHK193" s="135"/>
      <c r="BHL193" s="135"/>
      <c r="BHM193" s="173"/>
      <c r="BHN193" s="173"/>
      <c r="BHO193" s="173"/>
      <c r="BHP193" s="173"/>
      <c r="BHQ193" s="173"/>
      <c r="BHR193" s="173"/>
      <c r="BHS193" s="173"/>
      <c r="BHT193" s="173"/>
      <c r="BHU193" s="173"/>
      <c r="BHV193" s="173"/>
      <c r="BHW193" s="125"/>
      <c r="BHX193" s="125"/>
      <c r="BHY193" s="134"/>
      <c r="BHZ193" s="135"/>
      <c r="BIA193" s="135"/>
      <c r="BIB193" s="135"/>
      <c r="BIC193" s="135"/>
      <c r="BID193" s="173"/>
      <c r="BIE193" s="173"/>
      <c r="BIF193" s="173"/>
      <c r="BIG193" s="173"/>
      <c r="BIH193" s="173"/>
      <c r="BII193" s="173"/>
      <c r="BIJ193" s="173"/>
      <c r="BIK193" s="173"/>
      <c r="BIL193" s="173"/>
      <c r="BIM193" s="173"/>
      <c r="BIN193" s="125"/>
      <c r="BIO193" s="125"/>
      <c r="BIP193" s="134"/>
      <c r="BIQ193" s="135"/>
      <c r="BIR193" s="135"/>
      <c r="BIS193" s="135"/>
      <c r="BIT193" s="135"/>
      <c r="BIU193" s="173"/>
      <c r="BIV193" s="173"/>
      <c r="BIW193" s="173"/>
      <c r="BIX193" s="173"/>
      <c r="BIY193" s="173"/>
      <c r="BIZ193" s="173"/>
      <c r="BJA193" s="173"/>
      <c r="BJB193" s="173"/>
      <c r="BJC193" s="173"/>
      <c r="BJD193" s="173"/>
      <c r="BJE193" s="125"/>
      <c r="BJF193" s="125"/>
      <c r="BJG193" s="134"/>
      <c r="BJH193" s="135"/>
      <c r="BJI193" s="135"/>
      <c r="BJJ193" s="135"/>
      <c r="BJK193" s="135"/>
      <c r="BJL193" s="173"/>
      <c r="BJM193" s="173"/>
      <c r="BJN193" s="173"/>
      <c r="BJO193" s="173"/>
      <c r="BJP193" s="173"/>
      <c r="BJQ193" s="173"/>
      <c r="BJR193" s="173"/>
      <c r="BJS193" s="173"/>
      <c r="BJT193" s="173"/>
      <c r="BJU193" s="173"/>
      <c r="BJV193" s="125"/>
      <c r="BJW193" s="125"/>
      <c r="BJX193" s="134"/>
      <c r="BJY193" s="135"/>
      <c r="BJZ193" s="135"/>
      <c r="BKA193" s="135"/>
      <c r="BKB193" s="135"/>
      <c r="BKC193" s="173"/>
      <c r="BKD193" s="173"/>
      <c r="BKE193" s="173"/>
      <c r="BKF193" s="173"/>
      <c r="BKG193" s="173"/>
      <c r="BKH193" s="173"/>
      <c r="BKI193" s="173"/>
      <c r="BKJ193" s="173"/>
      <c r="BKK193" s="173"/>
      <c r="BKL193" s="173"/>
      <c r="BKM193" s="125"/>
      <c r="BKN193" s="125"/>
      <c r="BKO193" s="134"/>
      <c r="BKP193" s="135"/>
      <c r="BKQ193" s="135"/>
      <c r="BKR193" s="135"/>
      <c r="BKS193" s="135"/>
      <c r="BKT193" s="173"/>
      <c r="BKU193" s="173"/>
      <c r="BKV193" s="173"/>
      <c r="BKW193" s="173"/>
      <c r="BKX193" s="173"/>
      <c r="BKY193" s="173"/>
      <c r="BKZ193" s="173"/>
      <c r="BLA193" s="173"/>
      <c r="BLB193" s="173"/>
      <c r="BLC193" s="173"/>
      <c r="BLD193" s="125"/>
      <c r="BLE193" s="125"/>
      <c r="BLF193" s="134"/>
      <c r="BLG193" s="135"/>
      <c r="BLH193" s="135"/>
      <c r="BLI193" s="135"/>
      <c r="BLJ193" s="135"/>
      <c r="BLK193" s="173"/>
      <c r="BLL193" s="173"/>
      <c r="BLM193" s="173"/>
      <c r="BLN193" s="173"/>
      <c r="BLO193" s="173"/>
      <c r="BLP193" s="173"/>
      <c r="BLQ193" s="173"/>
      <c r="BLR193" s="173"/>
      <c r="BLS193" s="173"/>
      <c r="BLT193" s="173"/>
      <c r="BLU193" s="125"/>
      <c r="BLV193" s="125"/>
      <c r="BLW193" s="134"/>
      <c r="BLX193" s="135"/>
      <c r="BLY193" s="135"/>
      <c r="BLZ193" s="135"/>
      <c r="BMA193" s="135"/>
      <c r="BMB193" s="173"/>
      <c r="BMC193" s="173"/>
      <c r="BMD193" s="173"/>
      <c r="BME193" s="173"/>
      <c r="BMF193" s="173"/>
      <c r="BMG193" s="173"/>
      <c r="BMH193" s="173"/>
      <c r="BMI193" s="173"/>
      <c r="BMJ193" s="173"/>
      <c r="BMK193" s="173"/>
      <c r="BML193" s="125"/>
      <c r="BMM193" s="125"/>
      <c r="BMN193" s="134"/>
      <c r="BMO193" s="135"/>
      <c r="BMP193" s="135"/>
      <c r="BMQ193" s="135"/>
      <c r="BMR193" s="135"/>
      <c r="BMS193" s="173"/>
      <c r="BMT193" s="173"/>
      <c r="BMU193" s="173"/>
      <c r="BMV193" s="173"/>
      <c r="BMW193" s="173"/>
      <c r="BMX193" s="173"/>
      <c r="BMY193" s="173"/>
      <c r="BMZ193" s="173"/>
      <c r="BNA193" s="173"/>
      <c r="BNB193" s="173"/>
      <c r="BNC193" s="125"/>
      <c r="BND193" s="125"/>
      <c r="BNE193" s="134"/>
      <c r="BNF193" s="135"/>
      <c r="BNG193" s="135"/>
      <c r="BNH193" s="135"/>
      <c r="BNI193" s="135"/>
      <c r="BNJ193" s="173"/>
      <c r="BNK193" s="173"/>
      <c r="BNL193" s="173"/>
      <c r="BNM193" s="173"/>
      <c r="BNN193" s="173"/>
      <c r="BNO193" s="173"/>
      <c r="BNP193" s="173"/>
      <c r="BNQ193" s="173"/>
      <c r="BNR193" s="173"/>
      <c r="BNS193" s="173"/>
      <c r="BNT193" s="125"/>
      <c r="BNU193" s="125"/>
      <c r="BNV193" s="134"/>
      <c r="BNW193" s="135"/>
      <c r="BNX193" s="135"/>
      <c r="BNY193" s="135"/>
      <c r="BNZ193" s="135"/>
      <c r="BOA193" s="173"/>
      <c r="BOB193" s="173"/>
      <c r="BOC193" s="173"/>
      <c r="BOD193" s="173"/>
      <c r="BOE193" s="173"/>
      <c r="BOF193" s="173"/>
      <c r="BOG193" s="173"/>
      <c r="BOH193" s="173"/>
      <c r="BOI193" s="173"/>
      <c r="BOJ193" s="173"/>
      <c r="BOK193" s="125"/>
      <c r="BOL193" s="125"/>
      <c r="BOM193" s="134"/>
      <c r="BON193" s="135"/>
      <c r="BOO193" s="135"/>
      <c r="BOP193" s="135"/>
      <c r="BOQ193" s="135"/>
      <c r="BOR193" s="173"/>
      <c r="BOS193" s="173"/>
      <c r="BOT193" s="173"/>
      <c r="BOU193" s="173"/>
      <c r="BOV193" s="173"/>
      <c r="BOW193" s="173"/>
      <c r="BOX193" s="173"/>
      <c r="BOY193" s="173"/>
      <c r="BOZ193" s="173"/>
      <c r="BPA193" s="173"/>
      <c r="BPB193" s="125"/>
      <c r="BPC193" s="125"/>
      <c r="BPD193" s="134"/>
      <c r="BPE193" s="135"/>
      <c r="BPF193" s="135"/>
      <c r="BPG193" s="135"/>
      <c r="BPH193" s="135"/>
      <c r="BPI193" s="173"/>
      <c r="BPJ193" s="173"/>
      <c r="BPK193" s="173"/>
      <c r="BPL193" s="173"/>
      <c r="BPM193" s="173"/>
      <c r="BPN193" s="173"/>
      <c r="BPO193" s="173"/>
      <c r="BPP193" s="173"/>
      <c r="BPQ193" s="173"/>
      <c r="BPR193" s="173"/>
      <c r="BPS193" s="125"/>
      <c r="BPT193" s="125"/>
      <c r="BPU193" s="134"/>
      <c r="BPV193" s="135"/>
      <c r="BPW193" s="135"/>
      <c r="BPX193" s="135"/>
      <c r="BPY193" s="135"/>
      <c r="BPZ193" s="173"/>
      <c r="BQA193" s="173"/>
      <c r="BQB193" s="173"/>
      <c r="BQC193" s="173"/>
      <c r="BQD193" s="173"/>
      <c r="BQE193" s="173"/>
      <c r="BQF193" s="173"/>
      <c r="BQG193" s="173"/>
      <c r="BQH193" s="173"/>
      <c r="BQI193" s="173"/>
      <c r="BQJ193" s="125"/>
      <c r="BQK193" s="125"/>
      <c r="BQL193" s="134"/>
      <c r="BQM193" s="135"/>
      <c r="BQN193" s="135"/>
      <c r="BQO193" s="135"/>
      <c r="BQP193" s="135"/>
      <c r="BQQ193" s="173"/>
      <c r="BQR193" s="173"/>
      <c r="BQS193" s="173"/>
      <c r="BQT193" s="173"/>
      <c r="BQU193" s="173"/>
      <c r="BQV193" s="173"/>
      <c r="BQW193" s="173"/>
      <c r="BQX193" s="173"/>
      <c r="BQY193" s="173"/>
      <c r="BQZ193" s="173"/>
      <c r="BRA193" s="125"/>
      <c r="BRB193" s="125"/>
      <c r="BRC193" s="134"/>
      <c r="BRD193" s="135"/>
      <c r="BRE193" s="135"/>
      <c r="BRF193" s="135"/>
      <c r="BRG193" s="135"/>
      <c r="BRH193" s="173"/>
      <c r="BRI193" s="173"/>
      <c r="BRJ193" s="173"/>
      <c r="BRK193" s="173"/>
      <c r="BRL193" s="173"/>
      <c r="BRM193" s="173"/>
      <c r="BRN193" s="173"/>
      <c r="BRO193" s="173"/>
      <c r="BRP193" s="173"/>
      <c r="BRQ193" s="173"/>
      <c r="BRR193" s="125"/>
      <c r="BRS193" s="125"/>
      <c r="BRT193" s="134"/>
      <c r="BRU193" s="135"/>
      <c r="BRV193" s="135"/>
      <c r="BRW193" s="135"/>
      <c r="BRX193" s="135"/>
      <c r="BRY193" s="173"/>
      <c r="BRZ193" s="173"/>
      <c r="BSA193" s="173"/>
      <c r="BSB193" s="173"/>
      <c r="BSC193" s="173"/>
      <c r="BSD193" s="173"/>
      <c r="BSE193" s="173"/>
      <c r="BSF193" s="173"/>
      <c r="BSG193" s="173"/>
      <c r="BSH193" s="173"/>
      <c r="BSI193" s="125"/>
      <c r="BSJ193" s="125"/>
      <c r="BSK193" s="134"/>
      <c r="BSL193" s="135"/>
      <c r="BSM193" s="135"/>
      <c r="BSN193" s="135"/>
      <c r="BSO193" s="135"/>
      <c r="BSP193" s="173"/>
      <c r="BSQ193" s="173"/>
      <c r="BSR193" s="173"/>
      <c r="BSS193" s="173"/>
      <c r="BST193" s="173"/>
      <c r="BSU193" s="173"/>
      <c r="BSV193" s="173"/>
      <c r="BSW193" s="173"/>
      <c r="BSX193" s="173"/>
      <c r="BSY193" s="173"/>
      <c r="BSZ193" s="125"/>
      <c r="BTA193" s="125"/>
      <c r="BTB193" s="134"/>
      <c r="BTC193" s="135"/>
      <c r="BTD193" s="135"/>
      <c r="BTE193" s="135"/>
      <c r="BTF193" s="135"/>
      <c r="BTG193" s="173"/>
      <c r="BTH193" s="173"/>
      <c r="BTI193" s="173"/>
      <c r="BTJ193" s="173"/>
      <c r="BTK193" s="173"/>
      <c r="BTL193" s="173"/>
      <c r="BTM193" s="173"/>
      <c r="BTN193" s="173"/>
      <c r="BTO193" s="173"/>
      <c r="BTP193" s="173"/>
      <c r="BTQ193" s="125"/>
      <c r="BTR193" s="125"/>
      <c r="BTS193" s="134"/>
      <c r="BTT193" s="135"/>
      <c r="BTU193" s="135"/>
      <c r="BTV193" s="135"/>
      <c r="BTW193" s="135"/>
      <c r="BTX193" s="173"/>
      <c r="BTY193" s="173"/>
      <c r="BTZ193" s="173"/>
      <c r="BUA193" s="173"/>
      <c r="BUB193" s="173"/>
      <c r="BUC193" s="173"/>
      <c r="BUD193" s="173"/>
      <c r="BUE193" s="173"/>
      <c r="BUF193" s="173"/>
      <c r="BUG193" s="173"/>
      <c r="BUH193" s="125"/>
      <c r="BUI193" s="125"/>
      <c r="BUJ193" s="134"/>
      <c r="BUK193" s="135"/>
      <c r="BUL193" s="135"/>
      <c r="BUM193" s="135"/>
      <c r="BUN193" s="135"/>
      <c r="BUO193" s="173"/>
      <c r="BUP193" s="173"/>
      <c r="BUQ193" s="173"/>
      <c r="BUR193" s="173"/>
      <c r="BUS193" s="173"/>
      <c r="BUT193" s="173"/>
      <c r="BUU193" s="173"/>
      <c r="BUV193" s="173"/>
      <c r="BUW193" s="173"/>
      <c r="BUX193" s="173"/>
      <c r="BUY193" s="125"/>
      <c r="BUZ193" s="125"/>
      <c r="BVA193" s="134"/>
      <c r="BVB193" s="135"/>
      <c r="BVC193" s="135"/>
      <c r="BVD193" s="135"/>
      <c r="BVE193" s="135"/>
      <c r="BVF193" s="173"/>
      <c r="BVG193" s="173"/>
      <c r="BVH193" s="173"/>
      <c r="BVI193" s="173"/>
      <c r="BVJ193" s="173"/>
      <c r="BVK193" s="173"/>
      <c r="BVL193" s="173"/>
      <c r="BVM193" s="173"/>
      <c r="BVN193" s="173"/>
      <c r="BVO193" s="173"/>
      <c r="BVP193" s="125"/>
      <c r="BVQ193" s="125"/>
      <c r="BVR193" s="134"/>
      <c r="BVS193" s="135"/>
      <c r="BVT193" s="135"/>
      <c r="BVU193" s="135"/>
      <c r="BVV193" s="135"/>
      <c r="BVW193" s="173"/>
      <c r="BVX193" s="173"/>
      <c r="BVY193" s="173"/>
      <c r="BVZ193" s="173"/>
      <c r="BWA193" s="173"/>
      <c r="BWB193" s="173"/>
      <c r="BWC193" s="173"/>
      <c r="BWD193" s="173"/>
      <c r="BWE193" s="173"/>
      <c r="BWF193" s="173"/>
      <c r="BWG193" s="125"/>
      <c r="BWH193" s="125"/>
      <c r="BWI193" s="134"/>
      <c r="BWJ193" s="135"/>
      <c r="BWK193" s="135"/>
      <c r="BWL193" s="135"/>
      <c r="BWM193" s="135"/>
      <c r="BWN193" s="173"/>
      <c r="BWO193" s="173"/>
      <c r="BWP193" s="173"/>
      <c r="BWQ193" s="173"/>
      <c r="BWR193" s="173"/>
      <c r="BWS193" s="173"/>
      <c r="BWT193" s="173"/>
      <c r="BWU193" s="173"/>
      <c r="BWV193" s="173"/>
      <c r="BWW193" s="173"/>
      <c r="BWX193" s="125"/>
      <c r="BWY193" s="125"/>
      <c r="BWZ193" s="134"/>
      <c r="BXA193" s="135"/>
      <c r="BXB193" s="135"/>
      <c r="BXC193" s="135"/>
      <c r="BXD193" s="135"/>
      <c r="BXE193" s="173"/>
      <c r="BXF193" s="173"/>
      <c r="BXG193" s="173"/>
      <c r="BXH193" s="173"/>
      <c r="BXI193" s="173"/>
      <c r="BXJ193" s="173"/>
      <c r="BXK193" s="173"/>
      <c r="BXL193" s="173"/>
      <c r="BXM193" s="173"/>
      <c r="BXN193" s="173"/>
      <c r="BXO193" s="125"/>
      <c r="BXP193" s="125"/>
      <c r="BXQ193" s="134"/>
      <c r="BXR193" s="135"/>
      <c r="BXS193" s="135"/>
      <c r="BXT193" s="135"/>
      <c r="BXU193" s="135"/>
      <c r="BXV193" s="173"/>
      <c r="BXW193" s="173"/>
      <c r="BXX193" s="173"/>
      <c r="BXY193" s="173"/>
      <c r="BXZ193" s="173"/>
      <c r="BYA193" s="173"/>
      <c r="BYB193" s="173"/>
      <c r="BYC193" s="173"/>
      <c r="BYD193" s="173"/>
      <c r="BYE193" s="173"/>
      <c r="BYF193" s="125"/>
      <c r="BYG193" s="125"/>
      <c r="BYH193" s="134"/>
      <c r="BYI193" s="135"/>
      <c r="BYJ193" s="135"/>
      <c r="BYK193" s="135"/>
      <c r="BYL193" s="135"/>
      <c r="BYM193" s="173"/>
      <c r="BYN193" s="173"/>
      <c r="BYO193" s="173"/>
      <c r="BYP193" s="173"/>
      <c r="BYQ193" s="173"/>
      <c r="BYR193" s="173"/>
      <c r="BYS193" s="173"/>
      <c r="BYT193" s="173"/>
      <c r="BYU193" s="173"/>
      <c r="BYV193" s="173"/>
      <c r="BYW193" s="125"/>
      <c r="BYX193" s="125"/>
      <c r="BYY193" s="134"/>
      <c r="BYZ193" s="135"/>
      <c r="BZA193" s="135"/>
      <c r="BZB193" s="135"/>
      <c r="BZC193" s="135"/>
      <c r="BZD193" s="173"/>
      <c r="BZE193" s="173"/>
      <c r="BZF193" s="173"/>
      <c r="BZG193" s="173"/>
      <c r="BZH193" s="173"/>
      <c r="BZI193" s="173"/>
      <c r="BZJ193" s="173"/>
      <c r="BZK193" s="173"/>
      <c r="BZL193" s="173"/>
      <c r="BZM193" s="173"/>
      <c r="BZN193" s="125"/>
      <c r="BZO193" s="125"/>
      <c r="BZP193" s="134"/>
      <c r="BZQ193" s="135"/>
      <c r="BZR193" s="135"/>
      <c r="BZS193" s="135"/>
      <c r="BZT193" s="135"/>
      <c r="BZU193" s="173"/>
      <c r="BZV193" s="173"/>
      <c r="BZW193" s="173"/>
      <c r="BZX193" s="173"/>
      <c r="BZY193" s="173"/>
      <c r="BZZ193" s="173"/>
      <c r="CAA193" s="173"/>
      <c r="CAB193" s="173"/>
      <c r="CAC193" s="173"/>
      <c r="CAD193" s="173"/>
      <c r="CAE193" s="125"/>
      <c r="CAF193" s="125"/>
      <c r="CAG193" s="134"/>
      <c r="CAH193" s="135"/>
      <c r="CAI193" s="135"/>
      <c r="CAJ193" s="135"/>
      <c r="CAK193" s="135"/>
      <c r="CAL193" s="173"/>
      <c r="CAM193" s="173"/>
      <c r="CAN193" s="173"/>
      <c r="CAO193" s="173"/>
      <c r="CAP193" s="173"/>
      <c r="CAQ193" s="173"/>
      <c r="CAR193" s="173"/>
      <c r="CAS193" s="173"/>
      <c r="CAT193" s="173"/>
      <c r="CAU193" s="173"/>
      <c r="CAV193" s="125"/>
      <c r="CAW193" s="125"/>
      <c r="CAX193" s="134"/>
      <c r="CAY193" s="135"/>
      <c r="CAZ193" s="135"/>
      <c r="CBA193" s="135"/>
      <c r="CBB193" s="135"/>
      <c r="CBC193" s="173"/>
      <c r="CBD193" s="173"/>
      <c r="CBE193" s="173"/>
      <c r="CBF193" s="173"/>
      <c r="CBG193" s="173"/>
      <c r="CBH193" s="173"/>
      <c r="CBI193" s="173"/>
      <c r="CBJ193" s="173"/>
      <c r="CBK193" s="173"/>
      <c r="CBL193" s="173"/>
      <c r="CBM193" s="125"/>
      <c r="CBN193" s="125"/>
      <c r="CBO193" s="134"/>
      <c r="CBP193" s="135"/>
      <c r="CBQ193" s="135"/>
      <c r="CBR193" s="135"/>
      <c r="CBS193" s="135"/>
      <c r="CBT193" s="173"/>
      <c r="CBU193" s="173"/>
      <c r="CBV193" s="173"/>
      <c r="CBW193" s="173"/>
      <c r="CBX193" s="173"/>
      <c r="CBY193" s="173"/>
      <c r="CBZ193" s="173"/>
      <c r="CCA193" s="173"/>
      <c r="CCB193" s="173"/>
      <c r="CCC193" s="173"/>
      <c r="CCD193" s="125"/>
      <c r="CCE193" s="125"/>
      <c r="CCF193" s="134"/>
      <c r="CCG193" s="135"/>
      <c r="CCH193" s="135"/>
      <c r="CCI193" s="135"/>
      <c r="CCJ193" s="135"/>
      <c r="CCK193" s="173"/>
      <c r="CCL193" s="173"/>
      <c r="CCM193" s="173"/>
      <c r="CCN193" s="173"/>
      <c r="CCO193" s="173"/>
      <c r="CCP193" s="173"/>
      <c r="CCQ193" s="173"/>
      <c r="CCR193" s="173"/>
      <c r="CCS193" s="173"/>
      <c r="CCT193" s="173"/>
      <c r="CCU193" s="125"/>
      <c r="CCV193" s="125"/>
      <c r="CCW193" s="134"/>
      <c r="CCX193" s="135"/>
      <c r="CCY193" s="135"/>
      <c r="CCZ193" s="135"/>
      <c r="CDA193" s="135"/>
      <c r="CDB193" s="173"/>
      <c r="CDC193" s="173"/>
      <c r="CDD193" s="173"/>
      <c r="CDE193" s="173"/>
      <c r="CDF193" s="173"/>
      <c r="CDG193" s="173"/>
      <c r="CDH193" s="173"/>
      <c r="CDI193" s="173"/>
      <c r="CDJ193" s="173"/>
      <c r="CDK193" s="173"/>
      <c r="CDL193" s="125"/>
      <c r="CDM193" s="125"/>
      <c r="CDN193" s="134"/>
      <c r="CDO193" s="135"/>
      <c r="CDP193" s="135"/>
      <c r="CDQ193" s="135"/>
      <c r="CDR193" s="135"/>
      <c r="CDS193" s="173"/>
      <c r="CDT193" s="173"/>
      <c r="CDU193" s="173"/>
      <c r="CDV193" s="173"/>
      <c r="CDW193" s="173"/>
      <c r="CDX193" s="173"/>
      <c r="CDY193" s="173"/>
      <c r="CDZ193" s="173"/>
      <c r="CEA193" s="173"/>
      <c r="CEB193" s="173"/>
      <c r="CEC193" s="125"/>
      <c r="CED193" s="125"/>
      <c r="CEE193" s="134"/>
      <c r="CEF193" s="135"/>
      <c r="CEG193" s="135"/>
      <c r="CEH193" s="135"/>
      <c r="CEI193" s="135"/>
      <c r="CEJ193" s="173"/>
      <c r="CEK193" s="173"/>
      <c r="CEL193" s="173"/>
      <c r="CEM193" s="173"/>
      <c r="CEN193" s="173"/>
      <c r="CEO193" s="173"/>
      <c r="CEP193" s="173"/>
      <c r="CEQ193" s="173"/>
      <c r="CER193" s="173"/>
      <c r="CES193" s="173"/>
      <c r="CET193" s="125"/>
      <c r="CEU193" s="125"/>
      <c r="CEV193" s="134"/>
      <c r="CEW193" s="135"/>
      <c r="CEX193" s="135"/>
      <c r="CEY193" s="135"/>
      <c r="CEZ193" s="135"/>
      <c r="CFA193" s="173"/>
      <c r="CFB193" s="173"/>
      <c r="CFC193" s="173"/>
      <c r="CFD193" s="173"/>
      <c r="CFE193" s="173"/>
      <c r="CFF193" s="173"/>
      <c r="CFG193" s="173"/>
      <c r="CFH193" s="173"/>
      <c r="CFI193" s="173"/>
      <c r="CFJ193" s="173"/>
      <c r="CFK193" s="125"/>
      <c r="CFL193" s="125"/>
      <c r="CFM193" s="134"/>
      <c r="CFN193" s="135"/>
      <c r="CFO193" s="135"/>
      <c r="CFP193" s="135"/>
      <c r="CFQ193" s="135"/>
      <c r="CFR193" s="173"/>
      <c r="CFS193" s="173"/>
      <c r="CFT193" s="173"/>
      <c r="CFU193" s="173"/>
      <c r="CFV193" s="173"/>
      <c r="CFW193" s="173"/>
      <c r="CFX193" s="173"/>
      <c r="CFY193" s="173"/>
      <c r="CFZ193" s="173"/>
      <c r="CGA193" s="173"/>
      <c r="CGB193" s="125"/>
      <c r="CGC193" s="125"/>
      <c r="CGD193" s="134"/>
      <c r="CGE193" s="135"/>
      <c r="CGF193" s="135"/>
      <c r="CGG193" s="135"/>
      <c r="CGH193" s="135"/>
      <c r="CGI193" s="173"/>
      <c r="CGJ193" s="173"/>
      <c r="CGK193" s="173"/>
      <c r="CGL193" s="173"/>
      <c r="CGM193" s="173"/>
      <c r="CGN193" s="173"/>
      <c r="CGO193" s="173"/>
      <c r="CGP193" s="173"/>
      <c r="CGQ193" s="173"/>
      <c r="CGR193" s="173"/>
      <c r="CGS193" s="125"/>
      <c r="CGT193" s="125"/>
      <c r="CGU193" s="134"/>
      <c r="CGV193" s="135"/>
      <c r="CGW193" s="135"/>
      <c r="CGX193" s="135"/>
      <c r="CGY193" s="135"/>
      <c r="CGZ193" s="173"/>
      <c r="CHA193" s="173"/>
      <c r="CHB193" s="173"/>
      <c r="CHC193" s="173"/>
      <c r="CHD193" s="173"/>
      <c r="CHE193" s="173"/>
      <c r="CHF193" s="173"/>
      <c r="CHG193" s="173"/>
      <c r="CHH193" s="173"/>
      <c r="CHI193" s="173"/>
      <c r="CHJ193" s="125"/>
      <c r="CHK193" s="125"/>
      <c r="CHL193" s="134"/>
      <c r="CHM193" s="135"/>
      <c r="CHN193" s="135"/>
      <c r="CHO193" s="135"/>
      <c r="CHP193" s="135"/>
      <c r="CHQ193" s="173"/>
      <c r="CHR193" s="173"/>
      <c r="CHS193" s="173"/>
      <c r="CHT193" s="173"/>
      <c r="CHU193" s="173"/>
      <c r="CHV193" s="173"/>
      <c r="CHW193" s="173"/>
      <c r="CHX193" s="173"/>
      <c r="CHY193" s="173"/>
      <c r="CHZ193" s="173"/>
      <c r="CIA193" s="125"/>
      <c r="CIB193" s="125"/>
      <c r="CIC193" s="134"/>
      <c r="CID193" s="135"/>
      <c r="CIE193" s="135"/>
      <c r="CIF193" s="135"/>
      <c r="CIG193" s="135"/>
      <c r="CIH193" s="173"/>
      <c r="CII193" s="173"/>
      <c r="CIJ193" s="173"/>
      <c r="CIK193" s="173"/>
      <c r="CIL193" s="173"/>
      <c r="CIM193" s="173"/>
      <c r="CIN193" s="173"/>
      <c r="CIO193" s="173"/>
      <c r="CIP193" s="173"/>
      <c r="CIQ193" s="173"/>
      <c r="CIR193" s="125"/>
      <c r="CIS193" s="125"/>
      <c r="CIT193" s="134"/>
      <c r="CIU193" s="135"/>
      <c r="CIV193" s="135"/>
      <c r="CIW193" s="135"/>
      <c r="CIX193" s="135"/>
      <c r="CIY193" s="173"/>
      <c r="CIZ193" s="173"/>
      <c r="CJA193" s="173"/>
      <c r="CJB193" s="173"/>
      <c r="CJC193" s="173"/>
      <c r="CJD193" s="173"/>
      <c r="CJE193" s="173"/>
      <c r="CJF193" s="173"/>
      <c r="CJG193" s="173"/>
      <c r="CJH193" s="173"/>
      <c r="CJI193" s="125"/>
      <c r="CJJ193" s="125"/>
      <c r="CJK193" s="134"/>
      <c r="CJL193" s="135"/>
      <c r="CJM193" s="135"/>
      <c r="CJN193" s="135"/>
      <c r="CJO193" s="135"/>
      <c r="CJP193" s="173"/>
      <c r="CJQ193" s="173"/>
      <c r="CJR193" s="173"/>
      <c r="CJS193" s="173"/>
      <c r="CJT193" s="173"/>
      <c r="CJU193" s="173"/>
      <c r="CJV193" s="173"/>
      <c r="CJW193" s="173"/>
      <c r="CJX193" s="173"/>
      <c r="CJY193" s="173"/>
      <c r="CJZ193" s="125"/>
      <c r="CKA193" s="125"/>
      <c r="CKB193" s="134"/>
      <c r="CKC193" s="135"/>
      <c r="CKD193" s="135"/>
      <c r="CKE193" s="135"/>
      <c r="CKF193" s="135"/>
      <c r="CKG193" s="173"/>
      <c r="CKH193" s="173"/>
      <c r="CKI193" s="173"/>
      <c r="CKJ193" s="173"/>
      <c r="CKK193" s="173"/>
      <c r="CKL193" s="173"/>
      <c r="CKM193" s="173"/>
      <c r="CKN193" s="173"/>
      <c r="CKO193" s="173"/>
      <c r="CKP193" s="173"/>
      <c r="CKQ193" s="125"/>
      <c r="CKR193" s="125"/>
      <c r="CKS193" s="134"/>
      <c r="CKT193" s="135"/>
      <c r="CKU193" s="135"/>
      <c r="CKV193" s="135"/>
      <c r="CKW193" s="135"/>
      <c r="CKX193" s="173"/>
      <c r="CKY193" s="173"/>
      <c r="CKZ193" s="173"/>
      <c r="CLA193" s="173"/>
      <c r="CLB193" s="173"/>
      <c r="CLC193" s="173"/>
      <c r="CLD193" s="173"/>
      <c r="CLE193" s="173"/>
      <c r="CLF193" s="173"/>
      <c r="CLG193" s="173"/>
      <c r="CLH193" s="125"/>
      <c r="CLI193" s="125"/>
      <c r="CLJ193" s="134"/>
      <c r="CLK193" s="135"/>
      <c r="CLL193" s="135"/>
      <c r="CLM193" s="135"/>
      <c r="CLN193" s="135"/>
      <c r="CLO193" s="173"/>
      <c r="CLP193" s="173"/>
      <c r="CLQ193" s="173"/>
      <c r="CLR193" s="173"/>
      <c r="CLS193" s="173"/>
      <c r="CLT193" s="173"/>
      <c r="CLU193" s="173"/>
      <c r="CLV193" s="173"/>
      <c r="CLW193" s="173"/>
      <c r="CLX193" s="173"/>
      <c r="CLY193" s="125"/>
      <c r="CLZ193" s="125"/>
      <c r="CMA193" s="134"/>
      <c r="CMB193" s="135"/>
      <c r="CMC193" s="135"/>
      <c r="CMD193" s="135"/>
      <c r="CME193" s="135"/>
      <c r="CMF193" s="173"/>
      <c r="CMG193" s="173"/>
      <c r="CMH193" s="173"/>
      <c r="CMI193" s="173"/>
      <c r="CMJ193" s="173"/>
      <c r="CMK193" s="173"/>
      <c r="CML193" s="173"/>
      <c r="CMM193" s="173"/>
      <c r="CMN193" s="173"/>
      <c r="CMO193" s="173"/>
      <c r="CMP193" s="125"/>
      <c r="CMQ193" s="125"/>
      <c r="CMR193" s="134"/>
      <c r="CMS193" s="135"/>
      <c r="CMT193" s="135"/>
      <c r="CMU193" s="135"/>
      <c r="CMV193" s="135"/>
      <c r="CMW193" s="173"/>
      <c r="CMX193" s="173"/>
      <c r="CMY193" s="173"/>
      <c r="CMZ193" s="173"/>
      <c r="CNA193" s="173"/>
      <c r="CNB193" s="173"/>
      <c r="CNC193" s="173"/>
      <c r="CND193" s="173"/>
      <c r="CNE193" s="173"/>
      <c r="CNF193" s="173"/>
      <c r="CNG193" s="125"/>
      <c r="CNH193" s="125"/>
      <c r="CNI193" s="134"/>
      <c r="CNJ193" s="135"/>
      <c r="CNK193" s="135"/>
      <c r="CNL193" s="135"/>
      <c r="CNM193" s="135"/>
      <c r="CNN193" s="173"/>
      <c r="CNO193" s="173"/>
      <c r="CNP193" s="173"/>
      <c r="CNQ193" s="173"/>
      <c r="CNR193" s="173"/>
      <c r="CNS193" s="173"/>
      <c r="CNT193" s="173"/>
      <c r="CNU193" s="173"/>
      <c r="CNV193" s="173"/>
      <c r="CNW193" s="173"/>
      <c r="CNX193" s="125"/>
      <c r="CNY193" s="125"/>
      <c r="CNZ193" s="134"/>
      <c r="COA193" s="135"/>
      <c r="COB193" s="135"/>
      <c r="COC193" s="135"/>
      <c r="COD193" s="135"/>
      <c r="COE193" s="173"/>
      <c r="COF193" s="173"/>
      <c r="COG193" s="173"/>
      <c r="COH193" s="173"/>
      <c r="COI193" s="173"/>
      <c r="COJ193" s="173"/>
      <c r="COK193" s="173"/>
      <c r="COL193" s="173"/>
      <c r="COM193" s="173"/>
      <c r="CON193" s="173"/>
      <c r="COO193" s="125"/>
      <c r="COP193" s="125"/>
      <c r="COQ193" s="134"/>
      <c r="COR193" s="135"/>
      <c r="COS193" s="135"/>
      <c r="COT193" s="135"/>
      <c r="COU193" s="135"/>
      <c r="COV193" s="173"/>
      <c r="COW193" s="173"/>
      <c r="COX193" s="173"/>
      <c r="COY193" s="173"/>
      <c r="COZ193" s="173"/>
      <c r="CPA193" s="173"/>
      <c r="CPB193" s="173"/>
      <c r="CPC193" s="173"/>
      <c r="CPD193" s="173"/>
      <c r="CPE193" s="173"/>
      <c r="CPF193" s="125"/>
      <c r="CPG193" s="125"/>
      <c r="CPH193" s="134"/>
      <c r="CPI193" s="135"/>
      <c r="CPJ193" s="135"/>
      <c r="CPK193" s="135"/>
      <c r="CPL193" s="135"/>
      <c r="CPM193" s="173"/>
      <c r="CPN193" s="173"/>
      <c r="CPO193" s="173"/>
      <c r="CPP193" s="173"/>
      <c r="CPQ193" s="173"/>
      <c r="CPR193" s="173"/>
      <c r="CPS193" s="173"/>
      <c r="CPT193" s="173"/>
      <c r="CPU193" s="173"/>
      <c r="CPV193" s="173"/>
      <c r="CPW193" s="125"/>
      <c r="CPX193" s="125"/>
      <c r="CPY193" s="134"/>
      <c r="CPZ193" s="135"/>
      <c r="CQA193" s="135"/>
      <c r="CQB193" s="135"/>
      <c r="CQC193" s="135"/>
      <c r="CQD193" s="173"/>
      <c r="CQE193" s="173"/>
      <c r="CQF193" s="173"/>
      <c r="CQG193" s="173"/>
      <c r="CQH193" s="173"/>
      <c r="CQI193" s="173"/>
      <c r="CQJ193" s="173"/>
      <c r="CQK193" s="173"/>
      <c r="CQL193" s="173"/>
      <c r="CQM193" s="173"/>
      <c r="CQN193" s="125"/>
      <c r="CQO193" s="125"/>
      <c r="CQP193" s="134"/>
      <c r="CQQ193" s="135"/>
      <c r="CQR193" s="135"/>
      <c r="CQS193" s="135"/>
      <c r="CQT193" s="135"/>
      <c r="CQU193" s="173"/>
      <c r="CQV193" s="173"/>
      <c r="CQW193" s="173"/>
      <c r="CQX193" s="173"/>
      <c r="CQY193" s="173"/>
      <c r="CQZ193" s="173"/>
      <c r="CRA193" s="173"/>
      <c r="CRB193" s="173"/>
      <c r="CRC193" s="173"/>
      <c r="CRD193" s="173"/>
      <c r="CRE193" s="125"/>
      <c r="CRF193" s="125"/>
      <c r="CRG193" s="134"/>
      <c r="CRH193" s="135"/>
      <c r="CRI193" s="135"/>
      <c r="CRJ193" s="135"/>
      <c r="CRK193" s="135"/>
      <c r="CRL193" s="173"/>
      <c r="CRM193" s="173"/>
      <c r="CRN193" s="173"/>
      <c r="CRO193" s="173"/>
      <c r="CRP193" s="173"/>
      <c r="CRQ193" s="173"/>
      <c r="CRR193" s="173"/>
      <c r="CRS193" s="173"/>
      <c r="CRT193" s="173"/>
      <c r="CRU193" s="173"/>
      <c r="CRV193" s="125"/>
      <c r="CRW193" s="125"/>
      <c r="CRX193" s="134"/>
      <c r="CRY193" s="135"/>
      <c r="CRZ193" s="135"/>
      <c r="CSA193" s="135"/>
      <c r="CSB193" s="135"/>
      <c r="CSC193" s="173"/>
      <c r="CSD193" s="173"/>
      <c r="CSE193" s="173"/>
      <c r="CSF193" s="173"/>
      <c r="CSG193" s="173"/>
      <c r="CSH193" s="173"/>
      <c r="CSI193" s="173"/>
      <c r="CSJ193" s="173"/>
      <c r="CSK193" s="173"/>
      <c r="CSL193" s="173"/>
      <c r="CSM193" s="125"/>
      <c r="CSN193" s="125"/>
      <c r="CSO193" s="134"/>
      <c r="CSP193" s="135"/>
      <c r="CSQ193" s="135"/>
      <c r="CSR193" s="135"/>
      <c r="CSS193" s="135"/>
      <c r="CST193" s="173"/>
      <c r="CSU193" s="173"/>
      <c r="CSV193" s="173"/>
      <c r="CSW193" s="173"/>
      <c r="CSX193" s="173"/>
      <c r="CSY193" s="173"/>
      <c r="CSZ193" s="173"/>
      <c r="CTA193" s="173"/>
      <c r="CTB193" s="173"/>
      <c r="CTC193" s="173"/>
      <c r="CTD193" s="125"/>
      <c r="CTE193" s="125"/>
      <c r="CTF193" s="134"/>
      <c r="CTG193" s="135"/>
      <c r="CTH193" s="135"/>
      <c r="CTI193" s="135"/>
      <c r="CTJ193" s="135"/>
      <c r="CTK193" s="173"/>
      <c r="CTL193" s="173"/>
      <c r="CTM193" s="173"/>
      <c r="CTN193" s="173"/>
      <c r="CTO193" s="173"/>
      <c r="CTP193" s="173"/>
      <c r="CTQ193" s="173"/>
      <c r="CTR193" s="173"/>
      <c r="CTS193" s="173"/>
      <c r="CTT193" s="173"/>
      <c r="CTU193" s="125"/>
      <c r="CTV193" s="125"/>
      <c r="CTW193" s="134"/>
      <c r="CTX193" s="135"/>
      <c r="CTY193" s="135"/>
      <c r="CTZ193" s="135"/>
      <c r="CUA193" s="135"/>
      <c r="CUB193" s="173"/>
      <c r="CUC193" s="173"/>
      <c r="CUD193" s="173"/>
      <c r="CUE193" s="173"/>
      <c r="CUF193" s="173"/>
      <c r="CUG193" s="173"/>
      <c r="CUH193" s="173"/>
      <c r="CUI193" s="173"/>
      <c r="CUJ193" s="173"/>
      <c r="CUK193" s="173"/>
      <c r="CUL193" s="125"/>
      <c r="CUM193" s="125"/>
      <c r="CUN193" s="134"/>
      <c r="CUO193" s="135"/>
      <c r="CUP193" s="135"/>
      <c r="CUQ193" s="135"/>
      <c r="CUR193" s="135"/>
      <c r="CUS193" s="173"/>
      <c r="CUT193" s="173"/>
      <c r="CUU193" s="173"/>
      <c r="CUV193" s="173"/>
      <c r="CUW193" s="173"/>
      <c r="CUX193" s="173"/>
      <c r="CUY193" s="173"/>
      <c r="CUZ193" s="173"/>
      <c r="CVA193" s="173"/>
      <c r="CVB193" s="173"/>
      <c r="CVC193" s="125"/>
      <c r="CVD193" s="125"/>
      <c r="CVE193" s="134"/>
      <c r="CVF193" s="135"/>
      <c r="CVG193" s="135"/>
      <c r="CVH193" s="135"/>
      <c r="CVI193" s="135"/>
      <c r="CVJ193" s="173"/>
      <c r="CVK193" s="173"/>
      <c r="CVL193" s="173"/>
      <c r="CVM193" s="173"/>
      <c r="CVN193" s="173"/>
      <c r="CVO193" s="173"/>
      <c r="CVP193" s="173"/>
      <c r="CVQ193" s="173"/>
      <c r="CVR193" s="173"/>
      <c r="CVS193" s="173"/>
      <c r="CVT193" s="125"/>
      <c r="CVU193" s="125"/>
      <c r="CVV193" s="134"/>
      <c r="CVW193" s="135"/>
      <c r="CVX193" s="135"/>
      <c r="CVY193" s="135"/>
      <c r="CVZ193" s="135"/>
      <c r="CWA193" s="173"/>
      <c r="CWB193" s="173"/>
      <c r="CWC193" s="173"/>
      <c r="CWD193" s="173"/>
      <c r="CWE193" s="173"/>
      <c r="CWF193" s="173"/>
      <c r="CWG193" s="173"/>
      <c r="CWH193" s="173"/>
      <c r="CWI193" s="173"/>
      <c r="CWJ193" s="173"/>
      <c r="CWK193" s="125"/>
      <c r="CWL193" s="125"/>
      <c r="CWM193" s="134"/>
      <c r="CWN193" s="135"/>
      <c r="CWO193" s="135"/>
      <c r="CWP193" s="135"/>
      <c r="CWQ193" s="135"/>
      <c r="CWR193" s="173"/>
      <c r="CWS193" s="173"/>
      <c r="CWT193" s="173"/>
      <c r="CWU193" s="173"/>
      <c r="CWV193" s="173"/>
      <c r="CWW193" s="173"/>
      <c r="CWX193" s="173"/>
      <c r="CWY193" s="173"/>
      <c r="CWZ193" s="173"/>
      <c r="CXA193" s="173"/>
      <c r="CXB193" s="125"/>
      <c r="CXC193" s="125"/>
      <c r="CXD193" s="134"/>
      <c r="CXE193" s="135"/>
      <c r="CXF193" s="135"/>
      <c r="CXG193" s="135"/>
      <c r="CXH193" s="135"/>
      <c r="CXI193" s="173"/>
      <c r="CXJ193" s="173"/>
      <c r="CXK193" s="173"/>
      <c r="CXL193" s="173"/>
      <c r="CXM193" s="173"/>
      <c r="CXN193" s="173"/>
      <c r="CXO193" s="173"/>
      <c r="CXP193" s="173"/>
      <c r="CXQ193" s="173"/>
      <c r="CXR193" s="173"/>
      <c r="CXS193" s="125"/>
      <c r="CXT193" s="125"/>
      <c r="CXU193" s="134"/>
      <c r="CXV193" s="135"/>
      <c r="CXW193" s="135"/>
      <c r="CXX193" s="135"/>
      <c r="CXY193" s="135"/>
      <c r="CXZ193" s="173"/>
      <c r="CYA193" s="173"/>
      <c r="CYB193" s="173"/>
      <c r="CYC193" s="173"/>
      <c r="CYD193" s="173"/>
      <c r="CYE193" s="173"/>
      <c r="CYF193" s="173"/>
      <c r="CYG193" s="173"/>
      <c r="CYH193" s="173"/>
      <c r="CYI193" s="173"/>
      <c r="CYJ193" s="125"/>
      <c r="CYK193" s="125"/>
      <c r="CYL193" s="134"/>
      <c r="CYM193" s="135"/>
      <c r="CYN193" s="135"/>
      <c r="CYO193" s="135"/>
      <c r="CYP193" s="135"/>
      <c r="CYQ193" s="173"/>
      <c r="CYR193" s="173"/>
      <c r="CYS193" s="173"/>
      <c r="CYT193" s="173"/>
      <c r="CYU193" s="173"/>
      <c r="CYV193" s="173"/>
      <c r="CYW193" s="173"/>
      <c r="CYX193" s="173"/>
      <c r="CYY193" s="173"/>
      <c r="CYZ193" s="173"/>
      <c r="CZA193" s="125"/>
      <c r="CZB193" s="125"/>
      <c r="CZC193" s="134"/>
      <c r="CZD193" s="135"/>
      <c r="CZE193" s="135"/>
      <c r="CZF193" s="135"/>
      <c r="CZG193" s="135"/>
      <c r="CZH193" s="173"/>
      <c r="CZI193" s="173"/>
      <c r="CZJ193" s="173"/>
      <c r="CZK193" s="173"/>
      <c r="CZL193" s="173"/>
      <c r="CZM193" s="173"/>
      <c r="CZN193" s="173"/>
      <c r="CZO193" s="173"/>
      <c r="CZP193" s="173"/>
      <c r="CZQ193" s="173"/>
      <c r="CZR193" s="125"/>
      <c r="CZS193" s="125"/>
      <c r="CZT193" s="134"/>
      <c r="CZU193" s="135"/>
      <c r="CZV193" s="135"/>
      <c r="CZW193" s="135"/>
      <c r="CZX193" s="135"/>
      <c r="CZY193" s="173"/>
      <c r="CZZ193" s="173"/>
      <c r="DAA193" s="173"/>
      <c r="DAB193" s="173"/>
      <c r="DAC193" s="173"/>
      <c r="DAD193" s="173"/>
      <c r="DAE193" s="173"/>
      <c r="DAF193" s="173"/>
      <c r="DAG193" s="173"/>
      <c r="DAH193" s="173"/>
      <c r="DAI193" s="125"/>
      <c r="DAJ193" s="125"/>
      <c r="DAK193" s="134"/>
      <c r="DAL193" s="135"/>
      <c r="DAM193" s="135"/>
      <c r="DAN193" s="135"/>
      <c r="DAO193" s="135"/>
      <c r="DAP193" s="173"/>
      <c r="DAQ193" s="173"/>
      <c r="DAR193" s="173"/>
      <c r="DAS193" s="173"/>
      <c r="DAT193" s="173"/>
      <c r="DAU193" s="173"/>
      <c r="DAV193" s="173"/>
      <c r="DAW193" s="173"/>
      <c r="DAX193" s="173"/>
      <c r="DAY193" s="173"/>
      <c r="DAZ193" s="125"/>
      <c r="DBA193" s="125"/>
      <c r="DBB193" s="134"/>
      <c r="DBC193" s="135"/>
      <c r="DBD193" s="135"/>
      <c r="DBE193" s="135"/>
      <c r="DBF193" s="135"/>
      <c r="DBG193" s="173"/>
      <c r="DBH193" s="173"/>
      <c r="DBI193" s="173"/>
      <c r="DBJ193" s="173"/>
      <c r="DBK193" s="173"/>
      <c r="DBL193" s="173"/>
      <c r="DBM193" s="173"/>
      <c r="DBN193" s="173"/>
      <c r="DBO193" s="173"/>
      <c r="DBP193" s="173"/>
      <c r="DBQ193" s="125"/>
      <c r="DBR193" s="125"/>
      <c r="DBS193" s="134"/>
      <c r="DBT193" s="135"/>
      <c r="DBU193" s="135"/>
      <c r="DBV193" s="135"/>
      <c r="DBW193" s="135"/>
      <c r="DBX193" s="173"/>
      <c r="DBY193" s="173"/>
      <c r="DBZ193" s="173"/>
      <c r="DCA193" s="173"/>
      <c r="DCB193" s="173"/>
      <c r="DCC193" s="173"/>
      <c r="DCD193" s="173"/>
      <c r="DCE193" s="173"/>
      <c r="DCF193" s="173"/>
      <c r="DCG193" s="173"/>
      <c r="DCH193" s="125"/>
      <c r="DCI193" s="125"/>
      <c r="DCJ193" s="134"/>
      <c r="DCK193" s="135"/>
      <c r="DCL193" s="135"/>
      <c r="DCM193" s="135"/>
      <c r="DCN193" s="135"/>
      <c r="DCO193" s="173"/>
      <c r="DCP193" s="173"/>
      <c r="DCQ193" s="173"/>
      <c r="DCR193" s="173"/>
      <c r="DCS193" s="173"/>
      <c r="DCT193" s="173"/>
      <c r="DCU193" s="173"/>
      <c r="DCV193" s="173"/>
      <c r="DCW193" s="173"/>
      <c r="DCX193" s="173"/>
      <c r="DCY193" s="125"/>
      <c r="DCZ193" s="125"/>
      <c r="DDA193" s="134"/>
      <c r="DDB193" s="135"/>
      <c r="DDC193" s="135"/>
      <c r="DDD193" s="135"/>
      <c r="DDE193" s="135"/>
      <c r="DDF193" s="173"/>
      <c r="DDG193" s="173"/>
      <c r="DDH193" s="173"/>
      <c r="DDI193" s="173"/>
      <c r="DDJ193" s="173"/>
      <c r="DDK193" s="173"/>
      <c r="DDL193" s="173"/>
      <c r="DDM193" s="173"/>
      <c r="DDN193" s="173"/>
      <c r="DDO193" s="173"/>
      <c r="DDP193" s="125"/>
      <c r="DDQ193" s="125"/>
      <c r="DDR193" s="134"/>
      <c r="DDS193" s="135"/>
      <c r="DDT193" s="135"/>
      <c r="DDU193" s="135"/>
      <c r="DDV193" s="135"/>
      <c r="DDW193" s="173"/>
      <c r="DDX193" s="173"/>
      <c r="DDY193" s="173"/>
      <c r="DDZ193" s="173"/>
      <c r="DEA193" s="173"/>
      <c r="DEB193" s="173"/>
      <c r="DEC193" s="173"/>
      <c r="DED193" s="173"/>
      <c r="DEE193" s="173"/>
      <c r="DEF193" s="173"/>
      <c r="DEG193" s="125"/>
      <c r="DEH193" s="125"/>
      <c r="DEI193" s="134"/>
      <c r="DEJ193" s="135"/>
      <c r="DEK193" s="135"/>
      <c r="DEL193" s="135"/>
      <c r="DEM193" s="135"/>
      <c r="DEN193" s="173"/>
      <c r="DEO193" s="173"/>
      <c r="DEP193" s="173"/>
      <c r="DEQ193" s="173"/>
      <c r="DER193" s="173"/>
      <c r="DES193" s="173"/>
      <c r="DET193" s="173"/>
      <c r="DEU193" s="173"/>
      <c r="DEV193" s="173"/>
      <c r="DEW193" s="173"/>
      <c r="DEX193" s="125"/>
      <c r="DEY193" s="125"/>
      <c r="DEZ193" s="134"/>
      <c r="DFA193" s="135"/>
      <c r="DFB193" s="135"/>
      <c r="DFC193" s="135"/>
      <c r="DFD193" s="135"/>
      <c r="DFE193" s="173"/>
      <c r="DFF193" s="173"/>
      <c r="DFG193" s="173"/>
      <c r="DFH193" s="173"/>
      <c r="DFI193" s="173"/>
      <c r="DFJ193" s="173"/>
      <c r="DFK193" s="173"/>
      <c r="DFL193" s="173"/>
      <c r="DFM193" s="173"/>
      <c r="DFN193" s="173"/>
      <c r="DFO193" s="125"/>
      <c r="DFP193" s="125"/>
      <c r="DFQ193" s="134"/>
      <c r="DFR193" s="135"/>
      <c r="DFS193" s="135"/>
      <c r="DFT193" s="135"/>
      <c r="DFU193" s="135"/>
      <c r="DFV193" s="173"/>
      <c r="DFW193" s="173"/>
      <c r="DFX193" s="173"/>
      <c r="DFY193" s="173"/>
      <c r="DFZ193" s="173"/>
      <c r="DGA193" s="173"/>
      <c r="DGB193" s="173"/>
      <c r="DGC193" s="173"/>
      <c r="DGD193" s="173"/>
      <c r="DGE193" s="173"/>
      <c r="DGF193" s="125"/>
      <c r="DGG193" s="125"/>
      <c r="DGH193" s="134"/>
      <c r="DGI193" s="135"/>
      <c r="DGJ193" s="135"/>
      <c r="DGK193" s="135"/>
      <c r="DGL193" s="135"/>
      <c r="DGM193" s="173"/>
      <c r="DGN193" s="173"/>
      <c r="DGO193" s="173"/>
      <c r="DGP193" s="173"/>
      <c r="DGQ193" s="173"/>
      <c r="DGR193" s="173"/>
      <c r="DGS193" s="173"/>
      <c r="DGT193" s="173"/>
      <c r="DGU193" s="173"/>
      <c r="DGV193" s="173"/>
      <c r="DGW193" s="125"/>
      <c r="DGX193" s="125"/>
      <c r="DGY193" s="134"/>
      <c r="DGZ193" s="135"/>
      <c r="DHA193" s="135"/>
      <c r="DHB193" s="135"/>
      <c r="DHC193" s="135"/>
      <c r="DHD193" s="173"/>
      <c r="DHE193" s="173"/>
      <c r="DHF193" s="173"/>
      <c r="DHG193" s="173"/>
      <c r="DHH193" s="173"/>
      <c r="DHI193" s="173"/>
      <c r="DHJ193" s="173"/>
      <c r="DHK193" s="173"/>
      <c r="DHL193" s="173"/>
      <c r="DHM193" s="173"/>
      <c r="DHN193" s="125"/>
      <c r="DHO193" s="125"/>
      <c r="DHP193" s="134"/>
      <c r="DHQ193" s="135"/>
      <c r="DHR193" s="135"/>
      <c r="DHS193" s="135"/>
      <c r="DHT193" s="135"/>
      <c r="DHU193" s="173"/>
      <c r="DHV193" s="173"/>
      <c r="DHW193" s="173"/>
      <c r="DHX193" s="173"/>
      <c r="DHY193" s="173"/>
      <c r="DHZ193" s="173"/>
      <c r="DIA193" s="173"/>
      <c r="DIB193" s="173"/>
      <c r="DIC193" s="173"/>
      <c r="DID193" s="173"/>
      <c r="DIE193" s="125"/>
      <c r="DIF193" s="125"/>
      <c r="DIG193" s="134"/>
      <c r="DIH193" s="135"/>
      <c r="DII193" s="135"/>
      <c r="DIJ193" s="135"/>
      <c r="DIK193" s="135"/>
      <c r="DIL193" s="173"/>
      <c r="DIM193" s="173"/>
      <c r="DIN193" s="173"/>
      <c r="DIO193" s="173"/>
      <c r="DIP193" s="173"/>
      <c r="DIQ193" s="173"/>
      <c r="DIR193" s="173"/>
      <c r="DIS193" s="173"/>
      <c r="DIT193" s="173"/>
      <c r="DIU193" s="173"/>
      <c r="DIV193" s="125"/>
      <c r="DIW193" s="125"/>
      <c r="DIX193" s="134"/>
      <c r="DIY193" s="135"/>
      <c r="DIZ193" s="135"/>
      <c r="DJA193" s="135"/>
      <c r="DJB193" s="135"/>
      <c r="DJC193" s="173"/>
      <c r="DJD193" s="173"/>
      <c r="DJE193" s="173"/>
      <c r="DJF193" s="173"/>
      <c r="DJG193" s="173"/>
      <c r="DJH193" s="173"/>
      <c r="DJI193" s="173"/>
      <c r="DJJ193" s="173"/>
      <c r="DJK193" s="173"/>
      <c r="DJL193" s="173"/>
      <c r="DJM193" s="125"/>
      <c r="DJN193" s="125"/>
      <c r="DJO193" s="134"/>
      <c r="DJP193" s="135"/>
      <c r="DJQ193" s="135"/>
      <c r="DJR193" s="135"/>
      <c r="DJS193" s="135"/>
      <c r="DJT193" s="173"/>
      <c r="DJU193" s="173"/>
      <c r="DJV193" s="173"/>
      <c r="DJW193" s="173"/>
      <c r="DJX193" s="173"/>
      <c r="DJY193" s="173"/>
      <c r="DJZ193" s="173"/>
      <c r="DKA193" s="173"/>
      <c r="DKB193" s="173"/>
      <c r="DKC193" s="173"/>
      <c r="DKD193" s="125"/>
      <c r="DKE193" s="125"/>
      <c r="DKF193" s="134"/>
      <c r="DKG193" s="135"/>
      <c r="DKH193" s="135"/>
      <c r="DKI193" s="135"/>
      <c r="DKJ193" s="135"/>
      <c r="DKK193" s="173"/>
      <c r="DKL193" s="173"/>
      <c r="DKM193" s="173"/>
      <c r="DKN193" s="173"/>
      <c r="DKO193" s="173"/>
      <c r="DKP193" s="173"/>
      <c r="DKQ193" s="173"/>
      <c r="DKR193" s="173"/>
      <c r="DKS193" s="173"/>
      <c r="DKT193" s="173"/>
      <c r="DKU193" s="125"/>
      <c r="DKV193" s="125"/>
      <c r="DKW193" s="134"/>
      <c r="DKX193" s="135"/>
      <c r="DKY193" s="135"/>
      <c r="DKZ193" s="135"/>
      <c r="DLA193" s="135"/>
      <c r="DLB193" s="173"/>
      <c r="DLC193" s="173"/>
      <c r="DLD193" s="173"/>
      <c r="DLE193" s="173"/>
      <c r="DLF193" s="173"/>
      <c r="DLG193" s="173"/>
      <c r="DLH193" s="173"/>
      <c r="DLI193" s="173"/>
      <c r="DLJ193" s="173"/>
      <c r="DLK193" s="173"/>
      <c r="DLL193" s="125"/>
      <c r="DLM193" s="125"/>
      <c r="DLN193" s="134"/>
      <c r="DLO193" s="135"/>
      <c r="DLP193" s="135"/>
      <c r="DLQ193" s="135"/>
      <c r="DLR193" s="135"/>
      <c r="DLS193" s="173"/>
      <c r="DLT193" s="173"/>
      <c r="DLU193" s="173"/>
      <c r="DLV193" s="173"/>
      <c r="DLW193" s="173"/>
      <c r="DLX193" s="173"/>
      <c r="DLY193" s="173"/>
      <c r="DLZ193" s="173"/>
      <c r="DMA193" s="173"/>
      <c r="DMB193" s="173"/>
      <c r="DMC193" s="125"/>
      <c r="DMD193" s="125"/>
      <c r="DME193" s="134"/>
      <c r="DMF193" s="135"/>
      <c r="DMG193" s="135"/>
      <c r="DMH193" s="135"/>
      <c r="DMI193" s="135"/>
      <c r="DMJ193" s="173"/>
      <c r="DMK193" s="173"/>
      <c r="DML193" s="173"/>
      <c r="DMM193" s="173"/>
      <c r="DMN193" s="173"/>
      <c r="DMO193" s="173"/>
      <c r="DMP193" s="173"/>
      <c r="DMQ193" s="173"/>
      <c r="DMR193" s="173"/>
      <c r="DMS193" s="173"/>
      <c r="DMT193" s="125"/>
      <c r="DMU193" s="125"/>
      <c r="DMV193" s="134"/>
      <c r="DMW193" s="135"/>
      <c r="DMX193" s="135"/>
      <c r="DMY193" s="135"/>
      <c r="DMZ193" s="135"/>
      <c r="DNA193" s="173"/>
      <c r="DNB193" s="173"/>
      <c r="DNC193" s="173"/>
      <c r="DND193" s="173"/>
      <c r="DNE193" s="173"/>
      <c r="DNF193" s="173"/>
      <c r="DNG193" s="173"/>
      <c r="DNH193" s="173"/>
      <c r="DNI193" s="173"/>
      <c r="DNJ193" s="173"/>
      <c r="DNK193" s="125"/>
      <c r="DNL193" s="125"/>
      <c r="DNM193" s="134"/>
      <c r="DNN193" s="135"/>
      <c r="DNO193" s="135"/>
      <c r="DNP193" s="135"/>
      <c r="DNQ193" s="135"/>
      <c r="DNR193" s="173"/>
      <c r="DNS193" s="173"/>
      <c r="DNT193" s="173"/>
      <c r="DNU193" s="173"/>
      <c r="DNV193" s="173"/>
      <c r="DNW193" s="173"/>
      <c r="DNX193" s="173"/>
      <c r="DNY193" s="173"/>
      <c r="DNZ193" s="173"/>
      <c r="DOA193" s="173"/>
      <c r="DOB193" s="125"/>
      <c r="DOC193" s="125"/>
      <c r="DOD193" s="134"/>
      <c r="DOE193" s="135"/>
      <c r="DOF193" s="135"/>
      <c r="DOG193" s="135"/>
      <c r="DOH193" s="135"/>
      <c r="DOI193" s="173"/>
      <c r="DOJ193" s="173"/>
      <c r="DOK193" s="173"/>
      <c r="DOL193" s="173"/>
      <c r="DOM193" s="173"/>
      <c r="DON193" s="173"/>
      <c r="DOO193" s="173"/>
      <c r="DOP193" s="173"/>
      <c r="DOQ193" s="173"/>
      <c r="DOR193" s="173"/>
      <c r="DOS193" s="125"/>
      <c r="DOT193" s="125"/>
      <c r="DOU193" s="134"/>
      <c r="DOV193" s="135"/>
      <c r="DOW193" s="135"/>
      <c r="DOX193" s="135"/>
      <c r="DOY193" s="135"/>
      <c r="DOZ193" s="173"/>
      <c r="DPA193" s="173"/>
      <c r="DPB193" s="173"/>
      <c r="DPC193" s="173"/>
      <c r="DPD193" s="173"/>
      <c r="DPE193" s="173"/>
      <c r="DPF193" s="173"/>
      <c r="DPG193" s="173"/>
      <c r="DPH193" s="173"/>
      <c r="DPI193" s="173"/>
      <c r="DPJ193" s="125"/>
      <c r="DPK193" s="125"/>
      <c r="DPL193" s="134"/>
      <c r="DPM193" s="135"/>
      <c r="DPN193" s="135"/>
      <c r="DPO193" s="135"/>
      <c r="DPP193" s="135"/>
      <c r="DPQ193" s="173"/>
      <c r="DPR193" s="173"/>
      <c r="DPS193" s="173"/>
      <c r="DPT193" s="173"/>
      <c r="DPU193" s="173"/>
      <c r="DPV193" s="173"/>
      <c r="DPW193" s="173"/>
      <c r="DPX193" s="173"/>
      <c r="DPY193" s="173"/>
      <c r="DPZ193" s="173"/>
      <c r="DQA193" s="125"/>
      <c r="DQB193" s="125"/>
      <c r="DQC193" s="134"/>
      <c r="DQD193" s="135"/>
      <c r="DQE193" s="135"/>
      <c r="DQF193" s="135"/>
      <c r="DQG193" s="135"/>
      <c r="DQH193" s="173"/>
      <c r="DQI193" s="173"/>
      <c r="DQJ193" s="173"/>
      <c r="DQK193" s="173"/>
      <c r="DQL193" s="173"/>
      <c r="DQM193" s="173"/>
      <c r="DQN193" s="173"/>
      <c r="DQO193" s="173"/>
      <c r="DQP193" s="173"/>
      <c r="DQQ193" s="173"/>
      <c r="DQR193" s="125"/>
      <c r="DQS193" s="125"/>
      <c r="DQT193" s="134"/>
      <c r="DQU193" s="135"/>
      <c r="DQV193" s="135"/>
      <c r="DQW193" s="135"/>
      <c r="DQX193" s="135"/>
      <c r="DQY193" s="173"/>
      <c r="DQZ193" s="173"/>
      <c r="DRA193" s="173"/>
      <c r="DRB193" s="173"/>
      <c r="DRC193" s="173"/>
      <c r="DRD193" s="173"/>
      <c r="DRE193" s="173"/>
      <c r="DRF193" s="173"/>
      <c r="DRG193" s="173"/>
      <c r="DRH193" s="173"/>
      <c r="DRI193" s="125"/>
      <c r="DRJ193" s="125"/>
      <c r="DRK193" s="134"/>
      <c r="DRL193" s="135"/>
      <c r="DRM193" s="135"/>
      <c r="DRN193" s="135"/>
      <c r="DRO193" s="135"/>
      <c r="DRP193" s="173"/>
      <c r="DRQ193" s="173"/>
      <c r="DRR193" s="173"/>
      <c r="DRS193" s="173"/>
      <c r="DRT193" s="173"/>
      <c r="DRU193" s="173"/>
      <c r="DRV193" s="173"/>
      <c r="DRW193" s="173"/>
      <c r="DRX193" s="173"/>
      <c r="DRY193" s="173"/>
      <c r="DRZ193" s="125"/>
      <c r="DSA193" s="125"/>
      <c r="DSB193" s="134"/>
      <c r="DSC193" s="135"/>
      <c r="DSD193" s="135"/>
      <c r="DSE193" s="135"/>
      <c r="DSF193" s="135"/>
      <c r="DSG193" s="173"/>
      <c r="DSH193" s="173"/>
      <c r="DSI193" s="173"/>
      <c r="DSJ193" s="173"/>
      <c r="DSK193" s="173"/>
      <c r="DSL193" s="173"/>
      <c r="DSM193" s="173"/>
      <c r="DSN193" s="173"/>
      <c r="DSO193" s="173"/>
      <c r="DSP193" s="173"/>
      <c r="DSQ193" s="125"/>
      <c r="DSR193" s="125"/>
      <c r="DSS193" s="134"/>
      <c r="DST193" s="135"/>
      <c r="DSU193" s="135"/>
      <c r="DSV193" s="135"/>
      <c r="DSW193" s="135"/>
      <c r="DSX193" s="173"/>
      <c r="DSY193" s="173"/>
      <c r="DSZ193" s="173"/>
      <c r="DTA193" s="173"/>
      <c r="DTB193" s="173"/>
      <c r="DTC193" s="173"/>
      <c r="DTD193" s="173"/>
      <c r="DTE193" s="173"/>
      <c r="DTF193" s="173"/>
      <c r="DTG193" s="173"/>
      <c r="DTH193" s="125"/>
      <c r="DTI193" s="125"/>
      <c r="DTJ193" s="134"/>
      <c r="DTK193" s="135"/>
      <c r="DTL193" s="135"/>
      <c r="DTM193" s="135"/>
      <c r="DTN193" s="135"/>
      <c r="DTO193" s="173"/>
      <c r="DTP193" s="173"/>
      <c r="DTQ193" s="173"/>
      <c r="DTR193" s="173"/>
      <c r="DTS193" s="173"/>
      <c r="DTT193" s="173"/>
      <c r="DTU193" s="173"/>
      <c r="DTV193" s="173"/>
      <c r="DTW193" s="173"/>
      <c r="DTX193" s="173"/>
      <c r="DTY193" s="125"/>
      <c r="DTZ193" s="125"/>
      <c r="DUA193" s="134"/>
      <c r="DUB193" s="135"/>
      <c r="DUC193" s="135"/>
      <c r="DUD193" s="135"/>
      <c r="DUE193" s="135"/>
      <c r="DUF193" s="173"/>
      <c r="DUG193" s="173"/>
      <c r="DUH193" s="173"/>
      <c r="DUI193" s="173"/>
      <c r="DUJ193" s="173"/>
      <c r="DUK193" s="173"/>
      <c r="DUL193" s="173"/>
      <c r="DUM193" s="173"/>
      <c r="DUN193" s="173"/>
      <c r="DUO193" s="173"/>
      <c r="DUP193" s="125"/>
      <c r="DUQ193" s="125"/>
      <c r="DUR193" s="134"/>
      <c r="DUS193" s="135"/>
      <c r="DUT193" s="135"/>
      <c r="DUU193" s="135"/>
      <c r="DUV193" s="135"/>
      <c r="DUW193" s="173"/>
      <c r="DUX193" s="173"/>
      <c r="DUY193" s="173"/>
      <c r="DUZ193" s="173"/>
      <c r="DVA193" s="173"/>
      <c r="DVB193" s="173"/>
      <c r="DVC193" s="173"/>
      <c r="DVD193" s="173"/>
      <c r="DVE193" s="173"/>
      <c r="DVF193" s="173"/>
      <c r="DVG193" s="125"/>
      <c r="DVH193" s="125"/>
      <c r="DVI193" s="134"/>
      <c r="DVJ193" s="135"/>
      <c r="DVK193" s="135"/>
      <c r="DVL193" s="135"/>
      <c r="DVM193" s="135"/>
      <c r="DVN193" s="173"/>
      <c r="DVO193" s="173"/>
      <c r="DVP193" s="173"/>
      <c r="DVQ193" s="173"/>
      <c r="DVR193" s="173"/>
      <c r="DVS193" s="173"/>
      <c r="DVT193" s="173"/>
      <c r="DVU193" s="173"/>
      <c r="DVV193" s="173"/>
      <c r="DVW193" s="173"/>
      <c r="DVX193" s="125"/>
      <c r="DVY193" s="125"/>
      <c r="DVZ193" s="134"/>
      <c r="DWA193" s="135"/>
      <c r="DWB193" s="135"/>
      <c r="DWC193" s="135"/>
      <c r="DWD193" s="135"/>
      <c r="DWE193" s="173"/>
      <c r="DWF193" s="173"/>
      <c r="DWG193" s="173"/>
      <c r="DWH193" s="173"/>
      <c r="DWI193" s="173"/>
      <c r="DWJ193" s="173"/>
      <c r="DWK193" s="173"/>
      <c r="DWL193" s="173"/>
      <c r="DWM193" s="173"/>
      <c r="DWN193" s="173"/>
      <c r="DWO193" s="125"/>
      <c r="DWP193" s="125"/>
      <c r="DWQ193" s="134"/>
      <c r="DWR193" s="135"/>
      <c r="DWS193" s="135"/>
      <c r="DWT193" s="135"/>
      <c r="DWU193" s="135"/>
      <c r="DWV193" s="173"/>
      <c r="DWW193" s="173"/>
      <c r="DWX193" s="173"/>
      <c r="DWY193" s="173"/>
      <c r="DWZ193" s="173"/>
      <c r="DXA193" s="173"/>
      <c r="DXB193" s="173"/>
      <c r="DXC193" s="173"/>
      <c r="DXD193" s="173"/>
      <c r="DXE193" s="173"/>
      <c r="DXF193" s="125"/>
      <c r="DXG193" s="125"/>
      <c r="DXH193" s="134"/>
      <c r="DXI193" s="135"/>
      <c r="DXJ193" s="135"/>
      <c r="DXK193" s="135"/>
      <c r="DXL193" s="135"/>
      <c r="DXM193" s="173"/>
      <c r="DXN193" s="173"/>
      <c r="DXO193" s="173"/>
      <c r="DXP193" s="173"/>
      <c r="DXQ193" s="173"/>
      <c r="DXR193" s="173"/>
      <c r="DXS193" s="173"/>
      <c r="DXT193" s="173"/>
      <c r="DXU193" s="173"/>
      <c r="DXV193" s="173"/>
      <c r="DXW193" s="125"/>
      <c r="DXX193" s="125"/>
      <c r="DXY193" s="134"/>
      <c r="DXZ193" s="135"/>
      <c r="DYA193" s="135"/>
      <c r="DYB193" s="135"/>
      <c r="DYC193" s="135"/>
      <c r="DYD193" s="173"/>
      <c r="DYE193" s="173"/>
      <c r="DYF193" s="173"/>
      <c r="DYG193" s="173"/>
      <c r="DYH193" s="173"/>
      <c r="DYI193" s="173"/>
      <c r="DYJ193" s="173"/>
      <c r="DYK193" s="173"/>
      <c r="DYL193" s="173"/>
      <c r="DYM193" s="173"/>
      <c r="DYN193" s="125"/>
      <c r="DYO193" s="125"/>
      <c r="DYP193" s="134"/>
      <c r="DYQ193" s="135"/>
      <c r="DYR193" s="135"/>
      <c r="DYS193" s="135"/>
      <c r="DYT193" s="135"/>
      <c r="DYU193" s="173"/>
      <c r="DYV193" s="173"/>
      <c r="DYW193" s="173"/>
      <c r="DYX193" s="173"/>
      <c r="DYY193" s="173"/>
      <c r="DYZ193" s="173"/>
      <c r="DZA193" s="173"/>
      <c r="DZB193" s="173"/>
      <c r="DZC193" s="173"/>
      <c r="DZD193" s="173"/>
      <c r="DZE193" s="125"/>
      <c r="DZF193" s="125"/>
      <c r="DZG193" s="134"/>
      <c r="DZH193" s="135"/>
      <c r="DZI193" s="135"/>
      <c r="DZJ193" s="135"/>
      <c r="DZK193" s="135"/>
      <c r="DZL193" s="173"/>
      <c r="DZM193" s="173"/>
      <c r="DZN193" s="173"/>
      <c r="DZO193" s="173"/>
      <c r="DZP193" s="173"/>
      <c r="DZQ193" s="173"/>
      <c r="DZR193" s="173"/>
      <c r="DZS193" s="173"/>
      <c r="DZT193" s="173"/>
      <c r="DZU193" s="173"/>
      <c r="DZV193" s="125"/>
      <c r="DZW193" s="125"/>
      <c r="DZX193" s="134"/>
      <c r="DZY193" s="135"/>
      <c r="DZZ193" s="135"/>
      <c r="EAA193" s="135"/>
      <c r="EAB193" s="135"/>
      <c r="EAC193" s="173"/>
      <c r="EAD193" s="173"/>
      <c r="EAE193" s="173"/>
      <c r="EAF193" s="173"/>
      <c r="EAG193" s="173"/>
      <c r="EAH193" s="173"/>
      <c r="EAI193" s="173"/>
      <c r="EAJ193" s="173"/>
      <c r="EAK193" s="173"/>
      <c r="EAL193" s="173"/>
      <c r="EAM193" s="125"/>
      <c r="EAN193" s="125"/>
      <c r="EAO193" s="134"/>
      <c r="EAP193" s="135"/>
      <c r="EAQ193" s="135"/>
      <c r="EAR193" s="135"/>
      <c r="EAS193" s="135"/>
      <c r="EAT193" s="173"/>
      <c r="EAU193" s="173"/>
      <c r="EAV193" s="173"/>
      <c r="EAW193" s="173"/>
      <c r="EAX193" s="173"/>
      <c r="EAY193" s="173"/>
      <c r="EAZ193" s="173"/>
      <c r="EBA193" s="173"/>
      <c r="EBB193" s="173"/>
      <c r="EBC193" s="173"/>
      <c r="EBD193" s="125"/>
      <c r="EBE193" s="125"/>
      <c r="EBF193" s="134"/>
      <c r="EBG193" s="135"/>
      <c r="EBH193" s="135"/>
      <c r="EBI193" s="135"/>
      <c r="EBJ193" s="135"/>
      <c r="EBK193" s="173"/>
      <c r="EBL193" s="173"/>
      <c r="EBM193" s="173"/>
      <c r="EBN193" s="173"/>
      <c r="EBO193" s="173"/>
      <c r="EBP193" s="173"/>
      <c r="EBQ193" s="173"/>
      <c r="EBR193" s="173"/>
      <c r="EBS193" s="173"/>
      <c r="EBT193" s="173"/>
      <c r="EBU193" s="125"/>
      <c r="EBV193" s="125"/>
      <c r="EBW193" s="134"/>
      <c r="EBX193" s="135"/>
      <c r="EBY193" s="135"/>
      <c r="EBZ193" s="135"/>
      <c r="ECA193" s="135"/>
      <c r="ECB193" s="173"/>
      <c r="ECC193" s="173"/>
      <c r="ECD193" s="173"/>
      <c r="ECE193" s="173"/>
      <c r="ECF193" s="173"/>
      <c r="ECG193" s="173"/>
      <c r="ECH193" s="173"/>
      <c r="ECI193" s="173"/>
      <c r="ECJ193" s="173"/>
      <c r="ECK193" s="173"/>
      <c r="ECL193" s="125"/>
      <c r="ECM193" s="125"/>
      <c r="ECN193" s="134"/>
      <c r="ECO193" s="135"/>
      <c r="ECP193" s="135"/>
      <c r="ECQ193" s="135"/>
      <c r="ECR193" s="135"/>
      <c r="ECS193" s="173"/>
      <c r="ECT193" s="173"/>
      <c r="ECU193" s="173"/>
      <c r="ECV193" s="173"/>
      <c r="ECW193" s="173"/>
      <c r="ECX193" s="173"/>
      <c r="ECY193" s="173"/>
      <c r="ECZ193" s="173"/>
      <c r="EDA193" s="173"/>
      <c r="EDB193" s="173"/>
      <c r="EDC193" s="125"/>
      <c r="EDD193" s="125"/>
      <c r="EDE193" s="134"/>
      <c r="EDF193" s="135"/>
      <c r="EDG193" s="135"/>
      <c r="EDH193" s="135"/>
      <c r="EDI193" s="135"/>
      <c r="EDJ193" s="173"/>
      <c r="EDK193" s="173"/>
      <c r="EDL193" s="173"/>
      <c r="EDM193" s="173"/>
      <c r="EDN193" s="173"/>
      <c r="EDO193" s="173"/>
      <c r="EDP193" s="173"/>
      <c r="EDQ193" s="173"/>
      <c r="EDR193" s="173"/>
      <c r="EDS193" s="173"/>
      <c r="EDT193" s="125"/>
      <c r="EDU193" s="125"/>
      <c r="EDV193" s="134"/>
      <c r="EDW193" s="135"/>
      <c r="EDX193" s="135"/>
      <c r="EDY193" s="135"/>
      <c r="EDZ193" s="135"/>
      <c r="EEA193" s="173"/>
      <c r="EEB193" s="173"/>
      <c r="EEC193" s="173"/>
      <c r="EED193" s="173"/>
      <c r="EEE193" s="173"/>
      <c r="EEF193" s="173"/>
      <c r="EEG193" s="173"/>
      <c r="EEH193" s="173"/>
      <c r="EEI193" s="173"/>
      <c r="EEJ193" s="173"/>
      <c r="EEK193" s="125"/>
      <c r="EEL193" s="125"/>
      <c r="EEM193" s="134"/>
      <c r="EEN193" s="135"/>
      <c r="EEO193" s="135"/>
      <c r="EEP193" s="135"/>
      <c r="EEQ193" s="135"/>
      <c r="EER193" s="173"/>
      <c r="EES193" s="173"/>
      <c r="EET193" s="173"/>
      <c r="EEU193" s="173"/>
      <c r="EEV193" s="173"/>
      <c r="EEW193" s="173"/>
      <c r="EEX193" s="173"/>
      <c r="EEY193" s="173"/>
      <c r="EEZ193" s="173"/>
      <c r="EFA193" s="173"/>
      <c r="EFB193" s="125"/>
      <c r="EFC193" s="125"/>
      <c r="EFD193" s="134"/>
      <c r="EFE193" s="135"/>
      <c r="EFF193" s="135"/>
      <c r="EFG193" s="135"/>
      <c r="EFH193" s="135"/>
      <c r="EFI193" s="173"/>
      <c r="EFJ193" s="173"/>
      <c r="EFK193" s="173"/>
      <c r="EFL193" s="173"/>
      <c r="EFM193" s="173"/>
      <c r="EFN193" s="173"/>
      <c r="EFO193" s="173"/>
      <c r="EFP193" s="173"/>
      <c r="EFQ193" s="173"/>
      <c r="EFR193" s="173"/>
      <c r="EFS193" s="125"/>
      <c r="EFT193" s="125"/>
      <c r="EFU193" s="134"/>
      <c r="EFV193" s="135"/>
      <c r="EFW193" s="135"/>
      <c r="EFX193" s="135"/>
      <c r="EFY193" s="135"/>
      <c r="EFZ193" s="173"/>
      <c r="EGA193" s="173"/>
      <c r="EGB193" s="173"/>
      <c r="EGC193" s="173"/>
      <c r="EGD193" s="173"/>
      <c r="EGE193" s="173"/>
      <c r="EGF193" s="173"/>
      <c r="EGG193" s="173"/>
      <c r="EGH193" s="173"/>
      <c r="EGI193" s="173"/>
      <c r="EGJ193" s="125"/>
      <c r="EGK193" s="125"/>
      <c r="EGL193" s="134"/>
      <c r="EGM193" s="135"/>
      <c r="EGN193" s="135"/>
      <c r="EGO193" s="135"/>
      <c r="EGP193" s="135"/>
      <c r="EGQ193" s="173"/>
      <c r="EGR193" s="173"/>
      <c r="EGS193" s="173"/>
      <c r="EGT193" s="173"/>
      <c r="EGU193" s="173"/>
      <c r="EGV193" s="173"/>
      <c r="EGW193" s="173"/>
      <c r="EGX193" s="173"/>
      <c r="EGY193" s="173"/>
      <c r="EGZ193" s="173"/>
      <c r="EHA193" s="125"/>
      <c r="EHB193" s="125"/>
      <c r="EHC193" s="134"/>
      <c r="EHD193" s="135"/>
      <c r="EHE193" s="135"/>
      <c r="EHF193" s="135"/>
      <c r="EHG193" s="135"/>
      <c r="EHH193" s="173"/>
      <c r="EHI193" s="173"/>
      <c r="EHJ193" s="173"/>
      <c r="EHK193" s="173"/>
      <c r="EHL193" s="173"/>
      <c r="EHM193" s="173"/>
      <c r="EHN193" s="173"/>
      <c r="EHO193" s="173"/>
      <c r="EHP193" s="173"/>
      <c r="EHQ193" s="173"/>
      <c r="EHR193" s="125"/>
      <c r="EHS193" s="125"/>
      <c r="EHT193" s="134"/>
      <c r="EHU193" s="135"/>
      <c r="EHV193" s="135"/>
      <c r="EHW193" s="135"/>
      <c r="EHX193" s="135"/>
      <c r="EHY193" s="173"/>
      <c r="EHZ193" s="173"/>
      <c r="EIA193" s="173"/>
      <c r="EIB193" s="173"/>
      <c r="EIC193" s="173"/>
      <c r="EID193" s="173"/>
      <c r="EIE193" s="173"/>
      <c r="EIF193" s="173"/>
      <c r="EIG193" s="173"/>
      <c r="EIH193" s="173"/>
      <c r="EII193" s="125"/>
      <c r="EIJ193" s="125"/>
      <c r="EIK193" s="134"/>
      <c r="EIL193" s="135"/>
      <c r="EIM193" s="135"/>
      <c r="EIN193" s="135"/>
      <c r="EIO193" s="135"/>
      <c r="EIP193" s="173"/>
      <c r="EIQ193" s="173"/>
      <c r="EIR193" s="173"/>
      <c r="EIS193" s="173"/>
      <c r="EIT193" s="173"/>
      <c r="EIU193" s="173"/>
      <c r="EIV193" s="173"/>
      <c r="EIW193" s="173"/>
      <c r="EIX193" s="173"/>
      <c r="EIY193" s="173"/>
      <c r="EIZ193" s="125"/>
      <c r="EJA193" s="125"/>
      <c r="EJB193" s="134"/>
      <c r="EJC193" s="135"/>
      <c r="EJD193" s="135"/>
      <c r="EJE193" s="135"/>
      <c r="EJF193" s="135"/>
      <c r="EJG193" s="173"/>
      <c r="EJH193" s="173"/>
      <c r="EJI193" s="173"/>
      <c r="EJJ193" s="173"/>
      <c r="EJK193" s="173"/>
      <c r="EJL193" s="173"/>
      <c r="EJM193" s="173"/>
      <c r="EJN193" s="173"/>
      <c r="EJO193" s="173"/>
      <c r="EJP193" s="173"/>
      <c r="EJQ193" s="125"/>
      <c r="EJR193" s="125"/>
      <c r="EJS193" s="134"/>
      <c r="EJT193" s="135"/>
      <c r="EJU193" s="135"/>
      <c r="EJV193" s="135"/>
      <c r="EJW193" s="135"/>
      <c r="EJX193" s="173"/>
      <c r="EJY193" s="173"/>
      <c r="EJZ193" s="173"/>
      <c r="EKA193" s="173"/>
      <c r="EKB193" s="173"/>
      <c r="EKC193" s="173"/>
      <c r="EKD193" s="173"/>
      <c r="EKE193" s="173"/>
      <c r="EKF193" s="173"/>
      <c r="EKG193" s="173"/>
      <c r="EKH193" s="125"/>
      <c r="EKI193" s="125"/>
      <c r="EKJ193" s="134"/>
      <c r="EKK193" s="135"/>
      <c r="EKL193" s="135"/>
      <c r="EKM193" s="135"/>
      <c r="EKN193" s="135"/>
      <c r="EKO193" s="173"/>
      <c r="EKP193" s="173"/>
      <c r="EKQ193" s="173"/>
      <c r="EKR193" s="173"/>
      <c r="EKS193" s="173"/>
      <c r="EKT193" s="173"/>
      <c r="EKU193" s="173"/>
      <c r="EKV193" s="173"/>
      <c r="EKW193" s="173"/>
      <c r="EKX193" s="173"/>
      <c r="EKY193" s="125"/>
      <c r="EKZ193" s="125"/>
      <c r="ELA193" s="134"/>
      <c r="ELB193" s="135"/>
      <c r="ELC193" s="135"/>
      <c r="ELD193" s="135"/>
      <c r="ELE193" s="135"/>
      <c r="ELF193" s="173"/>
      <c r="ELG193" s="173"/>
      <c r="ELH193" s="173"/>
      <c r="ELI193" s="173"/>
      <c r="ELJ193" s="173"/>
      <c r="ELK193" s="173"/>
      <c r="ELL193" s="173"/>
      <c r="ELM193" s="173"/>
      <c r="ELN193" s="173"/>
      <c r="ELO193" s="173"/>
      <c r="ELP193" s="125"/>
      <c r="ELQ193" s="125"/>
      <c r="ELR193" s="134"/>
      <c r="ELS193" s="135"/>
      <c r="ELT193" s="135"/>
      <c r="ELU193" s="135"/>
      <c r="ELV193" s="135"/>
      <c r="ELW193" s="173"/>
      <c r="ELX193" s="173"/>
      <c r="ELY193" s="173"/>
      <c r="ELZ193" s="173"/>
      <c r="EMA193" s="173"/>
      <c r="EMB193" s="173"/>
      <c r="EMC193" s="173"/>
      <c r="EMD193" s="173"/>
      <c r="EME193" s="173"/>
      <c r="EMF193" s="173"/>
      <c r="EMG193" s="125"/>
      <c r="EMH193" s="125"/>
      <c r="EMI193" s="134"/>
      <c r="EMJ193" s="135"/>
      <c r="EMK193" s="135"/>
      <c r="EML193" s="135"/>
      <c r="EMM193" s="135"/>
      <c r="EMN193" s="173"/>
      <c r="EMO193" s="173"/>
      <c r="EMP193" s="173"/>
      <c r="EMQ193" s="173"/>
      <c r="EMR193" s="173"/>
      <c r="EMS193" s="173"/>
      <c r="EMT193" s="173"/>
      <c r="EMU193" s="173"/>
      <c r="EMV193" s="173"/>
      <c r="EMW193" s="173"/>
      <c r="EMX193" s="125"/>
      <c r="EMY193" s="125"/>
      <c r="EMZ193" s="134"/>
      <c r="ENA193" s="135"/>
      <c r="ENB193" s="135"/>
      <c r="ENC193" s="135"/>
      <c r="END193" s="135"/>
      <c r="ENE193" s="173"/>
      <c r="ENF193" s="173"/>
      <c r="ENG193" s="173"/>
      <c r="ENH193" s="173"/>
      <c r="ENI193" s="173"/>
      <c r="ENJ193" s="173"/>
      <c r="ENK193" s="173"/>
      <c r="ENL193" s="173"/>
      <c r="ENM193" s="173"/>
      <c r="ENN193" s="173"/>
      <c r="ENO193" s="125"/>
      <c r="ENP193" s="125"/>
      <c r="ENQ193" s="134"/>
      <c r="ENR193" s="135"/>
      <c r="ENS193" s="135"/>
      <c r="ENT193" s="135"/>
      <c r="ENU193" s="135"/>
      <c r="ENV193" s="173"/>
      <c r="ENW193" s="173"/>
      <c r="ENX193" s="173"/>
      <c r="ENY193" s="173"/>
      <c r="ENZ193" s="173"/>
      <c r="EOA193" s="173"/>
      <c r="EOB193" s="173"/>
      <c r="EOC193" s="173"/>
      <c r="EOD193" s="173"/>
      <c r="EOE193" s="173"/>
      <c r="EOF193" s="125"/>
      <c r="EOG193" s="125"/>
      <c r="EOH193" s="134"/>
      <c r="EOI193" s="135"/>
      <c r="EOJ193" s="135"/>
      <c r="EOK193" s="135"/>
      <c r="EOL193" s="135"/>
      <c r="EOM193" s="173"/>
      <c r="EON193" s="173"/>
      <c r="EOO193" s="173"/>
      <c r="EOP193" s="173"/>
      <c r="EOQ193" s="173"/>
      <c r="EOR193" s="173"/>
      <c r="EOS193" s="173"/>
      <c r="EOT193" s="173"/>
      <c r="EOU193" s="173"/>
      <c r="EOV193" s="173"/>
      <c r="EOW193" s="125"/>
      <c r="EOX193" s="125"/>
      <c r="EOY193" s="134"/>
      <c r="EOZ193" s="135"/>
      <c r="EPA193" s="135"/>
      <c r="EPB193" s="135"/>
      <c r="EPC193" s="135"/>
      <c r="EPD193" s="173"/>
      <c r="EPE193" s="173"/>
      <c r="EPF193" s="173"/>
      <c r="EPG193" s="173"/>
      <c r="EPH193" s="173"/>
      <c r="EPI193" s="173"/>
      <c r="EPJ193" s="173"/>
      <c r="EPK193" s="173"/>
      <c r="EPL193" s="173"/>
      <c r="EPM193" s="173"/>
      <c r="EPN193" s="125"/>
      <c r="EPO193" s="125"/>
      <c r="EPP193" s="134"/>
      <c r="EPQ193" s="135"/>
      <c r="EPR193" s="135"/>
      <c r="EPS193" s="135"/>
      <c r="EPT193" s="135"/>
      <c r="EPU193" s="173"/>
      <c r="EPV193" s="173"/>
      <c r="EPW193" s="173"/>
      <c r="EPX193" s="173"/>
      <c r="EPY193" s="173"/>
      <c r="EPZ193" s="173"/>
      <c r="EQA193" s="173"/>
      <c r="EQB193" s="173"/>
      <c r="EQC193" s="173"/>
      <c r="EQD193" s="173"/>
      <c r="EQE193" s="125"/>
      <c r="EQF193" s="125"/>
      <c r="EQG193" s="134"/>
      <c r="EQH193" s="135"/>
      <c r="EQI193" s="135"/>
      <c r="EQJ193" s="135"/>
      <c r="EQK193" s="135"/>
      <c r="EQL193" s="173"/>
      <c r="EQM193" s="173"/>
      <c r="EQN193" s="173"/>
      <c r="EQO193" s="173"/>
      <c r="EQP193" s="173"/>
      <c r="EQQ193" s="173"/>
      <c r="EQR193" s="173"/>
      <c r="EQS193" s="173"/>
      <c r="EQT193" s="173"/>
      <c r="EQU193" s="173"/>
      <c r="EQV193" s="125"/>
      <c r="EQW193" s="125"/>
      <c r="EQX193" s="134"/>
      <c r="EQY193" s="135"/>
      <c r="EQZ193" s="135"/>
      <c r="ERA193" s="135"/>
      <c r="ERB193" s="135"/>
      <c r="ERC193" s="173"/>
      <c r="ERD193" s="173"/>
      <c r="ERE193" s="173"/>
      <c r="ERF193" s="173"/>
      <c r="ERG193" s="173"/>
      <c r="ERH193" s="173"/>
      <c r="ERI193" s="173"/>
      <c r="ERJ193" s="173"/>
      <c r="ERK193" s="173"/>
      <c r="ERL193" s="173"/>
      <c r="ERM193" s="125"/>
      <c r="ERN193" s="125"/>
      <c r="ERO193" s="134"/>
      <c r="ERP193" s="135"/>
      <c r="ERQ193" s="135"/>
      <c r="ERR193" s="135"/>
      <c r="ERS193" s="135"/>
      <c r="ERT193" s="173"/>
      <c r="ERU193" s="173"/>
      <c r="ERV193" s="173"/>
      <c r="ERW193" s="173"/>
      <c r="ERX193" s="173"/>
      <c r="ERY193" s="173"/>
      <c r="ERZ193" s="173"/>
      <c r="ESA193" s="173"/>
      <c r="ESB193" s="173"/>
      <c r="ESC193" s="173"/>
      <c r="ESD193" s="125"/>
      <c r="ESE193" s="125"/>
      <c r="ESF193" s="134"/>
      <c r="ESG193" s="135"/>
      <c r="ESH193" s="135"/>
      <c r="ESI193" s="135"/>
      <c r="ESJ193" s="135"/>
      <c r="ESK193" s="173"/>
      <c r="ESL193" s="173"/>
      <c r="ESM193" s="173"/>
      <c r="ESN193" s="173"/>
      <c r="ESO193" s="173"/>
      <c r="ESP193" s="173"/>
      <c r="ESQ193" s="173"/>
      <c r="ESR193" s="173"/>
      <c r="ESS193" s="173"/>
      <c r="EST193" s="173"/>
      <c r="ESU193" s="125"/>
      <c r="ESV193" s="125"/>
      <c r="ESW193" s="134"/>
      <c r="ESX193" s="135"/>
      <c r="ESY193" s="135"/>
      <c r="ESZ193" s="135"/>
      <c r="ETA193" s="135"/>
      <c r="ETB193" s="173"/>
      <c r="ETC193" s="173"/>
      <c r="ETD193" s="173"/>
      <c r="ETE193" s="173"/>
      <c r="ETF193" s="173"/>
      <c r="ETG193" s="173"/>
      <c r="ETH193" s="173"/>
      <c r="ETI193" s="173"/>
      <c r="ETJ193" s="173"/>
      <c r="ETK193" s="173"/>
      <c r="ETL193" s="125"/>
      <c r="ETM193" s="125"/>
      <c r="ETN193" s="134"/>
      <c r="ETO193" s="135"/>
      <c r="ETP193" s="135"/>
      <c r="ETQ193" s="135"/>
      <c r="ETR193" s="135"/>
      <c r="ETS193" s="173"/>
      <c r="ETT193" s="173"/>
      <c r="ETU193" s="173"/>
      <c r="ETV193" s="173"/>
      <c r="ETW193" s="173"/>
      <c r="ETX193" s="173"/>
      <c r="ETY193" s="173"/>
      <c r="ETZ193" s="173"/>
      <c r="EUA193" s="173"/>
      <c r="EUB193" s="173"/>
      <c r="EUC193" s="125"/>
      <c r="EUD193" s="125"/>
      <c r="EUE193" s="134"/>
      <c r="EUF193" s="135"/>
      <c r="EUG193" s="135"/>
      <c r="EUH193" s="135"/>
      <c r="EUI193" s="135"/>
      <c r="EUJ193" s="173"/>
      <c r="EUK193" s="173"/>
      <c r="EUL193" s="173"/>
      <c r="EUM193" s="173"/>
      <c r="EUN193" s="173"/>
      <c r="EUO193" s="173"/>
      <c r="EUP193" s="173"/>
      <c r="EUQ193" s="173"/>
      <c r="EUR193" s="173"/>
      <c r="EUS193" s="173"/>
      <c r="EUT193" s="125"/>
      <c r="EUU193" s="125"/>
      <c r="EUV193" s="134"/>
      <c r="EUW193" s="135"/>
      <c r="EUX193" s="135"/>
      <c r="EUY193" s="135"/>
      <c r="EUZ193" s="135"/>
      <c r="EVA193" s="173"/>
      <c r="EVB193" s="173"/>
      <c r="EVC193" s="173"/>
      <c r="EVD193" s="173"/>
      <c r="EVE193" s="173"/>
      <c r="EVF193" s="173"/>
      <c r="EVG193" s="173"/>
      <c r="EVH193" s="173"/>
      <c r="EVI193" s="173"/>
      <c r="EVJ193" s="173"/>
      <c r="EVK193" s="125"/>
      <c r="EVL193" s="125"/>
      <c r="EVM193" s="134"/>
      <c r="EVN193" s="135"/>
      <c r="EVO193" s="135"/>
      <c r="EVP193" s="135"/>
      <c r="EVQ193" s="135"/>
      <c r="EVR193" s="173"/>
      <c r="EVS193" s="173"/>
      <c r="EVT193" s="173"/>
      <c r="EVU193" s="173"/>
      <c r="EVV193" s="173"/>
      <c r="EVW193" s="173"/>
      <c r="EVX193" s="173"/>
      <c r="EVY193" s="173"/>
      <c r="EVZ193" s="173"/>
      <c r="EWA193" s="173"/>
      <c r="EWB193" s="125"/>
      <c r="EWC193" s="125"/>
      <c r="EWD193" s="134"/>
      <c r="EWE193" s="135"/>
      <c r="EWF193" s="135"/>
      <c r="EWG193" s="135"/>
      <c r="EWH193" s="135"/>
      <c r="EWI193" s="173"/>
      <c r="EWJ193" s="173"/>
      <c r="EWK193" s="173"/>
      <c r="EWL193" s="173"/>
      <c r="EWM193" s="173"/>
      <c r="EWN193" s="173"/>
      <c r="EWO193" s="173"/>
      <c r="EWP193" s="173"/>
      <c r="EWQ193" s="173"/>
      <c r="EWR193" s="173"/>
      <c r="EWS193" s="125"/>
      <c r="EWT193" s="125"/>
      <c r="EWU193" s="134"/>
      <c r="EWV193" s="135"/>
      <c r="EWW193" s="135"/>
      <c r="EWX193" s="135"/>
      <c r="EWY193" s="135"/>
      <c r="EWZ193" s="173"/>
      <c r="EXA193" s="173"/>
      <c r="EXB193" s="173"/>
      <c r="EXC193" s="173"/>
      <c r="EXD193" s="173"/>
      <c r="EXE193" s="173"/>
      <c r="EXF193" s="173"/>
      <c r="EXG193" s="173"/>
      <c r="EXH193" s="173"/>
      <c r="EXI193" s="173"/>
      <c r="EXJ193" s="125"/>
      <c r="EXK193" s="125"/>
      <c r="EXL193" s="134"/>
      <c r="EXM193" s="135"/>
      <c r="EXN193" s="135"/>
      <c r="EXO193" s="135"/>
      <c r="EXP193" s="135"/>
      <c r="EXQ193" s="173"/>
      <c r="EXR193" s="173"/>
      <c r="EXS193" s="173"/>
      <c r="EXT193" s="173"/>
      <c r="EXU193" s="173"/>
      <c r="EXV193" s="173"/>
      <c r="EXW193" s="173"/>
      <c r="EXX193" s="173"/>
      <c r="EXY193" s="173"/>
      <c r="EXZ193" s="173"/>
      <c r="EYA193" s="125"/>
      <c r="EYB193" s="125"/>
      <c r="EYC193" s="134"/>
      <c r="EYD193" s="135"/>
      <c r="EYE193" s="135"/>
      <c r="EYF193" s="135"/>
      <c r="EYG193" s="135"/>
      <c r="EYH193" s="173"/>
      <c r="EYI193" s="173"/>
      <c r="EYJ193" s="173"/>
      <c r="EYK193" s="173"/>
      <c r="EYL193" s="173"/>
      <c r="EYM193" s="173"/>
      <c r="EYN193" s="173"/>
      <c r="EYO193" s="173"/>
      <c r="EYP193" s="173"/>
      <c r="EYQ193" s="173"/>
      <c r="EYR193" s="125"/>
      <c r="EYS193" s="125"/>
      <c r="EYT193" s="134"/>
      <c r="EYU193" s="135"/>
      <c r="EYV193" s="135"/>
      <c r="EYW193" s="135"/>
      <c r="EYX193" s="135"/>
      <c r="EYY193" s="173"/>
      <c r="EYZ193" s="173"/>
      <c r="EZA193" s="173"/>
      <c r="EZB193" s="173"/>
      <c r="EZC193" s="173"/>
      <c r="EZD193" s="173"/>
      <c r="EZE193" s="173"/>
      <c r="EZF193" s="173"/>
      <c r="EZG193" s="173"/>
      <c r="EZH193" s="173"/>
      <c r="EZI193" s="125"/>
      <c r="EZJ193" s="125"/>
      <c r="EZK193" s="134"/>
      <c r="EZL193" s="135"/>
      <c r="EZM193" s="135"/>
      <c r="EZN193" s="135"/>
      <c r="EZO193" s="135"/>
      <c r="EZP193" s="173"/>
      <c r="EZQ193" s="173"/>
      <c r="EZR193" s="173"/>
      <c r="EZS193" s="173"/>
      <c r="EZT193" s="173"/>
      <c r="EZU193" s="173"/>
      <c r="EZV193" s="173"/>
      <c r="EZW193" s="173"/>
      <c r="EZX193" s="173"/>
      <c r="EZY193" s="173"/>
      <c r="EZZ193" s="125"/>
      <c r="FAA193" s="125"/>
      <c r="FAB193" s="134"/>
      <c r="FAC193" s="135"/>
      <c r="FAD193" s="135"/>
      <c r="FAE193" s="135"/>
      <c r="FAF193" s="135"/>
      <c r="FAG193" s="173"/>
      <c r="FAH193" s="173"/>
      <c r="FAI193" s="173"/>
      <c r="FAJ193" s="173"/>
      <c r="FAK193" s="173"/>
      <c r="FAL193" s="173"/>
      <c r="FAM193" s="173"/>
      <c r="FAN193" s="173"/>
      <c r="FAO193" s="173"/>
      <c r="FAP193" s="173"/>
      <c r="FAQ193" s="125"/>
      <c r="FAR193" s="125"/>
      <c r="FAS193" s="134"/>
      <c r="FAT193" s="135"/>
      <c r="FAU193" s="135"/>
      <c r="FAV193" s="135"/>
      <c r="FAW193" s="135"/>
      <c r="FAX193" s="173"/>
      <c r="FAY193" s="173"/>
      <c r="FAZ193" s="173"/>
      <c r="FBA193" s="173"/>
      <c r="FBB193" s="173"/>
      <c r="FBC193" s="173"/>
      <c r="FBD193" s="173"/>
      <c r="FBE193" s="173"/>
      <c r="FBF193" s="173"/>
      <c r="FBG193" s="173"/>
      <c r="FBH193" s="125"/>
      <c r="FBI193" s="125"/>
      <c r="FBJ193" s="134"/>
      <c r="FBK193" s="135"/>
      <c r="FBL193" s="135"/>
      <c r="FBM193" s="135"/>
      <c r="FBN193" s="135"/>
      <c r="FBO193" s="173"/>
      <c r="FBP193" s="173"/>
      <c r="FBQ193" s="173"/>
      <c r="FBR193" s="173"/>
      <c r="FBS193" s="173"/>
      <c r="FBT193" s="173"/>
      <c r="FBU193" s="173"/>
      <c r="FBV193" s="173"/>
      <c r="FBW193" s="173"/>
      <c r="FBX193" s="173"/>
      <c r="FBY193" s="125"/>
      <c r="FBZ193" s="125"/>
      <c r="FCA193" s="134"/>
      <c r="FCB193" s="135"/>
      <c r="FCC193" s="135"/>
      <c r="FCD193" s="135"/>
      <c r="FCE193" s="135"/>
      <c r="FCF193" s="173"/>
      <c r="FCG193" s="173"/>
      <c r="FCH193" s="173"/>
      <c r="FCI193" s="173"/>
      <c r="FCJ193" s="173"/>
      <c r="FCK193" s="173"/>
      <c r="FCL193" s="173"/>
      <c r="FCM193" s="173"/>
      <c r="FCN193" s="173"/>
      <c r="FCO193" s="173"/>
      <c r="FCP193" s="125"/>
      <c r="FCQ193" s="125"/>
      <c r="FCR193" s="134"/>
      <c r="FCS193" s="135"/>
      <c r="FCT193" s="135"/>
      <c r="FCU193" s="135"/>
      <c r="FCV193" s="135"/>
      <c r="FCW193" s="173"/>
      <c r="FCX193" s="173"/>
      <c r="FCY193" s="173"/>
      <c r="FCZ193" s="173"/>
      <c r="FDA193" s="173"/>
      <c r="FDB193" s="173"/>
      <c r="FDC193" s="173"/>
      <c r="FDD193" s="173"/>
      <c r="FDE193" s="173"/>
      <c r="FDF193" s="173"/>
      <c r="FDG193" s="125"/>
      <c r="FDH193" s="125"/>
      <c r="FDI193" s="134"/>
      <c r="FDJ193" s="135"/>
      <c r="FDK193" s="135"/>
      <c r="FDL193" s="135"/>
      <c r="FDM193" s="135"/>
      <c r="FDN193" s="173"/>
      <c r="FDO193" s="173"/>
      <c r="FDP193" s="173"/>
      <c r="FDQ193" s="173"/>
      <c r="FDR193" s="173"/>
      <c r="FDS193" s="173"/>
      <c r="FDT193" s="173"/>
      <c r="FDU193" s="173"/>
      <c r="FDV193" s="173"/>
      <c r="FDW193" s="173"/>
      <c r="FDX193" s="125"/>
      <c r="FDY193" s="125"/>
      <c r="FDZ193" s="134"/>
      <c r="FEA193" s="135"/>
      <c r="FEB193" s="135"/>
      <c r="FEC193" s="135"/>
      <c r="FED193" s="135"/>
      <c r="FEE193" s="173"/>
      <c r="FEF193" s="173"/>
      <c r="FEG193" s="173"/>
      <c r="FEH193" s="173"/>
      <c r="FEI193" s="173"/>
      <c r="FEJ193" s="173"/>
      <c r="FEK193" s="173"/>
      <c r="FEL193" s="173"/>
      <c r="FEM193" s="173"/>
      <c r="FEN193" s="173"/>
      <c r="FEO193" s="125"/>
      <c r="FEP193" s="125"/>
      <c r="FEQ193" s="134"/>
      <c r="FER193" s="135"/>
      <c r="FES193" s="135"/>
      <c r="FET193" s="135"/>
      <c r="FEU193" s="135"/>
      <c r="FEV193" s="173"/>
      <c r="FEW193" s="173"/>
      <c r="FEX193" s="173"/>
      <c r="FEY193" s="173"/>
      <c r="FEZ193" s="173"/>
      <c r="FFA193" s="173"/>
      <c r="FFB193" s="173"/>
      <c r="FFC193" s="173"/>
      <c r="FFD193" s="173"/>
      <c r="FFE193" s="173"/>
      <c r="FFF193" s="125"/>
      <c r="FFG193" s="125"/>
      <c r="FFH193" s="134"/>
      <c r="FFI193" s="135"/>
      <c r="FFJ193" s="135"/>
      <c r="FFK193" s="135"/>
      <c r="FFL193" s="135"/>
      <c r="FFM193" s="173"/>
      <c r="FFN193" s="173"/>
      <c r="FFO193" s="173"/>
      <c r="FFP193" s="173"/>
      <c r="FFQ193" s="173"/>
      <c r="FFR193" s="173"/>
      <c r="FFS193" s="173"/>
      <c r="FFT193" s="173"/>
      <c r="FFU193" s="173"/>
      <c r="FFV193" s="173"/>
      <c r="FFW193" s="125"/>
      <c r="FFX193" s="125"/>
      <c r="FFY193" s="134"/>
      <c r="FFZ193" s="135"/>
      <c r="FGA193" s="135"/>
      <c r="FGB193" s="135"/>
      <c r="FGC193" s="135"/>
      <c r="FGD193" s="173"/>
      <c r="FGE193" s="173"/>
      <c r="FGF193" s="173"/>
      <c r="FGG193" s="173"/>
      <c r="FGH193" s="173"/>
      <c r="FGI193" s="173"/>
      <c r="FGJ193" s="173"/>
      <c r="FGK193" s="173"/>
      <c r="FGL193" s="173"/>
      <c r="FGM193" s="173"/>
      <c r="FGN193" s="125"/>
      <c r="FGO193" s="125"/>
      <c r="FGP193" s="134"/>
      <c r="FGQ193" s="135"/>
      <c r="FGR193" s="135"/>
      <c r="FGS193" s="135"/>
      <c r="FGT193" s="135"/>
      <c r="FGU193" s="173"/>
      <c r="FGV193" s="173"/>
      <c r="FGW193" s="173"/>
      <c r="FGX193" s="173"/>
      <c r="FGY193" s="173"/>
      <c r="FGZ193" s="173"/>
      <c r="FHA193" s="173"/>
      <c r="FHB193" s="173"/>
      <c r="FHC193" s="173"/>
      <c r="FHD193" s="173"/>
      <c r="FHE193" s="125"/>
      <c r="FHF193" s="125"/>
      <c r="FHG193" s="134"/>
      <c r="FHH193" s="135"/>
      <c r="FHI193" s="135"/>
      <c r="FHJ193" s="135"/>
      <c r="FHK193" s="135"/>
      <c r="FHL193" s="173"/>
      <c r="FHM193" s="173"/>
      <c r="FHN193" s="173"/>
      <c r="FHO193" s="173"/>
      <c r="FHP193" s="173"/>
      <c r="FHQ193" s="173"/>
      <c r="FHR193" s="173"/>
      <c r="FHS193" s="173"/>
      <c r="FHT193" s="173"/>
      <c r="FHU193" s="173"/>
      <c r="FHV193" s="125"/>
      <c r="FHW193" s="125"/>
      <c r="FHX193" s="134"/>
      <c r="FHY193" s="135"/>
      <c r="FHZ193" s="135"/>
      <c r="FIA193" s="135"/>
      <c r="FIB193" s="135"/>
      <c r="FIC193" s="173"/>
      <c r="FID193" s="173"/>
      <c r="FIE193" s="173"/>
      <c r="FIF193" s="173"/>
      <c r="FIG193" s="173"/>
      <c r="FIH193" s="173"/>
      <c r="FII193" s="173"/>
      <c r="FIJ193" s="173"/>
      <c r="FIK193" s="173"/>
      <c r="FIL193" s="173"/>
      <c r="FIM193" s="125"/>
      <c r="FIN193" s="125"/>
      <c r="FIO193" s="134"/>
      <c r="FIP193" s="135"/>
      <c r="FIQ193" s="135"/>
      <c r="FIR193" s="135"/>
      <c r="FIS193" s="135"/>
      <c r="FIT193" s="173"/>
      <c r="FIU193" s="173"/>
      <c r="FIV193" s="173"/>
      <c r="FIW193" s="173"/>
      <c r="FIX193" s="173"/>
      <c r="FIY193" s="173"/>
      <c r="FIZ193" s="173"/>
      <c r="FJA193" s="173"/>
      <c r="FJB193" s="173"/>
      <c r="FJC193" s="173"/>
      <c r="FJD193" s="125"/>
      <c r="FJE193" s="125"/>
      <c r="FJF193" s="134"/>
      <c r="FJG193" s="135"/>
      <c r="FJH193" s="135"/>
      <c r="FJI193" s="135"/>
      <c r="FJJ193" s="135"/>
      <c r="FJK193" s="173"/>
      <c r="FJL193" s="173"/>
      <c r="FJM193" s="173"/>
      <c r="FJN193" s="173"/>
      <c r="FJO193" s="173"/>
      <c r="FJP193" s="173"/>
      <c r="FJQ193" s="173"/>
      <c r="FJR193" s="173"/>
      <c r="FJS193" s="173"/>
      <c r="FJT193" s="173"/>
      <c r="FJU193" s="125"/>
      <c r="FJV193" s="125"/>
      <c r="FJW193" s="134"/>
      <c r="FJX193" s="135"/>
      <c r="FJY193" s="135"/>
      <c r="FJZ193" s="135"/>
      <c r="FKA193" s="135"/>
      <c r="FKB193" s="173"/>
      <c r="FKC193" s="173"/>
      <c r="FKD193" s="173"/>
      <c r="FKE193" s="173"/>
      <c r="FKF193" s="173"/>
      <c r="FKG193" s="173"/>
      <c r="FKH193" s="173"/>
      <c r="FKI193" s="173"/>
      <c r="FKJ193" s="173"/>
      <c r="FKK193" s="173"/>
      <c r="FKL193" s="125"/>
      <c r="FKM193" s="125"/>
      <c r="FKN193" s="134"/>
      <c r="FKO193" s="135"/>
      <c r="FKP193" s="135"/>
      <c r="FKQ193" s="135"/>
      <c r="FKR193" s="135"/>
      <c r="FKS193" s="173"/>
      <c r="FKT193" s="173"/>
      <c r="FKU193" s="173"/>
      <c r="FKV193" s="173"/>
      <c r="FKW193" s="173"/>
      <c r="FKX193" s="173"/>
      <c r="FKY193" s="173"/>
      <c r="FKZ193" s="173"/>
      <c r="FLA193" s="173"/>
      <c r="FLB193" s="173"/>
      <c r="FLC193" s="125"/>
      <c r="FLD193" s="125"/>
      <c r="FLE193" s="134"/>
      <c r="FLF193" s="135"/>
      <c r="FLG193" s="135"/>
      <c r="FLH193" s="135"/>
      <c r="FLI193" s="135"/>
      <c r="FLJ193" s="173"/>
      <c r="FLK193" s="173"/>
      <c r="FLL193" s="173"/>
      <c r="FLM193" s="173"/>
      <c r="FLN193" s="173"/>
      <c r="FLO193" s="173"/>
      <c r="FLP193" s="173"/>
      <c r="FLQ193" s="173"/>
      <c r="FLR193" s="173"/>
      <c r="FLS193" s="173"/>
      <c r="FLT193" s="125"/>
      <c r="FLU193" s="125"/>
      <c r="FLV193" s="134"/>
      <c r="FLW193" s="135"/>
      <c r="FLX193" s="135"/>
      <c r="FLY193" s="135"/>
      <c r="FLZ193" s="135"/>
      <c r="FMA193" s="173"/>
      <c r="FMB193" s="173"/>
      <c r="FMC193" s="173"/>
      <c r="FMD193" s="173"/>
      <c r="FME193" s="173"/>
      <c r="FMF193" s="173"/>
      <c r="FMG193" s="173"/>
      <c r="FMH193" s="173"/>
      <c r="FMI193" s="173"/>
      <c r="FMJ193" s="173"/>
      <c r="FMK193" s="125"/>
      <c r="FML193" s="125"/>
      <c r="FMM193" s="134"/>
      <c r="FMN193" s="135"/>
      <c r="FMO193" s="135"/>
      <c r="FMP193" s="135"/>
      <c r="FMQ193" s="135"/>
      <c r="FMR193" s="173"/>
      <c r="FMS193" s="173"/>
      <c r="FMT193" s="173"/>
      <c r="FMU193" s="173"/>
      <c r="FMV193" s="173"/>
      <c r="FMW193" s="173"/>
      <c r="FMX193" s="173"/>
      <c r="FMY193" s="173"/>
      <c r="FMZ193" s="173"/>
      <c r="FNA193" s="173"/>
      <c r="FNB193" s="125"/>
      <c r="FNC193" s="125"/>
      <c r="FND193" s="134"/>
      <c r="FNE193" s="135"/>
      <c r="FNF193" s="135"/>
      <c r="FNG193" s="135"/>
      <c r="FNH193" s="135"/>
      <c r="FNI193" s="173"/>
      <c r="FNJ193" s="173"/>
      <c r="FNK193" s="173"/>
      <c r="FNL193" s="173"/>
      <c r="FNM193" s="173"/>
      <c r="FNN193" s="173"/>
      <c r="FNO193" s="173"/>
      <c r="FNP193" s="173"/>
      <c r="FNQ193" s="173"/>
      <c r="FNR193" s="173"/>
      <c r="FNS193" s="125"/>
      <c r="FNT193" s="125"/>
      <c r="FNU193" s="134"/>
      <c r="FNV193" s="135"/>
      <c r="FNW193" s="135"/>
      <c r="FNX193" s="135"/>
      <c r="FNY193" s="135"/>
      <c r="FNZ193" s="173"/>
      <c r="FOA193" s="173"/>
      <c r="FOB193" s="173"/>
      <c r="FOC193" s="173"/>
      <c r="FOD193" s="173"/>
      <c r="FOE193" s="173"/>
      <c r="FOF193" s="173"/>
      <c r="FOG193" s="173"/>
      <c r="FOH193" s="173"/>
      <c r="FOI193" s="173"/>
      <c r="FOJ193" s="125"/>
      <c r="FOK193" s="125"/>
      <c r="FOL193" s="134"/>
      <c r="FOM193" s="135"/>
      <c r="FON193" s="135"/>
      <c r="FOO193" s="135"/>
      <c r="FOP193" s="135"/>
      <c r="FOQ193" s="173"/>
      <c r="FOR193" s="173"/>
      <c r="FOS193" s="173"/>
      <c r="FOT193" s="173"/>
      <c r="FOU193" s="173"/>
      <c r="FOV193" s="173"/>
      <c r="FOW193" s="173"/>
      <c r="FOX193" s="173"/>
      <c r="FOY193" s="173"/>
      <c r="FOZ193" s="173"/>
      <c r="FPA193" s="125"/>
      <c r="FPB193" s="125"/>
      <c r="FPC193" s="134"/>
      <c r="FPD193" s="135"/>
      <c r="FPE193" s="135"/>
      <c r="FPF193" s="135"/>
      <c r="FPG193" s="135"/>
      <c r="FPH193" s="173"/>
      <c r="FPI193" s="173"/>
      <c r="FPJ193" s="173"/>
      <c r="FPK193" s="173"/>
      <c r="FPL193" s="173"/>
      <c r="FPM193" s="173"/>
      <c r="FPN193" s="173"/>
      <c r="FPO193" s="173"/>
      <c r="FPP193" s="173"/>
      <c r="FPQ193" s="173"/>
      <c r="FPR193" s="125"/>
      <c r="FPS193" s="125"/>
      <c r="FPT193" s="134"/>
      <c r="FPU193" s="135"/>
      <c r="FPV193" s="135"/>
      <c r="FPW193" s="135"/>
      <c r="FPX193" s="135"/>
      <c r="FPY193" s="173"/>
      <c r="FPZ193" s="173"/>
      <c r="FQA193" s="173"/>
      <c r="FQB193" s="173"/>
      <c r="FQC193" s="173"/>
      <c r="FQD193" s="173"/>
      <c r="FQE193" s="173"/>
      <c r="FQF193" s="173"/>
      <c r="FQG193" s="173"/>
      <c r="FQH193" s="173"/>
      <c r="FQI193" s="125"/>
      <c r="FQJ193" s="125"/>
      <c r="FQK193" s="134"/>
      <c r="FQL193" s="135"/>
      <c r="FQM193" s="135"/>
      <c r="FQN193" s="135"/>
      <c r="FQO193" s="135"/>
      <c r="FQP193" s="173"/>
      <c r="FQQ193" s="173"/>
      <c r="FQR193" s="173"/>
      <c r="FQS193" s="173"/>
      <c r="FQT193" s="173"/>
      <c r="FQU193" s="173"/>
      <c r="FQV193" s="173"/>
      <c r="FQW193" s="173"/>
      <c r="FQX193" s="173"/>
      <c r="FQY193" s="173"/>
      <c r="FQZ193" s="125"/>
      <c r="FRA193" s="125"/>
      <c r="FRB193" s="134"/>
      <c r="FRC193" s="135"/>
      <c r="FRD193" s="135"/>
      <c r="FRE193" s="135"/>
      <c r="FRF193" s="135"/>
      <c r="FRG193" s="173"/>
      <c r="FRH193" s="173"/>
      <c r="FRI193" s="173"/>
      <c r="FRJ193" s="173"/>
      <c r="FRK193" s="173"/>
      <c r="FRL193" s="173"/>
      <c r="FRM193" s="173"/>
      <c r="FRN193" s="173"/>
      <c r="FRO193" s="173"/>
      <c r="FRP193" s="173"/>
      <c r="FRQ193" s="125"/>
      <c r="FRR193" s="125"/>
      <c r="FRS193" s="134"/>
      <c r="FRT193" s="135"/>
      <c r="FRU193" s="135"/>
      <c r="FRV193" s="135"/>
      <c r="FRW193" s="135"/>
      <c r="FRX193" s="173"/>
      <c r="FRY193" s="173"/>
      <c r="FRZ193" s="173"/>
      <c r="FSA193" s="173"/>
      <c r="FSB193" s="173"/>
      <c r="FSC193" s="173"/>
      <c r="FSD193" s="173"/>
      <c r="FSE193" s="173"/>
      <c r="FSF193" s="173"/>
      <c r="FSG193" s="173"/>
      <c r="FSH193" s="125"/>
      <c r="FSI193" s="125"/>
      <c r="FSJ193" s="134"/>
      <c r="FSK193" s="135"/>
      <c r="FSL193" s="135"/>
      <c r="FSM193" s="135"/>
      <c r="FSN193" s="135"/>
      <c r="FSO193" s="173"/>
      <c r="FSP193" s="173"/>
      <c r="FSQ193" s="173"/>
      <c r="FSR193" s="173"/>
      <c r="FSS193" s="173"/>
      <c r="FST193" s="173"/>
      <c r="FSU193" s="173"/>
      <c r="FSV193" s="173"/>
      <c r="FSW193" s="173"/>
      <c r="FSX193" s="173"/>
      <c r="FSY193" s="125"/>
      <c r="FSZ193" s="125"/>
      <c r="FTA193" s="134"/>
      <c r="FTB193" s="135"/>
      <c r="FTC193" s="135"/>
      <c r="FTD193" s="135"/>
      <c r="FTE193" s="135"/>
      <c r="FTF193" s="173"/>
      <c r="FTG193" s="173"/>
      <c r="FTH193" s="173"/>
      <c r="FTI193" s="173"/>
      <c r="FTJ193" s="173"/>
      <c r="FTK193" s="173"/>
      <c r="FTL193" s="173"/>
      <c r="FTM193" s="173"/>
      <c r="FTN193" s="173"/>
      <c r="FTO193" s="173"/>
      <c r="FTP193" s="125"/>
      <c r="FTQ193" s="125"/>
      <c r="FTR193" s="134"/>
      <c r="FTS193" s="135"/>
      <c r="FTT193" s="135"/>
      <c r="FTU193" s="135"/>
      <c r="FTV193" s="135"/>
      <c r="FTW193" s="173"/>
      <c r="FTX193" s="173"/>
      <c r="FTY193" s="173"/>
      <c r="FTZ193" s="173"/>
      <c r="FUA193" s="173"/>
      <c r="FUB193" s="173"/>
      <c r="FUC193" s="173"/>
      <c r="FUD193" s="173"/>
      <c r="FUE193" s="173"/>
      <c r="FUF193" s="173"/>
      <c r="FUG193" s="125"/>
      <c r="FUH193" s="125"/>
      <c r="FUI193" s="134"/>
      <c r="FUJ193" s="135"/>
      <c r="FUK193" s="135"/>
      <c r="FUL193" s="135"/>
      <c r="FUM193" s="135"/>
      <c r="FUN193" s="173"/>
      <c r="FUO193" s="173"/>
      <c r="FUP193" s="173"/>
      <c r="FUQ193" s="173"/>
      <c r="FUR193" s="173"/>
      <c r="FUS193" s="173"/>
      <c r="FUT193" s="173"/>
      <c r="FUU193" s="173"/>
      <c r="FUV193" s="173"/>
      <c r="FUW193" s="173"/>
      <c r="FUX193" s="125"/>
      <c r="FUY193" s="125"/>
      <c r="FUZ193" s="134"/>
      <c r="FVA193" s="135"/>
      <c r="FVB193" s="135"/>
      <c r="FVC193" s="135"/>
      <c r="FVD193" s="135"/>
      <c r="FVE193" s="173"/>
      <c r="FVF193" s="173"/>
      <c r="FVG193" s="173"/>
      <c r="FVH193" s="173"/>
      <c r="FVI193" s="173"/>
      <c r="FVJ193" s="173"/>
      <c r="FVK193" s="173"/>
      <c r="FVL193" s="173"/>
      <c r="FVM193" s="173"/>
      <c r="FVN193" s="173"/>
      <c r="FVO193" s="125"/>
      <c r="FVP193" s="125"/>
      <c r="FVQ193" s="134"/>
      <c r="FVR193" s="135"/>
      <c r="FVS193" s="135"/>
      <c r="FVT193" s="135"/>
      <c r="FVU193" s="135"/>
      <c r="FVV193" s="173"/>
      <c r="FVW193" s="173"/>
      <c r="FVX193" s="173"/>
      <c r="FVY193" s="173"/>
      <c r="FVZ193" s="173"/>
      <c r="FWA193" s="173"/>
      <c r="FWB193" s="173"/>
      <c r="FWC193" s="173"/>
      <c r="FWD193" s="173"/>
      <c r="FWE193" s="173"/>
      <c r="FWF193" s="125"/>
      <c r="FWG193" s="125"/>
      <c r="FWH193" s="134"/>
      <c r="FWI193" s="135"/>
      <c r="FWJ193" s="135"/>
      <c r="FWK193" s="135"/>
      <c r="FWL193" s="135"/>
      <c r="FWM193" s="173"/>
      <c r="FWN193" s="173"/>
      <c r="FWO193" s="173"/>
      <c r="FWP193" s="173"/>
      <c r="FWQ193" s="173"/>
      <c r="FWR193" s="173"/>
      <c r="FWS193" s="173"/>
      <c r="FWT193" s="173"/>
      <c r="FWU193" s="173"/>
      <c r="FWV193" s="173"/>
      <c r="FWW193" s="125"/>
      <c r="FWX193" s="125"/>
      <c r="FWY193" s="134"/>
      <c r="FWZ193" s="135"/>
      <c r="FXA193" s="135"/>
      <c r="FXB193" s="135"/>
      <c r="FXC193" s="135"/>
      <c r="FXD193" s="173"/>
      <c r="FXE193" s="173"/>
      <c r="FXF193" s="173"/>
      <c r="FXG193" s="173"/>
      <c r="FXH193" s="173"/>
      <c r="FXI193" s="173"/>
      <c r="FXJ193" s="173"/>
      <c r="FXK193" s="173"/>
      <c r="FXL193" s="173"/>
      <c r="FXM193" s="173"/>
      <c r="FXN193" s="125"/>
      <c r="FXO193" s="125"/>
      <c r="FXP193" s="134"/>
      <c r="FXQ193" s="135"/>
      <c r="FXR193" s="135"/>
      <c r="FXS193" s="135"/>
      <c r="FXT193" s="135"/>
      <c r="FXU193" s="173"/>
      <c r="FXV193" s="173"/>
      <c r="FXW193" s="173"/>
      <c r="FXX193" s="173"/>
      <c r="FXY193" s="173"/>
      <c r="FXZ193" s="173"/>
      <c r="FYA193" s="173"/>
      <c r="FYB193" s="173"/>
      <c r="FYC193" s="173"/>
      <c r="FYD193" s="173"/>
      <c r="FYE193" s="125"/>
      <c r="FYF193" s="125"/>
      <c r="FYG193" s="134"/>
      <c r="FYH193" s="135"/>
      <c r="FYI193" s="135"/>
      <c r="FYJ193" s="135"/>
      <c r="FYK193" s="135"/>
      <c r="FYL193" s="173"/>
      <c r="FYM193" s="173"/>
      <c r="FYN193" s="173"/>
      <c r="FYO193" s="173"/>
      <c r="FYP193" s="173"/>
      <c r="FYQ193" s="173"/>
      <c r="FYR193" s="173"/>
      <c r="FYS193" s="173"/>
      <c r="FYT193" s="173"/>
      <c r="FYU193" s="173"/>
      <c r="FYV193" s="125"/>
      <c r="FYW193" s="125"/>
      <c r="FYX193" s="134"/>
      <c r="FYY193" s="135"/>
      <c r="FYZ193" s="135"/>
      <c r="FZA193" s="135"/>
      <c r="FZB193" s="135"/>
      <c r="FZC193" s="173"/>
      <c r="FZD193" s="173"/>
      <c r="FZE193" s="173"/>
      <c r="FZF193" s="173"/>
      <c r="FZG193" s="173"/>
      <c r="FZH193" s="173"/>
      <c r="FZI193" s="173"/>
      <c r="FZJ193" s="173"/>
      <c r="FZK193" s="173"/>
      <c r="FZL193" s="173"/>
      <c r="FZM193" s="125"/>
      <c r="FZN193" s="125"/>
      <c r="FZO193" s="134"/>
      <c r="FZP193" s="135"/>
      <c r="FZQ193" s="135"/>
      <c r="FZR193" s="135"/>
      <c r="FZS193" s="135"/>
      <c r="FZT193" s="173"/>
      <c r="FZU193" s="173"/>
      <c r="FZV193" s="173"/>
      <c r="FZW193" s="173"/>
      <c r="FZX193" s="173"/>
      <c r="FZY193" s="173"/>
      <c r="FZZ193" s="173"/>
      <c r="GAA193" s="173"/>
      <c r="GAB193" s="173"/>
      <c r="GAC193" s="173"/>
      <c r="GAD193" s="125"/>
      <c r="GAE193" s="125"/>
      <c r="GAF193" s="134"/>
      <c r="GAG193" s="135"/>
      <c r="GAH193" s="135"/>
      <c r="GAI193" s="135"/>
      <c r="GAJ193" s="135"/>
      <c r="GAK193" s="173"/>
      <c r="GAL193" s="173"/>
      <c r="GAM193" s="173"/>
      <c r="GAN193" s="173"/>
      <c r="GAO193" s="173"/>
      <c r="GAP193" s="173"/>
      <c r="GAQ193" s="173"/>
      <c r="GAR193" s="173"/>
      <c r="GAS193" s="173"/>
      <c r="GAT193" s="173"/>
      <c r="GAU193" s="125"/>
      <c r="GAV193" s="125"/>
      <c r="GAW193" s="134"/>
      <c r="GAX193" s="135"/>
      <c r="GAY193" s="135"/>
      <c r="GAZ193" s="135"/>
      <c r="GBA193" s="135"/>
      <c r="GBB193" s="173"/>
      <c r="GBC193" s="173"/>
      <c r="GBD193" s="173"/>
      <c r="GBE193" s="173"/>
      <c r="GBF193" s="173"/>
      <c r="GBG193" s="173"/>
      <c r="GBH193" s="173"/>
      <c r="GBI193" s="173"/>
      <c r="GBJ193" s="173"/>
      <c r="GBK193" s="173"/>
      <c r="GBL193" s="125"/>
      <c r="GBM193" s="125"/>
      <c r="GBN193" s="134"/>
      <c r="GBO193" s="135"/>
      <c r="GBP193" s="135"/>
      <c r="GBQ193" s="135"/>
      <c r="GBR193" s="135"/>
      <c r="GBS193" s="173"/>
      <c r="GBT193" s="173"/>
      <c r="GBU193" s="173"/>
      <c r="GBV193" s="173"/>
      <c r="GBW193" s="173"/>
      <c r="GBX193" s="173"/>
      <c r="GBY193" s="173"/>
      <c r="GBZ193" s="173"/>
      <c r="GCA193" s="173"/>
      <c r="GCB193" s="173"/>
      <c r="GCC193" s="125"/>
      <c r="GCD193" s="125"/>
      <c r="GCE193" s="134"/>
      <c r="GCF193" s="135"/>
      <c r="GCG193" s="135"/>
      <c r="GCH193" s="135"/>
      <c r="GCI193" s="135"/>
      <c r="GCJ193" s="173"/>
      <c r="GCK193" s="173"/>
      <c r="GCL193" s="173"/>
      <c r="GCM193" s="173"/>
      <c r="GCN193" s="173"/>
      <c r="GCO193" s="173"/>
      <c r="GCP193" s="173"/>
      <c r="GCQ193" s="173"/>
      <c r="GCR193" s="173"/>
      <c r="GCS193" s="173"/>
      <c r="GCT193" s="125"/>
      <c r="GCU193" s="125"/>
      <c r="GCV193" s="134"/>
      <c r="GCW193" s="135"/>
      <c r="GCX193" s="135"/>
      <c r="GCY193" s="135"/>
      <c r="GCZ193" s="135"/>
      <c r="GDA193" s="173"/>
      <c r="GDB193" s="173"/>
      <c r="GDC193" s="173"/>
      <c r="GDD193" s="173"/>
      <c r="GDE193" s="173"/>
      <c r="GDF193" s="173"/>
      <c r="GDG193" s="173"/>
      <c r="GDH193" s="173"/>
      <c r="GDI193" s="173"/>
      <c r="GDJ193" s="173"/>
      <c r="GDK193" s="125"/>
      <c r="GDL193" s="125"/>
      <c r="GDM193" s="134"/>
      <c r="GDN193" s="135"/>
      <c r="GDO193" s="135"/>
      <c r="GDP193" s="135"/>
      <c r="GDQ193" s="135"/>
      <c r="GDR193" s="173"/>
      <c r="GDS193" s="173"/>
      <c r="GDT193" s="173"/>
      <c r="GDU193" s="173"/>
      <c r="GDV193" s="173"/>
      <c r="GDW193" s="173"/>
      <c r="GDX193" s="173"/>
      <c r="GDY193" s="173"/>
      <c r="GDZ193" s="173"/>
      <c r="GEA193" s="173"/>
      <c r="GEB193" s="125"/>
      <c r="GEC193" s="125"/>
      <c r="GED193" s="134"/>
      <c r="GEE193" s="135"/>
      <c r="GEF193" s="135"/>
      <c r="GEG193" s="135"/>
      <c r="GEH193" s="135"/>
      <c r="GEI193" s="173"/>
      <c r="GEJ193" s="173"/>
      <c r="GEK193" s="173"/>
      <c r="GEL193" s="173"/>
      <c r="GEM193" s="173"/>
      <c r="GEN193" s="173"/>
      <c r="GEO193" s="173"/>
      <c r="GEP193" s="173"/>
      <c r="GEQ193" s="173"/>
      <c r="GER193" s="173"/>
      <c r="GES193" s="125"/>
      <c r="GET193" s="125"/>
      <c r="GEU193" s="134"/>
      <c r="GEV193" s="135"/>
      <c r="GEW193" s="135"/>
      <c r="GEX193" s="135"/>
      <c r="GEY193" s="135"/>
      <c r="GEZ193" s="173"/>
      <c r="GFA193" s="173"/>
      <c r="GFB193" s="173"/>
      <c r="GFC193" s="173"/>
      <c r="GFD193" s="173"/>
      <c r="GFE193" s="173"/>
      <c r="GFF193" s="173"/>
      <c r="GFG193" s="173"/>
      <c r="GFH193" s="173"/>
      <c r="GFI193" s="173"/>
      <c r="GFJ193" s="125"/>
      <c r="GFK193" s="125"/>
      <c r="GFL193" s="134"/>
      <c r="GFM193" s="135"/>
      <c r="GFN193" s="135"/>
      <c r="GFO193" s="135"/>
      <c r="GFP193" s="135"/>
      <c r="GFQ193" s="173"/>
      <c r="GFR193" s="173"/>
      <c r="GFS193" s="173"/>
      <c r="GFT193" s="173"/>
      <c r="GFU193" s="173"/>
      <c r="GFV193" s="173"/>
      <c r="GFW193" s="173"/>
      <c r="GFX193" s="173"/>
      <c r="GFY193" s="173"/>
      <c r="GFZ193" s="173"/>
      <c r="GGA193" s="125"/>
      <c r="GGB193" s="125"/>
      <c r="GGC193" s="134"/>
      <c r="GGD193" s="135"/>
      <c r="GGE193" s="135"/>
      <c r="GGF193" s="135"/>
      <c r="GGG193" s="135"/>
      <c r="GGH193" s="173"/>
      <c r="GGI193" s="173"/>
      <c r="GGJ193" s="173"/>
      <c r="GGK193" s="173"/>
      <c r="GGL193" s="173"/>
      <c r="GGM193" s="173"/>
      <c r="GGN193" s="173"/>
      <c r="GGO193" s="173"/>
      <c r="GGP193" s="173"/>
      <c r="GGQ193" s="173"/>
      <c r="GGR193" s="125"/>
      <c r="GGS193" s="125"/>
      <c r="GGT193" s="134"/>
      <c r="GGU193" s="135"/>
      <c r="GGV193" s="135"/>
      <c r="GGW193" s="135"/>
      <c r="GGX193" s="135"/>
      <c r="GGY193" s="173"/>
      <c r="GGZ193" s="173"/>
      <c r="GHA193" s="173"/>
      <c r="GHB193" s="173"/>
      <c r="GHC193" s="173"/>
      <c r="GHD193" s="173"/>
      <c r="GHE193" s="173"/>
      <c r="GHF193" s="173"/>
      <c r="GHG193" s="173"/>
      <c r="GHH193" s="173"/>
      <c r="GHI193" s="125"/>
      <c r="GHJ193" s="125"/>
      <c r="GHK193" s="134"/>
      <c r="GHL193" s="135"/>
      <c r="GHM193" s="135"/>
      <c r="GHN193" s="135"/>
      <c r="GHO193" s="135"/>
      <c r="GHP193" s="173"/>
      <c r="GHQ193" s="173"/>
      <c r="GHR193" s="173"/>
      <c r="GHS193" s="173"/>
      <c r="GHT193" s="173"/>
      <c r="GHU193" s="173"/>
      <c r="GHV193" s="173"/>
      <c r="GHW193" s="173"/>
      <c r="GHX193" s="173"/>
      <c r="GHY193" s="173"/>
      <c r="GHZ193" s="125"/>
      <c r="GIA193" s="125"/>
      <c r="GIB193" s="134"/>
      <c r="GIC193" s="135"/>
      <c r="GID193" s="135"/>
      <c r="GIE193" s="135"/>
      <c r="GIF193" s="135"/>
      <c r="GIG193" s="173"/>
      <c r="GIH193" s="173"/>
      <c r="GII193" s="173"/>
      <c r="GIJ193" s="173"/>
      <c r="GIK193" s="173"/>
      <c r="GIL193" s="173"/>
      <c r="GIM193" s="173"/>
      <c r="GIN193" s="173"/>
      <c r="GIO193" s="173"/>
      <c r="GIP193" s="173"/>
      <c r="GIQ193" s="125"/>
      <c r="GIR193" s="125"/>
      <c r="GIS193" s="134"/>
      <c r="GIT193" s="135"/>
      <c r="GIU193" s="135"/>
      <c r="GIV193" s="135"/>
      <c r="GIW193" s="135"/>
      <c r="GIX193" s="173"/>
      <c r="GIY193" s="173"/>
      <c r="GIZ193" s="173"/>
      <c r="GJA193" s="173"/>
      <c r="GJB193" s="173"/>
      <c r="GJC193" s="173"/>
      <c r="GJD193" s="173"/>
      <c r="GJE193" s="173"/>
      <c r="GJF193" s="173"/>
      <c r="GJG193" s="173"/>
      <c r="GJH193" s="125"/>
      <c r="GJI193" s="125"/>
      <c r="GJJ193" s="134"/>
      <c r="GJK193" s="135"/>
      <c r="GJL193" s="135"/>
      <c r="GJM193" s="135"/>
      <c r="GJN193" s="135"/>
      <c r="GJO193" s="173"/>
      <c r="GJP193" s="173"/>
      <c r="GJQ193" s="173"/>
      <c r="GJR193" s="173"/>
      <c r="GJS193" s="173"/>
      <c r="GJT193" s="173"/>
      <c r="GJU193" s="173"/>
      <c r="GJV193" s="173"/>
      <c r="GJW193" s="173"/>
      <c r="GJX193" s="173"/>
      <c r="GJY193" s="125"/>
      <c r="GJZ193" s="125"/>
      <c r="GKA193" s="134"/>
      <c r="GKB193" s="135"/>
      <c r="GKC193" s="135"/>
      <c r="GKD193" s="135"/>
      <c r="GKE193" s="135"/>
      <c r="GKF193" s="173"/>
      <c r="GKG193" s="173"/>
      <c r="GKH193" s="173"/>
      <c r="GKI193" s="173"/>
      <c r="GKJ193" s="173"/>
      <c r="GKK193" s="173"/>
      <c r="GKL193" s="173"/>
      <c r="GKM193" s="173"/>
      <c r="GKN193" s="173"/>
      <c r="GKO193" s="173"/>
      <c r="GKP193" s="125"/>
      <c r="GKQ193" s="125"/>
      <c r="GKR193" s="134"/>
      <c r="GKS193" s="135"/>
      <c r="GKT193" s="135"/>
      <c r="GKU193" s="135"/>
      <c r="GKV193" s="135"/>
      <c r="GKW193" s="173"/>
      <c r="GKX193" s="173"/>
      <c r="GKY193" s="173"/>
      <c r="GKZ193" s="173"/>
      <c r="GLA193" s="173"/>
      <c r="GLB193" s="173"/>
      <c r="GLC193" s="173"/>
      <c r="GLD193" s="173"/>
      <c r="GLE193" s="173"/>
      <c r="GLF193" s="173"/>
      <c r="GLG193" s="125"/>
      <c r="GLH193" s="125"/>
      <c r="GLI193" s="134"/>
      <c r="GLJ193" s="135"/>
      <c r="GLK193" s="135"/>
      <c r="GLL193" s="135"/>
      <c r="GLM193" s="135"/>
      <c r="GLN193" s="173"/>
      <c r="GLO193" s="173"/>
      <c r="GLP193" s="173"/>
      <c r="GLQ193" s="173"/>
      <c r="GLR193" s="173"/>
      <c r="GLS193" s="173"/>
      <c r="GLT193" s="173"/>
      <c r="GLU193" s="173"/>
      <c r="GLV193" s="173"/>
      <c r="GLW193" s="173"/>
      <c r="GLX193" s="125"/>
      <c r="GLY193" s="125"/>
      <c r="GLZ193" s="134"/>
      <c r="GMA193" s="135"/>
      <c r="GMB193" s="135"/>
      <c r="GMC193" s="135"/>
      <c r="GMD193" s="135"/>
      <c r="GME193" s="173"/>
      <c r="GMF193" s="173"/>
      <c r="GMG193" s="173"/>
      <c r="GMH193" s="173"/>
      <c r="GMI193" s="173"/>
      <c r="GMJ193" s="173"/>
      <c r="GMK193" s="173"/>
      <c r="GML193" s="173"/>
      <c r="GMM193" s="173"/>
      <c r="GMN193" s="173"/>
      <c r="GMO193" s="125"/>
      <c r="GMP193" s="125"/>
      <c r="GMQ193" s="134"/>
      <c r="GMR193" s="135"/>
      <c r="GMS193" s="135"/>
      <c r="GMT193" s="135"/>
      <c r="GMU193" s="135"/>
      <c r="GMV193" s="173"/>
      <c r="GMW193" s="173"/>
      <c r="GMX193" s="173"/>
      <c r="GMY193" s="173"/>
      <c r="GMZ193" s="173"/>
      <c r="GNA193" s="173"/>
      <c r="GNB193" s="173"/>
      <c r="GNC193" s="173"/>
      <c r="GND193" s="173"/>
      <c r="GNE193" s="173"/>
      <c r="GNF193" s="125"/>
      <c r="GNG193" s="125"/>
      <c r="GNH193" s="134"/>
      <c r="GNI193" s="135"/>
      <c r="GNJ193" s="135"/>
      <c r="GNK193" s="135"/>
      <c r="GNL193" s="135"/>
      <c r="GNM193" s="173"/>
      <c r="GNN193" s="173"/>
      <c r="GNO193" s="173"/>
      <c r="GNP193" s="173"/>
      <c r="GNQ193" s="173"/>
      <c r="GNR193" s="173"/>
      <c r="GNS193" s="173"/>
      <c r="GNT193" s="173"/>
      <c r="GNU193" s="173"/>
      <c r="GNV193" s="173"/>
      <c r="GNW193" s="125"/>
      <c r="GNX193" s="125"/>
      <c r="GNY193" s="134"/>
      <c r="GNZ193" s="135"/>
      <c r="GOA193" s="135"/>
      <c r="GOB193" s="135"/>
      <c r="GOC193" s="135"/>
      <c r="GOD193" s="173"/>
      <c r="GOE193" s="173"/>
      <c r="GOF193" s="173"/>
      <c r="GOG193" s="173"/>
      <c r="GOH193" s="173"/>
      <c r="GOI193" s="173"/>
      <c r="GOJ193" s="173"/>
      <c r="GOK193" s="173"/>
      <c r="GOL193" s="173"/>
      <c r="GOM193" s="173"/>
      <c r="GON193" s="125"/>
      <c r="GOO193" s="125"/>
      <c r="GOP193" s="134"/>
      <c r="GOQ193" s="135"/>
      <c r="GOR193" s="135"/>
      <c r="GOS193" s="135"/>
      <c r="GOT193" s="135"/>
      <c r="GOU193" s="173"/>
      <c r="GOV193" s="173"/>
      <c r="GOW193" s="173"/>
      <c r="GOX193" s="173"/>
      <c r="GOY193" s="173"/>
      <c r="GOZ193" s="173"/>
      <c r="GPA193" s="173"/>
      <c r="GPB193" s="173"/>
      <c r="GPC193" s="173"/>
      <c r="GPD193" s="173"/>
      <c r="GPE193" s="125"/>
      <c r="GPF193" s="125"/>
      <c r="GPG193" s="134"/>
      <c r="GPH193" s="135"/>
      <c r="GPI193" s="135"/>
      <c r="GPJ193" s="135"/>
      <c r="GPK193" s="135"/>
      <c r="GPL193" s="173"/>
      <c r="GPM193" s="173"/>
      <c r="GPN193" s="173"/>
      <c r="GPO193" s="173"/>
      <c r="GPP193" s="173"/>
      <c r="GPQ193" s="173"/>
      <c r="GPR193" s="173"/>
      <c r="GPS193" s="173"/>
      <c r="GPT193" s="173"/>
      <c r="GPU193" s="173"/>
      <c r="GPV193" s="125"/>
      <c r="GPW193" s="125"/>
      <c r="GPX193" s="134"/>
      <c r="GPY193" s="135"/>
      <c r="GPZ193" s="135"/>
      <c r="GQA193" s="135"/>
      <c r="GQB193" s="135"/>
      <c r="GQC193" s="173"/>
      <c r="GQD193" s="173"/>
      <c r="GQE193" s="173"/>
      <c r="GQF193" s="173"/>
      <c r="GQG193" s="173"/>
      <c r="GQH193" s="173"/>
      <c r="GQI193" s="173"/>
      <c r="GQJ193" s="173"/>
      <c r="GQK193" s="173"/>
      <c r="GQL193" s="173"/>
      <c r="GQM193" s="125"/>
      <c r="GQN193" s="125"/>
      <c r="GQO193" s="134"/>
      <c r="GQP193" s="135"/>
      <c r="GQQ193" s="135"/>
      <c r="GQR193" s="135"/>
      <c r="GQS193" s="135"/>
      <c r="GQT193" s="173"/>
      <c r="GQU193" s="173"/>
      <c r="GQV193" s="173"/>
      <c r="GQW193" s="173"/>
      <c r="GQX193" s="173"/>
      <c r="GQY193" s="173"/>
      <c r="GQZ193" s="173"/>
      <c r="GRA193" s="173"/>
      <c r="GRB193" s="173"/>
      <c r="GRC193" s="173"/>
      <c r="GRD193" s="125"/>
      <c r="GRE193" s="125"/>
      <c r="GRF193" s="134"/>
      <c r="GRG193" s="135"/>
      <c r="GRH193" s="135"/>
      <c r="GRI193" s="135"/>
      <c r="GRJ193" s="135"/>
      <c r="GRK193" s="173"/>
      <c r="GRL193" s="173"/>
      <c r="GRM193" s="173"/>
      <c r="GRN193" s="173"/>
      <c r="GRO193" s="173"/>
      <c r="GRP193" s="173"/>
      <c r="GRQ193" s="173"/>
      <c r="GRR193" s="173"/>
      <c r="GRS193" s="173"/>
      <c r="GRT193" s="173"/>
      <c r="GRU193" s="125"/>
      <c r="GRV193" s="125"/>
      <c r="GRW193" s="134"/>
      <c r="GRX193" s="135"/>
      <c r="GRY193" s="135"/>
      <c r="GRZ193" s="135"/>
      <c r="GSA193" s="135"/>
      <c r="GSB193" s="173"/>
      <c r="GSC193" s="173"/>
      <c r="GSD193" s="173"/>
      <c r="GSE193" s="173"/>
      <c r="GSF193" s="173"/>
      <c r="GSG193" s="173"/>
      <c r="GSH193" s="173"/>
      <c r="GSI193" s="173"/>
      <c r="GSJ193" s="173"/>
      <c r="GSK193" s="173"/>
      <c r="GSL193" s="125"/>
      <c r="GSM193" s="125"/>
      <c r="GSN193" s="134"/>
      <c r="GSO193" s="135"/>
      <c r="GSP193" s="135"/>
      <c r="GSQ193" s="135"/>
      <c r="GSR193" s="135"/>
      <c r="GSS193" s="173"/>
      <c r="GST193" s="173"/>
      <c r="GSU193" s="173"/>
      <c r="GSV193" s="173"/>
      <c r="GSW193" s="173"/>
      <c r="GSX193" s="173"/>
      <c r="GSY193" s="173"/>
      <c r="GSZ193" s="173"/>
      <c r="GTA193" s="173"/>
      <c r="GTB193" s="173"/>
      <c r="GTC193" s="125"/>
      <c r="GTD193" s="125"/>
      <c r="GTE193" s="134"/>
      <c r="GTF193" s="135"/>
      <c r="GTG193" s="135"/>
      <c r="GTH193" s="135"/>
      <c r="GTI193" s="135"/>
      <c r="GTJ193" s="173"/>
      <c r="GTK193" s="173"/>
      <c r="GTL193" s="173"/>
      <c r="GTM193" s="173"/>
      <c r="GTN193" s="173"/>
      <c r="GTO193" s="173"/>
      <c r="GTP193" s="173"/>
      <c r="GTQ193" s="173"/>
      <c r="GTR193" s="173"/>
      <c r="GTS193" s="173"/>
      <c r="GTT193" s="125"/>
      <c r="GTU193" s="125"/>
      <c r="GTV193" s="134"/>
      <c r="GTW193" s="135"/>
      <c r="GTX193" s="135"/>
      <c r="GTY193" s="135"/>
      <c r="GTZ193" s="135"/>
      <c r="GUA193" s="173"/>
      <c r="GUB193" s="173"/>
      <c r="GUC193" s="173"/>
      <c r="GUD193" s="173"/>
      <c r="GUE193" s="173"/>
      <c r="GUF193" s="173"/>
      <c r="GUG193" s="173"/>
      <c r="GUH193" s="173"/>
      <c r="GUI193" s="173"/>
      <c r="GUJ193" s="173"/>
      <c r="GUK193" s="125"/>
      <c r="GUL193" s="125"/>
      <c r="GUM193" s="134"/>
      <c r="GUN193" s="135"/>
      <c r="GUO193" s="135"/>
      <c r="GUP193" s="135"/>
      <c r="GUQ193" s="135"/>
      <c r="GUR193" s="173"/>
      <c r="GUS193" s="173"/>
      <c r="GUT193" s="173"/>
      <c r="GUU193" s="173"/>
      <c r="GUV193" s="173"/>
      <c r="GUW193" s="173"/>
      <c r="GUX193" s="173"/>
      <c r="GUY193" s="173"/>
      <c r="GUZ193" s="173"/>
      <c r="GVA193" s="173"/>
      <c r="GVB193" s="125"/>
      <c r="GVC193" s="125"/>
      <c r="GVD193" s="134"/>
      <c r="GVE193" s="135"/>
      <c r="GVF193" s="135"/>
      <c r="GVG193" s="135"/>
      <c r="GVH193" s="135"/>
      <c r="GVI193" s="173"/>
      <c r="GVJ193" s="173"/>
      <c r="GVK193" s="173"/>
      <c r="GVL193" s="173"/>
      <c r="GVM193" s="173"/>
      <c r="GVN193" s="173"/>
      <c r="GVO193" s="173"/>
      <c r="GVP193" s="173"/>
      <c r="GVQ193" s="173"/>
      <c r="GVR193" s="173"/>
      <c r="GVS193" s="125"/>
      <c r="GVT193" s="125"/>
      <c r="GVU193" s="134"/>
      <c r="GVV193" s="135"/>
      <c r="GVW193" s="135"/>
      <c r="GVX193" s="135"/>
      <c r="GVY193" s="135"/>
      <c r="GVZ193" s="173"/>
      <c r="GWA193" s="173"/>
      <c r="GWB193" s="173"/>
      <c r="GWC193" s="173"/>
      <c r="GWD193" s="173"/>
      <c r="GWE193" s="173"/>
      <c r="GWF193" s="173"/>
      <c r="GWG193" s="173"/>
      <c r="GWH193" s="173"/>
      <c r="GWI193" s="173"/>
      <c r="GWJ193" s="125"/>
      <c r="GWK193" s="125"/>
      <c r="GWL193" s="134"/>
      <c r="GWM193" s="135"/>
      <c r="GWN193" s="135"/>
      <c r="GWO193" s="135"/>
      <c r="GWP193" s="135"/>
      <c r="GWQ193" s="173"/>
      <c r="GWR193" s="173"/>
      <c r="GWS193" s="173"/>
      <c r="GWT193" s="173"/>
      <c r="GWU193" s="173"/>
      <c r="GWV193" s="173"/>
      <c r="GWW193" s="173"/>
      <c r="GWX193" s="173"/>
      <c r="GWY193" s="173"/>
      <c r="GWZ193" s="173"/>
      <c r="GXA193" s="125"/>
      <c r="GXB193" s="125"/>
      <c r="GXC193" s="134"/>
      <c r="GXD193" s="135"/>
      <c r="GXE193" s="135"/>
      <c r="GXF193" s="135"/>
      <c r="GXG193" s="135"/>
      <c r="GXH193" s="173"/>
      <c r="GXI193" s="173"/>
      <c r="GXJ193" s="173"/>
      <c r="GXK193" s="173"/>
      <c r="GXL193" s="173"/>
      <c r="GXM193" s="173"/>
      <c r="GXN193" s="173"/>
      <c r="GXO193" s="173"/>
      <c r="GXP193" s="173"/>
      <c r="GXQ193" s="173"/>
      <c r="GXR193" s="125"/>
      <c r="GXS193" s="125"/>
      <c r="GXT193" s="134"/>
      <c r="GXU193" s="135"/>
      <c r="GXV193" s="135"/>
      <c r="GXW193" s="135"/>
      <c r="GXX193" s="135"/>
      <c r="GXY193" s="173"/>
      <c r="GXZ193" s="173"/>
      <c r="GYA193" s="173"/>
      <c r="GYB193" s="173"/>
      <c r="GYC193" s="173"/>
      <c r="GYD193" s="173"/>
      <c r="GYE193" s="173"/>
      <c r="GYF193" s="173"/>
      <c r="GYG193" s="173"/>
      <c r="GYH193" s="173"/>
      <c r="GYI193" s="125"/>
      <c r="GYJ193" s="125"/>
      <c r="GYK193" s="134"/>
      <c r="GYL193" s="135"/>
      <c r="GYM193" s="135"/>
      <c r="GYN193" s="135"/>
      <c r="GYO193" s="135"/>
      <c r="GYP193" s="173"/>
      <c r="GYQ193" s="173"/>
      <c r="GYR193" s="173"/>
      <c r="GYS193" s="173"/>
      <c r="GYT193" s="173"/>
      <c r="GYU193" s="173"/>
      <c r="GYV193" s="173"/>
      <c r="GYW193" s="173"/>
      <c r="GYX193" s="173"/>
      <c r="GYY193" s="173"/>
      <c r="GYZ193" s="125"/>
      <c r="GZA193" s="125"/>
      <c r="GZB193" s="134"/>
      <c r="GZC193" s="135"/>
      <c r="GZD193" s="135"/>
      <c r="GZE193" s="135"/>
      <c r="GZF193" s="135"/>
      <c r="GZG193" s="173"/>
      <c r="GZH193" s="173"/>
      <c r="GZI193" s="173"/>
      <c r="GZJ193" s="173"/>
      <c r="GZK193" s="173"/>
      <c r="GZL193" s="173"/>
      <c r="GZM193" s="173"/>
      <c r="GZN193" s="173"/>
      <c r="GZO193" s="173"/>
      <c r="GZP193" s="173"/>
      <c r="GZQ193" s="125"/>
      <c r="GZR193" s="125"/>
      <c r="GZS193" s="134"/>
      <c r="GZT193" s="135"/>
      <c r="GZU193" s="135"/>
      <c r="GZV193" s="135"/>
      <c r="GZW193" s="135"/>
      <c r="GZX193" s="173"/>
      <c r="GZY193" s="173"/>
      <c r="GZZ193" s="173"/>
      <c r="HAA193" s="173"/>
      <c r="HAB193" s="173"/>
      <c r="HAC193" s="173"/>
      <c r="HAD193" s="173"/>
      <c r="HAE193" s="173"/>
      <c r="HAF193" s="173"/>
      <c r="HAG193" s="173"/>
      <c r="HAH193" s="125"/>
      <c r="HAI193" s="125"/>
      <c r="HAJ193" s="134"/>
      <c r="HAK193" s="135"/>
      <c r="HAL193" s="135"/>
      <c r="HAM193" s="135"/>
      <c r="HAN193" s="135"/>
      <c r="HAO193" s="173"/>
      <c r="HAP193" s="173"/>
      <c r="HAQ193" s="173"/>
      <c r="HAR193" s="173"/>
      <c r="HAS193" s="173"/>
      <c r="HAT193" s="173"/>
      <c r="HAU193" s="173"/>
      <c r="HAV193" s="173"/>
      <c r="HAW193" s="173"/>
      <c r="HAX193" s="173"/>
      <c r="HAY193" s="125"/>
      <c r="HAZ193" s="125"/>
      <c r="HBA193" s="134"/>
      <c r="HBB193" s="135"/>
      <c r="HBC193" s="135"/>
      <c r="HBD193" s="135"/>
      <c r="HBE193" s="135"/>
      <c r="HBF193" s="173"/>
      <c r="HBG193" s="173"/>
      <c r="HBH193" s="173"/>
      <c r="HBI193" s="173"/>
      <c r="HBJ193" s="173"/>
      <c r="HBK193" s="173"/>
      <c r="HBL193" s="173"/>
      <c r="HBM193" s="173"/>
      <c r="HBN193" s="173"/>
      <c r="HBO193" s="173"/>
      <c r="HBP193" s="125"/>
      <c r="HBQ193" s="125"/>
      <c r="HBR193" s="134"/>
      <c r="HBS193" s="135"/>
      <c r="HBT193" s="135"/>
      <c r="HBU193" s="135"/>
      <c r="HBV193" s="135"/>
      <c r="HBW193" s="173"/>
      <c r="HBX193" s="173"/>
      <c r="HBY193" s="173"/>
      <c r="HBZ193" s="173"/>
      <c r="HCA193" s="173"/>
      <c r="HCB193" s="173"/>
      <c r="HCC193" s="173"/>
      <c r="HCD193" s="173"/>
      <c r="HCE193" s="173"/>
      <c r="HCF193" s="173"/>
      <c r="HCG193" s="125"/>
      <c r="HCH193" s="125"/>
      <c r="HCI193" s="134"/>
      <c r="HCJ193" s="135"/>
      <c r="HCK193" s="135"/>
      <c r="HCL193" s="135"/>
      <c r="HCM193" s="135"/>
      <c r="HCN193" s="173"/>
      <c r="HCO193" s="173"/>
      <c r="HCP193" s="173"/>
      <c r="HCQ193" s="173"/>
      <c r="HCR193" s="173"/>
      <c r="HCS193" s="173"/>
      <c r="HCT193" s="173"/>
      <c r="HCU193" s="173"/>
      <c r="HCV193" s="173"/>
      <c r="HCW193" s="173"/>
      <c r="HCX193" s="125"/>
      <c r="HCY193" s="125"/>
      <c r="HCZ193" s="134"/>
      <c r="HDA193" s="135"/>
      <c r="HDB193" s="135"/>
      <c r="HDC193" s="135"/>
      <c r="HDD193" s="135"/>
      <c r="HDE193" s="173"/>
      <c r="HDF193" s="173"/>
      <c r="HDG193" s="173"/>
      <c r="HDH193" s="173"/>
      <c r="HDI193" s="173"/>
      <c r="HDJ193" s="173"/>
      <c r="HDK193" s="173"/>
      <c r="HDL193" s="173"/>
      <c r="HDM193" s="173"/>
      <c r="HDN193" s="173"/>
      <c r="HDO193" s="125"/>
      <c r="HDP193" s="125"/>
      <c r="HDQ193" s="134"/>
      <c r="HDR193" s="135"/>
      <c r="HDS193" s="135"/>
      <c r="HDT193" s="135"/>
      <c r="HDU193" s="135"/>
      <c r="HDV193" s="173"/>
      <c r="HDW193" s="173"/>
      <c r="HDX193" s="173"/>
      <c r="HDY193" s="173"/>
      <c r="HDZ193" s="173"/>
      <c r="HEA193" s="173"/>
      <c r="HEB193" s="173"/>
      <c r="HEC193" s="173"/>
      <c r="HED193" s="173"/>
      <c r="HEE193" s="173"/>
      <c r="HEF193" s="125"/>
      <c r="HEG193" s="125"/>
      <c r="HEH193" s="134"/>
      <c r="HEI193" s="135"/>
      <c r="HEJ193" s="135"/>
      <c r="HEK193" s="135"/>
      <c r="HEL193" s="135"/>
      <c r="HEM193" s="173"/>
      <c r="HEN193" s="173"/>
      <c r="HEO193" s="173"/>
      <c r="HEP193" s="173"/>
      <c r="HEQ193" s="173"/>
      <c r="HER193" s="173"/>
      <c r="HES193" s="173"/>
      <c r="HET193" s="173"/>
      <c r="HEU193" s="173"/>
      <c r="HEV193" s="173"/>
      <c r="HEW193" s="125"/>
      <c r="HEX193" s="125"/>
      <c r="HEY193" s="134"/>
      <c r="HEZ193" s="135"/>
      <c r="HFA193" s="135"/>
      <c r="HFB193" s="135"/>
      <c r="HFC193" s="135"/>
      <c r="HFD193" s="173"/>
      <c r="HFE193" s="173"/>
      <c r="HFF193" s="173"/>
      <c r="HFG193" s="173"/>
      <c r="HFH193" s="173"/>
      <c r="HFI193" s="173"/>
      <c r="HFJ193" s="173"/>
      <c r="HFK193" s="173"/>
      <c r="HFL193" s="173"/>
      <c r="HFM193" s="173"/>
      <c r="HFN193" s="125"/>
      <c r="HFO193" s="125"/>
      <c r="HFP193" s="134"/>
      <c r="HFQ193" s="135"/>
      <c r="HFR193" s="135"/>
      <c r="HFS193" s="135"/>
      <c r="HFT193" s="135"/>
      <c r="HFU193" s="173"/>
      <c r="HFV193" s="173"/>
      <c r="HFW193" s="173"/>
      <c r="HFX193" s="173"/>
      <c r="HFY193" s="173"/>
      <c r="HFZ193" s="173"/>
      <c r="HGA193" s="173"/>
      <c r="HGB193" s="173"/>
      <c r="HGC193" s="173"/>
      <c r="HGD193" s="173"/>
      <c r="HGE193" s="125"/>
      <c r="HGF193" s="125"/>
      <c r="HGG193" s="134"/>
      <c r="HGH193" s="135"/>
      <c r="HGI193" s="135"/>
      <c r="HGJ193" s="135"/>
      <c r="HGK193" s="135"/>
      <c r="HGL193" s="173"/>
      <c r="HGM193" s="173"/>
      <c r="HGN193" s="173"/>
      <c r="HGO193" s="173"/>
      <c r="HGP193" s="173"/>
      <c r="HGQ193" s="173"/>
      <c r="HGR193" s="173"/>
      <c r="HGS193" s="173"/>
      <c r="HGT193" s="173"/>
      <c r="HGU193" s="173"/>
      <c r="HGV193" s="125"/>
      <c r="HGW193" s="125"/>
      <c r="HGX193" s="134"/>
      <c r="HGY193" s="135"/>
      <c r="HGZ193" s="135"/>
      <c r="HHA193" s="135"/>
      <c r="HHB193" s="135"/>
      <c r="HHC193" s="173"/>
      <c r="HHD193" s="173"/>
      <c r="HHE193" s="173"/>
      <c r="HHF193" s="173"/>
      <c r="HHG193" s="173"/>
      <c r="HHH193" s="173"/>
      <c r="HHI193" s="173"/>
      <c r="HHJ193" s="173"/>
      <c r="HHK193" s="173"/>
      <c r="HHL193" s="173"/>
      <c r="HHM193" s="125"/>
      <c r="HHN193" s="125"/>
      <c r="HHO193" s="134"/>
      <c r="HHP193" s="135"/>
      <c r="HHQ193" s="135"/>
      <c r="HHR193" s="135"/>
      <c r="HHS193" s="135"/>
      <c r="HHT193" s="173"/>
      <c r="HHU193" s="173"/>
      <c r="HHV193" s="173"/>
      <c r="HHW193" s="173"/>
      <c r="HHX193" s="173"/>
      <c r="HHY193" s="173"/>
      <c r="HHZ193" s="173"/>
      <c r="HIA193" s="173"/>
      <c r="HIB193" s="173"/>
      <c r="HIC193" s="173"/>
      <c r="HID193" s="125"/>
      <c r="HIE193" s="125"/>
      <c r="HIF193" s="134"/>
      <c r="HIG193" s="135"/>
      <c r="HIH193" s="135"/>
      <c r="HII193" s="135"/>
      <c r="HIJ193" s="135"/>
      <c r="HIK193" s="173"/>
      <c r="HIL193" s="173"/>
      <c r="HIM193" s="173"/>
      <c r="HIN193" s="173"/>
      <c r="HIO193" s="173"/>
      <c r="HIP193" s="173"/>
      <c r="HIQ193" s="173"/>
      <c r="HIR193" s="173"/>
      <c r="HIS193" s="173"/>
      <c r="HIT193" s="173"/>
      <c r="HIU193" s="125"/>
      <c r="HIV193" s="125"/>
      <c r="HIW193" s="134"/>
      <c r="HIX193" s="135"/>
      <c r="HIY193" s="135"/>
      <c r="HIZ193" s="135"/>
      <c r="HJA193" s="135"/>
      <c r="HJB193" s="173"/>
      <c r="HJC193" s="173"/>
      <c r="HJD193" s="173"/>
      <c r="HJE193" s="173"/>
      <c r="HJF193" s="173"/>
      <c r="HJG193" s="173"/>
      <c r="HJH193" s="173"/>
      <c r="HJI193" s="173"/>
      <c r="HJJ193" s="173"/>
      <c r="HJK193" s="173"/>
      <c r="HJL193" s="125"/>
      <c r="HJM193" s="125"/>
      <c r="HJN193" s="134"/>
      <c r="HJO193" s="135"/>
      <c r="HJP193" s="135"/>
      <c r="HJQ193" s="135"/>
      <c r="HJR193" s="135"/>
      <c r="HJS193" s="173"/>
      <c r="HJT193" s="173"/>
      <c r="HJU193" s="173"/>
      <c r="HJV193" s="173"/>
      <c r="HJW193" s="173"/>
      <c r="HJX193" s="173"/>
      <c r="HJY193" s="173"/>
      <c r="HJZ193" s="173"/>
      <c r="HKA193" s="173"/>
      <c r="HKB193" s="173"/>
      <c r="HKC193" s="125"/>
      <c r="HKD193" s="125"/>
      <c r="HKE193" s="134"/>
      <c r="HKF193" s="135"/>
      <c r="HKG193" s="135"/>
      <c r="HKH193" s="135"/>
      <c r="HKI193" s="135"/>
      <c r="HKJ193" s="173"/>
      <c r="HKK193" s="173"/>
      <c r="HKL193" s="173"/>
      <c r="HKM193" s="173"/>
      <c r="HKN193" s="173"/>
      <c r="HKO193" s="173"/>
      <c r="HKP193" s="173"/>
      <c r="HKQ193" s="173"/>
      <c r="HKR193" s="173"/>
      <c r="HKS193" s="173"/>
      <c r="HKT193" s="125"/>
      <c r="HKU193" s="125"/>
      <c r="HKV193" s="134"/>
      <c r="HKW193" s="135"/>
      <c r="HKX193" s="135"/>
      <c r="HKY193" s="135"/>
      <c r="HKZ193" s="135"/>
      <c r="HLA193" s="173"/>
      <c r="HLB193" s="173"/>
      <c r="HLC193" s="173"/>
      <c r="HLD193" s="173"/>
      <c r="HLE193" s="173"/>
      <c r="HLF193" s="173"/>
      <c r="HLG193" s="173"/>
      <c r="HLH193" s="173"/>
      <c r="HLI193" s="173"/>
      <c r="HLJ193" s="173"/>
      <c r="HLK193" s="125"/>
      <c r="HLL193" s="125"/>
      <c r="HLM193" s="134"/>
      <c r="HLN193" s="135"/>
      <c r="HLO193" s="135"/>
      <c r="HLP193" s="135"/>
      <c r="HLQ193" s="135"/>
      <c r="HLR193" s="173"/>
      <c r="HLS193" s="173"/>
      <c r="HLT193" s="173"/>
      <c r="HLU193" s="173"/>
      <c r="HLV193" s="173"/>
      <c r="HLW193" s="173"/>
      <c r="HLX193" s="173"/>
      <c r="HLY193" s="173"/>
      <c r="HLZ193" s="173"/>
      <c r="HMA193" s="173"/>
      <c r="HMB193" s="125"/>
      <c r="HMC193" s="125"/>
      <c r="HMD193" s="134"/>
      <c r="HME193" s="135"/>
      <c r="HMF193" s="135"/>
      <c r="HMG193" s="135"/>
      <c r="HMH193" s="135"/>
      <c r="HMI193" s="173"/>
      <c r="HMJ193" s="173"/>
      <c r="HMK193" s="173"/>
      <c r="HML193" s="173"/>
      <c r="HMM193" s="173"/>
      <c r="HMN193" s="173"/>
      <c r="HMO193" s="173"/>
      <c r="HMP193" s="173"/>
      <c r="HMQ193" s="173"/>
      <c r="HMR193" s="173"/>
      <c r="HMS193" s="125"/>
      <c r="HMT193" s="125"/>
      <c r="HMU193" s="134"/>
      <c r="HMV193" s="135"/>
      <c r="HMW193" s="135"/>
      <c r="HMX193" s="135"/>
      <c r="HMY193" s="135"/>
      <c r="HMZ193" s="173"/>
      <c r="HNA193" s="173"/>
      <c r="HNB193" s="173"/>
      <c r="HNC193" s="173"/>
      <c r="HND193" s="173"/>
      <c r="HNE193" s="173"/>
      <c r="HNF193" s="173"/>
      <c r="HNG193" s="173"/>
      <c r="HNH193" s="173"/>
      <c r="HNI193" s="173"/>
      <c r="HNJ193" s="125"/>
      <c r="HNK193" s="125"/>
      <c r="HNL193" s="134"/>
      <c r="HNM193" s="135"/>
      <c r="HNN193" s="135"/>
      <c r="HNO193" s="135"/>
      <c r="HNP193" s="135"/>
      <c r="HNQ193" s="173"/>
      <c r="HNR193" s="173"/>
      <c r="HNS193" s="173"/>
      <c r="HNT193" s="173"/>
      <c r="HNU193" s="173"/>
      <c r="HNV193" s="173"/>
      <c r="HNW193" s="173"/>
      <c r="HNX193" s="173"/>
      <c r="HNY193" s="173"/>
      <c r="HNZ193" s="173"/>
      <c r="HOA193" s="125"/>
      <c r="HOB193" s="125"/>
      <c r="HOC193" s="134"/>
      <c r="HOD193" s="135"/>
      <c r="HOE193" s="135"/>
      <c r="HOF193" s="135"/>
      <c r="HOG193" s="135"/>
      <c r="HOH193" s="173"/>
      <c r="HOI193" s="173"/>
      <c r="HOJ193" s="173"/>
      <c r="HOK193" s="173"/>
      <c r="HOL193" s="173"/>
      <c r="HOM193" s="173"/>
      <c r="HON193" s="173"/>
      <c r="HOO193" s="173"/>
      <c r="HOP193" s="173"/>
      <c r="HOQ193" s="173"/>
      <c r="HOR193" s="125"/>
      <c r="HOS193" s="125"/>
      <c r="HOT193" s="134"/>
      <c r="HOU193" s="135"/>
      <c r="HOV193" s="135"/>
      <c r="HOW193" s="135"/>
      <c r="HOX193" s="135"/>
      <c r="HOY193" s="173"/>
      <c r="HOZ193" s="173"/>
      <c r="HPA193" s="173"/>
      <c r="HPB193" s="173"/>
      <c r="HPC193" s="173"/>
      <c r="HPD193" s="173"/>
      <c r="HPE193" s="173"/>
      <c r="HPF193" s="173"/>
      <c r="HPG193" s="173"/>
      <c r="HPH193" s="173"/>
      <c r="HPI193" s="125"/>
      <c r="HPJ193" s="125"/>
      <c r="HPK193" s="134"/>
      <c r="HPL193" s="135"/>
      <c r="HPM193" s="135"/>
      <c r="HPN193" s="135"/>
      <c r="HPO193" s="135"/>
      <c r="HPP193" s="173"/>
      <c r="HPQ193" s="173"/>
      <c r="HPR193" s="173"/>
      <c r="HPS193" s="173"/>
      <c r="HPT193" s="173"/>
      <c r="HPU193" s="173"/>
      <c r="HPV193" s="173"/>
      <c r="HPW193" s="173"/>
      <c r="HPX193" s="173"/>
      <c r="HPY193" s="173"/>
      <c r="HPZ193" s="125"/>
      <c r="HQA193" s="125"/>
      <c r="HQB193" s="134"/>
      <c r="HQC193" s="135"/>
      <c r="HQD193" s="135"/>
      <c r="HQE193" s="135"/>
      <c r="HQF193" s="135"/>
      <c r="HQG193" s="173"/>
      <c r="HQH193" s="173"/>
      <c r="HQI193" s="173"/>
      <c r="HQJ193" s="173"/>
      <c r="HQK193" s="173"/>
      <c r="HQL193" s="173"/>
      <c r="HQM193" s="173"/>
      <c r="HQN193" s="173"/>
      <c r="HQO193" s="173"/>
      <c r="HQP193" s="173"/>
      <c r="HQQ193" s="125"/>
      <c r="HQR193" s="125"/>
      <c r="HQS193" s="134"/>
      <c r="HQT193" s="135"/>
      <c r="HQU193" s="135"/>
      <c r="HQV193" s="135"/>
      <c r="HQW193" s="135"/>
      <c r="HQX193" s="173"/>
      <c r="HQY193" s="173"/>
      <c r="HQZ193" s="173"/>
      <c r="HRA193" s="173"/>
      <c r="HRB193" s="173"/>
      <c r="HRC193" s="173"/>
      <c r="HRD193" s="173"/>
      <c r="HRE193" s="173"/>
      <c r="HRF193" s="173"/>
      <c r="HRG193" s="173"/>
      <c r="HRH193" s="125"/>
      <c r="HRI193" s="125"/>
      <c r="HRJ193" s="134"/>
      <c r="HRK193" s="135"/>
      <c r="HRL193" s="135"/>
      <c r="HRM193" s="135"/>
      <c r="HRN193" s="135"/>
      <c r="HRO193" s="173"/>
      <c r="HRP193" s="173"/>
      <c r="HRQ193" s="173"/>
      <c r="HRR193" s="173"/>
      <c r="HRS193" s="173"/>
      <c r="HRT193" s="173"/>
      <c r="HRU193" s="173"/>
      <c r="HRV193" s="173"/>
      <c r="HRW193" s="173"/>
      <c r="HRX193" s="173"/>
      <c r="HRY193" s="125"/>
      <c r="HRZ193" s="125"/>
      <c r="HSA193" s="134"/>
      <c r="HSB193" s="135"/>
      <c r="HSC193" s="135"/>
      <c r="HSD193" s="135"/>
      <c r="HSE193" s="135"/>
      <c r="HSF193" s="173"/>
      <c r="HSG193" s="173"/>
      <c r="HSH193" s="173"/>
      <c r="HSI193" s="173"/>
      <c r="HSJ193" s="173"/>
      <c r="HSK193" s="173"/>
      <c r="HSL193" s="173"/>
      <c r="HSM193" s="173"/>
      <c r="HSN193" s="173"/>
      <c r="HSO193" s="173"/>
      <c r="HSP193" s="125"/>
      <c r="HSQ193" s="125"/>
      <c r="HSR193" s="134"/>
      <c r="HSS193" s="135"/>
      <c r="HST193" s="135"/>
      <c r="HSU193" s="135"/>
      <c r="HSV193" s="135"/>
      <c r="HSW193" s="173"/>
      <c r="HSX193" s="173"/>
      <c r="HSY193" s="173"/>
      <c r="HSZ193" s="173"/>
      <c r="HTA193" s="173"/>
      <c r="HTB193" s="173"/>
      <c r="HTC193" s="173"/>
      <c r="HTD193" s="173"/>
      <c r="HTE193" s="173"/>
      <c r="HTF193" s="173"/>
      <c r="HTG193" s="125"/>
      <c r="HTH193" s="125"/>
      <c r="HTI193" s="134"/>
      <c r="HTJ193" s="135"/>
      <c r="HTK193" s="135"/>
      <c r="HTL193" s="135"/>
      <c r="HTM193" s="135"/>
      <c r="HTN193" s="173"/>
      <c r="HTO193" s="173"/>
      <c r="HTP193" s="173"/>
      <c r="HTQ193" s="173"/>
      <c r="HTR193" s="173"/>
      <c r="HTS193" s="173"/>
      <c r="HTT193" s="173"/>
      <c r="HTU193" s="173"/>
      <c r="HTV193" s="173"/>
      <c r="HTW193" s="173"/>
      <c r="HTX193" s="125"/>
      <c r="HTY193" s="125"/>
      <c r="HTZ193" s="134"/>
      <c r="HUA193" s="135"/>
      <c r="HUB193" s="135"/>
      <c r="HUC193" s="135"/>
      <c r="HUD193" s="135"/>
      <c r="HUE193" s="173"/>
      <c r="HUF193" s="173"/>
      <c r="HUG193" s="173"/>
      <c r="HUH193" s="173"/>
      <c r="HUI193" s="173"/>
      <c r="HUJ193" s="173"/>
      <c r="HUK193" s="173"/>
      <c r="HUL193" s="173"/>
      <c r="HUM193" s="173"/>
      <c r="HUN193" s="173"/>
      <c r="HUO193" s="125"/>
      <c r="HUP193" s="125"/>
      <c r="HUQ193" s="134"/>
      <c r="HUR193" s="135"/>
      <c r="HUS193" s="135"/>
      <c r="HUT193" s="135"/>
      <c r="HUU193" s="135"/>
      <c r="HUV193" s="173"/>
      <c r="HUW193" s="173"/>
      <c r="HUX193" s="173"/>
      <c r="HUY193" s="173"/>
      <c r="HUZ193" s="173"/>
      <c r="HVA193" s="173"/>
      <c r="HVB193" s="173"/>
      <c r="HVC193" s="173"/>
      <c r="HVD193" s="173"/>
      <c r="HVE193" s="173"/>
      <c r="HVF193" s="125"/>
      <c r="HVG193" s="125"/>
      <c r="HVH193" s="134"/>
      <c r="HVI193" s="135"/>
      <c r="HVJ193" s="135"/>
      <c r="HVK193" s="135"/>
      <c r="HVL193" s="135"/>
      <c r="HVM193" s="173"/>
      <c r="HVN193" s="173"/>
      <c r="HVO193" s="173"/>
      <c r="HVP193" s="173"/>
      <c r="HVQ193" s="173"/>
      <c r="HVR193" s="173"/>
      <c r="HVS193" s="173"/>
      <c r="HVT193" s="173"/>
      <c r="HVU193" s="173"/>
      <c r="HVV193" s="173"/>
      <c r="HVW193" s="125"/>
      <c r="HVX193" s="125"/>
      <c r="HVY193" s="134"/>
      <c r="HVZ193" s="135"/>
      <c r="HWA193" s="135"/>
      <c r="HWB193" s="135"/>
      <c r="HWC193" s="135"/>
      <c r="HWD193" s="173"/>
      <c r="HWE193" s="173"/>
      <c r="HWF193" s="173"/>
      <c r="HWG193" s="173"/>
      <c r="HWH193" s="173"/>
      <c r="HWI193" s="173"/>
      <c r="HWJ193" s="173"/>
      <c r="HWK193" s="173"/>
      <c r="HWL193" s="173"/>
      <c r="HWM193" s="173"/>
      <c r="HWN193" s="125"/>
      <c r="HWO193" s="125"/>
      <c r="HWP193" s="134"/>
      <c r="HWQ193" s="135"/>
      <c r="HWR193" s="135"/>
      <c r="HWS193" s="135"/>
      <c r="HWT193" s="135"/>
      <c r="HWU193" s="173"/>
      <c r="HWV193" s="173"/>
      <c r="HWW193" s="173"/>
      <c r="HWX193" s="173"/>
      <c r="HWY193" s="173"/>
      <c r="HWZ193" s="173"/>
      <c r="HXA193" s="173"/>
      <c r="HXB193" s="173"/>
      <c r="HXC193" s="173"/>
      <c r="HXD193" s="173"/>
      <c r="HXE193" s="125"/>
      <c r="HXF193" s="125"/>
      <c r="HXG193" s="134"/>
      <c r="HXH193" s="135"/>
      <c r="HXI193" s="135"/>
      <c r="HXJ193" s="135"/>
      <c r="HXK193" s="135"/>
      <c r="HXL193" s="173"/>
      <c r="HXM193" s="173"/>
      <c r="HXN193" s="173"/>
      <c r="HXO193" s="173"/>
      <c r="HXP193" s="173"/>
      <c r="HXQ193" s="173"/>
      <c r="HXR193" s="173"/>
      <c r="HXS193" s="173"/>
      <c r="HXT193" s="173"/>
      <c r="HXU193" s="173"/>
      <c r="HXV193" s="125"/>
      <c r="HXW193" s="125"/>
      <c r="HXX193" s="134"/>
      <c r="HXY193" s="135"/>
      <c r="HXZ193" s="135"/>
      <c r="HYA193" s="135"/>
      <c r="HYB193" s="135"/>
      <c r="HYC193" s="173"/>
      <c r="HYD193" s="173"/>
      <c r="HYE193" s="173"/>
      <c r="HYF193" s="173"/>
      <c r="HYG193" s="173"/>
      <c r="HYH193" s="173"/>
      <c r="HYI193" s="173"/>
      <c r="HYJ193" s="173"/>
      <c r="HYK193" s="173"/>
      <c r="HYL193" s="173"/>
      <c r="HYM193" s="125"/>
      <c r="HYN193" s="125"/>
      <c r="HYO193" s="134"/>
      <c r="HYP193" s="135"/>
      <c r="HYQ193" s="135"/>
      <c r="HYR193" s="135"/>
      <c r="HYS193" s="135"/>
      <c r="HYT193" s="173"/>
      <c r="HYU193" s="173"/>
      <c r="HYV193" s="173"/>
      <c r="HYW193" s="173"/>
      <c r="HYX193" s="173"/>
      <c r="HYY193" s="173"/>
      <c r="HYZ193" s="173"/>
      <c r="HZA193" s="173"/>
      <c r="HZB193" s="173"/>
      <c r="HZC193" s="173"/>
      <c r="HZD193" s="125"/>
      <c r="HZE193" s="125"/>
      <c r="HZF193" s="134"/>
      <c r="HZG193" s="135"/>
      <c r="HZH193" s="135"/>
      <c r="HZI193" s="135"/>
      <c r="HZJ193" s="135"/>
      <c r="HZK193" s="173"/>
      <c r="HZL193" s="173"/>
      <c r="HZM193" s="173"/>
      <c r="HZN193" s="173"/>
      <c r="HZO193" s="173"/>
      <c r="HZP193" s="173"/>
      <c r="HZQ193" s="173"/>
      <c r="HZR193" s="173"/>
      <c r="HZS193" s="173"/>
      <c r="HZT193" s="173"/>
      <c r="HZU193" s="125"/>
      <c r="HZV193" s="125"/>
      <c r="HZW193" s="134"/>
      <c r="HZX193" s="135"/>
      <c r="HZY193" s="135"/>
      <c r="HZZ193" s="135"/>
      <c r="IAA193" s="135"/>
      <c r="IAB193" s="173"/>
      <c r="IAC193" s="173"/>
      <c r="IAD193" s="173"/>
      <c r="IAE193" s="173"/>
      <c r="IAF193" s="173"/>
      <c r="IAG193" s="173"/>
      <c r="IAH193" s="173"/>
      <c r="IAI193" s="173"/>
      <c r="IAJ193" s="173"/>
      <c r="IAK193" s="173"/>
      <c r="IAL193" s="125"/>
      <c r="IAM193" s="125"/>
      <c r="IAN193" s="134"/>
      <c r="IAO193" s="135"/>
      <c r="IAP193" s="135"/>
      <c r="IAQ193" s="135"/>
      <c r="IAR193" s="135"/>
      <c r="IAS193" s="173"/>
      <c r="IAT193" s="173"/>
      <c r="IAU193" s="173"/>
      <c r="IAV193" s="173"/>
      <c r="IAW193" s="173"/>
      <c r="IAX193" s="173"/>
      <c r="IAY193" s="173"/>
      <c r="IAZ193" s="173"/>
      <c r="IBA193" s="173"/>
      <c r="IBB193" s="173"/>
      <c r="IBC193" s="125"/>
      <c r="IBD193" s="125"/>
      <c r="IBE193" s="134"/>
      <c r="IBF193" s="135"/>
      <c r="IBG193" s="135"/>
      <c r="IBH193" s="135"/>
      <c r="IBI193" s="135"/>
      <c r="IBJ193" s="173"/>
      <c r="IBK193" s="173"/>
      <c r="IBL193" s="173"/>
      <c r="IBM193" s="173"/>
      <c r="IBN193" s="173"/>
      <c r="IBO193" s="173"/>
      <c r="IBP193" s="173"/>
      <c r="IBQ193" s="173"/>
      <c r="IBR193" s="173"/>
      <c r="IBS193" s="173"/>
      <c r="IBT193" s="125"/>
      <c r="IBU193" s="125"/>
      <c r="IBV193" s="134"/>
      <c r="IBW193" s="135"/>
      <c r="IBX193" s="135"/>
      <c r="IBY193" s="135"/>
      <c r="IBZ193" s="135"/>
      <c r="ICA193" s="173"/>
      <c r="ICB193" s="173"/>
      <c r="ICC193" s="173"/>
      <c r="ICD193" s="173"/>
      <c r="ICE193" s="173"/>
      <c r="ICF193" s="173"/>
      <c r="ICG193" s="173"/>
      <c r="ICH193" s="173"/>
      <c r="ICI193" s="173"/>
      <c r="ICJ193" s="173"/>
      <c r="ICK193" s="125"/>
      <c r="ICL193" s="125"/>
      <c r="ICM193" s="134"/>
      <c r="ICN193" s="135"/>
      <c r="ICO193" s="135"/>
      <c r="ICP193" s="135"/>
      <c r="ICQ193" s="135"/>
      <c r="ICR193" s="173"/>
      <c r="ICS193" s="173"/>
      <c r="ICT193" s="173"/>
      <c r="ICU193" s="173"/>
      <c r="ICV193" s="173"/>
      <c r="ICW193" s="173"/>
      <c r="ICX193" s="173"/>
      <c r="ICY193" s="173"/>
      <c r="ICZ193" s="173"/>
      <c r="IDA193" s="173"/>
      <c r="IDB193" s="125"/>
      <c r="IDC193" s="125"/>
      <c r="IDD193" s="134"/>
      <c r="IDE193" s="135"/>
      <c r="IDF193" s="135"/>
      <c r="IDG193" s="135"/>
      <c r="IDH193" s="135"/>
      <c r="IDI193" s="173"/>
      <c r="IDJ193" s="173"/>
      <c r="IDK193" s="173"/>
      <c r="IDL193" s="173"/>
      <c r="IDM193" s="173"/>
      <c r="IDN193" s="173"/>
      <c r="IDO193" s="173"/>
      <c r="IDP193" s="173"/>
      <c r="IDQ193" s="173"/>
      <c r="IDR193" s="173"/>
      <c r="IDS193" s="125"/>
      <c r="IDT193" s="125"/>
      <c r="IDU193" s="134"/>
      <c r="IDV193" s="135"/>
      <c r="IDW193" s="135"/>
      <c r="IDX193" s="135"/>
      <c r="IDY193" s="135"/>
      <c r="IDZ193" s="173"/>
      <c r="IEA193" s="173"/>
      <c r="IEB193" s="173"/>
      <c r="IEC193" s="173"/>
      <c r="IED193" s="173"/>
      <c r="IEE193" s="173"/>
      <c r="IEF193" s="173"/>
      <c r="IEG193" s="173"/>
      <c r="IEH193" s="173"/>
      <c r="IEI193" s="173"/>
      <c r="IEJ193" s="125"/>
      <c r="IEK193" s="125"/>
      <c r="IEL193" s="134"/>
      <c r="IEM193" s="135"/>
      <c r="IEN193" s="135"/>
      <c r="IEO193" s="135"/>
      <c r="IEP193" s="135"/>
      <c r="IEQ193" s="173"/>
      <c r="IER193" s="173"/>
      <c r="IES193" s="173"/>
      <c r="IET193" s="173"/>
      <c r="IEU193" s="173"/>
      <c r="IEV193" s="173"/>
      <c r="IEW193" s="173"/>
      <c r="IEX193" s="173"/>
      <c r="IEY193" s="173"/>
      <c r="IEZ193" s="173"/>
      <c r="IFA193" s="125"/>
      <c r="IFB193" s="125"/>
      <c r="IFC193" s="134"/>
      <c r="IFD193" s="135"/>
      <c r="IFE193" s="135"/>
      <c r="IFF193" s="135"/>
      <c r="IFG193" s="135"/>
      <c r="IFH193" s="173"/>
      <c r="IFI193" s="173"/>
      <c r="IFJ193" s="173"/>
      <c r="IFK193" s="173"/>
      <c r="IFL193" s="173"/>
      <c r="IFM193" s="173"/>
      <c r="IFN193" s="173"/>
      <c r="IFO193" s="173"/>
      <c r="IFP193" s="173"/>
      <c r="IFQ193" s="173"/>
      <c r="IFR193" s="125"/>
      <c r="IFS193" s="125"/>
      <c r="IFT193" s="134"/>
      <c r="IFU193" s="135"/>
      <c r="IFV193" s="135"/>
      <c r="IFW193" s="135"/>
      <c r="IFX193" s="135"/>
      <c r="IFY193" s="173"/>
      <c r="IFZ193" s="173"/>
      <c r="IGA193" s="173"/>
      <c r="IGB193" s="173"/>
      <c r="IGC193" s="173"/>
      <c r="IGD193" s="173"/>
      <c r="IGE193" s="173"/>
      <c r="IGF193" s="173"/>
      <c r="IGG193" s="173"/>
      <c r="IGH193" s="173"/>
      <c r="IGI193" s="125"/>
      <c r="IGJ193" s="125"/>
      <c r="IGK193" s="134"/>
      <c r="IGL193" s="135"/>
      <c r="IGM193" s="135"/>
      <c r="IGN193" s="135"/>
      <c r="IGO193" s="135"/>
      <c r="IGP193" s="173"/>
      <c r="IGQ193" s="173"/>
      <c r="IGR193" s="173"/>
      <c r="IGS193" s="173"/>
      <c r="IGT193" s="173"/>
      <c r="IGU193" s="173"/>
      <c r="IGV193" s="173"/>
      <c r="IGW193" s="173"/>
      <c r="IGX193" s="173"/>
      <c r="IGY193" s="173"/>
      <c r="IGZ193" s="125"/>
      <c r="IHA193" s="125"/>
      <c r="IHB193" s="134"/>
      <c r="IHC193" s="135"/>
      <c r="IHD193" s="135"/>
      <c r="IHE193" s="135"/>
      <c r="IHF193" s="135"/>
      <c r="IHG193" s="173"/>
      <c r="IHH193" s="173"/>
      <c r="IHI193" s="173"/>
      <c r="IHJ193" s="173"/>
      <c r="IHK193" s="173"/>
      <c r="IHL193" s="173"/>
      <c r="IHM193" s="173"/>
      <c r="IHN193" s="173"/>
      <c r="IHO193" s="173"/>
      <c r="IHP193" s="173"/>
      <c r="IHQ193" s="125"/>
      <c r="IHR193" s="125"/>
      <c r="IHS193" s="134"/>
      <c r="IHT193" s="135"/>
      <c r="IHU193" s="135"/>
      <c r="IHV193" s="135"/>
      <c r="IHW193" s="135"/>
      <c r="IHX193" s="173"/>
      <c r="IHY193" s="173"/>
      <c r="IHZ193" s="173"/>
      <c r="IIA193" s="173"/>
      <c r="IIB193" s="173"/>
      <c r="IIC193" s="173"/>
      <c r="IID193" s="173"/>
      <c r="IIE193" s="173"/>
      <c r="IIF193" s="173"/>
      <c r="IIG193" s="173"/>
      <c r="IIH193" s="125"/>
      <c r="III193" s="125"/>
      <c r="IIJ193" s="134"/>
      <c r="IIK193" s="135"/>
      <c r="IIL193" s="135"/>
      <c r="IIM193" s="135"/>
      <c r="IIN193" s="135"/>
      <c r="IIO193" s="173"/>
      <c r="IIP193" s="173"/>
      <c r="IIQ193" s="173"/>
      <c r="IIR193" s="173"/>
      <c r="IIS193" s="173"/>
      <c r="IIT193" s="173"/>
      <c r="IIU193" s="173"/>
      <c r="IIV193" s="173"/>
      <c r="IIW193" s="173"/>
      <c r="IIX193" s="173"/>
      <c r="IIY193" s="125"/>
      <c r="IIZ193" s="125"/>
      <c r="IJA193" s="134"/>
      <c r="IJB193" s="135"/>
      <c r="IJC193" s="135"/>
      <c r="IJD193" s="135"/>
      <c r="IJE193" s="135"/>
      <c r="IJF193" s="173"/>
      <c r="IJG193" s="173"/>
      <c r="IJH193" s="173"/>
      <c r="IJI193" s="173"/>
      <c r="IJJ193" s="173"/>
      <c r="IJK193" s="173"/>
      <c r="IJL193" s="173"/>
      <c r="IJM193" s="173"/>
      <c r="IJN193" s="173"/>
      <c r="IJO193" s="173"/>
      <c r="IJP193" s="125"/>
      <c r="IJQ193" s="125"/>
      <c r="IJR193" s="134"/>
      <c r="IJS193" s="135"/>
      <c r="IJT193" s="135"/>
      <c r="IJU193" s="135"/>
      <c r="IJV193" s="135"/>
      <c r="IJW193" s="173"/>
      <c r="IJX193" s="173"/>
      <c r="IJY193" s="173"/>
      <c r="IJZ193" s="173"/>
      <c r="IKA193" s="173"/>
      <c r="IKB193" s="173"/>
      <c r="IKC193" s="173"/>
      <c r="IKD193" s="173"/>
      <c r="IKE193" s="173"/>
      <c r="IKF193" s="173"/>
      <c r="IKG193" s="125"/>
      <c r="IKH193" s="125"/>
      <c r="IKI193" s="134"/>
      <c r="IKJ193" s="135"/>
      <c r="IKK193" s="135"/>
      <c r="IKL193" s="135"/>
      <c r="IKM193" s="135"/>
      <c r="IKN193" s="173"/>
      <c r="IKO193" s="173"/>
      <c r="IKP193" s="173"/>
      <c r="IKQ193" s="173"/>
      <c r="IKR193" s="173"/>
      <c r="IKS193" s="173"/>
      <c r="IKT193" s="173"/>
      <c r="IKU193" s="173"/>
      <c r="IKV193" s="173"/>
      <c r="IKW193" s="173"/>
      <c r="IKX193" s="125"/>
      <c r="IKY193" s="125"/>
      <c r="IKZ193" s="134"/>
      <c r="ILA193" s="135"/>
      <c r="ILB193" s="135"/>
      <c r="ILC193" s="135"/>
      <c r="ILD193" s="135"/>
      <c r="ILE193" s="173"/>
      <c r="ILF193" s="173"/>
      <c r="ILG193" s="173"/>
      <c r="ILH193" s="173"/>
      <c r="ILI193" s="173"/>
      <c r="ILJ193" s="173"/>
      <c r="ILK193" s="173"/>
      <c r="ILL193" s="173"/>
      <c r="ILM193" s="173"/>
      <c r="ILN193" s="173"/>
      <c r="ILO193" s="125"/>
      <c r="ILP193" s="125"/>
      <c r="ILQ193" s="134"/>
      <c r="ILR193" s="135"/>
      <c r="ILS193" s="135"/>
      <c r="ILT193" s="135"/>
      <c r="ILU193" s="135"/>
      <c r="ILV193" s="173"/>
      <c r="ILW193" s="173"/>
      <c r="ILX193" s="173"/>
      <c r="ILY193" s="173"/>
      <c r="ILZ193" s="173"/>
      <c r="IMA193" s="173"/>
      <c r="IMB193" s="173"/>
      <c r="IMC193" s="173"/>
      <c r="IMD193" s="173"/>
      <c r="IME193" s="173"/>
      <c r="IMF193" s="125"/>
      <c r="IMG193" s="125"/>
      <c r="IMH193" s="134"/>
      <c r="IMI193" s="135"/>
      <c r="IMJ193" s="135"/>
      <c r="IMK193" s="135"/>
      <c r="IML193" s="135"/>
      <c r="IMM193" s="173"/>
      <c r="IMN193" s="173"/>
      <c r="IMO193" s="173"/>
      <c r="IMP193" s="173"/>
      <c r="IMQ193" s="173"/>
      <c r="IMR193" s="173"/>
      <c r="IMS193" s="173"/>
      <c r="IMT193" s="173"/>
      <c r="IMU193" s="173"/>
      <c r="IMV193" s="173"/>
      <c r="IMW193" s="125"/>
      <c r="IMX193" s="125"/>
      <c r="IMY193" s="134"/>
      <c r="IMZ193" s="135"/>
      <c r="INA193" s="135"/>
      <c r="INB193" s="135"/>
      <c r="INC193" s="135"/>
      <c r="IND193" s="173"/>
      <c r="INE193" s="173"/>
      <c r="INF193" s="173"/>
      <c r="ING193" s="173"/>
      <c r="INH193" s="173"/>
      <c r="INI193" s="173"/>
      <c r="INJ193" s="173"/>
      <c r="INK193" s="173"/>
      <c r="INL193" s="173"/>
      <c r="INM193" s="173"/>
      <c r="INN193" s="125"/>
      <c r="INO193" s="125"/>
      <c r="INP193" s="134"/>
      <c r="INQ193" s="135"/>
      <c r="INR193" s="135"/>
      <c r="INS193" s="135"/>
      <c r="INT193" s="135"/>
      <c r="INU193" s="173"/>
      <c r="INV193" s="173"/>
      <c r="INW193" s="173"/>
      <c r="INX193" s="173"/>
      <c r="INY193" s="173"/>
      <c r="INZ193" s="173"/>
      <c r="IOA193" s="173"/>
      <c r="IOB193" s="173"/>
      <c r="IOC193" s="173"/>
      <c r="IOD193" s="173"/>
      <c r="IOE193" s="125"/>
      <c r="IOF193" s="125"/>
      <c r="IOG193" s="134"/>
      <c r="IOH193" s="135"/>
      <c r="IOI193" s="135"/>
      <c r="IOJ193" s="135"/>
      <c r="IOK193" s="135"/>
      <c r="IOL193" s="173"/>
      <c r="IOM193" s="173"/>
      <c r="ION193" s="173"/>
      <c r="IOO193" s="173"/>
      <c r="IOP193" s="173"/>
      <c r="IOQ193" s="173"/>
      <c r="IOR193" s="173"/>
      <c r="IOS193" s="173"/>
      <c r="IOT193" s="173"/>
      <c r="IOU193" s="173"/>
      <c r="IOV193" s="125"/>
      <c r="IOW193" s="125"/>
      <c r="IOX193" s="134"/>
      <c r="IOY193" s="135"/>
      <c r="IOZ193" s="135"/>
      <c r="IPA193" s="135"/>
      <c r="IPB193" s="135"/>
      <c r="IPC193" s="173"/>
      <c r="IPD193" s="173"/>
      <c r="IPE193" s="173"/>
      <c r="IPF193" s="173"/>
      <c r="IPG193" s="173"/>
      <c r="IPH193" s="173"/>
      <c r="IPI193" s="173"/>
      <c r="IPJ193" s="173"/>
      <c r="IPK193" s="173"/>
      <c r="IPL193" s="173"/>
      <c r="IPM193" s="125"/>
      <c r="IPN193" s="125"/>
      <c r="IPO193" s="134"/>
      <c r="IPP193" s="135"/>
      <c r="IPQ193" s="135"/>
      <c r="IPR193" s="135"/>
      <c r="IPS193" s="135"/>
      <c r="IPT193" s="173"/>
      <c r="IPU193" s="173"/>
      <c r="IPV193" s="173"/>
      <c r="IPW193" s="173"/>
      <c r="IPX193" s="173"/>
      <c r="IPY193" s="173"/>
      <c r="IPZ193" s="173"/>
      <c r="IQA193" s="173"/>
      <c r="IQB193" s="173"/>
      <c r="IQC193" s="173"/>
      <c r="IQD193" s="125"/>
      <c r="IQE193" s="125"/>
      <c r="IQF193" s="134"/>
      <c r="IQG193" s="135"/>
      <c r="IQH193" s="135"/>
      <c r="IQI193" s="135"/>
      <c r="IQJ193" s="135"/>
      <c r="IQK193" s="173"/>
      <c r="IQL193" s="173"/>
      <c r="IQM193" s="173"/>
      <c r="IQN193" s="173"/>
      <c r="IQO193" s="173"/>
      <c r="IQP193" s="173"/>
      <c r="IQQ193" s="173"/>
      <c r="IQR193" s="173"/>
      <c r="IQS193" s="173"/>
      <c r="IQT193" s="173"/>
      <c r="IQU193" s="125"/>
      <c r="IQV193" s="125"/>
      <c r="IQW193" s="134"/>
      <c r="IQX193" s="135"/>
      <c r="IQY193" s="135"/>
      <c r="IQZ193" s="135"/>
      <c r="IRA193" s="135"/>
      <c r="IRB193" s="173"/>
      <c r="IRC193" s="173"/>
      <c r="IRD193" s="173"/>
      <c r="IRE193" s="173"/>
      <c r="IRF193" s="173"/>
      <c r="IRG193" s="173"/>
      <c r="IRH193" s="173"/>
      <c r="IRI193" s="173"/>
      <c r="IRJ193" s="173"/>
      <c r="IRK193" s="173"/>
      <c r="IRL193" s="125"/>
      <c r="IRM193" s="125"/>
      <c r="IRN193" s="134"/>
      <c r="IRO193" s="135"/>
      <c r="IRP193" s="135"/>
      <c r="IRQ193" s="135"/>
      <c r="IRR193" s="135"/>
      <c r="IRS193" s="173"/>
      <c r="IRT193" s="173"/>
      <c r="IRU193" s="173"/>
      <c r="IRV193" s="173"/>
      <c r="IRW193" s="173"/>
      <c r="IRX193" s="173"/>
      <c r="IRY193" s="173"/>
      <c r="IRZ193" s="173"/>
      <c r="ISA193" s="173"/>
      <c r="ISB193" s="173"/>
      <c r="ISC193" s="125"/>
      <c r="ISD193" s="125"/>
      <c r="ISE193" s="134"/>
      <c r="ISF193" s="135"/>
      <c r="ISG193" s="135"/>
      <c r="ISH193" s="135"/>
      <c r="ISI193" s="135"/>
      <c r="ISJ193" s="173"/>
      <c r="ISK193" s="173"/>
      <c r="ISL193" s="173"/>
      <c r="ISM193" s="173"/>
      <c r="ISN193" s="173"/>
      <c r="ISO193" s="173"/>
      <c r="ISP193" s="173"/>
      <c r="ISQ193" s="173"/>
      <c r="ISR193" s="173"/>
      <c r="ISS193" s="173"/>
      <c r="IST193" s="125"/>
      <c r="ISU193" s="125"/>
      <c r="ISV193" s="134"/>
      <c r="ISW193" s="135"/>
      <c r="ISX193" s="135"/>
      <c r="ISY193" s="135"/>
      <c r="ISZ193" s="135"/>
      <c r="ITA193" s="173"/>
      <c r="ITB193" s="173"/>
      <c r="ITC193" s="173"/>
      <c r="ITD193" s="173"/>
      <c r="ITE193" s="173"/>
      <c r="ITF193" s="173"/>
      <c r="ITG193" s="173"/>
      <c r="ITH193" s="173"/>
      <c r="ITI193" s="173"/>
      <c r="ITJ193" s="173"/>
      <c r="ITK193" s="125"/>
      <c r="ITL193" s="125"/>
      <c r="ITM193" s="134"/>
      <c r="ITN193" s="135"/>
      <c r="ITO193" s="135"/>
      <c r="ITP193" s="135"/>
      <c r="ITQ193" s="135"/>
      <c r="ITR193" s="173"/>
      <c r="ITS193" s="173"/>
      <c r="ITT193" s="173"/>
      <c r="ITU193" s="173"/>
      <c r="ITV193" s="173"/>
      <c r="ITW193" s="173"/>
      <c r="ITX193" s="173"/>
      <c r="ITY193" s="173"/>
      <c r="ITZ193" s="173"/>
      <c r="IUA193" s="173"/>
      <c r="IUB193" s="125"/>
      <c r="IUC193" s="125"/>
      <c r="IUD193" s="134"/>
      <c r="IUE193" s="135"/>
      <c r="IUF193" s="135"/>
      <c r="IUG193" s="135"/>
      <c r="IUH193" s="135"/>
      <c r="IUI193" s="173"/>
      <c r="IUJ193" s="173"/>
      <c r="IUK193" s="173"/>
      <c r="IUL193" s="173"/>
      <c r="IUM193" s="173"/>
      <c r="IUN193" s="173"/>
      <c r="IUO193" s="173"/>
      <c r="IUP193" s="173"/>
      <c r="IUQ193" s="173"/>
      <c r="IUR193" s="173"/>
      <c r="IUS193" s="125"/>
      <c r="IUT193" s="125"/>
      <c r="IUU193" s="134"/>
      <c r="IUV193" s="135"/>
      <c r="IUW193" s="135"/>
      <c r="IUX193" s="135"/>
      <c r="IUY193" s="135"/>
      <c r="IUZ193" s="173"/>
      <c r="IVA193" s="173"/>
      <c r="IVB193" s="173"/>
      <c r="IVC193" s="173"/>
      <c r="IVD193" s="173"/>
      <c r="IVE193" s="173"/>
      <c r="IVF193" s="173"/>
      <c r="IVG193" s="173"/>
      <c r="IVH193" s="173"/>
      <c r="IVI193" s="173"/>
      <c r="IVJ193" s="125"/>
      <c r="IVK193" s="125"/>
      <c r="IVL193" s="134"/>
      <c r="IVM193" s="135"/>
      <c r="IVN193" s="135"/>
      <c r="IVO193" s="135"/>
      <c r="IVP193" s="135"/>
      <c r="IVQ193" s="173"/>
      <c r="IVR193" s="173"/>
      <c r="IVS193" s="173"/>
      <c r="IVT193" s="173"/>
      <c r="IVU193" s="173"/>
      <c r="IVV193" s="173"/>
      <c r="IVW193" s="173"/>
      <c r="IVX193" s="173"/>
      <c r="IVY193" s="173"/>
      <c r="IVZ193" s="173"/>
      <c r="IWA193" s="125"/>
      <c r="IWB193" s="125"/>
      <c r="IWC193" s="134"/>
      <c r="IWD193" s="135"/>
      <c r="IWE193" s="135"/>
      <c r="IWF193" s="135"/>
      <c r="IWG193" s="135"/>
      <c r="IWH193" s="173"/>
      <c r="IWI193" s="173"/>
      <c r="IWJ193" s="173"/>
      <c r="IWK193" s="173"/>
      <c r="IWL193" s="173"/>
      <c r="IWM193" s="173"/>
      <c r="IWN193" s="173"/>
      <c r="IWO193" s="173"/>
      <c r="IWP193" s="173"/>
      <c r="IWQ193" s="173"/>
      <c r="IWR193" s="125"/>
      <c r="IWS193" s="125"/>
      <c r="IWT193" s="134"/>
      <c r="IWU193" s="135"/>
      <c r="IWV193" s="135"/>
      <c r="IWW193" s="135"/>
      <c r="IWX193" s="135"/>
      <c r="IWY193" s="173"/>
      <c r="IWZ193" s="173"/>
      <c r="IXA193" s="173"/>
      <c r="IXB193" s="173"/>
      <c r="IXC193" s="173"/>
      <c r="IXD193" s="173"/>
      <c r="IXE193" s="173"/>
      <c r="IXF193" s="173"/>
      <c r="IXG193" s="173"/>
      <c r="IXH193" s="173"/>
      <c r="IXI193" s="125"/>
      <c r="IXJ193" s="125"/>
      <c r="IXK193" s="134"/>
      <c r="IXL193" s="135"/>
      <c r="IXM193" s="135"/>
      <c r="IXN193" s="135"/>
      <c r="IXO193" s="135"/>
      <c r="IXP193" s="173"/>
      <c r="IXQ193" s="173"/>
      <c r="IXR193" s="173"/>
      <c r="IXS193" s="173"/>
      <c r="IXT193" s="173"/>
      <c r="IXU193" s="173"/>
      <c r="IXV193" s="173"/>
      <c r="IXW193" s="173"/>
      <c r="IXX193" s="173"/>
      <c r="IXY193" s="173"/>
      <c r="IXZ193" s="125"/>
      <c r="IYA193" s="125"/>
      <c r="IYB193" s="134"/>
      <c r="IYC193" s="135"/>
      <c r="IYD193" s="135"/>
      <c r="IYE193" s="135"/>
      <c r="IYF193" s="135"/>
      <c r="IYG193" s="173"/>
      <c r="IYH193" s="173"/>
      <c r="IYI193" s="173"/>
      <c r="IYJ193" s="173"/>
      <c r="IYK193" s="173"/>
      <c r="IYL193" s="173"/>
      <c r="IYM193" s="173"/>
      <c r="IYN193" s="173"/>
      <c r="IYO193" s="173"/>
      <c r="IYP193" s="173"/>
      <c r="IYQ193" s="125"/>
      <c r="IYR193" s="125"/>
      <c r="IYS193" s="134"/>
      <c r="IYT193" s="135"/>
      <c r="IYU193" s="135"/>
      <c r="IYV193" s="135"/>
      <c r="IYW193" s="135"/>
      <c r="IYX193" s="173"/>
      <c r="IYY193" s="173"/>
      <c r="IYZ193" s="173"/>
      <c r="IZA193" s="173"/>
      <c r="IZB193" s="173"/>
      <c r="IZC193" s="173"/>
      <c r="IZD193" s="173"/>
      <c r="IZE193" s="173"/>
      <c r="IZF193" s="173"/>
      <c r="IZG193" s="173"/>
      <c r="IZH193" s="125"/>
      <c r="IZI193" s="125"/>
      <c r="IZJ193" s="134"/>
      <c r="IZK193" s="135"/>
      <c r="IZL193" s="135"/>
      <c r="IZM193" s="135"/>
      <c r="IZN193" s="135"/>
      <c r="IZO193" s="173"/>
      <c r="IZP193" s="173"/>
      <c r="IZQ193" s="173"/>
      <c r="IZR193" s="173"/>
      <c r="IZS193" s="173"/>
      <c r="IZT193" s="173"/>
      <c r="IZU193" s="173"/>
      <c r="IZV193" s="173"/>
      <c r="IZW193" s="173"/>
      <c r="IZX193" s="173"/>
      <c r="IZY193" s="125"/>
      <c r="IZZ193" s="125"/>
      <c r="JAA193" s="134"/>
      <c r="JAB193" s="135"/>
      <c r="JAC193" s="135"/>
      <c r="JAD193" s="135"/>
      <c r="JAE193" s="135"/>
      <c r="JAF193" s="173"/>
      <c r="JAG193" s="173"/>
      <c r="JAH193" s="173"/>
      <c r="JAI193" s="173"/>
      <c r="JAJ193" s="173"/>
      <c r="JAK193" s="173"/>
      <c r="JAL193" s="173"/>
      <c r="JAM193" s="173"/>
      <c r="JAN193" s="173"/>
      <c r="JAO193" s="173"/>
      <c r="JAP193" s="125"/>
      <c r="JAQ193" s="125"/>
      <c r="JAR193" s="134"/>
      <c r="JAS193" s="135"/>
      <c r="JAT193" s="135"/>
      <c r="JAU193" s="135"/>
      <c r="JAV193" s="135"/>
      <c r="JAW193" s="173"/>
      <c r="JAX193" s="173"/>
      <c r="JAY193" s="173"/>
      <c r="JAZ193" s="173"/>
      <c r="JBA193" s="173"/>
      <c r="JBB193" s="173"/>
      <c r="JBC193" s="173"/>
      <c r="JBD193" s="173"/>
      <c r="JBE193" s="173"/>
      <c r="JBF193" s="173"/>
      <c r="JBG193" s="125"/>
      <c r="JBH193" s="125"/>
      <c r="JBI193" s="134"/>
      <c r="JBJ193" s="135"/>
      <c r="JBK193" s="135"/>
      <c r="JBL193" s="135"/>
      <c r="JBM193" s="135"/>
      <c r="JBN193" s="173"/>
      <c r="JBO193" s="173"/>
      <c r="JBP193" s="173"/>
      <c r="JBQ193" s="173"/>
      <c r="JBR193" s="173"/>
      <c r="JBS193" s="173"/>
      <c r="JBT193" s="173"/>
      <c r="JBU193" s="173"/>
      <c r="JBV193" s="173"/>
      <c r="JBW193" s="173"/>
      <c r="JBX193" s="125"/>
      <c r="JBY193" s="125"/>
      <c r="JBZ193" s="134"/>
      <c r="JCA193" s="135"/>
      <c r="JCB193" s="135"/>
      <c r="JCC193" s="135"/>
      <c r="JCD193" s="135"/>
      <c r="JCE193" s="173"/>
      <c r="JCF193" s="173"/>
      <c r="JCG193" s="173"/>
      <c r="JCH193" s="173"/>
      <c r="JCI193" s="173"/>
      <c r="JCJ193" s="173"/>
      <c r="JCK193" s="173"/>
      <c r="JCL193" s="173"/>
      <c r="JCM193" s="173"/>
      <c r="JCN193" s="173"/>
      <c r="JCO193" s="125"/>
      <c r="JCP193" s="125"/>
      <c r="JCQ193" s="134"/>
      <c r="JCR193" s="135"/>
      <c r="JCS193" s="135"/>
      <c r="JCT193" s="135"/>
      <c r="JCU193" s="135"/>
      <c r="JCV193" s="173"/>
      <c r="JCW193" s="173"/>
      <c r="JCX193" s="173"/>
      <c r="JCY193" s="173"/>
      <c r="JCZ193" s="173"/>
      <c r="JDA193" s="173"/>
      <c r="JDB193" s="173"/>
      <c r="JDC193" s="173"/>
      <c r="JDD193" s="173"/>
      <c r="JDE193" s="173"/>
      <c r="JDF193" s="125"/>
      <c r="JDG193" s="125"/>
      <c r="JDH193" s="134"/>
      <c r="JDI193" s="135"/>
      <c r="JDJ193" s="135"/>
      <c r="JDK193" s="135"/>
      <c r="JDL193" s="135"/>
      <c r="JDM193" s="173"/>
      <c r="JDN193" s="173"/>
      <c r="JDO193" s="173"/>
      <c r="JDP193" s="173"/>
      <c r="JDQ193" s="173"/>
      <c r="JDR193" s="173"/>
      <c r="JDS193" s="173"/>
      <c r="JDT193" s="173"/>
      <c r="JDU193" s="173"/>
      <c r="JDV193" s="173"/>
      <c r="JDW193" s="125"/>
      <c r="JDX193" s="125"/>
      <c r="JDY193" s="134"/>
      <c r="JDZ193" s="135"/>
      <c r="JEA193" s="135"/>
      <c r="JEB193" s="135"/>
      <c r="JEC193" s="135"/>
      <c r="JED193" s="173"/>
      <c r="JEE193" s="173"/>
      <c r="JEF193" s="173"/>
      <c r="JEG193" s="173"/>
      <c r="JEH193" s="173"/>
      <c r="JEI193" s="173"/>
      <c r="JEJ193" s="173"/>
      <c r="JEK193" s="173"/>
      <c r="JEL193" s="173"/>
      <c r="JEM193" s="173"/>
      <c r="JEN193" s="125"/>
      <c r="JEO193" s="125"/>
      <c r="JEP193" s="134"/>
      <c r="JEQ193" s="135"/>
      <c r="JER193" s="135"/>
      <c r="JES193" s="135"/>
      <c r="JET193" s="135"/>
      <c r="JEU193" s="173"/>
      <c r="JEV193" s="173"/>
      <c r="JEW193" s="173"/>
      <c r="JEX193" s="173"/>
      <c r="JEY193" s="173"/>
      <c r="JEZ193" s="173"/>
      <c r="JFA193" s="173"/>
      <c r="JFB193" s="173"/>
      <c r="JFC193" s="173"/>
      <c r="JFD193" s="173"/>
      <c r="JFE193" s="125"/>
      <c r="JFF193" s="125"/>
      <c r="JFG193" s="134"/>
      <c r="JFH193" s="135"/>
      <c r="JFI193" s="135"/>
      <c r="JFJ193" s="135"/>
      <c r="JFK193" s="135"/>
      <c r="JFL193" s="173"/>
      <c r="JFM193" s="173"/>
      <c r="JFN193" s="173"/>
      <c r="JFO193" s="173"/>
      <c r="JFP193" s="173"/>
      <c r="JFQ193" s="173"/>
      <c r="JFR193" s="173"/>
      <c r="JFS193" s="173"/>
      <c r="JFT193" s="173"/>
      <c r="JFU193" s="173"/>
      <c r="JFV193" s="125"/>
      <c r="JFW193" s="125"/>
      <c r="JFX193" s="134"/>
      <c r="JFY193" s="135"/>
      <c r="JFZ193" s="135"/>
      <c r="JGA193" s="135"/>
      <c r="JGB193" s="135"/>
      <c r="JGC193" s="173"/>
      <c r="JGD193" s="173"/>
      <c r="JGE193" s="173"/>
      <c r="JGF193" s="173"/>
      <c r="JGG193" s="173"/>
      <c r="JGH193" s="173"/>
      <c r="JGI193" s="173"/>
      <c r="JGJ193" s="173"/>
      <c r="JGK193" s="173"/>
      <c r="JGL193" s="173"/>
      <c r="JGM193" s="125"/>
      <c r="JGN193" s="125"/>
      <c r="JGO193" s="134"/>
      <c r="JGP193" s="135"/>
      <c r="JGQ193" s="135"/>
      <c r="JGR193" s="135"/>
      <c r="JGS193" s="135"/>
      <c r="JGT193" s="173"/>
      <c r="JGU193" s="173"/>
      <c r="JGV193" s="173"/>
      <c r="JGW193" s="173"/>
      <c r="JGX193" s="173"/>
      <c r="JGY193" s="173"/>
      <c r="JGZ193" s="173"/>
      <c r="JHA193" s="173"/>
      <c r="JHB193" s="173"/>
      <c r="JHC193" s="173"/>
      <c r="JHD193" s="125"/>
      <c r="JHE193" s="125"/>
      <c r="JHF193" s="134"/>
      <c r="JHG193" s="135"/>
      <c r="JHH193" s="135"/>
      <c r="JHI193" s="135"/>
      <c r="JHJ193" s="135"/>
      <c r="JHK193" s="173"/>
      <c r="JHL193" s="173"/>
      <c r="JHM193" s="173"/>
      <c r="JHN193" s="173"/>
      <c r="JHO193" s="173"/>
      <c r="JHP193" s="173"/>
      <c r="JHQ193" s="173"/>
      <c r="JHR193" s="173"/>
      <c r="JHS193" s="173"/>
      <c r="JHT193" s="173"/>
      <c r="JHU193" s="125"/>
      <c r="JHV193" s="125"/>
      <c r="JHW193" s="134"/>
      <c r="JHX193" s="135"/>
      <c r="JHY193" s="135"/>
      <c r="JHZ193" s="135"/>
      <c r="JIA193" s="135"/>
      <c r="JIB193" s="173"/>
      <c r="JIC193" s="173"/>
      <c r="JID193" s="173"/>
      <c r="JIE193" s="173"/>
      <c r="JIF193" s="173"/>
      <c r="JIG193" s="173"/>
      <c r="JIH193" s="173"/>
      <c r="JII193" s="173"/>
      <c r="JIJ193" s="173"/>
      <c r="JIK193" s="173"/>
      <c r="JIL193" s="125"/>
      <c r="JIM193" s="125"/>
      <c r="JIN193" s="134"/>
      <c r="JIO193" s="135"/>
      <c r="JIP193" s="135"/>
      <c r="JIQ193" s="135"/>
      <c r="JIR193" s="135"/>
      <c r="JIS193" s="173"/>
      <c r="JIT193" s="173"/>
      <c r="JIU193" s="173"/>
      <c r="JIV193" s="173"/>
      <c r="JIW193" s="173"/>
      <c r="JIX193" s="173"/>
      <c r="JIY193" s="173"/>
      <c r="JIZ193" s="173"/>
      <c r="JJA193" s="173"/>
      <c r="JJB193" s="173"/>
      <c r="JJC193" s="125"/>
      <c r="JJD193" s="125"/>
      <c r="JJE193" s="134"/>
      <c r="JJF193" s="135"/>
      <c r="JJG193" s="135"/>
      <c r="JJH193" s="135"/>
      <c r="JJI193" s="135"/>
      <c r="JJJ193" s="173"/>
      <c r="JJK193" s="173"/>
      <c r="JJL193" s="173"/>
      <c r="JJM193" s="173"/>
      <c r="JJN193" s="173"/>
      <c r="JJO193" s="173"/>
      <c r="JJP193" s="173"/>
      <c r="JJQ193" s="173"/>
      <c r="JJR193" s="173"/>
      <c r="JJS193" s="173"/>
      <c r="JJT193" s="125"/>
      <c r="JJU193" s="125"/>
      <c r="JJV193" s="134"/>
      <c r="JJW193" s="135"/>
      <c r="JJX193" s="135"/>
      <c r="JJY193" s="135"/>
      <c r="JJZ193" s="135"/>
      <c r="JKA193" s="173"/>
      <c r="JKB193" s="173"/>
      <c r="JKC193" s="173"/>
      <c r="JKD193" s="173"/>
      <c r="JKE193" s="173"/>
      <c r="JKF193" s="173"/>
      <c r="JKG193" s="173"/>
      <c r="JKH193" s="173"/>
      <c r="JKI193" s="173"/>
      <c r="JKJ193" s="173"/>
      <c r="JKK193" s="125"/>
      <c r="JKL193" s="125"/>
      <c r="JKM193" s="134"/>
      <c r="JKN193" s="135"/>
      <c r="JKO193" s="135"/>
      <c r="JKP193" s="135"/>
      <c r="JKQ193" s="135"/>
      <c r="JKR193" s="173"/>
      <c r="JKS193" s="173"/>
      <c r="JKT193" s="173"/>
      <c r="JKU193" s="173"/>
      <c r="JKV193" s="173"/>
      <c r="JKW193" s="173"/>
      <c r="JKX193" s="173"/>
      <c r="JKY193" s="173"/>
      <c r="JKZ193" s="173"/>
      <c r="JLA193" s="173"/>
      <c r="JLB193" s="125"/>
      <c r="JLC193" s="125"/>
      <c r="JLD193" s="134"/>
      <c r="JLE193" s="135"/>
      <c r="JLF193" s="135"/>
      <c r="JLG193" s="135"/>
      <c r="JLH193" s="135"/>
      <c r="JLI193" s="173"/>
      <c r="JLJ193" s="173"/>
      <c r="JLK193" s="173"/>
      <c r="JLL193" s="173"/>
      <c r="JLM193" s="173"/>
      <c r="JLN193" s="173"/>
      <c r="JLO193" s="173"/>
      <c r="JLP193" s="173"/>
      <c r="JLQ193" s="173"/>
      <c r="JLR193" s="173"/>
      <c r="JLS193" s="125"/>
      <c r="JLT193" s="125"/>
      <c r="JLU193" s="134"/>
      <c r="JLV193" s="135"/>
      <c r="JLW193" s="135"/>
      <c r="JLX193" s="135"/>
      <c r="JLY193" s="135"/>
      <c r="JLZ193" s="173"/>
      <c r="JMA193" s="173"/>
      <c r="JMB193" s="173"/>
      <c r="JMC193" s="173"/>
      <c r="JMD193" s="173"/>
      <c r="JME193" s="173"/>
      <c r="JMF193" s="173"/>
      <c r="JMG193" s="173"/>
      <c r="JMH193" s="173"/>
      <c r="JMI193" s="173"/>
      <c r="JMJ193" s="125"/>
      <c r="JMK193" s="125"/>
      <c r="JML193" s="134"/>
      <c r="JMM193" s="135"/>
      <c r="JMN193" s="135"/>
      <c r="JMO193" s="135"/>
      <c r="JMP193" s="135"/>
      <c r="JMQ193" s="173"/>
      <c r="JMR193" s="173"/>
      <c r="JMS193" s="173"/>
      <c r="JMT193" s="173"/>
      <c r="JMU193" s="173"/>
      <c r="JMV193" s="173"/>
      <c r="JMW193" s="173"/>
      <c r="JMX193" s="173"/>
      <c r="JMY193" s="173"/>
      <c r="JMZ193" s="173"/>
      <c r="JNA193" s="125"/>
      <c r="JNB193" s="125"/>
      <c r="JNC193" s="134"/>
      <c r="JND193" s="135"/>
      <c r="JNE193" s="135"/>
      <c r="JNF193" s="135"/>
      <c r="JNG193" s="135"/>
      <c r="JNH193" s="173"/>
      <c r="JNI193" s="173"/>
      <c r="JNJ193" s="173"/>
      <c r="JNK193" s="173"/>
      <c r="JNL193" s="173"/>
      <c r="JNM193" s="173"/>
      <c r="JNN193" s="173"/>
      <c r="JNO193" s="173"/>
      <c r="JNP193" s="173"/>
      <c r="JNQ193" s="173"/>
      <c r="JNR193" s="125"/>
      <c r="JNS193" s="125"/>
      <c r="JNT193" s="134"/>
      <c r="JNU193" s="135"/>
      <c r="JNV193" s="135"/>
      <c r="JNW193" s="135"/>
      <c r="JNX193" s="135"/>
      <c r="JNY193" s="173"/>
      <c r="JNZ193" s="173"/>
      <c r="JOA193" s="173"/>
      <c r="JOB193" s="173"/>
      <c r="JOC193" s="173"/>
      <c r="JOD193" s="173"/>
      <c r="JOE193" s="173"/>
      <c r="JOF193" s="173"/>
      <c r="JOG193" s="173"/>
      <c r="JOH193" s="173"/>
      <c r="JOI193" s="125"/>
      <c r="JOJ193" s="125"/>
      <c r="JOK193" s="134"/>
      <c r="JOL193" s="135"/>
      <c r="JOM193" s="135"/>
      <c r="JON193" s="135"/>
      <c r="JOO193" s="135"/>
      <c r="JOP193" s="173"/>
      <c r="JOQ193" s="173"/>
      <c r="JOR193" s="173"/>
      <c r="JOS193" s="173"/>
      <c r="JOT193" s="173"/>
      <c r="JOU193" s="173"/>
      <c r="JOV193" s="173"/>
      <c r="JOW193" s="173"/>
      <c r="JOX193" s="173"/>
      <c r="JOY193" s="173"/>
      <c r="JOZ193" s="125"/>
      <c r="JPA193" s="125"/>
      <c r="JPB193" s="134"/>
      <c r="JPC193" s="135"/>
      <c r="JPD193" s="135"/>
      <c r="JPE193" s="135"/>
      <c r="JPF193" s="135"/>
      <c r="JPG193" s="173"/>
      <c r="JPH193" s="173"/>
      <c r="JPI193" s="173"/>
      <c r="JPJ193" s="173"/>
      <c r="JPK193" s="173"/>
      <c r="JPL193" s="173"/>
      <c r="JPM193" s="173"/>
      <c r="JPN193" s="173"/>
      <c r="JPO193" s="173"/>
      <c r="JPP193" s="173"/>
      <c r="JPQ193" s="125"/>
      <c r="JPR193" s="125"/>
      <c r="JPS193" s="134"/>
      <c r="JPT193" s="135"/>
      <c r="JPU193" s="135"/>
      <c r="JPV193" s="135"/>
      <c r="JPW193" s="135"/>
      <c r="JPX193" s="173"/>
      <c r="JPY193" s="173"/>
      <c r="JPZ193" s="173"/>
      <c r="JQA193" s="173"/>
      <c r="JQB193" s="173"/>
      <c r="JQC193" s="173"/>
      <c r="JQD193" s="173"/>
      <c r="JQE193" s="173"/>
      <c r="JQF193" s="173"/>
      <c r="JQG193" s="173"/>
      <c r="JQH193" s="125"/>
      <c r="JQI193" s="125"/>
      <c r="JQJ193" s="134"/>
      <c r="JQK193" s="135"/>
      <c r="JQL193" s="135"/>
      <c r="JQM193" s="135"/>
      <c r="JQN193" s="135"/>
      <c r="JQO193" s="173"/>
      <c r="JQP193" s="173"/>
      <c r="JQQ193" s="173"/>
      <c r="JQR193" s="173"/>
      <c r="JQS193" s="173"/>
      <c r="JQT193" s="173"/>
      <c r="JQU193" s="173"/>
      <c r="JQV193" s="173"/>
      <c r="JQW193" s="173"/>
      <c r="JQX193" s="173"/>
      <c r="JQY193" s="125"/>
      <c r="JQZ193" s="125"/>
      <c r="JRA193" s="134"/>
      <c r="JRB193" s="135"/>
      <c r="JRC193" s="135"/>
      <c r="JRD193" s="135"/>
      <c r="JRE193" s="135"/>
      <c r="JRF193" s="173"/>
      <c r="JRG193" s="173"/>
      <c r="JRH193" s="173"/>
      <c r="JRI193" s="173"/>
      <c r="JRJ193" s="173"/>
      <c r="JRK193" s="173"/>
      <c r="JRL193" s="173"/>
      <c r="JRM193" s="173"/>
      <c r="JRN193" s="173"/>
      <c r="JRO193" s="173"/>
      <c r="JRP193" s="125"/>
      <c r="JRQ193" s="125"/>
      <c r="JRR193" s="134"/>
      <c r="JRS193" s="135"/>
      <c r="JRT193" s="135"/>
      <c r="JRU193" s="135"/>
      <c r="JRV193" s="135"/>
      <c r="JRW193" s="173"/>
      <c r="JRX193" s="173"/>
      <c r="JRY193" s="173"/>
      <c r="JRZ193" s="173"/>
      <c r="JSA193" s="173"/>
      <c r="JSB193" s="173"/>
      <c r="JSC193" s="173"/>
      <c r="JSD193" s="173"/>
      <c r="JSE193" s="173"/>
      <c r="JSF193" s="173"/>
      <c r="JSG193" s="125"/>
      <c r="JSH193" s="125"/>
      <c r="JSI193" s="134"/>
      <c r="JSJ193" s="135"/>
      <c r="JSK193" s="135"/>
      <c r="JSL193" s="135"/>
      <c r="JSM193" s="135"/>
      <c r="JSN193" s="173"/>
      <c r="JSO193" s="173"/>
      <c r="JSP193" s="173"/>
      <c r="JSQ193" s="173"/>
      <c r="JSR193" s="173"/>
      <c r="JSS193" s="173"/>
      <c r="JST193" s="173"/>
      <c r="JSU193" s="173"/>
      <c r="JSV193" s="173"/>
      <c r="JSW193" s="173"/>
      <c r="JSX193" s="125"/>
      <c r="JSY193" s="125"/>
      <c r="JSZ193" s="134"/>
      <c r="JTA193" s="135"/>
      <c r="JTB193" s="135"/>
      <c r="JTC193" s="135"/>
      <c r="JTD193" s="135"/>
      <c r="JTE193" s="173"/>
      <c r="JTF193" s="173"/>
      <c r="JTG193" s="173"/>
      <c r="JTH193" s="173"/>
      <c r="JTI193" s="173"/>
      <c r="JTJ193" s="173"/>
      <c r="JTK193" s="173"/>
      <c r="JTL193" s="173"/>
      <c r="JTM193" s="173"/>
      <c r="JTN193" s="173"/>
      <c r="JTO193" s="125"/>
      <c r="JTP193" s="125"/>
      <c r="JTQ193" s="134"/>
      <c r="JTR193" s="135"/>
      <c r="JTS193" s="135"/>
      <c r="JTT193" s="135"/>
      <c r="JTU193" s="135"/>
      <c r="JTV193" s="173"/>
      <c r="JTW193" s="173"/>
      <c r="JTX193" s="173"/>
      <c r="JTY193" s="173"/>
      <c r="JTZ193" s="173"/>
      <c r="JUA193" s="173"/>
      <c r="JUB193" s="173"/>
      <c r="JUC193" s="173"/>
      <c r="JUD193" s="173"/>
      <c r="JUE193" s="173"/>
      <c r="JUF193" s="125"/>
      <c r="JUG193" s="125"/>
      <c r="JUH193" s="134"/>
      <c r="JUI193" s="135"/>
      <c r="JUJ193" s="135"/>
      <c r="JUK193" s="135"/>
      <c r="JUL193" s="135"/>
      <c r="JUM193" s="173"/>
      <c r="JUN193" s="173"/>
      <c r="JUO193" s="173"/>
      <c r="JUP193" s="173"/>
      <c r="JUQ193" s="173"/>
      <c r="JUR193" s="173"/>
      <c r="JUS193" s="173"/>
      <c r="JUT193" s="173"/>
      <c r="JUU193" s="173"/>
      <c r="JUV193" s="173"/>
      <c r="JUW193" s="125"/>
      <c r="JUX193" s="125"/>
      <c r="JUY193" s="134"/>
      <c r="JUZ193" s="135"/>
      <c r="JVA193" s="135"/>
      <c r="JVB193" s="135"/>
      <c r="JVC193" s="135"/>
      <c r="JVD193" s="173"/>
      <c r="JVE193" s="173"/>
      <c r="JVF193" s="173"/>
      <c r="JVG193" s="173"/>
      <c r="JVH193" s="173"/>
      <c r="JVI193" s="173"/>
      <c r="JVJ193" s="173"/>
      <c r="JVK193" s="173"/>
      <c r="JVL193" s="173"/>
      <c r="JVM193" s="173"/>
      <c r="JVN193" s="125"/>
      <c r="JVO193" s="125"/>
      <c r="JVP193" s="134"/>
      <c r="JVQ193" s="135"/>
      <c r="JVR193" s="135"/>
      <c r="JVS193" s="135"/>
      <c r="JVT193" s="135"/>
      <c r="JVU193" s="173"/>
      <c r="JVV193" s="173"/>
      <c r="JVW193" s="173"/>
      <c r="JVX193" s="173"/>
      <c r="JVY193" s="173"/>
      <c r="JVZ193" s="173"/>
      <c r="JWA193" s="173"/>
      <c r="JWB193" s="173"/>
      <c r="JWC193" s="173"/>
      <c r="JWD193" s="173"/>
      <c r="JWE193" s="125"/>
      <c r="JWF193" s="125"/>
      <c r="JWG193" s="134"/>
      <c r="JWH193" s="135"/>
      <c r="JWI193" s="135"/>
      <c r="JWJ193" s="135"/>
      <c r="JWK193" s="135"/>
      <c r="JWL193" s="173"/>
      <c r="JWM193" s="173"/>
      <c r="JWN193" s="173"/>
      <c r="JWO193" s="173"/>
      <c r="JWP193" s="173"/>
      <c r="JWQ193" s="173"/>
      <c r="JWR193" s="173"/>
      <c r="JWS193" s="173"/>
      <c r="JWT193" s="173"/>
      <c r="JWU193" s="173"/>
      <c r="JWV193" s="125"/>
      <c r="JWW193" s="125"/>
      <c r="JWX193" s="134"/>
      <c r="JWY193" s="135"/>
      <c r="JWZ193" s="135"/>
      <c r="JXA193" s="135"/>
      <c r="JXB193" s="135"/>
      <c r="JXC193" s="173"/>
      <c r="JXD193" s="173"/>
      <c r="JXE193" s="173"/>
      <c r="JXF193" s="173"/>
      <c r="JXG193" s="173"/>
      <c r="JXH193" s="173"/>
      <c r="JXI193" s="173"/>
      <c r="JXJ193" s="173"/>
      <c r="JXK193" s="173"/>
      <c r="JXL193" s="173"/>
      <c r="JXM193" s="125"/>
      <c r="JXN193" s="125"/>
      <c r="JXO193" s="134"/>
      <c r="JXP193" s="135"/>
      <c r="JXQ193" s="135"/>
      <c r="JXR193" s="135"/>
      <c r="JXS193" s="135"/>
      <c r="JXT193" s="173"/>
      <c r="JXU193" s="173"/>
      <c r="JXV193" s="173"/>
      <c r="JXW193" s="173"/>
      <c r="JXX193" s="173"/>
      <c r="JXY193" s="173"/>
      <c r="JXZ193" s="173"/>
      <c r="JYA193" s="173"/>
      <c r="JYB193" s="173"/>
      <c r="JYC193" s="173"/>
      <c r="JYD193" s="125"/>
      <c r="JYE193" s="125"/>
      <c r="JYF193" s="134"/>
      <c r="JYG193" s="135"/>
      <c r="JYH193" s="135"/>
      <c r="JYI193" s="135"/>
      <c r="JYJ193" s="135"/>
      <c r="JYK193" s="173"/>
      <c r="JYL193" s="173"/>
      <c r="JYM193" s="173"/>
      <c r="JYN193" s="173"/>
      <c r="JYO193" s="173"/>
      <c r="JYP193" s="173"/>
      <c r="JYQ193" s="173"/>
      <c r="JYR193" s="173"/>
      <c r="JYS193" s="173"/>
      <c r="JYT193" s="173"/>
      <c r="JYU193" s="125"/>
      <c r="JYV193" s="125"/>
      <c r="JYW193" s="134"/>
      <c r="JYX193" s="135"/>
      <c r="JYY193" s="135"/>
      <c r="JYZ193" s="135"/>
      <c r="JZA193" s="135"/>
      <c r="JZB193" s="173"/>
      <c r="JZC193" s="173"/>
      <c r="JZD193" s="173"/>
      <c r="JZE193" s="173"/>
      <c r="JZF193" s="173"/>
      <c r="JZG193" s="173"/>
      <c r="JZH193" s="173"/>
      <c r="JZI193" s="173"/>
      <c r="JZJ193" s="173"/>
      <c r="JZK193" s="173"/>
      <c r="JZL193" s="125"/>
      <c r="JZM193" s="125"/>
      <c r="JZN193" s="134"/>
      <c r="JZO193" s="135"/>
      <c r="JZP193" s="135"/>
      <c r="JZQ193" s="135"/>
      <c r="JZR193" s="135"/>
      <c r="JZS193" s="173"/>
      <c r="JZT193" s="173"/>
      <c r="JZU193" s="173"/>
      <c r="JZV193" s="173"/>
      <c r="JZW193" s="173"/>
      <c r="JZX193" s="173"/>
      <c r="JZY193" s="173"/>
      <c r="JZZ193" s="173"/>
      <c r="KAA193" s="173"/>
      <c r="KAB193" s="173"/>
      <c r="KAC193" s="125"/>
      <c r="KAD193" s="125"/>
      <c r="KAE193" s="134"/>
      <c r="KAF193" s="135"/>
      <c r="KAG193" s="135"/>
      <c r="KAH193" s="135"/>
      <c r="KAI193" s="135"/>
      <c r="KAJ193" s="173"/>
      <c r="KAK193" s="173"/>
      <c r="KAL193" s="173"/>
      <c r="KAM193" s="173"/>
      <c r="KAN193" s="173"/>
      <c r="KAO193" s="173"/>
      <c r="KAP193" s="173"/>
      <c r="KAQ193" s="173"/>
      <c r="KAR193" s="173"/>
      <c r="KAS193" s="173"/>
      <c r="KAT193" s="125"/>
      <c r="KAU193" s="125"/>
      <c r="KAV193" s="134"/>
      <c r="KAW193" s="135"/>
      <c r="KAX193" s="135"/>
      <c r="KAY193" s="135"/>
      <c r="KAZ193" s="135"/>
      <c r="KBA193" s="173"/>
      <c r="KBB193" s="173"/>
      <c r="KBC193" s="173"/>
      <c r="KBD193" s="173"/>
      <c r="KBE193" s="173"/>
      <c r="KBF193" s="173"/>
      <c r="KBG193" s="173"/>
      <c r="KBH193" s="173"/>
      <c r="KBI193" s="173"/>
      <c r="KBJ193" s="173"/>
      <c r="KBK193" s="125"/>
      <c r="KBL193" s="125"/>
      <c r="KBM193" s="134"/>
      <c r="KBN193" s="135"/>
      <c r="KBO193" s="135"/>
      <c r="KBP193" s="135"/>
      <c r="KBQ193" s="135"/>
      <c r="KBR193" s="173"/>
      <c r="KBS193" s="173"/>
      <c r="KBT193" s="173"/>
      <c r="KBU193" s="173"/>
      <c r="KBV193" s="173"/>
      <c r="KBW193" s="173"/>
      <c r="KBX193" s="173"/>
      <c r="KBY193" s="173"/>
      <c r="KBZ193" s="173"/>
      <c r="KCA193" s="173"/>
      <c r="KCB193" s="125"/>
      <c r="KCC193" s="125"/>
      <c r="KCD193" s="134"/>
      <c r="KCE193" s="135"/>
      <c r="KCF193" s="135"/>
      <c r="KCG193" s="135"/>
      <c r="KCH193" s="135"/>
      <c r="KCI193" s="173"/>
      <c r="KCJ193" s="173"/>
      <c r="KCK193" s="173"/>
      <c r="KCL193" s="173"/>
      <c r="KCM193" s="173"/>
      <c r="KCN193" s="173"/>
      <c r="KCO193" s="173"/>
      <c r="KCP193" s="173"/>
      <c r="KCQ193" s="173"/>
      <c r="KCR193" s="173"/>
      <c r="KCS193" s="125"/>
      <c r="KCT193" s="125"/>
      <c r="KCU193" s="134"/>
      <c r="KCV193" s="135"/>
      <c r="KCW193" s="135"/>
      <c r="KCX193" s="135"/>
      <c r="KCY193" s="135"/>
      <c r="KCZ193" s="173"/>
      <c r="KDA193" s="173"/>
      <c r="KDB193" s="173"/>
      <c r="KDC193" s="173"/>
      <c r="KDD193" s="173"/>
      <c r="KDE193" s="173"/>
      <c r="KDF193" s="173"/>
      <c r="KDG193" s="173"/>
      <c r="KDH193" s="173"/>
      <c r="KDI193" s="173"/>
      <c r="KDJ193" s="125"/>
      <c r="KDK193" s="125"/>
      <c r="KDL193" s="134"/>
      <c r="KDM193" s="135"/>
      <c r="KDN193" s="135"/>
      <c r="KDO193" s="135"/>
      <c r="KDP193" s="135"/>
      <c r="KDQ193" s="173"/>
      <c r="KDR193" s="173"/>
      <c r="KDS193" s="173"/>
      <c r="KDT193" s="173"/>
      <c r="KDU193" s="173"/>
      <c r="KDV193" s="173"/>
      <c r="KDW193" s="173"/>
      <c r="KDX193" s="173"/>
      <c r="KDY193" s="173"/>
      <c r="KDZ193" s="173"/>
      <c r="KEA193" s="125"/>
      <c r="KEB193" s="125"/>
      <c r="KEC193" s="134"/>
      <c r="KED193" s="135"/>
      <c r="KEE193" s="135"/>
      <c r="KEF193" s="135"/>
      <c r="KEG193" s="135"/>
      <c r="KEH193" s="173"/>
      <c r="KEI193" s="173"/>
      <c r="KEJ193" s="173"/>
      <c r="KEK193" s="173"/>
      <c r="KEL193" s="173"/>
      <c r="KEM193" s="173"/>
      <c r="KEN193" s="173"/>
      <c r="KEO193" s="173"/>
      <c r="KEP193" s="173"/>
      <c r="KEQ193" s="173"/>
      <c r="KER193" s="125"/>
      <c r="KES193" s="125"/>
      <c r="KET193" s="134"/>
      <c r="KEU193" s="135"/>
      <c r="KEV193" s="135"/>
      <c r="KEW193" s="135"/>
      <c r="KEX193" s="135"/>
      <c r="KEY193" s="173"/>
      <c r="KEZ193" s="173"/>
      <c r="KFA193" s="173"/>
      <c r="KFB193" s="173"/>
      <c r="KFC193" s="173"/>
      <c r="KFD193" s="173"/>
      <c r="KFE193" s="173"/>
      <c r="KFF193" s="173"/>
      <c r="KFG193" s="173"/>
      <c r="KFH193" s="173"/>
      <c r="KFI193" s="125"/>
      <c r="KFJ193" s="125"/>
      <c r="KFK193" s="134"/>
      <c r="KFL193" s="135"/>
      <c r="KFM193" s="135"/>
      <c r="KFN193" s="135"/>
      <c r="KFO193" s="135"/>
      <c r="KFP193" s="173"/>
      <c r="KFQ193" s="173"/>
      <c r="KFR193" s="173"/>
      <c r="KFS193" s="173"/>
      <c r="KFT193" s="173"/>
      <c r="KFU193" s="173"/>
      <c r="KFV193" s="173"/>
      <c r="KFW193" s="173"/>
      <c r="KFX193" s="173"/>
      <c r="KFY193" s="173"/>
      <c r="KFZ193" s="125"/>
      <c r="KGA193" s="125"/>
      <c r="KGB193" s="134"/>
      <c r="KGC193" s="135"/>
      <c r="KGD193" s="135"/>
      <c r="KGE193" s="135"/>
      <c r="KGF193" s="135"/>
      <c r="KGG193" s="173"/>
      <c r="KGH193" s="173"/>
      <c r="KGI193" s="173"/>
      <c r="KGJ193" s="173"/>
      <c r="KGK193" s="173"/>
      <c r="KGL193" s="173"/>
      <c r="KGM193" s="173"/>
      <c r="KGN193" s="173"/>
      <c r="KGO193" s="173"/>
      <c r="KGP193" s="173"/>
      <c r="KGQ193" s="125"/>
      <c r="KGR193" s="125"/>
      <c r="KGS193" s="134"/>
      <c r="KGT193" s="135"/>
      <c r="KGU193" s="135"/>
      <c r="KGV193" s="135"/>
      <c r="KGW193" s="135"/>
      <c r="KGX193" s="173"/>
      <c r="KGY193" s="173"/>
      <c r="KGZ193" s="173"/>
      <c r="KHA193" s="173"/>
      <c r="KHB193" s="173"/>
      <c r="KHC193" s="173"/>
      <c r="KHD193" s="173"/>
      <c r="KHE193" s="173"/>
      <c r="KHF193" s="173"/>
      <c r="KHG193" s="173"/>
      <c r="KHH193" s="125"/>
      <c r="KHI193" s="125"/>
      <c r="KHJ193" s="134"/>
      <c r="KHK193" s="135"/>
      <c r="KHL193" s="135"/>
      <c r="KHM193" s="135"/>
      <c r="KHN193" s="135"/>
      <c r="KHO193" s="173"/>
      <c r="KHP193" s="173"/>
      <c r="KHQ193" s="173"/>
      <c r="KHR193" s="173"/>
      <c r="KHS193" s="173"/>
      <c r="KHT193" s="173"/>
      <c r="KHU193" s="173"/>
      <c r="KHV193" s="173"/>
      <c r="KHW193" s="173"/>
      <c r="KHX193" s="173"/>
      <c r="KHY193" s="125"/>
      <c r="KHZ193" s="125"/>
      <c r="KIA193" s="134"/>
      <c r="KIB193" s="135"/>
      <c r="KIC193" s="135"/>
      <c r="KID193" s="135"/>
      <c r="KIE193" s="135"/>
      <c r="KIF193" s="173"/>
      <c r="KIG193" s="173"/>
      <c r="KIH193" s="173"/>
      <c r="KII193" s="173"/>
      <c r="KIJ193" s="173"/>
      <c r="KIK193" s="173"/>
      <c r="KIL193" s="173"/>
      <c r="KIM193" s="173"/>
      <c r="KIN193" s="173"/>
      <c r="KIO193" s="173"/>
      <c r="KIP193" s="125"/>
      <c r="KIQ193" s="125"/>
      <c r="KIR193" s="134"/>
      <c r="KIS193" s="135"/>
      <c r="KIT193" s="135"/>
      <c r="KIU193" s="135"/>
      <c r="KIV193" s="135"/>
      <c r="KIW193" s="173"/>
      <c r="KIX193" s="173"/>
      <c r="KIY193" s="173"/>
      <c r="KIZ193" s="173"/>
      <c r="KJA193" s="173"/>
      <c r="KJB193" s="173"/>
      <c r="KJC193" s="173"/>
      <c r="KJD193" s="173"/>
      <c r="KJE193" s="173"/>
      <c r="KJF193" s="173"/>
      <c r="KJG193" s="125"/>
      <c r="KJH193" s="125"/>
      <c r="KJI193" s="134"/>
      <c r="KJJ193" s="135"/>
      <c r="KJK193" s="135"/>
      <c r="KJL193" s="135"/>
      <c r="KJM193" s="135"/>
      <c r="KJN193" s="173"/>
      <c r="KJO193" s="173"/>
      <c r="KJP193" s="173"/>
      <c r="KJQ193" s="173"/>
      <c r="KJR193" s="173"/>
      <c r="KJS193" s="173"/>
      <c r="KJT193" s="173"/>
      <c r="KJU193" s="173"/>
      <c r="KJV193" s="173"/>
      <c r="KJW193" s="173"/>
      <c r="KJX193" s="125"/>
      <c r="KJY193" s="125"/>
      <c r="KJZ193" s="134"/>
      <c r="KKA193" s="135"/>
      <c r="KKB193" s="135"/>
      <c r="KKC193" s="135"/>
      <c r="KKD193" s="135"/>
      <c r="KKE193" s="173"/>
      <c r="KKF193" s="173"/>
      <c r="KKG193" s="173"/>
      <c r="KKH193" s="173"/>
      <c r="KKI193" s="173"/>
      <c r="KKJ193" s="173"/>
      <c r="KKK193" s="173"/>
      <c r="KKL193" s="173"/>
      <c r="KKM193" s="173"/>
      <c r="KKN193" s="173"/>
      <c r="KKO193" s="125"/>
      <c r="KKP193" s="125"/>
      <c r="KKQ193" s="134"/>
      <c r="KKR193" s="135"/>
      <c r="KKS193" s="135"/>
      <c r="KKT193" s="135"/>
      <c r="KKU193" s="135"/>
      <c r="KKV193" s="173"/>
      <c r="KKW193" s="173"/>
      <c r="KKX193" s="173"/>
      <c r="KKY193" s="173"/>
      <c r="KKZ193" s="173"/>
      <c r="KLA193" s="173"/>
      <c r="KLB193" s="173"/>
      <c r="KLC193" s="173"/>
      <c r="KLD193" s="173"/>
      <c r="KLE193" s="173"/>
      <c r="KLF193" s="125"/>
      <c r="KLG193" s="125"/>
      <c r="KLH193" s="134"/>
      <c r="KLI193" s="135"/>
      <c r="KLJ193" s="135"/>
      <c r="KLK193" s="135"/>
      <c r="KLL193" s="135"/>
      <c r="KLM193" s="173"/>
      <c r="KLN193" s="173"/>
      <c r="KLO193" s="173"/>
      <c r="KLP193" s="173"/>
      <c r="KLQ193" s="173"/>
      <c r="KLR193" s="173"/>
      <c r="KLS193" s="173"/>
      <c r="KLT193" s="173"/>
      <c r="KLU193" s="173"/>
      <c r="KLV193" s="173"/>
      <c r="KLW193" s="125"/>
      <c r="KLX193" s="125"/>
      <c r="KLY193" s="134"/>
      <c r="KLZ193" s="135"/>
      <c r="KMA193" s="135"/>
      <c r="KMB193" s="135"/>
      <c r="KMC193" s="135"/>
      <c r="KMD193" s="173"/>
      <c r="KME193" s="173"/>
      <c r="KMF193" s="173"/>
      <c r="KMG193" s="173"/>
      <c r="KMH193" s="173"/>
      <c r="KMI193" s="173"/>
      <c r="KMJ193" s="173"/>
      <c r="KMK193" s="173"/>
      <c r="KML193" s="173"/>
      <c r="KMM193" s="173"/>
      <c r="KMN193" s="125"/>
      <c r="KMO193" s="125"/>
      <c r="KMP193" s="134"/>
      <c r="KMQ193" s="135"/>
      <c r="KMR193" s="135"/>
      <c r="KMS193" s="135"/>
      <c r="KMT193" s="135"/>
      <c r="KMU193" s="173"/>
      <c r="KMV193" s="173"/>
      <c r="KMW193" s="173"/>
      <c r="KMX193" s="173"/>
      <c r="KMY193" s="173"/>
      <c r="KMZ193" s="173"/>
      <c r="KNA193" s="173"/>
      <c r="KNB193" s="173"/>
      <c r="KNC193" s="173"/>
      <c r="KND193" s="173"/>
      <c r="KNE193" s="125"/>
      <c r="KNF193" s="125"/>
      <c r="KNG193" s="134"/>
      <c r="KNH193" s="135"/>
      <c r="KNI193" s="135"/>
      <c r="KNJ193" s="135"/>
      <c r="KNK193" s="135"/>
      <c r="KNL193" s="173"/>
      <c r="KNM193" s="173"/>
      <c r="KNN193" s="173"/>
      <c r="KNO193" s="173"/>
      <c r="KNP193" s="173"/>
      <c r="KNQ193" s="173"/>
      <c r="KNR193" s="173"/>
      <c r="KNS193" s="173"/>
      <c r="KNT193" s="173"/>
      <c r="KNU193" s="173"/>
      <c r="KNV193" s="125"/>
      <c r="KNW193" s="125"/>
      <c r="KNX193" s="134"/>
      <c r="KNY193" s="135"/>
      <c r="KNZ193" s="135"/>
      <c r="KOA193" s="135"/>
      <c r="KOB193" s="135"/>
      <c r="KOC193" s="173"/>
      <c r="KOD193" s="173"/>
      <c r="KOE193" s="173"/>
      <c r="KOF193" s="173"/>
      <c r="KOG193" s="173"/>
      <c r="KOH193" s="173"/>
      <c r="KOI193" s="173"/>
      <c r="KOJ193" s="173"/>
      <c r="KOK193" s="173"/>
      <c r="KOL193" s="173"/>
      <c r="KOM193" s="125"/>
      <c r="KON193" s="125"/>
      <c r="KOO193" s="134"/>
      <c r="KOP193" s="135"/>
      <c r="KOQ193" s="135"/>
      <c r="KOR193" s="135"/>
      <c r="KOS193" s="135"/>
      <c r="KOT193" s="173"/>
      <c r="KOU193" s="173"/>
      <c r="KOV193" s="173"/>
      <c r="KOW193" s="173"/>
      <c r="KOX193" s="173"/>
      <c r="KOY193" s="173"/>
      <c r="KOZ193" s="173"/>
      <c r="KPA193" s="173"/>
      <c r="KPB193" s="173"/>
      <c r="KPC193" s="173"/>
      <c r="KPD193" s="125"/>
      <c r="KPE193" s="125"/>
      <c r="KPF193" s="134"/>
      <c r="KPG193" s="135"/>
      <c r="KPH193" s="135"/>
      <c r="KPI193" s="135"/>
      <c r="KPJ193" s="135"/>
      <c r="KPK193" s="173"/>
      <c r="KPL193" s="173"/>
      <c r="KPM193" s="173"/>
      <c r="KPN193" s="173"/>
      <c r="KPO193" s="173"/>
      <c r="KPP193" s="173"/>
      <c r="KPQ193" s="173"/>
      <c r="KPR193" s="173"/>
      <c r="KPS193" s="173"/>
      <c r="KPT193" s="173"/>
      <c r="KPU193" s="125"/>
      <c r="KPV193" s="125"/>
      <c r="KPW193" s="134"/>
      <c r="KPX193" s="135"/>
      <c r="KPY193" s="135"/>
      <c r="KPZ193" s="135"/>
      <c r="KQA193" s="135"/>
      <c r="KQB193" s="173"/>
      <c r="KQC193" s="173"/>
      <c r="KQD193" s="173"/>
      <c r="KQE193" s="173"/>
      <c r="KQF193" s="173"/>
      <c r="KQG193" s="173"/>
      <c r="KQH193" s="173"/>
      <c r="KQI193" s="173"/>
      <c r="KQJ193" s="173"/>
      <c r="KQK193" s="173"/>
      <c r="KQL193" s="125"/>
      <c r="KQM193" s="125"/>
      <c r="KQN193" s="134"/>
      <c r="KQO193" s="135"/>
      <c r="KQP193" s="135"/>
      <c r="KQQ193" s="135"/>
      <c r="KQR193" s="135"/>
      <c r="KQS193" s="173"/>
      <c r="KQT193" s="173"/>
      <c r="KQU193" s="173"/>
      <c r="KQV193" s="173"/>
      <c r="KQW193" s="173"/>
      <c r="KQX193" s="173"/>
      <c r="KQY193" s="173"/>
      <c r="KQZ193" s="173"/>
      <c r="KRA193" s="173"/>
      <c r="KRB193" s="173"/>
      <c r="KRC193" s="125"/>
      <c r="KRD193" s="125"/>
      <c r="KRE193" s="134"/>
      <c r="KRF193" s="135"/>
      <c r="KRG193" s="135"/>
      <c r="KRH193" s="135"/>
      <c r="KRI193" s="135"/>
      <c r="KRJ193" s="173"/>
      <c r="KRK193" s="173"/>
      <c r="KRL193" s="173"/>
      <c r="KRM193" s="173"/>
      <c r="KRN193" s="173"/>
      <c r="KRO193" s="173"/>
      <c r="KRP193" s="173"/>
      <c r="KRQ193" s="173"/>
      <c r="KRR193" s="173"/>
      <c r="KRS193" s="173"/>
      <c r="KRT193" s="125"/>
      <c r="KRU193" s="125"/>
      <c r="KRV193" s="134"/>
      <c r="KRW193" s="135"/>
      <c r="KRX193" s="135"/>
      <c r="KRY193" s="135"/>
      <c r="KRZ193" s="135"/>
      <c r="KSA193" s="173"/>
      <c r="KSB193" s="173"/>
      <c r="KSC193" s="173"/>
      <c r="KSD193" s="173"/>
      <c r="KSE193" s="173"/>
      <c r="KSF193" s="173"/>
      <c r="KSG193" s="173"/>
      <c r="KSH193" s="173"/>
      <c r="KSI193" s="173"/>
      <c r="KSJ193" s="173"/>
      <c r="KSK193" s="125"/>
      <c r="KSL193" s="125"/>
      <c r="KSM193" s="134"/>
      <c r="KSN193" s="135"/>
      <c r="KSO193" s="135"/>
      <c r="KSP193" s="135"/>
      <c r="KSQ193" s="135"/>
      <c r="KSR193" s="173"/>
      <c r="KSS193" s="173"/>
      <c r="KST193" s="173"/>
      <c r="KSU193" s="173"/>
      <c r="KSV193" s="173"/>
      <c r="KSW193" s="173"/>
      <c r="KSX193" s="173"/>
      <c r="KSY193" s="173"/>
      <c r="KSZ193" s="173"/>
      <c r="KTA193" s="173"/>
      <c r="KTB193" s="125"/>
      <c r="KTC193" s="125"/>
      <c r="KTD193" s="134"/>
      <c r="KTE193" s="135"/>
      <c r="KTF193" s="135"/>
      <c r="KTG193" s="135"/>
      <c r="KTH193" s="135"/>
      <c r="KTI193" s="173"/>
      <c r="KTJ193" s="173"/>
      <c r="KTK193" s="173"/>
      <c r="KTL193" s="173"/>
      <c r="KTM193" s="173"/>
      <c r="KTN193" s="173"/>
      <c r="KTO193" s="173"/>
      <c r="KTP193" s="173"/>
      <c r="KTQ193" s="173"/>
      <c r="KTR193" s="173"/>
      <c r="KTS193" s="125"/>
      <c r="KTT193" s="125"/>
      <c r="KTU193" s="134"/>
      <c r="KTV193" s="135"/>
      <c r="KTW193" s="135"/>
      <c r="KTX193" s="135"/>
      <c r="KTY193" s="135"/>
      <c r="KTZ193" s="173"/>
      <c r="KUA193" s="173"/>
      <c r="KUB193" s="173"/>
      <c r="KUC193" s="173"/>
      <c r="KUD193" s="173"/>
      <c r="KUE193" s="173"/>
      <c r="KUF193" s="173"/>
      <c r="KUG193" s="173"/>
      <c r="KUH193" s="173"/>
      <c r="KUI193" s="173"/>
      <c r="KUJ193" s="125"/>
      <c r="KUK193" s="125"/>
      <c r="KUL193" s="134"/>
      <c r="KUM193" s="135"/>
      <c r="KUN193" s="135"/>
      <c r="KUO193" s="135"/>
      <c r="KUP193" s="135"/>
      <c r="KUQ193" s="173"/>
      <c r="KUR193" s="173"/>
      <c r="KUS193" s="173"/>
      <c r="KUT193" s="173"/>
      <c r="KUU193" s="173"/>
      <c r="KUV193" s="173"/>
      <c r="KUW193" s="173"/>
      <c r="KUX193" s="173"/>
      <c r="KUY193" s="173"/>
      <c r="KUZ193" s="173"/>
      <c r="KVA193" s="125"/>
      <c r="KVB193" s="125"/>
      <c r="KVC193" s="134"/>
      <c r="KVD193" s="135"/>
      <c r="KVE193" s="135"/>
      <c r="KVF193" s="135"/>
      <c r="KVG193" s="135"/>
      <c r="KVH193" s="173"/>
      <c r="KVI193" s="173"/>
      <c r="KVJ193" s="173"/>
      <c r="KVK193" s="173"/>
      <c r="KVL193" s="173"/>
      <c r="KVM193" s="173"/>
      <c r="KVN193" s="173"/>
      <c r="KVO193" s="173"/>
      <c r="KVP193" s="173"/>
      <c r="KVQ193" s="173"/>
      <c r="KVR193" s="125"/>
      <c r="KVS193" s="125"/>
      <c r="KVT193" s="134"/>
      <c r="KVU193" s="135"/>
      <c r="KVV193" s="135"/>
      <c r="KVW193" s="135"/>
      <c r="KVX193" s="135"/>
      <c r="KVY193" s="173"/>
      <c r="KVZ193" s="173"/>
      <c r="KWA193" s="173"/>
      <c r="KWB193" s="173"/>
      <c r="KWC193" s="173"/>
      <c r="KWD193" s="173"/>
      <c r="KWE193" s="173"/>
      <c r="KWF193" s="173"/>
      <c r="KWG193" s="173"/>
      <c r="KWH193" s="173"/>
      <c r="KWI193" s="125"/>
      <c r="KWJ193" s="125"/>
      <c r="KWK193" s="134"/>
      <c r="KWL193" s="135"/>
      <c r="KWM193" s="135"/>
      <c r="KWN193" s="135"/>
      <c r="KWO193" s="135"/>
      <c r="KWP193" s="173"/>
      <c r="KWQ193" s="173"/>
      <c r="KWR193" s="173"/>
      <c r="KWS193" s="173"/>
      <c r="KWT193" s="173"/>
      <c r="KWU193" s="173"/>
      <c r="KWV193" s="173"/>
      <c r="KWW193" s="173"/>
      <c r="KWX193" s="173"/>
      <c r="KWY193" s="173"/>
      <c r="KWZ193" s="125"/>
      <c r="KXA193" s="125"/>
      <c r="KXB193" s="134"/>
      <c r="KXC193" s="135"/>
      <c r="KXD193" s="135"/>
      <c r="KXE193" s="135"/>
      <c r="KXF193" s="135"/>
      <c r="KXG193" s="173"/>
      <c r="KXH193" s="173"/>
      <c r="KXI193" s="173"/>
      <c r="KXJ193" s="173"/>
      <c r="KXK193" s="173"/>
      <c r="KXL193" s="173"/>
      <c r="KXM193" s="173"/>
      <c r="KXN193" s="173"/>
      <c r="KXO193" s="173"/>
      <c r="KXP193" s="173"/>
      <c r="KXQ193" s="125"/>
      <c r="KXR193" s="125"/>
      <c r="KXS193" s="134"/>
      <c r="KXT193" s="135"/>
      <c r="KXU193" s="135"/>
      <c r="KXV193" s="135"/>
      <c r="KXW193" s="135"/>
      <c r="KXX193" s="173"/>
      <c r="KXY193" s="173"/>
      <c r="KXZ193" s="173"/>
      <c r="KYA193" s="173"/>
      <c r="KYB193" s="173"/>
      <c r="KYC193" s="173"/>
      <c r="KYD193" s="173"/>
      <c r="KYE193" s="173"/>
      <c r="KYF193" s="173"/>
      <c r="KYG193" s="173"/>
      <c r="KYH193" s="125"/>
      <c r="KYI193" s="125"/>
      <c r="KYJ193" s="134"/>
      <c r="KYK193" s="135"/>
      <c r="KYL193" s="135"/>
      <c r="KYM193" s="135"/>
      <c r="KYN193" s="135"/>
      <c r="KYO193" s="173"/>
      <c r="KYP193" s="173"/>
      <c r="KYQ193" s="173"/>
      <c r="KYR193" s="173"/>
      <c r="KYS193" s="173"/>
      <c r="KYT193" s="173"/>
      <c r="KYU193" s="173"/>
      <c r="KYV193" s="173"/>
      <c r="KYW193" s="173"/>
      <c r="KYX193" s="173"/>
      <c r="KYY193" s="125"/>
      <c r="KYZ193" s="125"/>
      <c r="KZA193" s="134"/>
      <c r="KZB193" s="135"/>
      <c r="KZC193" s="135"/>
      <c r="KZD193" s="135"/>
      <c r="KZE193" s="135"/>
      <c r="KZF193" s="173"/>
      <c r="KZG193" s="173"/>
      <c r="KZH193" s="173"/>
      <c r="KZI193" s="173"/>
      <c r="KZJ193" s="173"/>
      <c r="KZK193" s="173"/>
      <c r="KZL193" s="173"/>
      <c r="KZM193" s="173"/>
      <c r="KZN193" s="173"/>
      <c r="KZO193" s="173"/>
      <c r="KZP193" s="125"/>
      <c r="KZQ193" s="125"/>
      <c r="KZR193" s="134"/>
      <c r="KZS193" s="135"/>
      <c r="KZT193" s="135"/>
      <c r="KZU193" s="135"/>
      <c r="KZV193" s="135"/>
      <c r="KZW193" s="173"/>
      <c r="KZX193" s="173"/>
      <c r="KZY193" s="173"/>
      <c r="KZZ193" s="173"/>
      <c r="LAA193" s="173"/>
      <c r="LAB193" s="173"/>
      <c r="LAC193" s="173"/>
      <c r="LAD193" s="173"/>
      <c r="LAE193" s="173"/>
      <c r="LAF193" s="173"/>
      <c r="LAG193" s="125"/>
      <c r="LAH193" s="125"/>
      <c r="LAI193" s="134"/>
      <c r="LAJ193" s="135"/>
      <c r="LAK193" s="135"/>
      <c r="LAL193" s="135"/>
      <c r="LAM193" s="135"/>
      <c r="LAN193" s="173"/>
      <c r="LAO193" s="173"/>
      <c r="LAP193" s="173"/>
      <c r="LAQ193" s="173"/>
      <c r="LAR193" s="173"/>
      <c r="LAS193" s="173"/>
      <c r="LAT193" s="173"/>
      <c r="LAU193" s="173"/>
      <c r="LAV193" s="173"/>
      <c r="LAW193" s="173"/>
      <c r="LAX193" s="125"/>
      <c r="LAY193" s="125"/>
      <c r="LAZ193" s="134"/>
      <c r="LBA193" s="135"/>
      <c r="LBB193" s="135"/>
      <c r="LBC193" s="135"/>
      <c r="LBD193" s="135"/>
      <c r="LBE193" s="173"/>
      <c r="LBF193" s="173"/>
      <c r="LBG193" s="173"/>
      <c r="LBH193" s="173"/>
      <c r="LBI193" s="173"/>
      <c r="LBJ193" s="173"/>
      <c r="LBK193" s="173"/>
      <c r="LBL193" s="173"/>
      <c r="LBM193" s="173"/>
      <c r="LBN193" s="173"/>
      <c r="LBO193" s="125"/>
      <c r="LBP193" s="125"/>
      <c r="LBQ193" s="134"/>
      <c r="LBR193" s="135"/>
      <c r="LBS193" s="135"/>
      <c r="LBT193" s="135"/>
      <c r="LBU193" s="135"/>
      <c r="LBV193" s="173"/>
      <c r="LBW193" s="173"/>
      <c r="LBX193" s="173"/>
      <c r="LBY193" s="173"/>
      <c r="LBZ193" s="173"/>
      <c r="LCA193" s="173"/>
      <c r="LCB193" s="173"/>
      <c r="LCC193" s="173"/>
      <c r="LCD193" s="173"/>
      <c r="LCE193" s="173"/>
      <c r="LCF193" s="125"/>
      <c r="LCG193" s="125"/>
      <c r="LCH193" s="134"/>
      <c r="LCI193" s="135"/>
      <c r="LCJ193" s="135"/>
      <c r="LCK193" s="135"/>
      <c r="LCL193" s="135"/>
      <c r="LCM193" s="173"/>
      <c r="LCN193" s="173"/>
      <c r="LCO193" s="173"/>
      <c r="LCP193" s="173"/>
      <c r="LCQ193" s="173"/>
      <c r="LCR193" s="173"/>
      <c r="LCS193" s="173"/>
      <c r="LCT193" s="173"/>
      <c r="LCU193" s="173"/>
      <c r="LCV193" s="173"/>
      <c r="LCW193" s="125"/>
      <c r="LCX193" s="125"/>
      <c r="LCY193" s="134"/>
      <c r="LCZ193" s="135"/>
      <c r="LDA193" s="135"/>
      <c r="LDB193" s="135"/>
      <c r="LDC193" s="135"/>
      <c r="LDD193" s="173"/>
      <c r="LDE193" s="173"/>
      <c r="LDF193" s="173"/>
      <c r="LDG193" s="173"/>
      <c r="LDH193" s="173"/>
      <c r="LDI193" s="173"/>
      <c r="LDJ193" s="173"/>
      <c r="LDK193" s="173"/>
      <c r="LDL193" s="173"/>
      <c r="LDM193" s="173"/>
      <c r="LDN193" s="125"/>
      <c r="LDO193" s="125"/>
      <c r="LDP193" s="134"/>
      <c r="LDQ193" s="135"/>
      <c r="LDR193" s="135"/>
      <c r="LDS193" s="135"/>
      <c r="LDT193" s="135"/>
      <c r="LDU193" s="173"/>
      <c r="LDV193" s="173"/>
      <c r="LDW193" s="173"/>
      <c r="LDX193" s="173"/>
      <c r="LDY193" s="173"/>
      <c r="LDZ193" s="173"/>
      <c r="LEA193" s="173"/>
      <c r="LEB193" s="173"/>
      <c r="LEC193" s="173"/>
      <c r="LED193" s="173"/>
      <c r="LEE193" s="125"/>
      <c r="LEF193" s="125"/>
      <c r="LEG193" s="134"/>
      <c r="LEH193" s="135"/>
      <c r="LEI193" s="135"/>
      <c r="LEJ193" s="135"/>
      <c r="LEK193" s="135"/>
      <c r="LEL193" s="173"/>
      <c r="LEM193" s="173"/>
      <c r="LEN193" s="173"/>
      <c r="LEO193" s="173"/>
      <c r="LEP193" s="173"/>
      <c r="LEQ193" s="173"/>
      <c r="LER193" s="173"/>
      <c r="LES193" s="173"/>
      <c r="LET193" s="173"/>
      <c r="LEU193" s="173"/>
      <c r="LEV193" s="125"/>
      <c r="LEW193" s="125"/>
      <c r="LEX193" s="134"/>
      <c r="LEY193" s="135"/>
      <c r="LEZ193" s="135"/>
      <c r="LFA193" s="135"/>
      <c r="LFB193" s="135"/>
      <c r="LFC193" s="173"/>
      <c r="LFD193" s="173"/>
      <c r="LFE193" s="173"/>
      <c r="LFF193" s="173"/>
      <c r="LFG193" s="173"/>
      <c r="LFH193" s="173"/>
      <c r="LFI193" s="173"/>
      <c r="LFJ193" s="173"/>
      <c r="LFK193" s="173"/>
      <c r="LFL193" s="173"/>
      <c r="LFM193" s="125"/>
      <c r="LFN193" s="125"/>
      <c r="LFO193" s="134"/>
      <c r="LFP193" s="135"/>
      <c r="LFQ193" s="135"/>
      <c r="LFR193" s="135"/>
      <c r="LFS193" s="135"/>
      <c r="LFT193" s="173"/>
      <c r="LFU193" s="173"/>
      <c r="LFV193" s="173"/>
      <c r="LFW193" s="173"/>
      <c r="LFX193" s="173"/>
      <c r="LFY193" s="173"/>
      <c r="LFZ193" s="173"/>
      <c r="LGA193" s="173"/>
      <c r="LGB193" s="173"/>
      <c r="LGC193" s="173"/>
      <c r="LGD193" s="125"/>
      <c r="LGE193" s="125"/>
      <c r="LGF193" s="134"/>
      <c r="LGG193" s="135"/>
      <c r="LGH193" s="135"/>
      <c r="LGI193" s="135"/>
      <c r="LGJ193" s="135"/>
      <c r="LGK193" s="173"/>
      <c r="LGL193" s="173"/>
      <c r="LGM193" s="173"/>
      <c r="LGN193" s="173"/>
      <c r="LGO193" s="173"/>
      <c r="LGP193" s="173"/>
      <c r="LGQ193" s="173"/>
      <c r="LGR193" s="173"/>
      <c r="LGS193" s="173"/>
      <c r="LGT193" s="173"/>
      <c r="LGU193" s="125"/>
      <c r="LGV193" s="125"/>
      <c r="LGW193" s="134"/>
      <c r="LGX193" s="135"/>
      <c r="LGY193" s="135"/>
      <c r="LGZ193" s="135"/>
      <c r="LHA193" s="135"/>
      <c r="LHB193" s="173"/>
      <c r="LHC193" s="173"/>
      <c r="LHD193" s="173"/>
      <c r="LHE193" s="173"/>
      <c r="LHF193" s="173"/>
      <c r="LHG193" s="173"/>
      <c r="LHH193" s="173"/>
      <c r="LHI193" s="173"/>
      <c r="LHJ193" s="173"/>
      <c r="LHK193" s="173"/>
      <c r="LHL193" s="125"/>
      <c r="LHM193" s="125"/>
      <c r="LHN193" s="134"/>
      <c r="LHO193" s="135"/>
      <c r="LHP193" s="135"/>
      <c r="LHQ193" s="135"/>
      <c r="LHR193" s="135"/>
      <c r="LHS193" s="173"/>
      <c r="LHT193" s="173"/>
      <c r="LHU193" s="173"/>
      <c r="LHV193" s="173"/>
      <c r="LHW193" s="173"/>
      <c r="LHX193" s="173"/>
      <c r="LHY193" s="173"/>
      <c r="LHZ193" s="173"/>
      <c r="LIA193" s="173"/>
      <c r="LIB193" s="173"/>
      <c r="LIC193" s="125"/>
      <c r="LID193" s="125"/>
      <c r="LIE193" s="134"/>
      <c r="LIF193" s="135"/>
      <c r="LIG193" s="135"/>
      <c r="LIH193" s="135"/>
      <c r="LII193" s="135"/>
      <c r="LIJ193" s="173"/>
      <c r="LIK193" s="173"/>
      <c r="LIL193" s="173"/>
      <c r="LIM193" s="173"/>
      <c r="LIN193" s="173"/>
      <c r="LIO193" s="173"/>
      <c r="LIP193" s="173"/>
      <c r="LIQ193" s="173"/>
      <c r="LIR193" s="173"/>
      <c r="LIS193" s="173"/>
      <c r="LIT193" s="125"/>
      <c r="LIU193" s="125"/>
      <c r="LIV193" s="134"/>
      <c r="LIW193" s="135"/>
      <c r="LIX193" s="135"/>
      <c r="LIY193" s="135"/>
      <c r="LIZ193" s="135"/>
      <c r="LJA193" s="173"/>
      <c r="LJB193" s="173"/>
      <c r="LJC193" s="173"/>
      <c r="LJD193" s="173"/>
      <c r="LJE193" s="173"/>
      <c r="LJF193" s="173"/>
      <c r="LJG193" s="173"/>
      <c r="LJH193" s="173"/>
      <c r="LJI193" s="173"/>
      <c r="LJJ193" s="173"/>
      <c r="LJK193" s="125"/>
      <c r="LJL193" s="125"/>
      <c r="LJM193" s="134"/>
      <c r="LJN193" s="135"/>
      <c r="LJO193" s="135"/>
      <c r="LJP193" s="135"/>
      <c r="LJQ193" s="135"/>
      <c r="LJR193" s="173"/>
      <c r="LJS193" s="173"/>
      <c r="LJT193" s="173"/>
      <c r="LJU193" s="173"/>
      <c r="LJV193" s="173"/>
      <c r="LJW193" s="173"/>
      <c r="LJX193" s="173"/>
      <c r="LJY193" s="173"/>
      <c r="LJZ193" s="173"/>
      <c r="LKA193" s="173"/>
      <c r="LKB193" s="125"/>
      <c r="LKC193" s="125"/>
      <c r="LKD193" s="134"/>
      <c r="LKE193" s="135"/>
      <c r="LKF193" s="135"/>
      <c r="LKG193" s="135"/>
      <c r="LKH193" s="135"/>
      <c r="LKI193" s="173"/>
      <c r="LKJ193" s="173"/>
      <c r="LKK193" s="173"/>
      <c r="LKL193" s="173"/>
      <c r="LKM193" s="173"/>
      <c r="LKN193" s="173"/>
      <c r="LKO193" s="173"/>
      <c r="LKP193" s="173"/>
      <c r="LKQ193" s="173"/>
      <c r="LKR193" s="173"/>
      <c r="LKS193" s="125"/>
      <c r="LKT193" s="125"/>
      <c r="LKU193" s="134"/>
      <c r="LKV193" s="135"/>
      <c r="LKW193" s="135"/>
      <c r="LKX193" s="135"/>
      <c r="LKY193" s="135"/>
      <c r="LKZ193" s="173"/>
      <c r="LLA193" s="173"/>
      <c r="LLB193" s="173"/>
      <c r="LLC193" s="173"/>
      <c r="LLD193" s="173"/>
      <c r="LLE193" s="173"/>
      <c r="LLF193" s="173"/>
      <c r="LLG193" s="173"/>
      <c r="LLH193" s="173"/>
      <c r="LLI193" s="173"/>
      <c r="LLJ193" s="125"/>
      <c r="LLK193" s="125"/>
      <c r="LLL193" s="134"/>
      <c r="LLM193" s="135"/>
      <c r="LLN193" s="135"/>
      <c r="LLO193" s="135"/>
      <c r="LLP193" s="135"/>
      <c r="LLQ193" s="173"/>
      <c r="LLR193" s="173"/>
      <c r="LLS193" s="173"/>
      <c r="LLT193" s="173"/>
      <c r="LLU193" s="173"/>
      <c r="LLV193" s="173"/>
      <c r="LLW193" s="173"/>
      <c r="LLX193" s="173"/>
      <c r="LLY193" s="173"/>
      <c r="LLZ193" s="173"/>
      <c r="LMA193" s="125"/>
      <c r="LMB193" s="125"/>
      <c r="LMC193" s="134"/>
      <c r="LMD193" s="135"/>
      <c r="LME193" s="135"/>
      <c r="LMF193" s="135"/>
      <c r="LMG193" s="135"/>
      <c r="LMH193" s="173"/>
      <c r="LMI193" s="173"/>
      <c r="LMJ193" s="173"/>
      <c r="LMK193" s="173"/>
      <c r="LML193" s="173"/>
      <c r="LMM193" s="173"/>
      <c r="LMN193" s="173"/>
      <c r="LMO193" s="173"/>
      <c r="LMP193" s="173"/>
      <c r="LMQ193" s="173"/>
      <c r="LMR193" s="125"/>
      <c r="LMS193" s="125"/>
      <c r="LMT193" s="134"/>
      <c r="LMU193" s="135"/>
      <c r="LMV193" s="135"/>
      <c r="LMW193" s="135"/>
      <c r="LMX193" s="135"/>
      <c r="LMY193" s="173"/>
      <c r="LMZ193" s="173"/>
      <c r="LNA193" s="173"/>
      <c r="LNB193" s="173"/>
      <c r="LNC193" s="173"/>
      <c r="LND193" s="173"/>
      <c r="LNE193" s="173"/>
      <c r="LNF193" s="173"/>
      <c r="LNG193" s="173"/>
      <c r="LNH193" s="173"/>
      <c r="LNI193" s="125"/>
      <c r="LNJ193" s="125"/>
      <c r="LNK193" s="134"/>
      <c r="LNL193" s="135"/>
      <c r="LNM193" s="135"/>
      <c r="LNN193" s="135"/>
      <c r="LNO193" s="135"/>
      <c r="LNP193" s="173"/>
      <c r="LNQ193" s="173"/>
      <c r="LNR193" s="173"/>
      <c r="LNS193" s="173"/>
      <c r="LNT193" s="173"/>
      <c r="LNU193" s="173"/>
      <c r="LNV193" s="173"/>
      <c r="LNW193" s="173"/>
      <c r="LNX193" s="173"/>
      <c r="LNY193" s="173"/>
      <c r="LNZ193" s="125"/>
      <c r="LOA193" s="125"/>
      <c r="LOB193" s="134"/>
      <c r="LOC193" s="135"/>
      <c r="LOD193" s="135"/>
      <c r="LOE193" s="135"/>
      <c r="LOF193" s="135"/>
      <c r="LOG193" s="173"/>
      <c r="LOH193" s="173"/>
      <c r="LOI193" s="173"/>
      <c r="LOJ193" s="173"/>
      <c r="LOK193" s="173"/>
      <c r="LOL193" s="173"/>
      <c r="LOM193" s="173"/>
      <c r="LON193" s="173"/>
      <c r="LOO193" s="173"/>
      <c r="LOP193" s="173"/>
      <c r="LOQ193" s="125"/>
      <c r="LOR193" s="125"/>
      <c r="LOS193" s="134"/>
      <c r="LOT193" s="135"/>
      <c r="LOU193" s="135"/>
      <c r="LOV193" s="135"/>
      <c r="LOW193" s="135"/>
      <c r="LOX193" s="173"/>
      <c r="LOY193" s="173"/>
      <c r="LOZ193" s="173"/>
      <c r="LPA193" s="173"/>
      <c r="LPB193" s="173"/>
      <c r="LPC193" s="173"/>
      <c r="LPD193" s="173"/>
      <c r="LPE193" s="173"/>
      <c r="LPF193" s="173"/>
      <c r="LPG193" s="173"/>
      <c r="LPH193" s="125"/>
      <c r="LPI193" s="125"/>
      <c r="LPJ193" s="134"/>
      <c r="LPK193" s="135"/>
      <c r="LPL193" s="135"/>
      <c r="LPM193" s="135"/>
      <c r="LPN193" s="135"/>
      <c r="LPO193" s="173"/>
      <c r="LPP193" s="173"/>
      <c r="LPQ193" s="173"/>
      <c r="LPR193" s="173"/>
      <c r="LPS193" s="173"/>
      <c r="LPT193" s="173"/>
      <c r="LPU193" s="173"/>
      <c r="LPV193" s="173"/>
      <c r="LPW193" s="173"/>
      <c r="LPX193" s="173"/>
      <c r="LPY193" s="125"/>
      <c r="LPZ193" s="125"/>
      <c r="LQA193" s="134"/>
      <c r="LQB193" s="135"/>
      <c r="LQC193" s="135"/>
      <c r="LQD193" s="135"/>
      <c r="LQE193" s="135"/>
      <c r="LQF193" s="173"/>
      <c r="LQG193" s="173"/>
      <c r="LQH193" s="173"/>
      <c r="LQI193" s="173"/>
      <c r="LQJ193" s="173"/>
      <c r="LQK193" s="173"/>
      <c r="LQL193" s="173"/>
      <c r="LQM193" s="173"/>
      <c r="LQN193" s="173"/>
      <c r="LQO193" s="173"/>
      <c r="LQP193" s="125"/>
      <c r="LQQ193" s="125"/>
      <c r="LQR193" s="134"/>
      <c r="LQS193" s="135"/>
      <c r="LQT193" s="135"/>
      <c r="LQU193" s="135"/>
      <c r="LQV193" s="135"/>
      <c r="LQW193" s="173"/>
      <c r="LQX193" s="173"/>
      <c r="LQY193" s="173"/>
      <c r="LQZ193" s="173"/>
      <c r="LRA193" s="173"/>
      <c r="LRB193" s="173"/>
      <c r="LRC193" s="173"/>
      <c r="LRD193" s="173"/>
      <c r="LRE193" s="173"/>
      <c r="LRF193" s="173"/>
      <c r="LRG193" s="125"/>
      <c r="LRH193" s="125"/>
      <c r="LRI193" s="134"/>
      <c r="LRJ193" s="135"/>
      <c r="LRK193" s="135"/>
      <c r="LRL193" s="135"/>
      <c r="LRM193" s="135"/>
      <c r="LRN193" s="173"/>
      <c r="LRO193" s="173"/>
      <c r="LRP193" s="173"/>
      <c r="LRQ193" s="173"/>
      <c r="LRR193" s="173"/>
      <c r="LRS193" s="173"/>
      <c r="LRT193" s="173"/>
      <c r="LRU193" s="173"/>
      <c r="LRV193" s="173"/>
      <c r="LRW193" s="173"/>
      <c r="LRX193" s="125"/>
      <c r="LRY193" s="125"/>
      <c r="LRZ193" s="134"/>
      <c r="LSA193" s="135"/>
      <c r="LSB193" s="135"/>
      <c r="LSC193" s="135"/>
      <c r="LSD193" s="135"/>
      <c r="LSE193" s="173"/>
      <c r="LSF193" s="173"/>
      <c r="LSG193" s="173"/>
      <c r="LSH193" s="173"/>
      <c r="LSI193" s="173"/>
      <c r="LSJ193" s="173"/>
      <c r="LSK193" s="173"/>
      <c r="LSL193" s="173"/>
      <c r="LSM193" s="173"/>
      <c r="LSN193" s="173"/>
      <c r="LSO193" s="125"/>
      <c r="LSP193" s="125"/>
      <c r="LSQ193" s="134"/>
      <c r="LSR193" s="135"/>
      <c r="LSS193" s="135"/>
      <c r="LST193" s="135"/>
      <c r="LSU193" s="135"/>
      <c r="LSV193" s="173"/>
      <c r="LSW193" s="173"/>
      <c r="LSX193" s="173"/>
      <c r="LSY193" s="173"/>
      <c r="LSZ193" s="173"/>
      <c r="LTA193" s="173"/>
      <c r="LTB193" s="173"/>
      <c r="LTC193" s="173"/>
      <c r="LTD193" s="173"/>
      <c r="LTE193" s="173"/>
      <c r="LTF193" s="125"/>
      <c r="LTG193" s="125"/>
      <c r="LTH193" s="134"/>
      <c r="LTI193" s="135"/>
      <c r="LTJ193" s="135"/>
      <c r="LTK193" s="135"/>
      <c r="LTL193" s="135"/>
      <c r="LTM193" s="173"/>
      <c r="LTN193" s="173"/>
      <c r="LTO193" s="173"/>
      <c r="LTP193" s="173"/>
      <c r="LTQ193" s="173"/>
      <c r="LTR193" s="173"/>
      <c r="LTS193" s="173"/>
      <c r="LTT193" s="173"/>
      <c r="LTU193" s="173"/>
      <c r="LTV193" s="173"/>
      <c r="LTW193" s="125"/>
      <c r="LTX193" s="125"/>
      <c r="LTY193" s="134"/>
      <c r="LTZ193" s="135"/>
      <c r="LUA193" s="135"/>
      <c r="LUB193" s="135"/>
      <c r="LUC193" s="135"/>
      <c r="LUD193" s="173"/>
      <c r="LUE193" s="173"/>
      <c r="LUF193" s="173"/>
      <c r="LUG193" s="173"/>
      <c r="LUH193" s="173"/>
      <c r="LUI193" s="173"/>
      <c r="LUJ193" s="173"/>
      <c r="LUK193" s="173"/>
      <c r="LUL193" s="173"/>
      <c r="LUM193" s="173"/>
      <c r="LUN193" s="125"/>
      <c r="LUO193" s="125"/>
      <c r="LUP193" s="134"/>
      <c r="LUQ193" s="135"/>
      <c r="LUR193" s="135"/>
      <c r="LUS193" s="135"/>
      <c r="LUT193" s="135"/>
      <c r="LUU193" s="173"/>
      <c r="LUV193" s="173"/>
      <c r="LUW193" s="173"/>
      <c r="LUX193" s="173"/>
      <c r="LUY193" s="173"/>
      <c r="LUZ193" s="173"/>
      <c r="LVA193" s="173"/>
      <c r="LVB193" s="173"/>
      <c r="LVC193" s="173"/>
      <c r="LVD193" s="173"/>
      <c r="LVE193" s="125"/>
      <c r="LVF193" s="125"/>
      <c r="LVG193" s="134"/>
      <c r="LVH193" s="135"/>
      <c r="LVI193" s="135"/>
      <c r="LVJ193" s="135"/>
      <c r="LVK193" s="135"/>
      <c r="LVL193" s="173"/>
      <c r="LVM193" s="173"/>
      <c r="LVN193" s="173"/>
      <c r="LVO193" s="173"/>
      <c r="LVP193" s="173"/>
      <c r="LVQ193" s="173"/>
      <c r="LVR193" s="173"/>
      <c r="LVS193" s="173"/>
      <c r="LVT193" s="173"/>
      <c r="LVU193" s="173"/>
      <c r="LVV193" s="125"/>
      <c r="LVW193" s="125"/>
      <c r="LVX193" s="134"/>
      <c r="LVY193" s="135"/>
      <c r="LVZ193" s="135"/>
      <c r="LWA193" s="135"/>
      <c r="LWB193" s="135"/>
      <c r="LWC193" s="173"/>
      <c r="LWD193" s="173"/>
      <c r="LWE193" s="173"/>
      <c r="LWF193" s="173"/>
      <c r="LWG193" s="173"/>
      <c r="LWH193" s="173"/>
      <c r="LWI193" s="173"/>
      <c r="LWJ193" s="173"/>
      <c r="LWK193" s="173"/>
      <c r="LWL193" s="173"/>
      <c r="LWM193" s="125"/>
      <c r="LWN193" s="125"/>
      <c r="LWO193" s="134"/>
      <c r="LWP193" s="135"/>
      <c r="LWQ193" s="135"/>
      <c r="LWR193" s="135"/>
      <c r="LWS193" s="135"/>
      <c r="LWT193" s="173"/>
      <c r="LWU193" s="173"/>
      <c r="LWV193" s="173"/>
      <c r="LWW193" s="173"/>
      <c r="LWX193" s="173"/>
      <c r="LWY193" s="173"/>
      <c r="LWZ193" s="173"/>
      <c r="LXA193" s="173"/>
      <c r="LXB193" s="173"/>
      <c r="LXC193" s="173"/>
      <c r="LXD193" s="125"/>
      <c r="LXE193" s="125"/>
      <c r="LXF193" s="134"/>
      <c r="LXG193" s="135"/>
      <c r="LXH193" s="135"/>
      <c r="LXI193" s="135"/>
      <c r="LXJ193" s="135"/>
      <c r="LXK193" s="173"/>
      <c r="LXL193" s="173"/>
      <c r="LXM193" s="173"/>
      <c r="LXN193" s="173"/>
      <c r="LXO193" s="173"/>
      <c r="LXP193" s="173"/>
      <c r="LXQ193" s="173"/>
      <c r="LXR193" s="173"/>
      <c r="LXS193" s="173"/>
      <c r="LXT193" s="173"/>
      <c r="LXU193" s="125"/>
      <c r="LXV193" s="125"/>
      <c r="LXW193" s="134"/>
      <c r="LXX193" s="135"/>
      <c r="LXY193" s="135"/>
      <c r="LXZ193" s="135"/>
      <c r="LYA193" s="135"/>
      <c r="LYB193" s="173"/>
      <c r="LYC193" s="173"/>
      <c r="LYD193" s="173"/>
      <c r="LYE193" s="173"/>
      <c r="LYF193" s="173"/>
      <c r="LYG193" s="173"/>
      <c r="LYH193" s="173"/>
      <c r="LYI193" s="173"/>
      <c r="LYJ193" s="173"/>
      <c r="LYK193" s="173"/>
      <c r="LYL193" s="125"/>
      <c r="LYM193" s="125"/>
      <c r="LYN193" s="134"/>
      <c r="LYO193" s="135"/>
      <c r="LYP193" s="135"/>
      <c r="LYQ193" s="135"/>
      <c r="LYR193" s="135"/>
      <c r="LYS193" s="173"/>
      <c r="LYT193" s="173"/>
      <c r="LYU193" s="173"/>
      <c r="LYV193" s="173"/>
      <c r="LYW193" s="173"/>
      <c r="LYX193" s="173"/>
      <c r="LYY193" s="173"/>
      <c r="LYZ193" s="173"/>
      <c r="LZA193" s="173"/>
      <c r="LZB193" s="173"/>
      <c r="LZC193" s="125"/>
      <c r="LZD193" s="125"/>
      <c r="LZE193" s="134"/>
      <c r="LZF193" s="135"/>
      <c r="LZG193" s="135"/>
      <c r="LZH193" s="135"/>
      <c r="LZI193" s="135"/>
      <c r="LZJ193" s="173"/>
      <c r="LZK193" s="173"/>
      <c r="LZL193" s="173"/>
      <c r="LZM193" s="173"/>
      <c r="LZN193" s="173"/>
      <c r="LZO193" s="173"/>
      <c r="LZP193" s="173"/>
      <c r="LZQ193" s="173"/>
      <c r="LZR193" s="173"/>
      <c r="LZS193" s="173"/>
      <c r="LZT193" s="125"/>
      <c r="LZU193" s="125"/>
      <c r="LZV193" s="134"/>
      <c r="LZW193" s="135"/>
      <c r="LZX193" s="135"/>
      <c r="LZY193" s="135"/>
      <c r="LZZ193" s="135"/>
      <c r="MAA193" s="173"/>
      <c r="MAB193" s="173"/>
      <c r="MAC193" s="173"/>
      <c r="MAD193" s="173"/>
      <c r="MAE193" s="173"/>
      <c r="MAF193" s="173"/>
      <c r="MAG193" s="173"/>
      <c r="MAH193" s="173"/>
      <c r="MAI193" s="173"/>
      <c r="MAJ193" s="173"/>
      <c r="MAK193" s="125"/>
      <c r="MAL193" s="125"/>
      <c r="MAM193" s="134"/>
      <c r="MAN193" s="135"/>
      <c r="MAO193" s="135"/>
      <c r="MAP193" s="135"/>
      <c r="MAQ193" s="135"/>
      <c r="MAR193" s="173"/>
      <c r="MAS193" s="173"/>
      <c r="MAT193" s="173"/>
      <c r="MAU193" s="173"/>
      <c r="MAV193" s="173"/>
      <c r="MAW193" s="173"/>
      <c r="MAX193" s="173"/>
      <c r="MAY193" s="173"/>
      <c r="MAZ193" s="173"/>
      <c r="MBA193" s="173"/>
      <c r="MBB193" s="125"/>
      <c r="MBC193" s="125"/>
      <c r="MBD193" s="134"/>
      <c r="MBE193" s="135"/>
      <c r="MBF193" s="135"/>
      <c r="MBG193" s="135"/>
      <c r="MBH193" s="135"/>
      <c r="MBI193" s="173"/>
      <c r="MBJ193" s="173"/>
      <c r="MBK193" s="173"/>
      <c r="MBL193" s="173"/>
      <c r="MBM193" s="173"/>
      <c r="MBN193" s="173"/>
      <c r="MBO193" s="173"/>
      <c r="MBP193" s="173"/>
      <c r="MBQ193" s="173"/>
      <c r="MBR193" s="173"/>
      <c r="MBS193" s="125"/>
      <c r="MBT193" s="125"/>
      <c r="MBU193" s="134"/>
      <c r="MBV193" s="135"/>
      <c r="MBW193" s="135"/>
      <c r="MBX193" s="135"/>
      <c r="MBY193" s="135"/>
      <c r="MBZ193" s="173"/>
      <c r="MCA193" s="173"/>
      <c r="MCB193" s="173"/>
      <c r="MCC193" s="173"/>
      <c r="MCD193" s="173"/>
      <c r="MCE193" s="173"/>
      <c r="MCF193" s="173"/>
      <c r="MCG193" s="173"/>
      <c r="MCH193" s="173"/>
      <c r="MCI193" s="173"/>
      <c r="MCJ193" s="125"/>
      <c r="MCK193" s="125"/>
      <c r="MCL193" s="134"/>
      <c r="MCM193" s="135"/>
      <c r="MCN193" s="135"/>
      <c r="MCO193" s="135"/>
      <c r="MCP193" s="135"/>
      <c r="MCQ193" s="173"/>
      <c r="MCR193" s="173"/>
      <c r="MCS193" s="173"/>
      <c r="MCT193" s="173"/>
      <c r="MCU193" s="173"/>
      <c r="MCV193" s="173"/>
      <c r="MCW193" s="173"/>
      <c r="MCX193" s="173"/>
      <c r="MCY193" s="173"/>
      <c r="MCZ193" s="173"/>
      <c r="MDA193" s="125"/>
      <c r="MDB193" s="125"/>
      <c r="MDC193" s="134"/>
      <c r="MDD193" s="135"/>
      <c r="MDE193" s="135"/>
      <c r="MDF193" s="135"/>
      <c r="MDG193" s="135"/>
      <c r="MDH193" s="173"/>
      <c r="MDI193" s="173"/>
      <c r="MDJ193" s="173"/>
      <c r="MDK193" s="173"/>
      <c r="MDL193" s="173"/>
      <c r="MDM193" s="173"/>
      <c r="MDN193" s="173"/>
      <c r="MDO193" s="173"/>
      <c r="MDP193" s="173"/>
      <c r="MDQ193" s="173"/>
      <c r="MDR193" s="125"/>
      <c r="MDS193" s="125"/>
      <c r="MDT193" s="134"/>
      <c r="MDU193" s="135"/>
      <c r="MDV193" s="135"/>
      <c r="MDW193" s="135"/>
      <c r="MDX193" s="135"/>
      <c r="MDY193" s="173"/>
      <c r="MDZ193" s="173"/>
      <c r="MEA193" s="173"/>
      <c r="MEB193" s="173"/>
      <c r="MEC193" s="173"/>
      <c r="MED193" s="173"/>
      <c r="MEE193" s="173"/>
      <c r="MEF193" s="173"/>
      <c r="MEG193" s="173"/>
      <c r="MEH193" s="173"/>
      <c r="MEI193" s="125"/>
      <c r="MEJ193" s="125"/>
      <c r="MEK193" s="134"/>
      <c r="MEL193" s="135"/>
      <c r="MEM193" s="135"/>
      <c r="MEN193" s="135"/>
      <c r="MEO193" s="135"/>
      <c r="MEP193" s="173"/>
      <c r="MEQ193" s="173"/>
      <c r="MER193" s="173"/>
      <c r="MES193" s="173"/>
      <c r="MET193" s="173"/>
      <c r="MEU193" s="173"/>
      <c r="MEV193" s="173"/>
      <c r="MEW193" s="173"/>
      <c r="MEX193" s="173"/>
      <c r="MEY193" s="173"/>
      <c r="MEZ193" s="125"/>
      <c r="MFA193" s="125"/>
      <c r="MFB193" s="134"/>
      <c r="MFC193" s="135"/>
      <c r="MFD193" s="135"/>
      <c r="MFE193" s="135"/>
      <c r="MFF193" s="135"/>
      <c r="MFG193" s="173"/>
      <c r="MFH193" s="173"/>
      <c r="MFI193" s="173"/>
      <c r="MFJ193" s="173"/>
      <c r="MFK193" s="173"/>
      <c r="MFL193" s="173"/>
      <c r="MFM193" s="173"/>
      <c r="MFN193" s="173"/>
      <c r="MFO193" s="173"/>
      <c r="MFP193" s="173"/>
      <c r="MFQ193" s="125"/>
      <c r="MFR193" s="125"/>
      <c r="MFS193" s="134"/>
      <c r="MFT193" s="135"/>
      <c r="MFU193" s="135"/>
      <c r="MFV193" s="135"/>
      <c r="MFW193" s="135"/>
      <c r="MFX193" s="173"/>
      <c r="MFY193" s="173"/>
      <c r="MFZ193" s="173"/>
      <c r="MGA193" s="173"/>
      <c r="MGB193" s="173"/>
      <c r="MGC193" s="173"/>
      <c r="MGD193" s="173"/>
      <c r="MGE193" s="173"/>
      <c r="MGF193" s="173"/>
      <c r="MGG193" s="173"/>
      <c r="MGH193" s="125"/>
      <c r="MGI193" s="125"/>
      <c r="MGJ193" s="134"/>
      <c r="MGK193" s="135"/>
      <c r="MGL193" s="135"/>
      <c r="MGM193" s="135"/>
      <c r="MGN193" s="135"/>
      <c r="MGO193" s="173"/>
      <c r="MGP193" s="173"/>
      <c r="MGQ193" s="173"/>
      <c r="MGR193" s="173"/>
      <c r="MGS193" s="173"/>
      <c r="MGT193" s="173"/>
      <c r="MGU193" s="173"/>
      <c r="MGV193" s="173"/>
      <c r="MGW193" s="173"/>
      <c r="MGX193" s="173"/>
      <c r="MGY193" s="125"/>
      <c r="MGZ193" s="125"/>
      <c r="MHA193" s="134"/>
      <c r="MHB193" s="135"/>
      <c r="MHC193" s="135"/>
      <c r="MHD193" s="135"/>
      <c r="MHE193" s="135"/>
      <c r="MHF193" s="173"/>
      <c r="MHG193" s="173"/>
      <c r="MHH193" s="173"/>
      <c r="MHI193" s="173"/>
      <c r="MHJ193" s="173"/>
      <c r="MHK193" s="173"/>
      <c r="MHL193" s="173"/>
      <c r="MHM193" s="173"/>
      <c r="MHN193" s="173"/>
      <c r="MHO193" s="173"/>
      <c r="MHP193" s="125"/>
      <c r="MHQ193" s="125"/>
      <c r="MHR193" s="134"/>
      <c r="MHS193" s="135"/>
      <c r="MHT193" s="135"/>
      <c r="MHU193" s="135"/>
      <c r="MHV193" s="135"/>
      <c r="MHW193" s="173"/>
      <c r="MHX193" s="173"/>
      <c r="MHY193" s="173"/>
      <c r="MHZ193" s="173"/>
      <c r="MIA193" s="173"/>
      <c r="MIB193" s="173"/>
      <c r="MIC193" s="173"/>
      <c r="MID193" s="173"/>
      <c r="MIE193" s="173"/>
      <c r="MIF193" s="173"/>
      <c r="MIG193" s="125"/>
      <c r="MIH193" s="125"/>
      <c r="MII193" s="134"/>
      <c r="MIJ193" s="135"/>
      <c r="MIK193" s="135"/>
      <c r="MIL193" s="135"/>
      <c r="MIM193" s="135"/>
      <c r="MIN193" s="173"/>
      <c r="MIO193" s="173"/>
      <c r="MIP193" s="173"/>
      <c r="MIQ193" s="173"/>
      <c r="MIR193" s="173"/>
      <c r="MIS193" s="173"/>
      <c r="MIT193" s="173"/>
      <c r="MIU193" s="173"/>
      <c r="MIV193" s="173"/>
      <c r="MIW193" s="173"/>
      <c r="MIX193" s="125"/>
      <c r="MIY193" s="125"/>
      <c r="MIZ193" s="134"/>
      <c r="MJA193" s="135"/>
      <c r="MJB193" s="135"/>
      <c r="MJC193" s="135"/>
      <c r="MJD193" s="135"/>
      <c r="MJE193" s="173"/>
      <c r="MJF193" s="173"/>
      <c r="MJG193" s="173"/>
      <c r="MJH193" s="173"/>
      <c r="MJI193" s="173"/>
      <c r="MJJ193" s="173"/>
      <c r="MJK193" s="173"/>
      <c r="MJL193" s="173"/>
      <c r="MJM193" s="173"/>
      <c r="MJN193" s="173"/>
      <c r="MJO193" s="125"/>
      <c r="MJP193" s="125"/>
      <c r="MJQ193" s="134"/>
      <c r="MJR193" s="135"/>
      <c r="MJS193" s="135"/>
      <c r="MJT193" s="135"/>
      <c r="MJU193" s="135"/>
      <c r="MJV193" s="173"/>
      <c r="MJW193" s="173"/>
      <c r="MJX193" s="173"/>
      <c r="MJY193" s="173"/>
      <c r="MJZ193" s="173"/>
      <c r="MKA193" s="173"/>
      <c r="MKB193" s="173"/>
      <c r="MKC193" s="173"/>
      <c r="MKD193" s="173"/>
      <c r="MKE193" s="173"/>
      <c r="MKF193" s="125"/>
      <c r="MKG193" s="125"/>
      <c r="MKH193" s="134"/>
      <c r="MKI193" s="135"/>
      <c r="MKJ193" s="135"/>
      <c r="MKK193" s="135"/>
      <c r="MKL193" s="135"/>
      <c r="MKM193" s="173"/>
      <c r="MKN193" s="173"/>
      <c r="MKO193" s="173"/>
      <c r="MKP193" s="173"/>
      <c r="MKQ193" s="173"/>
      <c r="MKR193" s="173"/>
      <c r="MKS193" s="173"/>
      <c r="MKT193" s="173"/>
      <c r="MKU193" s="173"/>
      <c r="MKV193" s="173"/>
      <c r="MKW193" s="125"/>
      <c r="MKX193" s="125"/>
      <c r="MKY193" s="134"/>
      <c r="MKZ193" s="135"/>
      <c r="MLA193" s="135"/>
      <c r="MLB193" s="135"/>
      <c r="MLC193" s="135"/>
      <c r="MLD193" s="173"/>
      <c r="MLE193" s="173"/>
      <c r="MLF193" s="173"/>
      <c r="MLG193" s="173"/>
      <c r="MLH193" s="173"/>
      <c r="MLI193" s="173"/>
      <c r="MLJ193" s="173"/>
      <c r="MLK193" s="173"/>
      <c r="MLL193" s="173"/>
      <c r="MLM193" s="173"/>
      <c r="MLN193" s="125"/>
      <c r="MLO193" s="125"/>
      <c r="MLP193" s="134"/>
      <c r="MLQ193" s="135"/>
      <c r="MLR193" s="135"/>
      <c r="MLS193" s="135"/>
      <c r="MLT193" s="135"/>
      <c r="MLU193" s="173"/>
      <c r="MLV193" s="173"/>
      <c r="MLW193" s="173"/>
      <c r="MLX193" s="173"/>
      <c r="MLY193" s="173"/>
      <c r="MLZ193" s="173"/>
      <c r="MMA193" s="173"/>
      <c r="MMB193" s="173"/>
      <c r="MMC193" s="173"/>
      <c r="MMD193" s="173"/>
      <c r="MME193" s="125"/>
      <c r="MMF193" s="125"/>
      <c r="MMG193" s="134"/>
      <c r="MMH193" s="135"/>
      <c r="MMI193" s="135"/>
      <c r="MMJ193" s="135"/>
      <c r="MMK193" s="135"/>
      <c r="MML193" s="173"/>
      <c r="MMM193" s="173"/>
      <c r="MMN193" s="173"/>
      <c r="MMO193" s="173"/>
      <c r="MMP193" s="173"/>
      <c r="MMQ193" s="173"/>
      <c r="MMR193" s="173"/>
      <c r="MMS193" s="173"/>
      <c r="MMT193" s="173"/>
      <c r="MMU193" s="173"/>
      <c r="MMV193" s="125"/>
      <c r="MMW193" s="125"/>
      <c r="MMX193" s="134"/>
      <c r="MMY193" s="135"/>
      <c r="MMZ193" s="135"/>
      <c r="MNA193" s="135"/>
      <c r="MNB193" s="135"/>
      <c r="MNC193" s="173"/>
      <c r="MND193" s="173"/>
      <c r="MNE193" s="173"/>
      <c r="MNF193" s="173"/>
      <c r="MNG193" s="173"/>
      <c r="MNH193" s="173"/>
      <c r="MNI193" s="173"/>
      <c r="MNJ193" s="173"/>
      <c r="MNK193" s="173"/>
      <c r="MNL193" s="173"/>
      <c r="MNM193" s="125"/>
      <c r="MNN193" s="125"/>
      <c r="MNO193" s="134"/>
      <c r="MNP193" s="135"/>
      <c r="MNQ193" s="135"/>
      <c r="MNR193" s="135"/>
      <c r="MNS193" s="135"/>
      <c r="MNT193" s="173"/>
      <c r="MNU193" s="173"/>
      <c r="MNV193" s="173"/>
      <c r="MNW193" s="173"/>
      <c r="MNX193" s="173"/>
      <c r="MNY193" s="173"/>
      <c r="MNZ193" s="173"/>
      <c r="MOA193" s="173"/>
      <c r="MOB193" s="173"/>
      <c r="MOC193" s="173"/>
      <c r="MOD193" s="125"/>
      <c r="MOE193" s="125"/>
      <c r="MOF193" s="134"/>
      <c r="MOG193" s="135"/>
      <c r="MOH193" s="135"/>
      <c r="MOI193" s="135"/>
      <c r="MOJ193" s="135"/>
      <c r="MOK193" s="173"/>
      <c r="MOL193" s="173"/>
      <c r="MOM193" s="173"/>
      <c r="MON193" s="173"/>
      <c r="MOO193" s="173"/>
      <c r="MOP193" s="173"/>
      <c r="MOQ193" s="173"/>
      <c r="MOR193" s="173"/>
      <c r="MOS193" s="173"/>
      <c r="MOT193" s="173"/>
      <c r="MOU193" s="125"/>
      <c r="MOV193" s="125"/>
      <c r="MOW193" s="134"/>
      <c r="MOX193" s="135"/>
      <c r="MOY193" s="135"/>
      <c r="MOZ193" s="135"/>
      <c r="MPA193" s="135"/>
      <c r="MPB193" s="173"/>
      <c r="MPC193" s="173"/>
      <c r="MPD193" s="173"/>
      <c r="MPE193" s="173"/>
      <c r="MPF193" s="173"/>
      <c r="MPG193" s="173"/>
      <c r="MPH193" s="173"/>
      <c r="MPI193" s="173"/>
      <c r="MPJ193" s="173"/>
      <c r="MPK193" s="173"/>
      <c r="MPL193" s="125"/>
      <c r="MPM193" s="125"/>
      <c r="MPN193" s="134"/>
      <c r="MPO193" s="135"/>
      <c r="MPP193" s="135"/>
      <c r="MPQ193" s="135"/>
      <c r="MPR193" s="135"/>
      <c r="MPS193" s="173"/>
      <c r="MPT193" s="173"/>
      <c r="MPU193" s="173"/>
      <c r="MPV193" s="173"/>
      <c r="MPW193" s="173"/>
      <c r="MPX193" s="173"/>
      <c r="MPY193" s="173"/>
      <c r="MPZ193" s="173"/>
      <c r="MQA193" s="173"/>
      <c r="MQB193" s="173"/>
      <c r="MQC193" s="125"/>
      <c r="MQD193" s="125"/>
      <c r="MQE193" s="134"/>
      <c r="MQF193" s="135"/>
      <c r="MQG193" s="135"/>
      <c r="MQH193" s="135"/>
      <c r="MQI193" s="135"/>
      <c r="MQJ193" s="173"/>
      <c r="MQK193" s="173"/>
      <c r="MQL193" s="173"/>
      <c r="MQM193" s="173"/>
      <c r="MQN193" s="173"/>
      <c r="MQO193" s="173"/>
      <c r="MQP193" s="173"/>
      <c r="MQQ193" s="173"/>
      <c r="MQR193" s="173"/>
      <c r="MQS193" s="173"/>
      <c r="MQT193" s="125"/>
      <c r="MQU193" s="125"/>
      <c r="MQV193" s="134"/>
      <c r="MQW193" s="135"/>
      <c r="MQX193" s="135"/>
      <c r="MQY193" s="135"/>
      <c r="MQZ193" s="135"/>
      <c r="MRA193" s="173"/>
      <c r="MRB193" s="173"/>
      <c r="MRC193" s="173"/>
      <c r="MRD193" s="173"/>
      <c r="MRE193" s="173"/>
      <c r="MRF193" s="173"/>
      <c r="MRG193" s="173"/>
      <c r="MRH193" s="173"/>
      <c r="MRI193" s="173"/>
      <c r="MRJ193" s="173"/>
      <c r="MRK193" s="125"/>
      <c r="MRL193" s="125"/>
      <c r="MRM193" s="134"/>
      <c r="MRN193" s="135"/>
      <c r="MRO193" s="135"/>
      <c r="MRP193" s="135"/>
      <c r="MRQ193" s="135"/>
      <c r="MRR193" s="173"/>
      <c r="MRS193" s="173"/>
      <c r="MRT193" s="173"/>
      <c r="MRU193" s="173"/>
      <c r="MRV193" s="173"/>
      <c r="MRW193" s="173"/>
      <c r="MRX193" s="173"/>
      <c r="MRY193" s="173"/>
      <c r="MRZ193" s="173"/>
      <c r="MSA193" s="173"/>
      <c r="MSB193" s="125"/>
      <c r="MSC193" s="125"/>
      <c r="MSD193" s="134"/>
      <c r="MSE193" s="135"/>
      <c r="MSF193" s="135"/>
      <c r="MSG193" s="135"/>
      <c r="MSH193" s="135"/>
      <c r="MSI193" s="173"/>
      <c r="MSJ193" s="173"/>
      <c r="MSK193" s="173"/>
      <c r="MSL193" s="173"/>
      <c r="MSM193" s="173"/>
      <c r="MSN193" s="173"/>
      <c r="MSO193" s="173"/>
      <c r="MSP193" s="173"/>
      <c r="MSQ193" s="173"/>
      <c r="MSR193" s="173"/>
      <c r="MSS193" s="125"/>
      <c r="MST193" s="125"/>
      <c r="MSU193" s="134"/>
      <c r="MSV193" s="135"/>
      <c r="MSW193" s="135"/>
      <c r="MSX193" s="135"/>
      <c r="MSY193" s="135"/>
      <c r="MSZ193" s="173"/>
      <c r="MTA193" s="173"/>
      <c r="MTB193" s="173"/>
      <c r="MTC193" s="173"/>
      <c r="MTD193" s="173"/>
      <c r="MTE193" s="173"/>
      <c r="MTF193" s="173"/>
      <c r="MTG193" s="173"/>
      <c r="MTH193" s="173"/>
      <c r="MTI193" s="173"/>
      <c r="MTJ193" s="125"/>
      <c r="MTK193" s="125"/>
      <c r="MTL193" s="134"/>
      <c r="MTM193" s="135"/>
      <c r="MTN193" s="135"/>
      <c r="MTO193" s="135"/>
      <c r="MTP193" s="135"/>
      <c r="MTQ193" s="173"/>
      <c r="MTR193" s="173"/>
      <c r="MTS193" s="173"/>
      <c r="MTT193" s="173"/>
      <c r="MTU193" s="173"/>
      <c r="MTV193" s="173"/>
      <c r="MTW193" s="173"/>
      <c r="MTX193" s="173"/>
      <c r="MTY193" s="173"/>
      <c r="MTZ193" s="173"/>
      <c r="MUA193" s="125"/>
      <c r="MUB193" s="125"/>
      <c r="MUC193" s="134"/>
      <c r="MUD193" s="135"/>
      <c r="MUE193" s="135"/>
      <c r="MUF193" s="135"/>
      <c r="MUG193" s="135"/>
      <c r="MUH193" s="173"/>
      <c r="MUI193" s="173"/>
      <c r="MUJ193" s="173"/>
      <c r="MUK193" s="173"/>
      <c r="MUL193" s="173"/>
      <c r="MUM193" s="173"/>
      <c r="MUN193" s="173"/>
      <c r="MUO193" s="173"/>
      <c r="MUP193" s="173"/>
      <c r="MUQ193" s="173"/>
      <c r="MUR193" s="125"/>
      <c r="MUS193" s="125"/>
      <c r="MUT193" s="134"/>
      <c r="MUU193" s="135"/>
      <c r="MUV193" s="135"/>
      <c r="MUW193" s="135"/>
      <c r="MUX193" s="135"/>
      <c r="MUY193" s="173"/>
      <c r="MUZ193" s="173"/>
      <c r="MVA193" s="173"/>
      <c r="MVB193" s="173"/>
      <c r="MVC193" s="173"/>
      <c r="MVD193" s="173"/>
      <c r="MVE193" s="173"/>
      <c r="MVF193" s="173"/>
      <c r="MVG193" s="173"/>
      <c r="MVH193" s="173"/>
      <c r="MVI193" s="125"/>
      <c r="MVJ193" s="125"/>
      <c r="MVK193" s="134"/>
      <c r="MVL193" s="135"/>
      <c r="MVM193" s="135"/>
      <c r="MVN193" s="135"/>
      <c r="MVO193" s="135"/>
      <c r="MVP193" s="173"/>
      <c r="MVQ193" s="173"/>
      <c r="MVR193" s="173"/>
      <c r="MVS193" s="173"/>
      <c r="MVT193" s="173"/>
      <c r="MVU193" s="173"/>
      <c r="MVV193" s="173"/>
      <c r="MVW193" s="173"/>
      <c r="MVX193" s="173"/>
      <c r="MVY193" s="173"/>
      <c r="MVZ193" s="125"/>
      <c r="MWA193" s="125"/>
      <c r="MWB193" s="134"/>
      <c r="MWC193" s="135"/>
      <c r="MWD193" s="135"/>
      <c r="MWE193" s="135"/>
      <c r="MWF193" s="135"/>
      <c r="MWG193" s="173"/>
      <c r="MWH193" s="173"/>
      <c r="MWI193" s="173"/>
      <c r="MWJ193" s="173"/>
      <c r="MWK193" s="173"/>
      <c r="MWL193" s="173"/>
      <c r="MWM193" s="173"/>
      <c r="MWN193" s="173"/>
      <c r="MWO193" s="173"/>
      <c r="MWP193" s="173"/>
      <c r="MWQ193" s="125"/>
      <c r="MWR193" s="125"/>
      <c r="MWS193" s="134"/>
      <c r="MWT193" s="135"/>
      <c r="MWU193" s="135"/>
      <c r="MWV193" s="135"/>
      <c r="MWW193" s="135"/>
      <c r="MWX193" s="173"/>
      <c r="MWY193" s="173"/>
      <c r="MWZ193" s="173"/>
      <c r="MXA193" s="173"/>
      <c r="MXB193" s="173"/>
      <c r="MXC193" s="173"/>
      <c r="MXD193" s="173"/>
      <c r="MXE193" s="173"/>
      <c r="MXF193" s="173"/>
      <c r="MXG193" s="173"/>
      <c r="MXH193" s="125"/>
      <c r="MXI193" s="125"/>
      <c r="MXJ193" s="134"/>
      <c r="MXK193" s="135"/>
      <c r="MXL193" s="135"/>
      <c r="MXM193" s="135"/>
      <c r="MXN193" s="135"/>
      <c r="MXO193" s="173"/>
      <c r="MXP193" s="173"/>
      <c r="MXQ193" s="173"/>
      <c r="MXR193" s="173"/>
      <c r="MXS193" s="173"/>
      <c r="MXT193" s="173"/>
      <c r="MXU193" s="173"/>
      <c r="MXV193" s="173"/>
      <c r="MXW193" s="173"/>
      <c r="MXX193" s="173"/>
      <c r="MXY193" s="125"/>
      <c r="MXZ193" s="125"/>
      <c r="MYA193" s="134"/>
      <c r="MYB193" s="135"/>
      <c r="MYC193" s="135"/>
      <c r="MYD193" s="135"/>
      <c r="MYE193" s="135"/>
      <c r="MYF193" s="173"/>
      <c r="MYG193" s="173"/>
      <c r="MYH193" s="173"/>
      <c r="MYI193" s="173"/>
      <c r="MYJ193" s="173"/>
      <c r="MYK193" s="173"/>
      <c r="MYL193" s="173"/>
      <c r="MYM193" s="173"/>
      <c r="MYN193" s="173"/>
      <c r="MYO193" s="173"/>
      <c r="MYP193" s="125"/>
      <c r="MYQ193" s="125"/>
      <c r="MYR193" s="134"/>
      <c r="MYS193" s="135"/>
      <c r="MYT193" s="135"/>
      <c r="MYU193" s="135"/>
      <c r="MYV193" s="135"/>
      <c r="MYW193" s="173"/>
      <c r="MYX193" s="173"/>
      <c r="MYY193" s="173"/>
      <c r="MYZ193" s="173"/>
      <c r="MZA193" s="173"/>
      <c r="MZB193" s="173"/>
      <c r="MZC193" s="173"/>
      <c r="MZD193" s="173"/>
      <c r="MZE193" s="173"/>
      <c r="MZF193" s="173"/>
      <c r="MZG193" s="125"/>
      <c r="MZH193" s="125"/>
      <c r="MZI193" s="134"/>
      <c r="MZJ193" s="135"/>
      <c r="MZK193" s="135"/>
      <c r="MZL193" s="135"/>
      <c r="MZM193" s="135"/>
      <c r="MZN193" s="173"/>
      <c r="MZO193" s="173"/>
      <c r="MZP193" s="173"/>
      <c r="MZQ193" s="173"/>
      <c r="MZR193" s="173"/>
      <c r="MZS193" s="173"/>
      <c r="MZT193" s="173"/>
      <c r="MZU193" s="173"/>
      <c r="MZV193" s="173"/>
      <c r="MZW193" s="173"/>
      <c r="MZX193" s="125"/>
      <c r="MZY193" s="125"/>
      <c r="MZZ193" s="134"/>
      <c r="NAA193" s="135"/>
      <c r="NAB193" s="135"/>
      <c r="NAC193" s="135"/>
      <c r="NAD193" s="135"/>
      <c r="NAE193" s="173"/>
      <c r="NAF193" s="173"/>
      <c r="NAG193" s="173"/>
      <c r="NAH193" s="173"/>
      <c r="NAI193" s="173"/>
      <c r="NAJ193" s="173"/>
      <c r="NAK193" s="173"/>
      <c r="NAL193" s="173"/>
      <c r="NAM193" s="173"/>
      <c r="NAN193" s="173"/>
      <c r="NAO193" s="125"/>
      <c r="NAP193" s="125"/>
      <c r="NAQ193" s="134"/>
      <c r="NAR193" s="135"/>
      <c r="NAS193" s="135"/>
      <c r="NAT193" s="135"/>
      <c r="NAU193" s="135"/>
      <c r="NAV193" s="173"/>
      <c r="NAW193" s="173"/>
      <c r="NAX193" s="173"/>
      <c r="NAY193" s="173"/>
      <c r="NAZ193" s="173"/>
      <c r="NBA193" s="173"/>
      <c r="NBB193" s="173"/>
      <c r="NBC193" s="173"/>
      <c r="NBD193" s="173"/>
      <c r="NBE193" s="173"/>
      <c r="NBF193" s="125"/>
      <c r="NBG193" s="125"/>
      <c r="NBH193" s="134"/>
      <c r="NBI193" s="135"/>
      <c r="NBJ193" s="135"/>
      <c r="NBK193" s="135"/>
      <c r="NBL193" s="135"/>
      <c r="NBM193" s="173"/>
      <c r="NBN193" s="173"/>
      <c r="NBO193" s="173"/>
      <c r="NBP193" s="173"/>
      <c r="NBQ193" s="173"/>
      <c r="NBR193" s="173"/>
      <c r="NBS193" s="173"/>
      <c r="NBT193" s="173"/>
      <c r="NBU193" s="173"/>
      <c r="NBV193" s="173"/>
      <c r="NBW193" s="125"/>
      <c r="NBX193" s="125"/>
      <c r="NBY193" s="134"/>
      <c r="NBZ193" s="135"/>
      <c r="NCA193" s="135"/>
      <c r="NCB193" s="135"/>
      <c r="NCC193" s="135"/>
      <c r="NCD193" s="173"/>
      <c r="NCE193" s="173"/>
      <c r="NCF193" s="173"/>
      <c r="NCG193" s="173"/>
      <c r="NCH193" s="173"/>
      <c r="NCI193" s="173"/>
      <c r="NCJ193" s="173"/>
      <c r="NCK193" s="173"/>
      <c r="NCL193" s="173"/>
      <c r="NCM193" s="173"/>
      <c r="NCN193" s="125"/>
      <c r="NCO193" s="125"/>
      <c r="NCP193" s="134"/>
      <c r="NCQ193" s="135"/>
      <c r="NCR193" s="135"/>
      <c r="NCS193" s="135"/>
      <c r="NCT193" s="135"/>
      <c r="NCU193" s="173"/>
      <c r="NCV193" s="173"/>
      <c r="NCW193" s="173"/>
      <c r="NCX193" s="173"/>
      <c r="NCY193" s="173"/>
      <c r="NCZ193" s="173"/>
      <c r="NDA193" s="173"/>
      <c r="NDB193" s="173"/>
      <c r="NDC193" s="173"/>
      <c r="NDD193" s="173"/>
      <c r="NDE193" s="125"/>
      <c r="NDF193" s="125"/>
      <c r="NDG193" s="134"/>
      <c r="NDH193" s="135"/>
      <c r="NDI193" s="135"/>
      <c r="NDJ193" s="135"/>
      <c r="NDK193" s="135"/>
      <c r="NDL193" s="173"/>
      <c r="NDM193" s="173"/>
      <c r="NDN193" s="173"/>
      <c r="NDO193" s="173"/>
      <c r="NDP193" s="173"/>
      <c r="NDQ193" s="173"/>
      <c r="NDR193" s="173"/>
      <c r="NDS193" s="173"/>
      <c r="NDT193" s="173"/>
      <c r="NDU193" s="173"/>
      <c r="NDV193" s="125"/>
      <c r="NDW193" s="125"/>
      <c r="NDX193" s="134"/>
      <c r="NDY193" s="135"/>
      <c r="NDZ193" s="135"/>
      <c r="NEA193" s="135"/>
      <c r="NEB193" s="135"/>
      <c r="NEC193" s="173"/>
      <c r="NED193" s="173"/>
      <c r="NEE193" s="173"/>
      <c r="NEF193" s="173"/>
      <c r="NEG193" s="173"/>
      <c r="NEH193" s="173"/>
      <c r="NEI193" s="173"/>
      <c r="NEJ193" s="173"/>
      <c r="NEK193" s="173"/>
      <c r="NEL193" s="173"/>
      <c r="NEM193" s="125"/>
      <c r="NEN193" s="125"/>
      <c r="NEO193" s="134"/>
      <c r="NEP193" s="135"/>
      <c r="NEQ193" s="135"/>
      <c r="NER193" s="135"/>
      <c r="NES193" s="135"/>
      <c r="NET193" s="173"/>
      <c r="NEU193" s="173"/>
      <c r="NEV193" s="173"/>
      <c r="NEW193" s="173"/>
      <c r="NEX193" s="173"/>
      <c r="NEY193" s="173"/>
      <c r="NEZ193" s="173"/>
      <c r="NFA193" s="173"/>
      <c r="NFB193" s="173"/>
      <c r="NFC193" s="173"/>
      <c r="NFD193" s="125"/>
      <c r="NFE193" s="125"/>
      <c r="NFF193" s="134"/>
      <c r="NFG193" s="135"/>
      <c r="NFH193" s="135"/>
      <c r="NFI193" s="135"/>
      <c r="NFJ193" s="135"/>
      <c r="NFK193" s="173"/>
      <c r="NFL193" s="173"/>
      <c r="NFM193" s="173"/>
      <c r="NFN193" s="173"/>
      <c r="NFO193" s="173"/>
      <c r="NFP193" s="173"/>
      <c r="NFQ193" s="173"/>
      <c r="NFR193" s="173"/>
      <c r="NFS193" s="173"/>
      <c r="NFT193" s="173"/>
      <c r="NFU193" s="125"/>
      <c r="NFV193" s="125"/>
      <c r="NFW193" s="134"/>
      <c r="NFX193" s="135"/>
      <c r="NFY193" s="135"/>
      <c r="NFZ193" s="135"/>
      <c r="NGA193" s="135"/>
      <c r="NGB193" s="173"/>
      <c r="NGC193" s="173"/>
      <c r="NGD193" s="173"/>
      <c r="NGE193" s="173"/>
      <c r="NGF193" s="173"/>
      <c r="NGG193" s="173"/>
      <c r="NGH193" s="173"/>
      <c r="NGI193" s="173"/>
      <c r="NGJ193" s="173"/>
      <c r="NGK193" s="173"/>
      <c r="NGL193" s="125"/>
      <c r="NGM193" s="125"/>
      <c r="NGN193" s="134"/>
      <c r="NGO193" s="135"/>
      <c r="NGP193" s="135"/>
      <c r="NGQ193" s="135"/>
      <c r="NGR193" s="135"/>
      <c r="NGS193" s="173"/>
      <c r="NGT193" s="173"/>
      <c r="NGU193" s="173"/>
      <c r="NGV193" s="173"/>
      <c r="NGW193" s="173"/>
      <c r="NGX193" s="173"/>
      <c r="NGY193" s="173"/>
      <c r="NGZ193" s="173"/>
      <c r="NHA193" s="173"/>
      <c r="NHB193" s="173"/>
      <c r="NHC193" s="125"/>
      <c r="NHD193" s="125"/>
      <c r="NHE193" s="134"/>
      <c r="NHF193" s="135"/>
      <c r="NHG193" s="135"/>
      <c r="NHH193" s="135"/>
      <c r="NHI193" s="135"/>
      <c r="NHJ193" s="173"/>
      <c r="NHK193" s="173"/>
      <c r="NHL193" s="173"/>
      <c r="NHM193" s="173"/>
      <c r="NHN193" s="173"/>
      <c r="NHO193" s="173"/>
      <c r="NHP193" s="173"/>
      <c r="NHQ193" s="173"/>
      <c r="NHR193" s="173"/>
      <c r="NHS193" s="173"/>
      <c r="NHT193" s="125"/>
      <c r="NHU193" s="125"/>
      <c r="NHV193" s="134"/>
      <c r="NHW193" s="135"/>
      <c r="NHX193" s="135"/>
      <c r="NHY193" s="135"/>
      <c r="NHZ193" s="135"/>
      <c r="NIA193" s="173"/>
      <c r="NIB193" s="173"/>
      <c r="NIC193" s="173"/>
      <c r="NID193" s="173"/>
      <c r="NIE193" s="173"/>
      <c r="NIF193" s="173"/>
      <c r="NIG193" s="173"/>
      <c r="NIH193" s="173"/>
      <c r="NII193" s="173"/>
      <c r="NIJ193" s="173"/>
      <c r="NIK193" s="125"/>
      <c r="NIL193" s="125"/>
      <c r="NIM193" s="134"/>
      <c r="NIN193" s="135"/>
      <c r="NIO193" s="135"/>
      <c r="NIP193" s="135"/>
      <c r="NIQ193" s="135"/>
      <c r="NIR193" s="173"/>
      <c r="NIS193" s="173"/>
      <c r="NIT193" s="173"/>
      <c r="NIU193" s="173"/>
      <c r="NIV193" s="173"/>
      <c r="NIW193" s="173"/>
      <c r="NIX193" s="173"/>
      <c r="NIY193" s="173"/>
      <c r="NIZ193" s="173"/>
      <c r="NJA193" s="173"/>
      <c r="NJB193" s="125"/>
      <c r="NJC193" s="125"/>
      <c r="NJD193" s="134"/>
      <c r="NJE193" s="135"/>
      <c r="NJF193" s="135"/>
      <c r="NJG193" s="135"/>
      <c r="NJH193" s="135"/>
      <c r="NJI193" s="173"/>
      <c r="NJJ193" s="173"/>
      <c r="NJK193" s="173"/>
      <c r="NJL193" s="173"/>
      <c r="NJM193" s="173"/>
      <c r="NJN193" s="173"/>
      <c r="NJO193" s="173"/>
      <c r="NJP193" s="173"/>
      <c r="NJQ193" s="173"/>
      <c r="NJR193" s="173"/>
      <c r="NJS193" s="125"/>
      <c r="NJT193" s="125"/>
      <c r="NJU193" s="134"/>
      <c r="NJV193" s="135"/>
      <c r="NJW193" s="135"/>
      <c r="NJX193" s="135"/>
      <c r="NJY193" s="135"/>
      <c r="NJZ193" s="173"/>
      <c r="NKA193" s="173"/>
      <c r="NKB193" s="173"/>
      <c r="NKC193" s="173"/>
      <c r="NKD193" s="173"/>
      <c r="NKE193" s="173"/>
      <c r="NKF193" s="173"/>
      <c r="NKG193" s="173"/>
      <c r="NKH193" s="173"/>
      <c r="NKI193" s="173"/>
      <c r="NKJ193" s="125"/>
      <c r="NKK193" s="125"/>
      <c r="NKL193" s="134"/>
      <c r="NKM193" s="135"/>
      <c r="NKN193" s="135"/>
      <c r="NKO193" s="135"/>
      <c r="NKP193" s="135"/>
      <c r="NKQ193" s="173"/>
      <c r="NKR193" s="173"/>
      <c r="NKS193" s="173"/>
      <c r="NKT193" s="173"/>
      <c r="NKU193" s="173"/>
      <c r="NKV193" s="173"/>
      <c r="NKW193" s="173"/>
      <c r="NKX193" s="173"/>
      <c r="NKY193" s="173"/>
      <c r="NKZ193" s="173"/>
      <c r="NLA193" s="125"/>
      <c r="NLB193" s="125"/>
      <c r="NLC193" s="134"/>
      <c r="NLD193" s="135"/>
      <c r="NLE193" s="135"/>
      <c r="NLF193" s="135"/>
      <c r="NLG193" s="135"/>
      <c r="NLH193" s="173"/>
      <c r="NLI193" s="173"/>
      <c r="NLJ193" s="173"/>
      <c r="NLK193" s="173"/>
      <c r="NLL193" s="173"/>
      <c r="NLM193" s="173"/>
      <c r="NLN193" s="173"/>
      <c r="NLO193" s="173"/>
      <c r="NLP193" s="173"/>
      <c r="NLQ193" s="173"/>
      <c r="NLR193" s="125"/>
      <c r="NLS193" s="125"/>
      <c r="NLT193" s="134"/>
      <c r="NLU193" s="135"/>
      <c r="NLV193" s="135"/>
      <c r="NLW193" s="135"/>
      <c r="NLX193" s="135"/>
      <c r="NLY193" s="173"/>
      <c r="NLZ193" s="173"/>
      <c r="NMA193" s="173"/>
      <c r="NMB193" s="173"/>
      <c r="NMC193" s="173"/>
      <c r="NMD193" s="173"/>
      <c r="NME193" s="173"/>
      <c r="NMF193" s="173"/>
      <c r="NMG193" s="173"/>
      <c r="NMH193" s="173"/>
      <c r="NMI193" s="125"/>
      <c r="NMJ193" s="125"/>
      <c r="NMK193" s="134"/>
      <c r="NML193" s="135"/>
      <c r="NMM193" s="135"/>
      <c r="NMN193" s="135"/>
      <c r="NMO193" s="135"/>
      <c r="NMP193" s="173"/>
      <c r="NMQ193" s="173"/>
      <c r="NMR193" s="173"/>
      <c r="NMS193" s="173"/>
      <c r="NMT193" s="173"/>
      <c r="NMU193" s="173"/>
      <c r="NMV193" s="173"/>
      <c r="NMW193" s="173"/>
      <c r="NMX193" s="173"/>
      <c r="NMY193" s="173"/>
      <c r="NMZ193" s="125"/>
      <c r="NNA193" s="125"/>
      <c r="NNB193" s="134"/>
      <c r="NNC193" s="135"/>
      <c r="NND193" s="135"/>
      <c r="NNE193" s="135"/>
      <c r="NNF193" s="135"/>
      <c r="NNG193" s="173"/>
      <c r="NNH193" s="173"/>
      <c r="NNI193" s="173"/>
      <c r="NNJ193" s="173"/>
      <c r="NNK193" s="173"/>
      <c r="NNL193" s="173"/>
      <c r="NNM193" s="173"/>
      <c r="NNN193" s="173"/>
      <c r="NNO193" s="173"/>
      <c r="NNP193" s="173"/>
      <c r="NNQ193" s="125"/>
      <c r="NNR193" s="125"/>
      <c r="NNS193" s="134"/>
      <c r="NNT193" s="135"/>
      <c r="NNU193" s="135"/>
      <c r="NNV193" s="135"/>
      <c r="NNW193" s="135"/>
      <c r="NNX193" s="173"/>
      <c r="NNY193" s="173"/>
      <c r="NNZ193" s="173"/>
      <c r="NOA193" s="173"/>
      <c r="NOB193" s="173"/>
      <c r="NOC193" s="173"/>
      <c r="NOD193" s="173"/>
      <c r="NOE193" s="173"/>
      <c r="NOF193" s="173"/>
      <c r="NOG193" s="173"/>
      <c r="NOH193" s="125"/>
      <c r="NOI193" s="125"/>
      <c r="NOJ193" s="134"/>
      <c r="NOK193" s="135"/>
      <c r="NOL193" s="135"/>
      <c r="NOM193" s="135"/>
      <c r="NON193" s="135"/>
      <c r="NOO193" s="173"/>
      <c r="NOP193" s="173"/>
      <c r="NOQ193" s="173"/>
      <c r="NOR193" s="173"/>
      <c r="NOS193" s="173"/>
      <c r="NOT193" s="173"/>
      <c r="NOU193" s="173"/>
      <c r="NOV193" s="173"/>
      <c r="NOW193" s="173"/>
      <c r="NOX193" s="173"/>
      <c r="NOY193" s="125"/>
      <c r="NOZ193" s="125"/>
      <c r="NPA193" s="134"/>
      <c r="NPB193" s="135"/>
      <c r="NPC193" s="135"/>
      <c r="NPD193" s="135"/>
      <c r="NPE193" s="135"/>
      <c r="NPF193" s="173"/>
      <c r="NPG193" s="173"/>
      <c r="NPH193" s="173"/>
      <c r="NPI193" s="173"/>
      <c r="NPJ193" s="173"/>
      <c r="NPK193" s="173"/>
      <c r="NPL193" s="173"/>
      <c r="NPM193" s="173"/>
      <c r="NPN193" s="173"/>
      <c r="NPO193" s="173"/>
      <c r="NPP193" s="125"/>
      <c r="NPQ193" s="125"/>
      <c r="NPR193" s="134"/>
      <c r="NPS193" s="135"/>
      <c r="NPT193" s="135"/>
      <c r="NPU193" s="135"/>
      <c r="NPV193" s="135"/>
      <c r="NPW193" s="173"/>
      <c r="NPX193" s="173"/>
      <c r="NPY193" s="173"/>
      <c r="NPZ193" s="173"/>
      <c r="NQA193" s="173"/>
      <c r="NQB193" s="173"/>
      <c r="NQC193" s="173"/>
      <c r="NQD193" s="173"/>
      <c r="NQE193" s="173"/>
      <c r="NQF193" s="173"/>
      <c r="NQG193" s="125"/>
      <c r="NQH193" s="125"/>
      <c r="NQI193" s="134"/>
      <c r="NQJ193" s="135"/>
      <c r="NQK193" s="135"/>
      <c r="NQL193" s="135"/>
      <c r="NQM193" s="135"/>
      <c r="NQN193" s="173"/>
      <c r="NQO193" s="173"/>
      <c r="NQP193" s="173"/>
      <c r="NQQ193" s="173"/>
      <c r="NQR193" s="173"/>
      <c r="NQS193" s="173"/>
      <c r="NQT193" s="173"/>
      <c r="NQU193" s="173"/>
      <c r="NQV193" s="173"/>
      <c r="NQW193" s="173"/>
      <c r="NQX193" s="125"/>
      <c r="NQY193" s="125"/>
      <c r="NQZ193" s="134"/>
      <c r="NRA193" s="135"/>
      <c r="NRB193" s="135"/>
      <c r="NRC193" s="135"/>
      <c r="NRD193" s="135"/>
      <c r="NRE193" s="173"/>
      <c r="NRF193" s="173"/>
      <c r="NRG193" s="173"/>
      <c r="NRH193" s="173"/>
      <c r="NRI193" s="173"/>
      <c r="NRJ193" s="173"/>
      <c r="NRK193" s="173"/>
      <c r="NRL193" s="173"/>
      <c r="NRM193" s="173"/>
      <c r="NRN193" s="173"/>
      <c r="NRO193" s="125"/>
      <c r="NRP193" s="125"/>
      <c r="NRQ193" s="134"/>
      <c r="NRR193" s="135"/>
      <c r="NRS193" s="135"/>
      <c r="NRT193" s="135"/>
      <c r="NRU193" s="135"/>
      <c r="NRV193" s="173"/>
      <c r="NRW193" s="173"/>
      <c r="NRX193" s="173"/>
      <c r="NRY193" s="173"/>
      <c r="NRZ193" s="173"/>
      <c r="NSA193" s="173"/>
      <c r="NSB193" s="173"/>
      <c r="NSC193" s="173"/>
      <c r="NSD193" s="173"/>
      <c r="NSE193" s="173"/>
      <c r="NSF193" s="125"/>
      <c r="NSG193" s="125"/>
      <c r="NSH193" s="134"/>
      <c r="NSI193" s="135"/>
      <c r="NSJ193" s="135"/>
      <c r="NSK193" s="135"/>
      <c r="NSL193" s="135"/>
      <c r="NSM193" s="173"/>
      <c r="NSN193" s="173"/>
      <c r="NSO193" s="173"/>
      <c r="NSP193" s="173"/>
      <c r="NSQ193" s="173"/>
      <c r="NSR193" s="173"/>
      <c r="NSS193" s="173"/>
      <c r="NST193" s="173"/>
      <c r="NSU193" s="173"/>
      <c r="NSV193" s="173"/>
      <c r="NSW193" s="125"/>
      <c r="NSX193" s="125"/>
      <c r="NSY193" s="134"/>
      <c r="NSZ193" s="135"/>
      <c r="NTA193" s="135"/>
      <c r="NTB193" s="135"/>
      <c r="NTC193" s="135"/>
      <c r="NTD193" s="173"/>
      <c r="NTE193" s="173"/>
      <c r="NTF193" s="173"/>
      <c r="NTG193" s="173"/>
      <c r="NTH193" s="173"/>
      <c r="NTI193" s="173"/>
      <c r="NTJ193" s="173"/>
      <c r="NTK193" s="173"/>
      <c r="NTL193" s="173"/>
      <c r="NTM193" s="173"/>
      <c r="NTN193" s="125"/>
      <c r="NTO193" s="125"/>
      <c r="NTP193" s="134"/>
      <c r="NTQ193" s="135"/>
      <c r="NTR193" s="135"/>
      <c r="NTS193" s="135"/>
      <c r="NTT193" s="135"/>
      <c r="NTU193" s="173"/>
      <c r="NTV193" s="173"/>
      <c r="NTW193" s="173"/>
      <c r="NTX193" s="173"/>
      <c r="NTY193" s="173"/>
      <c r="NTZ193" s="173"/>
      <c r="NUA193" s="173"/>
      <c r="NUB193" s="173"/>
      <c r="NUC193" s="173"/>
      <c r="NUD193" s="173"/>
      <c r="NUE193" s="125"/>
      <c r="NUF193" s="125"/>
      <c r="NUG193" s="134"/>
      <c r="NUH193" s="135"/>
      <c r="NUI193" s="135"/>
      <c r="NUJ193" s="135"/>
      <c r="NUK193" s="135"/>
      <c r="NUL193" s="173"/>
      <c r="NUM193" s="173"/>
      <c r="NUN193" s="173"/>
      <c r="NUO193" s="173"/>
      <c r="NUP193" s="173"/>
      <c r="NUQ193" s="173"/>
      <c r="NUR193" s="173"/>
      <c r="NUS193" s="173"/>
      <c r="NUT193" s="173"/>
      <c r="NUU193" s="173"/>
      <c r="NUV193" s="125"/>
      <c r="NUW193" s="125"/>
      <c r="NUX193" s="134"/>
      <c r="NUY193" s="135"/>
      <c r="NUZ193" s="135"/>
      <c r="NVA193" s="135"/>
      <c r="NVB193" s="135"/>
      <c r="NVC193" s="173"/>
      <c r="NVD193" s="173"/>
      <c r="NVE193" s="173"/>
      <c r="NVF193" s="173"/>
      <c r="NVG193" s="173"/>
      <c r="NVH193" s="173"/>
      <c r="NVI193" s="173"/>
      <c r="NVJ193" s="173"/>
      <c r="NVK193" s="173"/>
      <c r="NVL193" s="173"/>
      <c r="NVM193" s="125"/>
      <c r="NVN193" s="125"/>
      <c r="NVO193" s="134"/>
      <c r="NVP193" s="135"/>
      <c r="NVQ193" s="135"/>
      <c r="NVR193" s="135"/>
      <c r="NVS193" s="135"/>
      <c r="NVT193" s="173"/>
      <c r="NVU193" s="173"/>
      <c r="NVV193" s="173"/>
      <c r="NVW193" s="173"/>
      <c r="NVX193" s="173"/>
      <c r="NVY193" s="173"/>
      <c r="NVZ193" s="173"/>
      <c r="NWA193" s="173"/>
      <c r="NWB193" s="173"/>
      <c r="NWC193" s="173"/>
      <c r="NWD193" s="125"/>
      <c r="NWE193" s="125"/>
      <c r="NWF193" s="134"/>
      <c r="NWG193" s="135"/>
      <c r="NWH193" s="135"/>
      <c r="NWI193" s="135"/>
      <c r="NWJ193" s="135"/>
      <c r="NWK193" s="173"/>
      <c r="NWL193" s="173"/>
      <c r="NWM193" s="173"/>
      <c r="NWN193" s="173"/>
      <c r="NWO193" s="173"/>
      <c r="NWP193" s="173"/>
      <c r="NWQ193" s="173"/>
      <c r="NWR193" s="173"/>
      <c r="NWS193" s="173"/>
      <c r="NWT193" s="173"/>
      <c r="NWU193" s="125"/>
      <c r="NWV193" s="125"/>
      <c r="NWW193" s="134"/>
      <c r="NWX193" s="135"/>
      <c r="NWY193" s="135"/>
      <c r="NWZ193" s="135"/>
      <c r="NXA193" s="135"/>
      <c r="NXB193" s="173"/>
      <c r="NXC193" s="173"/>
      <c r="NXD193" s="173"/>
      <c r="NXE193" s="173"/>
      <c r="NXF193" s="173"/>
      <c r="NXG193" s="173"/>
      <c r="NXH193" s="173"/>
      <c r="NXI193" s="173"/>
      <c r="NXJ193" s="173"/>
      <c r="NXK193" s="173"/>
      <c r="NXL193" s="125"/>
      <c r="NXM193" s="125"/>
      <c r="NXN193" s="134"/>
      <c r="NXO193" s="135"/>
      <c r="NXP193" s="135"/>
      <c r="NXQ193" s="135"/>
      <c r="NXR193" s="135"/>
      <c r="NXS193" s="173"/>
      <c r="NXT193" s="173"/>
      <c r="NXU193" s="173"/>
      <c r="NXV193" s="173"/>
      <c r="NXW193" s="173"/>
      <c r="NXX193" s="173"/>
      <c r="NXY193" s="173"/>
      <c r="NXZ193" s="173"/>
      <c r="NYA193" s="173"/>
      <c r="NYB193" s="173"/>
      <c r="NYC193" s="125"/>
      <c r="NYD193" s="125"/>
      <c r="NYE193" s="134"/>
      <c r="NYF193" s="135"/>
      <c r="NYG193" s="135"/>
      <c r="NYH193" s="135"/>
      <c r="NYI193" s="135"/>
      <c r="NYJ193" s="173"/>
      <c r="NYK193" s="173"/>
      <c r="NYL193" s="173"/>
      <c r="NYM193" s="173"/>
      <c r="NYN193" s="173"/>
      <c r="NYO193" s="173"/>
      <c r="NYP193" s="173"/>
      <c r="NYQ193" s="173"/>
      <c r="NYR193" s="173"/>
      <c r="NYS193" s="173"/>
      <c r="NYT193" s="125"/>
      <c r="NYU193" s="125"/>
      <c r="NYV193" s="134"/>
      <c r="NYW193" s="135"/>
      <c r="NYX193" s="135"/>
      <c r="NYY193" s="135"/>
      <c r="NYZ193" s="135"/>
      <c r="NZA193" s="173"/>
      <c r="NZB193" s="173"/>
      <c r="NZC193" s="173"/>
      <c r="NZD193" s="173"/>
      <c r="NZE193" s="173"/>
      <c r="NZF193" s="173"/>
      <c r="NZG193" s="173"/>
      <c r="NZH193" s="173"/>
      <c r="NZI193" s="173"/>
      <c r="NZJ193" s="173"/>
      <c r="NZK193" s="125"/>
      <c r="NZL193" s="125"/>
      <c r="NZM193" s="134"/>
      <c r="NZN193" s="135"/>
      <c r="NZO193" s="135"/>
      <c r="NZP193" s="135"/>
      <c r="NZQ193" s="135"/>
      <c r="NZR193" s="173"/>
      <c r="NZS193" s="173"/>
      <c r="NZT193" s="173"/>
      <c r="NZU193" s="173"/>
      <c r="NZV193" s="173"/>
      <c r="NZW193" s="173"/>
      <c r="NZX193" s="173"/>
      <c r="NZY193" s="173"/>
      <c r="NZZ193" s="173"/>
      <c r="OAA193" s="173"/>
      <c r="OAB193" s="125"/>
      <c r="OAC193" s="125"/>
      <c r="OAD193" s="134"/>
      <c r="OAE193" s="135"/>
      <c r="OAF193" s="135"/>
      <c r="OAG193" s="135"/>
      <c r="OAH193" s="135"/>
      <c r="OAI193" s="173"/>
      <c r="OAJ193" s="173"/>
      <c r="OAK193" s="173"/>
      <c r="OAL193" s="173"/>
      <c r="OAM193" s="173"/>
      <c r="OAN193" s="173"/>
      <c r="OAO193" s="173"/>
      <c r="OAP193" s="173"/>
      <c r="OAQ193" s="173"/>
      <c r="OAR193" s="173"/>
      <c r="OAS193" s="125"/>
      <c r="OAT193" s="125"/>
      <c r="OAU193" s="134"/>
      <c r="OAV193" s="135"/>
      <c r="OAW193" s="135"/>
      <c r="OAX193" s="135"/>
      <c r="OAY193" s="135"/>
      <c r="OAZ193" s="173"/>
      <c r="OBA193" s="173"/>
      <c r="OBB193" s="173"/>
      <c r="OBC193" s="173"/>
      <c r="OBD193" s="173"/>
      <c r="OBE193" s="173"/>
      <c r="OBF193" s="173"/>
      <c r="OBG193" s="173"/>
      <c r="OBH193" s="173"/>
      <c r="OBI193" s="173"/>
      <c r="OBJ193" s="125"/>
      <c r="OBK193" s="125"/>
      <c r="OBL193" s="134"/>
      <c r="OBM193" s="135"/>
      <c r="OBN193" s="135"/>
      <c r="OBO193" s="135"/>
      <c r="OBP193" s="135"/>
      <c r="OBQ193" s="173"/>
      <c r="OBR193" s="173"/>
      <c r="OBS193" s="173"/>
      <c r="OBT193" s="173"/>
      <c r="OBU193" s="173"/>
      <c r="OBV193" s="173"/>
      <c r="OBW193" s="173"/>
      <c r="OBX193" s="173"/>
      <c r="OBY193" s="173"/>
      <c r="OBZ193" s="173"/>
      <c r="OCA193" s="125"/>
      <c r="OCB193" s="125"/>
      <c r="OCC193" s="134"/>
      <c r="OCD193" s="135"/>
      <c r="OCE193" s="135"/>
      <c r="OCF193" s="135"/>
      <c r="OCG193" s="135"/>
      <c r="OCH193" s="173"/>
      <c r="OCI193" s="173"/>
      <c r="OCJ193" s="173"/>
      <c r="OCK193" s="173"/>
      <c r="OCL193" s="173"/>
      <c r="OCM193" s="173"/>
      <c r="OCN193" s="173"/>
      <c r="OCO193" s="173"/>
      <c r="OCP193" s="173"/>
      <c r="OCQ193" s="173"/>
      <c r="OCR193" s="125"/>
      <c r="OCS193" s="125"/>
      <c r="OCT193" s="134"/>
      <c r="OCU193" s="135"/>
      <c r="OCV193" s="135"/>
      <c r="OCW193" s="135"/>
      <c r="OCX193" s="135"/>
      <c r="OCY193" s="173"/>
      <c r="OCZ193" s="173"/>
      <c r="ODA193" s="173"/>
      <c r="ODB193" s="173"/>
      <c r="ODC193" s="173"/>
      <c r="ODD193" s="173"/>
      <c r="ODE193" s="173"/>
      <c r="ODF193" s="173"/>
      <c r="ODG193" s="173"/>
      <c r="ODH193" s="173"/>
      <c r="ODI193" s="125"/>
      <c r="ODJ193" s="125"/>
      <c r="ODK193" s="134"/>
      <c r="ODL193" s="135"/>
      <c r="ODM193" s="135"/>
      <c r="ODN193" s="135"/>
      <c r="ODO193" s="135"/>
      <c r="ODP193" s="173"/>
      <c r="ODQ193" s="173"/>
      <c r="ODR193" s="173"/>
      <c r="ODS193" s="173"/>
      <c r="ODT193" s="173"/>
      <c r="ODU193" s="173"/>
      <c r="ODV193" s="173"/>
      <c r="ODW193" s="173"/>
      <c r="ODX193" s="173"/>
      <c r="ODY193" s="173"/>
      <c r="ODZ193" s="125"/>
      <c r="OEA193" s="125"/>
      <c r="OEB193" s="134"/>
      <c r="OEC193" s="135"/>
      <c r="OED193" s="135"/>
      <c r="OEE193" s="135"/>
      <c r="OEF193" s="135"/>
      <c r="OEG193" s="173"/>
      <c r="OEH193" s="173"/>
      <c r="OEI193" s="173"/>
      <c r="OEJ193" s="173"/>
      <c r="OEK193" s="173"/>
      <c r="OEL193" s="173"/>
      <c r="OEM193" s="173"/>
      <c r="OEN193" s="173"/>
      <c r="OEO193" s="173"/>
      <c r="OEP193" s="173"/>
      <c r="OEQ193" s="125"/>
      <c r="OER193" s="125"/>
      <c r="OES193" s="134"/>
      <c r="OET193" s="135"/>
      <c r="OEU193" s="135"/>
      <c r="OEV193" s="135"/>
      <c r="OEW193" s="135"/>
      <c r="OEX193" s="173"/>
      <c r="OEY193" s="173"/>
      <c r="OEZ193" s="173"/>
      <c r="OFA193" s="173"/>
      <c r="OFB193" s="173"/>
      <c r="OFC193" s="173"/>
      <c r="OFD193" s="173"/>
      <c r="OFE193" s="173"/>
      <c r="OFF193" s="173"/>
      <c r="OFG193" s="173"/>
      <c r="OFH193" s="125"/>
      <c r="OFI193" s="125"/>
      <c r="OFJ193" s="134"/>
      <c r="OFK193" s="135"/>
      <c r="OFL193" s="135"/>
      <c r="OFM193" s="135"/>
      <c r="OFN193" s="135"/>
      <c r="OFO193" s="173"/>
      <c r="OFP193" s="173"/>
      <c r="OFQ193" s="173"/>
      <c r="OFR193" s="173"/>
      <c r="OFS193" s="173"/>
      <c r="OFT193" s="173"/>
      <c r="OFU193" s="173"/>
      <c r="OFV193" s="173"/>
      <c r="OFW193" s="173"/>
      <c r="OFX193" s="173"/>
      <c r="OFY193" s="125"/>
      <c r="OFZ193" s="125"/>
      <c r="OGA193" s="134"/>
      <c r="OGB193" s="135"/>
      <c r="OGC193" s="135"/>
      <c r="OGD193" s="135"/>
      <c r="OGE193" s="135"/>
      <c r="OGF193" s="173"/>
      <c r="OGG193" s="173"/>
      <c r="OGH193" s="173"/>
      <c r="OGI193" s="173"/>
      <c r="OGJ193" s="173"/>
      <c r="OGK193" s="173"/>
      <c r="OGL193" s="173"/>
      <c r="OGM193" s="173"/>
      <c r="OGN193" s="173"/>
      <c r="OGO193" s="173"/>
      <c r="OGP193" s="125"/>
      <c r="OGQ193" s="125"/>
      <c r="OGR193" s="134"/>
      <c r="OGS193" s="135"/>
      <c r="OGT193" s="135"/>
      <c r="OGU193" s="135"/>
      <c r="OGV193" s="135"/>
      <c r="OGW193" s="173"/>
      <c r="OGX193" s="173"/>
      <c r="OGY193" s="173"/>
      <c r="OGZ193" s="173"/>
      <c r="OHA193" s="173"/>
      <c r="OHB193" s="173"/>
      <c r="OHC193" s="173"/>
      <c r="OHD193" s="173"/>
      <c r="OHE193" s="173"/>
      <c r="OHF193" s="173"/>
      <c r="OHG193" s="125"/>
      <c r="OHH193" s="125"/>
      <c r="OHI193" s="134"/>
      <c r="OHJ193" s="135"/>
      <c r="OHK193" s="135"/>
      <c r="OHL193" s="135"/>
      <c r="OHM193" s="135"/>
      <c r="OHN193" s="173"/>
      <c r="OHO193" s="173"/>
      <c r="OHP193" s="173"/>
      <c r="OHQ193" s="173"/>
      <c r="OHR193" s="173"/>
      <c r="OHS193" s="173"/>
      <c r="OHT193" s="173"/>
      <c r="OHU193" s="173"/>
      <c r="OHV193" s="173"/>
      <c r="OHW193" s="173"/>
      <c r="OHX193" s="125"/>
      <c r="OHY193" s="125"/>
      <c r="OHZ193" s="134"/>
      <c r="OIA193" s="135"/>
      <c r="OIB193" s="135"/>
      <c r="OIC193" s="135"/>
      <c r="OID193" s="135"/>
      <c r="OIE193" s="173"/>
      <c r="OIF193" s="173"/>
      <c r="OIG193" s="173"/>
      <c r="OIH193" s="173"/>
      <c r="OII193" s="173"/>
      <c r="OIJ193" s="173"/>
      <c r="OIK193" s="173"/>
      <c r="OIL193" s="173"/>
      <c r="OIM193" s="173"/>
      <c r="OIN193" s="173"/>
      <c r="OIO193" s="125"/>
      <c r="OIP193" s="125"/>
      <c r="OIQ193" s="134"/>
      <c r="OIR193" s="135"/>
      <c r="OIS193" s="135"/>
      <c r="OIT193" s="135"/>
      <c r="OIU193" s="135"/>
      <c r="OIV193" s="173"/>
      <c r="OIW193" s="173"/>
      <c r="OIX193" s="173"/>
      <c r="OIY193" s="173"/>
      <c r="OIZ193" s="173"/>
      <c r="OJA193" s="173"/>
      <c r="OJB193" s="173"/>
      <c r="OJC193" s="173"/>
      <c r="OJD193" s="173"/>
      <c r="OJE193" s="173"/>
      <c r="OJF193" s="125"/>
      <c r="OJG193" s="125"/>
      <c r="OJH193" s="134"/>
      <c r="OJI193" s="135"/>
      <c r="OJJ193" s="135"/>
      <c r="OJK193" s="135"/>
      <c r="OJL193" s="135"/>
      <c r="OJM193" s="173"/>
      <c r="OJN193" s="173"/>
      <c r="OJO193" s="173"/>
      <c r="OJP193" s="173"/>
      <c r="OJQ193" s="173"/>
      <c r="OJR193" s="173"/>
      <c r="OJS193" s="173"/>
      <c r="OJT193" s="173"/>
      <c r="OJU193" s="173"/>
      <c r="OJV193" s="173"/>
      <c r="OJW193" s="125"/>
      <c r="OJX193" s="125"/>
      <c r="OJY193" s="134"/>
      <c r="OJZ193" s="135"/>
      <c r="OKA193" s="135"/>
      <c r="OKB193" s="135"/>
      <c r="OKC193" s="135"/>
      <c r="OKD193" s="173"/>
      <c r="OKE193" s="173"/>
      <c r="OKF193" s="173"/>
      <c r="OKG193" s="173"/>
      <c r="OKH193" s="173"/>
      <c r="OKI193" s="173"/>
      <c r="OKJ193" s="173"/>
      <c r="OKK193" s="173"/>
      <c r="OKL193" s="173"/>
      <c r="OKM193" s="173"/>
      <c r="OKN193" s="125"/>
      <c r="OKO193" s="125"/>
      <c r="OKP193" s="134"/>
      <c r="OKQ193" s="135"/>
      <c r="OKR193" s="135"/>
      <c r="OKS193" s="135"/>
      <c r="OKT193" s="135"/>
      <c r="OKU193" s="173"/>
      <c r="OKV193" s="173"/>
      <c r="OKW193" s="173"/>
      <c r="OKX193" s="173"/>
      <c r="OKY193" s="173"/>
      <c r="OKZ193" s="173"/>
      <c r="OLA193" s="173"/>
      <c r="OLB193" s="173"/>
      <c r="OLC193" s="173"/>
      <c r="OLD193" s="173"/>
      <c r="OLE193" s="125"/>
      <c r="OLF193" s="125"/>
      <c r="OLG193" s="134"/>
      <c r="OLH193" s="135"/>
      <c r="OLI193" s="135"/>
      <c r="OLJ193" s="135"/>
      <c r="OLK193" s="135"/>
      <c r="OLL193" s="173"/>
      <c r="OLM193" s="173"/>
      <c r="OLN193" s="173"/>
      <c r="OLO193" s="173"/>
      <c r="OLP193" s="173"/>
      <c r="OLQ193" s="173"/>
      <c r="OLR193" s="173"/>
      <c r="OLS193" s="173"/>
      <c r="OLT193" s="173"/>
      <c r="OLU193" s="173"/>
      <c r="OLV193" s="125"/>
      <c r="OLW193" s="125"/>
      <c r="OLX193" s="134"/>
      <c r="OLY193" s="135"/>
      <c r="OLZ193" s="135"/>
      <c r="OMA193" s="135"/>
      <c r="OMB193" s="135"/>
      <c r="OMC193" s="173"/>
      <c r="OMD193" s="173"/>
      <c r="OME193" s="173"/>
      <c r="OMF193" s="173"/>
      <c r="OMG193" s="173"/>
      <c r="OMH193" s="173"/>
      <c r="OMI193" s="173"/>
      <c r="OMJ193" s="173"/>
      <c r="OMK193" s="173"/>
      <c r="OML193" s="173"/>
      <c r="OMM193" s="125"/>
      <c r="OMN193" s="125"/>
      <c r="OMO193" s="134"/>
      <c r="OMP193" s="135"/>
      <c r="OMQ193" s="135"/>
      <c r="OMR193" s="135"/>
      <c r="OMS193" s="135"/>
      <c r="OMT193" s="173"/>
      <c r="OMU193" s="173"/>
      <c r="OMV193" s="173"/>
      <c r="OMW193" s="173"/>
      <c r="OMX193" s="173"/>
      <c r="OMY193" s="173"/>
      <c r="OMZ193" s="173"/>
      <c r="ONA193" s="173"/>
      <c r="ONB193" s="173"/>
      <c r="ONC193" s="173"/>
      <c r="OND193" s="125"/>
      <c r="ONE193" s="125"/>
      <c r="ONF193" s="134"/>
      <c r="ONG193" s="135"/>
      <c r="ONH193" s="135"/>
      <c r="ONI193" s="135"/>
      <c r="ONJ193" s="135"/>
      <c r="ONK193" s="173"/>
      <c r="ONL193" s="173"/>
      <c r="ONM193" s="173"/>
      <c r="ONN193" s="173"/>
      <c r="ONO193" s="173"/>
      <c r="ONP193" s="173"/>
      <c r="ONQ193" s="173"/>
      <c r="ONR193" s="173"/>
      <c r="ONS193" s="173"/>
      <c r="ONT193" s="173"/>
      <c r="ONU193" s="125"/>
      <c r="ONV193" s="125"/>
      <c r="ONW193" s="134"/>
      <c r="ONX193" s="135"/>
      <c r="ONY193" s="135"/>
      <c r="ONZ193" s="135"/>
      <c r="OOA193" s="135"/>
      <c r="OOB193" s="173"/>
      <c r="OOC193" s="173"/>
      <c r="OOD193" s="173"/>
      <c r="OOE193" s="173"/>
      <c r="OOF193" s="173"/>
      <c r="OOG193" s="173"/>
      <c r="OOH193" s="173"/>
      <c r="OOI193" s="173"/>
      <c r="OOJ193" s="173"/>
      <c r="OOK193" s="173"/>
      <c r="OOL193" s="125"/>
      <c r="OOM193" s="125"/>
      <c r="OON193" s="134"/>
      <c r="OOO193" s="135"/>
      <c r="OOP193" s="135"/>
      <c r="OOQ193" s="135"/>
      <c r="OOR193" s="135"/>
      <c r="OOS193" s="173"/>
      <c r="OOT193" s="173"/>
      <c r="OOU193" s="173"/>
      <c r="OOV193" s="173"/>
      <c r="OOW193" s="173"/>
      <c r="OOX193" s="173"/>
      <c r="OOY193" s="173"/>
      <c r="OOZ193" s="173"/>
      <c r="OPA193" s="173"/>
      <c r="OPB193" s="173"/>
      <c r="OPC193" s="125"/>
      <c r="OPD193" s="125"/>
      <c r="OPE193" s="134"/>
      <c r="OPF193" s="135"/>
      <c r="OPG193" s="135"/>
      <c r="OPH193" s="135"/>
      <c r="OPI193" s="135"/>
      <c r="OPJ193" s="173"/>
      <c r="OPK193" s="173"/>
      <c r="OPL193" s="173"/>
      <c r="OPM193" s="173"/>
      <c r="OPN193" s="173"/>
      <c r="OPO193" s="173"/>
      <c r="OPP193" s="173"/>
      <c r="OPQ193" s="173"/>
      <c r="OPR193" s="173"/>
      <c r="OPS193" s="173"/>
      <c r="OPT193" s="125"/>
      <c r="OPU193" s="125"/>
      <c r="OPV193" s="134"/>
      <c r="OPW193" s="135"/>
      <c r="OPX193" s="135"/>
      <c r="OPY193" s="135"/>
      <c r="OPZ193" s="135"/>
      <c r="OQA193" s="173"/>
      <c r="OQB193" s="173"/>
      <c r="OQC193" s="173"/>
      <c r="OQD193" s="173"/>
      <c r="OQE193" s="173"/>
      <c r="OQF193" s="173"/>
      <c r="OQG193" s="173"/>
      <c r="OQH193" s="173"/>
      <c r="OQI193" s="173"/>
      <c r="OQJ193" s="173"/>
      <c r="OQK193" s="125"/>
      <c r="OQL193" s="125"/>
      <c r="OQM193" s="134"/>
      <c r="OQN193" s="135"/>
      <c r="OQO193" s="135"/>
      <c r="OQP193" s="135"/>
      <c r="OQQ193" s="135"/>
      <c r="OQR193" s="173"/>
      <c r="OQS193" s="173"/>
      <c r="OQT193" s="173"/>
      <c r="OQU193" s="173"/>
      <c r="OQV193" s="173"/>
      <c r="OQW193" s="173"/>
      <c r="OQX193" s="173"/>
      <c r="OQY193" s="173"/>
      <c r="OQZ193" s="173"/>
      <c r="ORA193" s="173"/>
      <c r="ORB193" s="125"/>
      <c r="ORC193" s="125"/>
      <c r="ORD193" s="134"/>
      <c r="ORE193" s="135"/>
      <c r="ORF193" s="135"/>
      <c r="ORG193" s="135"/>
      <c r="ORH193" s="135"/>
      <c r="ORI193" s="173"/>
      <c r="ORJ193" s="173"/>
      <c r="ORK193" s="173"/>
      <c r="ORL193" s="173"/>
      <c r="ORM193" s="173"/>
      <c r="ORN193" s="173"/>
      <c r="ORO193" s="173"/>
      <c r="ORP193" s="173"/>
      <c r="ORQ193" s="173"/>
      <c r="ORR193" s="173"/>
      <c r="ORS193" s="125"/>
      <c r="ORT193" s="125"/>
      <c r="ORU193" s="134"/>
      <c r="ORV193" s="135"/>
      <c r="ORW193" s="135"/>
      <c r="ORX193" s="135"/>
      <c r="ORY193" s="135"/>
      <c r="ORZ193" s="173"/>
      <c r="OSA193" s="173"/>
      <c r="OSB193" s="173"/>
      <c r="OSC193" s="173"/>
      <c r="OSD193" s="173"/>
      <c r="OSE193" s="173"/>
      <c r="OSF193" s="173"/>
      <c r="OSG193" s="173"/>
      <c r="OSH193" s="173"/>
      <c r="OSI193" s="173"/>
      <c r="OSJ193" s="125"/>
      <c r="OSK193" s="125"/>
      <c r="OSL193" s="134"/>
      <c r="OSM193" s="135"/>
      <c r="OSN193" s="135"/>
      <c r="OSO193" s="135"/>
      <c r="OSP193" s="135"/>
      <c r="OSQ193" s="173"/>
      <c r="OSR193" s="173"/>
      <c r="OSS193" s="173"/>
      <c r="OST193" s="173"/>
      <c r="OSU193" s="173"/>
      <c r="OSV193" s="173"/>
      <c r="OSW193" s="173"/>
      <c r="OSX193" s="173"/>
      <c r="OSY193" s="173"/>
      <c r="OSZ193" s="173"/>
      <c r="OTA193" s="125"/>
      <c r="OTB193" s="125"/>
      <c r="OTC193" s="134"/>
      <c r="OTD193" s="135"/>
      <c r="OTE193" s="135"/>
      <c r="OTF193" s="135"/>
      <c r="OTG193" s="135"/>
      <c r="OTH193" s="173"/>
      <c r="OTI193" s="173"/>
      <c r="OTJ193" s="173"/>
      <c r="OTK193" s="173"/>
      <c r="OTL193" s="173"/>
      <c r="OTM193" s="173"/>
      <c r="OTN193" s="173"/>
      <c r="OTO193" s="173"/>
      <c r="OTP193" s="173"/>
      <c r="OTQ193" s="173"/>
      <c r="OTR193" s="125"/>
      <c r="OTS193" s="125"/>
      <c r="OTT193" s="134"/>
      <c r="OTU193" s="135"/>
      <c r="OTV193" s="135"/>
      <c r="OTW193" s="135"/>
      <c r="OTX193" s="135"/>
      <c r="OTY193" s="173"/>
      <c r="OTZ193" s="173"/>
      <c r="OUA193" s="173"/>
      <c r="OUB193" s="173"/>
      <c r="OUC193" s="173"/>
      <c r="OUD193" s="173"/>
      <c r="OUE193" s="173"/>
      <c r="OUF193" s="173"/>
      <c r="OUG193" s="173"/>
      <c r="OUH193" s="173"/>
      <c r="OUI193" s="125"/>
      <c r="OUJ193" s="125"/>
      <c r="OUK193" s="134"/>
      <c r="OUL193" s="135"/>
      <c r="OUM193" s="135"/>
      <c r="OUN193" s="135"/>
      <c r="OUO193" s="135"/>
      <c r="OUP193" s="173"/>
      <c r="OUQ193" s="173"/>
      <c r="OUR193" s="173"/>
      <c r="OUS193" s="173"/>
      <c r="OUT193" s="173"/>
      <c r="OUU193" s="173"/>
      <c r="OUV193" s="173"/>
      <c r="OUW193" s="173"/>
      <c r="OUX193" s="173"/>
      <c r="OUY193" s="173"/>
      <c r="OUZ193" s="125"/>
      <c r="OVA193" s="125"/>
      <c r="OVB193" s="134"/>
      <c r="OVC193" s="135"/>
      <c r="OVD193" s="135"/>
      <c r="OVE193" s="135"/>
      <c r="OVF193" s="135"/>
      <c r="OVG193" s="173"/>
      <c r="OVH193" s="173"/>
      <c r="OVI193" s="173"/>
      <c r="OVJ193" s="173"/>
      <c r="OVK193" s="173"/>
      <c r="OVL193" s="173"/>
      <c r="OVM193" s="173"/>
      <c r="OVN193" s="173"/>
      <c r="OVO193" s="173"/>
      <c r="OVP193" s="173"/>
      <c r="OVQ193" s="125"/>
      <c r="OVR193" s="125"/>
      <c r="OVS193" s="134"/>
      <c r="OVT193" s="135"/>
      <c r="OVU193" s="135"/>
      <c r="OVV193" s="135"/>
      <c r="OVW193" s="135"/>
      <c r="OVX193" s="173"/>
      <c r="OVY193" s="173"/>
      <c r="OVZ193" s="173"/>
      <c r="OWA193" s="173"/>
      <c r="OWB193" s="173"/>
      <c r="OWC193" s="173"/>
      <c r="OWD193" s="173"/>
      <c r="OWE193" s="173"/>
      <c r="OWF193" s="173"/>
      <c r="OWG193" s="173"/>
      <c r="OWH193" s="125"/>
      <c r="OWI193" s="125"/>
      <c r="OWJ193" s="134"/>
      <c r="OWK193" s="135"/>
      <c r="OWL193" s="135"/>
      <c r="OWM193" s="135"/>
      <c r="OWN193" s="135"/>
      <c r="OWO193" s="173"/>
      <c r="OWP193" s="173"/>
      <c r="OWQ193" s="173"/>
      <c r="OWR193" s="173"/>
      <c r="OWS193" s="173"/>
      <c r="OWT193" s="173"/>
      <c r="OWU193" s="173"/>
      <c r="OWV193" s="173"/>
      <c r="OWW193" s="173"/>
      <c r="OWX193" s="173"/>
      <c r="OWY193" s="125"/>
      <c r="OWZ193" s="125"/>
      <c r="OXA193" s="134"/>
      <c r="OXB193" s="135"/>
      <c r="OXC193" s="135"/>
      <c r="OXD193" s="135"/>
      <c r="OXE193" s="135"/>
      <c r="OXF193" s="173"/>
      <c r="OXG193" s="173"/>
      <c r="OXH193" s="173"/>
      <c r="OXI193" s="173"/>
      <c r="OXJ193" s="173"/>
      <c r="OXK193" s="173"/>
      <c r="OXL193" s="173"/>
      <c r="OXM193" s="173"/>
      <c r="OXN193" s="173"/>
      <c r="OXO193" s="173"/>
      <c r="OXP193" s="125"/>
      <c r="OXQ193" s="125"/>
      <c r="OXR193" s="134"/>
      <c r="OXS193" s="135"/>
      <c r="OXT193" s="135"/>
      <c r="OXU193" s="135"/>
      <c r="OXV193" s="135"/>
      <c r="OXW193" s="173"/>
      <c r="OXX193" s="173"/>
      <c r="OXY193" s="173"/>
      <c r="OXZ193" s="173"/>
      <c r="OYA193" s="173"/>
      <c r="OYB193" s="173"/>
      <c r="OYC193" s="173"/>
      <c r="OYD193" s="173"/>
      <c r="OYE193" s="173"/>
      <c r="OYF193" s="173"/>
      <c r="OYG193" s="125"/>
      <c r="OYH193" s="125"/>
      <c r="OYI193" s="134"/>
      <c r="OYJ193" s="135"/>
      <c r="OYK193" s="135"/>
      <c r="OYL193" s="135"/>
      <c r="OYM193" s="135"/>
      <c r="OYN193" s="173"/>
      <c r="OYO193" s="173"/>
      <c r="OYP193" s="173"/>
      <c r="OYQ193" s="173"/>
      <c r="OYR193" s="173"/>
      <c r="OYS193" s="173"/>
      <c r="OYT193" s="173"/>
      <c r="OYU193" s="173"/>
      <c r="OYV193" s="173"/>
      <c r="OYW193" s="173"/>
      <c r="OYX193" s="125"/>
      <c r="OYY193" s="125"/>
      <c r="OYZ193" s="134"/>
      <c r="OZA193" s="135"/>
      <c r="OZB193" s="135"/>
      <c r="OZC193" s="135"/>
      <c r="OZD193" s="135"/>
      <c r="OZE193" s="173"/>
      <c r="OZF193" s="173"/>
      <c r="OZG193" s="173"/>
      <c r="OZH193" s="173"/>
      <c r="OZI193" s="173"/>
      <c r="OZJ193" s="173"/>
      <c r="OZK193" s="173"/>
      <c r="OZL193" s="173"/>
      <c r="OZM193" s="173"/>
      <c r="OZN193" s="173"/>
      <c r="OZO193" s="125"/>
      <c r="OZP193" s="125"/>
      <c r="OZQ193" s="134"/>
      <c r="OZR193" s="135"/>
      <c r="OZS193" s="135"/>
      <c r="OZT193" s="135"/>
      <c r="OZU193" s="135"/>
      <c r="OZV193" s="173"/>
      <c r="OZW193" s="173"/>
      <c r="OZX193" s="173"/>
      <c r="OZY193" s="173"/>
      <c r="OZZ193" s="173"/>
      <c r="PAA193" s="173"/>
      <c r="PAB193" s="173"/>
      <c r="PAC193" s="173"/>
      <c r="PAD193" s="173"/>
      <c r="PAE193" s="173"/>
      <c r="PAF193" s="125"/>
      <c r="PAG193" s="125"/>
      <c r="PAH193" s="134"/>
      <c r="PAI193" s="135"/>
      <c r="PAJ193" s="135"/>
      <c r="PAK193" s="135"/>
      <c r="PAL193" s="135"/>
      <c r="PAM193" s="173"/>
      <c r="PAN193" s="173"/>
      <c r="PAO193" s="173"/>
      <c r="PAP193" s="173"/>
      <c r="PAQ193" s="173"/>
      <c r="PAR193" s="173"/>
      <c r="PAS193" s="173"/>
      <c r="PAT193" s="173"/>
      <c r="PAU193" s="173"/>
      <c r="PAV193" s="173"/>
      <c r="PAW193" s="125"/>
      <c r="PAX193" s="125"/>
      <c r="PAY193" s="134"/>
      <c r="PAZ193" s="135"/>
      <c r="PBA193" s="135"/>
      <c r="PBB193" s="135"/>
      <c r="PBC193" s="135"/>
      <c r="PBD193" s="173"/>
      <c r="PBE193" s="173"/>
      <c r="PBF193" s="173"/>
      <c r="PBG193" s="173"/>
      <c r="PBH193" s="173"/>
      <c r="PBI193" s="173"/>
      <c r="PBJ193" s="173"/>
      <c r="PBK193" s="173"/>
      <c r="PBL193" s="173"/>
      <c r="PBM193" s="173"/>
      <c r="PBN193" s="125"/>
      <c r="PBO193" s="125"/>
      <c r="PBP193" s="134"/>
      <c r="PBQ193" s="135"/>
      <c r="PBR193" s="135"/>
      <c r="PBS193" s="135"/>
      <c r="PBT193" s="135"/>
      <c r="PBU193" s="173"/>
      <c r="PBV193" s="173"/>
      <c r="PBW193" s="173"/>
      <c r="PBX193" s="173"/>
      <c r="PBY193" s="173"/>
      <c r="PBZ193" s="173"/>
      <c r="PCA193" s="173"/>
      <c r="PCB193" s="173"/>
      <c r="PCC193" s="173"/>
      <c r="PCD193" s="173"/>
      <c r="PCE193" s="125"/>
      <c r="PCF193" s="125"/>
      <c r="PCG193" s="134"/>
      <c r="PCH193" s="135"/>
      <c r="PCI193" s="135"/>
      <c r="PCJ193" s="135"/>
      <c r="PCK193" s="135"/>
      <c r="PCL193" s="173"/>
      <c r="PCM193" s="173"/>
      <c r="PCN193" s="173"/>
      <c r="PCO193" s="173"/>
      <c r="PCP193" s="173"/>
      <c r="PCQ193" s="173"/>
      <c r="PCR193" s="173"/>
      <c r="PCS193" s="173"/>
      <c r="PCT193" s="173"/>
      <c r="PCU193" s="173"/>
      <c r="PCV193" s="125"/>
      <c r="PCW193" s="125"/>
      <c r="PCX193" s="134"/>
      <c r="PCY193" s="135"/>
      <c r="PCZ193" s="135"/>
      <c r="PDA193" s="135"/>
      <c r="PDB193" s="135"/>
      <c r="PDC193" s="173"/>
      <c r="PDD193" s="173"/>
      <c r="PDE193" s="173"/>
      <c r="PDF193" s="173"/>
      <c r="PDG193" s="173"/>
      <c r="PDH193" s="173"/>
      <c r="PDI193" s="173"/>
      <c r="PDJ193" s="173"/>
      <c r="PDK193" s="173"/>
      <c r="PDL193" s="173"/>
      <c r="PDM193" s="125"/>
      <c r="PDN193" s="125"/>
      <c r="PDO193" s="134"/>
      <c r="PDP193" s="135"/>
      <c r="PDQ193" s="135"/>
      <c r="PDR193" s="135"/>
      <c r="PDS193" s="135"/>
      <c r="PDT193" s="173"/>
      <c r="PDU193" s="173"/>
      <c r="PDV193" s="173"/>
      <c r="PDW193" s="173"/>
      <c r="PDX193" s="173"/>
      <c r="PDY193" s="173"/>
      <c r="PDZ193" s="173"/>
      <c r="PEA193" s="173"/>
      <c r="PEB193" s="173"/>
      <c r="PEC193" s="173"/>
      <c r="PED193" s="125"/>
      <c r="PEE193" s="125"/>
      <c r="PEF193" s="134"/>
      <c r="PEG193" s="135"/>
      <c r="PEH193" s="135"/>
      <c r="PEI193" s="135"/>
      <c r="PEJ193" s="135"/>
      <c r="PEK193" s="173"/>
      <c r="PEL193" s="173"/>
      <c r="PEM193" s="173"/>
      <c r="PEN193" s="173"/>
      <c r="PEO193" s="173"/>
      <c r="PEP193" s="173"/>
      <c r="PEQ193" s="173"/>
      <c r="PER193" s="173"/>
      <c r="PES193" s="173"/>
      <c r="PET193" s="173"/>
      <c r="PEU193" s="125"/>
      <c r="PEV193" s="125"/>
      <c r="PEW193" s="134"/>
      <c r="PEX193" s="135"/>
      <c r="PEY193" s="135"/>
      <c r="PEZ193" s="135"/>
      <c r="PFA193" s="135"/>
      <c r="PFB193" s="173"/>
      <c r="PFC193" s="173"/>
      <c r="PFD193" s="173"/>
      <c r="PFE193" s="173"/>
      <c r="PFF193" s="173"/>
      <c r="PFG193" s="173"/>
      <c r="PFH193" s="173"/>
      <c r="PFI193" s="173"/>
      <c r="PFJ193" s="173"/>
      <c r="PFK193" s="173"/>
      <c r="PFL193" s="125"/>
      <c r="PFM193" s="125"/>
      <c r="PFN193" s="134"/>
      <c r="PFO193" s="135"/>
      <c r="PFP193" s="135"/>
      <c r="PFQ193" s="135"/>
      <c r="PFR193" s="135"/>
      <c r="PFS193" s="173"/>
      <c r="PFT193" s="173"/>
      <c r="PFU193" s="173"/>
      <c r="PFV193" s="173"/>
      <c r="PFW193" s="173"/>
      <c r="PFX193" s="173"/>
      <c r="PFY193" s="173"/>
      <c r="PFZ193" s="173"/>
      <c r="PGA193" s="173"/>
      <c r="PGB193" s="173"/>
      <c r="PGC193" s="125"/>
      <c r="PGD193" s="125"/>
      <c r="PGE193" s="134"/>
      <c r="PGF193" s="135"/>
      <c r="PGG193" s="135"/>
      <c r="PGH193" s="135"/>
      <c r="PGI193" s="135"/>
      <c r="PGJ193" s="173"/>
      <c r="PGK193" s="173"/>
      <c r="PGL193" s="173"/>
      <c r="PGM193" s="173"/>
      <c r="PGN193" s="173"/>
      <c r="PGO193" s="173"/>
      <c r="PGP193" s="173"/>
      <c r="PGQ193" s="173"/>
      <c r="PGR193" s="173"/>
      <c r="PGS193" s="173"/>
      <c r="PGT193" s="125"/>
      <c r="PGU193" s="125"/>
      <c r="PGV193" s="134"/>
      <c r="PGW193" s="135"/>
      <c r="PGX193" s="135"/>
      <c r="PGY193" s="135"/>
      <c r="PGZ193" s="135"/>
      <c r="PHA193" s="173"/>
      <c r="PHB193" s="173"/>
      <c r="PHC193" s="173"/>
      <c r="PHD193" s="173"/>
      <c r="PHE193" s="173"/>
      <c r="PHF193" s="173"/>
      <c r="PHG193" s="173"/>
      <c r="PHH193" s="173"/>
      <c r="PHI193" s="173"/>
      <c r="PHJ193" s="173"/>
      <c r="PHK193" s="125"/>
      <c r="PHL193" s="125"/>
      <c r="PHM193" s="134"/>
      <c r="PHN193" s="135"/>
      <c r="PHO193" s="135"/>
      <c r="PHP193" s="135"/>
      <c r="PHQ193" s="135"/>
      <c r="PHR193" s="173"/>
      <c r="PHS193" s="173"/>
      <c r="PHT193" s="173"/>
      <c r="PHU193" s="173"/>
      <c r="PHV193" s="173"/>
      <c r="PHW193" s="173"/>
      <c r="PHX193" s="173"/>
      <c r="PHY193" s="173"/>
      <c r="PHZ193" s="173"/>
      <c r="PIA193" s="173"/>
      <c r="PIB193" s="125"/>
      <c r="PIC193" s="125"/>
      <c r="PID193" s="134"/>
      <c r="PIE193" s="135"/>
      <c r="PIF193" s="135"/>
      <c r="PIG193" s="135"/>
      <c r="PIH193" s="135"/>
      <c r="PII193" s="173"/>
      <c r="PIJ193" s="173"/>
      <c r="PIK193" s="173"/>
      <c r="PIL193" s="173"/>
      <c r="PIM193" s="173"/>
      <c r="PIN193" s="173"/>
      <c r="PIO193" s="173"/>
      <c r="PIP193" s="173"/>
      <c r="PIQ193" s="173"/>
      <c r="PIR193" s="173"/>
      <c r="PIS193" s="125"/>
      <c r="PIT193" s="125"/>
      <c r="PIU193" s="134"/>
      <c r="PIV193" s="135"/>
      <c r="PIW193" s="135"/>
      <c r="PIX193" s="135"/>
      <c r="PIY193" s="135"/>
      <c r="PIZ193" s="173"/>
      <c r="PJA193" s="173"/>
      <c r="PJB193" s="173"/>
      <c r="PJC193" s="173"/>
      <c r="PJD193" s="173"/>
      <c r="PJE193" s="173"/>
      <c r="PJF193" s="173"/>
      <c r="PJG193" s="173"/>
      <c r="PJH193" s="173"/>
      <c r="PJI193" s="173"/>
      <c r="PJJ193" s="125"/>
      <c r="PJK193" s="125"/>
      <c r="PJL193" s="134"/>
      <c r="PJM193" s="135"/>
      <c r="PJN193" s="135"/>
      <c r="PJO193" s="135"/>
      <c r="PJP193" s="135"/>
      <c r="PJQ193" s="173"/>
      <c r="PJR193" s="173"/>
      <c r="PJS193" s="173"/>
      <c r="PJT193" s="173"/>
      <c r="PJU193" s="173"/>
      <c r="PJV193" s="173"/>
      <c r="PJW193" s="173"/>
      <c r="PJX193" s="173"/>
      <c r="PJY193" s="173"/>
      <c r="PJZ193" s="173"/>
      <c r="PKA193" s="125"/>
      <c r="PKB193" s="125"/>
      <c r="PKC193" s="134"/>
      <c r="PKD193" s="135"/>
      <c r="PKE193" s="135"/>
      <c r="PKF193" s="135"/>
      <c r="PKG193" s="135"/>
      <c r="PKH193" s="173"/>
      <c r="PKI193" s="173"/>
      <c r="PKJ193" s="173"/>
      <c r="PKK193" s="173"/>
      <c r="PKL193" s="173"/>
      <c r="PKM193" s="173"/>
      <c r="PKN193" s="173"/>
      <c r="PKO193" s="173"/>
      <c r="PKP193" s="173"/>
      <c r="PKQ193" s="173"/>
      <c r="PKR193" s="125"/>
      <c r="PKS193" s="125"/>
      <c r="PKT193" s="134"/>
      <c r="PKU193" s="135"/>
      <c r="PKV193" s="135"/>
      <c r="PKW193" s="135"/>
      <c r="PKX193" s="135"/>
      <c r="PKY193" s="173"/>
      <c r="PKZ193" s="173"/>
      <c r="PLA193" s="173"/>
      <c r="PLB193" s="173"/>
      <c r="PLC193" s="173"/>
      <c r="PLD193" s="173"/>
      <c r="PLE193" s="173"/>
      <c r="PLF193" s="173"/>
      <c r="PLG193" s="173"/>
      <c r="PLH193" s="173"/>
      <c r="PLI193" s="125"/>
      <c r="PLJ193" s="125"/>
      <c r="PLK193" s="134"/>
      <c r="PLL193" s="135"/>
      <c r="PLM193" s="135"/>
      <c r="PLN193" s="135"/>
      <c r="PLO193" s="135"/>
      <c r="PLP193" s="173"/>
      <c r="PLQ193" s="173"/>
      <c r="PLR193" s="173"/>
      <c r="PLS193" s="173"/>
      <c r="PLT193" s="173"/>
      <c r="PLU193" s="173"/>
      <c r="PLV193" s="173"/>
      <c r="PLW193" s="173"/>
      <c r="PLX193" s="173"/>
      <c r="PLY193" s="173"/>
      <c r="PLZ193" s="125"/>
      <c r="PMA193" s="125"/>
      <c r="PMB193" s="134"/>
      <c r="PMC193" s="135"/>
      <c r="PMD193" s="135"/>
      <c r="PME193" s="135"/>
      <c r="PMF193" s="135"/>
      <c r="PMG193" s="173"/>
      <c r="PMH193" s="173"/>
      <c r="PMI193" s="173"/>
      <c r="PMJ193" s="173"/>
      <c r="PMK193" s="173"/>
      <c r="PML193" s="173"/>
      <c r="PMM193" s="173"/>
      <c r="PMN193" s="173"/>
      <c r="PMO193" s="173"/>
      <c r="PMP193" s="173"/>
      <c r="PMQ193" s="125"/>
      <c r="PMR193" s="125"/>
      <c r="PMS193" s="134"/>
      <c r="PMT193" s="135"/>
      <c r="PMU193" s="135"/>
      <c r="PMV193" s="135"/>
      <c r="PMW193" s="135"/>
      <c r="PMX193" s="173"/>
      <c r="PMY193" s="173"/>
      <c r="PMZ193" s="173"/>
      <c r="PNA193" s="173"/>
      <c r="PNB193" s="173"/>
      <c r="PNC193" s="173"/>
      <c r="PND193" s="173"/>
      <c r="PNE193" s="173"/>
      <c r="PNF193" s="173"/>
      <c r="PNG193" s="173"/>
      <c r="PNH193" s="125"/>
      <c r="PNI193" s="125"/>
      <c r="PNJ193" s="134"/>
      <c r="PNK193" s="135"/>
      <c r="PNL193" s="135"/>
      <c r="PNM193" s="135"/>
      <c r="PNN193" s="135"/>
      <c r="PNO193" s="173"/>
      <c r="PNP193" s="173"/>
      <c r="PNQ193" s="173"/>
      <c r="PNR193" s="173"/>
      <c r="PNS193" s="173"/>
      <c r="PNT193" s="173"/>
      <c r="PNU193" s="173"/>
      <c r="PNV193" s="173"/>
      <c r="PNW193" s="173"/>
      <c r="PNX193" s="173"/>
      <c r="PNY193" s="125"/>
      <c r="PNZ193" s="125"/>
      <c r="POA193" s="134"/>
      <c r="POB193" s="135"/>
      <c r="POC193" s="135"/>
      <c r="POD193" s="135"/>
      <c r="POE193" s="135"/>
      <c r="POF193" s="173"/>
      <c r="POG193" s="173"/>
      <c r="POH193" s="173"/>
      <c r="POI193" s="173"/>
      <c r="POJ193" s="173"/>
      <c r="POK193" s="173"/>
      <c r="POL193" s="173"/>
      <c r="POM193" s="173"/>
      <c r="PON193" s="173"/>
      <c r="POO193" s="173"/>
      <c r="POP193" s="125"/>
      <c r="POQ193" s="125"/>
      <c r="POR193" s="134"/>
      <c r="POS193" s="135"/>
      <c r="POT193" s="135"/>
      <c r="POU193" s="135"/>
      <c r="POV193" s="135"/>
      <c r="POW193" s="173"/>
      <c r="POX193" s="173"/>
      <c r="POY193" s="173"/>
      <c r="POZ193" s="173"/>
      <c r="PPA193" s="173"/>
      <c r="PPB193" s="173"/>
      <c r="PPC193" s="173"/>
      <c r="PPD193" s="173"/>
      <c r="PPE193" s="173"/>
      <c r="PPF193" s="173"/>
      <c r="PPG193" s="125"/>
      <c r="PPH193" s="125"/>
      <c r="PPI193" s="134"/>
      <c r="PPJ193" s="135"/>
      <c r="PPK193" s="135"/>
      <c r="PPL193" s="135"/>
      <c r="PPM193" s="135"/>
      <c r="PPN193" s="173"/>
      <c r="PPO193" s="173"/>
      <c r="PPP193" s="173"/>
      <c r="PPQ193" s="173"/>
      <c r="PPR193" s="173"/>
      <c r="PPS193" s="173"/>
      <c r="PPT193" s="173"/>
      <c r="PPU193" s="173"/>
      <c r="PPV193" s="173"/>
      <c r="PPW193" s="173"/>
      <c r="PPX193" s="125"/>
      <c r="PPY193" s="125"/>
      <c r="PPZ193" s="134"/>
      <c r="PQA193" s="135"/>
      <c r="PQB193" s="135"/>
      <c r="PQC193" s="135"/>
      <c r="PQD193" s="135"/>
      <c r="PQE193" s="173"/>
      <c r="PQF193" s="173"/>
      <c r="PQG193" s="173"/>
      <c r="PQH193" s="173"/>
      <c r="PQI193" s="173"/>
      <c r="PQJ193" s="173"/>
      <c r="PQK193" s="173"/>
      <c r="PQL193" s="173"/>
      <c r="PQM193" s="173"/>
      <c r="PQN193" s="173"/>
      <c r="PQO193" s="125"/>
      <c r="PQP193" s="125"/>
      <c r="PQQ193" s="134"/>
      <c r="PQR193" s="135"/>
      <c r="PQS193" s="135"/>
      <c r="PQT193" s="135"/>
      <c r="PQU193" s="135"/>
      <c r="PQV193" s="173"/>
      <c r="PQW193" s="173"/>
      <c r="PQX193" s="173"/>
      <c r="PQY193" s="173"/>
      <c r="PQZ193" s="173"/>
      <c r="PRA193" s="173"/>
      <c r="PRB193" s="173"/>
      <c r="PRC193" s="173"/>
      <c r="PRD193" s="173"/>
      <c r="PRE193" s="173"/>
      <c r="PRF193" s="125"/>
      <c r="PRG193" s="125"/>
      <c r="PRH193" s="134"/>
      <c r="PRI193" s="135"/>
      <c r="PRJ193" s="135"/>
      <c r="PRK193" s="135"/>
      <c r="PRL193" s="135"/>
      <c r="PRM193" s="173"/>
      <c r="PRN193" s="173"/>
      <c r="PRO193" s="173"/>
      <c r="PRP193" s="173"/>
      <c r="PRQ193" s="173"/>
      <c r="PRR193" s="173"/>
      <c r="PRS193" s="173"/>
      <c r="PRT193" s="173"/>
      <c r="PRU193" s="173"/>
      <c r="PRV193" s="173"/>
      <c r="PRW193" s="125"/>
      <c r="PRX193" s="125"/>
      <c r="PRY193" s="134"/>
      <c r="PRZ193" s="135"/>
      <c r="PSA193" s="135"/>
      <c r="PSB193" s="135"/>
      <c r="PSC193" s="135"/>
      <c r="PSD193" s="173"/>
      <c r="PSE193" s="173"/>
      <c r="PSF193" s="173"/>
      <c r="PSG193" s="173"/>
      <c r="PSH193" s="173"/>
      <c r="PSI193" s="173"/>
      <c r="PSJ193" s="173"/>
      <c r="PSK193" s="173"/>
      <c r="PSL193" s="173"/>
      <c r="PSM193" s="173"/>
      <c r="PSN193" s="125"/>
      <c r="PSO193" s="125"/>
      <c r="PSP193" s="134"/>
      <c r="PSQ193" s="135"/>
      <c r="PSR193" s="135"/>
      <c r="PSS193" s="135"/>
      <c r="PST193" s="135"/>
      <c r="PSU193" s="173"/>
      <c r="PSV193" s="173"/>
      <c r="PSW193" s="173"/>
      <c r="PSX193" s="173"/>
      <c r="PSY193" s="173"/>
      <c r="PSZ193" s="173"/>
      <c r="PTA193" s="173"/>
      <c r="PTB193" s="173"/>
      <c r="PTC193" s="173"/>
      <c r="PTD193" s="173"/>
      <c r="PTE193" s="125"/>
      <c r="PTF193" s="125"/>
      <c r="PTG193" s="134"/>
      <c r="PTH193" s="135"/>
      <c r="PTI193" s="135"/>
      <c r="PTJ193" s="135"/>
      <c r="PTK193" s="135"/>
      <c r="PTL193" s="173"/>
      <c r="PTM193" s="173"/>
      <c r="PTN193" s="173"/>
      <c r="PTO193" s="173"/>
      <c r="PTP193" s="173"/>
      <c r="PTQ193" s="173"/>
      <c r="PTR193" s="173"/>
      <c r="PTS193" s="173"/>
      <c r="PTT193" s="173"/>
      <c r="PTU193" s="173"/>
      <c r="PTV193" s="125"/>
      <c r="PTW193" s="125"/>
      <c r="PTX193" s="134"/>
      <c r="PTY193" s="135"/>
      <c r="PTZ193" s="135"/>
      <c r="PUA193" s="135"/>
      <c r="PUB193" s="135"/>
      <c r="PUC193" s="173"/>
      <c r="PUD193" s="173"/>
      <c r="PUE193" s="173"/>
      <c r="PUF193" s="173"/>
      <c r="PUG193" s="173"/>
      <c r="PUH193" s="173"/>
      <c r="PUI193" s="173"/>
      <c r="PUJ193" s="173"/>
      <c r="PUK193" s="173"/>
      <c r="PUL193" s="173"/>
      <c r="PUM193" s="125"/>
      <c r="PUN193" s="125"/>
      <c r="PUO193" s="134"/>
      <c r="PUP193" s="135"/>
      <c r="PUQ193" s="135"/>
      <c r="PUR193" s="135"/>
      <c r="PUS193" s="135"/>
      <c r="PUT193" s="173"/>
      <c r="PUU193" s="173"/>
      <c r="PUV193" s="173"/>
      <c r="PUW193" s="173"/>
      <c r="PUX193" s="173"/>
      <c r="PUY193" s="173"/>
      <c r="PUZ193" s="173"/>
      <c r="PVA193" s="173"/>
      <c r="PVB193" s="173"/>
      <c r="PVC193" s="173"/>
      <c r="PVD193" s="125"/>
      <c r="PVE193" s="125"/>
      <c r="PVF193" s="134"/>
      <c r="PVG193" s="135"/>
      <c r="PVH193" s="135"/>
      <c r="PVI193" s="135"/>
      <c r="PVJ193" s="135"/>
      <c r="PVK193" s="173"/>
      <c r="PVL193" s="173"/>
      <c r="PVM193" s="173"/>
      <c r="PVN193" s="173"/>
      <c r="PVO193" s="173"/>
      <c r="PVP193" s="173"/>
      <c r="PVQ193" s="173"/>
      <c r="PVR193" s="173"/>
      <c r="PVS193" s="173"/>
      <c r="PVT193" s="173"/>
      <c r="PVU193" s="125"/>
      <c r="PVV193" s="125"/>
      <c r="PVW193" s="134"/>
      <c r="PVX193" s="135"/>
      <c r="PVY193" s="135"/>
      <c r="PVZ193" s="135"/>
      <c r="PWA193" s="135"/>
      <c r="PWB193" s="173"/>
      <c r="PWC193" s="173"/>
      <c r="PWD193" s="173"/>
      <c r="PWE193" s="173"/>
      <c r="PWF193" s="173"/>
      <c r="PWG193" s="173"/>
      <c r="PWH193" s="173"/>
      <c r="PWI193" s="173"/>
      <c r="PWJ193" s="173"/>
      <c r="PWK193" s="173"/>
      <c r="PWL193" s="125"/>
      <c r="PWM193" s="125"/>
      <c r="PWN193" s="134"/>
      <c r="PWO193" s="135"/>
      <c r="PWP193" s="135"/>
      <c r="PWQ193" s="135"/>
      <c r="PWR193" s="135"/>
      <c r="PWS193" s="173"/>
      <c r="PWT193" s="173"/>
      <c r="PWU193" s="173"/>
      <c r="PWV193" s="173"/>
      <c r="PWW193" s="173"/>
      <c r="PWX193" s="173"/>
      <c r="PWY193" s="173"/>
      <c r="PWZ193" s="173"/>
      <c r="PXA193" s="173"/>
      <c r="PXB193" s="173"/>
      <c r="PXC193" s="125"/>
      <c r="PXD193" s="125"/>
      <c r="PXE193" s="134"/>
      <c r="PXF193" s="135"/>
      <c r="PXG193" s="135"/>
      <c r="PXH193" s="135"/>
      <c r="PXI193" s="135"/>
      <c r="PXJ193" s="173"/>
      <c r="PXK193" s="173"/>
      <c r="PXL193" s="173"/>
      <c r="PXM193" s="173"/>
      <c r="PXN193" s="173"/>
      <c r="PXO193" s="173"/>
      <c r="PXP193" s="173"/>
      <c r="PXQ193" s="173"/>
      <c r="PXR193" s="173"/>
      <c r="PXS193" s="173"/>
      <c r="PXT193" s="125"/>
      <c r="PXU193" s="125"/>
      <c r="PXV193" s="134"/>
      <c r="PXW193" s="135"/>
      <c r="PXX193" s="135"/>
      <c r="PXY193" s="135"/>
      <c r="PXZ193" s="135"/>
      <c r="PYA193" s="173"/>
      <c r="PYB193" s="173"/>
      <c r="PYC193" s="173"/>
      <c r="PYD193" s="173"/>
      <c r="PYE193" s="173"/>
      <c r="PYF193" s="173"/>
      <c r="PYG193" s="173"/>
      <c r="PYH193" s="173"/>
      <c r="PYI193" s="173"/>
      <c r="PYJ193" s="173"/>
      <c r="PYK193" s="125"/>
      <c r="PYL193" s="125"/>
      <c r="PYM193" s="134"/>
      <c r="PYN193" s="135"/>
      <c r="PYO193" s="135"/>
      <c r="PYP193" s="135"/>
      <c r="PYQ193" s="135"/>
      <c r="PYR193" s="173"/>
      <c r="PYS193" s="173"/>
      <c r="PYT193" s="173"/>
      <c r="PYU193" s="173"/>
      <c r="PYV193" s="173"/>
      <c r="PYW193" s="173"/>
      <c r="PYX193" s="173"/>
      <c r="PYY193" s="173"/>
      <c r="PYZ193" s="173"/>
      <c r="PZA193" s="173"/>
      <c r="PZB193" s="125"/>
      <c r="PZC193" s="125"/>
      <c r="PZD193" s="134"/>
      <c r="PZE193" s="135"/>
      <c r="PZF193" s="135"/>
      <c r="PZG193" s="135"/>
      <c r="PZH193" s="135"/>
      <c r="PZI193" s="173"/>
      <c r="PZJ193" s="173"/>
      <c r="PZK193" s="173"/>
      <c r="PZL193" s="173"/>
      <c r="PZM193" s="173"/>
      <c r="PZN193" s="173"/>
      <c r="PZO193" s="173"/>
      <c r="PZP193" s="173"/>
      <c r="PZQ193" s="173"/>
      <c r="PZR193" s="173"/>
      <c r="PZS193" s="125"/>
      <c r="PZT193" s="125"/>
      <c r="PZU193" s="134"/>
      <c r="PZV193" s="135"/>
      <c r="PZW193" s="135"/>
      <c r="PZX193" s="135"/>
      <c r="PZY193" s="135"/>
      <c r="PZZ193" s="173"/>
      <c r="QAA193" s="173"/>
      <c r="QAB193" s="173"/>
      <c r="QAC193" s="173"/>
      <c r="QAD193" s="173"/>
      <c r="QAE193" s="173"/>
      <c r="QAF193" s="173"/>
      <c r="QAG193" s="173"/>
      <c r="QAH193" s="173"/>
      <c r="QAI193" s="173"/>
      <c r="QAJ193" s="125"/>
      <c r="QAK193" s="125"/>
      <c r="QAL193" s="134"/>
      <c r="QAM193" s="135"/>
      <c r="QAN193" s="135"/>
      <c r="QAO193" s="135"/>
      <c r="QAP193" s="135"/>
      <c r="QAQ193" s="173"/>
      <c r="QAR193" s="173"/>
      <c r="QAS193" s="173"/>
      <c r="QAT193" s="173"/>
      <c r="QAU193" s="173"/>
      <c r="QAV193" s="173"/>
      <c r="QAW193" s="173"/>
      <c r="QAX193" s="173"/>
      <c r="QAY193" s="173"/>
      <c r="QAZ193" s="173"/>
      <c r="QBA193" s="125"/>
      <c r="QBB193" s="125"/>
      <c r="QBC193" s="134"/>
      <c r="QBD193" s="135"/>
      <c r="QBE193" s="135"/>
      <c r="QBF193" s="135"/>
      <c r="QBG193" s="135"/>
      <c r="QBH193" s="173"/>
      <c r="QBI193" s="173"/>
      <c r="QBJ193" s="173"/>
      <c r="QBK193" s="173"/>
      <c r="QBL193" s="173"/>
      <c r="QBM193" s="173"/>
      <c r="QBN193" s="173"/>
      <c r="QBO193" s="173"/>
      <c r="QBP193" s="173"/>
      <c r="QBQ193" s="173"/>
      <c r="QBR193" s="125"/>
      <c r="QBS193" s="125"/>
      <c r="QBT193" s="134"/>
      <c r="QBU193" s="135"/>
      <c r="QBV193" s="135"/>
      <c r="QBW193" s="135"/>
      <c r="QBX193" s="135"/>
      <c r="QBY193" s="173"/>
      <c r="QBZ193" s="173"/>
      <c r="QCA193" s="173"/>
      <c r="QCB193" s="173"/>
      <c r="QCC193" s="173"/>
      <c r="QCD193" s="173"/>
      <c r="QCE193" s="173"/>
      <c r="QCF193" s="173"/>
      <c r="QCG193" s="173"/>
      <c r="QCH193" s="173"/>
      <c r="QCI193" s="125"/>
      <c r="QCJ193" s="125"/>
      <c r="QCK193" s="134"/>
      <c r="QCL193" s="135"/>
      <c r="QCM193" s="135"/>
      <c r="QCN193" s="135"/>
      <c r="QCO193" s="135"/>
      <c r="QCP193" s="173"/>
      <c r="QCQ193" s="173"/>
      <c r="QCR193" s="173"/>
      <c r="QCS193" s="173"/>
      <c r="QCT193" s="173"/>
      <c r="QCU193" s="173"/>
      <c r="QCV193" s="173"/>
      <c r="QCW193" s="173"/>
      <c r="QCX193" s="173"/>
      <c r="QCY193" s="173"/>
      <c r="QCZ193" s="125"/>
      <c r="QDA193" s="125"/>
      <c r="QDB193" s="134"/>
      <c r="QDC193" s="135"/>
      <c r="QDD193" s="135"/>
      <c r="QDE193" s="135"/>
      <c r="QDF193" s="135"/>
      <c r="QDG193" s="173"/>
      <c r="QDH193" s="173"/>
      <c r="QDI193" s="173"/>
      <c r="QDJ193" s="173"/>
      <c r="QDK193" s="173"/>
      <c r="QDL193" s="173"/>
      <c r="QDM193" s="173"/>
      <c r="QDN193" s="173"/>
      <c r="QDO193" s="173"/>
      <c r="QDP193" s="173"/>
      <c r="QDQ193" s="125"/>
      <c r="QDR193" s="125"/>
      <c r="QDS193" s="134"/>
      <c r="QDT193" s="135"/>
      <c r="QDU193" s="135"/>
      <c r="QDV193" s="135"/>
      <c r="QDW193" s="135"/>
      <c r="QDX193" s="173"/>
      <c r="QDY193" s="173"/>
      <c r="QDZ193" s="173"/>
      <c r="QEA193" s="173"/>
      <c r="QEB193" s="173"/>
      <c r="QEC193" s="173"/>
      <c r="QED193" s="173"/>
      <c r="QEE193" s="173"/>
      <c r="QEF193" s="173"/>
      <c r="QEG193" s="173"/>
      <c r="QEH193" s="125"/>
      <c r="QEI193" s="125"/>
      <c r="QEJ193" s="134"/>
      <c r="QEK193" s="135"/>
      <c r="QEL193" s="135"/>
      <c r="QEM193" s="135"/>
      <c r="QEN193" s="135"/>
      <c r="QEO193" s="173"/>
      <c r="QEP193" s="173"/>
      <c r="QEQ193" s="173"/>
      <c r="QER193" s="173"/>
      <c r="QES193" s="173"/>
      <c r="QET193" s="173"/>
      <c r="QEU193" s="173"/>
      <c r="QEV193" s="173"/>
      <c r="QEW193" s="173"/>
      <c r="QEX193" s="173"/>
      <c r="QEY193" s="125"/>
      <c r="QEZ193" s="125"/>
      <c r="QFA193" s="134"/>
      <c r="QFB193" s="135"/>
      <c r="QFC193" s="135"/>
      <c r="QFD193" s="135"/>
      <c r="QFE193" s="135"/>
      <c r="QFF193" s="173"/>
      <c r="QFG193" s="173"/>
      <c r="QFH193" s="173"/>
      <c r="QFI193" s="173"/>
      <c r="QFJ193" s="173"/>
      <c r="QFK193" s="173"/>
      <c r="QFL193" s="173"/>
      <c r="QFM193" s="173"/>
      <c r="QFN193" s="173"/>
      <c r="QFO193" s="173"/>
      <c r="QFP193" s="125"/>
      <c r="QFQ193" s="125"/>
      <c r="QFR193" s="134"/>
      <c r="QFS193" s="135"/>
      <c r="QFT193" s="135"/>
      <c r="QFU193" s="135"/>
      <c r="QFV193" s="135"/>
      <c r="QFW193" s="173"/>
      <c r="QFX193" s="173"/>
      <c r="QFY193" s="173"/>
      <c r="QFZ193" s="173"/>
      <c r="QGA193" s="173"/>
      <c r="QGB193" s="173"/>
      <c r="QGC193" s="173"/>
      <c r="QGD193" s="173"/>
      <c r="QGE193" s="173"/>
      <c r="QGF193" s="173"/>
      <c r="QGG193" s="125"/>
      <c r="QGH193" s="125"/>
      <c r="QGI193" s="134"/>
      <c r="QGJ193" s="135"/>
      <c r="QGK193" s="135"/>
      <c r="QGL193" s="135"/>
      <c r="QGM193" s="135"/>
      <c r="QGN193" s="173"/>
      <c r="QGO193" s="173"/>
      <c r="QGP193" s="173"/>
      <c r="QGQ193" s="173"/>
      <c r="QGR193" s="173"/>
      <c r="QGS193" s="173"/>
      <c r="QGT193" s="173"/>
      <c r="QGU193" s="173"/>
      <c r="QGV193" s="173"/>
      <c r="QGW193" s="173"/>
      <c r="QGX193" s="125"/>
      <c r="QGY193" s="125"/>
      <c r="QGZ193" s="134"/>
      <c r="QHA193" s="135"/>
      <c r="QHB193" s="135"/>
      <c r="QHC193" s="135"/>
      <c r="QHD193" s="135"/>
      <c r="QHE193" s="173"/>
      <c r="QHF193" s="173"/>
      <c r="QHG193" s="173"/>
      <c r="QHH193" s="173"/>
      <c r="QHI193" s="173"/>
      <c r="QHJ193" s="173"/>
      <c r="QHK193" s="173"/>
      <c r="QHL193" s="173"/>
      <c r="QHM193" s="173"/>
      <c r="QHN193" s="173"/>
      <c r="QHO193" s="125"/>
      <c r="QHP193" s="125"/>
      <c r="QHQ193" s="134"/>
      <c r="QHR193" s="135"/>
      <c r="QHS193" s="135"/>
      <c r="QHT193" s="135"/>
      <c r="QHU193" s="135"/>
      <c r="QHV193" s="173"/>
      <c r="QHW193" s="173"/>
      <c r="QHX193" s="173"/>
      <c r="QHY193" s="173"/>
      <c r="QHZ193" s="173"/>
      <c r="QIA193" s="173"/>
      <c r="QIB193" s="173"/>
      <c r="QIC193" s="173"/>
      <c r="QID193" s="173"/>
      <c r="QIE193" s="173"/>
      <c r="QIF193" s="125"/>
      <c r="QIG193" s="125"/>
      <c r="QIH193" s="134"/>
      <c r="QII193" s="135"/>
      <c r="QIJ193" s="135"/>
      <c r="QIK193" s="135"/>
      <c r="QIL193" s="135"/>
      <c r="QIM193" s="173"/>
      <c r="QIN193" s="173"/>
      <c r="QIO193" s="173"/>
      <c r="QIP193" s="173"/>
      <c r="QIQ193" s="173"/>
      <c r="QIR193" s="173"/>
      <c r="QIS193" s="173"/>
      <c r="QIT193" s="173"/>
      <c r="QIU193" s="173"/>
      <c r="QIV193" s="173"/>
      <c r="QIW193" s="125"/>
      <c r="QIX193" s="125"/>
      <c r="QIY193" s="134"/>
      <c r="QIZ193" s="135"/>
      <c r="QJA193" s="135"/>
      <c r="QJB193" s="135"/>
      <c r="QJC193" s="135"/>
      <c r="QJD193" s="173"/>
      <c r="QJE193" s="173"/>
      <c r="QJF193" s="173"/>
      <c r="QJG193" s="173"/>
      <c r="QJH193" s="173"/>
      <c r="QJI193" s="173"/>
      <c r="QJJ193" s="173"/>
      <c r="QJK193" s="173"/>
      <c r="QJL193" s="173"/>
      <c r="QJM193" s="173"/>
      <c r="QJN193" s="125"/>
      <c r="QJO193" s="125"/>
      <c r="QJP193" s="134"/>
      <c r="QJQ193" s="135"/>
      <c r="QJR193" s="135"/>
      <c r="QJS193" s="135"/>
      <c r="QJT193" s="135"/>
      <c r="QJU193" s="173"/>
      <c r="QJV193" s="173"/>
      <c r="QJW193" s="173"/>
      <c r="QJX193" s="173"/>
      <c r="QJY193" s="173"/>
      <c r="QJZ193" s="173"/>
      <c r="QKA193" s="173"/>
      <c r="QKB193" s="173"/>
      <c r="QKC193" s="173"/>
      <c r="QKD193" s="173"/>
      <c r="QKE193" s="125"/>
      <c r="QKF193" s="125"/>
      <c r="QKG193" s="134"/>
      <c r="QKH193" s="135"/>
      <c r="QKI193" s="135"/>
      <c r="QKJ193" s="135"/>
      <c r="QKK193" s="135"/>
      <c r="QKL193" s="173"/>
      <c r="QKM193" s="173"/>
      <c r="QKN193" s="173"/>
      <c r="QKO193" s="173"/>
      <c r="QKP193" s="173"/>
      <c r="QKQ193" s="173"/>
      <c r="QKR193" s="173"/>
      <c r="QKS193" s="173"/>
      <c r="QKT193" s="173"/>
      <c r="QKU193" s="173"/>
      <c r="QKV193" s="125"/>
      <c r="QKW193" s="125"/>
      <c r="QKX193" s="134"/>
      <c r="QKY193" s="135"/>
      <c r="QKZ193" s="135"/>
      <c r="QLA193" s="135"/>
      <c r="QLB193" s="135"/>
      <c r="QLC193" s="173"/>
      <c r="QLD193" s="173"/>
      <c r="QLE193" s="173"/>
      <c r="QLF193" s="173"/>
      <c r="QLG193" s="173"/>
      <c r="QLH193" s="173"/>
      <c r="QLI193" s="173"/>
      <c r="QLJ193" s="173"/>
      <c r="QLK193" s="173"/>
      <c r="QLL193" s="173"/>
      <c r="QLM193" s="125"/>
      <c r="QLN193" s="125"/>
      <c r="QLO193" s="134"/>
      <c r="QLP193" s="135"/>
      <c r="QLQ193" s="135"/>
      <c r="QLR193" s="135"/>
      <c r="QLS193" s="135"/>
      <c r="QLT193" s="173"/>
      <c r="QLU193" s="173"/>
      <c r="QLV193" s="173"/>
      <c r="QLW193" s="173"/>
      <c r="QLX193" s="173"/>
      <c r="QLY193" s="173"/>
      <c r="QLZ193" s="173"/>
      <c r="QMA193" s="173"/>
      <c r="QMB193" s="173"/>
      <c r="QMC193" s="173"/>
      <c r="QMD193" s="125"/>
      <c r="QME193" s="125"/>
      <c r="QMF193" s="134"/>
      <c r="QMG193" s="135"/>
      <c r="QMH193" s="135"/>
      <c r="QMI193" s="135"/>
      <c r="QMJ193" s="135"/>
      <c r="QMK193" s="173"/>
      <c r="QML193" s="173"/>
      <c r="QMM193" s="173"/>
      <c r="QMN193" s="173"/>
      <c r="QMO193" s="173"/>
      <c r="QMP193" s="173"/>
      <c r="QMQ193" s="173"/>
      <c r="QMR193" s="173"/>
      <c r="QMS193" s="173"/>
      <c r="QMT193" s="173"/>
      <c r="QMU193" s="125"/>
      <c r="QMV193" s="125"/>
      <c r="QMW193" s="134"/>
      <c r="QMX193" s="135"/>
      <c r="QMY193" s="135"/>
      <c r="QMZ193" s="135"/>
      <c r="QNA193" s="135"/>
      <c r="QNB193" s="173"/>
      <c r="QNC193" s="173"/>
      <c r="QND193" s="173"/>
      <c r="QNE193" s="173"/>
      <c r="QNF193" s="173"/>
      <c r="QNG193" s="173"/>
      <c r="QNH193" s="173"/>
      <c r="QNI193" s="173"/>
      <c r="QNJ193" s="173"/>
      <c r="QNK193" s="173"/>
      <c r="QNL193" s="125"/>
      <c r="QNM193" s="125"/>
      <c r="QNN193" s="134"/>
      <c r="QNO193" s="135"/>
      <c r="QNP193" s="135"/>
      <c r="QNQ193" s="135"/>
      <c r="QNR193" s="135"/>
      <c r="QNS193" s="173"/>
      <c r="QNT193" s="173"/>
      <c r="QNU193" s="173"/>
      <c r="QNV193" s="173"/>
      <c r="QNW193" s="173"/>
      <c r="QNX193" s="173"/>
      <c r="QNY193" s="173"/>
      <c r="QNZ193" s="173"/>
      <c r="QOA193" s="173"/>
      <c r="QOB193" s="173"/>
      <c r="QOC193" s="125"/>
      <c r="QOD193" s="125"/>
      <c r="QOE193" s="134"/>
      <c r="QOF193" s="135"/>
      <c r="QOG193" s="135"/>
      <c r="QOH193" s="135"/>
      <c r="QOI193" s="135"/>
      <c r="QOJ193" s="173"/>
      <c r="QOK193" s="173"/>
      <c r="QOL193" s="173"/>
      <c r="QOM193" s="173"/>
      <c r="QON193" s="173"/>
      <c r="QOO193" s="173"/>
      <c r="QOP193" s="173"/>
      <c r="QOQ193" s="173"/>
      <c r="QOR193" s="173"/>
      <c r="QOS193" s="173"/>
      <c r="QOT193" s="125"/>
      <c r="QOU193" s="125"/>
      <c r="QOV193" s="134"/>
      <c r="QOW193" s="135"/>
      <c r="QOX193" s="135"/>
      <c r="QOY193" s="135"/>
      <c r="QOZ193" s="135"/>
      <c r="QPA193" s="173"/>
      <c r="QPB193" s="173"/>
      <c r="QPC193" s="173"/>
      <c r="QPD193" s="173"/>
      <c r="QPE193" s="173"/>
      <c r="QPF193" s="173"/>
      <c r="QPG193" s="173"/>
      <c r="QPH193" s="173"/>
      <c r="QPI193" s="173"/>
      <c r="QPJ193" s="173"/>
      <c r="QPK193" s="125"/>
      <c r="QPL193" s="125"/>
      <c r="QPM193" s="134"/>
      <c r="QPN193" s="135"/>
      <c r="QPO193" s="135"/>
      <c r="QPP193" s="135"/>
      <c r="QPQ193" s="135"/>
      <c r="QPR193" s="173"/>
      <c r="QPS193" s="173"/>
      <c r="QPT193" s="173"/>
      <c r="QPU193" s="173"/>
      <c r="QPV193" s="173"/>
      <c r="QPW193" s="173"/>
      <c r="QPX193" s="173"/>
      <c r="QPY193" s="173"/>
      <c r="QPZ193" s="173"/>
      <c r="QQA193" s="173"/>
      <c r="QQB193" s="125"/>
      <c r="QQC193" s="125"/>
      <c r="QQD193" s="134"/>
      <c r="QQE193" s="135"/>
      <c r="QQF193" s="135"/>
      <c r="QQG193" s="135"/>
      <c r="QQH193" s="135"/>
      <c r="QQI193" s="173"/>
      <c r="QQJ193" s="173"/>
      <c r="QQK193" s="173"/>
      <c r="QQL193" s="173"/>
      <c r="QQM193" s="173"/>
      <c r="QQN193" s="173"/>
      <c r="QQO193" s="173"/>
      <c r="QQP193" s="173"/>
      <c r="QQQ193" s="173"/>
      <c r="QQR193" s="173"/>
      <c r="QQS193" s="125"/>
      <c r="QQT193" s="125"/>
      <c r="QQU193" s="134"/>
      <c r="QQV193" s="135"/>
      <c r="QQW193" s="135"/>
      <c r="QQX193" s="135"/>
      <c r="QQY193" s="135"/>
      <c r="QQZ193" s="173"/>
      <c r="QRA193" s="173"/>
      <c r="QRB193" s="173"/>
      <c r="QRC193" s="173"/>
      <c r="QRD193" s="173"/>
      <c r="QRE193" s="173"/>
      <c r="QRF193" s="173"/>
      <c r="QRG193" s="173"/>
      <c r="QRH193" s="173"/>
      <c r="QRI193" s="173"/>
      <c r="QRJ193" s="125"/>
      <c r="QRK193" s="125"/>
      <c r="QRL193" s="134"/>
      <c r="QRM193" s="135"/>
      <c r="QRN193" s="135"/>
      <c r="QRO193" s="135"/>
      <c r="QRP193" s="135"/>
      <c r="QRQ193" s="173"/>
      <c r="QRR193" s="173"/>
      <c r="QRS193" s="173"/>
      <c r="QRT193" s="173"/>
      <c r="QRU193" s="173"/>
      <c r="QRV193" s="173"/>
      <c r="QRW193" s="173"/>
      <c r="QRX193" s="173"/>
      <c r="QRY193" s="173"/>
      <c r="QRZ193" s="173"/>
      <c r="QSA193" s="125"/>
      <c r="QSB193" s="125"/>
      <c r="QSC193" s="134"/>
      <c r="QSD193" s="135"/>
      <c r="QSE193" s="135"/>
      <c r="QSF193" s="135"/>
      <c r="QSG193" s="135"/>
      <c r="QSH193" s="173"/>
      <c r="QSI193" s="173"/>
      <c r="QSJ193" s="173"/>
      <c r="QSK193" s="173"/>
      <c r="QSL193" s="173"/>
      <c r="QSM193" s="173"/>
      <c r="QSN193" s="173"/>
      <c r="QSO193" s="173"/>
      <c r="QSP193" s="173"/>
      <c r="QSQ193" s="173"/>
      <c r="QSR193" s="125"/>
      <c r="QSS193" s="125"/>
      <c r="QST193" s="134"/>
      <c r="QSU193" s="135"/>
      <c r="QSV193" s="135"/>
      <c r="QSW193" s="135"/>
      <c r="QSX193" s="135"/>
      <c r="QSY193" s="173"/>
      <c r="QSZ193" s="173"/>
      <c r="QTA193" s="173"/>
      <c r="QTB193" s="173"/>
      <c r="QTC193" s="173"/>
      <c r="QTD193" s="173"/>
      <c r="QTE193" s="173"/>
      <c r="QTF193" s="173"/>
      <c r="QTG193" s="173"/>
      <c r="QTH193" s="173"/>
      <c r="QTI193" s="125"/>
      <c r="QTJ193" s="125"/>
      <c r="QTK193" s="134"/>
      <c r="QTL193" s="135"/>
      <c r="QTM193" s="135"/>
      <c r="QTN193" s="135"/>
      <c r="QTO193" s="135"/>
      <c r="QTP193" s="173"/>
      <c r="QTQ193" s="173"/>
      <c r="QTR193" s="173"/>
      <c r="QTS193" s="173"/>
      <c r="QTT193" s="173"/>
      <c r="QTU193" s="173"/>
      <c r="QTV193" s="173"/>
      <c r="QTW193" s="173"/>
      <c r="QTX193" s="173"/>
      <c r="QTY193" s="173"/>
      <c r="QTZ193" s="125"/>
      <c r="QUA193" s="125"/>
      <c r="QUB193" s="134"/>
      <c r="QUC193" s="135"/>
      <c r="QUD193" s="135"/>
      <c r="QUE193" s="135"/>
      <c r="QUF193" s="135"/>
      <c r="QUG193" s="173"/>
      <c r="QUH193" s="173"/>
      <c r="QUI193" s="173"/>
      <c r="QUJ193" s="173"/>
      <c r="QUK193" s="173"/>
      <c r="QUL193" s="173"/>
      <c r="QUM193" s="173"/>
      <c r="QUN193" s="173"/>
      <c r="QUO193" s="173"/>
      <c r="QUP193" s="173"/>
      <c r="QUQ193" s="125"/>
      <c r="QUR193" s="125"/>
      <c r="QUS193" s="134"/>
      <c r="QUT193" s="135"/>
      <c r="QUU193" s="135"/>
      <c r="QUV193" s="135"/>
      <c r="QUW193" s="135"/>
      <c r="QUX193" s="173"/>
      <c r="QUY193" s="173"/>
      <c r="QUZ193" s="173"/>
      <c r="QVA193" s="173"/>
      <c r="QVB193" s="173"/>
      <c r="QVC193" s="173"/>
      <c r="QVD193" s="173"/>
      <c r="QVE193" s="173"/>
      <c r="QVF193" s="173"/>
      <c r="QVG193" s="173"/>
      <c r="QVH193" s="125"/>
      <c r="QVI193" s="125"/>
      <c r="QVJ193" s="134"/>
      <c r="QVK193" s="135"/>
      <c r="QVL193" s="135"/>
      <c r="QVM193" s="135"/>
      <c r="QVN193" s="135"/>
      <c r="QVO193" s="173"/>
      <c r="QVP193" s="173"/>
      <c r="QVQ193" s="173"/>
      <c r="QVR193" s="173"/>
      <c r="QVS193" s="173"/>
      <c r="QVT193" s="173"/>
      <c r="QVU193" s="173"/>
      <c r="QVV193" s="173"/>
      <c r="QVW193" s="173"/>
      <c r="QVX193" s="173"/>
      <c r="QVY193" s="125"/>
      <c r="QVZ193" s="125"/>
      <c r="QWA193" s="134"/>
      <c r="QWB193" s="135"/>
      <c r="QWC193" s="135"/>
      <c r="QWD193" s="135"/>
      <c r="QWE193" s="135"/>
      <c r="QWF193" s="173"/>
      <c r="QWG193" s="173"/>
      <c r="QWH193" s="173"/>
      <c r="QWI193" s="173"/>
      <c r="QWJ193" s="173"/>
      <c r="QWK193" s="173"/>
      <c r="QWL193" s="173"/>
      <c r="QWM193" s="173"/>
      <c r="QWN193" s="173"/>
      <c r="QWO193" s="173"/>
      <c r="QWP193" s="125"/>
      <c r="QWQ193" s="125"/>
      <c r="QWR193" s="134"/>
      <c r="QWS193" s="135"/>
      <c r="QWT193" s="135"/>
      <c r="QWU193" s="135"/>
      <c r="QWV193" s="135"/>
      <c r="QWW193" s="173"/>
      <c r="QWX193" s="173"/>
      <c r="QWY193" s="173"/>
      <c r="QWZ193" s="173"/>
      <c r="QXA193" s="173"/>
      <c r="QXB193" s="173"/>
      <c r="QXC193" s="173"/>
      <c r="QXD193" s="173"/>
      <c r="QXE193" s="173"/>
      <c r="QXF193" s="173"/>
      <c r="QXG193" s="125"/>
      <c r="QXH193" s="125"/>
      <c r="QXI193" s="134"/>
      <c r="QXJ193" s="135"/>
      <c r="QXK193" s="135"/>
      <c r="QXL193" s="135"/>
      <c r="QXM193" s="135"/>
      <c r="QXN193" s="173"/>
      <c r="QXO193" s="173"/>
      <c r="QXP193" s="173"/>
      <c r="QXQ193" s="173"/>
      <c r="QXR193" s="173"/>
      <c r="QXS193" s="173"/>
      <c r="QXT193" s="173"/>
      <c r="QXU193" s="173"/>
      <c r="QXV193" s="173"/>
      <c r="QXW193" s="173"/>
      <c r="QXX193" s="125"/>
      <c r="QXY193" s="125"/>
      <c r="QXZ193" s="134"/>
      <c r="QYA193" s="135"/>
      <c r="QYB193" s="135"/>
      <c r="QYC193" s="135"/>
      <c r="QYD193" s="135"/>
      <c r="QYE193" s="173"/>
      <c r="QYF193" s="173"/>
      <c r="QYG193" s="173"/>
      <c r="QYH193" s="173"/>
      <c r="QYI193" s="173"/>
      <c r="QYJ193" s="173"/>
      <c r="QYK193" s="173"/>
      <c r="QYL193" s="173"/>
      <c r="QYM193" s="173"/>
      <c r="QYN193" s="173"/>
      <c r="QYO193" s="125"/>
      <c r="QYP193" s="125"/>
      <c r="QYQ193" s="134"/>
      <c r="QYR193" s="135"/>
      <c r="QYS193" s="135"/>
      <c r="QYT193" s="135"/>
      <c r="QYU193" s="135"/>
      <c r="QYV193" s="173"/>
      <c r="QYW193" s="173"/>
      <c r="QYX193" s="173"/>
      <c r="QYY193" s="173"/>
      <c r="QYZ193" s="173"/>
      <c r="QZA193" s="173"/>
      <c r="QZB193" s="173"/>
      <c r="QZC193" s="173"/>
      <c r="QZD193" s="173"/>
      <c r="QZE193" s="173"/>
      <c r="QZF193" s="125"/>
      <c r="QZG193" s="125"/>
      <c r="QZH193" s="134"/>
      <c r="QZI193" s="135"/>
      <c r="QZJ193" s="135"/>
      <c r="QZK193" s="135"/>
      <c r="QZL193" s="135"/>
      <c r="QZM193" s="173"/>
      <c r="QZN193" s="173"/>
      <c r="QZO193" s="173"/>
      <c r="QZP193" s="173"/>
      <c r="QZQ193" s="173"/>
      <c r="QZR193" s="173"/>
      <c r="QZS193" s="173"/>
      <c r="QZT193" s="173"/>
      <c r="QZU193" s="173"/>
      <c r="QZV193" s="173"/>
      <c r="QZW193" s="125"/>
      <c r="QZX193" s="125"/>
      <c r="QZY193" s="134"/>
      <c r="QZZ193" s="135"/>
      <c r="RAA193" s="135"/>
      <c r="RAB193" s="135"/>
      <c r="RAC193" s="135"/>
      <c r="RAD193" s="173"/>
      <c r="RAE193" s="173"/>
      <c r="RAF193" s="173"/>
      <c r="RAG193" s="173"/>
      <c r="RAH193" s="173"/>
      <c r="RAI193" s="173"/>
      <c r="RAJ193" s="173"/>
      <c r="RAK193" s="173"/>
      <c r="RAL193" s="173"/>
      <c r="RAM193" s="173"/>
      <c r="RAN193" s="125"/>
      <c r="RAO193" s="125"/>
      <c r="RAP193" s="134"/>
      <c r="RAQ193" s="135"/>
      <c r="RAR193" s="135"/>
      <c r="RAS193" s="135"/>
      <c r="RAT193" s="135"/>
      <c r="RAU193" s="173"/>
      <c r="RAV193" s="173"/>
      <c r="RAW193" s="173"/>
      <c r="RAX193" s="173"/>
      <c r="RAY193" s="173"/>
      <c r="RAZ193" s="173"/>
      <c r="RBA193" s="173"/>
      <c r="RBB193" s="173"/>
      <c r="RBC193" s="173"/>
      <c r="RBD193" s="173"/>
      <c r="RBE193" s="125"/>
      <c r="RBF193" s="125"/>
      <c r="RBG193" s="134"/>
      <c r="RBH193" s="135"/>
      <c r="RBI193" s="135"/>
      <c r="RBJ193" s="135"/>
      <c r="RBK193" s="135"/>
      <c r="RBL193" s="173"/>
      <c r="RBM193" s="173"/>
      <c r="RBN193" s="173"/>
      <c r="RBO193" s="173"/>
      <c r="RBP193" s="173"/>
      <c r="RBQ193" s="173"/>
      <c r="RBR193" s="173"/>
      <c r="RBS193" s="173"/>
      <c r="RBT193" s="173"/>
      <c r="RBU193" s="173"/>
      <c r="RBV193" s="125"/>
      <c r="RBW193" s="125"/>
      <c r="RBX193" s="134"/>
      <c r="RBY193" s="135"/>
      <c r="RBZ193" s="135"/>
      <c r="RCA193" s="135"/>
      <c r="RCB193" s="135"/>
      <c r="RCC193" s="173"/>
      <c r="RCD193" s="173"/>
      <c r="RCE193" s="173"/>
      <c r="RCF193" s="173"/>
      <c r="RCG193" s="173"/>
      <c r="RCH193" s="173"/>
      <c r="RCI193" s="173"/>
      <c r="RCJ193" s="173"/>
      <c r="RCK193" s="173"/>
      <c r="RCL193" s="173"/>
      <c r="RCM193" s="125"/>
      <c r="RCN193" s="125"/>
      <c r="RCO193" s="134"/>
      <c r="RCP193" s="135"/>
      <c r="RCQ193" s="135"/>
      <c r="RCR193" s="135"/>
      <c r="RCS193" s="135"/>
      <c r="RCT193" s="173"/>
      <c r="RCU193" s="173"/>
      <c r="RCV193" s="173"/>
      <c r="RCW193" s="173"/>
      <c r="RCX193" s="173"/>
      <c r="RCY193" s="173"/>
      <c r="RCZ193" s="173"/>
      <c r="RDA193" s="173"/>
      <c r="RDB193" s="173"/>
      <c r="RDC193" s="173"/>
      <c r="RDD193" s="125"/>
      <c r="RDE193" s="125"/>
      <c r="RDF193" s="134"/>
      <c r="RDG193" s="135"/>
      <c r="RDH193" s="135"/>
      <c r="RDI193" s="135"/>
      <c r="RDJ193" s="135"/>
      <c r="RDK193" s="173"/>
      <c r="RDL193" s="173"/>
      <c r="RDM193" s="173"/>
      <c r="RDN193" s="173"/>
      <c r="RDO193" s="173"/>
      <c r="RDP193" s="173"/>
      <c r="RDQ193" s="173"/>
      <c r="RDR193" s="173"/>
      <c r="RDS193" s="173"/>
      <c r="RDT193" s="173"/>
      <c r="RDU193" s="125"/>
      <c r="RDV193" s="125"/>
      <c r="RDW193" s="134"/>
      <c r="RDX193" s="135"/>
      <c r="RDY193" s="135"/>
      <c r="RDZ193" s="135"/>
      <c r="REA193" s="135"/>
      <c r="REB193" s="173"/>
      <c r="REC193" s="173"/>
      <c r="RED193" s="173"/>
      <c r="REE193" s="173"/>
      <c r="REF193" s="173"/>
      <c r="REG193" s="173"/>
      <c r="REH193" s="173"/>
      <c r="REI193" s="173"/>
      <c r="REJ193" s="173"/>
      <c r="REK193" s="173"/>
      <c r="REL193" s="125"/>
      <c r="REM193" s="125"/>
      <c r="REN193" s="134"/>
      <c r="REO193" s="135"/>
      <c r="REP193" s="135"/>
      <c r="REQ193" s="135"/>
      <c r="RER193" s="135"/>
      <c r="RES193" s="173"/>
      <c r="RET193" s="173"/>
      <c r="REU193" s="173"/>
      <c r="REV193" s="173"/>
      <c r="REW193" s="173"/>
      <c r="REX193" s="173"/>
      <c r="REY193" s="173"/>
      <c r="REZ193" s="173"/>
      <c r="RFA193" s="173"/>
      <c r="RFB193" s="173"/>
      <c r="RFC193" s="125"/>
      <c r="RFD193" s="125"/>
      <c r="RFE193" s="134"/>
      <c r="RFF193" s="135"/>
      <c r="RFG193" s="135"/>
      <c r="RFH193" s="135"/>
      <c r="RFI193" s="135"/>
      <c r="RFJ193" s="173"/>
      <c r="RFK193" s="173"/>
      <c r="RFL193" s="173"/>
      <c r="RFM193" s="173"/>
      <c r="RFN193" s="173"/>
      <c r="RFO193" s="173"/>
      <c r="RFP193" s="173"/>
      <c r="RFQ193" s="173"/>
      <c r="RFR193" s="173"/>
      <c r="RFS193" s="173"/>
      <c r="RFT193" s="125"/>
      <c r="RFU193" s="125"/>
      <c r="RFV193" s="134"/>
      <c r="RFW193" s="135"/>
      <c r="RFX193" s="135"/>
      <c r="RFY193" s="135"/>
      <c r="RFZ193" s="135"/>
      <c r="RGA193" s="173"/>
      <c r="RGB193" s="173"/>
      <c r="RGC193" s="173"/>
      <c r="RGD193" s="173"/>
      <c r="RGE193" s="173"/>
      <c r="RGF193" s="173"/>
      <c r="RGG193" s="173"/>
      <c r="RGH193" s="173"/>
      <c r="RGI193" s="173"/>
      <c r="RGJ193" s="173"/>
      <c r="RGK193" s="125"/>
      <c r="RGL193" s="125"/>
      <c r="RGM193" s="134"/>
      <c r="RGN193" s="135"/>
      <c r="RGO193" s="135"/>
      <c r="RGP193" s="135"/>
      <c r="RGQ193" s="135"/>
      <c r="RGR193" s="173"/>
      <c r="RGS193" s="173"/>
      <c r="RGT193" s="173"/>
      <c r="RGU193" s="173"/>
      <c r="RGV193" s="173"/>
      <c r="RGW193" s="173"/>
      <c r="RGX193" s="173"/>
      <c r="RGY193" s="173"/>
      <c r="RGZ193" s="173"/>
      <c r="RHA193" s="173"/>
      <c r="RHB193" s="125"/>
      <c r="RHC193" s="125"/>
      <c r="RHD193" s="134"/>
      <c r="RHE193" s="135"/>
      <c r="RHF193" s="135"/>
      <c r="RHG193" s="135"/>
      <c r="RHH193" s="135"/>
      <c r="RHI193" s="173"/>
      <c r="RHJ193" s="173"/>
      <c r="RHK193" s="173"/>
      <c r="RHL193" s="173"/>
      <c r="RHM193" s="173"/>
      <c r="RHN193" s="173"/>
      <c r="RHO193" s="173"/>
      <c r="RHP193" s="173"/>
      <c r="RHQ193" s="173"/>
      <c r="RHR193" s="173"/>
      <c r="RHS193" s="125"/>
      <c r="RHT193" s="125"/>
      <c r="RHU193" s="134"/>
      <c r="RHV193" s="135"/>
      <c r="RHW193" s="135"/>
      <c r="RHX193" s="135"/>
      <c r="RHY193" s="135"/>
      <c r="RHZ193" s="173"/>
      <c r="RIA193" s="173"/>
      <c r="RIB193" s="173"/>
      <c r="RIC193" s="173"/>
      <c r="RID193" s="173"/>
      <c r="RIE193" s="173"/>
      <c r="RIF193" s="173"/>
      <c r="RIG193" s="173"/>
      <c r="RIH193" s="173"/>
      <c r="RII193" s="173"/>
      <c r="RIJ193" s="125"/>
      <c r="RIK193" s="125"/>
      <c r="RIL193" s="134"/>
      <c r="RIM193" s="135"/>
      <c r="RIN193" s="135"/>
      <c r="RIO193" s="135"/>
      <c r="RIP193" s="135"/>
      <c r="RIQ193" s="173"/>
      <c r="RIR193" s="173"/>
      <c r="RIS193" s="173"/>
      <c r="RIT193" s="173"/>
      <c r="RIU193" s="173"/>
      <c r="RIV193" s="173"/>
      <c r="RIW193" s="173"/>
      <c r="RIX193" s="173"/>
      <c r="RIY193" s="173"/>
      <c r="RIZ193" s="173"/>
      <c r="RJA193" s="125"/>
      <c r="RJB193" s="125"/>
      <c r="RJC193" s="134"/>
      <c r="RJD193" s="135"/>
      <c r="RJE193" s="135"/>
      <c r="RJF193" s="135"/>
      <c r="RJG193" s="135"/>
      <c r="RJH193" s="173"/>
      <c r="RJI193" s="173"/>
      <c r="RJJ193" s="173"/>
      <c r="RJK193" s="173"/>
      <c r="RJL193" s="173"/>
      <c r="RJM193" s="173"/>
      <c r="RJN193" s="173"/>
      <c r="RJO193" s="173"/>
      <c r="RJP193" s="173"/>
      <c r="RJQ193" s="173"/>
      <c r="RJR193" s="125"/>
      <c r="RJS193" s="125"/>
      <c r="RJT193" s="134"/>
      <c r="RJU193" s="135"/>
      <c r="RJV193" s="135"/>
      <c r="RJW193" s="135"/>
      <c r="RJX193" s="135"/>
      <c r="RJY193" s="173"/>
      <c r="RJZ193" s="173"/>
      <c r="RKA193" s="173"/>
      <c r="RKB193" s="173"/>
      <c r="RKC193" s="173"/>
      <c r="RKD193" s="173"/>
      <c r="RKE193" s="173"/>
      <c r="RKF193" s="173"/>
      <c r="RKG193" s="173"/>
      <c r="RKH193" s="173"/>
      <c r="RKI193" s="125"/>
      <c r="RKJ193" s="125"/>
      <c r="RKK193" s="134"/>
      <c r="RKL193" s="135"/>
      <c r="RKM193" s="135"/>
      <c r="RKN193" s="135"/>
      <c r="RKO193" s="135"/>
      <c r="RKP193" s="173"/>
      <c r="RKQ193" s="173"/>
      <c r="RKR193" s="173"/>
      <c r="RKS193" s="173"/>
      <c r="RKT193" s="173"/>
      <c r="RKU193" s="173"/>
      <c r="RKV193" s="173"/>
      <c r="RKW193" s="173"/>
      <c r="RKX193" s="173"/>
      <c r="RKY193" s="173"/>
      <c r="RKZ193" s="125"/>
      <c r="RLA193" s="125"/>
      <c r="RLB193" s="134"/>
      <c r="RLC193" s="135"/>
      <c r="RLD193" s="135"/>
      <c r="RLE193" s="135"/>
      <c r="RLF193" s="135"/>
      <c r="RLG193" s="173"/>
      <c r="RLH193" s="173"/>
      <c r="RLI193" s="173"/>
      <c r="RLJ193" s="173"/>
      <c r="RLK193" s="173"/>
      <c r="RLL193" s="173"/>
      <c r="RLM193" s="173"/>
      <c r="RLN193" s="173"/>
      <c r="RLO193" s="173"/>
      <c r="RLP193" s="173"/>
      <c r="RLQ193" s="125"/>
      <c r="RLR193" s="125"/>
      <c r="RLS193" s="134"/>
      <c r="RLT193" s="135"/>
      <c r="RLU193" s="135"/>
      <c r="RLV193" s="135"/>
      <c r="RLW193" s="135"/>
      <c r="RLX193" s="173"/>
      <c r="RLY193" s="173"/>
      <c r="RLZ193" s="173"/>
      <c r="RMA193" s="173"/>
      <c r="RMB193" s="173"/>
      <c r="RMC193" s="173"/>
      <c r="RMD193" s="173"/>
      <c r="RME193" s="173"/>
      <c r="RMF193" s="173"/>
      <c r="RMG193" s="173"/>
      <c r="RMH193" s="125"/>
      <c r="RMI193" s="125"/>
      <c r="RMJ193" s="134"/>
      <c r="RMK193" s="135"/>
      <c r="RML193" s="135"/>
      <c r="RMM193" s="135"/>
      <c r="RMN193" s="135"/>
      <c r="RMO193" s="173"/>
      <c r="RMP193" s="173"/>
      <c r="RMQ193" s="173"/>
      <c r="RMR193" s="173"/>
      <c r="RMS193" s="173"/>
      <c r="RMT193" s="173"/>
      <c r="RMU193" s="173"/>
      <c r="RMV193" s="173"/>
      <c r="RMW193" s="173"/>
      <c r="RMX193" s="173"/>
      <c r="RMY193" s="125"/>
      <c r="RMZ193" s="125"/>
      <c r="RNA193" s="134"/>
      <c r="RNB193" s="135"/>
      <c r="RNC193" s="135"/>
      <c r="RND193" s="135"/>
      <c r="RNE193" s="135"/>
      <c r="RNF193" s="173"/>
      <c r="RNG193" s="173"/>
      <c r="RNH193" s="173"/>
      <c r="RNI193" s="173"/>
      <c r="RNJ193" s="173"/>
      <c r="RNK193" s="173"/>
      <c r="RNL193" s="173"/>
      <c r="RNM193" s="173"/>
      <c r="RNN193" s="173"/>
      <c r="RNO193" s="173"/>
      <c r="RNP193" s="125"/>
      <c r="RNQ193" s="125"/>
      <c r="RNR193" s="134"/>
      <c r="RNS193" s="135"/>
      <c r="RNT193" s="135"/>
      <c r="RNU193" s="135"/>
      <c r="RNV193" s="135"/>
      <c r="RNW193" s="173"/>
      <c r="RNX193" s="173"/>
      <c r="RNY193" s="173"/>
      <c r="RNZ193" s="173"/>
      <c r="ROA193" s="173"/>
      <c r="ROB193" s="173"/>
      <c r="ROC193" s="173"/>
      <c r="ROD193" s="173"/>
      <c r="ROE193" s="173"/>
      <c r="ROF193" s="173"/>
      <c r="ROG193" s="125"/>
      <c r="ROH193" s="125"/>
      <c r="ROI193" s="134"/>
      <c r="ROJ193" s="135"/>
      <c r="ROK193" s="135"/>
      <c r="ROL193" s="135"/>
      <c r="ROM193" s="135"/>
      <c r="RON193" s="173"/>
      <c r="ROO193" s="173"/>
      <c r="ROP193" s="173"/>
      <c r="ROQ193" s="173"/>
      <c r="ROR193" s="173"/>
      <c r="ROS193" s="173"/>
      <c r="ROT193" s="173"/>
      <c r="ROU193" s="173"/>
      <c r="ROV193" s="173"/>
      <c r="ROW193" s="173"/>
      <c r="ROX193" s="125"/>
      <c r="ROY193" s="125"/>
      <c r="ROZ193" s="134"/>
      <c r="RPA193" s="135"/>
      <c r="RPB193" s="135"/>
      <c r="RPC193" s="135"/>
      <c r="RPD193" s="135"/>
      <c r="RPE193" s="173"/>
      <c r="RPF193" s="173"/>
      <c r="RPG193" s="173"/>
      <c r="RPH193" s="173"/>
      <c r="RPI193" s="173"/>
      <c r="RPJ193" s="173"/>
      <c r="RPK193" s="173"/>
      <c r="RPL193" s="173"/>
      <c r="RPM193" s="173"/>
      <c r="RPN193" s="173"/>
      <c r="RPO193" s="125"/>
      <c r="RPP193" s="125"/>
      <c r="RPQ193" s="134"/>
      <c r="RPR193" s="135"/>
      <c r="RPS193" s="135"/>
      <c r="RPT193" s="135"/>
      <c r="RPU193" s="135"/>
      <c r="RPV193" s="173"/>
      <c r="RPW193" s="173"/>
      <c r="RPX193" s="173"/>
      <c r="RPY193" s="173"/>
      <c r="RPZ193" s="173"/>
      <c r="RQA193" s="173"/>
      <c r="RQB193" s="173"/>
      <c r="RQC193" s="173"/>
      <c r="RQD193" s="173"/>
      <c r="RQE193" s="173"/>
      <c r="RQF193" s="125"/>
      <c r="RQG193" s="125"/>
      <c r="RQH193" s="134"/>
      <c r="RQI193" s="135"/>
      <c r="RQJ193" s="135"/>
      <c r="RQK193" s="135"/>
      <c r="RQL193" s="135"/>
      <c r="RQM193" s="173"/>
      <c r="RQN193" s="173"/>
      <c r="RQO193" s="173"/>
      <c r="RQP193" s="173"/>
      <c r="RQQ193" s="173"/>
      <c r="RQR193" s="173"/>
      <c r="RQS193" s="173"/>
      <c r="RQT193" s="173"/>
      <c r="RQU193" s="173"/>
      <c r="RQV193" s="173"/>
      <c r="RQW193" s="125"/>
      <c r="RQX193" s="125"/>
      <c r="RQY193" s="134"/>
      <c r="RQZ193" s="135"/>
      <c r="RRA193" s="135"/>
      <c r="RRB193" s="135"/>
      <c r="RRC193" s="135"/>
      <c r="RRD193" s="173"/>
      <c r="RRE193" s="173"/>
      <c r="RRF193" s="173"/>
      <c r="RRG193" s="173"/>
      <c r="RRH193" s="173"/>
      <c r="RRI193" s="173"/>
      <c r="RRJ193" s="173"/>
      <c r="RRK193" s="173"/>
      <c r="RRL193" s="173"/>
      <c r="RRM193" s="173"/>
      <c r="RRN193" s="125"/>
      <c r="RRO193" s="125"/>
      <c r="RRP193" s="134"/>
      <c r="RRQ193" s="135"/>
      <c r="RRR193" s="135"/>
      <c r="RRS193" s="135"/>
      <c r="RRT193" s="135"/>
      <c r="RRU193" s="173"/>
      <c r="RRV193" s="173"/>
      <c r="RRW193" s="173"/>
      <c r="RRX193" s="173"/>
      <c r="RRY193" s="173"/>
      <c r="RRZ193" s="173"/>
      <c r="RSA193" s="173"/>
      <c r="RSB193" s="173"/>
      <c r="RSC193" s="173"/>
      <c r="RSD193" s="173"/>
      <c r="RSE193" s="125"/>
      <c r="RSF193" s="125"/>
      <c r="RSG193" s="134"/>
      <c r="RSH193" s="135"/>
      <c r="RSI193" s="135"/>
      <c r="RSJ193" s="135"/>
      <c r="RSK193" s="135"/>
      <c r="RSL193" s="173"/>
      <c r="RSM193" s="173"/>
      <c r="RSN193" s="173"/>
      <c r="RSO193" s="173"/>
      <c r="RSP193" s="173"/>
      <c r="RSQ193" s="173"/>
      <c r="RSR193" s="173"/>
      <c r="RSS193" s="173"/>
      <c r="RST193" s="173"/>
      <c r="RSU193" s="173"/>
      <c r="RSV193" s="125"/>
      <c r="RSW193" s="125"/>
      <c r="RSX193" s="134"/>
      <c r="RSY193" s="135"/>
      <c r="RSZ193" s="135"/>
      <c r="RTA193" s="135"/>
      <c r="RTB193" s="135"/>
      <c r="RTC193" s="173"/>
      <c r="RTD193" s="173"/>
      <c r="RTE193" s="173"/>
      <c r="RTF193" s="173"/>
      <c r="RTG193" s="173"/>
      <c r="RTH193" s="173"/>
      <c r="RTI193" s="173"/>
      <c r="RTJ193" s="173"/>
      <c r="RTK193" s="173"/>
      <c r="RTL193" s="173"/>
      <c r="RTM193" s="125"/>
      <c r="RTN193" s="125"/>
      <c r="RTO193" s="134"/>
      <c r="RTP193" s="135"/>
      <c r="RTQ193" s="135"/>
      <c r="RTR193" s="135"/>
      <c r="RTS193" s="135"/>
      <c r="RTT193" s="173"/>
      <c r="RTU193" s="173"/>
      <c r="RTV193" s="173"/>
      <c r="RTW193" s="173"/>
      <c r="RTX193" s="173"/>
      <c r="RTY193" s="173"/>
      <c r="RTZ193" s="173"/>
      <c r="RUA193" s="173"/>
      <c r="RUB193" s="173"/>
      <c r="RUC193" s="173"/>
      <c r="RUD193" s="125"/>
      <c r="RUE193" s="125"/>
      <c r="RUF193" s="134"/>
      <c r="RUG193" s="135"/>
      <c r="RUH193" s="135"/>
      <c r="RUI193" s="135"/>
      <c r="RUJ193" s="135"/>
      <c r="RUK193" s="173"/>
      <c r="RUL193" s="173"/>
      <c r="RUM193" s="173"/>
      <c r="RUN193" s="173"/>
      <c r="RUO193" s="173"/>
      <c r="RUP193" s="173"/>
      <c r="RUQ193" s="173"/>
      <c r="RUR193" s="173"/>
      <c r="RUS193" s="173"/>
      <c r="RUT193" s="173"/>
      <c r="RUU193" s="125"/>
      <c r="RUV193" s="125"/>
      <c r="RUW193" s="134"/>
      <c r="RUX193" s="135"/>
      <c r="RUY193" s="135"/>
      <c r="RUZ193" s="135"/>
      <c r="RVA193" s="135"/>
      <c r="RVB193" s="173"/>
      <c r="RVC193" s="173"/>
      <c r="RVD193" s="173"/>
      <c r="RVE193" s="173"/>
      <c r="RVF193" s="173"/>
      <c r="RVG193" s="173"/>
      <c r="RVH193" s="173"/>
      <c r="RVI193" s="173"/>
      <c r="RVJ193" s="173"/>
      <c r="RVK193" s="173"/>
      <c r="RVL193" s="125"/>
      <c r="RVM193" s="125"/>
      <c r="RVN193" s="134"/>
      <c r="RVO193" s="135"/>
      <c r="RVP193" s="135"/>
      <c r="RVQ193" s="135"/>
      <c r="RVR193" s="135"/>
      <c r="RVS193" s="173"/>
      <c r="RVT193" s="173"/>
      <c r="RVU193" s="173"/>
      <c r="RVV193" s="173"/>
      <c r="RVW193" s="173"/>
      <c r="RVX193" s="173"/>
      <c r="RVY193" s="173"/>
      <c r="RVZ193" s="173"/>
      <c r="RWA193" s="173"/>
      <c r="RWB193" s="173"/>
      <c r="RWC193" s="125"/>
      <c r="RWD193" s="125"/>
      <c r="RWE193" s="134"/>
      <c r="RWF193" s="135"/>
      <c r="RWG193" s="135"/>
      <c r="RWH193" s="135"/>
      <c r="RWI193" s="135"/>
      <c r="RWJ193" s="173"/>
      <c r="RWK193" s="173"/>
      <c r="RWL193" s="173"/>
      <c r="RWM193" s="173"/>
      <c r="RWN193" s="173"/>
      <c r="RWO193" s="173"/>
      <c r="RWP193" s="173"/>
      <c r="RWQ193" s="173"/>
      <c r="RWR193" s="173"/>
      <c r="RWS193" s="173"/>
      <c r="RWT193" s="125"/>
      <c r="RWU193" s="125"/>
      <c r="RWV193" s="134"/>
      <c r="RWW193" s="135"/>
      <c r="RWX193" s="135"/>
      <c r="RWY193" s="135"/>
      <c r="RWZ193" s="135"/>
      <c r="RXA193" s="173"/>
      <c r="RXB193" s="173"/>
      <c r="RXC193" s="173"/>
      <c r="RXD193" s="173"/>
      <c r="RXE193" s="173"/>
      <c r="RXF193" s="173"/>
      <c r="RXG193" s="173"/>
      <c r="RXH193" s="173"/>
      <c r="RXI193" s="173"/>
      <c r="RXJ193" s="173"/>
      <c r="RXK193" s="125"/>
      <c r="RXL193" s="125"/>
      <c r="RXM193" s="134"/>
      <c r="RXN193" s="135"/>
      <c r="RXO193" s="135"/>
      <c r="RXP193" s="135"/>
      <c r="RXQ193" s="135"/>
      <c r="RXR193" s="173"/>
      <c r="RXS193" s="173"/>
      <c r="RXT193" s="173"/>
      <c r="RXU193" s="173"/>
      <c r="RXV193" s="173"/>
      <c r="RXW193" s="173"/>
      <c r="RXX193" s="173"/>
      <c r="RXY193" s="173"/>
      <c r="RXZ193" s="173"/>
      <c r="RYA193" s="173"/>
      <c r="RYB193" s="125"/>
      <c r="RYC193" s="125"/>
      <c r="RYD193" s="134"/>
      <c r="RYE193" s="135"/>
      <c r="RYF193" s="135"/>
      <c r="RYG193" s="135"/>
      <c r="RYH193" s="135"/>
      <c r="RYI193" s="173"/>
      <c r="RYJ193" s="173"/>
      <c r="RYK193" s="173"/>
      <c r="RYL193" s="173"/>
      <c r="RYM193" s="173"/>
      <c r="RYN193" s="173"/>
      <c r="RYO193" s="173"/>
      <c r="RYP193" s="173"/>
      <c r="RYQ193" s="173"/>
      <c r="RYR193" s="173"/>
      <c r="RYS193" s="125"/>
      <c r="RYT193" s="125"/>
      <c r="RYU193" s="134"/>
      <c r="RYV193" s="135"/>
      <c r="RYW193" s="135"/>
      <c r="RYX193" s="135"/>
      <c r="RYY193" s="135"/>
      <c r="RYZ193" s="173"/>
      <c r="RZA193" s="173"/>
      <c r="RZB193" s="173"/>
      <c r="RZC193" s="173"/>
      <c r="RZD193" s="173"/>
      <c r="RZE193" s="173"/>
      <c r="RZF193" s="173"/>
      <c r="RZG193" s="173"/>
      <c r="RZH193" s="173"/>
      <c r="RZI193" s="173"/>
      <c r="RZJ193" s="125"/>
      <c r="RZK193" s="125"/>
      <c r="RZL193" s="134"/>
      <c r="RZM193" s="135"/>
      <c r="RZN193" s="135"/>
      <c r="RZO193" s="135"/>
      <c r="RZP193" s="135"/>
      <c r="RZQ193" s="173"/>
      <c r="RZR193" s="173"/>
      <c r="RZS193" s="173"/>
      <c r="RZT193" s="173"/>
      <c r="RZU193" s="173"/>
      <c r="RZV193" s="173"/>
      <c r="RZW193" s="173"/>
      <c r="RZX193" s="173"/>
      <c r="RZY193" s="173"/>
      <c r="RZZ193" s="173"/>
      <c r="SAA193" s="125"/>
      <c r="SAB193" s="125"/>
      <c r="SAC193" s="134"/>
      <c r="SAD193" s="135"/>
      <c r="SAE193" s="135"/>
      <c r="SAF193" s="135"/>
      <c r="SAG193" s="135"/>
      <c r="SAH193" s="173"/>
      <c r="SAI193" s="173"/>
      <c r="SAJ193" s="173"/>
      <c r="SAK193" s="173"/>
      <c r="SAL193" s="173"/>
      <c r="SAM193" s="173"/>
      <c r="SAN193" s="173"/>
      <c r="SAO193" s="173"/>
      <c r="SAP193" s="173"/>
      <c r="SAQ193" s="173"/>
      <c r="SAR193" s="125"/>
      <c r="SAS193" s="125"/>
      <c r="SAT193" s="134"/>
      <c r="SAU193" s="135"/>
      <c r="SAV193" s="135"/>
      <c r="SAW193" s="135"/>
      <c r="SAX193" s="135"/>
      <c r="SAY193" s="173"/>
      <c r="SAZ193" s="173"/>
      <c r="SBA193" s="173"/>
      <c r="SBB193" s="173"/>
      <c r="SBC193" s="173"/>
      <c r="SBD193" s="173"/>
      <c r="SBE193" s="173"/>
      <c r="SBF193" s="173"/>
      <c r="SBG193" s="173"/>
      <c r="SBH193" s="173"/>
      <c r="SBI193" s="125"/>
      <c r="SBJ193" s="125"/>
      <c r="SBK193" s="134"/>
      <c r="SBL193" s="135"/>
      <c r="SBM193" s="135"/>
      <c r="SBN193" s="135"/>
      <c r="SBO193" s="135"/>
      <c r="SBP193" s="173"/>
      <c r="SBQ193" s="173"/>
      <c r="SBR193" s="173"/>
      <c r="SBS193" s="173"/>
      <c r="SBT193" s="173"/>
      <c r="SBU193" s="173"/>
      <c r="SBV193" s="173"/>
      <c r="SBW193" s="173"/>
      <c r="SBX193" s="173"/>
      <c r="SBY193" s="173"/>
      <c r="SBZ193" s="125"/>
      <c r="SCA193" s="125"/>
      <c r="SCB193" s="134"/>
      <c r="SCC193" s="135"/>
      <c r="SCD193" s="135"/>
      <c r="SCE193" s="135"/>
      <c r="SCF193" s="135"/>
      <c r="SCG193" s="173"/>
      <c r="SCH193" s="173"/>
      <c r="SCI193" s="173"/>
      <c r="SCJ193" s="173"/>
      <c r="SCK193" s="173"/>
      <c r="SCL193" s="173"/>
      <c r="SCM193" s="173"/>
      <c r="SCN193" s="173"/>
      <c r="SCO193" s="173"/>
      <c r="SCP193" s="173"/>
      <c r="SCQ193" s="125"/>
      <c r="SCR193" s="125"/>
      <c r="SCS193" s="134"/>
      <c r="SCT193" s="135"/>
      <c r="SCU193" s="135"/>
      <c r="SCV193" s="135"/>
      <c r="SCW193" s="135"/>
      <c r="SCX193" s="173"/>
      <c r="SCY193" s="173"/>
      <c r="SCZ193" s="173"/>
      <c r="SDA193" s="173"/>
      <c r="SDB193" s="173"/>
      <c r="SDC193" s="173"/>
      <c r="SDD193" s="173"/>
      <c r="SDE193" s="173"/>
      <c r="SDF193" s="173"/>
      <c r="SDG193" s="173"/>
      <c r="SDH193" s="125"/>
      <c r="SDI193" s="125"/>
      <c r="SDJ193" s="134"/>
      <c r="SDK193" s="135"/>
      <c r="SDL193" s="135"/>
      <c r="SDM193" s="135"/>
      <c r="SDN193" s="135"/>
      <c r="SDO193" s="173"/>
      <c r="SDP193" s="173"/>
      <c r="SDQ193" s="173"/>
      <c r="SDR193" s="173"/>
      <c r="SDS193" s="173"/>
      <c r="SDT193" s="173"/>
      <c r="SDU193" s="173"/>
      <c r="SDV193" s="173"/>
      <c r="SDW193" s="173"/>
      <c r="SDX193" s="173"/>
      <c r="SDY193" s="125"/>
      <c r="SDZ193" s="125"/>
      <c r="SEA193" s="134"/>
      <c r="SEB193" s="135"/>
      <c r="SEC193" s="135"/>
      <c r="SED193" s="135"/>
      <c r="SEE193" s="135"/>
      <c r="SEF193" s="173"/>
      <c r="SEG193" s="173"/>
      <c r="SEH193" s="173"/>
      <c r="SEI193" s="173"/>
      <c r="SEJ193" s="173"/>
      <c r="SEK193" s="173"/>
      <c r="SEL193" s="173"/>
      <c r="SEM193" s="173"/>
      <c r="SEN193" s="173"/>
      <c r="SEO193" s="173"/>
      <c r="SEP193" s="125"/>
      <c r="SEQ193" s="125"/>
      <c r="SER193" s="134"/>
      <c r="SES193" s="135"/>
      <c r="SET193" s="135"/>
      <c r="SEU193" s="135"/>
      <c r="SEV193" s="135"/>
      <c r="SEW193" s="173"/>
      <c r="SEX193" s="173"/>
      <c r="SEY193" s="173"/>
      <c r="SEZ193" s="173"/>
      <c r="SFA193" s="173"/>
      <c r="SFB193" s="173"/>
      <c r="SFC193" s="173"/>
      <c r="SFD193" s="173"/>
      <c r="SFE193" s="173"/>
      <c r="SFF193" s="173"/>
      <c r="SFG193" s="125"/>
      <c r="SFH193" s="125"/>
      <c r="SFI193" s="134"/>
      <c r="SFJ193" s="135"/>
      <c r="SFK193" s="135"/>
      <c r="SFL193" s="135"/>
      <c r="SFM193" s="135"/>
      <c r="SFN193" s="173"/>
      <c r="SFO193" s="173"/>
      <c r="SFP193" s="173"/>
      <c r="SFQ193" s="173"/>
      <c r="SFR193" s="173"/>
      <c r="SFS193" s="173"/>
      <c r="SFT193" s="173"/>
      <c r="SFU193" s="173"/>
      <c r="SFV193" s="173"/>
      <c r="SFW193" s="173"/>
      <c r="SFX193" s="125"/>
      <c r="SFY193" s="125"/>
      <c r="SFZ193" s="134"/>
      <c r="SGA193" s="135"/>
      <c r="SGB193" s="135"/>
      <c r="SGC193" s="135"/>
      <c r="SGD193" s="135"/>
      <c r="SGE193" s="173"/>
      <c r="SGF193" s="173"/>
      <c r="SGG193" s="173"/>
      <c r="SGH193" s="173"/>
      <c r="SGI193" s="173"/>
      <c r="SGJ193" s="173"/>
      <c r="SGK193" s="173"/>
      <c r="SGL193" s="173"/>
      <c r="SGM193" s="173"/>
      <c r="SGN193" s="173"/>
      <c r="SGO193" s="125"/>
      <c r="SGP193" s="125"/>
      <c r="SGQ193" s="134"/>
      <c r="SGR193" s="135"/>
      <c r="SGS193" s="135"/>
      <c r="SGT193" s="135"/>
      <c r="SGU193" s="135"/>
      <c r="SGV193" s="173"/>
      <c r="SGW193" s="173"/>
      <c r="SGX193" s="173"/>
      <c r="SGY193" s="173"/>
      <c r="SGZ193" s="173"/>
      <c r="SHA193" s="173"/>
      <c r="SHB193" s="173"/>
      <c r="SHC193" s="173"/>
      <c r="SHD193" s="173"/>
      <c r="SHE193" s="173"/>
      <c r="SHF193" s="125"/>
      <c r="SHG193" s="125"/>
      <c r="SHH193" s="134"/>
      <c r="SHI193" s="135"/>
      <c r="SHJ193" s="135"/>
      <c r="SHK193" s="135"/>
      <c r="SHL193" s="135"/>
      <c r="SHM193" s="173"/>
      <c r="SHN193" s="173"/>
      <c r="SHO193" s="173"/>
      <c r="SHP193" s="173"/>
      <c r="SHQ193" s="173"/>
      <c r="SHR193" s="173"/>
      <c r="SHS193" s="173"/>
      <c r="SHT193" s="173"/>
      <c r="SHU193" s="173"/>
      <c r="SHV193" s="173"/>
      <c r="SHW193" s="125"/>
      <c r="SHX193" s="125"/>
      <c r="SHY193" s="134"/>
      <c r="SHZ193" s="135"/>
      <c r="SIA193" s="135"/>
      <c r="SIB193" s="135"/>
      <c r="SIC193" s="135"/>
      <c r="SID193" s="173"/>
      <c r="SIE193" s="173"/>
      <c r="SIF193" s="173"/>
      <c r="SIG193" s="173"/>
      <c r="SIH193" s="173"/>
      <c r="SII193" s="173"/>
      <c r="SIJ193" s="173"/>
      <c r="SIK193" s="173"/>
      <c r="SIL193" s="173"/>
      <c r="SIM193" s="173"/>
      <c r="SIN193" s="125"/>
      <c r="SIO193" s="125"/>
      <c r="SIP193" s="134"/>
      <c r="SIQ193" s="135"/>
      <c r="SIR193" s="135"/>
      <c r="SIS193" s="135"/>
      <c r="SIT193" s="135"/>
      <c r="SIU193" s="173"/>
      <c r="SIV193" s="173"/>
      <c r="SIW193" s="173"/>
      <c r="SIX193" s="173"/>
      <c r="SIY193" s="173"/>
      <c r="SIZ193" s="173"/>
      <c r="SJA193" s="173"/>
      <c r="SJB193" s="173"/>
      <c r="SJC193" s="173"/>
      <c r="SJD193" s="173"/>
      <c r="SJE193" s="125"/>
      <c r="SJF193" s="125"/>
      <c r="SJG193" s="134"/>
      <c r="SJH193" s="135"/>
      <c r="SJI193" s="135"/>
      <c r="SJJ193" s="135"/>
      <c r="SJK193" s="135"/>
      <c r="SJL193" s="173"/>
      <c r="SJM193" s="173"/>
      <c r="SJN193" s="173"/>
      <c r="SJO193" s="173"/>
      <c r="SJP193" s="173"/>
      <c r="SJQ193" s="173"/>
      <c r="SJR193" s="173"/>
      <c r="SJS193" s="173"/>
      <c r="SJT193" s="173"/>
      <c r="SJU193" s="173"/>
      <c r="SJV193" s="125"/>
      <c r="SJW193" s="125"/>
      <c r="SJX193" s="134"/>
      <c r="SJY193" s="135"/>
      <c r="SJZ193" s="135"/>
      <c r="SKA193" s="135"/>
      <c r="SKB193" s="135"/>
      <c r="SKC193" s="173"/>
      <c r="SKD193" s="173"/>
      <c r="SKE193" s="173"/>
      <c r="SKF193" s="173"/>
      <c r="SKG193" s="173"/>
      <c r="SKH193" s="173"/>
      <c r="SKI193" s="173"/>
      <c r="SKJ193" s="173"/>
      <c r="SKK193" s="173"/>
      <c r="SKL193" s="173"/>
      <c r="SKM193" s="125"/>
      <c r="SKN193" s="125"/>
      <c r="SKO193" s="134"/>
      <c r="SKP193" s="135"/>
      <c r="SKQ193" s="135"/>
      <c r="SKR193" s="135"/>
      <c r="SKS193" s="135"/>
      <c r="SKT193" s="173"/>
      <c r="SKU193" s="173"/>
      <c r="SKV193" s="173"/>
      <c r="SKW193" s="173"/>
      <c r="SKX193" s="173"/>
      <c r="SKY193" s="173"/>
      <c r="SKZ193" s="173"/>
      <c r="SLA193" s="173"/>
      <c r="SLB193" s="173"/>
      <c r="SLC193" s="173"/>
      <c r="SLD193" s="125"/>
      <c r="SLE193" s="125"/>
      <c r="SLF193" s="134"/>
      <c r="SLG193" s="135"/>
      <c r="SLH193" s="135"/>
      <c r="SLI193" s="135"/>
      <c r="SLJ193" s="135"/>
      <c r="SLK193" s="173"/>
      <c r="SLL193" s="173"/>
      <c r="SLM193" s="173"/>
      <c r="SLN193" s="173"/>
      <c r="SLO193" s="173"/>
      <c r="SLP193" s="173"/>
      <c r="SLQ193" s="173"/>
      <c r="SLR193" s="173"/>
      <c r="SLS193" s="173"/>
      <c r="SLT193" s="173"/>
      <c r="SLU193" s="125"/>
      <c r="SLV193" s="125"/>
      <c r="SLW193" s="134"/>
      <c r="SLX193" s="135"/>
      <c r="SLY193" s="135"/>
      <c r="SLZ193" s="135"/>
      <c r="SMA193" s="135"/>
      <c r="SMB193" s="173"/>
      <c r="SMC193" s="173"/>
      <c r="SMD193" s="173"/>
      <c r="SME193" s="173"/>
      <c r="SMF193" s="173"/>
      <c r="SMG193" s="173"/>
      <c r="SMH193" s="173"/>
      <c r="SMI193" s="173"/>
      <c r="SMJ193" s="173"/>
      <c r="SMK193" s="173"/>
      <c r="SML193" s="125"/>
      <c r="SMM193" s="125"/>
      <c r="SMN193" s="134"/>
      <c r="SMO193" s="135"/>
      <c r="SMP193" s="135"/>
      <c r="SMQ193" s="135"/>
      <c r="SMR193" s="135"/>
      <c r="SMS193" s="173"/>
      <c r="SMT193" s="173"/>
      <c r="SMU193" s="173"/>
      <c r="SMV193" s="173"/>
      <c r="SMW193" s="173"/>
      <c r="SMX193" s="173"/>
      <c r="SMY193" s="173"/>
      <c r="SMZ193" s="173"/>
      <c r="SNA193" s="173"/>
      <c r="SNB193" s="173"/>
      <c r="SNC193" s="125"/>
      <c r="SND193" s="125"/>
      <c r="SNE193" s="134"/>
      <c r="SNF193" s="135"/>
      <c r="SNG193" s="135"/>
      <c r="SNH193" s="135"/>
      <c r="SNI193" s="135"/>
      <c r="SNJ193" s="173"/>
      <c r="SNK193" s="173"/>
      <c r="SNL193" s="173"/>
      <c r="SNM193" s="173"/>
      <c r="SNN193" s="173"/>
      <c r="SNO193" s="173"/>
      <c r="SNP193" s="173"/>
      <c r="SNQ193" s="173"/>
      <c r="SNR193" s="173"/>
      <c r="SNS193" s="173"/>
      <c r="SNT193" s="125"/>
      <c r="SNU193" s="125"/>
      <c r="SNV193" s="134"/>
      <c r="SNW193" s="135"/>
      <c r="SNX193" s="135"/>
      <c r="SNY193" s="135"/>
      <c r="SNZ193" s="135"/>
      <c r="SOA193" s="173"/>
      <c r="SOB193" s="173"/>
      <c r="SOC193" s="173"/>
      <c r="SOD193" s="173"/>
      <c r="SOE193" s="173"/>
      <c r="SOF193" s="173"/>
      <c r="SOG193" s="173"/>
      <c r="SOH193" s="173"/>
      <c r="SOI193" s="173"/>
      <c r="SOJ193" s="173"/>
      <c r="SOK193" s="125"/>
      <c r="SOL193" s="125"/>
      <c r="SOM193" s="134"/>
      <c r="SON193" s="135"/>
      <c r="SOO193" s="135"/>
      <c r="SOP193" s="135"/>
      <c r="SOQ193" s="135"/>
      <c r="SOR193" s="173"/>
      <c r="SOS193" s="173"/>
      <c r="SOT193" s="173"/>
      <c r="SOU193" s="173"/>
      <c r="SOV193" s="173"/>
      <c r="SOW193" s="173"/>
      <c r="SOX193" s="173"/>
      <c r="SOY193" s="173"/>
      <c r="SOZ193" s="173"/>
      <c r="SPA193" s="173"/>
      <c r="SPB193" s="125"/>
      <c r="SPC193" s="125"/>
      <c r="SPD193" s="134"/>
      <c r="SPE193" s="135"/>
      <c r="SPF193" s="135"/>
      <c r="SPG193" s="135"/>
      <c r="SPH193" s="135"/>
      <c r="SPI193" s="173"/>
      <c r="SPJ193" s="173"/>
      <c r="SPK193" s="173"/>
      <c r="SPL193" s="173"/>
      <c r="SPM193" s="173"/>
      <c r="SPN193" s="173"/>
      <c r="SPO193" s="173"/>
      <c r="SPP193" s="173"/>
      <c r="SPQ193" s="173"/>
      <c r="SPR193" s="173"/>
      <c r="SPS193" s="125"/>
      <c r="SPT193" s="125"/>
      <c r="SPU193" s="134"/>
      <c r="SPV193" s="135"/>
      <c r="SPW193" s="135"/>
      <c r="SPX193" s="135"/>
      <c r="SPY193" s="135"/>
      <c r="SPZ193" s="173"/>
      <c r="SQA193" s="173"/>
      <c r="SQB193" s="173"/>
      <c r="SQC193" s="173"/>
      <c r="SQD193" s="173"/>
      <c r="SQE193" s="173"/>
      <c r="SQF193" s="173"/>
      <c r="SQG193" s="173"/>
      <c r="SQH193" s="173"/>
      <c r="SQI193" s="173"/>
      <c r="SQJ193" s="125"/>
      <c r="SQK193" s="125"/>
      <c r="SQL193" s="134"/>
      <c r="SQM193" s="135"/>
      <c r="SQN193" s="135"/>
      <c r="SQO193" s="135"/>
      <c r="SQP193" s="135"/>
      <c r="SQQ193" s="173"/>
      <c r="SQR193" s="173"/>
      <c r="SQS193" s="173"/>
      <c r="SQT193" s="173"/>
      <c r="SQU193" s="173"/>
      <c r="SQV193" s="173"/>
      <c r="SQW193" s="173"/>
      <c r="SQX193" s="173"/>
      <c r="SQY193" s="173"/>
      <c r="SQZ193" s="173"/>
      <c r="SRA193" s="125"/>
      <c r="SRB193" s="125"/>
      <c r="SRC193" s="134"/>
      <c r="SRD193" s="135"/>
      <c r="SRE193" s="135"/>
      <c r="SRF193" s="135"/>
      <c r="SRG193" s="135"/>
      <c r="SRH193" s="173"/>
      <c r="SRI193" s="173"/>
      <c r="SRJ193" s="173"/>
      <c r="SRK193" s="173"/>
      <c r="SRL193" s="173"/>
      <c r="SRM193" s="173"/>
      <c r="SRN193" s="173"/>
      <c r="SRO193" s="173"/>
      <c r="SRP193" s="173"/>
      <c r="SRQ193" s="173"/>
      <c r="SRR193" s="125"/>
      <c r="SRS193" s="125"/>
      <c r="SRT193" s="134"/>
      <c r="SRU193" s="135"/>
      <c r="SRV193" s="135"/>
      <c r="SRW193" s="135"/>
      <c r="SRX193" s="135"/>
      <c r="SRY193" s="173"/>
      <c r="SRZ193" s="173"/>
      <c r="SSA193" s="173"/>
      <c r="SSB193" s="173"/>
      <c r="SSC193" s="173"/>
      <c r="SSD193" s="173"/>
      <c r="SSE193" s="173"/>
      <c r="SSF193" s="173"/>
      <c r="SSG193" s="173"/>
      <c r="SSH193" s="173"/>
      <c r="SSI193" s="125"/>
      <c r="SSJ193" s="125"/>
      <c r="SSK193" s="134"/>
      <c r="SSL193" s="135"/>
      <c r="SSM193" s="135"/>
      <c r="SSN193" s="135"/>
      <c r="SSO193" s="135"/>
      <c r="SSP193" s="173"/>
      <c r="SSQ193" s="173"/>
      <c r="SSR193" s="173"/>
      <c r="SSS193" s="173"/>
      <c r="SST193" s="173"/>
      <c r="SSU193" s="173"/>
      <c r="SSV193" s="173"/>
      <c r="SSW193" s="173"/>
      <c r="SSX193" s="173"/>
      <c r="SSY193" s="173"/>
      <c r="SSZ193" s="125"/>
      <c r="STA193" s="125"/>
      <c r="STB193" s="134"/>
      <c r="STC193" s="135"/>
      <c r="STD193" s="135"/>
      <c r="STE193" s="135"/>
      <c r="STF193" s="135"/>
      <c r="STG193" s="173"/>
      <c r="STH193" s="173"/>
      <c r="STI193" s="173"/>
      <c r="STJ193" s="173"/>
      <c r="STK193" s="173"/>
      <c r="STL193" s="173"/>
      <c r="STM193" s="173"/>
      <c r="STN193" s="173"/>
      <c r="STO193" s="173"/>
      <c r="STP193" s="173"/>
      <c r="STQ193" s="125"/>
      <c r="STR193" s="125"/>
      <c r="STS193" s="134"/>
      <c r="STT193" s="135"/>
      <c r="STU193" s="135"/>
      <c r="STV193" s="135"/>
      <c r="STW193" s="135"/>
      <c r="STX193" s="173"/>
      <c r="STY193" s="173"/>
      <c r="STZ193" s="173"/>
      <c r="SUA193" s="173"/>
      <c r="SUB193" s="173"/>
      <c r="SUC193" s="173"/>
      <c r="SUD193" s="173"/>
      <c r="SUE193" s="173"/>
      <c r="SUF193" s="173"/>
      <c r="SUG193" s="173"/>
      <c r="SUH193" s="125"/>
      <c r="SUI193" s="125"/>
      <c r="SUJ193" s="134"/>
      <c r="SUK193" s="135"/>
      <c r="SUL193" s="135"/>
      <c r="SUM193" s="135"/>
      <c r="SUN193" s="135"/>
      <c r="SUO193" s="173"/>
      <c r="SUP193" s="173"/>
      <c r="SUQ193" s="173"/>
      <c r="SUR193" s="173"/>
      <c r="SUS193" s="173"/>
      <c r="SUT193" s="173"/>
      <c r="SUU193" s="173"/>
      <c r="SUV193" s="173"/>
      <c r="SUW193" s="173"/>
      <c r="SUX193" s="173"/>
      <c r="SUY193" s="125"/>
      <c r="SUZ193" s="125"/>
      <c r="SVA193" s="134"/>
      <c r="SVB193" s="135"/>
      <c r="SVC193" s="135"/>
      <c r="SVD193" s="135"/>
      <c r="SVE193" s="135"/>
      <c r="SVF193" s="173"/>
      <c r="SVG193" s="173"/>
      <c r="SVH193" s="173"/>
      <c r="SVI193" s="173"/>
      <c r="SVJ193" s="173"/>
      <c r="SVK193" s="173"/>
      <c r="SVL193" s="173"/>
      <c r="SVM193" s="173"/>
      <c r="SVN193" s="173"/>
      <c r="SVO193" s="173"/>
      <c r="SVP193" s="125"/>
      <c r="SVQ193" s="125"/>
      <c r="SVR193" s="134"/>
      <c r="SVS193" s="135"/>
      <c r="SVT193" s="135"/>
      <c r="SVU193" s="135"/>
      <c r="SVV193" s="135"/>
      <c r="SVW193" s="173"/>
      <c r="SVX193" s="173"/>
      <c r="SVY193" s="173"/>
      <c r="SVZ193" s="173"/>
      <c r="SWA193" s="173"/>
      <c r="SWB193" s="173"/>
      <c r="SWC193" s="173"/>
      <c r="SWD193" s="173"/>
      <c r="SWE193" s="173"/>
      <c r="SWF193" s="173"/>
      <c r="SWG193" s="125"/>
      <c r="SWH193" s="125"/>
      <c r="SWI193" s="134"/>
      <c r="SWJ193" s="135"/>
      <c r="SWK193" s="135"/>
      <c r="SWL193" s="135"/>
      <c r="SWM193" s="135"/>
      <c r="SWN193" s="173"/>
      <c r="SWO193" s="173"/>
      <c r="SWP193" s="173"/>
      <c r="SWQ193" s="173"/>
      <c r="SWR193" s="173"/>
      <c r="SWS193" s="173"/>
      <c r="SWT193" s="173"/>
      <c r="SWU193" s="173"/>
      <c r="SWV193" s="173"/>
      <c r="SWW193" s="173"/>
      <c r="SWX193" s="125"/>
      <c r="SWY193" s="125"/>
      <c r="SWZ193" s="134"/>
      <c r="SXA193" s="135"/>
      <c r="SXB193" s="135"/>
      <c r="SXC193" s="135"/>
      <c r="SXD193" s="135"/>
      <c r="SXE193" s="173"/>
      <c r="SXF193" s="173"/>
      <c r="SXG193" s="173"/>
      <c r="SXH193" s="173"/>
      <c r="SXI193" s="173"/>
      <c r="SXJ193" s="173"/>
      <c r="SXK193" s="173"/>
      <c r="SXL193" s="173"/>
      <c r="SXM193" s="173"/>
      <c r="SXN193" s="173"/>
      <c r="SXO193" s="125"/>
      <c r="SXP193" s="125"/>
      <c r="SXQ193" s="134"/>
      <c r="SXR193" s="135"/>
      <c r="SXS193" s="135"/>
      <c r="SXT193" s="135"/>
      <c r="SXU193" s="135"/>
      <c r="SXV193" s="173"/>
      <c r="SXW193" s="173"/>
      <c r="SXX193" s="173"/>
      <c r="SXY193" s="173"/>
      <c r="SXZ193" s="173"/>
      <c r="SYA193" s="173"/>
      <c r="SYB193" s="173"/>
      <c r="SYC193" s="173"/>
      <c r="SYD193" s="173"/>
      <c r="SYE193" s="173"/>
      <c r="SYF193" s="125"/>
      <c r="SYG193" s="125"/>
      <c r="SYH193" s="134"/>
      <c r="SYI193" s="135"/>
      <c r="SYJ193" s="135"/>
      <c r="SYK193" s="135"/>
      <c r="SYL193" s="135"/>
      <c r="SYM193" s="173"/>
      <c r="SYN193" s="173"/>
      <c r="SYO193" s="173"/>
      <c r="SYP193" s="173"/>
      <c r="SYQ193" s="173"/>
      <c r="SYR193" s="173"/>
      <c r="SYS193" s="173"/>
      <c r="SYT193" s="173"/>
      <c r="SYU193" s="173"/>
      <c r="SYV193" s="173"/>
      <c r="SYW193" s="125"/>
      <c r="SYX193" s="125"/>
      <c r="SYY193" s="134"/>
      <c r="SYZ193" s="135"/>
      <c r="SZA193" s="135"/>
      <c r="SZB193" s="135"/>
      <c r="SZC193" s="135"/>
      <c r="SZD193" s="173"/>
      <c r="SZE193" s="173"/>
      <c r="SZF193" s="173"/>
      <c r="SZG193" s="173"/>
      <c r="SZH193" s="173"/>
      <c r="SZI193" s="173"/>
      <c r="SZJ193" s="173"/>
      <c r="SZK193" s="173"/>
      <c r="SZL193" s="173"/>
      <c r="SZM193" s="173"/>
      <c r="SZN193" s="125"/>
      <c r="SZO193" s="125"/>
      <c r="SZP193" s="134"/>
      <c r="SZQ193" s="135"/>
      <c r="SZR193" s="135"/>
      <c r="SZS193" s="135"/>
      <c r="SZT193" s="135"/>
      <c r="SZU193" s="173"/>
      <c r="SZV193" s="173"/>
      <c r="SZW193" s="173"/>
      <c r="SZX193" s="173"/>
      <c r="SZY193" s="173"/>
      <c r="SZZ193" s="173"/>
      <c r="TAA193" s="173"/>
      <c r="TAB193" s="173"/>
      <c r="TAC193" s="173"/>
      <c r="TAD193" s="173"/>
      <c r="TAE193" s="125"/>
      <c r="TAF193" s="125"/>
      <c r="TAG193" s="134"/>
      <c r="TAH193" s="135"/>
      <c r="TAI193" s="135"/>
      <c r="TAJ193" s="135"/>
      <c r="TAK193" s="135"/>
      <c r="TAL193" s="173"/>
      <c r="TAM193" s="173"/>
      <c r="TAN193" s="173"/>
      <c r="TAO193" s="173"/>
      <c r="TAP193" s="173"/>
      <c r="TAQ193" s="173"/>
      <c r="TAR193" s="173"/>
      <c r="TAS193" s="173"/>
      <c r="TAT193" s="173"/>
      <c r="TAU193" s="173"/>
      <c r="TAV193" s="125"/>
      <c r="TAW193" s="125"/>
      <c r="TAX193" s="134"/>
      <c r="TAY193" s="135"/>
      <c r="TAZ193" s="135"/>
      <c r="TBA193" s="135"/>
      <c r="TBB193" s="135"/>
      <c r="TBC193" s="173"/>
      <c r="TBD193" s="173"/>
      <c r="TBE193" s="173"/>
      <c r="TBF193" s="173"/>
      <c r="TBG193" s="173"/>
      <c r="TBH193" s="173"/>
      <c r="TBI193" s="173"/>
      <c r="TBJ193" s="173"/>
      <c r="TBK193" s="173"/>
      <c r="TBL193" s="173"/>
      <c r="TBM193" s="125"/>
      <c r="TBN193" s="125"/>
      <c r="TBO193" s="134"/>
      <c r="TBP193" s="135"/>
      <c r="TBQ193" s="135"/>
      <c r="TBR193" s="135"/>
      <c r="TBS193" s="135"/>
      <c r="TBT193" s="173"/>
      <c r="TBU193" s="173"/>
      <c r="TBV193" s="173"/>
      <c r="TBW193" s="173"/>
      <c r="TBX193" s="173"/>
      <c r="TBY193" s="173"/>
      <c r="TBZ193" s="173"/>
      <c r="TCA193" s="173"/>
      <c r="TCB193" s="173"/>
      <c r="TCC193" s="173"/>
      <c r="TCD193" s="125"/>
      <c r="TCE193" s="125"/>
      <c r="TCF193" s="134"/>
      <c r="TCG193" s="135"/>
      <c r="TCH193" s="135"/>
      <c r="TCI193" s="135"/>
      <c r="TCJ193" s="135"/>
      <c r="TCK193" s="173"/>
      <c r="TCL193" s="173"/>
      <c r="TCM193" s="173"/>
      <c r="TCN193" s="173"/>
      <c r="TCO193" s="173"/>
      <c r="TCP193" s="173"/>
      <c r="TCQ193" s="173"/>
      <c r="TCR193" s="173"/>
      <c r="TCS193" s="173"/>
      <c r="TCT193" s="173"/>
      <c r="TCU193" s="125"/>
      <c r="TCV193" s="125"/>
      <c r="TCW193" s="134"/>
      <c r="TCX193" s="135"/>
      <c r="TCY193" s="135"/>
      <c r="TCZ193" s="135"/>
      <c r="TDA193" s="135"/>
      <c r="TDB193" s="173"/>
      <c r="TDC193" s="173"/>
      <c r="TDD193" s="173"/>
      <c r="TDE193" s="173"/>
      <c r="TDF193" s="173"/>
      <c r="TDG193" s="173"/>
      <c r="TDH193" s="173"/>
      <c r="TDI193" s="173"/>
      <c r="TDJ193" s="173"/>
      <c r="TDK193" s="173"/>
      <c r="TDL193" s="125"/>
      <c r="TDM193" s="125"/>
      <c r="TDN193" s="134"/>
      <c r="TDO193" s="135"/>
      <c r="TDP193" s="135"/>
      <c r="TDQ193" s="135"/>
      <c r="TDR193" s="135"/>
      <c r="TDS193" s="173"/>
      <c r="TDT193" s="173"/>
      <c r="TDU193" s="173"/>
      <c r="TDV193" s="173"/>
      <c r="TDW193" s="173"/>
      <c r="TDX193" s="173"/>
      <c r="TDY193" s="173"/>
      <c r="TDZ193" s="173"/>
      <c r="TEA193" s="173"/>
      <c r="TEB193" s="173"/>
      <c r="TEC193" s="125"/>
      <c r="TED193" s="125"/>
      <c r="TEE193" s="134"/>
      <c r="TEF193" s="135"/>
      <c r="TEG193" s="135"/>
      <c r="TEH193" s="135"/>
      <c r="TEI193" s="135"/>
      <c r="TEJ193" s="173"/>
      <c r="TEK193" s="173"/>
      <c r="TEL193" s="173"/>
      <c r="TEM193" s="173"/>
      <c r="TEN193" s="173"/>
      <c r="TEO193" s="173"/>
      <c r="TEP193" s="173"/>
      <c r="TEQ193" s="173"/>
      <c r="TER193" s="173"/>
      <c r="TES193" s="173"/>
      <c r="TET193" s="125"/>
      <c r="TEU193" s="125"/>
      <c r="TEV193" s="134"/>
      <c r="TEW193" s="135"/>
      <c r="TEX193" s="135"/>
      <c r="TEY193" s="135"/>
      <c r="TEZ193" s="135"/>
      <c r="TFA193" s="173"/>
      <c r="TFB193" s="173"/>
      <c r="TFC193" s="173"/>
      <c r="TFD193" s="173"/>
      <c r="TFE193" s="173"/>
      <c r="TFF193" s="173"/>
      <c r="TFG193" s="173"/>
      <c r="TFH193" s="173"/>
      <c r="TFI193" s="173"/>
      <c r="TFJ193" s="173"/>
      <c r="TFK193" s="125"/>
      <c r="TFL193" s="125"/>
      <c r="TFM193" s="134"/>
      <c r="TFN193" s="135"/>
      <c r="TFO193" s="135"/>
      <c r="TFP193" s="135"/>
      <c r="TFQ193" s="135"/>
      <c r="TFR193" s="173"/>
      <c r="TFS193" s="173"/>
      <c r="TFT193" s="173"/>
      <c r="TFU193" s="173"/>
      <c r="TFV193" s="173"/>
      <c r="TFW193" s="173"/>
      <c r="TFX193" s="173"/>
      <c r="TFY193" s="173"/>
      <c r="TFZ193" s="173"/>
      <c r="TGA193" s="173"/>
      <c r="TGB193" s="125"/>
      <c r="TGC193" s="125"/>
      <c r="TGD193" s="134"/>
      <c r="TGE193" s="135"/>
      <c r="TGF193" s="135"/>
      <c r="TGG193" s="135"/>
      <c r="TGH193" s="135"/>
      <c r="TGI193" s="173"/>
      <c r="TGJ193" s="173"/>
      <c r="TGK193" s="173"/>
      <c r="TGL193" s="173"/>
      <c r="TGM193" s="173"/>
      <c r="TGN193" s="173"/>
      <c r="TGO193" s="173"/>
      <c r="TGP193" s="173"/>
      <c r="TGQ193" s="173"/>
      <c r="TGR193" s="173"/>
      <c r="TGS193" s="125"/>
      <c r="TGT193" s="125"/>
      <c r="TGU193" s="134"/>
      <c r="TGV193" s="135"/>
      <c r="TGW193" s="135"/>
      <c r="TGX193" s="135"/>
      <c r="TGY193" s="135"/>
      <c r="TGZ193" s="173"/>
      <c r="THA193" s="173"/>
      <c r="THB193" s="173"/>
      <c r="THC193" s="173"/>
      <c r="THD193" s="173"/>
      <c r="THE193" s="173"/>
      <c r="THF193" s="173"/>
      <c r="THG193" s="173"/>
      <c r="THH193" s="173"/>
      <c r="THI193" s="173"/>
      <c r="THJ193" s="125"/>
      <c r="THK193" s="125"/>
      <c r="THL193" s="134"/>
      <c r="THM193" s="135"/>
      <c r="THN193" s="135"/>
      <c r="THO193" s="135"/>
      <c r="THP193" s="135"/>
      <c r="THQ193" s="173"/>
      <c r="THR193" s="173"/>
      <c r="THS193" s="173"/>
      <c r="THT193" s="173"/>
      <c r="THU193" s="173"/>
      <c r="THV193" s="173"/>
      <c r="THW193" s="173"/>
      <c r="THX193" s="173"/>
      <c r="THY193" s="173"/>
      <c r="THZ193" s="173"/>
      <c r="TIA193" s="125"/>
      <c r="TIB193" s="125"/>
      <c r="TIC193" s="134"/>
      <c r="TID193" s="135"/>
      <c r="TIE193" s="135"/>
      <c r="TIF193" s="135"/>
      <c r="TIG193" s="135"/>
      <c r="TIH193" s="173"/>
      <c r="TII193" s="173"/>
      <c r="TIJ193" s="173"/>
      <c r="TIK193" s="173"/>
      <c r="TIL193" s="173"/>
      <c r="TIM193" s="173"/>
      <c r="TIN193" s="173"/>
      <c r="TIO193" s="173"/>
      <c r="TIP193" s="173"/>
      <c r="TIQ193" s="173"/>
      <c r="TIR193" s="125"/>
      <c r="TIS193" s="125"/>
      <c r="TIT193" s="134"/>
      <c r="TIU193" s="135"/>
      <c r="TIV193" s="135"/>
      <c r="TIW193" s="135"/>
      <c r="TIX193" s="135"/>
      <c r="TIY193" s="173"/>
      <c r="TIZ193" s="173"/>
      <c r="TJA193" s="173"/>
      <c r="TJB193" s="173"/>
      <c r="TJC193" s="173"/>
      <c r="TJD193" s="173"/>
      <c r="TJE193" s="173"/>
      <c r="TJF193" s="173"/>
      <c r="TJG193" s="173"/>
      <c r="TJH193" s="173"/>
      <c r="TJI193" s="125"/>
      <c r="TJJ193" s="125"/>
      <c r="TJK193" s="134"/>
      <c r="TJL193" s="135"/>
      <c r="TJM193" s="135"/>
      <c r="TJN193" s="135"/>
      <c r="TJO193" s="135"/>
      <c r="TJP193" s="173"/>
      <c r="TJQ193" s="173"/>
      <c r="TJR193" s="173"/>
      <c r="TJS193" s="173"/>
      <c r="TJT193" s="173"/>
      <c r="TJU193" s="173"/>
      <c r="TJV193" s="173"/>
      <c r="TJW193" s="173"/>
      <c r="TJX193" s="173"/>
      <c r="TJY193" s="173"/>
      <c r="TJZ193" s="125"/>
      <c r="TKA193" s="125"/>
      <c r="TKB193" s="134"/>
      <c r="TKC193" s="135"/>
      <c r="TKD193" s="135"/>
      <c r="TKE193" s="135"/>
      <c r="TKF193" s="135"/>
      <c r="TKG193" s="173"/>
      <c r="TKH193" s="173"/>
      <c r="TKI193" s="173"/>
      <c r="TKJ193" s="173"/>
      <c r="TKK193" s="173"/>
      <c r="TKL193" s="173"/>
      <c r="TKM193" s="173"/>
      <c r="TKN193" s="173"/>
      <c r="TKO193" s="173"/>
      <c r="TKP193" s="173"/>
      <c r="TKQ193" s="125"/>
      <c r="TKR193" s="125"/>
      <c r="TKS193" s="134"/>
      <c r="TKT193" s="135"/>
      <c r="TKU193" s="135"/>
      <c r="TKV193" s="135"/>
      <c r="TKW193" s="135"/>
      <c r="TKX193" s="173"/>
      <c r="TKY193" s="173"/>
      <c r="TKZ193" s="173"/>
      <c r="TLA193" s="173"/>
      <c r="TLB193" s="173"/>
      <c r="TLC193" s="173"/>
      <c r="TLD193" s="173"/>
      <c r="TLE193" s="173"/>
      <c r="TLF193" s="173"/>
      <c r="TLG193" s="173"/>
      <c r="TLH193" s="125"/>
      <c r="TLI193" s="125"/>
      <c r="TLJ193" s="134"/>
      <c r="TLK193" s="135"/>
      <c r="TLL193" s="135"/>
      <c r="TLM193" s="135"/>
      <c r="TLN193" s="135"/>
      <c r="TLO193" s="173"/>
      <c r="TLP193" s="173"/>
      <c r="TLQ193" s="173"/>
      <c r="TLR193" s="173"/>
      <c r="TLS193" s="173"/>
      <c r="TLT193" s="173"/>
      <c r="TLU193" s="173"/>
      <c r="TLV193" s="173"/>
      <c r="TLW193" s="173"/>
      <c r="TLX193" s="173"/>
      <c r="TLY193" s="125"/>
      <c r="TLZ193" s="125"/>
      <c r="TMA193" s="134"/>
      <c r="TMB193" s="135"/>
      <c r="TMC193" s="135"/>
      <c r="TMD193" s="135"/>
      <c r="TME193" s="135"/>
      <c r="TMF193" s="173"/>
      <c r="TMG193" s="173"/>
      <c r="TMH193" s="173"/>
      <c r="TMI193" s="173"/>
      <c r="TMJ193" s="173"/>
      <c r="TMK193" s="173"/>
      <c r="TML193" s="173"/>
      <c r="TMM193" s="173"/>
      <c r="TMN193" s="173"/>
      <c r="TMO193" s="173"/>
      <c r="TMP193" s="125"/>
      <c r="TMQ193" s="125"/>
      <c r="TMR193" s="134"/>
      <c r="TMS193" s="135"/>
      <c r="TMT193" s="135"/>
      <c r="TMU193" s="135"/>
      <c r="TMV193" s="135"/>
      <c r="TMW193" s="173"/>
      <c r="TMX193" s="173"/>
      <c r="TMY193" s="173"/>
      <c r="TMZ193" s="173"/>
      <c r="TNA193" s="173"/>
      <c r="TNB193" s="173"/>
      <c r="TNC193" s="173"/>
      <c r="TND193" s="173"/>
      <c r="TNE193" s="173"/>
      <c r="TNF193" s="173"/>
      <c r="TNG193" s="125"/>
      <c r="TNH193" s="125"/>
      <c r="TNI193" s="134"/>
      <c r="TNJ193" s="135"/>
      <c r="TNK193" s="135"/>
      <c r="TNL193" s="135"/>
      <c r="TNM193" s="135"/>
      <c r="TNN193" s="173"/>
      <c r="TNO193" s="173"/>
      <c r="TNP193" s="173"/>
      <c r="TNQ193" s="173"/>
      <c r="TNR193" s="173"/>
      <c r="TNS193" s="173"/>
      <c r="TNT193" s="173"/>
      <c r="TNU193" s="173"/>
      <c r="TNV193" s="173"/>
      <c r="TNW193" s="173"/>
      <c r="TNX193" s="125"/>
      <c r="TNY193" s="125"/>
      <c r="TNZ193" s="134"/>
      <c r="TOA193" s="135"/>
      <c r="TOB193" s="135"/>
      <c r="TOC193" s="135"/>
      <c r="TOD193" s="135"/>
      <c r="TOE193" s="173"/>
      <c r="TOF193" s="173"/>
      <c r="TOG193" s="173"/>
      <c r="TOH193" s="173"/>
      <c r="TOI193" s="173"/>
      <c r="TOJ193" s="173"/>
      <c r="TOK193" s="173"/>
      <c r="TOL193" s="173"/>
      <c r="TOM193" s="173"/>
      <c r="TON193" s="173"/>
      <c r="TOO193" s="125"/>
      <c r="TOP193" s="125"/>
      <c r="TOQ193" s="134"/>
      <c r="TOR193" s="135"/>
      <c r="TOS193" s="135"/>
      <c r="TOT193" s="135"/>
      <c r="TOU193" s="135"/>
      <c r="TOV193" s="173"/>
      <c r="TOW193" s="173"/>
      <c r="TOX193" s="173"/>
      <c r="TOY193" s="173"/>
      <c r="TOZ193" s="173"/>
      <c r="TPA193" s="173"/>
      <c r="TPB193" s="173"/>
      <c r="TPC193" s="173"/>
      <c r="TPD193" s="173"/>
      <c r="TPE193" s="173"/>
      <c r="TPF193" s="125"/>
      <c r="TPG193" s="125"/>
      <c r="TPH193" s="134"/>
      <c r="TPI193" s="135"/>
      <c r="TPJ193" s="135"/>
      <c r="TPK193" s="135"/>
      <c r="TPL193" s="135"/>
      <c r="TPM193" s="173"/>
      <c r="TPN193" s="173"/>
      <c r="TPO193" s="173"/>
      <c r="TPP193" s="173"/>
      <c r="TPQ193" s="173"/>
      <c r="TPR193" s="173"/>
      <c r="TPS193" s="173"/>
      <c r="TPT193" s="173"/>
      <c r="TPU193" s="173"/>
      <c r="TPV193" s="173"/>
      <c r="TPW193" s="125"/>
      <c r="TPX193" s="125"/>
      <c r="TPY193" s="134"/>
      <c r="TPZ193" s="135"/>
      <c r="TQA193" s="135"/>
      <c r="TQB193" s="135"/>
      <c r="TQC193" s="135"/>
      <c r="TQD193" s="173"/>
      <c r="TQE193" s="173"/>
      <c r="TQF193" s="173"/>
      <c r="TQG193" s="173"/>
      <c r="TQH193" s="173"/>
      <c r="TQI193" s="173"/>
      <c r="TQJ193" s="173"/>
      <c r="TQK193" s="173"/>
      <c r="TQL193" s="173"/>
      <c r="TQM193" s="173"/>
      <c r="TQN193" s="125"/>
      <c r="TQO193" s="125"/>
      <c r="TQP193" s="134"/>
      <c r="TQQ193" s="135"/>
      <c r="TQR193" s="135"/>
      <c r="TQS193" s="135"/>
      <c r="TQT193" s="135"/>
      <c r="TQU193" s="173"/>
      <c r="TQV193" s="173"/>
      <c r="TQW193" s="173"/>
      <c r="TQX193" s="173"/>
      <c r="TQY193" s="173"/>
      <c r="TQZ193" s="173"/>
      <c r="TRA193" s="173"/>
      <c r="TRB193" s="173"/>
      <c r="TRC193" s="173"/>
      <c r="TRD193" s="173"/>
      <c r="TRE193" s="125"/>
      <c r="TRF193" s="125"/>
      <c r="TRG193" s="134"/>
      <c r="TRH193" s="135"/>
      <c r="TRI193" s="135"/>
      <c r="TRJ193" s="135"/>
      <c r="TRK193" s="135"/>
      <c r="TRL193" s="173"/>
      <c r="TRM193" s="173"/>
      <c r="TRN193" s="173"/>
      <c r="TRO193" s="173"/>
      <c r="TRP193" s="173"/>
      <c r="TRQ193" s="173"/>
      <c r="TRR193" s="173"/>
      <c r="TRS193" s="173"/>
      <c r="TRT193" s="173"/>
      <c r="TRU193" s="173"/>
      <c r="TRV193" s="125"/>
      <c r="TRW193" s="125"/>
      <c r="TRX193" s="134"/>
      <c r="TRY193" s="135"/>
      <c r="TRZ193" s="135"/>
      <c r="TSA193" s="135"/>
      <c r="TSB193" s="135"/>
      <c r="TSC193" s="173"/>
      <c r="TSD193" s="173"/>
      <c r="TSE193" s="173"/>
      <c r="TSF193" s="173"/>
      <c r="TSG193" s="173"/>
      <c r="TSH193" s="173"/>
      <c r="TSI193" s="173"/>
      <c r="TSJ193" s="173"/>
      <c r="TSK193" s="173"/>
      <c r="TSL193" s="173"/>
      <c r="TSM193" s="125"/>
      <c r="TSN193" s="125"/>
      <c r="TSO193" s="134"/>
      <c r="TSP193" s="135"/>
      <c r="TSQ193" s="135"/>
      <c r="TSR193" s="135"/>
      <c r="TSS193" s="135"/>
      <c r="TST193" s="173"/>
      <c r="TSU193" s="173"/>
      <c r="TSV193" s="173"/>
      <c r="TSW193" s="173"/>
      <c r="TSX193" s="173"/>
      <c r="TSY193" s="173"/>
      <c r="TSZ193" s="173"/>
      <c r="TTA193" s="173"/>
      <c r="TTB193" s="173"/>
      <c r="TTC193" s="173"/>
      <c r="TTD193" s="125"/>
      <c r="TTE193" s="125"/>
      <c r="TTF193" s="134"/>
      <c r="TTG193" s="135"/>
      <c r="TTH193" s="135"/>
      <c r="TTI193" s="135"/>
      <c r="TTJ193" s="135"/>
      <c r="TTK193" s="173"/>
      <c r="TTL193" s="173"/>
      <c r="TTM193" s="173"/>
      <c r="TTN193" s="173"/>
      <c r="TTO193" s="173"/>
      <c r="TTP193" s="173"/>
      <c r="TTQ193" s="173"/>
      <c r="TTR193" s="173"/>
      <c r="TTS193" s="173"/>
      <c r="TTT193" s="173"/>
      <c r="TTU193" s="125"/>
      <c r="TTV193" s="125"/>
      <c r="TTW193" s="134"/>
      <c r="TTX193" s="135"/>
      <c r="TTY193" s="135"/>
      <c r="TTZ193" s="135"/>
      <c r="TUA193" s="135"/>
      <c r="TUB193" s="173"/>
      <c r="TUC193" s="173"/>
      <c r="TUD193" s="173"/>
      <c r="TUE193" s="173"/>
      <c r="TUF193" s="173"/>
      <c r="TUG193" s="173"/>
      <c r="TUH193" s="173"/>
      <c r="TUI193" s="173"/>
      <c r="TUJ193" s="173"/>
      <c r="TUK193" s="173"/>
      <c r="TUL193" s="125"/>
      <c r="TUM193" s="125"/>
      <c r="TUN193" s="134"/>
      <c r="TUO193" s="135"/>
      <c r="TUP193" s="135"/>
      <c r="TUQ193" s="135"/>
      <c r="TUR193" s="135"/>
      <c r="TUS193" s="173"/>
      <c r="TUT193" s="173"/>
      <c r="TUU193" s="173"/>
      <c r="TUV193" s="173"/>
      <c r="TUW193" s="173"/>
      <c r="TUX193" s="173"/>
      <c r="TUY193" s="173"/>
      <c r="TUZ193" s="173"/>
      <c r="TVA193" s="173"/>
      <c r="TVB193" s="173"/>
      <c r="TVC193" s="125"/>
      <c r="TVD193" s="125"/>
      <c r="TVE193" s="134"/>
      <c r="TVF193" s="135"/>
      <c r="TVG193" s="135"/>
      <c r="TVH193" s="135"/>
      <c r="TVI193" s="135"/>
      <c r="TVJ193" s="173"/>
      <c r="TVK193" s="173"/>
      <c r="TVL193" s="173"/>
      <c r="TVM193" s="173"/>
      <c r="TVN193" s="173"/>
      <c r="TVO193" s="173"/>
      <c r="TVP193" s="173"/>
      <c r="TVQ193" s="173"/>
      <c r="TVR193" s="173"/>
      <c r="TVS193" s="173"/>
      <c r="TVT193" s="125"/>
      <c r="TVU193" s="125"/>
      <c r="TVV193" s="134"/>
      <c r="TVW193" s="135"/>
      <c r="TVX193" s="135"/>
      <c r="TVY193" s="135"/>
      <c r="TVZ193" s="135"/>
      <c r="TWA193" s="173"/>
      <c r="TWB193" s="173"/>
      <c r="TWC193" s="173"/>
      <c r="TWD193" s="173"/>
      <c r="TWE193" s="173"/>
      <c r="TWF193" s="173"/>
      <c r="TWG193" s="173"/>
      <c r="TWH193" s="173"/>
      <c r="TWI193" s="173"/>
      <c r="TWJ193" s="173"/>
      <c r="TWK193" s="125"/>
      <c r="TWL193" s="125"/>
      <c r="TWM193" s="134"/>
      <c r="TWN193" s="135"/>
      <c r="TWO193" s="135"/>
      <c r="TWP193" s="135"/>
      <c r="TWQ193" s="135"/>
      <c r="TWR193" s="173"/>
      <c r="TWS193" s="173"/>
      <c r="TWT193" s="173"/>
      <c r="TWU193" s="173"/>
      <c r="TWV193" s="173"/>
      <c r="TWW193" s="173"/>
      <c r="TWX193" s="173"/>
      <c r="TWY193" s="173"/>
      <c r="TWZ193" s="173"/>
      <c r="TXA193" s="173"/>
      <c r="TXB193" s="125"/>
      <c r="TXC193" s="125"/>
      <c r="TXD193" s="134"/>
      <c r="TXE193" s="135"/>
      <c r="TXF193" s="135"/>
      <c r="TXG193" s="135"/>
      <c r="TXH193" s="135"/>
      <c r="TXI193" s="173"/>
      <c r="TXJ193" s="173"/>
      <c r="TXK193" s="173"/>
      <c r="TXL193" s="173"/>
      <c r="TXM193" s="173"/>
      <c r="TXN193" s="173"/>
      <c r="TXO193" s="173"/>
      <c r="TXP193" s="173"/>
      <c r="TXQ193" s="173"/>
      <c r="TXR193" s="173"/>
      <c r="TXS193" s="125"/>
      <c r="TXT193" s="125"/>
      <c r="TXU193" s="134"/>
      <c r="TXV193" s="135"/>
      <c r="TXW193" s="135"/>
      <c r="TXX193" s="135"/>
      <c r="TXY193" s="135"/>
      <c r="TXZ193" s="173"/>
      <c r="TYA193" s="173"/>
      <c r="TYB193" s="173"/>
      <c r="TYC193" s="173"/>
      <c r="TYD193" s="173"/>
      <c r="TYE193" s="173"/>
      <c r="TYF193" s="173"/>
      <c r="TYG193" s="173"/>
      <c r="TYH193" s="173"/>
      <c r="TYI193" s="173"/>
      <c r="TYJ193" s="125"/>
      <c r="TYK193" s="125"/>
      <c r="TYL193" s="134"/>
      <c r="TYM193" s="135"/>
      <c r="TYN193" s="135"/>
      <c r="TYO193" s="135"/>
      <c r="TYP193" s="135"/>
      <c r="TYQ193" s="173"/>
      <c r="TYR193" s="173"/>
      <c r="TYS193" s="173"/>
      <c r="TYT193" s="173"/>
      <c r="TYU193" s="173"/>
      <c r="TYV193" s="173"/>
      <c r="TYW193" s="173"/>
      <c r="TYX193" s="173"/>
      <c r="TYY193" s="173"/>
      <c r="TYZ193" s="173"/>
      <c r="TZA193" s="125"/>
      <c r="TZB193" s="125"/>
      <c r="TZC193" s="134"/>
      <c r="TZD193" s="135"/>
      <c r="TZE193" s="135"/>
      <c r="TZF193" s="135"/>
      <c r="TZG193" s="135"/>
      <c r="TZH193" s="173"/>
      <c r="TZI193" s="173"/>
      <c r="TZJ193" s="173"/>
      <c r="TZK193" s="173"/>
      <c r="TZL193" s="173"/>
      <c r="TZM193" s="173"/>
      <c r="TZN193" s="173"/>
      <c r="TZO193" s="173"/>
      <c r="TZP193" s="173"/>
      <c r="TZQ193" s="173"/>
      <c r="TZR193" s="125"/>
      <c r="TZS193" s="125"/>
      <c r="TZT193" s="134"/>
      <c r="TZU193" s="135"/>
      <c r="TZV193" s="135"/>
      <c r="TZW193" s="135"/>
      <c r="TZX193" s="135"/>
      <c r="TZY193" s="173"/>
      <c r="TZZ193" s="173"/>
      <c r="UAA193" s="173"/>
      <c r="UAB193" s="173"/>
      <c r="UAC193" s="173"/>
      <c r="UAD193" s="173"/>
      <c r="UAE193" s="173"/>
      <c r="UAF193" s="173"/>
      <c r="UAG193" s="173"/>
      <c r="UAH193" s="173"/>
      <c r="UAI193" s="125"/>
      <c r="UAJ193" s="125"/>
      <c r="UAK193" s="134"/>
      <c r="UAL193" s="135"/>
      <c r="UAM193" s="135"/>
      <c r="UAN193" s="135"/>
      <c r="UAO193" s="135"/>
      <c r="UAP193" s="173"/>
      <c r="UAQ193" s="173"/>
      <c r="UAR193" s="173"/>
      <c r="UAS193" s="173"/>
      <c r="UAT193" s="173"/>
      <c r="UAU193" s="173"/>
      <c r="UAV193" s="173"/>
      <c r="UAW193" s="173"/>
      <c r="UAX193" s="173"/>
      <c r="UAY193" s="173"/>
      <c r="UAZ193" s="125"/>
      <c r="UBA193" s="125"/>
      <c r="UBB193" s="134"/>
      <c r="UBC193" s="135"/>
      <c r="UBD193" s="135"/>
      <c r="UBE193" s="135"/>
      <c r="UBF193" s="135"/>
      <c r="UBG193" s="173"/>
      <c r="UBH193" s="173"/>
      <c r="UBI193" s="173"/>
      <c r="UBJ193" s="173"/>
      <c r="UBK193" s="173"/>
      <c r="UBL193" s="173"/>
      <c r="UBM193" s="173"/>
      <c r="UBN193" s="173"/>
      <c r="UBO193" s="173"/>
      <c r="UBP193" s="173"/>
      <c r="UBQ193" s="125"/>
      <c r="UBR193" s="125"/>
      <c r="UBS193" s="134"/>
      <c r="UBT193" s="135"/>
      <c r="UBU193" s="135"/>
      <c r="UBV193" s="135"/>
      <c r="UBW193" s="135"/>
      <c r="UBX193" s="173"/>
      <c r="UBY193" s="173"/>
      <c r="UBZ193" s="173"/>
      <c r="UCA193" s="173"/>
      <c r="UCB193" s="173"/>
      <c r="UCC193" s="173"/>
      <c r="UCD193" s="173"/>
      <c r="UCE193" s="173"/>
      <c r="UCF193" s="173"/>
      <c r="UCG193" s="173"/>
      <c r="UCH193" s="125"/>
      <c r="UCI193" s="125"/>
      <c r="UCJ193" s="134"/>
      <c r="UCK193" s="135"/>
      <c r="UCL193" s="135"/>
      <c r="UCM193" s="135"/>
      <c r="UCN193" s="135"/>
      <c r="UCO193" s="173"/>
      <c r="UCP193" s="173"/>
      <c r="UCQ193" s="173"/>
      <c r="UCR193" s="173"/>
      <c r="UCS193" s="173"/>
      <c r="UCT193" s="173"/>
      <c r="UCU193" s="173"/>
      <c r="UCV193" s="173"/>
      <c r="UCW193" s="173"/>
      <c r="UCX193" s="173"/>
      <c r="UCY193" s="125"/>
      <c r="UCZ193" s="125"/>
      <c r="UDA193" s="134"/>
      <c r="UDB193" s="135"/>
      <c r="UDC193" s="135"/>
      <c r="UDD193" s="135"/>
      <c r="UDE193" s="135"/>
      <c r="UDF193" s="173"/>
      <c r="UDG193" s="173"/>
      <c r="UDH193" s="173"/>
      <c r="UDI193" s="173"/>
      <c r="UDJ193" s="173"/>
      <c r="UDK193" s="173"/>
      <c r="UDL193" s="173"/>
      <c r="UDM193" s="173"/>
      <c r="UDN193" s="173"/>
      <c r="UDO193" s="173"/>
      <c r="UDP193" s="125"/>
      <c r="UDQ193" s="125"/>
      <c r="UDR193" s="134"/>
      <c r="UDS193" s="135"/>
      <c r="UDT193" s="135"/>
      <c r="UDU193" s="135"/>
      <c r="UDV193" s="135"/>
      <c r="UDW193" s="173"/>
      <c r="UDX193" s="173"/>
      <c r="UDY193" s="173"/>
      <c r="UDZ193" s="173"/>
      <c r="UEA193" s="173"/>
      <c r="UEB193" s="173"/>
      <c r="UEC193" s="173"/>
      <c r="UED193" s="173"/>
      <c r="UEE193" s="173"/>
      <c r="UEF193" s="173"/>
      <c r="UEG193" s="125"/>
      <c r="UEH193" s="125"/>
      <c r="UEI193" s="134"/>
      <c r="UEJ193" s="135"/>
      <c r="UEK193" s="135"/>
      <c r="UEL193" s="135"/>
      <c r="UEM193" s="135"/>
      <c r="UEN193" s="173"/>
      <c r="UEO193" s="173"/>
      <c r="UEP193" s="173"/>
      <c r="UEQ193" s="173"/>
      <c r="UER193" s="173"/>
      <c r="UES193" s="173"/>
      <c r="UET193" s="173"/>
      <c r="UEU193" s="173"/>
      <c r="UEV193" s="173"/>
      <c r="UEW193" s="173"/>
      <c r="UEX193" s="125"/>
      <c r="UEY193" s="125"/>
      <c r="UEZ193" s="134"/>
      <c r="UFA193" s="135"/>
      <c r="UFB193" s="135"/>
      <c r="UFC193" s="135"/>
      <c r="UFD193" s="135"/>
      <c r="UFE193" s="173"/>
      <c r="UFF193" s="173"/>
      <c r="UFG193" s="173"/>
      <c r="UFH193" s="173"/>
      <c r="UFI193" s="173"/>
      <c r="UFJ193" s="173"/>
      <c r="UFK193" s="173"/>
      <c r="UFL193" s="173"/>
      <c r="UFM193" s="173"/>
      <c r="UFN193" s="173"/>
      <c r="UFO193" s="125"/>
      <c r="UFP193" s="125"/>
      <c r="UFQ193" s="134"/>
      <c r="UFR193" s="135"/>
      <c r="UFS193" s="135"/>
      <c r="UFT193" s="135"/>
      <c r="UFU193" s="135"/>
      <c r="UFV193" s="173"/>
      <c r="UFW193" s="173"/>
      <c r="UFX193" s="173"/>
      <c r="UFY193" s="173"/>
      <c r="UFZ193" s="173"/>
      <c r="UGA193" s="173"/>
      <c r="UGB193" s="173"/>
      <c r="UGC193" s="173"/>
      <c r="UGD193" s="173"/>
      <c r="UGE193" s="173"/>
      <c r="UGF193" s="125"/>
      <c r="UGG193" s="125"/>
      <c r="UGH193" s="134"/>
      <c r="UGI193" s="135"/>
      <c r="UGJ193" s="135"/>
      <c r="UGK193" s="135"/>
      <c r="UGL193" s="135"/>
      <c r="UGM193" s="173"/>
      <c r="UGN193" s="173"/>
      <c r="UGO193" s="173"/>
      <c r="UGP193" s="173"/>
      <c r="UGQ193" s="173"/>
      <c r="UGR193" s="173"/>
      <c r="UGS193" s="173"/>
      <c r="UGT193" s="173"/>
      <c r="UGU193" s="173"/>
      <c r="UGV193" s="173"/>
      <c r="UGW193" s="125"/>
      <c r="UGX193" s="125"/>
      <c r="UGY193" s="134"/>
      <c r="UGZ193" s="135"/>
      <c r="UHA193" s="135"/>
      <c r="UHB193" s="135"/>
      <c r="UHC193" s="135"/>
      <c r="UHD193" s="173"/>
      <c r="UHE193" s="173"/>
      <c r="UHF193" s="173"/>
      <c r="UHG193" s="173"/>
      <c r="UHH193" s="173"/>
      <c r="UHI193" s="173"/>
      <c r="UHJ193" s="173"/>
      <c r="UHK193" s="173"/>
      <c r="UHL193" s="173"/>
      <c r="UHM193" s="173"/>
      <c r="UHN193" s="125"/>
      <c r="UHO193" s="125"/>
      <c r="UHP193" s="134"/>
      <c r="UHQ193" s="135"/>
      <c r="UHR193" s="135"/>
      <c r="UHS193" s="135"/>
      <c r="UHT193" s="135"/>
      <c r="UHU193" s="173"/>
      <c r="UHV193" s="173"/>
      <c r="UHW193" s="173"/>
      <c r="UHX193" s="173"/>
      <c r="UHY193" s="173"/>
      <c r="UHZ193" s="173"/>
      <c r="UIA193" s="173"/>
      <c r="UIB193" s="173"/>
      <c r="UIC193" s="173"/>
      <c r="UID193" s="173"/>
      <c r="UIE193" s="125"/>
      <c r="UIF193" s="125"/>
      <c r="UIG193" s="134"/>
      <c r="UIH193" s="135"/>
      <c r="UII193" s="135"/>
      <c r="UIJ193" s="135"/>
      <c r="UIK193" s="135"/>
      <c r="UIL193" s="173"/>
      <c r="UIM193" s="173"/>
      <c r="UIN193" s="173"/>
      <c r="UIO193" s="173"/>
      <c r="UIP193" s="173"/>
      <c r="UIQ193" s="173"/>
      <c r="UIR193" s="173"/>
      <c r="UIS193" s="173"/>
      <c r="UIT193" s="173"/>
      <c r="UIU193" s="173"/>
      <c r="UIV193" s="125"/>
      <c r="UIW193" s="125"/>
      <c r="UIX193" s="134"/>
      <c r="UIY193" s="135"/>
      <c r="UIZ193" s="135"/>
      <c r="UJA193" s="135"/>
      <c r="UJB193" s="135"/>
      <c r="UJC193" s="173"/>
      <c r="UJD193" s="173"/>
      <c r="UJE193" s="173"/>
      <c r="UJF193" s="173"/>
      <c r="UJG193" s="173"/>
      <c r="UJH193" s="173"/>
      <c r="UJI193" s="173"/>
      <c r="UJJ193" s="173"/>
      <c r="UJK193" s="173"/>
      <c r="UJL193" s="173"/>
      <c r="UJM193" s="125"/>
      <c r="UJN193" s="125"/>
      <c r="UJO193" s="134"/>
      <c r="UJP193" s="135"/>
      <c r="UJQ193" s="135"/>
      <c r="UJR193" s="135"/>
      <c r="UJS193" s="135"/>
      <c r="UJT193" s="173"/>
      <c r="UJU193" s="173"/>
      <c r="UJV193" s="173"/>
      <c r="UJW193" s="173"/>
      <c r="UJX193" s="173"/>
      <c r="UJY193" s="173"/>
      <c r="UJZ193" s="173"/>
      <c r="UKA193" s="173"/>
      <c r="UKB193" s="173"/>
      <c r="UKC193" s="173"/>
      <c r="UKD193" s="125"/>
      <c r="UKE193" s="125"/>
      <c r="UKF193" s="134"/>
      <c r="UKG193" s="135"/>
      <c r="UKH193" s="135"/>
      <c r="UKI193" s="135"/>
      <c r="UKJ193" s="135"/>
      <c r="UKK193" s="173"/>
      <c r="UKL193" s="173"/>
      <c r="UKM193" s="173"/>
      <c r="UKN193" s="173"/>
      <c r="UKO193" s="173"/>
      <c r="UKP193" s="173"/>
      <c r="UKQ193" s="173"/>
      <c r="UKR193" s="173"/>
      <c r="UKS193" s="173"/>
      <c r="UKT193" s="173"/>
      <c r="UKU193" s="125"/>
      <c r="UKV193" s="125"/>
      <c r="UKW193" s="134"/>
      <c r="UKX193" s="135"/>
      <c r="UKY193" s="135"/>
      <c r="UKZ193" s="135"/>
      <c r="ULA193" s="135"/>
      <c r="ULB193" s="173"/>
      <c r="ULC193" s="173"/>
      <c r="ULD193" s="173"/>
      <c r="ULE193" s="173"/>
      <c r="ULF193" s="173"/>
      <c r="ULG193" s="173"/>
      <c r="ULH193" s="173"/>
      <c r="ULI193" s="173"/>
      <c r="ULJ193" s="173"/>
      <c r="ULK193" s="173"/>
      <c r="ULL193" s="125"/>
      <c r="ULM193" s="125"/>
      <c r="ULN193" s="134"/>
      <c r="ULO193" s="135"/>
      <c r="ULP193" s="135"/>
      <c r="ULQ193" s="135"/>
      <c r="ULR193" s="135"/>
      <c r="ULS193" s="173"/>
      <c r="ULT193" s="173"/>
      <c r="ULU193" s="173"/>
      <c r="ULV193" s="173"/>
      <c r="ULW193" s="173"/>
      <c r="ULX193" s="173"/>
      <c r="ULY193" s="173"/>
      <c r="ULZ193" s="173"/>
      <c r="UMA193" s="173"/>
      <c r="UMB193" s="173"/>
      <c r="UMC193" s="125"/>
      <c r="UMD193" s="125"/>
      <c r="UME193" s="134"/>
      <c r="UMF193" s="135"/>
      <c r="UMG193" s="135"/>
      <c r="UMH193" s="135"/>
      <c r="UMI193" s="135"/>
      <c r="UMJ193" s="173"/>
      <c r="UMK193" s="173"/>
      <c r="UML193" s="173"/>
      <c r="UMM193" s="173"/>
      <c r="UMN193" s="173"/>
      <c r="UMO193" s="173"/>
      <c r="UMP193" s="173"/>
      <c r="UMQ193" s="173"/>
      <c r="UMR193" s="173"/>
      <c r="UMS193" s="173"/>
      <c r="UMT193" s="125"/>
      <c r="UMU193" s="125"/>
      <c r="UMV193" s="134"/>
      <c r="UMW193" s="135"/>
      <c r="UMX193" s="135"/>
      <c r="UMY193" s="135"/>
      <c r="UMZ193" s="135"/>
      <c r="UNA193" s="173"/>
      <c r="UNB193" s="173"/>
      <c r="UNC193" s="173"/>
      <c r="UND193" s="173"/>
      <c r="UNE193" s="173"/>
      <c r="UNF193" s="173"/>
      <c r="UNG193" s="173"/>
      <c r="UNH193" s="173"/>
      <c r="UNI193" s="173"/>
      <c r="UNJ193" s="173"/>
      <c r="UNK193" s="125"/>
      <c r="UNL193" s="125"/>
      <c r="UNM193" s="134"/>
      <c r="UNN193" s="135"/>
      <c r="UNO193" s="135"/>
      <c r="UNP193" s="135"/>
      <c r="UNQ193" s="135"/>
      <c r="UNR193" s="173"/>
      <c r="UNS193" s="173"/>
      <c r="UNT193" s="173"/>
      <c r="UNU193" s="173"/>
      <c r="UNV193" s="173"/>
      <c r="UNW193" s="173"/>
      <c r="UNX193" s="173"/>
      <c r="UNY193" s="173"/>
      <c r="UNZ193" s="173"/>
      <c r="UOA193" s="173"/>
      <c r="UOB193" s="125"/>
      <c r="UOC193" s="125"/>
      <c r="UOD193" s="134"/>
      <c r="UOE193" s="135"/>
      <c r="UOF193" s="135"/>
      <c r="UOG193" s="135"/>
      <c r="UOH193" s="135"/>
      <c r="UOI193" s="173"/>
      <c r="UOJ193" s="173"/>
      <c r="UOK193" s="173"/>
      <c r="UOL193" s="173"/>
      <c r="UOM193" s="173"/>
      <c r="UON193" s="173"/>
      <c r="UOO193" s="173"/>
      <c r="UOP193" s="173"/>
      <c r="UOQ193" s="173"/>
      <c r="UOR193" s="173"/>
      <c r="UOS193" s="125"/>
      <c r="UOT193" s="125"/>
      <c r="UOU193" s="134"/>
      <c r="UOV193" s="135"/>
      <c r="UOW193" s="135"/>
      <c r="UOX193" s="135"/>
      <c r="UOY193" s="135"/>
      <c r="UOZ193" s="173"/>
      <c r="UPA193" s="173"/>
      <c r="UPB193" s="173"/>
      <c r="UPC193" s="173"/>
      <c r="UPD193" s="173"/>
      <c r="UPE193" s="173"/>
      <c r="UPF193" s="173"/>
      <c r="UPG193" s="173"/>
      <c r="UPH193" s="173"/>
      <c r="UPI193" s="173"/>
      <c r="UPJ193" s="125"/>
      <c r="UPK193" s="125"/>
      <c r="UPL193" s="134"/>
      <c r="UPM193" s="135"/>
      <c r="UPN193" s="135"/>
      <c r="UPO193" s="135"/>
      <c r="UPP193" s="135"/>
      <c r="UPQ193" s="173"/>
      <c r="UPR193" s="173"/>
      <c r="UPS193" s="173"/>
      <c r="UPT193" s="173"/>
      <c r="UPU193" s="173"/>
      <c r="UPV193" s="173"/>
      <c r="UPW193" s="173"/>
      <c r="UPX193" s="173"/>
      <c r="UPY193" s="173"/>
      <c r="UPZ193" s="173"/>
      <c r="UQA193" s="125"/>
      <c r="UQB193" s="125"/>
      <c r="UQC193" s="134"/>
      <c r="UQD193" s="135"/>
      <c r="UQE193" s="135"/>
      <c r="UQF193" s="135"/>
      <c r="UQG193" s="135"/>
      <c r="UQH193" s="173"/>
      <c r="UQI193" s="173"/>
      <c r="UQJ193" s="173"/>
      <c r="UQK193" s="173"/>
      <c r="UQL193" s="173"/>
      <c r="UQM193" s="173"/>
      <c r="UQN193" s="173"/>
      <c r="UQO193" s="173"/>
      <c r="UQP193" s="173"/>
      <c r="UQQ193" s="173"/>
      <c r="UQR193" s="125"/>
      <c r="UQS193" s="125"/>
      <c r="UQT193" s="134"/>
      <c r="UQU193" s="135"/>
      <c r="UQV193" s="135"/>
      <c r="UQW193" s="135"/>
      <c r="UQX193" s="135"/>
      <c r="UQY193" s="173"/>
      <c r="UQZ193" s="173"/>
      <c r="URA193" s="173"/>
      <c r="URB193" s="173"/>
      <c r="URC193" s="173"/>
      <c r="URD193" s="173"/>
      <c r="URE193" s="173"/>
      <c r="URF193" s="173"/>
      <c r="URG193" s="173"/>
      <c r="URH193" s="173"/>
      <c r="URI193" s="125"/>
      <c r="URJ193" s="125"/>
      <c r="URK193" s="134"/>
      <c r="URL193" s="135"/>
      <c r="URM193" s="135"/>
      <c r="URN193" s="135"/>
      <c r="URO193" s="135"/>
      <c r="URP193" s="173"/>
      <c r="URQ193" s="173"/>
      <c r="URR193" s="173"/>
      <c r="URS193" s="173"/>
      <c r="URT193" s="173"/>
      <c r="URU193" s="173"/>
      <c r="URV193" s="173"/>
      <c r="URW193" s="173"/>
      <c r="URX193" s="173"/>
      <c r="URY193" s="173"/>
      <c r="URZ193" s="125"/>
      <c r="USA193" s="125"/>
      <c r="USB193" s="134"/>
      <c r="USC193" s="135"/>
      <c r="USD193" s="135"/>
      <c r="USE193" s="135"/>
      <c r="USF193" s="135"/>
      <c r="USG193" s="173"/>
      <c r="USH193" s="173"/>
      <c r="USI193" s="173"/>
      <c r="USJ193" s="173"/>
      <c r="USK193" s="173"/>
      <c r="USL193" s="173"/>
      <c r="USM193" s="173"/>
      <c r="USN193" s="173"/>
      <c r="USO193" s="173"/>
      <c r="USP193" s="173"/>
      <c r="USQ193" s="125"/>
      <c r="USR193" s="125"/>
      <c r="USS193" s="134"/>
      <c r="UST193" s="135"/>
      <c r="USU193" s="135"/>
      <c r="USV193" s="135"/>
      <c r="USW193" s="135"/>
      <c r="USX193" s="173"/>
      <c r="USY193" s="173"/>
      <c r="USZ193" s="173"/>
      <c r="UTA193" s="173"/>
      <c r="UTB193" s="173"/>
      <c r="UTC193" s="173"/>
      <c r="UTD193" s="173"/>
      <c r="UTE193" s="173"/>
      <c r="UTF193" s="173"/>
      <c r="UTG193" s="173"/>
      <c r="UTH193" s="125"/>
      <c r="UTI193" s="125"/>
      <c r="UTJ193" s="134"/>
      <c r="UTK193" s="135"/>
      <c r="UTL193" s="135"/>
      <c r="UTM193" s="135"/>
      <c r="UTN193" s="135"/>
      <c r="UTO193" s="173"/>
      <c r="UTP193" s="173"/>
      <c r="UTQ193" s="173"/>
      <c r="UTR193" s="173"/>
      <c r="UTS193" s="173"/>
      <c r="UTT193" s="173"/>
      <c r="UTU193" s="173"/>
      <c r="UTV193" s="173"/>
      <c r="UTW193" s="173"/>
      <c r="UTX193" s="173"/>
      <c r="UTY193" s="125"/>
      <c r="UTZ193" s="125"/>
      <c r="UUA193" s="134"/>
      <c r="UUB193" s="135"/>
      <c r="UUC193" s="135"/>
      <c r="UUD193" s="135"/>
      <c r="UUE193" s="135"/>
      <c r="UUF193" s="173"/>
      <c r="UUG193" s="173"/>
      <c r="UUH193" s="173"/>
      <c r="UUI193" s="173"/>
      <c r="UUJ193" s="173"/>
      <c r="UUK193" s="173"/>
      <c r="UUL193" s="173"/>
      <c r="UUM193" s="173"/>
      <c r="UUN193" s="173"/>
      <c r="UUO193" s="173"/>
      <c r="UUP193" s="125"/>
      <c r="UUQ193" s="125"/>
      <c r="UUR193" s="134"/>
      <c r="UUS193" s="135"/>
      <c r="UUT193" s="135"/>
      <c r="UUU193" s="135"/>
      <c r="UUV193" s="135"/>
      <c r="UUW193" s="173"/>
      <c r="UUX193" s="173"/>
      <c r="UUY193" s="173"/>
      <c r="UUZ193" s="173"/>
      <c r="UVA193" s="173"/>
      <c r="UVB193" s="173"/>
      <c r="UVC193" s="173"/>
      <c r="UVD193" s="173"/>
      <c r="UVE193" s="173"/>
      <c r="UVF193" s="173"/>
      <c r="UVG193" s="125"/>
      <c r="UVH193" s="125"/>
      <c r="UVI193" s="134"/>
      <c r="UVJ193" s="135"/>
      <c r="UVK193" s="135"/>
      <c r="UVL193" s="135"/>
      <c r="UVM193" s="135"/>
      <c r="UVN193" s="173"/>
      <c r="UVO193" s="173"/>
      <c r="UVP193" s="173"/>
      <c r="UVQ193" s="173"/>
      <c r="UVR193" s="173"/>
      <c r="UVS193" s="173"/>
      <c r="UVT193" s="173"/>
      <c r="UVU193" s="173"/>
      <c r="UVV193" s="173"/>
      <c r="UVW193" s="173"/>
      <c r="UVX193" s="125"/>
      <c r="UVY193" s="125"/>
      <c r="UVZ193" s="134"/>
      <c r="UWA193" s="135"/>
      <c r="UWB193" s="135"/>
      <c r="UWC193" s="135"/>
      <c r="UWD193" s="135"/>
      <c r="UWE193" s="173"/>
      <c r="UWF193" s="173"/>
      <c r="UWG193" s="173"/>
      <c r="UWH193" s="173"/>
      <c r="UWI193" s="173"/>
      <c r="UWJ193" s="173"/>
      <c r="UWK193" s="173"/>
      <c r="UWL193" s="173"/>
      <c r="UWM193" s="173"/>
      <c r="UWN193" s="173"/>
      <c r="UWO193" s="125"/>
      <c r="UWP193" s="125"/>
      <c r="UWQ193" s="134"/>
      <c r="UWR193" s="135"/>
      <c r="UWS193" s="135"/>
      <c r="UWT193" s="135"/>
      <c r="UWU193" s="135"/>
      <c r="UWV193" s="173"/>
      <c r="UWW193" s="173"/>
      <c r="UWX193" s="173"/>
      <c r="UWY193" s="173"/>
      <c r="UWZ193" s="173"/>
      <c r="UXA193" s="173"/>
      <c r="UXB193" s="173"/>
      <c r="UXC193" s="173"/>
      <c r="UXD193" s="173"/>
      <c r="UXE193" s="173"/>
      <c r="UXF193" s="125"/>
      <c r="UXG193" s="125"/>
      <c r="UXH193" s="134"/>
      <c r="UXI193" s="135"/>
      <c r="UXJ193" s="135"/>
      <c r="UXK193" s="135"/>
      <c r="UXL193" s="135"/>
      <c r="UXM193" s="173"/>
      <c r="UXN193" s="173"/>
      <c r="UXO193" s="173"/>
      <c r="UXP193" s="173"/>
      <c r="UXQ193" s="173"/>
      <c r="UXR193" s="173"/>
      <c r="UXS193" s="173"/>
      <c r="UXT193" s="173"/>
      <c r="UXU193" s="173"/>
      <c r="UXV193" s="173"/>
      <c r="UXW193" s="125"/>
      <c r="UXX193" s="125"/>
      <c r="UXY193" s="134"/>
      <c r="UXZ193" s="135"/>
      <c r="UYA193" s="135"/>
      <c r="UYB193" s="135"/>
      <c r="UYC193" s="135"/>
      <c r="UYD193" s="173"/>
      <c r="UYE193" s="173"/>
      <c r="UYF193" s="173"/>
      <c r="UYG193" s="173"/>
      <c r="UYH193" s="173"/>
      <c r="UYI193" s="173"/>
      <c r="UYJ193" s="173"/>
      <c r="UYK193" s="173"/>
      <c r="UYL193" s="173"/>
      <c r="UYM193" s="173"/>
      <c r="UYN193" s="125"/>
      <c r="UYO193" s="125"/>
      <c r="UYP193" s="134"/>
      <c r="UYQ193" s="135"/>
      <c r="UYR193" s="135"/>
      <c r="UYS193" s="135"/>
      <c r="UYT193" s="135"/>
      <c r="UYU193" s="173"/>
      <c r="UYV193" s="173"/>
      <c r="UYW193" s="173"/>
      <c r="UYX193" s="173"/>
      <c r="UYY193" s="173"/>
      <c r="UYZ193" s="173"/>
      <c r="UZA193" s="173"/>
      <c r="UZB193" s="173"/>
      <c r="UZC193" s="173"/>
      <c r="UZD193" s="173"/>
      <c r="UZE193" s="125"/>
      <c r="UZF193" s="125"/>
      <c r="UZG193" s="134"/>
      <c r="UZH193" s="135"/>
      <c r="UZI193" s="135"/>
      <c r="UZJ193" s="135"/>
      <c r="UZK193" s="135"/>
      <c r="UZL193" s="173"/>
      <c r="UZM193" s="173"/>
      <c r="UZN193" s="173"/>
      <c r="UZO193" s="173"/>
      <c r="UZP193" s="173"/>
      <c r="UZQ193" s="173"/>
      <c r="UZR193" s="173"/>
      <c r="UZS193" s="173"/>
      <c r="UZT193" s="173"/>
      <c r="UZU193" s="173"/>
      <c r="UZV193" s="125"/>
      <c r="UZW193" s="125"/>
      <c r="UZX193" s="134"/>
      <c r="UZY193" s="135"/>
      <c r="UZZ193" s="135"/>
      <c r="VAA193" s="135"/>
      <c r="VAB193" s="135"/>
      <c r="VAC193" s="173"/>
      <c r="VAD193" s="173"/>
      <c r="VAE193" s="173"/>
      <c r="VAF193" s="173"/>
      <c r="VAG193" s="173"/>
      <c r="VAH193" s="173"/>
      <c r="VAI193" s="173"/>
      <c r="VAJ193" s="173"/>
      <c r="VAK193" s="173"/>
      <c r="VAL193" s="173"/>
      <c r="VAM193" s="125"/>
      <c r="VAN193" s="125"/>
      <c r="VAO193" s="134"/>
      <c r="VAP193" s="135"/>
      <c r="VAQ193" s="135"/>
      <c r="VAR193" s="135"/>
      <c r="VAS193" s="135"/>
      <c r="VAT193" s="173"/>
      <c r="VAU193" s="173"/>
      <c r="VAV193" s="173"/>
      <c r="VAW193" s="173"/>
      <c r="VAX193" s="173"/>
      <c r="VAY193" s="173"/>
      <c r="VAZ193" s="173"/>
      <c r="VBA193" s="173"/>
      <c r="VBB193" s="173"/>
      <c r="VBC193" s="173"/>
      <c r="VBD193" s="125"/>
      <c r="VBE193" s="125"/>
      <c r="VBF193" s="134"/>
      <c r="VBG193" s="135"/>
      <c r="VBH193" s="135"/>
      <c r="VBI193" s="135"/>
      <c r="VBJ193" s="135"/>
      <c r="VBK193" s="173"/>
      <c r="VBL193" s="173"/>
      <c r="VBM193" s="173"/>
      <c r="VBN193" s="173"/>
      <c r="VBO193" s="173"/>
      <c r="VBP193" s="173"/>
      <c r="VBQ193" s="173"/>
      <c r="VBR193" s="173"/>
      <c r="VBS193" s="173"/>
      <c r="VBT193" s="173"/>
      <c r="VBU193" s="125"/>
      <c r="VBV193" s="125"/>
      <c r="VBW193" s="134"/>
      <c r="VBX193" s="135"/>
      <c r="VBY193" s="135"/>
      <c r="VBZ193" s="135"/>
      <c r="VCA193" s="135"/>
      <c r="VCB193" s="173"/>
      <c r="VCC193" s="173"/>
      <c r="VCD193" s="173"/>
      <c r="VCE193" s="173"/>
      <c r="VCF193" s="173"/>
      <c r="VCG193" s="173"/>
      <c r="VCH193" s="173"/>
      <c r="VCI193" s="173"/>
      <c r="VCJ193" s="173"/>
      <c r="VCK193" s="173"/>
      <c r="VCL193" s="125"/>
      <c r="VCM193" s="125"/>
      <c r="VCN193" s="134"/>
      <c r="VCO193" s="135"/>
      <c r="VCP193" s="135"/>
      <c r="VCQ193" s="135"/>
      <c r="VCR193" s="135"/>
      <c r="VCS193" s="173"/>
      <c r="VCT193" s="173"/>
      <c r="VCU193" s="173"/>
      <c r="VCV193" s="173"/>
      <c r="VCW193" s="173"/>
      <c r="VCX193" s="173"/>
      <c r="VCY193" s="173"/>
      <c r="VCZ193" s="173"/>
      <c r="VDA193" s="173"/>
      <c r="VDB193" s="173"/>
      <c r="VDC193" s="125"/>
      <c r="VDD193" s="125"/>
      <c r="VDE193" s="134"/>
      <c r="VDF193" s="135"/>
      <c r="VDG193" s="135"/>
      <c r="VDH193" s="135"/>
      <c r="VDI193" s="135"/>
      <c r="VDJ193" s="173"/>
      <c r="VDK193" s="173"/>
      <c r="VDL193" s="173"/>
      <c r="VDM193" s="173"/>
      <c r="VDN193" s="173"/>
      <c r="VDO193" s="173"/>
      <c r="VDP193" s="173"/>
      <c r="VDQ193" s="173"/>
      <c r="VDR193" s="173"/>
      <c r="VDS193" s="173"/>
      <c r="VDT193" s="125"/>
      <c r="VDU193" s="125"/>
      <c r="VDV193" s="134"/>
      <c r="VDW193" s="135"/>
      <c r="VDX193" s="135"/>
      <c r="VDY193" s="135"/>
      <c r="VDZ193" s="135"/>
      <c r="VEA193" s="173"/>
      <c r="VEB193" s="173"/>
      <c r="VEC193" s="173"/>
      <c r="VED193" s="173"/>
      <c r="VEE193" s="173"/>
      <c r="VEF193" s="173"/>
      <c r="VEG193" s="173"/>
      <c r="VEH193" s="173"/>
      <c r="VEI193" s="173"/>
      <c r="VEJ193" s="173"/>
      <c r="VEK193" s="125"/>
      <c r="VEL193" s="125"/>
      <c r="VEM193" s="134"/>
      <c r="VEN193" s="135"/>
      <c r="VEO193" s="135"/>
      <c r="VEP193" s="135"/>
      <c r="VEQ193" s="135"/>
      <c r="VER193" s="173"/>
      <c r="VES193" s="173"/>
      <c r="VET193" s="173"/>
      <c r="VEU193" s="173"/>
      <c r="VEV193" s="173"/>
      <c r="VEW193" s="173"/>
      <c r="VEX193" s="173"/>
      <c r="VEY193" s="173"/>
      <c r="VEZ193" s="173"/>
      <c r="VFA193" s="173"/>
      <c r="VFB193" s="125"/>
      <c r="VFC193" s="125"/>
      <c r="VFD193" s="134"/>
      <c r="VFE193" s="135"/>
      <c r="VFF193" s="135"/>
      <c r="VFG193" s="135"/>
      <c r="VFH193" s="135"/>
      <c r="VFI193" s="173"/>
      <c r="VFJ193" s="173"/>
      <c r="VFK193" s="173"/>
      <c r="VFL193" s="173"/>
      <c r="VFM193" s="173"/>
      <c r="VFN193" s="173"/>
      <c r="VFO193" s="173"/>
      <c r="VFP193" s="173"/>
      <c r="VFQ193" s="173"/>
      <c r="VFR193" s="173"/>
      <c r="VFS193" s="125"/>
      <c r="VFT193" s="125"/>
      <c r="VFU193" s="134"/>
      <c r="VFV193" s="135"/>
      <c r="VFW193" s="135"/>
      <c r="VFX193" s="135"/>
      <c r="VFY193" s="135"/>
      <c r="VFZ193" s="173"/>
      <c r="VGA193" s="173"/>
      <c r="VGB193" s="173"/>
      <c r="VGC193" s="173"/>
      <c r="VGD193" s="173"/>
      <c r="VGE193" s="173"/>
      <c r="VGF193" s="173"/>
      <c r="VGG193" s="173"/>
      <c r="VGH193" s="173"/>
      <c r="VGI193" s="173"/>
      <c r="VGJ193" s="125"/>
      <c r="VGK193" s="125"/>
      <c r="VGL193" s="134"/>
      <c r="VGM193" s="135"/>
      <c r="VGN193" s="135"/>
      <c r="VGO193" s="135"/>
      <c r="VGP193" s="135"/>
      <c r="VGQ193" s="173"/>
      <c r="VGR193" s="173"/>
      <c r="VGS193" s="173"/>
      <c r="VGT193" s="173"/>
      <c r="VGU193" s="173"/>
      <c r="VGV193" s="173"/>
      <c r="VGW193" s="173"/>
      <c r="VGX193" s="173"/>
      <c r="VGY193" s="173"/>
      <c r="VGZ193" s="173"/>
      <c r="VHA193" s="125"/>
      <c r="VHB193" s="125"/>
      <c r="VHC193" s="134"/>
      <c r="VHD193" s="135"/>
      <c r="VHE193" s="135"/>
      <c r="VHF193" s="135"/>
      <c r="VHG193" s="135"/>
      <c r="VHH193" s="173"/>
      <c r="VHI193" s="173"/>
      <c r="VHJ193" s="173"/>
      <c r="VHK193" s="173"/>
      <c r="VHL193" s="173"/>
      <c r="VHM193" s="173"/>
      <c r="VHN193" s="173"/>
      <c r="VHO193" s="173"/>
      <c r="VHP193" s="173"/>
      <c r="VHQ193" s="173"/>
      <c r="VHR193" s="125"/>
      <c r="VHS193" s="125"/>
      <c r="VHT193" s="134"/>
      <c r="VHU193" s="135"/>
      <c r="VHV193" s="135"/>
      <c r="VHW193" s="135"/>
      <c r="VHX193" s="135"/>
      <c r="VHY193" s="173"/>
      <c r="VHZ193" s="173"/>
      <c r="VIA193" s="173"/>
      <c r="VIB193" s="173"/>
      <c r="VIC193" s="173"/>
      <c r="VID193" s="173"/>
      <c r="VIE193" s="173"/>
      <c r="VIF193" s="173"/>
      <c r="VIG193" s="173"/>
      <c r="VIH193" s="173"/>
      <c r="VII193" s="125"/>
      <c r="VIJ193" s="125"/>
      <c r="VIK193" s="134"/>
      <c r="VIL193" s="135"/>
      <c r="VIM193" s="135"/>
      <c r="VIN193" s="135"/>
      <c r="VIO193" s="135"/>
      <c r="VIP193" s="173"/>
      <c r="VIQ193" s="173"/>
      <c r="VIR193" s="173"/>
      <c r="VIS193" s="173"/>
      <c r="VIT193" s="173"/>
      <c r="VIU193" s="173"/>
      <c r="VIV193" s="173"/>
      <c r="VIW193" s="173"/>
      <c r="VIX193" s="173"/>
      <c r="VIY193" s="173"/>
      <c r="VIZ193" s="125"/>
      <c r="VJA193" s="125"/>
      <c r="VJB193" s="134"/>
      <c r="VJC193" s="135"/>
      <c r="VJD193" s="135"/>
      <c r="VJE193" s="135"/>
      <c r="VJF193" s="135"/>
      <c r="VJG193" s="173"/>
      <c r="VJH193" s="173"/>
      <c r="VJI193" s="173"/>
      <c r="VJJ193" s="173"/>
      <c r="VJK193" s="173"/>
      <c r="VJL193" s="173"/>
      <c r="VJM193" s="173"/>
      <c r="VJN193" s="173"/>
      <c r="VJO193" s="173"/>
      <c r="VJP193" s="173"/>
      <c r="VJQ193" s="125"/>
      <c r="VJR193" s="125"/>
      <c r="VJS193" s="134"/>
      <c r="VJT193" s="135"/>
      <c r="VJU193" s="135"/>
      <c r="VJV193" s="135"/>
      <c r="VJW193" s="135"/>
      <c r="VJX193" s="173"/>
      <c r="VJY193" s="173"/>
      <c r="VJZ193" s="173"/>
      <c r="VKA193" s="173"/>
      <c r="VKB193" s="173"/>
      <c r="VKC193" s="173"/>
      <c r="VKD193" s="173"/>
      <c r="VKE193" s="173"/>
      <c r="VKF193" s="173"/>
      <c r="VKG193" s="173"/>
      <c r="VKH193" s="125"/>
      <c r="VKI193" s="125"/>
      <c r="VKJ193" s="134"/>
      <c r="VKK193" s="135"/>
      <c r="VKL193" s="135"/>
      <c r="VKM193" s="135"/>
      <c r="VKN193" s="135"/>
      <c r="VKO193" s="173"/>
      <c r="VKP193" s="173"/>
      <c r="VKQ193" s="173"/>
      <c r="VKR193" s="173"/>
      <c r="VKS193" s="173"/>
      <c r="VKT193" s="173"/>
      <c r="VKU193" s="173"/>
      <c r="VKV193" s="173"/>
      <c r="VKW193" s="173"/>
      <c r="VKX193" s="173"/>
      <c r="VKY193" s="125"/>
      <c r="VKZ193" s="125"/>
      <c r="VLA193" s="134"/>
      <c r="VLB193" s="135"/>
      <c r="VLC193" s="135"/>
      <c r="VLD193" s="135"/>
      <c r="VLE193" s="135"/>
      <c r="VLF193" s="173"/>
      <c r="VLG193" s="173"/>
      <c r="VLH193" s="173"/>
      <c r="VLI193" s="173"/>
      <c r="VLJ193" s="173"/>
      <c r="VLK193" s="173"/>
      <c r="VLL193" s="173"/>
      <c r="VLM193" s="173"/>
      <c r="VLN193" s="173"/>
      <c r="VLO193" s="173"/>
      <c r="VLP193" s="125"/>
      <c r="VLQ193" s="125"/>
      <c r="VLR193" s="134"/>
      <c r="VLS193" s="135"/>
      <c r="VLT193" s="135"/>
      <c r="VLU193" s="135"/>
      <c r="VLV193" s="135"/>
      <c r="VLW193" s="173"/>
      <c r="VLX193" s="173"/>
      <c r="VLY193" s="173"/>
      <c r="VLZ193" s="173"/>
      <c r="VMA193" s="173"/>
      <c r="VMB193" s="173"/>
      <c r="VMC193" s="173"/>
      <c r="VMD193" s="173"/>
      <c r="VME193" s="173"/>
      <c r="VMF193" s="173"/>
      <c r="VMG193" s="125"/>
      <c r="VMH193" s="125"/>
      <c r="VMI193" s="134"/>
      <c r="VMJ193" s="135"/>
      <c r="VMK193" s="135"/>
      <c r="VML193" s="135"/>
      <c r="VMM193" s="135"/>
      <c r="VMN193" s="173"/>
      <c r="VMO193" s="173"/>
      <c r="VMP193" s="173"/>
      <c r="VMQ193" s="173"/>
      <c r="VMR193" s="173"/>
      <c r="VMS193" s="173"/>
      <c r="VMT193" s="173"/>
      <c r="VMU193" s="173"/>
      <c r="VMV193" s="173"/>
      <c r="VMW193" s="173"/>
      <c r="VMX193" s="125"/>
      <c r="VMY193" s="125"/>
      <c r="VMZ193" s="134"/>
      <c r="VNA193" s="135"/>
      <c r="VNB193" s="135"/>
      <c r="VNC193" s="135"/>
      <c r="VND193" s="135"/>
      <c r="VNE193" s="173"/>
      <c r="VNF193" s="173"/>
      <c r="VNG193" s="173"/>
      <c r="VNH193" s="173"/>
      <c r="VNI193" s="173"/>
      <c r="VNJ193" s="173"/>
      <c r="VNK193" s="173"/>
      <c r="VNL193" s="173"/>
      <c r="VNM193" s="173"/>
      <c r="VNN193" s="173"/>
      <c r="VNO193" s="125"/>
      <c r="VNP193" s="125"/>
      <c r="VNQ193" s="134"/>
      <c r="VNR193" s="135"/>
      <c r="VNS193" s="135"/>
      <c r="VNT193" s="135"/>
      <c r="VNU193" s="135"/>
      <c r="VNV193" s="173"/>
      <c r="VNW193" s="173"/>
      <c r="VNX193" s="173"/>
      <c r="VNY193" s="173"/>
      <c r="VNZ193" s="173"/>
      <c r="VOA193" s="173"/>
      <c r="VOB193" s="173"/>
      <c r="VOC193" s="173"/>
      <c r="VOD193" s="173"/>
      <c r="VOE193" s="173"/>
      <c r="VOF193" s="125"/>
      <c r="VOG193" s="125"/>
      <c r="VOH193" s="134"/>
      <c r="VOI193" s="135"/>
      <c r="VOJ193" s="135"/>
      <c r="VOK193" s="135"/>
      <c r="VOL193" s="135"/>
      <c r="VOM193" s="173"/>
      <c r="VON193" s="173"/>
      <c r="VOO193" s="173"/>
      <c r="VOP193" s="173"/>
      <c r="VOQ193" s="173"/>
      <c r="VOR193" s="173"/>
      <c r="VOS193" s="173"/>
      <c r="VOT193" s="173"/>
      <c r="VOU193" s="173"/>
      <c r="VOV193" s="173"/>
      <c r="VOW193" s="125"/>
      <c r="VOX193" s="125"/>
      <c r="VOY193" s="134"/>
      <c r="VOZ193" s="135"/>
      <c r="VPA193" s="135"/>
      <c r="VPB193" s="135"/>
      <c r="VPC193" s="135"/>
      <c r="VPD193" s="173"/>
      <c r="VPE193" s="173"/>
      <c r="VPF193" s="173"/>
      <c r="VPG193" s="173"/>
      <c r="VPH193" s="173"/>
      <c r="VPI193" s="173"/>
      <c r="VPJ193" s="173"/>
      <c r="VPK193" s="173"/>
      <c r="VPL193" s="173"/>
      <c r="VPM193" s="173"/>
      <c r="VPN193" s="125"/>
      <c r="VPO193" s="125"/>
      <c r="VPP193" s="134"/>
      <c r="VPQ193" s="135"/>
      <c r="VPR193" s="135"/>
      <c r="VPS193" s="135"/>
      <c r="VPT193" s="135"/>
      <c r="VPU193" s="173"/>
      <c r="VPV193" s="173"/>
      <c r="VPW193" s="173"/>
      <c r="VPX193" s="173"/>
      <c r="VPY193" s="173"/>
      <c r="VPZ193" s="173"/>
      <c r="VQA193" s="173"/>
      <c r="VQB193" s="173"/>
      <c r="VQC193" s="173"/>
      <c r="VQD193" s="173"/>
      <c r="VQE193" s="125"/>
      <c r="VQF193" s="125"/>
      <c r="VQG193" s="134"/>
      <c r="VQH193" s="135"/>
      <c r="VQI193" s="135"/>
      <c r="VQJ193" s="135"/>
      <c r="VQK193" s="135"/>
      <c r="VQL193" s="173"/>
      <c r="VQM193" s="173"/>
      <c r="VQN193" s="173"/>
      <c r="VQO193" s="173"/>
      <c r="VQP193" s="173"/>
      <c r="VQQ193" s="173"/>
      <c r="VQR193" s="173"/>
      <c r="VQS193" s="173"/>
      <c r="VQT193" s="173"/>
      <c r="VQU193" s="173"/>
      <c r="VQV193" s="125"/>
      <c r="VQW193" s="125"/>
      <c r="VQX193" s="134"/>
      <c r="VQY193" s="135"/>
      <c r="VQZ193" s="135"/>
      <c r="VRA193" s="135"/>
      <c r="VRB193" s="135"/>
      <c r="VRC193" s="173"/>
      <c r="VRD193" s="173"/>
      <c r="VRE193" s="173"/>
      <c r="VRF193" s="173"/>
      <c r="VRG193" s="173"/>
      <c r="VRH193" s="173"/>
      <c r="VRI193" s="173"/>
      <c r="VRJ193" s="173"/>
      <c r="VRK193" s="173"/>
      <c r="VRL193" s="173"/>
      <c r="VRM193" s="125"/>
      <c r="VRN193" s="125"/>
      <c r="VRO193" s="134"/>
      <c r="VRP193" s="135"/>
      <c r="VRQ193" s="135"/>
      <c r="VRR193" s="135"/>
      <c r="VRS193" s="135"/>
      <c r="VRT193" s="173"/>
      <c r="VRU193" s="173"/>
      <c r="VRV193" s="173"/>
      <c r="VRW193" s="173"/>
      <c r="VRX193" s="173"/>
      <c r="VRY193" s="173"/>
      <c r="VRZ193" s="173"/>
      <c r="VSA193" s="173"/>
      <c r="VSB193" s="173"/>
      <c r="VSC193" s="173"/>
      <c r="VSD193" s="125"/>
      <c r="VSE193" s="125"/>
      <c r="VSF193" s="134"/>
      <c r="VSG193" s="135"/>
      <c r="VSH193" s="135"/>
      <c r="VSI193" s="135"/>
      <c r="VSJ193" s="135"/>
      <c r="VSK193" s="173"/>
      <c r="VSL193" s="173"/>
      <c r="VSM193" s="173"/>
      <c r="VSN193" s="173"/>
      <c r="VSO193" s="173"/>
      <c r="VSP193" s="173"/>
      <c r="VSQ193" s="173"/>
      <c r="VSR193" s="173"/>
      <c r="VSS193" s="173"/>
      <c r="VST193" s="173"/>
      <c r="VSU193" s="125"/>
      <c r="VSV193" s="125"/>
      <c r="VSW193" s="134"/>
      <c r="VSX193" s="135"/>
      <c r="VSY193" s="135"/>
      <c r="VSZ193" s="135"/>
      <c r="VTA193" s="135"/>
      <c r="VTB193" s="173"/>
      <c r="VTC193" s="173"/>
      <c r="VTD193" s="173"/>
      <c r="VTE193" s="173"/>
      <c r="VTF193" s="173"/>
      <c r="VTG193" s="173"/>
      <c r="VTH193" s="173"/>
      <c r="VTI193" s="173"/>
      <c r="VTJ193" s="173"/>
      <c r="VTK193" s="173"/>
      <c r="VTL193" s="125"/>
      <c r="VTM193" s="125"/>
      <c r="VTN193" s="134"/>
      <c r="VTO193" s="135"/>
      <c r="VTP193" s="135"/>
      <c r="VTQ193" s="135"/>
      <c r="VTR193" s="135"/>
      <c r="VTS193" s="173"/>
      <c r="VTT193" s="173"/>
      <c r="VTU193" s="173"/>
      <c r="VTV193" s="173"/>
      <c r="VTW193" s="173"/>
      <c r="VTX193" s="173"/>
      <c r="VTY193" s="173"/>
      <c r="VTZ193" s="173"/>
      <c r="VUA193" s="173"/>
      <c r="VUB193" s="173"/>
      <c r="VUC193" s="125"/>
      <c r="VUD193" s="125"/>
      <c r="VUE193" s="134"/>
      <c r="VUF193" s="135"/>
      <c r="VUG193" s="135"/>
      <c r="VUH193" s="135"/>
      <c r="VUI193" s="135"/>
      <c r="VUJ193" s="173"/>
      <c r="VUK193" s="173"/>
      <c r="VUL193" s="173"/>
      <c r="VUM193" s="173"/>
      <c r="VUN193" s="173"/>
      <c r="VUO193" s="173"/>
      <c r="VUP193" s="173"/>
      <c r="VUQ193" s="173"/>
      <c r="VUR193" s="173"/>
      <c r="VUS193" s="173"/>
      <c r="VUT193" s="125"/>
      <c r="VUU193" s="125"/>
      <c r="VUV193" s="134"/>
      <c r="VUW193" s="135"/>
      <c r="VUX193" s="135"/>
      <c r="VUY193" s="135"/>
      <c r="VUZ193" s="135"/>
      <c r="VVA193" s="173"/>
      <c r="VVB193" s="173"/>
      <c r="VVC193" s="173"/>
      <c r="VVD193" s="173"/>
      <c r="VVE193" s="173"/>
      <c r="VVF193" s="173"/>
      <c r="VVG193" s="173"/>
      <c r="VVH193" s="173"/>
      <c r="VVI193" s="173"/>
      <c r="VVJ193" s="173"/>
      <c r="VVK193" s="125"/>
      <c r="VVL193" s="125"/>
      <c r="VVM193" s="134"/>
      <c r="VVN193" s="135"/>
      <c r="VVO193" s="135"/>
      <c r="VVP193" s="135"/>
      <c r="VVQ193" s="135"/>
      <c r="VVR193" s="173"/>
      <c r="VVS193" s="173"/>
      <c r="VVT193" s="173"/>
      <c r="VVU193" s="173"/>
      <c r="VVV193" s="173"/>
      <c r="VVW193" s="173"/>
      <c r="VVX193" s="173"/>
      <c r="VVY193" s="173"/>
      <c r="VVZ193" s="173"/>
      <c r="VWA193" s="173"/>
      <c r="VWB193" s="125"/>
      <c r="VWC193" s="125"/>
      <c r="VWD193" s="134"/>
      <c r="VWE193" s="135"/>
      <c r="VWF193" s="135"/>
      <c r="VWG193" s="135"/>
      <c r="VWH193" s="135"/>
      <c r="VWI193" s="173"/>
      <c r="VWJ193" s="173"/>
      <c r="VWK193" s="173"/>
      <c r="VWL193" s="173"/>
      <c r="VWM193" s="173"/>
      <c r="VWN193" s="173"/>
      <c r="VWO193" s="173"/>
      <c r="VWP193" s="173"/>
      <c r="VWQ193" s="173"/>
      <c r="VWR193" s="173"/>
      <c r="VWS193" s="125"/>
      <c r="VWT193" s="125"/>
      <c r="VWU193" s="134"/>
      <c r="VWV193" s="135"/>
      <c r="VWW193" s="135"/>
      <c r="VWX193" s="135"/>
      <c r="VWY193" s="135"/>
      <c r="VWZ193" s="173"/>
      <c r="VXA193" s="173"/>
      <c r="VXB193" s="173"/>
      <c r="VXC193" s="173"/>
      <c r="VXD193" s="173"/>
      <c r="VXE193" s="173"/>
      <c r="VXF193" s="173"/>
      <c r="VXG193" s="173"/>
      <c r="VXH193" s="173"/>
      <c r="VXI193" s="173"/>
      <c r="VXJ193" s="125"/>
      <c r="VXK193" s="125"/>
      <c r="VXL193" s="134"/>
      <c r="VXM193" s="135"/>
      <c r="VXN193" s="135"/>
      <c r="VXO193" s="135"/>
      <c r="VXP193" s="135"/>
      <c r="VXQ193" s="173"/>
      <c r="VXR193" s="173"/>
      <c r="VXS193" s="173"/>
      <c r="VXT193" s="173"/>
      <c r="VXU193" s="173"/>
      <c r="VXV193" s="173"/>
      <c r="VXW193" s="173"/>
      <c r="VXX193" s="173"/>
      <c r="VXY193" s="173"/>
      <c r="VXZ193" s="173"/>
      <c r="VYA193" s="125"/>
      <c r="VYB193" s="125"/>
      <c r="VYC193" s="134"/>
      <c r="VYD193" s="135"/>
      <c r="VYE193" s="135"/>
      <c r="VYF193" s="135"/>
      <c r="VYG193" s="135"/>
      <c r="VYH193" s="173"/>
      <c r="VYI193" s="173"/>
      <c r="VYJ193" s="173"/>
      <c r="VYK193" s="173"/>
      <c r="VYL193" s="173"/>
      <c r="VYM193" s="173"/>
      <c r="VYN193" s="173"/>
      <c r="VYO193" s="173"/>
      <c r="VYP193" s="173"/>
      <c r="VYQ193" s="173"/>
      <c r="VYR193" s="125"/>
      <c r="VYS193" s="125"/>
      <c r="VYT193" s="134"/>
      <c r="VYU193" s="135"/>
      <c r="VYV193" s="135"/>
      <c r="VYW193" s="135"/>
      <c r="VYX193" s="135"/>
      <c r="VYY193" s="173"/>
      <c r="VYZ193" s="173"/>
      <c r="VZA193" s="173"/>
      <c r="VZB193" s="173"/>
      <c r="VZC193" s="173"/>
      <c r="VZD193" s="173"/>
      <c r="VZE193" s="173"/>
      <c r="VZF193" s="173"/>
      <c r="VZG193" s="173"/>
      <c r="VZH193" s="173"/>
      <c r="VZI193" s="125"/>
      <c r="VZJ193" s="125"/>
      <c r="VZK193" s="134"/>
      <c r="VZL193" s="135"/>
      <c r="VZM193" s="135"/>
      <c r="VZN193" s="135"/>
      <c r="VZO193" s="135"/>
      <c r="VZP193" s="173"/>
      <c r="VZQ193" s="173"/>
      <c r="VZR193" s="173"/>
      <c r="VZS193" s="173"/>
      <c r="VZT193" s="173"/>
      <c r="VZU193" s="173"/>
      <c r="VZV193" s="173"/>
      <c r="VZW193" s="173"/>
      <c r="VZX193" s="173"/>
      <c r="VZY193" s="173"/>
      <c r="VZZ193" s="125"/>
      <c r="WAA193" s="125"/>
      <c r="WAB193" s="134"/>
      <c r="WAC193" s="135"/>
      <c r="WAD193" s="135"/>
      <c r="WAE193" s="135"/>
      <c r="WAF193" s="135"/>
      <c r="WAG193" s="173"/>
      <c r="WAH193" s="173"/>
      <c r="WAI193" s="173"/>
      <c r="WAJ193" s="173"/>
      <c r="WAK193" s="173"/>
      <c r="WAL193" s="173"/>
      <c r="WAM193" s="173"/>
      <c r="WAN193" s="173"/>
      <c r="WAO193" s="173"/>
      <c r="WAP193" s="173"/>
      <c r="WAQ193" s="125"/>
      <c r="WAR193" s="125"/>
      <c r="WAS193" s="134"/>
      <c r="WAT193" s="135"/>
      <c r="WAU193" s="135"/>
      <c r="WAV193" s="135"/>
      <c r="WAW193" s="135"/>
      <c r="WAX193" s="173"/>
      <c r="WAY193" s="173"/>
      <c r="WAZ193" s="173"/>
      <c r="WBA193" s="173"/>
      <c r="WBB193" s="173"/>
      <c r="WBC193" s="173"/>
      <c r="WBD193" s="173"/>
      <c r="WBE193" s="173"/>
      <c r="WBF193" s="173"/>
      <c r="WBG193" s="173"/>
      <c r="WBH193" s="125"/>
      <c r="WBI193" s="125"/>
      <c r="WBJ193" s="134"/>
      <c r="WBK193" s="135"/>
      <c r="WBL193" s="135"/>
      <c r="WBM193" s="135"/>
      <c r="WBN193" s="135"/>
      <c r="WBO193" s="173"/>
      <c r="WBP193" s="173"/>
      <c r="WBQ193" s="173"/>
      <c r="WBR193" s="173"/>
      <c r="WBS193" s="173"/>
      <c r="WBT193" s="173"/>
      <c r="WBU193" s="173"/>
      <c r="WBV193" s="173"/>
      <c r="WBW193" s="173"/>
      <c r="WBX193" s="173"/>
      <c r="WBY193" s="125"/>
      <c r="WBZ193" s="125"/>
      <c r="WCA193" s="134"/>
      <c r="WCB193" s="135"/>
      <c r="WCC193" s="135"/>
      <c r="WCD193" s="135"/>
      <c r="WCE193" s="135"/>
      <c r="WCF193" s="173"/>
      <c r="WCG193" s="173"/>
      <c r="WCH193" s="173"/>
      <c r="WCI193" s="173"/>
      <c r="WCJ193" s="173"/>
      <c r="WCK193" s="173"/>
      <c r="WCL193" s="173"/>
      <c r="WCM193" s="173"/>
      <c r="WCN193" s="173"/>
      <c r="WCO193" s="173"/>
      <c r="WCP193" s="125"/>
      <c r="WCQ193" s="125"/>
      <c r="WCR193" s="134"/>
      <c r="WCS193" s="135"/>
      <c r="WCT193" s="135"/>
      <c r="WCU193" s="135"/>
      <c r="WCV193" s="135"/>
      <c r="WCW193" s="173"/>
      <c r="WCX193" s="173"/>
      <c r="WCY193" s="173"/>
      <c r="WCZ193" s="173"/>
      <c r="WDA193" s="173"/>
      <c r="WDB193" s="173"/>
      <c r="WDC193" s="173"/>
      <c r="WDD193" s="173"/>
      <c r="WDE193" s="173"/>
      <c r="WDF193" s="173"/>
      <c r="WDG193" s="125"/>
      <c r="WDH193" s="125"/>
      <c r="WDI193" s="134"/>
      <c r="WDJ193" s="135"/>
      <c r="WDK193" s="135"/>
      <c r="WDL193" s="135"/>
      <c r="WDM193" s="135"/>
      <c r="WDN193" s="173"/>
      <c r="WDO193" s="173"/>
      <c r="WDP193" s="173"/>
      <c r="WDQ193" s="173"/>
      <c r="WDR193" s="173"/>
      <c r="WDS193" s="173"/>
      <c r="WDT193" s="173"/>
      <c r="WDU193" s="173"/>
      <c r="WDV193" s="173"/>
      <c r="WDW193" s="173"/>
      <c r="WDX193" s="125"/>
      <c r="WDY193" s="125"/>
      <c r="WDZ193" s="134"/>
      <c r="WEA193" s="135"/>
      <c r="WEB193" s="135"/>
      <c r="WEC193" s="135"/>
      <c r="WED193" s="135"/>
      <c r="WEE193" s="173"/>
      <c r="WEF193" s="173"/>
      <c r="WEG193" s="173"/>
      <c r="WEH193" s="173"/>
      <c r="WEI193" s="173"/>
      <c r="WEJ193" s="173"/>
      <c r="WEK193" s="173"/>
      <c r="WEL193" s="173"/>
      <c r="WEM193" s="173"/>
      <c r="WEN193" s="173"/>
      <c r="WEO193" s="125"/>
      <c r="WEP193" s="125"/>
      <c r="WEQ193" s="134"/>
      <c r="WER193" s="135"/>
      <c r="WES193" s="135"/>
      <c r="WET193" s="135"/>
      <c r="WEU193" s="135"/>
      <c r="WEV193" s="173"/>
      <c r="WEW193" s="173"/>
      <c r="WEX193" s="173"/>
      <c r="WEY193" s="173"/>
      <c r="WEZ193" s="173"/>
      <c r="WFA193" s="173"/>
      <c r="WFB193" s="173"/>
      <c r="WFC193" s="173"/>
      <c r="WFD193" s="173"/>
      <c r="WFE193" s="173"/>
      <c r="WFF193" s="125"/>
      <c r="WFG193" s="125"/>
      <c r="WFH193" s="134"/>
      <c r="WFI193" s="135"/>
      <c r="WFJ193" s="135"/>
      <c r="WFK193" s="135"/>
      <c r="WFL193" s="135"/>
      <c r="WFM193" s="173"/>
      <c r="WFN193" s="173"/>
      <c r="WFO193" s="173"/>
      <c r="WFP193" s="173"/>
      <c r="WFQ193" s="173"/>
      <c r="WFR193" s="173"/>
      <c r="WFS193" s="173"/>
      <c r="WFT193" s="173"/>
      <c r="WFU193" s="173"/>
      <c r="WFV193" s="173"/>
      <c r="WFW193" s="125"/>
      <c r="WFX193" s="125"/>
      <c r="WFY193" s="134"/>
      <c r="WFZ193" s="135"/>
      <c r="WGA193" s="135"/>
      <c r="WGB193" s="135"/>
      <c r="WGC193" s="135"/>
      <c r="WGD193" s="173"/>
      <c r="WGE193" s="173"/>
      <c r="WGF193" s="173"/>
      <c r="WGG193" s="173"/>
      <c r="WGH193" s="173"/>
      <c r="WGI193" s="173"/>
      <c r="WGJ193" s="173"/>
      <c r="WGK193" s="173"/>
      <c r="WGL193" s="173"/>
      <c r="WGM193" s="173"/>
      <c r="WGN193" s="125"/>
      <c r="WGO193" s="125"/>
      <c r="WGP193" s="134"/>
      <c r="WGQ193" s="135"/>
      <c r="WGR193" s="135"/>
      <c r="WGS193" s="135"/>
      <c r="WGT193" s="135"/>
      <c r="WGU193" s="173"/>
      <c r="WGV193" s="173"/>
      <c r="WGW193" s="173"/>
      <c r="WGX193" s="173"/>
      <c r="WGY193" s="173"/>
      <c r="WGZ193" s="173"/>
      <c r="WHA193" s="173"/>
      <c r="WHB193" s="173"/>
      <c r="WHC193" s="173"/>
      <c r="WHD193" s="173"/>
      <c r="WHE193" s="125"/>
      <c r="WHF193" s="125"/>
      <c r="WHG193" s="134"/>
      <c r="WHH193" s="135"/>
      <c r="WHI193" s="135"/>
      <c r="WHJ193" s="135"/>
      <c r="WHK193" s="135"/>
      <c r="WHL193" s="173"/>
      <c r="WHM193" s="173"/>
      <c r="WHN193" s="173"/>
      <c r="WHO193" s="173"/>
      <c r="WHP193" s="173"/>
      <c r="WHQ193" s="173"/>
      <c r="WHR193" s="173"/>
      <c r="WHS193" s="173"/>
      <c r="WHT193" s="173"/>
      <c r="WHU193" s="173"/>
      <c r="WHV193" s="125"/>
      <c r="WHW193" s="125"/>
      <c r="WHX193" s="134"/>
      <c r="WHY193" s="135"/>
      <c r="WHZ193" s="135"/>
      <c r="WIA193" s="135"/>
      <c r="WIB193" s="135"/>
      <c r="WIC193" s="173"/>
      <c r="WID193" s="173"/>
      <c r="WIE193" s="173"/>
      <c r="WIF193" s="173"/>
      <c r="WIG193" s="173"/>
      <c r="WIH193" s="173"/>
      <c r="WII193" s="173"/>
      <c r="WIJ193" s="173"/>
      <c r="WIK193" s="173"/>
      <c r="WIL193" s="173"/>
      <c r="WIM193" s="125"/>
      <c r="WIN193" s="125"/>
      <c r="WIO193" s="134"/>
      <c r="WIP193" s="135"/>
      <c r="WIQ193" s="135"/>
      <c r="WIR193" s="135"/>
      <c r="WIS193" s="135"/>
      <c r="WIT193" s="173"/>
      <c r="WIU193" s="173"/>
      <c r="WIV193" s="173"/>
      <c r="WIW193" s="173"/>
      <c r="WIX193" s="173"/>
      <c r="WIY193" s="173"/>
      <c r="WIZ193" s="173"/>
      <c r="WJA193" s="173"/>
      <c r="WJB193" s="173"/>
      <c r="WJC193" s="173"/>
      <c r="WJD193" s="125"/>
      <c r="WJE193" s="125"/>
      <c r="WJF193" s="134"/>
      <c r="WJG193" s="135"/>
      <c r="WJH193" s="135"/>
      <c r="WJI193" s="135"/>
      <c r="WJJ193" s="135"/>
      <c r="WJK193" s="173"/>
      <c r="WJL193" s="173"/>
      <c r="WJM193" s="173"/>
      <c r="WJN193" s="173"/>
      <c r="WJO193" s="173"/>
      <c r="WJP193" s="173"/>
      <c r="WJQ193" s="173"/>
      <c r="WJR193" s="173"/>
      <c r="WJS193" s="173"/>
      <c r="WJT193" s="173"/>
      <c r="WJU193" s="125"/>
      <c r="WJV193" s="125"/>
      <c r="WJW193" s="134"/>
      <c r="WJX193" s="135"/>
      <c r="WJY193" s="135"/>
      <c r="WJZ193" s="135"/>
      <c r="WKA193" s="135"/>
      <c r="WKB193" s="173"/>
      <c r="WKC193" s="173"/>
      <c r="WKD193" s="173"/>
      <c r="WKE193" s="173"/>
      <c r="WKF193" s="173"/>
      <c r="WKG193" s="173"/>
      <c r="WKH193" s="173"/>
      <c r="WKI193" s="173"/>
      <c r="WKJ193" s="173"/>
      <c r="WKK193" s="173"/>
      <c r="WKL193" s="125"/>
      <c r="WKM193" s="125"/>
      <c r="WKN193" s="134"/>
      <c r="WKO193" s="135"/>
      <c r="WKP193" s="135"/>
      <c r="WKQ193" s="135"/>
      <c r="WKR193" s="135"/>
      <c r="WKS193" s="173"/>
      <c r="WKT193" s="173"/>
      <c r="WKU193" s="173"/>
      <c r="WKV193" s="173"/>
      <c r="WKW193" s="173"/>
      <c r="WKX193" s="173"/>
      <c r="WKY193" s="173"/>
      <c r="WKZ193" s="173"/>
      <c r="WLA193" s="173"/>
      <c r="WLB193" s="173"/>
      <c r="WLC193" s="125"/>
      <c r="WLD193" s="125"/>
      <c r="WLE193" s="134"/>
      <c r="WLF193" s="135"/>
      <c r="WLG193" s="135"/>
      <c r="WLH193" s="135"/>
      <c r="WLI193" s="135"/>
      <c r="WLJ193" s="173"/>
      <c r="WLK193" s="173"/>
      <c r="WLL193" s="173"/>
      <c r="WLM193" s="173"/>
      <c r="WLN193" s="173"/>
      <c r="WLO193" s="173"/>
      <c r="WLP193" s="173"/>
      <c r="WLQ193" s="173"/>
      <c r="WLR193" s="173"/>
      <c r="WLS193" s="173"/>
      <c r="WLT193" s="125"/>
      <c r="WLU193" s="125"/>
      <c r="WLV193" s="134"/>
      <c r="WLW193" s="135"/>
      <c r="WLX193" s="135"/>
      <c r="WLY193" s="135"/>
      <c r="WLZ193" s="135"/>
      <c r="WMA193" s="173"/>
      <c r="WMB193" s="173"/>
      <c r="WMC193" s="173"/>
      <c r="WMD193" s="173"/>
      <c r="WME193" s="173"/>
      <c r="WMF193" s="173"/>
      <c r="WMG193" s="173"/>
      <c r="WMH193" s="173"/>
      <c r="WMI193" s="173"/>
      <c r="WMJ193" s="173"/>
      <c r="WMK193" s="125"/>
      <c r="WML193" s="125"/>
      <c r="WMM193" s="134"/>
      <c r="WMN193" s="135"/>
      <c r="WMO193" s="135"/>
      <c r="WMP193" s="135"/>
      <c r="WMQ193" s="135"/>
      <c r="WMR193" s="173"/>
      <c r="WMS193" s="173"/>
      <c r="WMT193" s="173"/>
      <c r="WMU193" s="173"/>
      <c r="WMV193" s="173"/>
      <c r="WMW193" s="173"/>
      <c r="WMX193" s="173"/>
      <c r="WMY193" s="173"/>
      <c r="WMZ193" s="173"/>
      <c r="WNA193" s="173"/>
      <c r="WNB193" s="125"/>
      <c r="WNC193" s="125"/>
      <c r="WND193" s="134"/>
      <c r="WNE193" s="135"/>
      <c r="WNF193" s="135"/>
      <c r="WNG193" s="135"/>
      <c r="WNH193" s="135"/>
      <c r="WNI193" s="173"/>
      <c r="WNJ193" s="173"/>
      <c r="WNK193" s="173"/>
      <c r="WNL193" s="173"/>
      <c r="WNM193" s="173"/>
      <c r="WNN193" s="173"/>
      <c r="WNO193" s="173"/>
      <c r="WNP193" s="173"/>
      <c r="WNQ193" s="173"/>
      <c r="WNR193" s="173"/>
      <c r="WNS193" s="125"/>
      <c r="WNT193" s="125"/>
      <c r="WNU193" s="134"/>
      <c r="WNV193" s="135"/>
      <c r="WNW193" s="135"/>
      <c r="WNX193" s="135"/>
      <c r="WNY193" s="135"/>
      <c r="WNZ193" s="173"/>
      <c r="WOA193" s="173"/>
      <c r="WOB193" s="173"/>
      <c r="WOC193" s="173"/>
      <c r="WOD193" s="173"/>
      <c r="WOE193" s="173"/>
      <c r="WOF193" s="173"/>
      <c r="WOG193" s="173"/>
      <c r="WOH193" s="173"/>
      <c r="WOI193" s="173"/>
      <c r="WOJ193" s="125"/>
      <c r="WOK193" s="125"/>
      <c r="WOL193" s="134"/>
      <c r="WOM193" s="135"/>
      <c r="WON193" s="135"/>
      <c r="WOO193" s="135"/>
      <c r="WOP193" s="135"/>
      <c r="WOQ193" s="173"/>
      <c r="WOR193" s="173"/>
      <c r="WOS193" s="173"/>
      <c r="WOT193" s="173"/>
      <c r="WOU193" s="173"/>
      <c r="WOV193" s="173"/>
      <c r="WOW193" s="173"/>
      <c r="WOX193" s="173"/>
      <c r="WOY193" s="173"/>
      <c r="WOZ193" s="173"/>
      <c r="WPA193" s="125"/>
      <c r="WPB193" s="125"/>
      <c r="WPC193" s="134"/>
      <c r="WPD193" s="135"/>
      <c r="WPE193" s="135"/>
      <c r="WPF193" s="135"/>
      <c r="WPG193" s="135"/>
      <c r="WPH193" s="173"/>
      <c r="WPI193" s="173"/>
      <c r="WPJ193" s="173"/>
      <c r="WPK193" s="173"/>
      <c r="WPL193" s="173"/>
      <c r="WPM193" s="173"/>
      <c r="WPN193" s="173"/>
      <c r="WPO193" s="173"/>
      <c r="WPP193" s="173"/>
      <c r="WPQ193" s="173"/>
      <c r="WPR193" s="125"/>
      <c r="WPS193" s="125"/>
      <c r="WPT193" s="134"/>
      <c r="WPU193" s="135"/>
      <c r="WPV193" s="135"/>
      <c r="WPW193" s="135"/>
      <c r="WPX193" s="135"/>
      <c r="WPY193" s="173"/>
      <c r="WPZ193" s="173"/>
      <c r="WQA193" s="173"/>
      <c r="WQB193" s="173"/>
      <c r="WQC193" s="173"/>
      <c r="WQD193" s="173"/>
      <c r="WQE193" s="173"/>
      <c r="WQF193" s="173"/>
      <c r="WQG193" s="173"/>
      <c r="WQH193" s="173"/>
      <c r="WQI193" s="125"/>
      <c r="WQJ193" s="125"/>
      <c r="WQK193" s="134"/>
      <c r="WQL193" s="135"/>
      <c r="WQM193" s="135"/>
      <c r="WQN193" s="135"/>
      <c r="WQO193" s="135"/>
      <c r="WQP193" s="173"/>
      <c r="WQQ193" s="173"/>
      <c r="WQR193" s="173"/>
      <c r="WQS193" s="173"/>
      <c r="WQT193" s="173"/>
      <c r="WQU193" s="173"/>
      <c r="WQV193" s="173"/>
      <c r="WQW193" s="173"/>
      <c r="WQX193" s="173"/>
      <c r="WQY193" s="173"/>
      <c r="WQZ193" s="125"/>
      <c r="WRA193" s="125"/>
      <c r="WRB193" s="134"/>
      <c r="WRC193" s="135"/>
      <c r="WRD193" s="135"/>
      <c r="WRE193" s="135"/>
      <c r="WRF193" s="135"/>
      <c r="WRG193" s="173"/>
      <c r="WRH193" s="173"/>
      <c r="WRI193" s="173"/>
      <c r="WRJ193" s="173"/>
      <c r="WRK193" s="173"/>
      <c r="WRL193" s="173"/>
      <c r="WRM193" s="173"/>
      <c r="WRN193" s="173"/>
      <c r="WRO193" s="173"/>
      <c r="WRP193" s="173"/>
      <c r="WRQ193" s="125"/>
      <c r="WRR193" s="125"/>
      <c r="WRS193" s="134"/>
      <c r="WRT193" s="135"/>
      <c r="WRU193" s="135"/>
      <c r="WRV193" s="135"/>
      <c r="WRW193" s="135"/>
      <c r="WRX193" s="173"/>
      <c r="WRY193" s="173"/>
      <c r="WRZ193" s="173"/>
      <c r="WSA193" s="173"/>
      <c r="WSB193" s="173"/>
      <c r="WSC193" s="173"/>
      <c r="WSD193" s="173"/>
      <c r="WSE193" s="173"/>
      <c r="WSF193" s="173"/>
      <c r="WSG193" s="173"/>
      <c r="WSH193" s="125"/>
      <c r="WSI193" s="125"/>
      <c r="WSJ193" s="134"/>
      <c r="WSK193" s="135"/>
      <c r="WSL193" s="135"/>
      <c r="WSM193" s="135"/>
      <c r="WSN193" s="135"/>
      <c r="WSO193" s="173"/>
      <c r="WSP193" s="173"/>
      <c r="WSQ193" s="173"/>
      <c r="WSR193" s="173"/>
      <c r="WSS193" s="173"/>
      <c r="WST193" s="173"/>
      <c r="WSU193" s="173"/>
      <c r="WSV193" s="173"/>
      <c r="WSW193" s="173"/>
      <c r="WSX193" s="173"/>
      <c r="WSY193" s="125"/>
      <c r="WSZ193" s="125"/>
      <c r="WTA193" s="134"/>
      <c r="WTB193" s="135"/>
      <c r="WTC193" s="135"/>
      <c r="WTD193" s="135"/>
      <c r="WTE193" s="135"/>
      <c r="WTF193" s="173"/>
      <c r="WTG193" s="173"/>
      <c r="WTH193" s="173"/>
      <c r="WTI193" s="173"/>
      <c r="WTJ193" s="173"/>
      <c r="WTK193" s="173"/>
      <c r="WTL193" s="173"/>
      <c r="WTM193" s="173"/>
      <c r="WTN193" s="173"/>
      <c r="WTO193" s="173"/>
      <c r="WTP193" s="125"/>
      <c r="WTQ193" s="125"/>
      <c r="WTR193" s="134"/>
      <c r="WTS193" s="135"/>
      <c r="WTT193" s="135"/>
      <c r="WTU193" s="135"/>
      <c r="WTV193" s="135"/>
      <c r="WTW193" s="173"/>
      <c r="WTX193" s="173"/>
      <c r="WTY193" s="173"/>
      <c r="WTZ193" s="173"/>
      <c r="WUA193" s="173"/>
      <c r="WUB193" s="173"/>
      <c r="WUC193" s="173"/>
      <c r="WUD193" s="173"/>
      <c r="WUE193" s="173"/>
      <c r="WUF193" s="173"/>
      <c r="WUG193" s="125"/>
      <c r="WUH193" s="125"/>
      <c r="WUI193" s="134"/>
      <c r="WUJ193" s="135"/>
      <c r="WUK193" s="135"/>
      <c r="WUL193" s="135"/>
      <c r="WUM193" s="135"/>
      <c r="WUN193" s="173"/>
      <c r="WUO193" s="173"/>
      <c r="WUP193" s="173"/>
      <c r="WUQ193" s="173"/>
      <c r="WUR193" s="173"/>
      <c r="WUS193" s="173"/>
      <c r="WUT193" s="173"/>
      <c r="WUU193" s="173"/>
      <c r="WUV193" s="173"/>
      <c r="WUW193" s="173"/>
      <c r="WUX193" s="125"/>
      <c r="WUY193" s="125"/>
      <c r="WUZ193" s="134"/>
      <c r="WVA193" s="135"/>
      <c r="WVB193" s="135"/>
      <c r="WVC193" s="135"/>
      <c r="WVD193" s="135"/>
      <c r="WVE193" s="173"/>
      <c r="WVF193" s="173"/>
      <c r="WVG193" s="173"/>
      <c r="WVH193" s="173"/>
      <c r="WVI193" s="173"/>
      <c r="WVJ193" s="173"/>
      <c r="WVK193" s="173"/>
      <c r="WVL193" s="173"/>
      <c r="WVM193" s="173"/>
      <c r="WVN193" s="173"/>
      <c r="WVO193" s="125"/>
      <c r="WVP193" s="125"/>
      <c r="WVQ193" s="134"/>
      <c r="WVR193" s="135"/>
      <c r="WVS193" s="135"/>
      <c r="WVT193" s="135"/>
      <c r="WVU193" s="135"/>
      <c r="WVV193" s="173"/>
      <c r="WVW193" s="173"/>
      <c r="WVX193" s="173"/>
      <c r="WVY193" s="173"/>
      <c r="WVZ193" s="173"/>
      <c r="WWA193" s="173"/>
      <c r="WWB193" s="173"/>
      <c r="WWC193" s="173"/>
      <c r="WWD193" s="173"/>
      <c r="WWE193" s="173"/>
      <c r="WWF193" s="125"/>
      <c r="WWG193" s="125"/>
      <c r="WWH193" s="134"/>
      <c r="WWI193" s="135"/>
      <c r="WWJ193" s="135"/>
      <c r="WWK193" s="135"/>
      <c r="WWL193" s="135"/>
      <c r="WWM193" s="173"/>
      <c r="WWN193" s="173"/>
      <c r="WWO193" s="173"/>
      <c r="WWP193" s="173"/>
      <c r="WWQ193" s="173"/>
      <c r="WWR193" s="173"/>
      <c r="WWS193" s="173"/>
      <c r="WWT193" s="173"/>
      <c r="WWU193" s="173"/>
      <c r="WWV193" s="173"/>
      <c r="WWW193" s="125"/>
      <c r="WWX193" s="125"/>
      <c r="WWY193" s="134"/>
      <c r="WWZ193" s="135"/>
      <c r="WXA193" s="135"/>
      <c r="WXB193" s="135"/>
      <c r="WXC193" s="135"/>
      <c r="WXD193" s="173"/>
      <c r="WXE193" s="173"/>
      <c r="WXF193" s="173"/>
      <c r="WXG193" s="173"/>
      <c r="WXH193" s="173"/>
      <c r="WXI193" s="173"/>
      <c r="WXJ193" s="173"/>
      <c r="WXK193" s="173"/>
      <c r="WXL193" s="173"/>
      <c r="WXM193" s="173"/>
      <c r="WXN193" s="125"/>
      <c r="WXO193" s="125"/>
      <c r="WXP193" s="134"/>
      <c r="WXQ193" s="135"/>
      <c r="WXR193" s="135"/>
      <c r="WXS193" s="135"/>
      <c r="WXT193" s="135"/>
      <c r="WXU193" s="173"/>
      <c r="WXV193" s="173"/>
      <c r="WXW193" s="173"/>
      <c r="WXX193" s="173"/>
      <c r="WXY193" s="173"/>
      <c r="WXZ193" s="173"/>
      <c r="WYA193" s="173"/>
      <c r="WYB193" s="173"/>
      <c r="WYC193" s="173"/>
      <c r="WYD193" s="173"/>
      <c r="WYE193" s="125"/>
      <c r="WYF193" s="125"/>
      <c r="WYG193" s="134"/>
      <c r="WYH193" s="135"/>
      <c r="WYI193" s="135"/>
      <c r="WYJ193" s="135"/>
      <c r="WYK193" s="135"/>
      <c r="WYL193" s="173"/>
      <c r="WYM193" s="173"/>
      <c r="WYN193" s="173"/>
      <c r="WYO193" s="173"/>
      <c r="WYP193" s="173"/>
      <c r="WYQ193" s="173"/>
      <c r="WYR193" s="173"/>
      <c r="WYS193" s="173"/>
      <c r="WYT193" s="173"/>
      <c r="WYU193" s="173"/>
      <c r="WYV193" s="125"/>
      <c r="WYW193" s="125"/>
      <c r="WYX193" s="134"/>
      <c r="WYY193" s="135"/>
      <c r="WYZ193" s="135"/>
      <c r="WZA193" s="135"/>
      <c r="WZB193" s="135"/>
      <c r="WZC193" s="173"/>
      <c r="WZD193" s="173"/>
      <c r="WZE193" s="173"/>
      <c r="WZF193" s="173"/>
      <c r="WZG193" s="173"/>
      <c r="WZH193" s="173"/>
      <c r="WZI193" s="173"/>
      <c r="WZJ193" s="173"/>
      <c r="WZK193" s="173"/>
      <c r="WZL193" s="173"/>
      <c r="WZM193" s="125"/>
      <c r="WZN193" s="125"/>
      <c r="WZO193" s="134"/>
      <c r="WZP193" s="135"/>
      <c r="WZQ193" s="135"/>
      <c r="WZR193" s="135"/>
      <c r="WZS193" s="135"/>
      <c r="WZT193" s="173"/>
      <c r="WZU193" s="173"/>
      <c r="WZV193" s="173"/>
      <c r="WZW193" s="173"/>
      <c r="WZX193" s="173"/>
      <c r="WZY193" s="173"/>
      <c r="WZZ193" s="173"/>
      <c r="XAA193" s="173"/>
      <c r="XAB193" s="173"/>
      <c r="XAC193" s="173"/>
      <c r="XAD193" s="125"/>
      <c r="XAE193" s="125"/>
      <c r="XAF193" s="134"/>
      <c r="XAG193" s="135"/>
      <c r="XAH193" s="135"/>
      <c r="XAI193" s="135"/>
      <c r="XAJ193" s="135"/>
      <c r="XAK193" s="173"/>
      <c r="XAL193" s="173"/>
      <c r="XAM193" s="173"/>
      <c r="XAN193" s="173"/>
      <c r="XAO193" s="173"/>
      <c r="XAP193" s="173"/>
      <c r="XAQ193" s="173"/>
      <c r="XAR193" s="173"/>
      <c r="XAS193" s="173"/>
      <c r="XAT193" s="173"/>
      <c r="XAU193" s="125"/>
      <c r="XAV193" s="125"/>
      <c r="XAW193" s="134"/>
      <c r="XAX193" s="135"/>
      <c r="XAY193" s="135"/>
      <c r="XAZ193" s="135"/>
      <c r="XBA193" s="135"/>
      <c r="XBB193" s="173"/>
      <c r="XBC193" s="173"/>
      <c r="XBD193" s="173"/>
      <c r="XBE193" s="173"/>
      <c r="XBF193" s="173"/>
      <c r="XBG193" s="173"/>
      <c r="XBH193" s="173"/>
      <c r="XBI193" s="173"/>
      <c r="XBJ193" s="173"/>
      <c r="XBK193" s="173"/>
      <c r="XBL193" s="125"/>
      <c r="XBM193" s="125"/>
      <c r="XBN193" s="134"/>
      <c r="XBO193" s="135"/>
      <c r="XBP193" s="135"/>
      <c r="XBQ193" s="135"/>
      <c r="XBR193" s="135"/>
      <c r="XBS193" s="173"/>
      <c r="XBT193" s="173"/>
      <c r="XBU193" s="173"/>
      <c r="XBV193" s="173"/>
      <c r="XBW193" s="173"/>
      <c r="XBX193" s="173"/>
      <c r="XBY193" s="173"/>
      <c r="XBZ193" s="173"/>
      <c r="XCA193" s="173"/>
      <c r="XCB193" s="173"/>
      <c r="XCC193" s="125"/>
      <c r="XCD193" s="125"/>
      <c r="XCE193" s="134"/>
      <c r="XCF193" s="135"/>
      <c r="XCG193" s="135"/>
      <c r="XCH193" s="135"/>
      <c r="XCI193" s="135"/>
      <c r="XCJ193" s="173"/>
      <c r="XCK193" s="173"/>
      <c r="XCL193" s="173"/>
      <c r="XCM193" s="173"/>
      <c r="XCN193" s="173"/>
      <c r="XCO193" s="173"/>
      <c r="XCP193" s="173"/>
      <c r="XCQ193" s="173"/>
      <c r="XCR193" s="173"/>
      <c r="XCS193" s="173"/>
      <c r="XCT193" s="125"/>
      <c r="XCU193" s="125"/>
      <c r="XCV193" s="134"/>
      <c r="XCW193" s="135"/>
      <c r="XCX193" s="135"/>
      <c r="XCY193" s="135"/>
      <c r="XCZ193" s="135"/>
      <c r="XDA193" s="173"/>
      <c r="XDB193" s="173"/>
      <c r="XDC193" s="173"/>
      <c r="XDD193" s="173"/>
      <c r="XDE193" s="173"/>
      <c r="XDF193" s="173"/>
      <c r="XDG193" s="173"/>
      <c r="XDH193" s="173"/>
      <c r="XDI193" s="173"/>
      <c r="XDJ193" s="173"/>
      <c r="XDK193" s="125"/>
      <c r="XDL193" s="125"/>
      <c r="XDM193" s="134"/>
      <c r="XDN193" s="135"/>
      <c r="XDO193" s="135"/>
      <c r="XDP193" s="135"/>
      <c r="XDQ193" s="135"/>
      <c r="XDR193" s="173"/>
      <c r="XDS193" s="173"/>
      <c r="XDT193" s="173"/>
      <c r="XDU193" s="173"/>
      <c r="XDV193" s="173"/>
      <c r="XDW193" s="173"/>
      <c r="XDX193" s="173"/>
      <c r="XDY193" s="173"/>
      <c r="XDZ193" s="173"/>
      <c r="XEA193" s="173"/>
      <c r="XEB193" s="125"/>
      <c r="XEC193" s="125"/>
      <c r="XED193" s="134"/>
      <c r="XEE193" s="135"/>
      <c r="XEF193" s="135"/>
      <c r="XEG193" s="135"/>
      <c r="XEH193" s="135"/>
      <c r="XEI193" s="173"/>
      <c r="XEJ193" s="173"/>
      <c r="XEK193" s="173"/>
      <c r="XEL193" s="173"/>
      <c r="XEM193" s="173"/>
      <c r="XEN193" s="173"/>
      <c r="XEO193" s="173"/>
      <c r="XEP193" s="173"/>
      <c r="XEQ193" s="173"/>
      <c r="XER193" s="173"/>
      <c r="XES193" s="125"/>
      <c r="XET193" s="125"/>
      <c r="XEU193" s="134"/>
      <c r="XEV193" s="135"/>
      <c r="XEW193" s="135"/>
      <c r="XEX193" s="135"/>
      <c r="XEY193" s="135"/>
      <c r="XEZ193" s="173"/>
      <c r="XFA193" s="173"/>
      <c r="XFB193" s="173"/>
    </row>
    <row r="194" spans="1:16382" customFormat="1" ht="15" hidden="1" customHeight="1">
      <c r="A194" s="1"/>
      <c r="B194" s="6"/>
      <c r="C194" s="164" t="s">
        <v>184</v>
      </c>
      <c r="D194" s="1"/>
      <c r="E194" s="1"/>
      <c r="F194" s="1"/>
      <c r="G194" s="164" t="s">
        <v>176</v>
      </c>
      <c r="H194" s="165"/>
      <c r="I194" s="165"/>
      <c r="J194" s="170" t="e">
        <f t="shared" ref="J194:R194" si="131">J193/I193-1</f>
        <v>#DIV/0!</v>
      </c>
      <c r="K194" s="170" t="e">
        <f t="shared" si="131"/>
        <v>#DIV/0!</v>
      </c>
      <c r="L194" s="170" t="e">
        <f t="shared" si="131"/>
        <v>#DIV/0!</v>
      </c>
      <c r="M194" s="170" t="e">
        <f t="shared" si="131"/>
        <v>#DIV/0!</v>
      </c>
      <c r="N194" s="170" t="e">
        <f t="shared" si="131"/>
        <v>#DIV/0!</v>
      </c>
      <c r="O194" s="170" t="e">
        <f t="shared" si="131"/>
        <v>#DIV/0!</v>
      </c>
      <c r="P194" s="170" t="e">
        <f t="shared" si="131"/>
        <v>#DIV/0!</v>
      </c>
      <c r="Q194" s="170" t="e">
        <f t="shared" si="131"/>
        <v>#DIV/0!</v>
      </c>
      <c r="R194" s="170" t="e">
        <f t="shared" si="131"/>
        <v>#DIV/0!</v>
      </c>
      <c r="S194" s="1"/>
      <c r="T194" s="1"/>
      <c r="U194" s="1"/>
      <c r="V194" s="1"/>
      <c r="W194" s="1"/>
      <c r="X194" s="1"/>
      <c r="Y194" s="1"/>
      <c r="Z194" s="1"/>
      <c r="AA194" s="1"/>
      <c r="AB194" s="1"/>
      <c r="AC194" s="1"/>
    </row>
    <row r="195" spans="1:16382" customFormat="1" ht="15" hidden="1" customHeight="1">
      <c r="A195" s="4" t="str">
        <f>'[7]Input sheet'!A81</f>
        <v>Turkey</v>
      </c>
      <c r="B195" s="129" t="str">
        <f>'[7]Input sheet'!B81</f>
        <v>Employment</v>
      </c>
      <c r="C195" s="4" t="str">
        <f>'[7]Input sheet'!C81</f>
        <v>Indirect Tourism Employment as a Percentage of Total Employment</v>
      </c>
      <c r="D195" s="2" t="str">
        <f>'[7]Input sheet'!D81</f>
        <v>Accommodation</v>
      </c>
      <c r="E195" s="1"/>
      <c r="F195" s="1"/>
      <c r="G195" s="1" t="str">
        <f>'[7]Input sheet'!G81</f>
        <v>%</v>
      </c>
      <c r="H195" s="187" t="e">
        <f>H171/H$508</f>
        <v>#DIV/0!</v>
      </c>
      <c r="I195" s="187" t="e">
        <f>I171/I$508</f>
        <v>#DIV/0!</v>
      </c>
      <c r="J195" s="187" t="e">
        <f t="shared" ref="J195:R207" si="132">J171/J$508</f>
        <v>#DIV/0!</v>
      </c>
      <c r="K195" s="187" t="e">
        <f t="shared" si="132"/>
        <v>#DIV/0!</v>
      </c>
      <c r="L195" s="187" t="e">
        <f t="shared" si="132"/>
        <v>#DIV/0!</v>
      </c>
      <c r="M195" s="187" t="e">
        <f t="shared" si="132"/>
        <v>#DIV/0!</v>
      </c>
      <c r="N195" s="188" t="e">
        <f t="shared" si="132"/>
        <v>#DIV/0!</v>
      </c>
      <c r="O195" s="188" t="e">
        <f t="shared" si="132"/>
        <v>#DIV/0!</v>
      </c>
      <c r="P195" s="188" t="e">
        <f t="shared" si="132"/>
        <v>#DIV/0!</v>
      </c>
      <c r="Q195" s="188" t="e">
        <f t="shared" si="132"/>
        <v>#DIV/0!</v>
      </c>
      <c r="R195" s="188" t="e">
        <f t="shared" si="132"/>
        <v>#DIV/0!</v>
      </c>
    </row>
    <row r="196" spans="1:16382" customFormat="1" ht="15" hidden="1" customHeight="1">
      <c r="A196" s="1"/>
      <c r="B196" s="6"/>
      <c r="C196" s="164" t="s">
        <v>184</v>
      </c>
      <c r="D196" s="1"/>
      <c r="E196" s="1"/>
      <c r="F196" s="1"/>
      <c r="G196" s="164" t="s">
        <v>176</v>
      </c>
      <c r="H196" s="165"/>
      <c r="I196" s="165"/>
      <c r="J196" s="170" t="e">
        <f t="shared" ref="J196:R196" si="133">J195/I195-1</f>
        <v>#DIV/0!</v>
      </c>
      <c r="K196" s="170" t="e">
        <f t="shared" si="133"/>
        <v>#DIV/0!</v>
      </c>
      <c r="L196" s="170" t="e">
        <f t="shared" si="133"/>
        <v>#DIV/0!</v>
      </c>
      <c r="M196" s="170" t="e">
        <f t="shared" si="133"/>
        <v>#DIV/0!</v>
      </c>
      <c r="N196" s="170" t="e">
        <f t="shared" si="133"/>
        <v>#DIV/0!</v>
      </c>
      <c r="O196" s="170" t="e">
        <f t="shared" si="133"/>
        <v>#DIV/0!</v>
      </c>
      <c r="P196" s="170" t="e">
        <f t="shared" si="133"/>
        <v>#DIV/0!</v>
      </c>
      <c r="Q196" s="170" t="e">
        <f t="shared" si="133"/>
        <v>#DIV/0!</v>
      </c>
      <c r="R196" s="170" t="e">
        <f t="shared" si="133"/>
        <v>#DIV/0!</v>
      </c>
    </row>
    <row r="197" spans="1:16382" customFormat="1" ht="15" hidden="1" customHeight="1">
      <c r="A197" s="4" t="str">
        <f>'[7]Input sheet'!A82</f>
        <v>Turkey</v>
      </c>
      <c r="B197" s="129" t="str">
        <f>'[7]Input sheet'!B82</f>
        <v>Employment</v>
      </c>
      <c r="C197" s="4" t="str">
        <f>'[7]Input sheet'!C82</f>
        <v>Indirect Tourism Employment as a Percentage of Total Employment</v>
      </c>
      <c r="D197" s="2" t="str">
        <f>'[7]Input sheet'!D82</f>
        <v>Entertainment &amp; Sightseeing</v>
      </c>
      <c r="E197" s="1"/>
      <c r="F197" s="1"/>
      <c r="G197" s="1" t="str">
        <f>'[7]Input sheet'!G82</f>
        <v>%</v>
      </c>
      <c r="H197" s="187" t="e">
        <f>H173/H$508</f>
        <v>#DIV/0!</v>
      </c>
      <c r="I197" s="187" t="e">
        <f>I173/I$508</f>
        <v>#DIV/0!</v>
      </c>
      <c r="J197" s="187" t="e">
        <f t="shared" si="132"/>
        <v>#DIV/0!</v>
      </c>
      <c r="K197" s="187" t="e">
        <f t="shared" si="132"/>
        <v>#DIV/0!</v>
      </c>
      <c r="L197" s="187" t="e">
        <f t="shared" si="132"/>
        <v>#DIV/0!</v>
      </c>
      <c r="M197" s="187" t="e">
        <f t="shared" si="132"/>
        <v>#DIV/0!</v>
      </c>
      <c r="N197" s="188" t="e">
        <f t="shared" si="132"/>
        <v>#DIV/0!</v>
      </c>
      <c r="O197" s="188" t="e">
        <f t="shared" si="132"/>
        <v>#DIV/0!</v>
      </c>
      <c r="P197" s="188" t="e">
        <f t="shared" si="132"/>
        <v>#DIV/0!</v>
      </c>
      <c r="Q197" s="188" t="e">
        <f t="shared" si="132"/>
        <v>#DIV/0!</v>
      </c>
      <c r="R197" s="188" t="e">
        <f t="shared" si="132"/>
        <v>#DIV/0!</v>
      </c>
    </row>
    <row r="198" spans="1:16382" customFormat="1" ht="15" hidden="1" customHeight="1">
      <c r="A198" s="1"/>
      <c r="B198" s="6"/>
      <c r="C198" s="164" t="s">
        <v>184</v>
      </c>
      <c r="D198" s="1"/>
      <c r="E198" s="1"/>
      <c r="F198" s="1"/>
      <c r="G198" s="164" t="s">
        <v>176</v>
      </c>
      <c r="H198" s="165"/>
      <c r="I198" s="165"/>
      <c r="J198" s="170" t="e">
        <f t="shared" ref="J198:R198" si="134">J197/I197-1</f>
        <v>#DIV/0!</v>
      </c>
      <c r="K198" s="170" t="e">
        <f t="shared" si="134"/>
        <v>#DIV/0!</v>
      </c>
      <c r="L198" s="170" t="e">
        <f t="shared" si="134"/>
        <v>#DIV/0!</v>
      </c>
      <c r="M198" s="170" t="e">
        <f t="shared" si="134"/>
        <v>#DIV/0!</v>
      </c>
      <c r="N198" s="170" t="e">
        <f t="shared" si="134"/>
        <v>#DIV/0!</v>
      </c>
      <c r="O198" s="170" t="e">
        <f t="shared" si="134"/>
        <v>#DIV/0!</v>
      </c>
      <c r="P198" s="170" t="e">
        <f t="shared" si="134"/>
        <v>#DIV/0!</v>
      </c>
      <c r="Q198" s="170" t="e">
        <f t="shared" si="134"/>
        <v>#DIV/0!</v>
      </c>
      <c r="R198" s="170" t="e">
        <f t="shared" si="134"/>
        <v>#DIV/0!</v>
      </c>
    </row>
    <row r="199" spans="1:16382" customFormat="1" ht="15" hidden="1" customHeight="1">
      <c r="A199" s="4" t="str">
        <f>'[7]Input sheet'!A83</f>
        <v>Turkey</v>
      </c>
      <c r="B199" s="129" t="str">
        <f>'[7]Input sheet'!B83</f>
        <v>Employment</v>
      </c>
      <c r="C199" s="4" t="str">
        <f>'[7]Input sheet'!C83</f>
        <v>Indirect Tourism Employment as a Percentage of Total Employment</v>
      </c>
      <c r="D199" s="2" t="str">
        <f>'[7]Input sheet'!D83</f>
        <v>Foodservice</v>
      </c>
      <c r="E199" s="1"/>
      <c r="F199" s="1"/>
      <c r="G199" s="1" t="str">
        <f>'[7]Input sheet'!G83</f>
        <v>%</v>
      </c>
      <c r="H199" s="187" t="e">
        <f>H175/H$508</f>
        <v>#DIV/0!</v>
      </c>
      <c r="I199" s="187" t="e">
        <f>I175/I$508</f>
        <v>#DIV/0!</v>
      </c>
      <c r="J199" s="187" t="e">
        <f t="shared" si="132"/>
        <v>#DIV/0!</v>
      </c>
      <c r="K199" s="187" t="e">
        <f t="shared" si="132"/>
        <v>#DIV/0!</v>
      </c>
      <c r="L199" s="187" t="e">
        <f t="shared" si="132"/>
        <v>#DIV/0!</v>
      </c>
      <c r="M199" s="187" t="e">
        <f t="shared" si="132"/>
        <v>#DIV/0!</v>
      </c>
      <c r="N199" s="188" t="e">
        <f t="shared" si="132"/>
        <v>#DIV/0!</v>
      </c>
      <c r="O199" s="188" t="e">
        <f t="shared" si="132"/>
        <v>#DIV/0!</v>
      </c>
      <c r="P199" s="188" t="e">
        <f t="shared" si="132"/>
        <v>#DIV/0!</v>
      </c>
      <c r="Q199" s="188" t="e">
        <f t="shared" si="132"/>
        <v>#DIV/0!</v>
      </c>
      <c r="R199" s="188" t="e">
        <f t="shared" si="132"/>
        <v>#DIV/0!</v>
      </c>
    </row>
    <row r="200" spans="1:16382" customFormat="1" ht="15" hidden="1" customHeight="1">
      <c r="A200" s="1"/>
      <c r="B200" s="6"/>
      <c r="C200" s="164" t="s">
        <v>184</v>
      </c>
      <c r="D200" s="1"/>
      <c r="E200" s="1"/>
      <c r="F200" s="1"/>
      <c r="G200" s="164" t="s">
        <v>176</v>
      </c>
      <c r="H200" s="165"/>
      <c r="I200" s="165"/>
      <c r="J200" s="170" t="e">
        <f t="shared" ref="J200:R200" si="135">J199/I199-1</f>
        <v>#DIV/0!</v>
      </c>
      <c r="K200" s="170" t="e">
        <f t="shared" si="135"/>
        <v>#DIV/0!</v>
      </c>
      <c r="L200" s="170" t="e">
        <f t="shared" si="135"/>
        <v>#DIV/0!</v>
      </c>
      <c r="M200" s="170" t="e">
        <f t="shared" si="135"/>
        <v>#DIV/0!</v>
      </c>
      <c r="N200" s="170" t="e">
        <f t="shared" si="135"/>
        <v>#DIV/0!</v>
      </c>
      <c r="O200" s="170" t="e">
        <f t="shared" si="135"/>
        <v>#DIV/0!</v>
      </c>
      <c r="P200" s="170" t="e">
        <f t="shared" si="135"/>
        <v>#DIV/0!</v>
      </c>
      <c r="Q200" s="170" t="e">
        <f t="shared" si="135"/>
        <v>#DIV/0!</v>
      </c>
      <c r="R200" s="170" t="e">
        <f t="shared" si="135"/>
        <v>#DIV/0!</v>
      </c>
    </row>
    <row r="201" spans="1:16382" customFormat="1" ht="15" hidden="1" customHeight="1">
      <c r="A201" s="4" t="str">
        <f>'[7]Input sheet'!A84</f>
        <v>Turkey</v>
      </c>
      <c r="B201" s="129" t="str">
        <f>'[7]Input sheet'!B84</f>
        <v>Employment</v>
      </c>
      <c r="C201" s="4" t="str">
        <f>'[7]Input sheet'!C84</f>
        <v>Indirect Tourism Employment as a Percentage of Total Employment</v>
      </c>
      <c r="D201" s="2" t="str">
        <f>'[7]Input sheet'!D84</f>
        <v>Retail</v>
      </c>
      <c r="E201" s="1"/>
      <c r="F201" s="1"/>
      <c r="G201" s="1" t="str">
        <f>'[7]Input sheet'!G84</f>
        <v>%</v>
      </c>
      <c r="H201" s="187" t="e">
        <f>H177/H$508</f>
        <v>#DIV/0!</v>
      </c>
      <c r="I201" s="187" t="e">
        <f>I177/I$508</f>
        <v>#DIV/0!</v>
      </c>
      <c r="J201" s="187" t="e">
        <f t="shared" si="132"/>
        <v>#DIV/0!</v>
      </c>
      <c r="K201" s="187" t="e">
        <f t="shared" si="132"/>
        <v>#DIV/0!</v>
      </c>
      <c r="L201" s="187" t="e">
        <f t="shared" si="132"/>
        <v>#DIV/0!</v>
      </c>
      <c r="M201" s="187" t="e">
        <f t="shared" si="132"/>
        <v>#DIV/0!</v>
      </c>
      <c r="N201" s="188" t="e">
        <f t="shared" si="132"/>
        <v>#DIV/0!</v>
      </c>
      <c r="O201" s="188" t="e">
        <f t="shared" si="132"/>
        <v>#DIV/0!</v>
      </c>
      <c r="P201" s="188" t="e">
        <f t="shared" si="132"/>
        <v>#DIV/0!</v>
      </c>
      <c r="Q201" s="188" t="e">
        <f t="shared" si="132"/>
        <v>#DIV/0!</v>
      </c>
      <c r="R201" s="188" t="e">
        <f t="shared" si="132"/>
        <v>#DIV/0!</v>
      </c>
    </row>
    <row r="202" spans="1:16382" customFormat="1" ht="15" hidden="1" customHeight="1">
      <c r="A202" s="1"/>
      <c r="B202" s="6"/>
      <c r="C202" s="164" t="s">
        <v>184</v>
      </c>
      <c r="D202" s="1"/>
      <c r="E202" s="1"/>
      <c r="F202" s="1"/>
      <c r="G202" s="164" t="s">
        <v>176</v>
      </c>
      <c r="H202" s="165"/>
      <c r="I202" s="165"/>
      <c r="J202" s="170" t="e">
        <f t="shared" ref="J202:R202" si="136">J201/I201-1</f>
        <v>#DIV/0!</v>
      </c>
      <c r="K202" s="170" t="e">
        <f t="shared" si="136"/>
        <v>#DIV/0!</v>
      </c>
      <c r="L202" s="170" t="e">
        <f t="shared" si="136"/>
        <v>#DIV/0!</v>
      </c>
      <c r="M202" s="170" t="e">
        <f t="shared" si="136"/>
        <v>#DIV/0!</v>
      </c>
      <c r="N202" s="170" t="e">
        <f t="shared" si="136"/>
        <v>#DIV/0!</v>
      </c>
      <c r="O202" s="170" t="e">
        <f t="shared" si="136"/>
        <v>#DIV/0!</v>
      </c>
      <c r="P202" s="170" t="e">
        <f t="shared" si="136"/>
        <v>#DIV/0!</v>
      </c>
      <c r="Q202" s="170" t="e">
        <f t="shared" si="136"/>
        <v>#DIV/0!</v>
      </c>
      <c r="R202" s="170" t="e">
        <f t="shared" si="136"/>
        <v>#DIV/0!</v>
      </c>
    </row>
    <row r="203" spans="1:16382" ht="15" hidden="1" customHeight="1">
      <c r="A203" s="4" t="str">
        <f>'[7]Input sheet'!A85</f>
        <v>Turkey</v>
      </c>
      <c r="B203" s="129" t="str">
        <f>'[7]Input sheet'!B85</f>
        <v>Employment</v>
      </c>
      <c r="C203" s="4" t="str">
        <f>'[7]Input sheet'!C85</f>
        <v>Indirect Tourism Employment as a Percentage of Total Employment</v>
      </c>
      <c r="D203" s="2" t="str">
        <f>'[7]Input sheet'!D85</f>
        <v>Transportation</v>
      </c>
      <c r="G203" s="1" t="str">
        <f>'[7]Input sheet'!G85</f>
        <v>%</v>
      </c>
      <c r="H203" s="187" t="e">
        <f>H179/H$508</f>
        <v>#DIV/0!</v>
      </c>
      <c r="I203" s="187" t="e">
        <f>I179/I$508</f>
        <v>#DIV/0!</v>
      </c>
      <c r="J203" s="187" t="e">
        <f t="shared" si="132"/>
        <v>#DIV/0!</v>
      </c>
      <c r="K203" s="187" t="e">
        <f t="shared" si="132"/>
        <v>#DIV/0!</v>
      </c>
      <c r="L203" s="187" t="e">
        <f t="shared" si="132"/>
        <v>#DIV/0!</v>
      </c>
      <c r="M203" s="187" t="e">
        <f t="shared" si="132"/>
        <v>#DIV/0!</v>
      </c>
      <c r="N203" s="188" t="e">
        <f>N179/N$508</f>
        <v>#DIV/0!</v>
      </c>
      <c r="O203" s="188" t="e">
        <f t="shared" ref="O203:R203" si="137">O179/O$508</f>
        <v>#DIV/0!</v>
      </c>
      <c r="P203" s="188" t="e">
        <f t="shared" si="137"/>
        <v>#DIV/0!</v>
      </c>
      <c r="Q203" s="188" t="e">
        <f t="shared" si="137"/>
        <v>#DIV/0!</v>
      </c>
      <c r="R203" s="188" t="e">
        <f t="shared" si="137"/>
        <v>#DIV/0!</v>
      </c>
      <c r="S203"/>
      <c r="T203"/>
      <c r="U203"/>
      <c r="V203"/>
      <c r="W203"/>
      <c r="X203"/>
      <c r="Y203"/>
      <c r="AA203"/>
      <c r="AB203"/>
      <c r="AC203"/>
      <c r="AD203"/>
    </row>
    <row r="204" spans="1:16382" ht="15" hidden="1" customHeight="1">
      <c r="C204" s="164" t="s">
        <v>184</v>
      </c>
      <c r="G204" s="164" t="s">
        <v>176</v>
      </c>
      <c r="J204" s="170" t="e">
        <f t="shared" ref="J204:R204" si="138">J203/I203-1</f>
        <v>#DIV/0!</v>
      </c>
      <c r="K204" s="170" t="e">
        <f t="shared" si="138"/>
        <v>#DIV/0!</v>
      </c>
      <c r="L204" s="170" t="e">
        <f t="shared" si="138"/>
        <v>#DIV/0!</v>
      </c>
      <c r="M204" s="170" t="e">
        <f t="shared" si="138"/>
        <v>#DIV/0!</v>
      </c>
      <c r="N204" s="170" t="e">
        <f t="shared" si="138"/>
        <v>#DIV/0!</v>
      </c>
      <c r="O204" s="170" t="e">
        <f t="shared" si="138"/>
        <v>#DIV/0!</v>
      </c>
      <c r="P204" s="170" t="e">
        <f t="shared" si="138"/>
        <v>#DIV/0!</v>
      </c>
      <c r="Q204" s="170" t="e">
        <f t="shared" si="138"/>
        <v>#DIV/0!</v>
      </c>
      <c r="R204" s="170" t="e">
        <f t="shared" si="138"/>
        <v>#DIV/0!</v>
      </c>
      <c r="S204"/>
      <c r="T204"/>
      <c r="U204"/>
      <c r="V204"/>
      <c r="W204"/>
      <c r="X204"/>
      <c r="Y204"/>
      <c r="AA204"/>
      <c r="AB204"/>
      <c r="AC204"/>
      <c r="AD204"/>
    </row>
    <row r="205" spans="1:16382" ht="15" hidden="1" customHeight="1">
      <c r="A205" s="4" t="str">
        <f>'[7]Input sheet'!A86</f>
        <v>Turkey</v>
      </c>
      <c r="B205" s="129" t="str">
        <f>'[7]Input sheet'!B86</f>
        <v>Employment</v>
      </c>
      <c r="C205" s="4" t="str">
        <f>'[7]Input sheet'!C86</f>
        <v>Indirect Tourism Employment as a Percentage of Total Employment</v>
      </c>
      <c r="D205" s="2" t="str">
        <f>'[7]Input sheet'!D86</f>
        <v>Travel Intermediation</v>
      </c>
      <c r="G205" s="1" t="str">
        <f>'[7]Input sheet'!G86</f>
        <v>%</v>
      </c>
      <c r="H205" s="187" t="e">
        <f>H181/H$508</f>
        <v>#DIV/0!</v>
      </c>
      <c r="I205" s="187" t="e">
        <f>I181/I$508</f>
        <v>#DIV/0!</v>
      </c>
      <c r="J205" s="187" t="e">
        <f t="shared" si="132"/>
        <v>#DIV/0!</v>
      </c>
      <c r="K205" s="187" t="e">
        <f t="shared" si="132"/>
        <v>#DIV/0!</v>
      </c>
      <c r="L205" s="187" t="e">
        <f t="shared" si="132"/>
        <v>#DIV/0!</v>
      </c>
      <c r="M205" s="187" t="e">
        <f t="shared" si="132"/>
        <v>#DIV/0!</v>
      </c>
      <c r="N205" s="188" t="e">
        <f t="shared" si="132"/>
        <v>#DIV/0!</v>
      </c>
      <c r="O205" s="188" t="e">
        <f>O181/O$508</f>
        <v>#DIV/0!</v>
      </c>
      <c r="P205" s="188" t="e">
        <f t="shared" si="132"/>
        <v>#DIV/0!</v>
      </c>
      <c r="Q205" s="188" t="e">
        <f>Q181/Q$508</f>
        <v>#DIV/0!</v>
      </c>
      <c r="R205" s="188" t="e">
        <f>R181/R$508</f>
        <v>#DIV/0!</v>
      </c>
      <c r="S205"/>
      <c r="T205"/>
      <c r="U205"/>
      <c r="V205"/>
      <c r="W205"/>
      <c r="X205"/>
      <c r="Y205"/>
      <c r="AA205"/>
      <c r="AB205"/>
      <c r="AC205"/>
      <c r="AD205"/>
    </row>
    <row r="206" spans="1:16382" ht="15" hidden="1" customHeight="1">
      <c r="C206" s="164" t="s">
        <v>184</v>
      </c>
      <c r="G206" s="164" t="s">
        <v>176</v>
      </c>
      <c r="J206" s="170" t="e">
        <f t="shared" ref="J206:R206" si="139">J205/I205-1</f>
        <v>#DIV/0!</v>
      </c>
      <c r="K206" s="170" t="e">
        <f t="shared" si="139"/>
        <v>#DIV/0!</v>
      </c>
      <c r="L206" s="170" t="e">
        <f t="shared" si="139"/>
        <v>#DIV/0!</v>
      </c>
      <c r="M206" s="170" t="e">
        <f t="shared" si="139"/>
        <v>#DIV/0!</v>
      </c>
      <c r="N206" s="170" t="e">
        <f t="shared" si="139"/>
        <v>#DIV/0!</v>
      </c>
      <c r="O206" s="170" t="e">
        <f t="shared" si="139"/>
        <v>#DIV/0!</v>
      </c>
      <c r="P206" s="170" t="e">
        <f t="shared" si="139"/>
        <v>#DIV/0!</v>
      </c>
      <c r="Q206" s="170" t="e">
        <f t="shared" si="139"/>
        <v>#DIV/0!</v>
      </c>
      <c r="R206" s="170" t="e">
        <f t="shared" si="139"/>
        <v>#DIV/0!</v>
      </c>
      <c r="S206"/>
      <c r="T206"/>
      <c r="U206"/>
      <c r="V206"/>
      <c r="W206"/>
      <c r="X206"/>
      <c r="Y206"/>
      <c r="AA206"/>
      <c r="AB206"/>
      <c r="AC206"/>
      <c r="AD206"/>
    </row>
    <row r="207" spans="1:16382" ht="15" hidden="1" customHeight="1">
      <c r="A207" s="4" t="str">
        <f>'[7]Input sheet'!A87</f>
        <v>Turkey</v>
      </c>
      <c r="B207" s="129" t="str">
        <f>'[7]Input sheet'!B87</f>
        <v>Employment</v>
      </c>
      <c r="C207" s="4" t="str">
        <f>'[7]Input sheet'!C87</f>
        <v>Indirect Tourism Employment as a Percentage of Total Employment</v>
      </c>
      <c r="D207" s="2" t="str">
        <f>'[7]Input sheet'!D87</f>
        <v>Other Sectors</v>
      </c>
      <c r="G207" s="1" t="str">
        <f>'[7]Input sheet'!G87</f>
        <v>%</v>
      </c>
      <c r="H207" s="187" t="e">
        <f>H183/H$508</f>
        <v>#DIV/0!</v>
      </c>
      <c r="I207" s="187" t="e">
        <f>I183/I$508</f>
        <v>#DIV/0!</v>
      </c>
      <c r="J207" s="187" t="e">
        <f t="shared" si="132"/>
        <v>#DIV/0!</v>
      </c>
      <c r="K207" s="187" t="e">
        <f t="shared" si="132"/>
        <v>#DIV/0!</v>
      </c>
      <c r="L207" s="187" t="e">
        <f t="shared" si="132"/>
        <v>#DIV/0!</v>
      </c>
      <c r="M207" s="187" t="e">
        <f t="shared" si="132"/>
        <v>#DIV/0!</v>
      </c>
      <c r="N207" s="188" t="e">
        <f t="shared" si="132"/>
        <v>#DIV/0!</v>
      </c>
      <c r="O207" s="188" t="e">
        <f t="shared" si="132"/>
        <v>#DIV/0!</v>
      </c>
      <c r="P207" s="188" t="e">
        <f t="shared" si="132"/>
        <v>#DIV/0!</v>
      </c>
      <c r="Q207" s="188" t="e">
        <f>Q183/Q$508</f>
        <v>#DIV/0!</v>
      </c>
      <c r="R207" s="188" t="e">
        <f t="shared" si="132"/>
        <v>#DIV/0!</v>
      </c>
      <c r="S207"/>
      <c r="T207"/>
      <c r="U207"/>
      <c r="V207"/>
      <c r="W207"/>
      <c r="X207"/>
      <c r="Y207"/>
      <c r="AA207"/>
      <c r="AB207"/>
      <c r="AC207"/>
      <c r="AD207"/>
    </row>
    <row r="208" spans="1:16382" ht="15" hidden="1" customHeight="1">
      <c r="C208" s="164" t="s">
        <v>184</v>
      </c>
      <c r="G208" s="164" t="s">
        <v>176</v>
      </c>
      <c r="J208" s="170" t="e">
        <f t="shared" ref="J208:R208" si="140">J207/I207-1</f>
        <v>#DIV/0!</v>
      </c>
      <c r="K208" s="170" t="e">
        <f t="shared" si="140"/>
        <v>#DIV/0!</v>
      </c>
      <c r="L208" s="170" t="e">
        <f t="shared" si="140"/>
        <v>#DIV/0!</v>
      </c>
      <c r="M208" s="170" t="e">
        <f t="shared" si="140"/>
        <v>#DIV/0!</v>
      </c>
      <c r="N208" s="170" t="e">
        <f t="shared" si="140"/>
        <v>#DIV/0!</v>
      </c>
      <c r="O208" s="170" t="e">
        <f t="shared" si="140"/>
        <v>#DIV/0!</v>
      </c>
      <c r="P208" s="170" t="e">
        <f t="shared" si="140"/>
        <v>#DIV/0!</v>
      </c>
      <c r="Q208" s="170" t="e">
        <f t="shared" si="140"/>
        <v>#DIV/0!</v>
      </c>
      <c r="R208" s="170" t="e">
        <f t="shared" si="140"/>
        <v>#DIV/0!</v>
      </c>
      <c r="S208"/>
      <c r="T208"/>
      <c r="U208"/>
      <c r="V208"/>
      <c r="W208"/>
      <c r="X208"/>
      <c r="Y208"/>
      <c r="AA208"/>
      <c r="AB208"/>
      <c r="AC208"/>
      <c r="AD208"/>
    </row>
    <row r="209" spans="1:16382" customFormat="1" hidden="1">
      <c r="A209" s="125" t="str">
        <f>'[7]Input sheet'!A88</f>
        <v>Turkey</v>
      </c>
      <c r="B209" s="125" t="str">
        <f>'[7]Input sheet'!B88</f>
        <v>Employment</v>
      </c>
      <c r="C209" s="134" t="str">
        <f>'[7]Input sheet'!C88</f>
        <v>Total Tourism Employment by Sector</v>
      </c>
      <c r="D209" s="135"/>
      <c r="E209" s="135"/>
      <c r="F209" s="135"/>
      <c r="G209" s="134" t="str">
        <f>'[7]Input sheet'!G88</f>
        <v>Thousands</v>
      </c>
      <c r="H209" s="167">
        <f>H169+H129</f>
        <v>0</v>
      </c>
      <c r="I209" s="167">
        <f>I169+I129</f>
        <v>0</v>
      </c>
      <c r="J209" s="167">
        <f t="shared" ref="J209:R209" si="141">J169+J129</f>
        <v>0</v>
      </c>
      <c r="K209" s="167">
        <f t="shared" si="141"/>
        <v>0</v>
      </c>
      <c r="L209" s="167">
        <f t="shared" si="141"/>
        <v>0</v>
      </c>
      <c r="M209" s="167">
        <f t="shared" si="141"/>
        <v>0</v>
      </c>
      <c r="N209" s="167" t="e">
        <f t="shared" si="141"/>
        <v>#DIV/0!</v>
      </c>
      <c r="O209" s="167" t="e">
        <f t="shared" si="141"/>
        <v>#DIV/0!</v>
      </c>
      <c r="P209" s="167" t="e">
        <f t="shared" si="141"/>
        <v>#DIV/0!</v>
      </c>
      <c r="Q209" s="167" t="e">
        <f t="shared" si="141"/>
        <v>#DIV/0!</v>
      </c>
      <c r="R209" s="167" t="e">
        <f t="shared" si="141"/>
        <v>#DIV/0!</v>
      </c>
      <c r="AE209" s="173"/>
      <c r="AF209" s="173"/>
      <c r="AG209" s="173"/>
      <c r="AH209" s="173"/>
      <c r="AI209" s="173"/>
      <c r="AJ209" s="125"/>
      <c r="AK209" s="125"/>
      <c r="AL209" s="134"/>
      <c r="AM209" s="135"/>
      <c r="AN209" s="135"/>
      <c r="AO209" s="135"/>
      <c r="AP209" s="135"/>
      <c r="AQ209" s="173"/>
      <c r="AR209" s="173"/>
      <c r="AS209" s="173"/>
      <c r="AT209" s="173"/>
      <c r="AU209" s="173"/>
      <c r="AV209" s="173"/>
      <c r="AW209" s="173"/>
      <c r="AX209" s="173"/>
      <c r="AY209" s="173"/>
      <c r="AZ209" s="173"/>
      <c r="BA209" s="125"/>
      <c r="BB209" s="125"/>
      <c r="BC209" s="134"/>
      <c r="BD209" s="135"/>
      <c r="BE209" s="135"/>
      <c r="BF209" s="135"/>
      <c r="BG209" s="135"/>
      <c r="BH209" s="173"/>
      <c r="BI209" s="173"/>
      <c r="BJ209" s="173"/>
      <c r="BK209" s="173"/>
      <c r="BL209" s="173"/>
      <c r="BM209" s="173"/>
      <c r="BN209" s="173"/>
      <c r="BO209" s="173"/>
      <c r="BP209" s="173"/>
      <c r="BQ209" s="173"/>
      <c r="BR209" s="125"/>
      <c r="BS209" s="125"/>
      <c r="BT209" s="134"/>
      <c r="BU209" s="135"/>
      <c r="BV209" s="135"/>
      <c r="BW209" s="135"/>
      <c r="BX209" s="135"/>
      <c r="BY209" s="173"/>
      <c r="BZ209" s="173"/>
      <c r="CA209" s="173"/>
      <c r="CB209" s="173"/>
      <c r="CC209" s="173"/>
      <c r="CD209" s="173"/>
      <c r="CE209" s="173"/>
      <c r="CF209" s="173"/>
      <c r="CG209" s="173"/>
      <c r="CH209" s="173"/>
      <c r="CI209" s="125"/>
      <c r="CJ209" s="125"/>
      <c r="CK209" s="134"/>
      <c r="CL209" s="135"/>
      <c r="CM209" s="135"/>
      <c r="CN209" s="135"/>
      <c r="CO209" s="135"/>
      <c r="CP209" s="173"/>
      <c r="CQ209" s="173"/>
      <c r="CR209" s="173"/>
      <c r="CS209" s="173"/>
      <c r="CT209" s="173"/>
      <c r="CU209" s="173"/>
      <c r="CV209" s="173"/>
      <c r="CW209" s="173"/>
      <c r="CX209" s="173"/>
      <c r="CY209" s="173"/>
      <c r="CZ209" s="125"/>
      <c r="DA209" s="125"/>
      <c r="DB209" s="134"/>
      <c r="DC209" s="135"/>
      <c r="DD209" s="135"/>
      <c r="DE209" s="135"/>
      <c r="DF209" s="135"/>
      <c r="DG209" s="173"/>
      <c r="DH209" s="173"/>
      <c r="DI209" s="173"/>
      <c r="DJ209" s="173"/>
      <c r="DK209" s="173"/>
      <c r="DL209" s="173"/>
      <c r="DM209" s="173"/>
      <c r="DN209" s="173"/>
      <c r="DO209" s="173"/>
      <c r="DP209" s="173"/>
      <c r="DQ209" s="125"/>
      <c r="DR209" s="125"/>
      <c r="DS209" s="134"/>
      <c r="DT209" s="135"/>
      <c r="DU209" s="135"/>
      <c r="DV209" s="135"/>
      <c r="DW209" s="135"/>
      <c r="DX209" s="173"/>
      <c r="DY209" s="173"/>
      <c r="DZ209" s="173"/>
      <c r="EA209" s="173"/>
      <c r="EB209" s="173"/>
      <c r="EC209" s="173"/>
      <c r="ED209" s="173"/>
      <c r="EE209" s="173"/>
      <c r="EF209" s="173"/>
      <c r="EG209" s="173"/>
      <c r="EH209" s="125"/>
      <c r="EI209" s="125"/>
      <c r="EJ209" s="134"/>
      <c r="EK209" s="135"/>
      <c r="EL209" s="135"/>
      <c r="EM209" s="135"/>
      <c r="EN209" s="135"/>
      <c r="EO209" s="173"/>
      <c r="EP209" s="173"/>
      <c r="EQ209" s="173"/>
      <c r="ER209" s="173"/>
      <c r="ES209" s="173"/>
      <c r="ET209" s="173"/>
      <c r="EU209" s="173"/>
      <c r="EV209" s="173"/>
      <c r="EW209" s="173"/>
      <c r="EX209" s="173"/>
      <c r="EY209" s="125"/>
      <c r="EZ209" s="125"/>
      <c r="FA209" s="134"/>
      <c r="FB209" s="135"/>
      <c r="FC209" s="135"/>
      <c r="FD209" s="135"/>
      <c r="FE209" s="135"/>
      <c r="FF209" s="173"/>
      <c r="FG209" s="173"/>
      <c r="FH209" s="173"/>
      <c r="FI209" s="173"/>
      <c r="FJ209" s="173"/>
      <c r="FK209" s="173"/>
      <c r="FL209" s="173"/>
      <c r="FM209" s="173"/>
      <c r="FN209" s="173"/>
      <c r="FO209" s="173"/>
      <c r="FP209" s="125"/>
      <c r="FQ209" s="125"/>
      <c r="FR209" s="134"/>
      <c r="FS209" s="135"/>
      <c r="FT209" s="135"/>
      <c r="FU209" s="135"/>
      <c r="FV209" s="135"/>
      <c r="FW209" s="173"/>
      <c r="FX209" s="173"/>
      <c r="FY209" s="173"/>
      <c r="FZ209" s="173"/>
      <c r="GA209" s="173"/>
      <c r="GB209" s="173"/>
      <c r="GC209" s="173"/>
      <c r="GD209" s="173"/>
      <c r="GE209" s="173"/>
      <c r="GF209" s="173"/>
      <c r="GG209" s="125"/>
      <c r="GH209" s="125"/>
      <c r="GI209" s="134"/>
      <c r="GJ209" s="135"/>
      <c r="GK209" s="135"/>
      <c r="GL209" s="135"/>
      <c r="GM209" s="135"/>
      <c r="GN209" s="173"/>
      <c r="GO209" s="173"/>
      <c r="GP209" s="173"/>
      <c r="GQ209" s="173"/>
      <c r="GR209" s="173"/>
      <c r="GS209" s="173"/>
      <c r="GT209" s="173"/>
      <c r="GU209" s="173"/>
      <c r="GV209" s="173"/>
      <c r="GW209" s="173"/>
      <c r="GX209" s="125"/>
      <c r="GY209" s="125"/>
      <c r="GZ209" s="134"/>
      <c r="HA209" s="135"/>
      <c r="HB209" s="135"/>
      <c r="HC209" s="135"/>
      <c r="HD209" s="135"/>
      <c r="HE209" s="173"/>
      <c r="HF209" s="173"/>
      <c r="HG209" s="173"/>
      <c r="HH209" s="173"/>
      <c r="HI209" s="173"/>
      <c r="HJ209" s="173"/>
      <c r="HK209" s="173"/>
      <c r="HL209" s="173"/>
      <c r="HM209" s="173"/>
      <c r="HN209" s="173"/>
      <c r="HO209" s="125"/>
      <c r="HP209" s="125"/>
      <c r="HQ209" s="134"/>
      <c r="HR209" s="135"/>
      <c r="HS209" s="135"/>
      <c r="HT209" s="135"/>
      <c r="HU209" s="135"/>
      <c r="HV209" s="173"/>
      <c r="HW209" s="173"/>
      <c r="HX209" s="173"/>
      <c r="HY209" s="173"/>
      <c r="HZ209" s="173"/>
      <c r="IA209" s="173"/>
      <c r="IB209" s="173"/>
      <c r="IC209" s="173"/>
      <c r="ID209" s="173"/>
      <c r="IE209" s="173"/>
      <c r="IF209" s="125"/>
      <c r="IG209" s="125"/>
      <c r="IH209" s="134"/>
      <c r="II209" s="135"/>
      <c r="IJ209" s="135"/>
      <c r="IK209" s="135"/>
      <c r="IL209" s="135"/>
      <c r="IM209" s="173"/>
      <c r="IN209" s="173"/>
      <c r="IO209" s="173"/>
      <c r="IP209" s="173"/>
      <c r="IQ209" s="173"/>
      <c r="IR209" s="173"/>
      <c r="IS209" s="173"/>
      <c r="IT209" s="173"/>
      <c r="IU209" s="173"/>
      <c r="IV209" s="173"/>
      <c r="IW209" s="125"/>
      <c r="IX209" s="125"/>
      <c r="IY209" s="134"/>
      <c r="IZ209" s="135"/>
      <c r="JA209" s="135"/>
      <c r="JB209" s="135"/>
      <c r="JC209" s="135"/>
      <c r="JD209" s="173"/>
      <c r="JE209" s="173"/>
      <c r="JF209" s="173"/>
      <c r="JG209" s="173"/>
      <c r="JH209" s="173"/>
      <c r="JI209" s="173"/>
      <c r="JJ209" s="173"/>
      <c r="JK209" s="173"/>
      <c r="JL209" s="173"/>
      <c r="JM209" s="173"/>
      <c r="JN209" s="125"/>
      <c r="JO209" s="125"/>
      <c r="JP209" s="134"/>
      <c r="JQ209" s="135"/>
      <c r="JR209" s="135"/>
      <c r="JS209" s="135"/>
      <c r="JT209" s="135"/>
      <c r="JU209" s="173"/>
      <c r="JV209" s="173"/>
      <c r="JW209" s="173"/>
      <c r="JX209" s="173"/>
      <c r="JY209" s="173"/>
      <c r="JZ209" s="173"/>
      <c r="KA209" s="173"/>
      <c r="KB209" s="173"/>
      <c r="KC209" s="173"/>
      <c r="KD209" s="173"/>
      <c r="KE209" s="125"/>
      <c r="KF209" s="125"/>
      <c r="KG209" s="134"/>
      <c r="KH209" s="135"/>
      <c r="KI209" s="135"/>
      <c r="KJ209" s="135"/>
      <c r="KK209" s="135"/>
      <c r="KL209" s="173"/>
      <c r="KM209" s="173"/>
      <c r="KN209" s="173"/>
      <c r="KO209" s="173"/>
      <c r="KP209" s="173"/>
      <c r="KQ209" s="173"/>
      <c r="KR209" s="173"/>
      <c r="KS209" s="173"/>
      <c r="KT209" s="173"/>
      <c r="KU209" s="173"/>
      <c r="KV209" s="125"/>
      <c r="KW209" s="125"/>
      <c r="KX209" s="134"/>
      <c r="KY209" s="135"/>
      <c r="KZ209" s="135"/>
      <c r="LA209" s="135"/>
      <c r="LB209" s="135"/>
      <c r="LC209" s="173"/>
      <c r="LD209" s="173"/>
      <c r="LE209" s="173"/>
      <c r="LF209" s="173"/>
      <c r="LG209" s="173"/>
      <c r="LH209" s="173"/>
      <c r="LI209" s="173"/>
      <c r="LJ209" s="173"/>
      <c r="LK209" s="173"/>
      <c r="LL209" s="173"/>
      <c r="LM209" s="125"/>
      <c r="LN209" s="125"/>
      <c r="LO209" s="134"/>
      <c r="LP209" s="135"/>
      <c r="LQ209" s="135"/>
      <c r="LR209" s="135"/>
      <c r="LS209" s="135"/>
      <c r="LT209" s="173"/>
      <c r="LU209" s="173"/>
      <c r="LV209" s="173"/>
      <c r="LW209" s="173"/>
      <c r="LX209" s="173"/>
      <c r="LY209" s="173"/>
      <c r="LZ209" s="173"/>
      <c r="MA209" s="173"/>
      <c r="MB209" s="173"/>
      <c r="MC209" s="173"/>
      <c r="MD209" s="125"/>
      <c r="ME209" s="125"/>
      <c r="MF209" s="134"/>
      <c r="MG209" s="135"/>
      <c r="MH209" s="135"/>
      <c r="MI209" s="135"/>
      <c r="MJ209" s="135"/>
      <c r="MK209" s="173"/>
      <c r="ML209" s="173"/>
      <c r="MM209" s="173"/>
      <c r="MN209" s="173"/>
      <c r="MO209" s="173"/>
      <c r="MP209" s="173"/>
      <c r="MQ209" s="173"/>
      <c r="MR209" s="173"/>
      <c r="MS209" s="173"/>
      <c r="MT209" s="173"/>
      <c r="MU209" s="125"/>
      <c r="MV209" s="125"/>
      <c r="MW209" s="134"/>
      <c r="MX209" s="135"/>
      <c r="MY209" s="135"/>
      <c r="MZ209" s="135"/>
      <c r="NA209" s="135"/>
      <c r="NB209" s="173"/>
      <c r="NC209" s="173"/>
      <c r="ND209" s="173"/>
      <c r="NE209" s="173"/>
      <c r="NF209" s="173"/>
      <c r="NG209" s="173"/>
      <c r="NH209" s="173"/>
      <c r="NI209" s="173"/>
      <c r="NJ209" s="173"/>
      <c r="NK209" s="173"/>
      <c r="NL209" s="125"/>
      <c r="NM209" s="125"/>
      <c r="NN209" s="134"/>
      <c r="NO209" s="135"/>
      <c r="NP209" s="135"/>
      <c r="NQ209" s="135"/>
      <c r="NR209" s="135"/>
      <c r="NS209" s="173"/>
      <c r="NT209" s="173"/>
      <c r="NU209" s="173"/>
      <c r="NV209" s="173"/>
      <c r="NW209" s="173"/>
      <c r="NX209" s="173"/>
      <c r="NY209" s="173"/>
      <c r="NZ209" s="173"/>
      <c r="OA209" s="173"/>
      <c r="OB209" s="173"/>
      <c r="OC209" s="125"/>
      <c r="OD209" s="125"/>
      <c r="OE209" s="134"/>
      <c r="OF209" s="135"/>
      <c r="OG209" s="135"/>
      <c r="OH209" s="135"/>
      <c r="OI209" s="135"/>
      <c r="OJ209" s="173"/>
      <c r="OK209" s="173"/>
      <c r="OL209" s="173"/>
      <c r="OM209" s="173"/>
      <c r="ON209" s="173"/>
      <c r="OO209" s="173"/>
      <c r="OP209" s="173"/>
      <c r="OQ209" s="173"/>
      <c r="OR209" s="173"/>
      <c r="OS209" s="173"/>
      <c r="OT209" s="125"/>
      <c r="OU209" s="125"/>
      <c r="OV209" s="134"/>
      <c r="OW209" s="135"/>
      <c r="OX209" s="135"/>
      <c r="OY209" s="135"/>
      <c r="OZ209" s="135"/>
      <c r="PA209" s="173"/>
      <c r="PB209" s="173"/>
      <c r="PC209" s="173"/>
      <c r="PD209" s="173"/>
      <c r="PE209" s="173"/>
      <c r="PF209" s="173"/>
      <c r="PG209" s="173"/>
      <c r="PH209" s="173"/>
      <c r="PI209" s="173"/>
      <c r="PJ209" s="173"/>
      <c r="PK209" s="125"/>
      <c r="PL209" s="125"/>
      <c r="PM209" s="134"/>
      <c r="PN209" s="135"/>
      <c r="PO209" s="135"/>
      <c r="PP209" s="135"/>
      <c r="PQ209" s="135"/>
      <c r="PR209" s="173"/>
      <c r="PS209" s="173"/>
      <c r="PT209" s="173"/>
      <c r="PU209" s="173"/>
      <c r="PV209" s="173"/>
      <c r="PW209" s="173"/>
      <c r="PX209" s="173"/>
      <c r="PY209" s="173"/>
      <c r="PZ209" s="173"/>
      <c r="QA209" s="173"/>
      <c r="QB209" s="125"/>
      <c r="QC209" s="125"/>
      <c r="QD209" s="134"/>
      <c r="QE209" s="135"/>
      <c r="QF209" s="135"/>
      <c r="QG209" s="135"/>
      <c r="QH209" s="135"/>
      <c r="QI209" s="173"/>
      <c r="QJ209" s="173"/>
      <c r="QK209" s="173"/>
      <c r="QL209" s="173"/>
      <c r="QM209" s="173"/>
      <c r="QN209" s="173"/>
      <c r="QO209" s="173"/>
      <c r="QP209" s="173"/>
      <c r="QQ209" s="173"/>
      <c r="QR209" s="173"/>
      <c r="QS209" s="125"/>
      <c r="QT209" s="125"/>
      <c r="QU209" s="134"/>
      <c r="QV209" s="135"/>
      <c r="QW209" s="135"/>
      <c r="QX209" s="135"/>
      <c r="QY209" s="135"/>
      <c r="QZ209" s="173"/>
      <c r="RA209" s="173"/>
      <c r="RB209" s="173"/>
      <c r="RC209" s="173"/>
      <c r="RD209" s="173"/>
      <c r="RE209" s="173"/>
      <c r="RF209" s="173"/>
      <c r="RG209" s="173"/>
      <c r="RH209" s="173"/>
      <c r="RI209" s="173"/>
      <c r="RJ209" s="125"/>
      <c r="RK209" s="125"/>
      <c r="RL209" s="134"/>
      <c r="RM209" s="135"/>
      <c r="RN209" s="135"/>
      <c r="RO209" s="135"/>
      <c r="RP209" s="135"/>
      <c r="RQ209" s="173"/>
      <c r="RR209" s="173"/>
      <c r="RS209" s="173"/>
      <c r="RT209" s="173"/>
      <c r="RU209" s="173"/>
      <c r="RV209" s="173"/>
      <c r="RW209" s="173"/>
      <c r="RX209" s="173"/>
      <c r="RY209" s="173"/>
      <c r="RZ209" s="173"/>
      <c r="SA209" s="125"/>
      <c r="SB209" s="125"/>
      <c r="SC209" s="134"/>
      <c r="SD209" s="135"/>
      <c r="SE209" s="135"/>
      <c r="SF209" s="135"/>
      <c r="SG209" s="135"/>
      <c r="SH209" s="173"/>
      <c r="SI209" s="173"/>
      <c r="SJ209" s="173"/>
      <c r="SK209" s="173"/>
      <c r="SL209" s="173"/>
      <c r="SM209" s="173"/>
      <c r="SN209" s="173"/>
      <c r="SO209" s="173"/>
      <c r="SP209" s="173"/>
      <c r="SQ209" s="173"/>
      <c r="SR209" s="125"/>
      <c r="SS209" s="125"/>
      <c r="ST209" s="134"/>
      <c r="SU209" s="135"/>
      <c r="SV209" s="135"/>
      <c r="SW209" s="135"/>
      <c r="SX209" s="135"/>
      <c r="SY209" s="173"/>
      <c r="SZ209" s="173"/>
      <c r="TA209" s="173"/>
      <c r="TB209" s="173"/>
      <c r="TC209" s="173"/>
      <c r="TD209" s="173"/>
      <c r="TE209" s="173"/>
      <c r="TF209" s="173"/>
      <c r="TG209" s="173"/>
      <c r="TH209" s="173"/>
      <c r="TI209" s="125"/>
      <c r="TJ209" s="125"/>
      <c r="TK209" s="134"/>
      <c r="TL209" s="135"/>
      <c r="TM209" s="135"/>
      <c r="TN209" s="135"/>
      <c r="TO209" s="135"/>
      <c r="TP209" s="173"/>
      <c r="TQ209" s="173"/>
      <c r="TR209" s="173"/>
      <c r="TS209" s="173"/>
      <c r="TT209" s="173"/>
      <c r="TU209" s="173"/>
      <c r="TV209" s="173"/>
      <c r="TW209" s="173"/>
      <c r="TX209" s="173"/>
      <c r="TY209" s="173"/>
      <c r="TZ209" s="125"/>
      <c r="UA209" s="125"/>
      <c r="UB209" s="134"/>
      <c r="UC209" s="135"/>
      <c r="UD209" s="135"/>
      <c r="UE209" s="135"/>
      <c r="UF209" s="135"/>
      <c r="UG209" s="173"/>
      <c r="UH209" s="173"/>
      <c r="UI209" s="173"/>
      <c r="UJ209" s="173"/>
      <c r="UK209" s="173"/>
      <c r="UL209" s="173"/>
      <c r="UM209" s="173"/>
      <c r="UN209" s="173"/>
      <c r="UO209" s="173"/>
      <c r="UP209" s="173"/>
      <c r="UQ209" s="125"/>
      <c r="UR209" s="125"/>
      <c r="US209" s="134"/>
      <c r="UT209" s="135"/>
      <c r="UU209" s="135"/>
      <c r="UV209" s="135"/>
      <c r="UW209" s="135"/>
      <c r="UX209" s="173"/>
      <c r="UY209" s="173"/>
      <c r="UZ209" s="173"/>
      <c r="VA209" s="173"/>
      <c r="VB209" s="173"/>
      <c r="VC209" s="173"/>
      <c r="VD209" s="173"/>
      <c r="VE209" s="173"/>
      <c r="VF209" s="173"/>
      <c r="VG209" s="173"/>
      <c r="VH209" s="125"/>
      <c r="VI209" s="125"/>
      <c r="VJ209" s="134"/>
      <c r="VK209" s="135"/>
      <c r="VL209" s="135"/>
      <c r="VM209" s="135"/>
      <c r="VN209" s="135"/>
      <c r="VO209" s="173"/>
      <c r="VP209" s="173"/>
      <c r="VQ209" s="173"/>
      <c r="VR209" s="173"/>
      <c r="VS209" s="173"/>
      <c r="VT209" s="173"/>
      <c r="VU209" s="173"/>
      <c r="VV209" s="173"/>
      <c r="VW209" s="173"/>
      <c r="VX209" s="173"/>
      <c r="VY209" s="125"/>
      <c r="VZ209" s="125"/>
      <c r="WA209" s="134"/>
      <c r="WB209" s="135"/>
      <c r="WC209" s="135"/>
      <c r="WD209" s="135"/>
      <c r="WE209" s="135"/>
      <c r="WF209" s="173"/>
      <c r="WG209" s="173"/>
      <c r="WH209" s="173"/>
      <c r="WI209" s="173"/>
      <c r="WJ209" s="173"/>
      <c r="WK209" s="173"/>
      <c r="WL209" s="173"/>
      <c r="WM209" s="173"/>
      <c r="WN209" s="173"/>
      <c r="WO209" s="173"/>
      <c r="WP209" s="125"/>
      <c r="WQ209" s="125"/>
      <c r="WR209" s="134"/>
      <c r="WS209" s="135"/>
      <c r="WT209" s="135"/>
      <c r="WU209" s="135"/>
      <c r="WV209" s="135"/>
      <c r="WW209" s="173"/>
      <c r="WX209" s="173"/>
      <c r="WY209" s="173"/>
      <c r="WZ209" s="173"/>
      <c r="XA209" s="173"/>
      <c r="XB209" s="173"/>
      <c r="XC209" s="173"/>
      <c r="XD209" s="173"/>
      <c r="XE209" s="173"/>
      <c r="XF209" s="173"/>
      <c r="XG209" s="125"/>
      <c r="XH209" s="125"/>
      <c r="XI209" s="134"/>
      <c r="XJ209" s="135"/>
      <c r="XK209" s="135"/>
      <c r="XL209" s="135"/>
      <c r="XM209" s="135"/>
      <c r="XN209" s="173"/>
      <c r="XO209" s="173"/>
      <c r="XP209" s="173"/>
      <c r="XQ209" s="173"/>
      <c r="XR209" s="173"/>
      <c r="XS209" s="173"/>
      <c r="XT209" s="173"/>
      <c r="XU209" s="173"/>
      <c r="XV209" s="173"/>
      <c r="XW209" s="173"/>
      <c r="XX209" s="125"/>
      <c r="XY209" s="125"/>
      <c r="XZ209" s="134"/>
      <c r="YA209" s="135"/>
      <c r="YB209" s="135"/>
      <c r="YC209" s="135"/>
      <c r="YD209" s="135"/>
      <c r="YE209" s="173"/>
      <c r="YF209" s="173"/>
      <c r="YG209" s="173"/>
      <c r="YH209" s="173"/>
      <c r="YI209" s="173"/>
      <c r="YJ209" s="173"/>
      <c r="YK209" s="173"/>
      <c r="YL209" s="173"/>
      <c r="YM209" s="173"/>
      <c r="YN209" s="173"/>
      <c r="YO209" s="125"/>
      <c r="YP209" s="125"/>
      <c r="YQ209" s="134"/>
      <c r="YR209" s="135"/>
      <c r="YS209" s="135"/>
      <c r="YT209" s="135"/>
      <c r="YU209" s="135"/>
      <c r="YV209" s="173"/>
      <c r="YW209" s="173"/>
      <c r="YX209" s="173"/>
      <c r="YY209" s="173"/>
      <c r="YZ209" s="173"/>
      <c r="ZA209" s="173"/>
      <c r="ZB209" s="173"/>
      <c r="ZC209" s="173"/>
      <c r="ZD209" s="173"/>
      <c r="ZE209" s="173"/>
      <c r="ZF209" s="125"/>
      <c r="ZG209" s="125"/>
      <c r="ZH209" s="134"/>
      <c r="ZI209" s="135"/>
      <c r="ZJ209" s="135"/>
      <c r="ZK209" s="135"/>
      <c r="ZL209" s="135"/>
      <c r="ZM209" s="173"/>
      <c r="ZN209" s="173"/>
      <c r="ZO209" s="173"/>
      <c r="ZP209" s="173"/>
      <c r="ZQ209" s="173"/>
      <c r="ZR209" s="173"/>
      <c r="ZS209" s="173"/>
      <c r="ZT209" s="173"/>
      <c r="ZU209" s="173"/>
      <c r="ZV209" s="173"/>
      <c r="ZW209" s="125"/>
      <c r="ZX209" s="125"/>
      <c r="ZY209" s="134"/>
      <c r="ZZ209" s="135"/>
      <c r="AAA209" s="135"/>
      <c r="AAB209" s="135"/>
      <c r="AAC209" s="135"/>
      <c r="AAD209" s="173"/>
      <c r="AAE209" s="173"/>
      <c r="AAF209" s="173"/>
      <c r="AAG209" s="173"/>
      <c r="AAH209" s="173"/>
      <c r="AAI209" s="173"/>
      <c r="AAJ209" s="173"/>
      <c r="AAK209" s="173"/>
      <c r="AAL209" s="173"/>
      <c r="AAM209" s="173"/>
      <c r="AAN209" s="125"/>
      <c r="AAO209" s="125"/>
      <c r="AAP209" s="134"/>
      <c r="AAQ209" s="135"/>
      <c r="AAR209" s="135"/>
      <c r="AAS209" s="135"/>
      <c r="AAT209" s="135"/>
      <c r="AAU209" s="173"/>
      <c r="AAV209" s="173"/>
      <c r="AAW209" s="173"/>
      <c r="AAX209" s="173"/>
      <c r="AAY209" s="173"/>
      <c r="AAZ209" s="173"/>
      <c r="ABA209" s="173"/>
      <c r="ABB209" s="173"/>
      <c r="ABC209" s="173"/>
      <c r="ABD209" s="173"/>
      <c r="ABE209" s="125"/>
      <c r="ABF209" s="125"/>
      <c r="ABG209" s="134"/>
      <c r="ABH209" s="135"/>
      <c r="ABI209" s="135"/>
      <c r="ABJ209" s="135"/>
      <c r="ABK209" s="135"/>
      <c r="ABL209" s="173"/>
      <c r="ABM209" s="173"/>
      <c r="ABN209" s="173"/>
      <c r="ABO209" s="173"/>
      <c r="ABP209" s="173"/>
      <c r="ABQ209" s="173"/>
      <c r="ABR209" s="173"/>
      <c r="ABS209" s="173"/>
      <c r="ABT209" s="173"/>
      <c r="ABU209" s="173"/>
      <c r="ABV209" s="125"/>
      <c r="ABW209" s="125"/>
      <c r="ABX209" s="134"/>
      <c r="ABY209" s="135"/>
      <c r="ABZ209" s="135"/>
      <c r="ACA209" s="135"/>
      <c r="ACB209" s="135"/>
      <c r="ACC209" s="173"/>
      <c r="ACD209" s="173"/>
      <c r="ACE209" s="173"/>
      <c r="ACF209" s="173"/>
      <c r="ACG209" s="173"/>
      <c r="ACH209" s="173"/>
      <c r="ACI209" s="173"/>
      <c r="ACJ209" s="173"/>
      <c r="ACK209" s="173"/>
      <c r="ACL209" s="173"/>
      <c r="ACM209" s="125"/>
      <c r="ACN209" s="125"/>
      <c r="ACO209" s="134"/>
      <c r="ACP209" s="135"/>
      <c r="ACQ209" s="135"/>
      <c r="ACR209" s="135"/>
      <c r="ACS209" s="135"/>
      <c r="ACT209" s="173"/>
      <c r="ACU209" s="173"/>
      <c r="ACV209" s="173"/>
      <c r="ACW209" s="173"/>
      <c r="ACX209" s="173"/>
      <c r="ACY209" s="173"/>
      <c r="ACZ209" s="173"/>
      <c r="ADA209" s="173"/>
      <c r="ADB209" s="173"/>
      <c r="ADC209" s="173"/>
      <c r="ADD209" s="125"/>
      <c r="ADE209" s="125"/>
      <c r="ADF209" s="134"/>
      <c r="ADG209" s="135"/>
      <c r="ADH209" s="135"/>
      <c r="ADI209" s="135"/>
      <c r="ADJ209" s="135"/>
      <c r="ADK209" s="173"/>
      <c r="ADL209" s="173"/>
      <c r="ADM209" s="173"/>
      <c r="ADN209" s="173"/>
      <c r="ADO209" s="173"/>
      <c r="ADP209" s="173"/>
      <c r="ADQ209" s="173"/>
      <c r="ADR209" s="173"/>
      <c r="ADS209" s="173"/>
      <c r="ADT209" s="173"/>
      <c r="ADU209" s="125"/>
      <c r="ADV209" s="125"/>
      <c r="ADW209" s="134"/>
      <c r="ADX209" s="135"/>
      <c r="ADY209" s="135"/>
      <c r="ADZ209" s="135"/>
      <c r="AEA209" s="135"/>
      <c r="AEB209" s="173"/>
      <c r="AEC209" s="173"/>
      <c r="AED209" s="173"/>
      <c r="AEE209" s="173"/>
      <c r="AEF209" s="173"/>
      <c r="AEG209" s="173"/>
      <c r="AEH209" s="173"/>
      <c r="AEI209" s="173"/>
      <c r="AEJ209" s="173"/>
      <c r="AEK209" s="173"/>
      <c r="AEL209" s="125"/>
      <c r="AEM209" s="125"/>
      <c r="AEN209" s="134"/>
      <c r="AEO209" s="135"/>
      <c r="AEP209" s="135"/>
      <c r="AEQ209" s="135"/>
      <c r="AER209" s="135"/>
      <c r="AES209" s="173"/>
      <c r="AET209" s="173"/>
      <c r="AEU209" s="173"/>
      <c r="AEV209" s="173"/>
      <c r="AEW209" s="173"/>
      <c r="AEX209" s="173"/>
      <c r="AEY209" s="173"/>
      <c r="AEZ209" s="173"/>
      <c r="AFA209" s="173"/>
      <c r="AFB209" s="173"/>
      <c r="AFC209" s="125"/>
      <c r="AFD209" s="125"/>
      <c r="AFE209" s="134"/>
      <c r="AFF209" s="135"/>
      <c r="AFG209" s="135"/>
      <c r="AFH209" s="135"/>
      <c r="AFI209" s="135"/>
      <c r="AFJ209" s="173"/>
      <c r="AFK209" s="173"/>
      <c r="AFL209" s="173"/>
      <c r="AFM209" s="173"/>
      <c r="AFN209" s="173"/>
      <c r="AFO209" s="173"/>
      <c r="AFP209" s="173"/>
      <c r="AFQ209" s="173"/>
      <c r="AFR209" s="173"/>
      <c r="AFS209" s="173"/>
      <c r="AFT209" s="125"/>
      <c r="AFU209" s="125"/>
      <c r="AFV209" s="134"/>
      <c r="AFW209" s="135"/>
      <c r="AFX209" s="135"/>
      <c r="AFY209" s="135"/>
      <c r="AFZ209" s="135"/>
      <c r="AGA209" s="173"/>
      <c r="AGB209" s="173"/>
      <c r="AGC209" s="173"/>
      <c r="AGD209" s="173"/>
      <c r="AGE209" s="173"/>
      <c r="AGF209" s="173"/>
      <c r="AGG209" s="173"/>
      <c r="AGH209" s="173"/>
      <c r="AGI209" s="173"/>
      <c r="AGJ209" s="173"/>
      <c r="AGK209" s="125"/>
      <c r="AGL209" s="125"/>
      <c r="AGM209" s="134"/>
      <c r="AGN209" s="135"/>
      <c r="AGO209" s="135"/>
      <c r="AGP209" s="135"/>
      <c r="AGQ209" s="135"/>
      <c r="AGR209" s="173"/>
      <c r="AGS209" s="173"/>
      <c r="AGT209" s="173"/>
      <c r="AGU209" s="173"/>
      <c r="AGV209" s="173"/>
      <c r="AGW209" s="173"/>
      <c r="AGX209" s="173"/>
      <c r="AGY209" s="173"/>
      <c r="AGZ209" s="173"/>
      <c r="AHA209" s="173"/>
      <c r="AHB209" s="125"/>
      <c r="AHC209" s="125"/>
      <c r="AHD209" s="134"/>
      <c r="AHE209" s="135"/>
      <c r="AHF209" s="135"/>
      <c r="AHG209" s="135"/>
      <c r="AHH209" s="135"/>
      <c r="AHI209" s="173"/>
      <c r="AHJ209" s="173"/>
      <c r="AHK209" s="173"/>
      <c r="AHL209" s="173"/>
      <c r="AHM209" s="173"/>
      <c r="AHN209" s="173"/>
      <c r="AHO209" s="173"/>
      <c r="AHP209" s="173"/>
      <c r="AHQ209" s="173"/>
      <c r="AHR209" s="173"/>
      <c r="AHS209" s="125"/>
      <c r="AHT209" s="125"/>
      <c r="AHU209" s="134"/>
      <c r="AHV209" s="135"/>
      <c r="AHW209" s="135"/>
      <c r="AHX209" s="135"/>
      <c r="AHY209" s="135"/>
      <c r="AHZ209" s="173"/>
      <c r="AIA209" s="173"/>
      <c r="AIB209" s="173"/>
      <c r="AIC209" s="173"/>
      <c r="AID209" s="173"/>
      <c r="AIE209" s="173"/>
      <c r="AIF209" s="173"/>
      <c r="AIG209" s="173"/>
      <c r="AIH209" s="173"/>
      <c r="AII209" s="173"/>
      <c r="AIJ209" s="125"/>
      <c r="AIK209" s="125"/>
      <c r="AIL209" s="134"/>
      <c r="AIM209" s="135"/>
      <c r="AIN209" s="135"/>
      <c r="AIO209" s="135"/>
      <c r="AIP209" s="135"/>
      <c r="AIQ209" s="173"/>
      <c r="AIR209" s="173"/>
      <c r="AIS209" s="173"/>
      <c r="AIT209" s="173"/>
      <c r="AIU209" s="173"/>
      <c r="AIV209" s="173"/>
      <c r="AIW209" s="173"/>
      <c r="AIX209" s="173"/>
      <c r="AIY209" s="173"/>
      <c r="AIZ209" s="173"/>
      <c r="AJA209" s="125"/>
      <c r="AJB209" s="125"/>
      <c r="AJC209" s="134"/>
      <c r="AJD209" s="135"/>
      <c r="AJE209" s="135"/>
      <c r="AJF209" s="135"/>
      <c r="AJG209" s="135"/>
      <c r="AJH209" s="173"/>
      <c r="AJI209" s="173"/>
      <c r="AJJ209" s="173"/>
      <c r="AJK209" s="173"/>
      <c r="AJL209" s="173"/>
      <c r="AJM209" s="173"/>
      <c r="AJN209" s="173"/>
      <c r="AJO209" s="173"/>
      <c r="AJP209" s="173"/>
      <c r="AJQ209" s="173"/>
      <c r="AJR209" s="125"/>
      <c r="AJS209" s="125"/>
      <c r="AJT209" s="134"/>
      <c r="AJU209" s="135"/>
      <c r="AJV209" s="135"/>
      <c r="AJW209" s="135"/>
      <c r="AJX209" s="135"/>
      <c r="AJY209" s="173"/>
      <c r="AJZ209" s="173"/>
      <c r="AKA209" s="173"/>
      <c r="AKB209" s="173"/>
      <c r="AKC209" s="173"/>
      <c r="AKD209" s="173"/>
      <c r="AKE209" s="173"/>
      <c r="AKF209" s="173"/>
      <c r="AKG209" s="173"/>
      <c r="AKH209" s="173"/>
      <c r="AKI209" s="125"/>
      <c r="AKJ209" s="125"/>
      <c r="AKK209" s="134"/>
      <c r="AKL209" s="135"/>
      <c r="AKM209" s="135"/>
      <c r="AKN209" s="135"/>
      <c r="AKO209" s="135"/>
      <c r="AKP209" s="173"/>
      <c r="AKQ209" s="173"/>
      <c r="AKR209" s="173"/>
      <c r="AKS209" s="173"/>
      <c r="AKT209" s="173"/>
      <c r="AKU209" s="173"/>
      <c r="AKV209" s="173"/>
      <c r="AKW209" s="173"/>
      <c r="AKX209" s="173"/>
      <c r="AKY209" s="173"/>
      <c r="AKZ209" s="125"/>
      <c r="ALA209" s="125"/>
      <c r="ALB209" s="134"/>
      <c r="ALC209" s="135"/>
      <c r="ALD209" s="135"/>
      <c r="ALE209" s="135"/>
      <c r="ALF209" s="135"/>
      <c r="ALG209" s="173"/>
      <c r="ALH209" s="173"/>
      <c r="ALI209" s="173"/>
      <c r="ALJ209" s="173"/>
      <c r="ALK209" s="173"/>
      <c r="ALL209" s="173"/>
      <c r="ALM209" s="173"/>
      <c r="ALN209" s="173"/>
      <c r="ALO209" s="173"/>
      <c r="ALP209" s="173"/>
      <c r="ALQ209" s="125"/>
      <c r="ALR209" s="125"/>
      <c r="ALS209" s="134"/>
      <c r="ALT209" s="135"/>
      <c r="ALU209" s="135"/>
      <c r="ALV209" s="135"/>
      <c r="ALW209" s="135"/>
      <c r="ALX209" s="173"/>
      <c r="ALY209" s="173"/>
      <c r="ALZ209" s="173"/>
      <c r="AMA209" s="173"/>
      <c r="AMB209" s="173"/>
      <c r="AMC209" s="173"/>
      <c r="AMD209" s="173"/>
      <c r="AME209" s="173"/>
      <c r="AMF209" s="173"/>
      <c r="AMG209" s="173"/>
      <c r="AMH209" s="125"/>
      <c r="AMI209" s="125"/>
      <c r="AMJ209" s="134"/>
      <c r="AMK209" s="135"/>
      <c r="AML209" s="135"/>
      <c r="AMM209" s="135"/>
      <c r="AMN209" s="135"/>
      <c r="AMO209" s="173"/>
      <c r="AMP209" s="173"/>
      <c r="AMQ209" s="173"/>
      <c r="AMR209" s="173"/>
      <c r="AMS209" s="173"/>
      <c r="AMT209" s="173"/>
      <c r="AMU209" s="173"/>
      <c r="AMV209" s="173"/>
      <c r="AMW209" s="173"/>
      <c r="AMX209" s="173"/>
      <c r="AMY209" s="125"/>
      <c r="AMZ209" s="125"/>
      <c r="ANA209" s="134"/>
      <c r="ANB209" s="135"/>
      <c r="ANC209" s="135"/>
      <c r="AND209" s="135"/>
      <c r="ANE209" s="135"/>
      <c r="ANF209" s="173"/>
      <c r="ANG209" s="173"/>
      <c r="ANH209" s="173"/>
      <c r="ANI209" s="173"/>
      <c r="ANJ209" s="173"/>
      <c r="ANK209" s="173"/>
      <c r="ANL209" s="173"/>
      <c r="ANM209" s="173"/>
      <c r="ANN209" s="173"/>
      <c r="ANO209" s="173"/>
      <c r="ANP209" s="125"/>
      <c r="ANQ209" s="125"/>
      <c r="ANR209" s="134"/>
      <c r="ANS209" s="135"/>
      <c r="ANT209" s="135"/>
      <c r="ANU209" s="135"/>
      <c r="ANV209" s="135"/>
      <c r="ANW209" s="173"/>
      <c r="ANX209" s="173"/>
      <c r="ANY209" s="173"/>
      <c r="ANZ209" s="173"/>
      <c r="AOA209" s="173"/>
      <c r="AOB209" s="173"/>
      <c r="AOC209" s="173"/>
      <c r="AOD209" s="173"/>
      <c r="AOE209" s="173"/>
      <c r="AOF209" s="173"/>
      <c r="AOG209" s="125"/>
      <c r="AOH209" s="125"/>
      <c r="AOI209" s="134"/>
      <c r="AOJ209" s="135"/>
      <c r="AOK209" s="135"/>
      <c r="AOL209" s="135"/>
      <c r="AOM209" s="135"/>
      <c r="AON209" s="173"/>
      <c r="AOO209" s="173"/>
      <c r="AOP209" s="173"/>
      <c r="AOQ209" s="173"/>
      <c r="AOR209" s="173"/>
      <c r="AOS209" s="173"/>
      <c r="AOT209" s="173"/>
      <c r="AOU209" s="173"/>
      <c r="AOV209" s="173"/>
      <c r="AOW209" s="173"/>
      <c r="AOX209" s="125"/>
      <c r="AOY209" s="125"/>
      <c r="AOZ209" s="134"/>
      <c r="APA209" s="135"/>
      <c r="APB209" s="135"/>
      <c r="APC209" s="135"/>
      <c r="APD209" s="135"/>
      <c r="APE209" s="173"/>
      <c r="APF209" s="173"/>
      <c r="APG209" s="173"/>
      <c r="APH209" s="173"/>
      <c r="API209" s="173"/>
      <c r="APJ209" s="173"/>
      <c r="APK209" s="173"/>
      <c r="APL209" s="173"/>
      <c r="APM209" s="173"/>
      <c r="APN209" s="173"/>
      <c r="APO209" s="125"/>
      <c r="APP209" s="125"/>
      <c r="APQ209" s="134"/>
      <c r="APR209" s="135"/>
      <c r="APS209" s="135"/>
      <c r="APT209" s="135"/>
      <c r="APU209" s="135"/>
      <c r="APV209" s="173"/>
      <c r="APW209" s="173"/>
      <c r="APX209" s="173"/>
      <c r="APY209" s="173"/>
      <c r="APZ209" s="173"/>
      <c r="AQA209" s="173"/>
      <c r="AQB209" s="173"/>
      <c r="AQC209" s="173"/>
      <c r="AQD209" s="173"/>
      <c r="AQE209" s="173"/>
      <c r="AQF209" s="125"/>
      <c r="AQG209" s="125"/>
      <c r="AQH209" s="134"/>
      <c r="AQI209" s="135"/>
      <c r="AQJ209" s="135"/>
      <c r="AQK209" s="135"/>
      <c r="AQL209" s="135"/>
      <c r="AQM209" s="173"/>
      <c r="AQN209" s="173"/>
      <c r="AQO209" s="173"/>
      <c r="AQP209" s="173"/>
      <c r="AQQ209" s="173"/>
      <c r="AQR209" s="173"/>
      <c r="AQS209" s="173"/>
      <c r="AQT209" s="173"/>
      <c r="AQU209" s="173"/>
      <c r="AQV209" s="173"/>
      <c r="AQW209" s="125"/>
      <c r="AQX209" s="125"/>
      <c r="AQY209" s="134"/>
      <c r="AQZ209" s="135"/>
      <c r="ARA209" s="135"/>
      <c r="ARB209" s="135"/>
      <c r="ARC209" s="135"/>
      <c r="ARD209" s="173"/>
      <c r="ARE209" s="173"/>
      <c r="ARF209" s="173"/>
      <c r="ARG209" s="173"/>
      <c r="ARH209" s="173"/>
      <c r="ARI209" s="173"/>
      <c r="ARJ209" s="173"/>
      <c r="ARK209" s="173"/>
      <c r="ARL209" s="173"/>
      <c r="ARM209" s="173"/>
      <c r="ARN209" s="125"/>
      <c r="ARO209" s="125"/>
      <c r="ARP209" s="134"/>
      <c r="ARQ209" s="135"/>
      <c r="ARR209" s="135"/>
      <c r="ARS209" s="135"/>
      <c r="ART209" s="135"/>
      <c r="ARU209" s="173"/>
      <c r="ARV209" s="173"/>
      <c r="ARW209" s="173"/>
      <c r="ARX209" s="173"/>
      <c r="ARY209" s="173"/>
      <c r="ARZ209" s="173"/>
      <c r="ASA209" s="173"/>
      <c r="ASB209" s="173"/>
      <c r="ASC209" s="173"/>
      <c r="ASD209" s="173"/>
      <c r="ASE209" s="125"/>
      <c r="ASF209" s="125"/>
      <c r="ASG209" s="134"/>
      <c r="ASH209" s="135"/>
      <c r="ASI209" s="135"/>
      <c r="ASJ209" s="135"/>
      <c r="ASK209" s="135"/>
      <c r="ASL209" s="173"/>
      <c r="ASM209" s="173"/>
      <c r="ASN209" s="173"/>
      <c r="ASO209" s="173"/>
      <c r="ASP209" s="173"/>
      <c r="ASQ209" s="173"/>
      <c r="ASR209" s="173"/>
      <c r="ASS209" s="173"/>
      <c r="AST209" s="173"/>
      <c r="ASU209" s="173"/>
      <c r="ASV209" s="125"/>
      <c r="ASW209" s="125"/>
      <c r="ASX209" s="134"/>
      <c r="ASY209" s="135"/>
      <c r="ASZ209" s="135"/>
      <c r="ATA209" s="135"/>
      <c r="ATB209" s="135"/>
      <c r="ATC209" s="173"/>
      <c r="ATD209" s="173"/>
      <c r="ATE209" s="173"/>
      <c r="ATF209" s="173"/>
      <c r="ATG209" s="173"/>
      <c r="ATH209" s="173"/>
      <c r="ATI209" s="173"/>
      <c r="ATJ209" s="173"/>
      <c r="ATK209" s="173"/>
      <c r="ATL209" s="173"/>
      <c r="ATM209" s="125"/>
      <c r="ATN209" s="125"/>
      <c r="ATO209" s="134"/>
      <c r="ATP209" s="135"/>
      <c r="ATQ209" s="135"/>
      <c r="ATR209" s="135"/>
      <c r="ATS209" s="135"/>
      <c r="ATT209" s="173"/>
      <c r="ATU209" s="173"/>
      <c r="ATV209" s="173"/>
      <c r="ATW209" s="173"/>
      <c r="ATX209" s="173"/>
      <c r="ATY209" s="173"/>
      <c r="ATZ209" s="173"/>
      <c r="AUA209" s="173"/>
      <c r="AUB209" s="173"/>
      <c r="AUC209" s="173"/>
      <c r="AUD209" s="125"/>
      <c r="AUE209" s="125"/>
      <c r="AUF209" s="134"/>
      <c r="AUG209" s="135"/>
      <c r="AUH209" s="135"/>
      <c r="AUI209" s="135"/>
      <c r="AUJ209" s="135"/>
      <c r="AUK209" s="173"/>
      <c r="AUL209" s="173"/>
      <c r="AUM209" s="173"/>
      <c r="AUN209" s="173"/>
      <c r="AUO209" s="173"/>
      <c r="AUP209" s="173"/>
      <c r="AUQ209" s="173"/>
      <c r="AUR209" s="173"/>
      <c r="AUS209" s="173"/>
      <c r="AUT209" s="173"/>
      <c r="AUU209" s="125"/>
      <c r="AUV209" s="125"/>
      <c r="AUW209" s="134"/>
      <c r="AUX209" s="135"/>
      <c r="AUY209" s="135"/>
      <c r="AUZ209" s="135"/>
      <c r="AVA209" s="135"/>
      <c r="AVB209" s="173"/>
      <c r="AVC209" s="173"/>
      <c r="AVD209" s="173"/>
      <c r="AVE209" s="173"/>
      <c r="AVF209" s="173"/>
      <c r="AVG209" s="173"/>
      <c r="AVH209" s="173"/>
      <c r="AVI209" s="173"/>
      <c r="AVJ209" s="173"/>
      <c r="AVK209" s="173"/>
      <c r="AVL209" s="125"/>
      <c r="AVM209" s="125"/>
      <c r="AVN209" s="134"/>
      <c r="AVO209" s="135"/>
      <c r="AVP209" s="135"/>
      <c r="AVQ209" s="135"/>
      <c r="AVR209" s="135"/>
      <c r="AVS209" s="173"/>
      <c r="AVT209" s="173"/>
      <c r="AVU209" s="173"/>
      <c r="AVV209" s="173"/>
      <c r="AVW209" s="173"/>
      <c r="AVX209" s="173"/>
      <c r="AVY209" s="173"/>
      <c r="AVZ209" s="173"/>
      <c r="AWA209" s="173"/>
      <c r="AWB209" s="173"/>
      <c r="AWC209" s="125"/>
      <c r="AWD209" s="125"/>
      <c r="AWE209" s="134"/>
      <c r="AWF209" s="135"/>
      <c r="AWG209" s="135"/>
      <c r="AWH209" s="135"/>
      <c r="AWI209" s="135"/>
      <c r="AWJ209" s="173"/>
      <c r="AWK209" s="173"/>
      <c r="AWL209" s="173"/>
      <c r="AWM209" s="173"/>
      <c r="AWN209" s="173"/>
      <c r="AWO209" s="173"/>
      <c r="AWP209" s="173"/>
      <c r="AWQ209" s="173"/>
      <c r="AWR209" s="173"/>
      <c r="AWS209" s="173"/>
      <c r="AWT209" s="125"/>
      <c r="AWU209" s="125"/>
      <c r="AWV209" s="134"/>
      <c r="AWW209" s="135"/>
      <c r="AWX209" s="135"/>
      <c r="AWY209" s="135"/>
      <c r="AWZ209" s="135"/>
      <c r="AXA209" s="173"/>
      <c r="AXB209" s="173"/>
      <c r="AXC209" s="173"/>
      <c r="AXD209" s="173"/>
      <c r="AXE209" s="173"/>
      <c r="AXF209" s="173"/>
      <c r="AXG209" s="173"/>
      <c r="AXH209" s="173"/>
      <c r="AXI209" s="173"/>
      <c r="AXJ209" s="173"/>
      <c r="AXK209" s="125"/>
      <c r="AXL209" s="125"/>
      <c r="AXM209" s="134"/>
      <c r="AXN209" s="135"/>
      <c r="AXO209" s="135"/>
      <c r="AXP209" s="135"/>
      <c r="AXQ209" s="135"/>
      <c r="AXR209" s="173"/>
      <c r="AXS209" s="173"/>
      <c r="AXT209" s="173"/>
      <c r="AXU209" s="173"/>
      <c r="AXV209" s="173"/>
      <c r="AXW209" s="173"/>
      <c r="AXX209" s="173"/>
      <c r="AXY209" s="173"/>
      <c r="AXZ209" s="173"/>
      <c r="AYA209" s="173"/>
      <c r="AYB209" s="125"/>
      <c r="AYC209" s="125"/>
      <c r="AYD209" s="134"/>
      <c r="AYE209" s="135"/>
      <c r="AYF209" s="135"/>
      <c r="AYG209" s="135"/>
      <c r="AYH209" s="135"/>
      <c r="AYI209" s="173"/>
      <c r="AYJ209" s="173"/>
      <c r="AYK209" s="173"/>
      <c r="AYL209" s="173"/>
      <c r="AYM209" s="173"/>
      <c r="AYN209" s="173"/>
      <c r="AYO209" s="173"/>
      <c r="AYP209" s="173"/>
      <c r="AYQ209" s="173"/>
      <c r="AYR209" s="173"/>
      <c r="AYS209" s="125"/>
      <c r="AYT209" s="125"/>
      <c r="AYU209" s="134"/>
      <c r="AYV209" s="135"/>
      <c r="AYW209" s="135"/>
      <c r="AYX209" s="135"/>
      <c r="AYY209" s="135"/>
      <c r="AYZ209" s="173"/>
      <c r="AZA209" s="173"/>
      <c r="AZB209" s="173"/>
      <c r="AZC209" s="173"/>
      <c r="AZD209" s="173"/>
      <c r="AZE209" s="173"/>
      <c r="AZF209" s="173"/>
      <c r="AZG209" s="173"/>
      <c r="AZH209" s="173"/>
      <c r="AZI209" s="173"/>
      <c r="AZJ209" s="125"/>
      <c r="AZK209" s="125"/>
      <c r="AZL209" s="134"/>
      <c r="AZM209" s="135"/>
      <c r="AZN209" s="135"/>
      <c r="AZO209" s="135"/>
      <c r="AZP209" s="135"/>
      <c r="AZQ209" s="173"/>
      <c r="AZR209" s="173"/>
      <c r="AZS209" s="173"/>
      <c r="AZT209" s="173"/>
      <c r="AZU209" s="173"/>
      <c r="AZV209" s="173"/>
      <c r="AZW209" s="173"/>
      <c r="AZX209" s="173"/>
      <c r="AZY209" s="173"/>
      <c r="AZZ209" s="173"/>
      <c r="BAA209" s="125"/>
      <c r="BAB209" s="125"/>
      <c r="BAC209" s="134"/>
      <c r="BAD209" s="135"/>
      <c r="BAE209" s="135"/>
      <c r="BAF209" s="135"/>
      <c r="BAG209" s="135"/>
      <c r="BAH209" s="173"/>
      <c r="BAI209" s="173"/>
      <c r="BAJ209" s="173"/>
      <c r="BAK209" s="173"/>
      <c r="BAL209" s="173"/>
      <c r="BAM209" s="173"/>
      <c r="BAN209" s="173"/>
      <c r="BAO209" s="173"/>
      <c r="BAP209" s="173"/>
      <c r="BAQ209" s="173"/>
      <c r="BAR209" s="125"/>
      <c r="BAS209" s="125"/>
      <c r="BAT209" s="134"/>
      <c r="BAU209" s="135"/>
      <c r="BAV209" s="135"/>
      <c r="BAW209" s="135"/>
      <c r="BAX209" s="135"/>
      <c r="BAY209" s="173"/>
      <c r="BAZ209" s="173"/>
      <c r="BBA209" s="173"/>
      <c r="BBB209" s="173"/>
      <c r="BBC209" s="173"/>
      <c r="BBD209" s="173"/>
      <c r="BBE209" s="173"/>
      <c r="BBF209" s="173"/>
      <c r="BBG209" s="173"/>
      <c r="BBH209" s="173"/>
      <c r="BBI209" s="125"/>
      <c r="BBJ209" s="125"/>
      <c r="BBK209" s="134"/>
      <c r="BBL209" s="135"/>
      <c r="BBM209" s="135"/>
      <c r="BBN209" s="135"/>
      <c r="BBO209" s="135"/>
      <c r="BBP209" s="173"/>
      <c r="BBQ209" s="173"/>
      <c r="BBR209" s="173"/>
      <c r="BBS209" s="173"/>
      <c r="BBT209" s="173"/>
      <c r="BBU209" s="173"/>
      <c r="BBV209" s="173"/>
      <c r="BBW209" s="173"/>
      <c r="BBX209" s="173"/>
      <c r="BBY209" s="173"/>
      <c r="BBZ209" s="125"/>
      <c r="BCA209" s="125"/>
      <c r="BCB209" s="134"/>
      <c r="BCC209" s="135"/>
      <c r="BCD209" s="135"/>
      <c r="BCE209" s="135"/>
      <c r="BCF209" s="135"/>
      <c r="BCG209" s="173"/>
      <c r="BCH209" s="173"/>
      <c r="BCI209" s="173"/>
      <c r="BCJ209" s="173"/>
      <c r="BCK209" s="173"/>
      <c r="BCL209" s="173"/>
      <c r="BCM209" s="173"/>
      <c r="BCN209" s="173"/>
      <c r="BCO209" s="173"/>
      <c r="BCP209" s="173"/>
      <c r="BCQ209" s="125"/>
      <c r="BCR209" s="125"/>
      <c r="BCS209" s="134"/>
      <c r="BCT209" s="135"/>
      <c r="BCU209" s="135"/>
      <c r="BCV209" s="135"/>
      <c r="BCW209" s="135"/>
      <c r="BCX209" s="173"/>
      <c r="BCY209" s="173"/>
      <c r="BCZ209" s="173"/>
      <c r="BDA209" s="173"/>
      <c r="BDB209" s="173"/>
      <c r="BDC209" s="173"/>
      <c r="BDD209" s="173"/>
      <c r="BDE209" s="173"/>
      <c r="BDF209" s="173"/>
      <c r="BDG209" s="173"/>
      <c r="BDH209" s="125"/>
      <c r="BDI209" s="125"/>
      <c r="BDJ209" s="134"/>
      <c r="BDK209" s="135"/>
      <c r="BDL209" s="135"/>
      <c r="BDM209" s="135"/>
      <c r="BDN209" s="135"/>
      <c r="BDO209" s="173"/>
      <c r="BDP209" s="173"/>
      <c r="BDQ209" s="173"/>
      <c r="BDR209" s="173"/>
      <c r="BDS209" s="173"/>
      <c r="BDT209" s="173"/>
      <c r="BDU209" s="173"/>
      <c r="BDV209" s="173"/>
      <c r="BDW209" s="173"/>
      <c r="BDX209" s="173"/>
      <c r="BDY209" s="125"/>
      <c r="BDZ209" s="125"/>
      <c r="BEA209" s="134"/>
      <c r="BEB209" s="135"/>
      <c r="BEC209" s="135"/>
      <c r="BED209" s="135"/>
      <c r="BEE209" s="135"/>
      <c r="BEF209" s="173"/>
      <c r="BEG209" s="173"/>
      <c r="BEH209" s="173"/>
      <c r="BEI209" s="173"/>
      <c r="BEJ209" s="173"/>
      <c r="BEK209" s="173"/>
      <c r="BEL209" s="173"/>
      <c r="BEM209" s="173"/>
      <c r="BEN209" s="173"/>
      <c r="BEO209" s="173"/>
      <c r="BEP209" s="125"/>
      <c r="BEQ209" s="125"/>
      <c r="BER209" s="134"/>
      <c r="BES209" s="135"/>
      <c r="BET209" s="135"/>
      <c r="BEU209" s="135"/>
      <c r="BEV209" s="135"/>
      <c r="BEW209" s="173"/>
      <c r="BEX209" s="173"/>
      <c r="BEY209" s="173"/>
      <c r="BEZ209" s="173"/>
      <c r="BFA209" s="173"/>
      <c r="BFB209" s="173"/>
      <c r="BFC209" s="173"/>
      <c r="BFD209" s="173"/>
      <c r="BFE209" s="173"/>
      <c r="BFF209" s="173"/>
      <c r="BFG209" s="125"/>
      <c r="BFH209" s="125"/>
      <c r="BFI209" s="134"/>
      <c r="BFJ209" s="135"/>
      <c r="BFK209" s="135"/>
      <c r="BFL209" s="135"/>
      <c r="BFM209" s="135"/>
      <c r="BFN209" s="173"/>
      <c r="BFO209" s="173"/>
      <c r="BFP209" s="173"/>
      <c r="BFQ209" s="173"/>
      <c r="BFR209" s="173"/>
      <c r="BFS209" s="173"/>
      <c r="BFT209" s="173"/>
      <c r="BFU209" s="173"/>
      <c r="BFV209" s="173"/>
      <c r="BFW209" s="173"/>
      <c r="BFX209" s="125"/>
      <c r="BFY209" s="125"/>
      <c r="BFZ209" s="134"/>
      <c r="BGA209" s="135"/>
      <c r="BGB209" s="135"/>
      <c r="BGC209" s="135"/>
      <c r="BGD209" s="135"/>
      <c r="BGE209" s="173"/>
      <c r="BGF209" s="173"/>
      <c r="BGG209" s="173"/>
      <c r="BGH209" s="173"/>
      <c r="BGI209" s="173"/>
      <c r="BGJ209" s="173"/>
      <c r="BGK209" s="173"/>
      <c r="BGL209" s="173"/>
      <c r="BGM209" s="173"/>
      <c r="BGN209" s="173"/>
      <c r="BGO209" s="125"/>
      <c r="BGP209" s="125"/>
      <c r="BGQ209" s="134"/>
      <c r="BGR209" s="135"/>
      <c r="BGS209" s="135"/>
      <c r="BGT209" s="135"/>
      <c r="BGU209" s="135"/>
      <c r="BGV209" s="173"/>
      <c r="BGW209" s="173"/>
      <c r="BGX209" s="173"/>
      <c r="BGY209" s="173"/>
      <c r="BGZ209" s="173"/>
      <c r="BHA209" s="173"/>
      <c r="BHB209" s="173"/>
      <c r="BHC209" s="173"/>
      <c r="BHD209" s="173"/>
      <c r="BHE209" s="173"/>
      <c r="BHF209" s="125"/>
      <c r="BHG209" s="125"/>
      <c r="BHH209" s="134"/>
      <c r="BHI209" s="135"/>
      <c r="BHJ209" s="135"/>
      <c r="BHK209" s="135"/>
      <c r="BHL209" s="135"/>
      <c r="BHM209" s="173"/>
      <c r="BHN209" s="173"/>
      <c r="BHO209" s="173"/>
      <c r="BHP209" s="173"/>
      <c r="BHQ209" s="173"/>
      <c r="BHR209" s="173"/>
      <c r="BHS209" s="173"/>
      <c r="BHT209" s="173"/>
      <c r="BHU209" s="173"/>
      <c r="BHV209" s="173"/>
      <c r="BHW209" s="125"/>
      <c r="BHX209" s="125"/>
      <c r="BHY209" s="134"/>
      <c r="BHZ209" s="135"/>
      <c r="BIA209" s="135"/>
      <c r="BIB209" s="135"/>
      <c r="BIC209" s="135"/>
      <c r="BID209" s="173"/>
      <c r="BIE209" s="173"/>
      <c r="BIF209" s="173"/>
      <c r="BIG209" s="173"/>
      <c r="BIH209" s="173"/>
      <c r="BII209" s="173"/>
      <c r="BIJ209" s="173"/>
      <c r="BIK209" s="173"/>
      <c r="BIL209" s="173"/>
      <c r="BIM209" s="173"/>
      <c r="BIN209" s="125"/>
      <c r="BIO209" s="125"/>
      <c r="BIP209" s="134"/>
      <c r="BIQ209" s="135"/>
      <c r="BIR209" s="135"/>
      <c r="BIS209" s="135"/>
      <c r="BIT209" s="135"/>
      <c r="BIU209" s="173"/>
      <c r="BIV209" s="173"/>
      <c r="BIW209" s="173"/>
      <c r="BIX209" s="173"/>
      <c r="BIY209" s="173"/>
      <c r="BIZ209" s="173"/>
      <c r="BJA209" s="173"/>
      <c r="BJB209" s="173"/>
      <c r="BJC209" s="173"/>
      <c r="BJD209" s="173"/>
      <c r="BJE209" s="125"/>
      <c r="BJF209" s="125"/>
      <c r="BJG209" s="134"/>
      <c r="BJH209" s="135"/>
      <c r="BJI209" s="135"/>
      <c r="BJJ209" s="135"/>
      <c r="BJK209" s="135"/>
      <c r="BJL209" s="173"/>
      <c r="BJM209" s="173"/>
      <c r="BJN209" s="173"/>
      <c r="BJO209" s="173"/>
      <c r="BJP209" s="173"/>
      <c r="BJQ209" s="173"/>
      <c r="BJR209" s="173"/>
      <c r="BJS209" s="173"/>
      <c r="BJT209" s="173"/>
      <c r="BJU209" s="173"/>
      <c r="BJV209" s="125"/>
      <c r="BJW209" s="125"/>
      <c r="BJX209" s="134"/>
      <c r="BJY209" s="135"/>
      <c r="BJZ209" s="135"/>
      <c r="BKA209" s="135"/>
      <c r="BKB209" s="135"/>
      <c r="BKC209" s="173"/>
      <c r="BKD209" s="173"/>
      <c r="BKE209" s="173"/>
      <c r="BKF209" s="173"/>
      <c r="BKG209" s="173"/>
      <c r="BKH209" s="173"/>
      <c r="BKI209" s="173"/>
      <c r="BKJ209" s="173"/>
      <c r="BKK209" s="173"/>
      <c r="BKL209" s="173"/>
      <c r="BKM209" s="125"/>
      <c r="BKN209" s="125"/>
      <c r="BKO209" s="134"/>
      <c r="BKP209" s="135"/>
      <c r="BKQ209" s="135"/>
      <c r="BKR209" s="135"/>
      <c r="BKS209" s="135"/>
      <c r="BKT209" s="173"/>
      <c r="BKU209" s="173"/>
      <c r="BKV209" s="173"/>
      <c r="BKW209" s="173"/>
      <c r="BKX209" s="173"/>
      <c r="BKY209" s="173"/>
      <c r="BKZ209" s="173"/>
      <c r="BLA209" s="173"/>
      <c r="BLB209" s="173"/>
      <c r="BLC209" s="173"/>
      <c r="BLD209" s="125"/>
      <c r="BLE209" s="125"/>
      <c r="BLF209" s="134"/>
      <c r="BLG209" s="135"/>
      <c r="BLH209" s="135"/>
      <c r="BLI209" s="135"/>
      <c r="BLJ209" s="135"/>
      <c r="BLK209" s="173"/>
      <c r="BLL209" s="173"/>
      <c r="BLM209" s="173"/>
      <c r="BLN209" s="173"/>
      <c r="BLO209" s="173"/>
      <c r="BLP209" s="173"/>
      <c r="BLQ209" s="173"/>
      <c r="BLR209" s="173"/>
      <c r="BLS209" s="173"/>
      <c r="BLT209" s="173"/>
      <c r="BLU209" s="125"/>
      <c r="BLV209" s="125"/>
      <c r="BLW209" s="134"/>
      <c r="BLX209" s="135"/>
      <c r="BLY209" s="135"/>
      <c r="BLZ209" s="135"/>
      <c r="BMA209" s="135"/>
      <c r="BMB209" s="173"/>
      <c r="BMC209" s="173"/>
      <c r="BMD209" s="173"/>
      <c r="BME209" s="173"/>
      <c r="BMF209" s="173"/>
      <c r="BMG209" s="173"/>
      <c r="BMH209" s="173"/>
      <c r="BMI209" s="173"/>
      <c r="BMJ209" s="173"/>
      <c r="BMK209" s="173"/>
      <c r="BML209" s="125"/>
      <c r="BMM209" s="125"/>
      <c r="BMN209" s="134"/>
      <c r="BMO209" s="135"/>
      <c r="BMP209" s="135"/>
      <c r="BMQ209" s="135"/>
      <c r="BMR209" s="135"/>
      <c r="BMS209" s="173"/>
      <c r="BMT209" s="173"/>
      <c r="BMU209" s="173"/>
      <c r="BMV209" s="173"/>
      <c r="BMW209" s="173"/>
      <c r="BMX209" s="173"/>
      <c r="BMY209" s="173"/>
      <c r="BMZ209" s="173"/>
      <c r="BNA209" s="173"/>
      <c r="BNB209" s="173"/>
      <c r="BNC209" s="125"/>
      <c r="BND209" s="125"/>
      <c r="BNE209" s="134"/>
      <c r="BNF209" s="135"/>
      <c r="BNG209" s="135"/>
      <c r="BNH209" s="135"/>
      <c r="BNI209" s="135"/>
      <c r="BNJ209" s="173"/>
      <c r="BNK209" s="173"/>
      <c r="BNL209" s="173"/>
      <c r="BNM209" s="173"/>
      <c r="BNN209" s="173"/>
      <c r="BNO209" s="173"/>
      <c r="BNP209" s="173"/>
      <c r="BNQ209" s="173"/>
      <c r="BNR209" s="173"/>
      <c r="BNS209" s="173"/>
      <c r="BNT209" s="125"/>
      <c r="BNU209" s="125"/>
      <c r="BNV209" s="134"/>
      <c r="BNW209" s="135"/>
      <c r="BNX209" s="135"/>
      <c r="BNY209" s="135"/>
      <c r="BNZ209" s="135"/>
      <c r="BOA209" s="173"/>
      <c r="BOB209" s="173"/>
      <c r="BOC209" s="173"/>
      <c r="BOD209" s="173"/>
      <c r="BOE209" s="173"/>
      <c r="BOF209" s="173"/>
      <c r="BOG209" s="173"/>
      <c r="BOH209" s="173"/>
      <c r="BOI209" s="173"/>
      <c r="BOJ209" s="173"/>
      <c r="BOK209" s="125"/>
      <c r="BOL209" s="125"/>
      <c r="BOM209" s="134"/>
      <c r="BON209" s="135"/>
      <c r="BOO209" s="135"/>
      <c r="BOP209" s="135"/>
      <c r="BOQ209" s="135"/>
      <c r="BOR209" s="173"/>
      <c r="BOS209" s="173"/>
      <c r="BOT209" s="173"/>
      <c r="BOU209" s="173"/>
      <c r="BOV209" s="173"/>
      <c r="BOW209" s="173"/>
      <c r="BOX209" s="173"/>
      <c r="BOY209" s="173"/>
      <c r="BOZ209" s="173"/>
      <c r="BPA209" s="173"/>
      <c r="BPB209" s="125"/>
      <c r="BPC209" s="125"/>
      <c r="BPD209" s="134"/>
      <c r="BPE209" s="135"/>
      <c r="BPF209" s="135"/>
      <c r="BPG209" s="135"/>
      <c r="BPH209" s="135"/>
      <c r="BPI209" s="173"/>
      <c r="BPJ209" s="173"/>
      <c r="BPK209" s="173"/>
      <c r="BPL209" s="173"/>
      <c r="BPM209" s="173"/>
      <c r="BPN209" s="173"/>
      <c r="BPO209" s="173"/>
      <c r="BPP209" s="173"/>
      <c r="BPQ209" s="173"/>
      <c r="BPR209" s="173"/>
      <c r="BPS209" s="125"/>
      <c r="BPT209" s="125"/>
      <c r="BPU209" s="134"/>
      <c r="BPV209" s="135"/>
      <c r="BPW209" s="135"/>
      <c r="BPX209" s="135"/>
      <c r="BPY209" s="135"/>
      <c r="BPZ209" s="173"/>
      <c r="BQA209" s="173"/>
      <c r="BQB209" s="173"/>
      <c r="BQC209" s="173"/>
      <c r="BQD209" s="173"/>
      <c r="BQE209" s="173"/>
      <c r="BQF209" s="173"/>
      <c r="BQG209" s="173"/>
      <c r="BQH209" s="173"/>
      <c r="BQI209" s="173"/>
      <c r="BQJ209" s="125"/>
      <c r="BQK209" s="125"/>
      <c r="BQL209" s="134"/>
      <c r="BQM209" s="135"/>
      <c r="BQN209" s="135"/>
      <c r="BQO209" s="135"/>
      <c r="BQP209" s="135"/>
      <c r="BQQ209" s="173"/>
      <c r="BQR209" s="173"/>
      <c r="BQS209" s="173"/>
      <c r="BQT209" s="173"/>
      <c r="BQU209" s="173"/>
      <c r="BQV209" s="173"/>
      <c r="BQW209" s="173"/>
      <c r="BQX209" s="173"/>
      <c r="BQY209" s="173"/>
      <c r="BQZ209" s="173"/>
      <c r="BRA209" s="125"/>
      <c r="BRB209" s="125"/>
      <c r="BRC209" s="134"/>
      <c r="BRD209" s="135"/>
      <c r="BRE209" s="135"/>
      <c r="BRF209" s="135"/>
      <c r="BRG209" s="135"/>
      <c r="BRH209" s="173"/>
      <c r="BRI209" s="173"/>
      <c r="BRJ209" s="173"/>
      <c r="BRK209" s="173"/>
      <c r="BRL209" s="173"/>
      <c r="BRM209" s="173"/>
      <c r="BRN209" s="173"/>
      <c r="BRO209" s="173"/>
      <c r="BRP209" s="173"/>
      <c r="BRQ209" s="173"/>
      <c r="BRR209" s="125"/>
      <c r="BRS209" s="125"/>
      <c r="BRT209" s="134"/>
      <c r="BRU209" s="135"/>
      <c r="BRV209" s="135"/>
      <c r="BRW209" s="135"/>
      <c r="BRX209" s="135"/>
      <c r="BRY209" s="173"/>
      <c r="BRZ209" s="173"/>
      <c r="BSA209" s="173"/>
      <c r="BSB209" s="173"/>
      <c r="BSC209" s="173"/>
      <c r="BSD209" s="173"/>
      <c r="BSE209" s="173"/>
      <c r="BSF209" s="173"/>
      <c r="BSG209" s="173"/>
      <c r="BSH209" s="173"/>
      <c r="BSI209" s="125"/>
      <c r="BSJ209" s="125"/>
      <c r="BSK209" s="134"/>
      <c r="BSL209" s="135"/>
      <c r="BSM209" s="135"/>
      <c r="BSN209" s="135"/>
      <c r="BSO209" s="135"/>
      <c r="BSP209" s="173"/>
      <c r="BSQ209" s="173"/>
      <c r="BSR209" s="173"/>
      <c r="BSS209" s="173"/>
      <c r="BST209" s="173"/>
      <c r="BSU209" s="173"/>
      <c r="BSV209" s="173"/>
      <c r="BSW209" s="173"/>
      <c r="BSX209" s="173"/>
      <c r="BSY209" s="173"/>
      <c r="BSZ209" s="125"/>
      <c r="BTA209" s="125"/>
      <c r="BTB209" s="134"/>
      <c r="BTC209" s="135"/>
      <c r="BTD209" s="135"/>
      <c r="BTE209" s="135"/>
      <c r="BTF209" s="135"/>
      <c r="BTG209" s="173"/>
      <c r="BTH209" s="173"/>
      <c r="BTI209" s="173"/>
      <c r="BTJ209" s="173"/>
      <c r="BTK209" s="173"/>
      <c r="BTL209" s="173"/>
      <c r="BTM209" s="173"/>
      <c r="BTN209" s="173"/>
      <c r="BTO209" s="173"/>
      <c r="BTP209" s="173"/>
      <c r="BTQ209" s="125"/>
      <c r="BTR209" s="125"/>
      <c r="BTS209" s="134"/>
      <c r="BTT209" s="135"/>
      <c r="BTU209" s="135"/>
      <c r="BTV209" s="135"/>
      <c r="BTW209" s="135"/>
      <c r="BTX209" s="173"/>
      <c r="BTY209" s="173"/>
      <c r="BTZ209" s="173"/>
      <c r="BUA209" s="173"/>
      <c r="BUB209" s="173"/>
      <c r="BUC209" s="173"/>
      <c r="BUD209" s="173"/>
      <c r="BUE209" s="173"/>
      <c r="BUF209" s="173"/>
      <c r="BUG209" s="173"/>
      <c r="BUH209" s="125"/>
      <c r="BUI209" s="125"/>
      <c r="BUJ209" s="134"/>
      <c r="BUK209" s="135"/>
      <c r="BUL209" s="135"/>
      <c r="BUM209" s="135"/>
      <c r="BUN209" s="135"/>
      <c r="BUO209" s="173"/>
      <c r="BUP209" s="173"/>
      <c r="BUQ209" s="173"/>
      <c r="BUR209" s="173"/>
      <c r="BUS209" s="173"/>
      <c r="BUT209" s="173"/>
      <c r="BUU209" s="173"/>
      <c r="BUV209" s="173"/>
      <c r="BUW209" s="173"/>
      <c r="BUX209" s="173"/>
      <c r="BUY209" s="125"/>
      <c r="BUZ209" s="125"/>
      <c r="BVA209" s="134"/>
      <c r="BVB209" s="135"/>
      <c r="BVC209" s="135"/>
      <c r="BVD209" s="135"/>
      <c r="BVE209" s="135"/>
      <c r="BVF209" s="173"/>
      <c r="BVG209" s="173"/>
      <c r="BVH209" s="173"/>
      <c r="BVI209" s="173"/>
      <c r="BVJ209" s="173"/>
      <c r="BVK209" s="173"/>
      <c r="BVL209" s="173"/>
      <c r="BVM209" s="173"/>
      <c r="BVN209" s="173"/>
      <c r="BVO209" s="173"/>
      <c r="BVP209" s="125"/>
      <c r="BVQ209" s="125"/>
      <c r="BVR209" s="134"/>
      <c r="BVS209" s="135"/>
      <c r="BVT209" s="135"/>
      <c r="BVU209" s="135"/>
      <c r="BVV209" s="135"/>
      <c r="BVW209" s="173"/>
      <c r="BVX209" s="173"/>
      <c r="BVY209" s="173"/>
      <c r="BVZ209" s="173"/>
      <c r="BWA209" s="173"/>
      <c r="BWB209" s="173"/>
      <c r="BWC209" s="173"/>
      <c r="BWD209" s="173"/>
      <c r="BWE209" s="173"/>
      <c r="BWF209" s="173"/>
      <c r="BWG209" s="125"/>
      <c r="BWH209" s="125"/>
      <c r="BWI209" s="134"/>
      <c r="BWJ209" s="135"/>
      <c r="BWK209" s="135"/>
      <c r="BWL209" s="135"/>
      <c r="BWM209" s="135"/>
      <c r="BWN209" s="173"/>
      <c r="BWO209" s="173"/>
      <c r="BWP209" s="173"/>
      <c r="BWQ209" s="173"/>
      <c r="BWR209" s="173"/>
      <c r="BWS209" s="173"/>
      <c r="BWT209" s="173"/>
      <c r="BWU209" s="173"/>
      <c r="BWV209" s="173"/>
      <c r="BWW209" s="173"/>
      <c r="BWX209" s="125"/>
      <c r="BWY209" s="125"/>
      <c r="BWZ209" s="134"/>
      <c r="BXA209" s="135"/>
      <c r="BXB209" s="135"/>
      <c r="BXC209" s="135"/>
      <c r="BXD209" s="135"/>
      <c r="BXE209" s="173"/>
      <c r="BXF209" s="173"/>
      <c r="BXG209" s="173"/>
      <c r="BXH209" s="173"/>
      <c r="BXI209" s="173"/>
      <c r="BXJ209" s="173"/>
      <c r="BXK209" s="173"/>
      <c r="BXL209" s="173"/>
      <c r="BXM209" s="173"/>
      <c r="BXN209" s="173"/>
      <c r="BXO209" s="125"/>
      <c r="BXP209" s="125"/>
      <c r="BXQ209" s="134"/>
      <c r="BXR209" s="135"/>
      <c r="BXS209" s="135"/>
      <c r="BXT209" s="135"/>
      <c r="BXU209" s="135"/>
      <c r="BXV209" s="173"/>
      <c r="BXW209" s="173"/>
      <c r="BXX209" s="173"/>
      <c r="BXY209" s="173"/>
      <c r="BXZ209" s="173"/>
      <c r="BYA209" s="173"/>
      <c r="BYB209" s="173"/>
      <c r="BYC209" s="173"/>
      <c r="BYD209" s="173"/>
      <c r="BYE209" s="173"/>
      <c r="BYF209" s="125"/>
      <c r="BYG209" s="125"/>
      <c r="BYH209" s="134"/>
      <c r="BYI209" s="135"/>
      <c r="BYJ209" s="135"/>
      <c r="BYK209" s="135"/>
      <c r="BYL209" s="135"/>
      <c r="BYM209" s="173"/>
      <c r="BYN209" s="173"/>
      <c r="BYO209" s="173"/>
      <c r="BYP209" s="173"/>
      <c r="BYQ209" s="173"/>
      <c r="BYR209" s="173"/>
      <c r="BYS209" s="173"/>
      <c r="BYT209" s="173"/>
      <c r="BYU209" s="173"/>
      <c r="BYV209" s="173"/>
      <c r="BYW209" s="125"/>
      <c r="BYX209" s="125"/>
      <c r="BYY209" s="134"/>
      <c r="BYZ209" s="135"/>
      <c r="BZA209" s="135"/>
      <c r="BZB209" s="135"/>
      <c r="BZC209" s="135"/>
      <c r="BZD209" s="173"/>
      <c r="BZE209" s="173"/>
      <c r="BZF209" s="173"/>
      <c r="BZG209" s="173"/>
      <c r="BZH209" s="173"/>
      <c r="BZI209" s="173"/>
      <c r="BZJ209" s="173"/>
      <c r="BZK209" s="173"/>
      <c r="BZL209" s="173"/>
      <c r="BZM209" s="173"/>
      <c r="BZN209" s="125"/>
      <c r="BZO209" s="125"/>
      <c r="BZP209" s="134"/>
      <c r="BZQ209" s="135"/>
      <c r="BZR209" s="135"/>
      <c r="BZS209" s="135"/>
      <c r="BZT209" s="135"/>
      <c r="BZU209" s="173"/>
      <c r="BZV209" s="173"/>
      <c r="BZW209" s="173"/>
      <c r="BZX209" s="173"/>
      <c r="BZY209" s="173"/>
      <c r="BZZ209" s="173"/>
      <c r="CAA209" s="173"/>
      <c r="CAB209" s="173"/>
      <c r="CAC209" s="173"/>
      <c r="CAD209" s="173"/>
      <c r="CAE209" s="125"/>
      <c r="CAF209" s="125"/>
      <c r="CAG209" s="134"/>
      <c r="CAH209" s="135"/>
      <c r="CAI209" s="135"/>
      <c r="CAJ209" s="135"/>
      <c r="CAK209" s="135"/>
      <c r="CAL209" s="173"/>
      <c r="CAM209" s="173"/>
      <c r="CAN209" s="173"/>
      <c r="CAO209" s="173"/>
      <c r="CAP209" s="173"/>
      <c r="CAQ209" s="173"/>
      <c r="CAR209" s="173"/>
      <c r="CAS209" s="173"/>
      <c r="CAT209" s="173"/>
      <c r="CAU209" s="173"/>
      <c r="CAV209" s="125"/>
      <c r="CAW209" s="125"/>
      <c r="CAX209" s="134"/>
      <c r="CAY209" s="135"/>
      <c r="CAZ209" s="135"/>
      <c r="CBA209" s="135"/>
      <c r="CBB209" s="135"/>
      <c r="CBC209" s="173"/>
      <c r="CBD209" s="173"/>
      <c r="CBE209" s="173"/>
      <c r="CBF209" s="173"/>
      <c r="CBG209" s="173"/>
      <c r="CBH209" s="173"/>
      <c r="CBI209" s="173"/>
      <c r="CBJ209" s="173"/>
      <c r="CBK209" s="173"/>
      <c r="CBL209" s="173"/>
      <c r="CBM209" s="125"/>
      <c r="CBN209" s="125"/>
      <c r="CBO209" s="134"/>
      <c r="CBP209" s="135"/>
      <c r="CBQ209" s="135"/>
      <c r="CBR209" s="135"/>
      <c r="CBS209" s="135"/>
      <c r="CBT209" s="173"/>
      <c r="CBU209" s="173"/>
      <c r="CBV209" s="173"/>
      <c r="CBW209" s="173"/>
      <c r="CBX209" s="173"/>
      <c r="CBY209" s="173"/>
      <c r="CBZ209" s="173"/>
      <c r="CCA209" s="173"/>
      <c r="CCB209" s="173"/>
      <c r="CCC209" s="173"/>
      <c r="CCD209" s="125"/>
      <c r="CCE209" s="125"/>
      <c r="CCF209" s="134"/>
      <c r="CCG209" s="135"/>
      <c r="CCH209" s="135"/>
      <c r="CCI209" s="135"/>
      <c r="CCJ209" s="135"/>
      <c r="CCK209" s="173"/>
      <c r="CCL209" s="173"/>
      <c r="CCM209" s="173"/>
      <c r="CCN209" s="173"/>
      <c r="CCO209" s="173"/>
      <c r="CCP209" s="173"/>
      <c r="CCQ209" s="173"/>
      <c r="CCR209" s="173"/>
      <c r="CCS209" s="173"/>
      <c r="CCT209" s="173"/>
      <c r="CCU209" s="125"/>
      <c r="CCV209" s="125"/>
      <c r="CCW209" s="134"/>
      <c r="CCX209" s="135"/>
      <c r="CCY209" s="135"/>
      <c r="CCZ209" s="135"/>
      <c r="CDA209" s="135"/>
      <c r="CDB209" s="173"/>
      <c r="CDC209" s="173"/>
      <c r="CDD209" s="173"/>
      <c r="CDE209" s="173"/>
      <c r="CDF209" s="173"/>
      <c r="CDG209" s="173"/>
      <c r="CDH209" s="173"/>
      <c r="CDI209" s="173"/>
      <c r="CDJ209" s="173"/>
      <c r="CDK209" s="173"/>
      <c r="CDL209" s="125"/>
      <c r="CDM209" s="125"/>
      <c r="CDN209" s="134"/>
      <c r="CDO209" s="135"/>
      <c r="CDP209" s="135"/>
      <c r="CDQ209" s="135"/>
      <c r="CDR209" s="135"/>
      <c r="CDS209" s="173"/>
      <c r="CDT209" s="173"/>
      <c r="CDU209" s="173"/>
      <c r="CDV209" s="173"/>
      <c r="CDW209" s="173"/>
      <c r="CDX209" s="173"/>
      <c r="CDY209" s="173"/>
      <c r="CDZ209" s="173"/>
      <c r="CEA209" s="173"/>
      <c r="CEB209" s="173"/>
      <c r="CEC209" s="125"/>
      <c r="CED209" s="125"/>
      <c r="CEE209" s="134"/>
      <c r="CEF209" s="135"/>
      <c r="CEG209" s="135"/>
      <c r="CEH209" s="135"/>
      <c r="CEI209" s="135"/>
      <c r="CEJ209" s="173"/>
      <c r="CEK209" s="173"/>
      <c r="CEL209" s="173"/>
      <c r="CEM209" s="173"/>
      <c r="CEN209" s="173"/>
      <c r="CEO209" s="173"/>
      <c r="CEP209" s="173"/>
      <c r="CEQ209" s="173"/>
      <c r="CER209" s="173"/>
      <c r="CES209" s="173"/>
      <c r="CET209" s="125"/>
      <c r="CEU209" s="125"/>
      <c r="CEV209" s="134"/>
      <c r="CEW209" s="135"/>
      <c r="CEX209" s="135"/>
      <c r="CEY209" s="135"/>
      <c r="CEZ209" s="135"/>
      <c r="CFA209" s="173"/>
      <c r="CFB209" s="173"/>
      <c r="CFC209" s="173"/>
      <c r="CFD209" s="173"/>
      <c r="CFE209" s="173"/>
      <c r="CFF209" s="173"/>
      <c r="CFG209" s="173"/>
      <c r="CFH209" s="173"/>
      <c r="CFI209" s="173"/>
      <c r="CFJ209" s="173"/>
      <c r="CFK209" s="125"/>
      <c r="CFL209" s="125"/>
      <c r="CFM209" s="134"/>
      <c r="CFN209" s="135"/>
      <c r="CFO209" s="135"/>
      <c r="CFP209" s="135"/>
      <c r="CFQ209" s="135"/>
      <c r="CFR209" s="173"/>
      <c r="CFS209" s="173"/>
      <c r="CFT209" s="173"/>
      <c r="CFU209" s="173"/>
      <c r="CFV209" s="173"/>
      <c r="CFW209" s="173"/>
      <c r="CFX209" s="173"/>
      <c r="CFY209" s="173"/>
      <c r="CFZ209" s="173"/>
      <c r="CGA209" s="173"/>
      <c r="CGB209" s="125"/>
      <c r="CGC209" s="125"/>
      <c r="CGD209" s="134"/>
      <c r="CGE209" s="135"/>
      <c r="CGF209" s="135"/>
      <c r="CGG209" s="135"/>
      <c r="CGH209" s="135"/>
      <c r="CGI209" s="173"/>
      <c r="CGJ209" s="173"/>
      <c r="CGK209" s="173"/>
      <c r="CGL209" s="173"/>
      <c r="CGM209" s="173"/>
      <c r="CGN209" s="173"/>
      <c r="CGO209" s="173"/>
      <c r="CGP209" s="173"/>
      <c r="CGQ209" s="173"/>
      <c r="CGR209" s="173"/>
      <c r="CGS209" s="125"/>
      <c r="CGT209" s="125"/>
      <c r="CGU209" s="134"/>
      <c r="CGV209" s="135"/>
      <c r="CGW209" s="135"/>
      <c r="CGX209" s="135"/>
      <c r="CGY209" s="135"/>
      <c r="CGZ209" s="173"/>
      <c r="CHA209" s="173"/>
      <c r="CHB209" s="173"/>
      <c r="CHC209" s="173"/>
      <c r="CHD209" s="173"/>
      <c r="CHE209" s="173"/>
      <c r="CHF209" s="173"/>
      <c r="CHG209" s="173"/>
      <c r="CHH209" s="173"/>
      <c r="CHI209" s="173"/>
      <c r="CHJ209" s="125"/>
      <c r="CHK209" s="125"/>
      <c r="CHL209" s="134"/>
      <c r="CHM209" s="135"/>
      <c r="CHN209" s="135"/>
      <c r="CHO209" s="135"/>
      <c r="CHP209" s="135"/>
      <c r="CHQ209" s="173"/>
      <c r="CHR209" s="173"/>
      <c r="CHS209" s="173"/>
      <c r="CHT209" s="173"/>
      <c r="CHU209" s="173"/>
      <c r="CHV209" s="173"/>
      <c r="CHW209" s="173"/>
      <c r="CHX209" s="173"/>
      <c r="CHY209" s="173"/>
      <c r="CHZ209" s="173"/>
      <c r="CIA209" s="125"/>
      <c r="CIB209" s="125"/>
      <c r="CIC209" s="134"/>
      <c r="CID209" s="135"/>
      <c r="CIE209" s="135"/>
      <c r="CIF209" s="135"/>
      <c r="CIG209" s="135"/>
      <c r="CIH209" s="173"/>
      <c r="CII209" s="173"/>
      <c r="CIJ209" s="173"/>
      <c r="CIK209" s="173"/>
      <c r="CIL209" s="173"/>
      <c r="CIM209" s="173"/>
      <c r="CIN209" s="173"/>
      <c r="CIO209" s="173"/>
      <c r="CIP209" s="173"/>
      <c r="CIQ209" s="173"/>
      <c r="CIR209" s="125"/>
      <c r="CIS209" s="125"/>
      <c r="CIT209" s="134"/>
      <c r="CIU209" s="135"/>
      <c r="CIV209" s="135"/>
      <c r="CIW209" s="135"/>
      <c r="CIX209" s="135"/>
      <c r="CIY209" s="173"/>
      <c r="CIZ209" s="173"/>
      <c r="CJA209" s="173"/>
      <c r="CJB209" s="173"/>
      <c r="CJC209" s="173"/>
      <c r="CJD209" s="173"/>
      <c r="CJE209" s="173"/>
      <c r="CJF209" s="173"/>
      <c r="CJG209" s="173"/>
      <c r="CJH209" s="173"/>
      <c r="CJI209" s="125"/>
      <c r="CJJ209" s="125"/>
      <c r="CJK209" s="134"/>
      <c r="CJL209" s="135"/>
      <c r="CJM209" s="135"/>
      <c r="CJN209" s="135"/>
      <c r="CJO209" s="135"/>
      <c r="CJP209" s="173"/>
      <c r="CJQ209" s="173"/>
      <c r="CJR209" s="173"/>
      <c r="CJS209" s="173"/>
      <c r="CJT209" s="173"/>
      <c r="CJU209" s="173"/>
      <c r="CJV209" s="173"/>
      <c r="CJW209" s="173"/>
      <c r="CJX209" s="173"/>
      <c r="CJY209" s="173"/>
      <c r="CJZ209" s="125"/>
      <c r="CKA209" s="125"/>
      <c r="CKB209" s="134"/>
      <c r="CKC209" s="135"/>
      <c r="CKD209" s="135"/>
      <c r="CKE209" s="135"/>
      <c r="CKF209" s="135"/>
      <c r="CKG209" s="173"/>
      <c r="CKH209" s="173"/>
      <c r="CKI209" s="173"/>
      <c r="CKJ209" s="173"/>
      <c r="CKK209" s="173"/>
      <c r="CKL209" s="173"/>
      <c r="CKM209" s="173"/>
      <c r="CKN209" s="173"/>
      <c r="CKO209" s="173"/>
      <c r="CKP209" s="173"/>
      <c r="CKQ209" s="125"/>
      <c r="CKR209" s="125"/>
      <c r="CKS209" s="134"/>
      <c r="CKT209" s="135"/>
      <c r="CKU209" s="135"/>
      <c r="CKV209" s="135"/>
      <c r="CKW209" s="135"/>
      <c r="CKX209" s="173"/>
      <c r="CKY209" s="173"/>
      <c r="CKZ209" s="173"/>
      <c r="CLA209" s="173"/>
      <c r="CLB209" s="173"/>
      <c r="CLC209" s="173"/>
      <c r="CLD209" s="173"/>
      <c r="CLE209" s="173"/>
      <c r="CLF209" s="173"/>
      <c r="CLG209" s="173"/>
      <c r="CLH209" s="125"/>
      <c r="CLI209" s="125"/>
      <c r="CLJ209" s="134"/>
      <c r="CLK209" s="135"/>
      <c r="CLL209" s="135"/>
      <c r="CLM209" s="135"/>
      <c r="CLN209" s="135"/>
      <c r="CLO209" s="173"/>
      <c r="CLP209" s="173"/>
      <c r="CLQ209" s="173"/>
      <c r="CLR209" s="173"/>
      <c r="CLS209" s="173"/>
      <c r="CLT209" s="173"/>
      <c r="CLU209" s="173"/>
      <c r="CLV209" s="173"/>
      <c r="CLW209" s="173"/>
      <c r="CLX209" s="173"/>
      <c r="CLY209" s="125"/>
      <c r="CLZ209" s="125"/>
      <c r="CMA209" s="134"/>
      <c r="CMB209" s="135"/>
      <c r="CMC209" s="135"/>
      <c r="CMD209" s="135"/>
      <c r="CME209" s="135"/>
      <c r="CMF209" s="173"/>
      <c r="CMG209" s="173"/>
      <c r="CMH209" s="173"/>
      <c r="CMI209" s="173"/>
      <c r="CMJ209" s="173"/>
      <c r="CMK209" s="173"/>
      <c r="CML209" s="173"/>
      <c r="CMM209" s="173"/>
      <c r="CMN209" s="173"/>
      <c r="CMO209" s="173"/>
      <c r="CMP209" s="125"/>
      <c r="CMQ209" s="125"/>
      <c r="CMR209" s="134"/>
      <c r="CMS209" s="135"/>
      <c r="CMT209" s="135"/>
      <c r="CMU209" s="135"/>
      <c r="CMV209" s="135"/>
      <c r="CMW209" s="173"/>
      <c r="CMX209" s="173"/>
      <c r="CMY209" s="173"/>
      <c r="CMZ209" s="173"/>
      <c r="CNA209" s="173"/>
      <c r="CNB209" s="173"/>
      <c r="CNC209" s="173"/>
      <c r="CND209" s="173"/>
      <c r="CNE209" s="173"/>
      <c r="CNF209" s="173"/>
      <c r="CNG209" s="125"/>
      <c r="CNH209" s="125"/>
      <c r="CNI209" s="134"/>
      <c r="CNJ209" s="135"/>
      <c r="CNK209" s="135"/>
      <c r="CNL209" s="135"/>
      <c r="CNM209" s="135"/>
      <c r="CNN209" s="173"/>
      <c r="CNO209" s="173"/>
      <c r="CNP209" s="173"/>
      <c r="CNQ209" s="173"/>
      <c r="CNR209" s="173"/>
      <c r="CNS209" s="173"/>
      <c r="CNT209" s="173"/>
      <c r="CNU209" s="173"/>
      <c r="CNV209" s="173"/>
      <c r="CNW209" s="173"/>
      <c r="CNX209" s="125"/>
      <c r="CNY209" s="125"/>
      <c r="CNZ209" s="134"/>
      <c r="COA209" s="135"/>
      <c r="COB209" s="135"/>
      <c r="COC209" s="135"/>
      <c r="COD209" s="135"/>
      <c r="COE209" s="173"/>
      <c r="COF209" s="173"/>
      <c r="COG209" s="173"/>
      <c r="COH209" s="173"/>
      <c r="COI209" s="173"/>
      <c r="COJ209" s="173"/>
      <c r="COK209" s="173"/>
      <c r="COL209" s="173"/>
      <c r="COM209" s="173"/>
      <c r="CON209" s="173"/>
      <c r="COO209" s="125"/>
      <c r="COP209" s="125"/>
      <c r="COQ209" s="134"/>
      <c r="COR209" s="135"/>
      <c r="COS209" s="135"/>
      <c r="COT209" s="135"/>
      <c r="COU209" s="135"/>
      <c r="COV209" s="173"/>
      <c r="COW209" s="173"/>
      <c r="COX209" s="173"/>
      <c r="COY209" s="173"/>
      <c r="COZ209" s="173"/>
      <c r="CPA209" s="173"/>
      <c r="CPB209" s="173"/>
      <c r="CPC209" s="173"/>
      <c r="CPD209" s="173"/>
      <c r="CPE209" s="173"/>
      <c r="CPF209" s="125"/>
      <c r="CPG209" s="125"/>
      <c r="CPH209" s="134"/>
      <c r="CPI209" s="135"/>
      <c r="CPJ209" s="135"/>
      <c r="CPK209" s="135"/>
      <c r="CPL209" s="135"/>
      <c r="CPM209" s="173"/>
      <c r="CPN209" s="173"/>
      <c r="CPO209" s="173"/>
      <c r="CPP209" s="173"/>
      <c r="CPQ209" s="173"/>
      <c r="CPR209" s="173"/>
      <c r="CPS209" s="173"/>
      <c r="CPT209" s="173"/>
      <c r="CPU209" s="173"/>
      <c r="CPV209" s="173"/>
      <c r="CPW209" s="125"/>
      <c r="CPX209" s="125"/>
      <c r="CPY209" s="134"/>
      <c r="CPZ209" s="135"/>
      <c r="CQA209" s="135"/>
      <c r="CQB209" s="135"/>
      <c r="CQC209" s="135"/>
      <c r="CQD209" s="173"/>
      <c r="CQE209" s="173"/>
      <c r="CQF209" s="173"/>
      <c r="CQG209" s="173"/>
      <c r="CQH209" s="173"/>
      <c r="CQI209" s="173"/>
      <c r="CQJ209" s="173"/>
      <c r="CQK209" s="173"/>
      <c r="CQL209" s="173"/>
      <c r="CQM209" s="173"/>
      <c r="CQN209" s="125"/>
      <c r="CQO209" s="125"/>
      <c r="CQP209" s="134"/>
      <c r="CQQ209" s="135"/>
      <c r="CQR209" s="135"/>
      <c r="CQS209" s="135"/>
      <c r="CQT209" s="135"/>
      <c r="CQU209" s="173"/>
      <c r="CQV209" s="173"/>
      <c r="CQW209" s="173"/>
      <c r="CQX209" s="173"/>
      <c r="CQY209" s="173"/>
      <c r="CQZ209" s="173"/>
      <c r="CRA209" s="173"/>
      <c r="CRB209" s="173"/>
      <c r="CRC209" s="173"/>
      <c r="CRD209" s="173"/>
      <c r="CRE209" s="125"/>
      <c r="CRF209" s="125"/>
      <c r="CRG209" s="134"/>
      <c r="CRH209" s="135"/>
      <c r="CRI209" s="135"/>
      <c r="CRJ209" s="135"/>
      <c r="CRK209" s="135"/>
      <c r="CRL209" s="173"/>
      <c r="CRM209" s="173"/>
      <c r="CRN209" s="173"/>
      <c r="CRO209" s="173"/>
      <c r="CRP209" s="173"/>
      <c r="CRQ209" s="173"/>
      <c r="CRR209" s="173"/>
      <c r="CRS209" s="173"/>
      <c r="CRT209" s="173"/>
      <c r="CRU209" s="173"/>
      <c r="CRV209" s="125"/>
      <c r="CRW209" s="125"/>
      <c r="CRX209" s="134"/>
      <c r="CRY209" s="135"/>
      <c r="CRZ209" s="135"/>
      <c r="CSA209" s="135"/>
      <c r="CSB209" s="135"/>
      <c r="CSC209" s="173"/>
      <c r="CSD209" s="173"/>
      <c r="CSE209" s="173"/>
      <c r="CSF209" s="173"/>
      <c r="CSG209" s="173"/>
      <c r="CSH209" s="173"/>
      <c r="CSI209" s="173"/>
      <c r="CSJ209" s="173"/>
      <c r="CSK209" s="173"/>
      <c r="CSL209" s="173"/>
      <c r="CSM209" s="125"/>
      <c r="CSN209" s="125"/>
      <c r="CSO209" s="134"/>
      <c r="CSP209" s="135"/>
      <c r="CSQ209" s="135"/>
      <c r="CSR209" s="135"/>
      <c r="CSS209" s="135"/>
      <c r="CST209" s="173"/>
      <c r="CSU209" s="173"/>
      <c r="CSV209" s="173"/>
      <c r="CSW209" s="173"/>
      <c r="CSX209" s="173"/>
      <c r="CSY209" s="173"/>
      <c r="CSZ209" s="173"/>
      <c r="CTA209" s="173"/>
      <c r="CTB209" s="173"/>
      <c r="CTC209" s="173"/>
      <c r="CTD209" s="125"/>
      <c r="CTE209" s="125"/>
      <c r="CTF209" s="134"/>
      <c r="CTG209" s="135"/>
      <c r="CTH209" s="135"/>
      <c r="CTI209" s="135"/>
      <c r="CTJ209" s="135"/>
      <c r="CTK209" s="173"/>
      <c r="CTL209" s="173"/>
      <c r="CTM209" s="173"/>
      <c r="CTN209" s="173"/>
      <c r="CTO209" s="173"/>
      <c r="CTP209" s="173"/>
      <c r="CTQ209" s="173"/>
      <c r="CTR209" s="173"/>
      <c r="CTS209" s="173"/>
      <c r="CTT209" s="173"/>
      <c r="CTU209" s="125"/>
      <c r="CTV209" s="125"/>
      <c r="CTW209" s="134"/>
      <c r="CTX209" s="135"/>
      <c r="CTY209" s="135"/>
      <c r="CTZ209" s="135"/>
      <c r="CUA209" s="135"/>
      <c r="CUB209" s="173"/>
      <c r="CUC209" s="173"/>
      <c r="CUD209" s="173"/>
      <c r="CUE209" s="173"/>
      <c r="CUF209" s="173"/>
      <c r="CUG209" s="173"/>
      <c r="CUH209" s="173"/>
      <c r="CUI209" s="173"/>
      <c r="CUJ209" s="173"/>
      <c r="CUK209" s="173"/>
      <c r="CUL209" s="125"/>
      <c r="CUM209" s="125"/>
      <c r="CUN209" s="134"/>
      <c r="CUO209" s="135"/>
      <c r="CUP209" s="135"/>
      <c r="CUQ209" s="135"/>
      <c r="CUR209" s="135"/>
      <c r="CUS209" s="173"/>
      <c r="CUT209" s="173"/>
      <c r="CUU209" s="173"/>
      <c r="CUV209" s="173"/>
      <c r="CUW209" s="173"/>
      <c r="CUX209" s="173"/>
      <c r="CUY209" s="173"/>
      <c r="CUZ209" s="173"/>
      <c r="CVA209" s="173"/>
      <c r="CVB209" s="173"/>
      <c r="CVC209" s="125"/>
      <c r="CVD209" s="125"/>
      <c r="CVE209" s="134"/>
      <c r="CVF209" s="135"/>
      <c r="CVG209" s="135"/>
      <c r="CVH209" s="135"/>
      <c r="CVI209" s="135"/>
      <c r="CVJ209" s="173"/>
      <c r="CVK209" s="173"/>
      <c r="CVL209" s="173"/>
      <c r="CVM209" s="173"/>
      <c r="CVN209" s="173"/>
      <c r="CVO209" s="173"/>
      <c r="CVP209" s="173"/>
      <c r="CVQ209" s="173"/>
      <c r="CVR209" s="173"/>
      <c r="CVS209" s="173"/>
      <c r="CVT209" s="125"/>
      <c r="CVU209" s="125"/>
      <c r="CVV209" s="134"/>
      <c r="CVW209" s="135"/>
      <c r="CVX209" s="135"/>
      <c r="CVY209" s="135"/>
      <c r="CVZ209" s="135"/>
      <c r="CWA209" s="173"/>
      <c r="CWB209" s="173"/>
      <c r="CWC209" s="173"/>
      <c r="CWD209" s="173"/>
      <c r="CWE209" s="173"/>
      <c r="CWF209" s="173"/>
      <c r="CWG209" s="173"/>
      <c r="CWH209" s="173"/>
      <c r="CWI209" s="173"/>
      <c r="CWJ209" s="173"/>
      <c r="CWK209" s="125"/>
      <c r="CWL209" s="125"/>
      <c r="CWM209" s="134"/>
      <c r="CWN209" s="135"/>
      <c r="CWO209" s="135"/>
      <c r="CWP209" s="135"/>
      <c r="CWQ209" s="135"/>
      <c r="CWR209" s="173"/>
      <c r="CWS209" s="173"/>
      <c r="CWT209" s="173"/>
      <c r="CWU209" s="173"/>
      <c r="CWV209" s="173"/>
      <c r="CWW209" s="173"/>
      <c r="CWX209" s="173"/>
      <c r="CWY209" s="173"/>
      <c r="CWZ209" s="173"/>
      <c r="CXA209" s="173"/>
      <c r="CXB209" s="125"/>
      <c r="CXC209" s="125"/>
      <c r="CXD209" s="134"/>
      <c r="CXE209" s="135"/>
      <c r="CXF209" s="135"/>
      <c r="CXG209" s="135"/>
      <c r="CXH209" s="135"/>
      <c r="CXI209" s="173"/>
      <c r="CXJ209" s="173"/>
      <c r="CXK209" s="173"/>
      <c r="CXL209" s="173"/>
      <c r="CXM209" s="173"/>
      <c r="CXN209" s="173"/>
      <c r="CXO209" s="173"/>
      <c r="CXP209" s="173"/>
      <c r="CXQ209" s="173"/>
      <c r="CXR209" s="173"/>
      <c r="CXS209" s="125"/>
      <c r="CXT209" s="125"/>
      <c r="CXU209" s="134"/>
      <c r="CXV209" s="135"/>
      <c r="CXW209" s="135"/>
      <c r="CXX209" s="135"/>
      <c r="CXY209" s="135"/>
      <c r="CXZ209" s="173"/>
      <c r="CYA209" s="173"/>
      <c r="CYB209" s="173"/>
      <c r="CYC209" s="173"/>
      <c r="CYD209" s="173"/>
      <c r="CYE209" s="173"/>
      <c r="CYF209" s="173"/>
      <c r="CYG209" s="173"/>
      <c r="CYH209" s="173"/>
      <c r="CYI209" s="173"/>
      <c r="CYJ209" s="125"/>
      <c r="CYK209" s="125"/>
      <c r="CYL209" s="134"/>
      <c r="CYM209" s="135"/>
      <c r="CYN209" s="135"/>
      <c r="CYO209" s="135"/>
      <c r="CYP209" s="135"/>
      <c r="CYQ209" s="173"/>
      <c r="CYR209" s="173"/>
      <c r="CYS209" s="173"/>
      <c r="CYT209" s="173"/>
      <c r="CYU209" s="173"/>
      <c r="CYV209" s="173"/>
      <c r="CYW209" s="173"/>
      <c r="CYX209" s="173"/>
      <c r="CYY209" s="173"/>
      <c r="CYZ209" s="173"/>
      <c r="CZA209" s="125"/>
      <c r="CZB209" s="125"/>
      <c r="CZC209" s="134"/>
      <c r="CZD209" s="135"/>
      <c r="CZE209" s="135"/>
      <c r="CZF209" s="135"/>
      <c r="CZG209" s="135"/>
      <c r="CZH209" s="173"/>
      <c r="CZI209" s="173"/>
      <c r="CZJ209" s="173"/>
      <c r="CZK209" s="173"/>
      <c r="CZL209" s="173"/>
      <c r="CZM209" s="173"/>
      <c r="CZN209" s="173"/>
      <c r="CZO209" s="173"/>
      <c r="CZP209" s="173"/>
      <c r="CZQ209" s="173"/>
      <c r="CZR209" s="125"/>
      <c r="CZS209" s="125"/>
      <c r="CZT209" s="134"/>
      <c r="CZU209" s="135"/>
      <c r="CZV209" s="135"/>
      <c r="CZW209" s="135"/>
      <c r="CZX209" s="135"/>
      <c r="CZY209" s="173"/>
      <c r="CZZ209" s="173"/>
      <c r="DAA209" s="173"/>
      <c r="DAB209" s="173"/>
      <c r="DAC209" s="173"/>
      <c r="DAD209" s="173"/>
      <c r="DAE209" s="173"/>
      <c r="DAF209" s="173"/>
      <c r="DAG209" s="173"/>
      <c r="DAH209" s="173"/>
      <c r="DAI209" s="125"/>
      <c r="DAJ209" s="125"/>
      <c r="DAK209" s="134"/>
      <c r="DAL209" s="135"/>
      <c r="DAM209" s="135"/>
      <c r="DAN209" s="135"/>
      <c r="DAO209" s="135"/>
      <c r="DAP209" s="173"/>
      <c r="DAQ209" s="173"/>
      <c r="DAR209" s="173"/>
      <c r="DAS209" s="173"/>
      <c r="DAT209" s="173"/>
      <c r="DAU209" s="173"/>
      <c r="DAV209" s="173"/>
      <c r="DAW209" s="173"/>
      <c r="DAX209" s="173"/>
      <c r="DAY209" s="173"/>
      <c r="DAZ209" s="125"/>
      <c r="DBA209" s="125"/>
      <c r="DBB209" s="134"/>
      <c r="DBC209" s="135"/>
      <c r="DBD209" s="135"/>
      <c r="DBE209" s="135"/>
      <c r="DBF209" s="135"/>
      <c r="DBG209" s="173"/>
      <c r="DBH209" s="173"/>
      <c r="DBI209" s="173"/>
      <c r="DBJ209" s="173"/>
      <c r="DBK209" s="173"/>
      <c r="DBL209" s="173"/>
      <c r="DBM209" s="173"/>
      <c r="DBN209" s="173"/>
      <c r="DBO209" s="173"/>
      <c r="DBP209" s="173"/>
      <c r="DBQ209" s="125"/>
      <c r="DBR209" s="125"/>
      <c r="DBS209" s="134"/>
      <c r="DBT209" s="135"/>
      <c r="DBU209" s="135"/>
      <c r="DBV209" s="135"/>
      <c r="DBW209" s="135"/>
      <c r="DBX209" s="173"/>
      <c r="DBY209" s="173"/>
      <c r="DBZ209" s="173"/>
      <c r="DCA209" s="173"/>
      <c r="DCB209" s="173"/>
      <c r="DCC209" s="173"/>
      <c r="DCD209" s="173"/>
      <c r="DCE209" s="173"/>
      <c r="DCF209" s="173"/>
      <c r="DCG209" s="173"/>
      <c r="DCH209" s="125"/>
      <c r="DCI209" s="125"/>
      <c r="DCJ209" s="134"/>
      <c r="DCK209" s="135"/>
      <c r="DCL209" s="135"/>
      <c r="DCM209" s="135"/>
      <c r="DCN209" s="135"/>
      <c r="DCO209" s="173"/>
      <c r="DCP209" s="173"/>
      <c r="DCQ209" s="173"/>
      <c r="DCR209" s="173"/>
      <c r="DCS209" s="173"/>
      <c r="DCT209" s="173"/>
      <c r="DCU209" s="173"/>
      <c r="DCV209" s="173"/>
      <c r="DCW209" s="173"/>
      <c r="DCX209" s="173"/>
      <c r="DCY209" s="125"/>
      <c r="DCZ209" s="125"/>
      <c r="DDA209" s="134"/>
      <c r="DDB209" s="135"/>
      <c r="DDC209" s="135"/>
      <c r="DDD209" s="135"/>
      <c r="DDE209" s="135"/>
      <c r="DDF209" s="173"/>
      <c r="DDG209" s="173"/>
      <c r="DDH209" s="173"/>
      <c r="DDI209" s="173"/>
      <c r="DDJ209" s="173"/>
      <c r="DDK209" s="173"/>
      <c r="DDL209" s="173"/>
      <c r="DDM209" s="173"/>
      <c r="DDN209" s="173"/>
      <c r="DDO209" s="173"/>
      <c r="DDP209" s="125"/>
      <c r="DDQ209" s="125"/>
      <c r="DDR209" s="134"/>
      <c r="DDS209" s="135"/>
      <c r="DDT209" s="135"/>
      <c r="DDU209" s="135"/>
      <c r="DDV209" s="135"/>
      <c r="DDW209" s="173"/>
      <c r="DDX209" s="173"/>
      <c r="DDY209" s="173"/>
      <c r="DDZ209" s="173"/>
      <c r="DEA209" s="173"/>
      <c r="DEB209" s="173"/>
      <c r="DEC209" s="173"/>
      <c r="DED209" s="173"/>
      <c r="DEE209" s="173"/>
      <c r="DEF209" s="173"/>
      <c r="DEG209" s="125"/>
      <c r="DEH209" s="125"/>
      <c r="DEI209" s="134"/>
      <c r="DEJ209" s="135"/>
      <c r="DEK209" s="135"/>
      <c r="DEL209" s="135"/>
      <c r="DEM209" s="135"/>
      <c r="DEN209" s="173"/>
      <c r="DEO209" s="173"/>
      <c r="DEP209" s="173"/>
      <c r="DEQ209" s="173"/>
      <c r="DER209" s="173"/>
      <c r="DES209" s="173"/>
      <c r="DET209" s="173"/>
      <c r="DEU209" s="173"/>
      <c r="DEV209" s="173"/>
      <c r="DEW209" s="173"/>
      <c r="DEX209" s="125"/>
      <c r="DEY209" s="125"/>
      <c r="DEZ209" s="134"/>
      <c r="DFA209" s="135"/>
      <c r="DFB209" s="135"/>
      <c r="DFC209" s="135"/>
      <c r="DFD209" s="135"/>
      <c r="DFE209" s="173"/>
      <c r="DFF209" s="173"/>
      <c r="DFG209" s="173"/>
      <c r="DFH209" s="173"/>
      <c r="DFI209" s="173"/>
      <c r="DFJ209" s="173"/>
      <c r="DFK209" s="173"/>
      <c r="DFL209" s="173"/>
      <c r="DFM209" s="173"/>
      <c r="DFN209" s="173"/>
      <c r="DFO209" s="125"/>
      <c r="DFP209" s="125"/>
      <c r="DFQ209" s="134"/>
      <c r="DFR209" s="135"/>
      <c r="DFS209" s="135"/>
      <c r="DFT209" s="135"/>
      <c r="DFU209" s="135"/>
      <c r="DFV209" s="173"/>
      <c r="DFW209" s="173"/>
      <c r="DFX209" s="173"/>
      <c r="DFY209" s="173"/>
      <c r="DFZ209" s="173"/>
      <c r="DGA209" s="173"/>
      <c r="DGB209" s="173"/>
      <c r="DGC209" s="173"/>
      <c r="DGD209" s="173"/>
      <c r="DGE209" s="173"/>
      <c r="DGF209" s="125"/>
      <c r="DGG209" s="125"/>
      <c r="DGH209" s="134"/>
      <c r="DGI209" s="135"/>
      <c r="DGJ209" s="135"/>
      <c r="DGK209" s="135"/>
      <c r="DGL209" s="135"/>
      <c r="DGM209" s="173"/>
      <c r="DGN209" s="173"/>
      <c r="DGO209" s="173"/>
      <c r="DGP209" s="173"/>
      <c r="DGQ209" s="173"/>
      <c r="DGR209" s="173"/>
      <c r="DGS209" s="173"/>
      <c r="DGT209" s="173"/>
      <c r="DGU209" s="173"/>
      <c r="DGV209" s="173"/>
      <c r="DGW209" s="125"/>
      <c r="DGX209" s="125"/>
      <c r="DGY209" s="134"/>
      <c r="DGZ209" s="135"/>
      <c r="DHA209" s="135"/>
      <c r="DHB209" s="135"/>
      <c r="DHC209" s="135"/>
      <c r="DHD209" s="173"/>
      <c r="DHE209" s="173"/>
      <c r="DHF209" s="173"/>
      <c r="DHG209" s="173"/>
      <c r="DHH209" s="173"/>
      <c r="DHI209" s="173"/>
      <c r="DHJ209" s="173"/>
      <c r="DHK209" s="173"/>
      <c r="DHL209" s="173"/>
      <c r="DHM209" s="173"/>
      <c r="DHN209" s="125"/>
      <c r="DHO209" s="125"/>
      <c r="DHP209" s="134"/>
      <c r="DHQ209" s="135"/>
      <c r="DHR209" s="135"/>
      <c r="DHS209" s="135"/>
      <c r="DHT209" s="135"/>
      <c r="DHU209" s="173"/>
      <c r="DHV209" s="173"/>
      <c r="DHW209" s="173"/>
      <c r="DHX209" s="173"/>
      <c r="DHY209" s="173"/>
      <c r="DHZ209" s="173"/>
      <c r="DIA209" s="173"/>
      <c r="DIB209" s="173"/>
      <c r="DIC209" s="173"/>
      <c r="DID209" s="173"/>
      <c r="DIE209" s="125"/>
      <c r="DIF209" s="125"/>
      <c r="DIG209" s="134"/>
      <c r="DIH209" s="135"/>
      <c r="DII209" s="135"/>
      <c r="DIJ209" s="135"/>
      <c r="DIK209" s="135"/>
      <c r="DIL209" s="173"/>
      <c r="DIM209" s="173"/>
      <c r="DIN209" s="173"/>
      <c r="DIO209" s="173"/>
      <c r="DIP209" s="173"/>
      <c r="DIQ209" s="173"/>
      <c r="DIR209" s="173"/>
      <c r="DIS209" s="173"/>
      <c r="DIT209" s="173"/>
      <c r="DIU209" s="173"/>
      <c r="DIV209" s="125"/>
      <c r="DIW209" s="125"/>
      <c r="DIX209" s="134"/>
      <c r="DIY209" s="135"/>
      <c r="DIZ209" s="135"/>
      <c r="DJA209" s="135"/>
      <c r="DJB209" s="135"/>
      <c r="DJC209" s="173"/>
      <c r="DJD209" s="173"/>
      <c r="DJE209" s="173"/>
      <c r="DJF209" s="173"/>
      <c r="DJG209" s="173"/>
      <c r="DJH209" s="173"/>
      <c r="DJI209" s="173"/>
      <c r="DJJ209" s="173"/>
      <c r="DJK209" s="173"/>
      <c r="DJL209" s="173"/>
      <c r="DJM209" s="125"/>
      <c r="DJN209" s="125"/>
      <c r="DJO209" s="134"/>
      <c r="DJP209" s="135"/>
      <c r="DJQ209" s="135"/>
      <c r="DJR209" s="135"/>
      <c r="DJS209" s="135"/>
      <c r="DJT209" s="173"/>
      <c r="DJU209" s="173"/>
      <c r="DJV209" s="173"/>
      <c r="DJW209" s="173"/>
      <c r="DJX209" s="173"/>
      <c r="DJY209" s="173"/>
      <c r="DJZ209" s="173"/>
      <c r="DKA209" s="173"/>
      <c r="DKB209" s="173"/>
      <c r="DKC209" s="173"/>
      <c r="DKD209" s="125"/>
      <c r="DKE209" s="125"/>
      <c r="DKF209" s="134"/>
      <c r="DKG209" s="135"/>
      <c r="DKH209" s="135"/>
      <c r="DKI209" s="135"/>
      <c r="DKJ209" s="135"/>
      <c r="DKK209" s="173"/>
      <c r="DKL209" s="173"/>
      <c r="DKM209" s="173"/>
      <c r="DKN209" s="173"/>
      <c r="DKO209" s="173"/>
      <c r="DKP209" s="173"/>
      <c r="DKQ209" s="173"/>
      <c r="DKR209" s="173"/>
      <c r="DKS209" s="173"/>
      <c r="DKT209" s="173"/>
      <c r="DKU209" s="125"/>
      <c r="DKV209" s="125"/>
      <c r="DKW209" s="134"/>
      <c r="DKX209" s="135"/>
      <c r="DKY209" s="135"/>
      <c r="DKZ209" s="135"/>
      <c r="DLA209" s="135"/>
      <c r="DLB209" s="173"/>
      <c r="DLC209" s="173"/>
      <c r="DLD209" s="173"/>
      <c r="DLE209" s="173"/>
      <c r="DLF209" s="173"/>
      <c r="DLG209" s="173"/>
      <c r="DLH209" s="173"/>
      <c r="DLI209" s="173"/>
      <c r="DLJ209" s="173"/>
      <c r="DLK209" s="173"/>
      <c r="DLL209" s="125"/>
      <c r="DLM209" s="125"/>
      <c r="DLN209" s="134"/>
      <c r="DLO209" s="135"/>
      <c r="DLP209" s="135"/>
      <c r="DLQ209" s="135"/>
      <c r="DLR209" s="135"/>
      <c r="DLS209" s="173"/>
      <c r="DLT209" s="173"/>
      <c r="DLU209" s="173"/>
      <c r="DLV209" s="173"/>
      <c r="DLW209" s="173"/>
      <c r="DLX209" s="173"/>
      <c r="DLY209" s="173"/>
      <c r="DLZ209" s="173"/>
      <c r="DMA209" s="173"/>
      <c r="DMB209" s="173"/>
      <c r="DMC209" s="125"/>
      <c r="DMD209" s="125"/>
      <c r="DME209" s="134"/>
      <c r="DMF209" s="135"/>
      <c r="DMG209" s="135"/>
      <c r="DMH209" s="135"/>
      <c r="DMI209" s="135"/>
      <c r="DMJ209" s="173"/>
      <c r="DMK209" s="173"/>
      <c r="DML209" s="173"/>
      <c r="DMM209" s="173"/>
      <c r="DMN209" s="173"/>
      <c r="DMO209" s="173"/>
      <c r="DMP209" s="173"/>
      <c r="DMQ209" s="173"/>
      <c r="DMR209" s="173"/>
      <c r="DMS209" s="173"/>
      <c r="DMT209" s="125"/>
      <c r="DMU209" s="125"/>
      <c r="DMV209" s="134"/>
      <c r="DMW209" s="135"/>
      <c r="DMX209" s="135"/>
      <c r="DMY209" s="135"/>
      <c r="DMZ209" s="135"/>
      <c r="DNA209" s="173"/>
      <c r="DNB209" s="173"/>
      <c r="DNC209" s="173"/>
      <c r="DND209" s="173"/>
      <c r="DNE209" s="173"/>
      <c r="DNF209" s="173"/>
      <c r="DNG209" s="173"/>
      <c r="DNH209" s="173"/>
      <c r="DNI209" s="173"/>
      <c r="DNJ209" s="173"/>
      <c r="DNK209" s="125"/>
      <c r="DNL209" s="125"/>
      <c r="DNM209" s="134"/>
      <c r="DNN209" s="135"/>
      <c r="DNO209" s="135"/>
      <c r="DNP209" s="135"/>
      <c r="DNQ209" s="135"/>
      <c r="DNR209" s="173"/>
      <c r="DNS209" s="173"/>
      <c r="DNT209" s="173"/>
      <c r="DNU209" s="173"/>
      <c r="DNV209" s="173"/>
      <c r="DNW209" s="173"/>
      <c r="DNX209" s="173"/>
      <c r="DNY209" s="173"/>
      <c r="DNZ209" s="173"/>
      <c r="DOA209" s="173"/>
      <c r="DOB209" s="125"/>
      <c r="DOC209" s="125"/>
      <c r="DOD209" s="134"/>
      <c r="DOE209" s="135"/>
      <c r="DOF209" s="135"/>
      <c r="DOG209" s="135"/>
      <c r="DOH209" s="135"/>
      <c r="DOI209" s="173"/>
      <c r="DOJ209" s="173"/>
      <c r="DOK209" s="173"/>
      <c r="DOL209" s="173"/>
      <c r="DOM209" s="173"/>
      <c r="DON209" s="173"/>
      <c r="DOO209" s="173"/>
      <c r="DOP209" s="173"/>
      <c r="DOQ209" s="173"/>
      <c r="DOR209" s="173"/>
      <c r="DOS209" s="125"/>
      <c r="DOT209" s="125"/>
      <c r="DOU209" s="134"/>
      <c r="DOV209" s="135"/>
      <c r="DOW209" s="135"/>
      <c r="DOX209" s="135"/>
      <c r="DOY209" s="135"/>
      <c r="DOZ209" s="173"/>
      <c r="DPA209" s="173"/>
      <c r="DPB209" s="173"/>
      <c r="DPC209" s="173"/>
      <c r="DPD209" s="173"/>
      <c r="DPE209" s="173"/>
      <c r="DPF209" s="173"/>
      <c r="DPG209" s="173"/>
      <c r="DPH209" s="173"/>
      <c r="DPI209" s="173"/>
      <c r="DPJ209" s="125"/>
      <c r="DPK209" s="125"/>
      <c r="DPL209" s="134"/>
      <c r="DPM209" s="135"/>
      <c r="DPN209" s="135"/>
      <c r="DPO209" s="135"/>
      <c r="DPP209" s="135"/>
      <c r="DPQ209" s="173"/>
      <c r="DPR209" s="173"/>
      <c r="DPS209" s="173"/>
      <c r="DPT209" s="173"/>
      <c r="DPU209" s="173"/>
      <c r="DPV209" s="173"/>
      <c r="DPW209" s="173"/>
      <c r="DPX209" s="173"/>
      <c r="DPY209" s="173"/>
      <c r="DPZ209" s="173"/>
      <c r="DQA209" s="125"/>
      <c r="DQB209" s="125"/>
      <c r="DQC209" s="134"/>
      <c r="DQD209" s="135"/>
      <c r="DQE209" s="135"/>
      <c r="DQF209" s="135"/>
      <c r="DQG209" s="135"/>
      <c r="DQH209" s="173"/>
      <c r="DQI209" s="173"/>
      <c r="DQJ209" s="173"/>
      <c r="DQK209" s="173"/>
      <c r="DQL209" s="173"/>
      <c r="DQM209" s="173"/>
      <c r="DQN209" s="173"/>
      <c r="DQO209" s="173"/>
      <c r="DQP209" s="173"/>
      <c r="DQQ209" s="173"/>
      <c r="DQR209" s="125"/>
      <c r="DQS209" s="125"/>
      <c r="DQT209" s="134"/>
      <c r="DQU209" s="135"/>
      <c r="DQV209" s="135"/>
      <c r="DQW209" s="135"/>
      <c r="DQX209" s="135"/>
      <c r="DQY209" s="173"/>
      <c r="DQZ209" s="173"/>
      <c r="DRA209" s="173"/>
      <c r="DRB209" s="173"/>
      <c r="DRC209" s="173"/>
      <c r="DRD209" s="173"/>
      <c r="DRE209" s="173"/>
      <c r="DRF209" s="173"/>
      <c r="DRG209" s="173"/>
      <c r="DRH209" s="173"/>
      <c r="DRI209" s="125"/>
      <c r="DRJ209" s="125"/>
      <c r="DRK209" s="134"/>
      <c r="DRL209" s="135"/>
      <c r="DRM209" s="135"/>
      <c r="DRN209" s="135"/>
      <c r="DRO209" s="135"/>
      <c r="DRP209" s="173"/>
      <c r="DRQ209" s="173"/>
      <c r="DRR209" s="173"/>
      <c r="DRS209" s="173"/>
      <c r="DRT209" s="173"/>
      <c r="DRU209" s="173"/>
      <c r="DRV209" s="173"/>
      <c r="DRW209" s="173"/>
      <c r="DRX209" s="173"/>
      <c r="DRY209" s="173"/>
      <c r="DRZ209" s="125"/>
      <c r="DSA209" s="125"/>
      <c r="DSB209" s="134"/>
      <c r="DSC209" s="135"/>
      <c r="DSD209" s="135"/>
      <c r="DSE209" s="135"/>
      <c r="DSF209" s="135"/>
      <c r="DSG209" s="173"/>
      <c r="DSH209" s="173"/>
      <c r="DSI209" s="173"/>
      <c r="DSJ209" s="173"/>
      <c r="DSK209" s="173"/>
      <c r="DSL209" s="173"/>
      <c r="DSM209" s="173"/>
      <c r="DSN209" s="173"/>
      <c r="DSO209" s="173"/>
      <c r="DSP209" s="173"/>
      <c r="DSQ209" s="125"/>
      <c r="DSR209" s="125"/>
      <c r="DSS209" s="134"/>
      <c r="DST209" s="135"/>
      <c r="DSU209" s="135"/>
      <c r="DSV209" s="135"/>
      <c r="DSW209" s="135"/>
      <c r="DSX209" s="173"/>
      <c r="DSY209" s="173"/>
      <c r="DSZ209" s="173"/>
      <c r="DTA209" s="173"/>
      <c r="DTB209" s="173"/>
      <c r="DTC209" s="173"/>
      <c r="DTD209" s="173"/>
      <c r="DTE209" s="173"/>
      <c r="DTF209" s="173"/>
      <c r="DTG209" s="173"/>
      <c r="DTH209" s="125"/>
      <c r="DTI209" s="125"/>
      <c r="DTJ209" s="134"/>
      <c r="DTK209" s="135"/>
      <c r="DTL209" s="135"/>
      <c r="DTM209" s="135"/>
      <c r="DTN209" s="135"/>
      <c r="DTO209" s="173"/>
      <c r="DTP209" s="173"/>
      <c r="DTQ209" s="173"/>
      <c r="DTR209" s="173"/>
      <c r="DTS209" s="173"/>
      <c r="DTT209" s="173"/>
      <c r="DTU209" s="173"/>
      <c r="DTV209" s="173"/>
      <c r="DTW209" s="173"/>
      <c r="DTX209" s="173"/>
      <c r="DTY209" s="125"/>
      <c r="DTZ209" s="125"/>
      <c r="DUA209" s="134"/>
      <c r="DUB209" s="135"/>
      <c r="DUC209" s="135"/>
      <c r="DUD209" s="135"/>
      <c r="DUE209" s="135"/>
      <c r="DUF209" s="173"/>
      <c r="DUG209" s="173"/>
      <c r="DUH209" s="173"/>
      <c r="DUI209" s="173"/>
      <c r="DUJ209" s="173"/>
      <c r="DUK209" s="173"/>
      <c r="DUL209" s="173"/>
      <c r="DUM209" s="173"/>
      <c r="DUN209" s="173"/>
      <c r="DUO209" s="173"/>
      <c r="DUP209" s="125"/>
      <c r="DUQ209" s="125"/>
      <c r="DUR209" s="134"/>
      <c r="DUS209" s="135"/>
      <c r="DUT209" s="135"/>
      <c r="DUU209" s="135"/>
      <c r="DUV209" s="135"/>
      <c r="DUW209" s="173"/>
      <c r="DUX209" s="173"/>
      <c r="DUY209" s="173"/>
      <c r="DUZ209" s="173"/>
      <c r="DVA209" s="173"/>
      <c r="DVB209" s="173"/>
      <c r="DVC209" s="173"/>
      <c r="DVD209" s="173"/>
      <c r="DVE209" s="173"/>
      <c r="DVF209" s="173"/>
      <c r="DVG209" s="125"/>
      <c r="DVH209" s="125"/>
      <c r="DVI209" s="134"/>
      <c r="DVJ209" s="135"/>
      <c r="DVK209" s="135"/>
      <c r="DVL209" s="135"/>
      <c r="DVM209" s="135"/>
      <c r="DVN209" s="173"/>
      <c r="DVO209" s="173"/>
      <c r="DVP209" s="173"/>
      <c r="DVQ209" s="173"/>
      <c r="DVR209" s="173"/>
      <c r="DVS209" s="173"/>
      <c r="DVT209" s="173"/>
      <c r="DVU209" s="173"/>
      <c r="DVV209" s="173"/>
      <c r="DVW209" s="173"/>
      <c r="DVX209" s="125"/>
      <c r="DVY209" s="125"/>
      <c r="DVZ209" s="134"/>
      <c r="DWA209" s="135"/>
      <c r="DWB209" s="135"/>
      <c r="DWC209" s="135"/>
      <c r="DWD209" s="135"/>
      <c r="DWE209" s="173"/>
      <c r="DWF209" s="173"/>
      <c r="DWG209" s="173"/>
      <c r="DWH209" s="173"/>
      <c r="DWI209" s="173"/>
      <c r="DWJ209" s="173"/>
      <c r="DWK209" s="173"/>
      <c r="DWL209" s="173"/>
      <c r="DWM209" s="173"/>
      <c r="DWN209" s="173"/>
      <c r="DWO209" s="125"/>
      <c r="DWP209" s="125"/>
      <c r="DWQ209" s="134"/>
      <c r="DWR209" s="135"/>
      <c r="DWS209" s="135"/>
      <c r="DWT209" s="135"/>
      <c r="DWU209" s="135"/>
      <c r="DWV209" s="173"/>
      <c r="DWW209" s="173"/>
      <c r="DWX209" s="173"/>
      <c r="DWY209" s="173"/>
      <c r="DWZ209" s="173"/>
      <c r="DXA209" s="173"/>
      <c r="DXB209" s="173"/>
      <c r="DXC209" s="173"/>
      <c r="DXD209" s="173"/>
      <c r="DXE209" s="173"/>
      <c r="DXF209" s="125"/>
      <c r="DXG209" s="125"/>
      <c r="DXH209" s="134"/>
      <c r="DXI209" s="135"/>
      <c r="DXJ209" s="135"/>
      <c r="DXK209" s="135"/>
      <c r="DXL209" s="135"/>
      <c r="DXM209" s="173"/>
      <c r="DXN209" s="173"/>
      <c r="DXO209" s="173"/>
      <c r="DXP209" s="173"/>
      <c r="DXQ209" s="173"/>
      <c r="DXR209" s="173"/>
      <c r="DXS209" s="173"/>
      <c r="DXT209" s="173"/>
      <c r="DXU209" s="173"/>
      <c r="DXV209" s="173"/>
      <c r="DXW209" s="125"/>
      <c r="DXX209" s="125"/>
      <c r="DXY209" s="134"/>
      <c r="DXZ209" s="135"/>
      <c r="DYA209" s="135"/>
      <c r="DYB209" s="135"/>
      <c r="DYC209" s="135"/>
      <c r="DYD209" s="173"/>
      <c r="DYE209" s="173"/>
      <c r="DYF209" s="173"/>
      <c r="DYG209" s="173"/>
      <c r="DYH209" s="173"/>
      <c r="DYI209" s="173"/>
      <c r="DYJ209" s="173"/>
      <c r="DYK209" s="173"/>
      <c r="DYL209" s="173"/>
      <c r="DYM209" s="173"/>
      <c r="DYN209" s="125"/>
      <c r="DYO209" s="125"/>
      <c r="DYP209" s="134"/>
      <c r="DYQ209" s="135"/>
      <c r="DYR209" s="135"/>
      <c r="DYS209" s="135"/>
      <c r="DYT209" s="135"/>
      <c r="DYU209" s="173"/>
      <c r="DYV209" s="173"/>
      <c r="DYW209" s="173"/>
      <c r="DYX209" s="173"/>
      <c r="DYY209" s="173"/>
      <c r="DYZ209" s="173"/>
      <c r="DZA209" s="173"/>
      <c r="DZB209" s="173"/>
      <c r="DZC209" s="173"/>
      <c r="DZD209" s="173"/>
      <c r="DZE209" s="125"/>
      <c r="DZF209" s="125"/>
      <c r="DZG209" s="134"/>
      <c r="DZH209" s="135"/>
      <c r="DZI209" s="135"/>
      <c r="DZJ209" s="135"/>
      <c r="DZK209" s="135"/>
      <c r="DZL209" s="173"/>
      <c r="DZM209" s="173"/>
      <c r="DZN209" s="173"/>
      <c r="DZO209" s="173"/>
      <c r="DZP209" s="173"/>
      <c r="DZQ209" s="173"/>
      <c r="DZR209" s="173"/>
      <c r="DZS209" s="173"/>
      <c r="DZT209" s="173"/>
      <c r="DZU209" s="173"/>
      <c r="DZV209" s="125"/>
      <c r="DZW209" s="125"/>
      <c r="DZX209" s="134"/>
      <c r="DZY209" s="135"/>
      <c r="DZZ209" s="135"/>
      <c r="EAA209" s="135"/>
      <c r="EAB209" s="135"/>
      <c r="EAC209" s="173"/>
      <c r="EAD209" s="173"/>
      <c r="EAE209" s="173"/>
      <c r="EAF209" s="173"/>
      <c r="EAG209" s="173"/>
      <c r="EAH209" s="173"/>
      <c r="EAI209" s="173"/>
      <c r="EAJ209" s="173"/>
      <c r="EAK209" s="173"/>
      <c r="EAL209" s="173"/>
      <c r="EAM209" s="125"/>
      <c r="EAN209" s="125"/>
      <c r="EAO209" s="134"/>
      <c r="EAP209" s="135"/>
      <c r="EAQ209" s="135"/>
      <c r="EAR209" s="135"/>
      <c r="EAS209" s="135"/>
      <c r="EAT209" s="173"/>
      <c r="EAU209" s="173"/>
      <c r="EAV209" s="173"/>
      <c r="EAW209" s="173"/>
      <c r="EAX209" s="173"/>
      <c r="EAY209" s="173"/>
      <c r="EAZ209" s="173"/>
      <c r="EBA209" s="173"/>
      <c r="EBB209" s="173"/>
      <c r="EBC209" s="173"/>
      <c r="EBD209" s="125"/>
      <c r="EBE209" s="125"/>
      <c r="EBF209" s="134"/>
      <c r="EBG209" s="135"/>
      <c r="EBH209" s="135"/>
      <c r="EBI209" s="135"/>
      <c r="EBJ209" s="135"/>
      <c r="EBK209" s="173"/>
      <c r="EBL209" s="173"/>
      <c r="EBM209" s="173"/>
      <c r="EBN209" s="173"/>
      <c r="EBO209" s="173"/>
      <c r="EBP209" s="173"/>
      <c r="EBQ209" s="173"/>
      <c r="EBR209" s="173"/>
      <c r="EBS209" s="173"/>
      <c r="EBT209" s="173"/>
      <c r="EBU209" s="125"/>
      <c r="EBV209" s="125"/>
      <c r="EBW209" s="134"/>
      <c r="EBX209" s="135"/>
      <c r="EBY209" s="135"/>
      <c r="EBZ209" s="135"/>
      <c r="ECA209" s="135"/>
      <c r="ECB209" s="173"/>
      <c r="ECC209" s="173"/>
      <c r="ECD209" s="173"/>
      <c r="ECE209" s="173"/>
      <c r="ECF209" s="173"/>
      <c r="ECG209" s="173"/>
      <c r="ECH209" s="173"/>
      <c r="ECI209" s="173"/>
      <c r="ECJ209" s="173"/>
      <c r="ECK209" s="173"/>
      <c r="ECL209" s="125"/>
      <c r="ECM209" s="125"/>
      <c r="ECN209" s="134"/>
      <c r="ECO209" s="135"/>
      <c r="ECP209" s="135"/>
      <c r="ECQ209" s="135"/>
      <c r="ECR209" s="135"/>
      <c r="ECS209" s="173"/>
      <c r="ECT209" s="173"/>
      <c r="ECU209" s="173"/>
      <c r="ECV209" s="173"/>
      <c r="ECW209" s="173"/>
      <c r="ECX209" s="173"/>
      <c r="ECY209" s="173"/>
      <c r="ECZ209" s="173"/>
      <c r="EDA209" s="173"/>
      <c r="EDB209" s="173"/>
      <c r="EDC209" s="125"/>
      <c r="EDD209" s="125"/>
      <c r="EDE209" s="134"/>
      <c r="EDF209" s="135"/>
      <c r="EDG209" s="135"/>
      <c r="EDH209" s="135"/>
      <c r="EDI209" s="135"/>
      <c r="EDJ209" s="173"/>
      <c r="EDK209" s="173"/>
      <c r="EDL209" s="173"/>
      <c r="EDM209" s="173"/>
      <c r="EDN209" s="173"/>
      <c r="EDO209" s="173"/>
      <c r="EDP209" s="173"/>
      <c r="EDQ209" s="173"/>
      <c r="EDR209" s="173"/>
      <c r="EDS209" s="173"/>
      <c r="EDT209" s="125"/>
      <c r="EDU209" s="125"/>
      <c r="EDV209" s="134"/>
      <c r="EDW209" s="135"/>
      <c r="EDX209" s="135"/>
      <c r="EDY209" s="135"/>
      <c r="EDZ209" s="135"/>
      <c r="EEA209" s="173"/>
      <c r="EEB209" s="173"/>
      <c r="EEC209" s="173"/>
      <c r="EED209" s="173"/>
      <c r="EEE209" s="173"/>
      <c r="EEF209" s="173"/>
      <c r="EEG209" s="173"/>
      <c r="EEH209" s="173"/>
      <c r="EEI209" s="173"/>
      <c r="EEJ209" s="173"/>
      <c r="EEK209" s="125"/>
      <c r="EEL209" s="125"/>
      <c r="EEM209" s="134"/>
      <c r="EEN209" s="135"/>
      <c r="EEO209" s="135"/>
      <c r="EEP209" s="135"/>
      <c r="EEQ209" s="135"/>
      <c r="EER209" s="173"/>
      <c r="EES209" s="173"/>
      <c r="EET209" s="173"/>
      <c r="EEU209" s="173"/>
      <c r="EEV209" s="173"/>
      <c r="EEW209" s="173"/>
      <c r="EEX209" s="173"/>
      <c r="EEY209" s="173"/>
      <c r="EEZ209" s="173"/>
      <c r="EFA209" s="173"/>
      <c r="EFB209" s="125"/>
      <c r="EFC209" s="125"/>
      <c r="EFD209" s="134"/>
      <c r="EFE209" s="135"/>
      <c r="EFF209" s="135"/>
      <c r="EFG209" s="135"/>
      <c r="EFH209" s="135"/>
      <c r="EFI209" s="173"/>
      <c r="EFJ209" s="173"/>
      <c r="EFK209" s="173"/>
      <c r="EFL209" s="173"/>
      <c r="EFM209" s="173"/>
      <c r="EFN209" s="173"/>
      <c r="EFO209" s="173"/>
      <c r="EFP209" s="173"/>
      <c r="EFQ209" s="173"/>
      <c r="EFR209" s="173"/>
      <c r="EFS209" s="125"/>
      <c r="EFT209" s="125"/>
      <c r="EFU209" s="134"/>
      <c r="EFV209" s="135"/>
      <c r="EFW209" s="135"/>
      <c r="EFX209" s="135"/>
      <c r="EFY209" s="135"/>
      <c r="EFZ209" s="173"/>
      <c r="EGA209" s="173"/>
      <c r="EGB209" s="173"/>
      <c r="EGC209" s="173"/>
      <c r="EGD209" s="173"/>
      <c r="EGE209" s="173"/>
      <c r="EGF209" s="173"/>
      <c r="EGG209" s="173"/>
      <c r="EGH209" s="173"/>
      <c r="EGI209" s="173"/>
      <c r="EGJ209" s="125"/>
      <c r="EGK209" s="125"/>
      <c r="EGL209" s="134"/>
      <c r="EGM209" s="135"/>
      <c r="EGN209" s="135"/>
      <c r="EGO209" s="135"/>
      <c r="EGP209" s="135"/>
      <c r="EGQ209" s="173"/>
      <c r="EGR209" s="173"/>
      <c r="EGS209" s="173"/>
      <c r="EGT209" s="173"/>
      <c r="EGU209" s="173"/>
      <c r="EGV209" s="173"/>
      <c r="EGW209" s="173"/>
      <c r="EGX209" s="173"/>
      <c r="EGY209" s="173"/>
      <c r="EGZ209" s="173"/>
      <c r="EHA209" s="125"/>
      <c r="EHB209" s="125"/>
      <c r="EHC209" s="134"/>
      <c r="EHD209" s="135"/>
      <c r="EHE209" s="135"/>
      <c r="EHF209" s="135"/>
      <c r="EHG209" s="135"/>
      <c r="EHH209" s="173"/>
      <c r="EHI209" s="173"/>
      <c r="EHJ209" s="173"/>
      <c r="EHK209" s="173"/>
      <c r="EHL209" s="173"/>
      <c r="EHM209" s="173"/>
      <c r="EHN209" s="173"/>
      <c r="EHO209" s="173"/>
      <c r="EHP209" s="173"/>
      <c r="EHQ209" s="173"/>
      <c r="EHR209" s="125"/>
      <c r="EHS209" s="125"/>
      <c r="EHT209" s="134"/>
      <c r="EHU209" s="135"/>
      <c r="EHV209" s="135"/>
      <c r="EHW209" s="135"/>
      <c r="EHX209" s="135"/>
      <c r="EHY209" s="173"/>
      <c r="EHZ209" s="173"/>
      <c r="EIA209" s="173"/>
      <c r="EIB209" s="173"/>
      <c r="EIC209" s="173"/>
      <c r="EID209" s="173"/>
      <c r="EIE209" s="173"/>
      <c r="EIF209" s="173"/>
      <c r="EIG209" s="173"/>
      <c r="EIH209" s="173"/>
      <c r="EII209" s="125"/>
      <c r="EIJ209" s="125"/>
      <c r="EIK209" s="134"/>
      <c r="EIL209" s="135"/>
      <c r="EIM209" s="135"/>
      <c r="EIN209" s="135"/>
      <c r="EIO209" s="135"/>
      <c r="EIP209" s="173"/>
      <c r="EIQ209" s="173"/>
      <c r="EIR209" s="173"/>
      <c r="EIS209" s="173"/>
      <c r="EIT209" s="173"/>
      <c r="EIU209" s="173"/>
      <c r="EIV209" s="173"/>
      <c r="EIW209" s="173"/>
      <c r="EIX209" s="173"/>
      <c r="EIY209" s="173"/>
      <c r="EIZ209" s="125"/>
      <c r="EJA209" s="125"/>
      <c r="EJB209" s="134"/>
      <c r="EJC209" s="135"/>
      <c r="EJD209" s="135"/>
      <c r="EJE209" s="135"/>
      <c r="EJF209" s="135"/>
      <c r="EJG209" s="173"/>
      <c r="EJH209" s="173"/>
      <c r="EJI209" s="173"/>
      <c r="EJJ209" s="173"/>
      <c r="EJK209" s="173"/>
      <c r="EJL209" s="173"/>
      <c r="EJM209" s="173"/>
      <c r="EJN209" s="173"/>
      <c r="EJO209" s="173"/>
      <c r="EJP209" s="173"/>
      <c r="EJQ209" s="125"/>
      <c r="EJR209" s="125"/>
      <c r="EJS209" s="134"/>
      <c r="EJT209" s="135"/>
      <c r="EJU209" s="135"/>
      <c r="EJV209" s="135"/>
      <c r="EJW209" s="135"/>
      <c r="EJX209" s="173"/>
      <c r="EJY209" s="173"/>
      <c r="EJZ209" s="173"/>
      <c r="EKA209" s="173"/>
      <c r="EKB209" s="173"/>
      <c r="EKC209" s="173"/>
      <c r="EKD209" s="173"/>
      <c r="EKE209" s="173"/>
      <c r="EKF209" s="173"/>
      <c r="EKG209" s="173"/>
      <c r="EKH209" s="125"/>
      <c r="EKI209" s="125"/>
      <c r="EKJ209" s="134"/>
      <c r="EKK209" s="135"/>
      <c r="EKL209" s="135"/>
      <c r="EKM209" s="135"/>
      <c r="EKN209" s="135"/>
      <c r="EKO209" s="173"/>
      <c r="EKP209" s="173"/>
      <c r="EKQ209" s="173"/>
      <c r="EKR209" s="173"/>
      <c r="EKS209" s="173"/>
      <c r="EKT209" s="173"/>
      <c r="EKU209" s="173"/>
      <c r="EKV209" s="173"/>
      <c r="EKW209" s="173"/>
      <c r="EKX209" s="173"/>
      <c r="EKY209" s="125"/>
      <c r="EKZ209" s="125"/>
      <c r="ELA209" s="134"/>
      <c r="ELB209" s="135"/>
      <c r="ELC209" s="135"/>
      <c r="ELD209" s="135"/>
      <c r="ELE209" s="135"/>
      <c r="ELF209" s="173"/>
      <c r="ELG209" s="173"/>
      <c r="ELH209" s="173"/>
      <c r="ELI209" s="173"/>
      <c r="ELJ209" s="173"/>
      <c r="ELK209" s="173"/>
      <c r="ELL209" s="173"/>
      <c r="ELM209" s="173"/>
      <c r="ELN209" s="173"/>
      <c r="ELO209" s="173"/>
      <c r="ELP209" s="125"/>
      <c r="ELQ209" s="125"/>
      <c r="ELR209" s="134"/>
      <c r="ELS209" s="135"/>
      <c r="ELT209" s="135"/>
      <c r="ELU209" s="135"/>
      <c r="ELV209" s="135"/>
      <c r="ELW209" s="173"/>
      <c r="ELX209" s="173"/>
      <c r="ELY209" s="173"/>
      <c r="ELZ209" s="173"/>
      <c r="EMA209" s="173"/>
      <c r="EMB209" s="173"/>
      <c r="EMC209" s="173"/>
      <c r="EMD209" s="173"/>
      <c r="EME209" s="173"/>
      <c r="EMF209" s="173"/>
      <c r="EMG209" s="125"/>
      <c r="EMH209" s="125"/>
      <c r="EMI209" s="134"/>
      <c r="EMJ209" s="135"/>
      <c r="EMK209" s="135"/>
      <c r="EML209" s="135"/>
      <c r="EMM209" s="135"/>
      <c r="EMN209" s="173"/>
      <c r="EMO209" s="173"/>
      <c r="EMP209" s="173"/>
      <c r="EMQ209" s="173"/>
      <c r="EMR209" s="173"/>
      <c r="EMS209" s="173"/>
      <c r="EMT209" s="173"/>
      <c r="EMU209" s="173"/>
      <c r="EMV209" s="173"/>
      <c r="EMW209" s="173"/>
      <c r="EMX209" s="125"/>
      <c r="EMY209" s="125"/>
      <c r="EMZ209" s="134"/>
      <c r="ENA209" s="135"/>
      <c r="ENB209" s="135"/>
      <c r="ENC209" s="135"/>
      <c r="END209" s="135"/>
      <c r="ENE209" s="173"/>
      <c r="ENF209" s="173"/>
      <c r="ENG209" s="173"/>
      <c r="ENH209" s="173"/>
      <c r="ENI209" s="173"/>
      <c r="ENJ209" s="173"/>
      <c r="ENK209" s="173"/>
      <c r="ENL209" s="173"/>
      <c r="ENM209" s="173"/>
      <c r="ENN209" s="173"/>
      <c r="ENO209" s="125"/>
      <c r="ENP209" s="125"/>
      <c r="ENQ209" s="134"/>
      <c r="ENR209" s="135"/>
      <c r="ENS209" s="135"/>
      <c r="ENT209" s="135"/>
      <c r="ENU209" s="135"/>
      <c r="ENV209" s="173"/>
      <c r="ENW209" s="173"/>
      <c r="ENX209" s="173"/>
      <c r="ENY209" s="173"/>
      <c r="ENZ209" s="173"/>
      <c r="EOA209" s="173"/>
      <c r="EOB209" s="173"/>
      <c r="EOC209" s="173"/>
      <c r="EOD209" s="173"/>
      <c r="EOE209" s="173"/>
      <c r="EOF209" s="125"/>
      <c r="EOG209" s="125"/>
      <c r="EOH209" s="134"/>
      <c r="EOI209" s="135"/>
      <c r="EOJ209" s="135"/>
      <c r="EOK209" s="135"/>
      <c r="EOL209" s="135"/>
      <c r="EOM209" s="173"/>
      <c r="EON209" s="173"/>
      <c r="EOO209" s="173"/>
      <c r="EOP209" s="173"/>
      <c r="EOQ209" s="173"/>
      <c r="EOR209" s="173"/>
      <c r="EOS209" s="173"/>
      <c r="EOT209" s="173"/>
      <c r="EOU209" s="173"/>
      <c r="EOV209" s="173"/>
      <c r="EOW209" s="125"/>
      <c r="EOX209" s="125"/>
      <c r="EOY209" s="134"/>
      <c r="EOZ209" s="135"/>
      <c r="EPA209" s="135"/>
      <c r="EPB209" s="135"/>
      <c r="EPC209" s="135"/>
      <c r="EPD209" s="173"/>
      <c r="EPE209" s="173"/>
      <c r="EPF209" s="173"/>
      <c r="EPG209" s="173"/>
      <c r="EPH209" s="173"/>
      <c r="EPI209" s="173"/>
      <c r="EPJ209" s="173"/>
      <c r="EPK209" s="173"/>
      <c r="EPL209" s="173"/>
      <c r="EPM209" s="173"/>
      <c r="EPN209" s="125"/>
      <c r="EPO209" s="125"/>
      <c r="EPP209" s="134"/>
      <c r="EPQ209" s="135"/>
      <c r="EPR209" s="135"/>
      <c r="EPS209" s="135"/>
      <c r="EPT209" s="135"/>
      <c r="EPU209" s="173"/>
      <c r="EPV209" s="173"/>
      <c r="EPW209" s="173"/>
      <c r="EPX209" s="173"/>
      <c r="EPY209" s="173"/>
      <c r="EPZ209" s="173"/>
      <c r="EQA209" s="173"/>
      <c r="EQB209" s="173"/>
      <c r="EQC209" s="173"/>
      <c r="EQD209" s="173"/>
      <c r="EQE209" s="125"/>
      <c r="EQF209" s="125"/>
      <c r="EQG209" s="134"/>
      <c r="EQH209" s="135"/>
      <c r="EQI209" s="135"/>
      <c r="EQJ209" s="135"/>
      <c r="EQK209" s="135"/>
      <c r="EQL209" s="173"/>
      <c r="EQM209" s="173"/>
      <c r="EQN209" s="173"/>
      <c r="EQO209" s="173"/>
      <c r="EQP209" s="173"/>
      <c r="EQQ209" s="173"/>
      <c r="EQR209" s="173"/>
      <c r="EQS209" s="173"/>
      <c r="EQT209" s="173"/>
      <c r="EQU209" s="173"/>
      <c r="EQV209" s="125"/>
      <c r="EQW209" s="125"/>
      <c r="EQX209" s="134"/>
      <c r="EQY209" s="135"/>
      <c r="EQZ209" s="135"/>
      <c r="ERA209" s="135"/>
      <c r="ERB209" s="135"/>
      <c r="ERC209" s="173"/>
      <c r="ERD209" s="173"/>
      <c r="ERE209" s="173"/>
      <c r="ERF209" s="173"/>
      <c r="ERG209" s="173"/>
      <c r="ERH209" s="173"/>
      <c r="ERI209" s="173"/>
      <c r="ERJ209" s="173"/>
      <c r="ERK209" s="173"/>
      <c r="ERL209" s="173"/>
      <c r="ERM209" s="125"/>
      <c r="ERN209" s="125"/>
      <c r="ERO209" s="134"/>
      <c r="ERP209" s="135"/>
      <c r="ERQ209" s="135"/>
      <c r="ERR209" s="135"/>
      <c r="ERS209" s="135"/>
      <c r="ERT209" s="173"/>
      <c r="ERU209" s="173"/>
      <c r="ERV209" s="173"/>
      <c r="ERW209" s="173"/>
      <c r="ERX209" s="173"/>
      <c r="ERY209" s="173"/>
      <c r="ERZ209" s="173"/>
      <c r="ESA209" s="173"/>
      <c r="ESB209" s="173"/>
      <c r="ESC209" s="173"/>
      <c r="ESD209" s="125"/>
      <c r="ESE209" s="125"/>
      <c r="ESF209" s="134"/>
      <c r="ESG209" s="135"/>
      <c r="ESH209" s="135"/>
      <c r="ESI209" s="135"/>
      <c r="ESJ209" s="135"/>
      <c r="ESK209" s="173"/>
      <c r="ESL209" s="173"/>
      <c r="ESM209" s="173"/>
      <c r="ESN209" s="173"/>
      <c r="ESO209" s="173"/>
      <c r="ESP209" s="173"/>
      <c r="ESQ209" s="173"/>
      <c r="ESR209" s="173"/>
      <c r="ESS209" s="173"/>
      <c r="EST209" s="173"/>
      <c r="ESU209" s="125"/>
      <c r="ESV209" s="125"/>
      <c r="ESW209" s="134"/>
      <c r="ESX209" s="135"/>
      <c r="ESY209" s="135"/>
      <c r="ESZ209" s="135"/>
      <c r="ETA209" s="135"/>
      <c r="ETB209" s="173"/>
      <c r="ETC209" s="173"/>
      <c r="ETD209" s="173"/>
      <c r="ETE209" s="173"/>
      <c r="ETF209" s="173"/>
      <c r="ETG209" s="173"/>
      <c r="ETH209" s="173"/>
      <c r="ETI209" s="173"/>
      <c r="ETJ209" s="173"/>
      <c r="ETK209" s="173"/>
      <c r="ETL209" s="125"/>
      <c r="ETM209" s="125"/>
      <c r="ETN209" s="134"/>
      <c r="ETO209" s="135"/>
      <c r="ETP209" s="135"/>
      <c r="ETQ209" s="135"/>
      <c r="ETR209" s="135"/>
      <c r="ETS209" s="173"/>
      <c r="ETT209" s="173"/>
      <c r="ETU209" s="173"/>
      <c r="ETV209" s="173"/>
      <c r="ETW209" s="173"/>
      <c r="ETX209" s="173"/>
      <c r="ETY209" s="173"/>
      <c r="ETZ209" s="173"/>
      <c r="EUA209" s="173"/>
      <c r="EUB209" s="173"/>
      <c r="EUC209" s="125"/>
      <c r="EUD209" s="125"/>
      <c r="EUE209" s="134"/>
      <c r="EUF209" s="135"/>
      <c r="EUG209" s="135"/>
      <c r="EUH209" s="135"/>
      <c r="EUI209" s="135"/>
      <c r="EUJ209" s="173"/>
      <c r="EUK209" s="173"/>
      <c r="EUL209" s="173"/>
      <c r="EUM209" s="173"/>
      <c r="EUN209" s="173"/>
      <c r="EUO209" s="173"/>
      <c r="EUP209" s="173"/>
      <c r="EUQ209" s="173"/>
      <c r="EUR209" s="173"/>
      <c r="EUS209" s="173"/>
      <c r="EUT209" s="125"/>
      <c r="EUU209" s="125"/>
      <c r="EUV209" s="134"/>
      <c r="EUW209" s="135"/>
      <c r="EUX209" s="135"/>
      <c r="EUY209" s="135"/>
      <c r="EUZ209" s="135"/>
      <c r="EVA209" s="173"/>
      <c r="EVB209" s="173"/>
      <c r="EVC209" s="173"/>
      <c r="EVD209" s="173"/>
      <c r="EVE209" s="173"/>
      <c r="EVF209" s="173"/>
      <c r="EVG209" s="173"/>
      <c r="EVH209" s="173"/>
      <c r="EVI209" s="173"/>
      <c r="EVJ209" s="173"/>
      <c r="EVK209" s="125"/>
      <c r="EVL209" s="125"/>
      <c r="EVM209" s="134"/>
      <c r="EVN209" s="135"/>
      <c r="EVO209" s="135"/>
      <c r="EVP209" s="135"/>
      <c r="EVQ209" s="135"/>
      <c r="EVR209" s="173"/>
      <c r="EVS209" s="173"/>
      <c r="EVT209" s="173"/>
      <c r="EVU209" s="173"/>
      <c r="EVV209" s="173"/>
      <c r="EVW209" s="173"/>
      <c r="EVX209" s="173"/>
      <c r="EVY209" s="173"/>
      <c r="EVZ209" s="173"/>
      <c r="EWA209" s="173"/>
      <c r="EWB209" s="125"/>
      <c r="EWC209" s="125"/>
      <c r="EWD209" s="134"/>
      <c r="EWE209" s="135"/>
      <c r="EWF209" s="135"/>
      <c r="EWG209" s="135"/>
      <c r="EWH209" s="135"/>
      <c r="EWI209" s="173"/>
      <c r="EWJ209" s="173"/>
      <c r="EWK209" s="173"/>
      <c r="EWL209" s="173"/>
      <c r="EWM209" s="173"/>
      <c r="EWN209" s="173"/>
      <c r="EWO209" s="173"/>
      <c r="EWP209" s="173"/>
      <c r="EWQ209" s="173"/>
      <c r="EWR209" s="173"/>
      <c r="EWS209" s="125"/>
      <c r="EWT209" s="125"/>
      <c r="EWU209" s="134"/>
      <c r="EWV209" s="135"/>
      <c r="EWW209" s="135"/>
      <c r="EWX209" s="135"/>
      <c r="EWY209" s="135"/>
      <c r="EWZ209" s="173"/>
      <c r="EXA209" s="173"/>
      <c r="EXB209" s="173"/>
      <c r="EXC209" s="173"/>
      <c r="EXD209" s="173"/>
      <c r="EXE209" s="173"/>
      <c r="EXF209" s="173"/>
      <c r="EXG209" s="173"/>
      <c r="EXH209" s="173"/>
      <c r="EXI209" s="173"/>
      <c r="EXJ209" s="125"/>
      <c r="EXK209" s="125"/>
      <c r="EXL209" s="134"/>
      <c r="EXM209" s="135"/>
      <c r="EXN209" s="135"/>
      <c r="EXO209" s="135"/>
      <c r="EXP209" s="135"/>
      <c r="EXQ209" s="173"/>
      <c r="EXR209" s="173"/>
      <c r="EXS209" s="173"/>
      <c r="EXT209" s="173"/>
      <c r="EXU209" s="173"/>
      <c r="EXV209" s="173"/>
      <c r="EXW209" s="173"/>
      <c r="EXX209" s="173"/>
      <c r="EXY209" s="173"/>
      <c r="EXZ209" s="173"/>
      <c r="EYA209" s="125"/>
      <c r="EYB209" s="125"/>
      <c r="EYC209" s="134"/>
      <c r="EYD209" s="135"/>
      <c r="EYE209" s="135"/>
      <c r="EYF209" s="135"/>
      <c r="EYG209" s="135"/>
      <c r="EYH209" s="173"/>
      <c r="EYI209" s="173"/>
      <c r="EYJ209" s="173"/>
      <c r="EYK209" s="173"/>
      <c r="EYL209" s="173"/>
      <c r="EYM209" s="173"/>
      <c r="EYN209" s="173"/>
      <c r="EYO209" s="173"/>
      <c r="EYP209" s="173"/>
      <c r="EYQ209" s="173"/>
      <c r="EYR209" s="125"/>
      <c r="EYS209" s="125"/>
      <c r="EYT209" s="134"/>
      <c r="EYU209" s="135"/>
      <c r="EYV209" s="135"/>
      <c r="EYW209" s="135"/>
      <c r="EYX209" s="135"/>
      <c r="EYY209" s="173"/>
      <c r="EYZ209" s="173"/>
      <c r="EZA209" s="173"/>
      <c r="EZB209" s="173"/>
      <c r="EZC209" s="173"/>
      <c r="EZD209" s="173"/>
      <c r="EZE209" s="173"/>
      <c r="EZF209" s="173"/>
      <c r="EZG209" s="173"/>
      <c r="EZH209" s="173"/>
      <c r="EZI209" s="125"/>
      <c r="EZJ209" s="125"/>
      <c r="EZK209" s="134"/>
      <c r="EZL209" s="135"/>
      <c r="EZM209" s="135"/>
      <c r="EZN209" s="135"/>
      <c r="EZO209" s="135"/>
      <c r="EZP209" s="173"/>
      <c r="EZQ209" s="173"/>
      <c r="EZR209" s="173"/>
      <c r="EZS209" s="173"/>
      <c r="EZT209" s="173"/>
      <c r="EZU209" s="173"/>
      <c r="EZV209" s="173"/>
      <c r="EZW209" s="173"/>
      <c r="EZX209" s="173"/>
      <c r="EZY209" s="173"/>
      <c r="EZZ209" s="125"/>
      <c r="FAA209" s="125"/>
      <c r="FAB209" s="134"/>
      <c r="FAC209" s="135"/>
      <c r="FAD209" s="135"/>
      <c r="FAE209" s="135"/>
      <c r="FAF209" s="135"/>
      <c r="FAG209" s="173"/>
      <c r="FAH209" s="173"/>
      <c r="FAI209" s="173"/>
      <c r="FAJ209" s="173"/>
      <c r="FAK209" s="173"/>
      <c r="FAL209" s="173"/>
      <c r="FAM209" s="173"/>
      <c r="FAN209" s="173"/>
      <c r="FAO209" s="173"/>
      <c r="FAP209" s="173"/>
      <c r="FAQ209" s="125"/>
      <c r="FAR209" s="125"/>
      <c r="FAS209" s="134"/>
      <c r="FAT209" s="135"/>
      <c r="FAU209" s="135"/>
      <c r="FAV209" s="135"/>
      <c r="FAW209" s="135"/>
      <c r="FAX209" s="173"/>
      <c r="FAY209" s="173"/>
      <c r="FAZ209" s="173"/>
      <c r="FBA209" s="173"/>
      <c r="FBB209" s="173"/>
      <c r="FBC209" s="173"/>
      <c r="FBD209" s="173"/>
      <c r="FBE209" s="173"/>
      <c r="FBF209" s="173"/>
      <c r="FBG209" s="173"/>
      <c r="FBH209" s="125"/>
      <c r="FBI209" s="125"/>
      <c r="FBJ209" s="134"/>
      <c r="FBK209" s="135"/>
      <c r="FBL209" s="135"/>
      <c r="FBM209" s="135"/>
      <c r="FBN209" s="135"/>
      <c r="FBO209" s="173"/>
      <c r="FBP209" s="173"/>
      <c r="FBQ209" s="173"/>
      <c r="FBR209" s="173"/>
      <c r="FBS209" s="173"/>
      <c r="FBT209" s="173"/>
      <c r="FBU209" s="173"/>
      <c r="FBV209" s="173"/>
      <c r="FBW209" s="173"/>
      <c r="FBX209" s="173"/>
      <c r="FBY209" s="125"/>
      <c r="FBZ209" s="125"/>
      <c r="FCA209" s="134"/>
      <c r="FCB209" s="135"/>
      <c r="FCC209" s="135"/>
      <c r="FCD209" s="135"/>
      <c r="FCE209" s="135"/>
      <c r="FCF209" s="173"/>
      <c r="FCG209" s="173"/>
      <c r="FCH209" s="173"/>
      <c r="FCI209" s="173"/>
      <c r="FCJ209" s="173"/>
      <c r="FCK209" s="173"/>
      <c r="FCL209" s="173"/>
      <c r="FCM209" s="173"/>
      <c r="FCN209" s="173"/>
      <c r="FCO209" s="173"/>
      <c r="FCP209" s="125"/>
      <c r="FCQ209" s="125"/>
      <c r="FCR209" s="134"/>
      <c r="FCS209" s="135"/>
      <c r="FCT209" s="135"/>
      <c r="FCU209" s="135"/>
      <c r="FCV209" s="135"/>
      <c r="FCW209" s="173"/>
      <c r="FCX209" s="173"/>
      <c r="FCY209" s="173"/>
      <c r="FCZ209" s="173"/>
      <c r="FDA209" s="173"/>
      <c r="FDB209" s="173"/>
      <c r="FDC209" s="173"/>
      <c r="FDD209" s="173"/>
      <c r="FDE209" s="173"/>
      <c r="FDF209" s="173"/>
      <c r="FDG209" s="125"/>
      <c r="FDH209" s="125"/>
      <c r="FDI209" s="134"/>
      <c r="FDJ209" s="135"/>
      <c r="FDK209" s="135"/>
      <c r="FDL209" s="135"/>
      <c r="FDM209" s="135"/>
      <c r="FDN209" s="173"/>
      <c r="FDO209" s="173"/>
      <c r="FDP209" s="173"/>
      <c r="FDQ209" s="173"/>
      <c r="FDR209" s="173"/>
      <c r="FDS209" s="173"/>
      <c r="FDT209" s="173"/>
      <c r="FDU209" s="173"/>
      <c r="FDV209" s="173"/>
      <c r="FDW209" s="173"/>
      <c r="FDX209" s="125"/>
      <c r="FDY209" s="125"/>
      <c r="FDZ209" s="134"/>
      <c r="FEA209" s="135"/>
      <c r="FEB209" s="135"/>
      <c r="FEC209" s="135"/>
      <c r="FED209" s="135"/>
      <c r="FEE209" s="173"/>
      <c r="FEF209" s="173"/>
      <c r="FEG209" s="173"/>
      <c r="FEH209" s="173"/>
      <c r="FEI209" s="173"/>
      <c r="FEJ209" s="173"/>
      <c r="FEK209" s="173"/>
      <c r="FEL209" s="173"/>
      <c r="FEM209" s="173"/>
      <c r="FEN209" s="173"/>
      <c r="FEO209" s="125"/>
      <c r="FEP209" s="125"/>
      <c r="FEQ209" s="134"/>
      <c r="FER209" s="135"/>
      <c r="FES209" s="135"/>
      <c r="FET209" s="135"/>
      <c r="FEU209" s="135"/>
      <c r="FEV209" s="173"/>
      <c r="FEW209" s="173"/>
      <c r="FEX209" s="173"/>
      <c r="FEY209" s="173"/>
      <c r="FEZ209" s="173"/>
      <c r="FFA209" s="173"/>
      <c r="FFB209" s="173"/>
      <c r="FFC209" s="173"/>
      <c r="FFD209" s="173"/>
      <c r="FFE209" s="173"/>
      <c r="FFF209" s="125"/>
      <c r="FFG209" s="125"/>
      <c r="FFH209" s="134"/>
      <c r="FFI209" s="135"/>
      <c r="FFJ209" s="135"/>
      <c r="FFK209" s="135"/>
      <c r="FFL209" s="135"/>
      <c r="FFM209" s="173"/>
      <c r="FFN209" s="173"/>
      <c r="FFO209" s="173"/>
      <c r="FFP209" s="173"/>
      <c r="FFQ209" s="173"/>
      <c r="FFR209" s="173"/>
      <c r="FFS209" s="173"/>
      <c r="FFT209" s="173"/>
      <c r="FFU209" s="173"/>
      <c r="FFV209" s="173"/>
      <c r="FFW209" s="125"/>
      <c r="FFX209" s="125"/>
      <c r="FFY209" s="134"/>
      <c r="FFZ209" s="135"/>
      <c r="FGA209" s="135"/>
      <c r="FGB209" s="135"/>
      <c r="FGC209" s="135"/>
      <c r="FGD209" s="173"/>
      <c r="FGE209" s="173"/>
      <c r="FGF209" s="173"/>
      <c r="FGG209" s="173"/>
      <c r="FGH209" s="173"/>
      <c r="FGI209" s="173"/>
      <c r="FGJ209" s="173"/>
      <c r="FGK209" s="173"/>
      <c r="FGL209" s="173"/>
      <c r="FGM209" s="173"/>
      <c r="FGN209" s="125"/>
      <c r="FGO209" s="125"/>
      <c r="FGP209" s="134"/>
      <c r="FGQ209" s="135"/>
      <c r="FGR209" s="135"/>
      <c r="FGS209" s="135"/>
      <c r="FGT209" s="135"/>
      <c r="FGU209" s="173"/>
      <c r="FGV209" s="173"/>
      <c r="FGW209" s="173"/>
      <c r="FGX209" s="173"/>
      <c r="FGY209" s="173"/>
      <c r="FGZ209" s="173"/>
      <c r="FHA209" s="173"/>
      <c r="FHB209" s="173"/>
      <c r="FHC209" s="173"/>
      <c r="FHD209" s="173"/>
      <c r="FHE209" s="125"/>
      <c r="FHF209" s="125"/>
      <c r="FHG209" s="134"/>
      <c r="FHH209" s="135"/>
      <c r="FHI209" s="135"/>
      <c r="FHJ209" s="135"/>
      <c r="FHK209" s="135"/>
      <c r="FHL209" s="173"/>
      <c r="FHM209" s="173"/>
      <c r="FHN209" s="173"/>
      <c r="FHO209" s="173"/>
      <c r="FHP209" s="173"/>
      <c r="FHQ209" s="173"/>
      <c r="FHR209" s="173"/>
      <c r="FHS209" s="173"/>
      <c r="FHT209" s="173"/>
      <c r="FHU209" s="173"/>
      <c r="FHV209" s="125"/>
      <c r="FHW209" s="125"/>
      <c r="FHX209" s="134"/>
      <c r="FHY209" s="135"/>
      <c r="FHZ209" s="135"/>
      <c r="FIA209" s="135"/>
      <c r="FIB209" s="135"/>
      <c r="FIC209" s="173"/>
      <c r="FID209" s="173"/>
      <c r="FIE209" s="173"/>
      <c r="FIF209" s="173"/>
      <c r="FIG209" s="173"/>
      <c r="FIH209" s="173"/>
      <c r="FII209" s="173"/>
      <c r="FIJ209" s="173"/>
      <c r="FIK209" s="173"/>
      <c r="FIL209" s="173"/>
      <c r="FIM209" s="125"/>
      <c r="FIN209" s="125"/>
      <c r="FIO209" s="134"/>
      <c r="FIP209" s="135"/>
      <c r="FIQ209" s="135"/>
      <c r="FIR209" s="135"/>
      <c r="FIS209" s="135"/>
      <c r="FIT209" s="173"/>
      <c r="FIU209" s="173"/>
      <c r="FIV209" s="173"/>
      <c r="FIW209" s="173"/>
      <c r="FIX209" s="173"/>
      <c r="FIY209" s="173"/>
      <c r="FIZ209" s="173"/>
      <c r="FJA209" s="173"/>
      <c r="FJB209" s="173"/>
      <c r="FJC209" s="173"/>
      <c r="FJD209" s="125"/>
      <c r="FJE209" s="125"/>
      <c r="FJF209" s="134"/>
      <c r="FJG209" s="135"/>
      <c r="FJH209" s="135"/>
      <c r="FJI209" s="135"/>
      <c r="FJJ209" s="135"/>
      <c r="FJK209" s="173"/>
      <c r="FJL209" s="173"/>
      <c r="FJM209" s="173"/>
      <c r="FJN209" s="173"/>
      <c r="FJO209" s="173"/>
      <c r="FJP209" s="173"/>
      <c r="FJQ209" s="173"/>
      <c r="FJR209" s="173"/>
      <c r="FJS209" s="173"/>
      <c r="FJT209" s="173"/>
      <c r="FJU209" s="125"/>
      <c r="FJV209" s="125"/>
      <c r="FJW209" s="134"/>
      <c r="FJX209" s="135"/>
      <c r="FJY209" s="135"/>
      <c r="FJZ209" s="135"/>
      <c r="FKA209" s="135"/>
      <c r="FKB209" s="173"/>
      <c r="FKC209" s="173"/>
      <c r="FKD209" s="173"/>
      <c r="FKE209" s="173"/>
      <c r="FKF209" s="173"/>
      <c r="FKG209" s="173"/>
      <c r="FKH209" s="173"/>
      <c r="FKI209" s="173"/>
      <c r="FKJ209" s="173"/>
      <c r="FKK209" s="173"/>
      <c r="FKL209" s="125"/>
      <c r="FKM209" s="125"/>
      <c r="FKN209" s="134"/>
      <c r="FKO209" s="135"/>
      <c r="FKP209" s="135"/>
      <c r="FKQ209" s="135"/>
      <c r="FKR209" s="135"/>
      <c r="FKS209" s="173"/>
      <c r="FKT209" s="173"/>
      <c r="FKU209" s="173"/>
      <c r="FKV209" s="173"/>
      <c r="FKW209" s="173"/>
      <c r="FKX209" s="173"/>
      <c r="FKY209" s="173"/>
      <c r="FKZ209" s="173"/>
      <c r="FLA209" s="173"/>
      <c r="FLB209" s="173"/>
      <c r="FLC209" s="125"/>
      <c r="FLD209" s="125"/>
      <c r="FLE209" s="134"/>
      <c r="FLF209" s="135"/>
      <c r="FLG209" s="135"/>
      <c r="FLH209" s="135"/>
      <c r="FLI209" s="135"/>
      <c r="FLJ209" s="173"/>
      <c r="FLK209" s="173"/>
      <c r="FLL209" s="173"/>
      <c r="FLM209" s="173"/>
      <c r="FLN209" s="173"/>
      <c r="FLO209" s="173"/>
      <c r="FLP209" s="173"/>
      <c r="FLQ209" s="173"/>
      <c r="FLR209" s="173"/>
      <c r="FLS209" s="173"/>
      <c r="FLT209" s="125"/>
      <c r="FLU209" s="125"/>
      <c r="FLV209" s="134"/>
      <c r="FLW209" s="135"/>
      <c r="FLX209" s="135"/>
      <c r="FLY209" s="135"/>
      <c r="FLZ209" s="135"/>
      <c r="FMA209" s="173"/>
      <c r="FMB209" s="173"/>
      <c r="FMC209" s="173"/>
      <c r="FMD209" s="173"/>
      <c r="FME209" s="173"/>
      <c r="FMF209" s="173"/>
      <c r="FMG209" s="173"/>
      <c r="FMH209" s="173"/>
      <c r="FMI209" s="173"/>
      <c r="FMJ209" s="173"/>
      <c r="FMK209" s="125"/>
      <c r="FML209" s="125"/>
      <c r="FMM209" s="134"/>
      <c r="FMN209" s="135"/>
      <c r="FMO209" s="135"/>
      <c r="FMP209" s="135"/>
      <c r="FMQ209" s="135"/>
      <c r="FMR209" s="173"/>
      <c r="FMS209" s="173"/>
      <c r="FMT209" s="173"/>
      <c r="FMU209" s="173"/>
      <c r="FMV209" s="173"/>
      <c r="FMW209" s="173"/>
      <c r="FMX209" s="173"/>
      <c r="FMY209" s="173"/>
      <c r="FMZ209" s="173"/>
      <c r="FNA209" s="173"/>
      <c r="FNB209" s="125"/>
      <c r="FNC209" s="125"/>
      <c r="FND209" s="134"/>
      <c r="FNE209" s="135"/>
      <c r="FNF209" s="135"/>
      <c r="FNG209" s="135"/>
      <c r="FNH209" s="135"/>
      <c r="FNI209" s="173"/>
      <c r="FNJ209" s="173"/>
      <c r="FNK209" s="173"/>
      <c r="FNL209" s="173"/>
      <c r="FNM209" s="173"/>
      <c r="FNN209" s="173"/>
      <c r="FNO209" s="173"/>
      <c r="FNP209" s="173"/>
      <c r="FNQ209" s="173"/>
      <c r="FNR209" s="173"/>
      <c r="FNS209" s="125"/>
      <c r="FNT209" s="125"/>
      <c r="FNU209" s="134"/>
      <c r="FNV209" s="135"/>
      <c r="FNW209" s="135"/>
      <c r="FNX209" s="135"/>
      <c r="FNY209" s="135"/>
      <c r="FNZ209" s="173"/>
      <c r="FOA209" s="173"/>
      <c r="FOB209" s="173"/>
      <c r="FOC209" s="173"/>
      <c r="FOD209" s="173"/>
      <c r="FOE209" s="173"/>
      <c r="FOF209" s="173"/>
      <c r="FOG209" s="173"/>
      <c r="FOH209" s="173"/>
      <c r="FOI209" s="173"/>
      <c r="FOJ209" s="125"/>
      <c r="FOK209" s="125"/>
      <c r="FOL209" s="134"/>
      <c r="FOM209" s="135"/>
      <c r="FON209" s="135"/>
      <c r="FOO209" s="135"/>
      <c r="FOP209" s="135"/>
      <c r="FOQ209" s="173"/>
      <c r="FOR209" s="173"/>
      <c r="FOS209" s="173"/>
      <c r="FOT209" s="173"/>
      <c r="FOU209" s="173"/>
      <c r="FOV209" s="173"/>
      <c r="FOW209" s="173"/>
      <c r="FOX209" s="173"/>
      <c r="FOY209" s="173"/>
      <c r="FOZ209" s="173"/>
      <c r="FPA209" s="125"/>
      <c r="FPB209" s="125"/>
      <c r="FPC209" s="134"/>
      <c r="FPD209" s="135"/>
      <c r="FPE209" s="135"/>
      <c r="FPF209" s="135"/>
      <c r="FPG209" s="135"/>
      <c r="FPH209" s="173"/>
      <c r="FPI209" s="173"/>
      <c r="FPJ209" s="173"/>
      <c r="FPK209" s="173"/>
      <c r="FPL209" s="173"/>
      <c r="FPM209" s="173"/>
      <c r="FPN209" s="173"/>
      <c r="FPO209" s="173"/>
      <c r="FPP209" s="173"/>
      <c r="FPQ209" s="173"/>
      <c r="FPR209" s="125"/>
      <c r="FPS209" s="125"/>
      <c r="FPT209" s="134"/>
      <c r="FPU209" s="135"/>
      <c r="FPV209" s="135"/>
      <c r="FPW209" s="135"/>
      <c r="FPX209" s="135"/>
      <c r="FPY209" s="173"/>
      <c r="FPZ209" s="173"/>
      <c r="FQA209" s="173"/>
      <c r="FQB209" s="173"/>
      <c r="FQC209" s="173"/>
      <c r="FQD209" s="173"/>
      <c r="FQE209" s="173"/>
      <c r="FQF209" s="173"/>
      <c r="FQG209" s="173"/>
      <c r="FQH209" s="173"/>
      <c r="FQI209" s="125"/>
      <c r="FQJ209" s="125"/>
      <c r="FQK209" s="134"/>
      <c r="FQL209" s="135"/>
      <c r="FQM209" s="135"/>
      <c r="FQN209" s="135"/>
      <c r="FQO209" s="135"/>
      <c r="FQP209" s="173"/>
      <c r="FQQ209" s="173"/>
      <c r="FQR209" s="173"/>
      <c r="FQS209" s="173"/>
      <c r="FQT209" s="173"/>
      <c r="FQU209" s="173"/>
      <c r="FQV209" s="173"/>
      <c r="FQW209" s="173"/>
      <c r="FQX209" s="173"/>
      <c r="FQY209" s="173"/>
      <c r="FQZ209" s="125"/>
      <c r="FRA209" s="125"/>
      <c r="FRB209" s="134"/>
      <c r="FRC209" s="135"/>
      <c r="FRD209" s="135"/>
      <c r="FRE209" s="135"/>
      <c r="FRF209" s="135"/>
      <c r="FRG209" s="173"/>
      <c r="FRH209" s="173"/>
      <c r="FRI209" s="173"/>
      <c r="FRJ209" s="173"/>
      <c r="FRK209" s="173"/>
      <c r="FRL209" s="173"/>
      <c r="FRM209" s="173"/>
      <c r="FRN209" s="173"/>
      <c r="FRO209" s="173"/>
      <c r="FRP209" s="173"/>
      <c r="FRQ209" s="125"/>
      <c r="FRR209" s="125"/>
      <c r="FRS209" s="134"/>
      <c r="FRT209" s="135"/>
      <c r="FRU209" s="135"/>
      <c r="FRV209" s="135"/>
      <c r="FRW209" s="135"/>
      <c r="FRX209" s="173"/>
      <c r="FRY209" s="173"/>
      <c r="FRZ209" s="173"/>
      <c r="FSA209" s="173"/>
      <c r="FSB209" s="173"/>
      <c r="FSC209" s="173"/>
      <c r="FSD209" s="173"/>
      <c r="FSE209" s="173"/>
      <c r="FSF209" s="173"/>
      <c r="FSG209" s="173"/>
      <c r="FSH209" s="125"/>
      <c r="FSI209" s="125"/>
      <c r="FSJ209" s="134"/>
      <c r="FSK209" s="135"/>
      <c r="FSL209" s="135"/>
      <c r="FSM209" s="135"/>
      <c r="FSN209" s="135"/>
      <c r="FSO209" s="173"/>
      <c r="FSP209" s="173"/>
      <c r="FSQ209" s="173"/>
      <c r="FSR209" s="173"/>
      <c r="FSS209" s="173"/>
      <c r="FST209" s="173"/>
      <c r="FSU209" s="173"/>
      <c r="FSV209" s="173"/>
      <c r="FSW209" s="173"/>
      <c r="FSX209" s="173"/>
      <c r="FSY209" s="125"/>
      <c r="FSZ209" s="125"/>
      <c r="FTA209" s="134"/>
      <c r="FTB209" s="135"/>
      <c r="FTC209" s="135"/>
      <c r="FTD209" s="135"/>
      <c r="FTE209" s="135"/>
      <c r="FTF209" s="173"/>
      <c r="FTG209" s="173"/>
      <c r="FTH209" s="173"/>
      <c r="FTI209" s="173"/>
      <c r="FTJ209" s="173"/>
      <c r="FTK209" s="173"/>
      <c r="FTL209" s="173"/>
      <c r="FTM209" s="173"/>
      <c r="FTN209" s="173"/>
      <c r="FTO209" s="173"/>
      <c r="FTP209" s="125"/>
      <c r="FTQ209" s="125"/>
      <c r="FTR209" s="134"/>
      <c r="FTS209" s="135"/>
      <c r="FTT209" s="135"/>
      <c r="FTU209" s="135"/>
      <c r="FTV209" s="135"/>
      <c r="FTW209" s="173"/>
      <c r="FTX209" s="173"/>
      <c r="FTY209" s="173"/>
      <c r="FTZ209" s="173"/>
      <c r="FUA209" s="173"/>
      <c r="FUB209" s="173"/>
      <c r="FUC209" s="173"/>
      <c r="FUD209" s="173"/>
      <c r="FUE209" s="173"/>
      <c r="FUF209" s="173"/>
      <c r="FUG209" s="125"/>
      <c r="FUH209" s="125"/>
      <c r="FUI209" s="134"/>
      <c r="FUJ209" s="135"/>
      <c r="FUK209" s="135"/>
      <c r="FUL209" s="135"/>
      <c r="FUM209" s="135"/>
      <c r="FUN209" s="173"/>
      <c r="FUO209" s="173"/>
      <c r="FUP209" s="173"/>
      <c r="FUQ209" s="173"/>
      <c r="FUR209" s="173"/>
      <c r="FUS209" s="173"/>
      <c r="FUT209" s="173"/>
      <c r="FUU209" s="173"/>
      <c r="FUV209" s="173"/>
      <c r="FUW209" s="173"/>
      <c r="FUX209" s="125"/>
      <c r="FUY209" s="125"/>
      <c r="FUZ209" s="134"/>
      <c r="FVA209" s="135"/>
      <c r="FVB209" s="135"/>
      <c r="FVC209" s="135"/>
      <c r="FVD209" s="135"/>
      <c r="FVE209" s="173"/>
      <c r="FVF209" s="173"/>
      <c r="FVG209" s="173"/>
      <c r="FVH209" s="173"/>
      <c r="FVI209" s="173"/>
      <c r="FVJ209" s="173"/>
      <c r="FVK209" s="173"/>
      <c r="FVL209" s="173"/>
      <c r="FVM209" s="173"/>
      <c r="FVN209" s="173"/>
      <c r="FVO209" s="125"/>
      <c r="FVP209" s="125"/>
      <c r="FVQ209" s="134"/>
      <c r="FVR209" s="135"/>
      <c r="FVS209" s="135"/>
      <c r="FVT209" s="135"/>
      <c r="FVU209" s="135"/>
      <c r="FVV209" s="173"/>
      <c r="FVW209" s="173"/>
      <c r="FVX209" s="173"/>
      <c r="FVY209" s="173"/>
      <c r="FVZ209" s="173"/>
      <c r="FWA209" s="173"/>
      <c r="FWB209" s="173"/>
      <c r="FWC209" s="173"/>
      <c r="FWD209" s="173"/>
      <c r="FWE209" s="173"/>
      <c r="FWF209" s="125"/>
      <c r="FWG209" s="125"/>
      <c r="FWH209" s="134"/>
      <c r="FWI209" s="135"/>
      <c r="FWJ209" s="135"/>
      <c r="FWK209" s="135"/>
      <c r="FWL209" s="135"/>
      <c r="FWM209" s="173"/>
      <c r="FWN209" s="173"/>
      <c r="FWO209" s="173"/>
      <c r="FWP209" s="173"/>
      <c r="FWQ209" s="173"/>
      <c r="FWR209" s="173"/>
      <c r="FWS209" s="173"/>
      <c r="FWT209" s="173"/>
      <c r="FWU209" s="173"/>
      <c r="FWV209" s="173"/>
      <c r="FWW209" s="125"/>
      <c r="FWX209" s="125"/>
      <c r="FWY209" s="134"/>
      <c r="FWZ209" s="135"/>
      <c r="FXA209" s="135"/>
      <c r="FXB209" s="135"/>
      <c r="FXC209" s="135"/>
      <c r="FXD209" s="173"/>
      <c r="FXE209" s="173"/>
      <c r="FXF209" s="173"/>
      <c r="FXG209" s="173"/>
      <c r="FXH209" s="173"/>
      <c r="FXI209" s="173"/>
      <c r="FXJ209" s="173"/>
      <c r="FXK209" s="173"/>
      <c r="FXL209" s="173"/>
      <c r="FXM209" s="173"/>
      <c r="FXN209" s="125"/>
      <c r="FXO209" s="125"/>
      <c r="FXP209" s="134"/>
      <c r="FXQ209" s="135"/>
      <c r="FXR209" s="135"/>
      <c r="FXS209" s="135"/>
      <c r="FXT209" s="135"/>
      <c r="FXU209" s="173"/>
      <c r="FXV209" s="173"/>
      <c r="FXW209" s="173"/>
      <c r="FXX209" s="173"/>
      <c r="FXY209" s="173"/>
      <c r="FXZ209" s="173"/>
      <c r="FYA209" s="173"/>
      <c r="FYB209" s="173"/>
      <c r="FYC209" s="173"/>
      <c r="FYD209" s="173"/>
      <c r="FYE209" s="125"/>
      <c r="FYF209" s="125"/>
      <c r="FYG209" s="134"/>
      <c r="FYH209" s="135"/>
      <c r="FYI209" s="135"/>
      <c r="FYJ209" s="135"/>
      <c r="FYK209" s="135"/>
      <c r="FYL209" s="173"/>
      <c r="FYM209" s="173"/>
      <c r="FYN209" s="173"/>
      <c r="FYO209" s="173"/>
      <c r="FYP209" s="173"/>
      <c r="FYQ209" s="173"/>
      <c r="FYR209" s="173"/>
      <c r="FYS209" s="173"/>
      <c r="FYT209" s="173"/>
      <c r="FYU209" s="173"/>
      <c r="FYV209" s="125"/>
      <c r="FYW209" s="125"/>
      <c r="FYX209" s="134"/>
      <c r="FYY209" s="135"/>
      <c r="FYZ209" s="135"/>
      <c r="FZA209" s="135"/>
      <c r="FZB209" s="135"/>
      <c r="FZC209" s="173"/>
      <c r="FZD209" s="173"/>
      <c r="FZE209" s="173"/>
      <c r="FZF209" s="173"/>
      <c r="FZG209" s="173"/>
      <c r="FZH209" s="173"/>
      <c r="FZI209" s="173"/>
      <c r="FZJ209" s="173"/>
      <c r="FZK209" s="173"/>
      <c r="FZL209" s="173"/>
      <c r="FZM209" s="125"/>
      <c r="FZN209" s="125"/>
      <c r="FZO209" s="134"/>
      <c r="FZP209" s="135"/>
      <c r="FZQ209" s="135"/>
      <c r="FZR209" s="135"/>
      <c r="FZS209" s="135"/>
      <c r="FZT209" s="173"/>
      <c r="FZU209" s="173"/>
      <c r="FZV209" s="173"/>
      <c r="FZW209" s="173"/>
      <c r="FZX209" s="173"/>
      <c r="FZY209" s="173"/>
      <c r="FZZ209" s="173"/>
      <c r="GAA209" s="173"/>
      <c r="GAB209" s="173"/>
      <c r="GAC209" s="173"/>
      <c r="GAD209" s="125"/>
      <c r="GAE209" s="125"/>
      <c r="GAF209" s="134"/>
      <c r="GAG209" s="135"/>
      <c r="GAH209" s="135"/>
      <c r="GAI209" s="135"/>
      <c r="GAJ209" s="135"/>
      <c r="GAK209" s="173"/>
      <c r="GAL209" s="173"/>
      <c r="GAM209" s="173"/>
      <c r="GAN209" s="173"/>
      <c r="GAO209" s="173"/>
      <c r="GAP209" s="173"/>
      <c r="GAQ209" s="173"/>
      <c r="GAR209" s="173"/>
      <c r="GAS209" s="173"/>
      <c r="GAT209" s="173"/>
      <c r="GAU209" s="125"/>
      <c r="GAV209" s="125"/>
      <c r="GAW209" s="134"/>
      <c r="GAX209" s="135"/>
      <c r="GAY209" s="135"/>
      <c r="GAZ209" s="135"/>
      <c r="GBA209" s="135"/>
      <c r="GBB209" s="173"/>
      <c r="GBC209" s="173"/>
      <c r="GBD209" s="173"/>
      <c r="GBE209" s="173"/>
      <c r="GBF209" s="173"/>
      <c r="GBG209" s="173"/>
      <c r="GBH209" s="173"/>
      <c r="GBI209" s="173"/>
      <c r="GBJ209" s="173"/>
      <c r="GBK209" s="173"/>
      <c r="GBL209" s="125"/>
      <c r="GBM209" s="125"/>
      <c r="GBN209" s="134"/>
      <c r="GBO209" s="135"/>
      <c r="GBP209" s="135"/>
      <c r="GBQ209" s="135"/>
      <c r="GBR209" s="135"/>
      <c r="GBS209" s="173"/>
      <c r="GBT209" s="173"/>
      <c r="GBU209" s="173"/>
      <c r="GBV209" s="173"/>
      <c r="GBW209" s="173"/>
      <c r="GBX209" s="173"/>
      <c r="GBY209" s="173"/>
      <c r="GBZ209" s="173"/>
      <c r="GCA209" s="173"/>
      <c r="GCB209" s="173"/>
      <c r="GCC209" s="125"/>
      <c r="GCD209" s="125"/>
      <c r="GCE209" s="134"/>
      <c r="GCF209" s="135"/>
      <c r="GCG209" s="135"/>
      <c r="GCH209" s="135"/>
      <c r="GCI209" s="135"/>
      <c r="GCJ209" s="173"/>
      <c r="GCK209" s="173"/>
      <c r="GCL209" s="173"/>
      <c r="GCM209" s="173"/>
      <c r="GCN209" s="173"/>
      <c r="GCO209" s="173"/>
      <c r="GCP209" s="173"/>
      <c r="GCQ209" s="173"/>
      <c r="GCR209" s="173"/>
      <c r="GCS209" s="173"/>
      <c r="GCT209" s="125"/>
      <c r="GCU209" s="125"/>
      <c r="GCV209" s="134"/>
      <c r="GCW209" s="135"/>
      <c r="GCX209" s="135"/>
      <c r="GCY209" s="135"/>
      <c r="GCZ209" s="135"/>
      <c r="GDA209" s="173"/>
      <c r="GDB209" s="173"/>
      <c r="GDC209" s="173"/>
      <c r="GDD209" s="173"/>
      <c r="GDE209" s="173"/>
      <c r="GDF209" s="173"/>
      <c r="GDG209" s="173"/>
      <c r="GDH209" s="173"/>
      <c r="GDI209" s="173"/>
      <c r="GDJ209" s="173"/>
      <c r="GDK209" s="125"/>
      <c r="GDL209" s="125"/>
      <c r="GDM209" s="134"/>
      <c r="GDN209" s="135"/>
      <c r="GDO209" s="135"/>
      <c r="GDP209" s="135"/>
      <c r="GDQ209" s="135"/>
      <c r="GDR209" s="173"/>
      <c r="GDS209" s="173"/>
      <c r="GDT209" s="173"/>
      <c r="GDU209" s="173"/>
      <c r="GDV209" s="173"/>
      <c r="GDW209" s="173"/>
      <c r="GDX209" s="173"/>
      <c r="GDY209" s="173"/>
      <c r="GDZ209" s="173"/>
      <c r="GEA209" s="173"/>
      <c r="GEB209" s="125"/>
      <c r="GEC209" s="125"/>
      <c r="GED209" s="134"/>
      <c r="GEE209" s="135"/>
      <c r="GEF209" s="135"/>
      <c r="GEG209" s="135"/>
      <c r="GEH209" s="135"/>
      <c r="GEI209" s="173"/>
      <c r="GEJ209" s="173"/>
      <c r="GEK209" s="173"/>
      <c r="GEL209" s="173"/>
      <c r="GEM209" s="173"/>
      <c r="GEN209" s="173"/>
      <c r="GEO209" s="173"/>
      <c r="GEP209" s="173"/>
      <c r="GEQ209" s="173"/>
      <c r="GER209" s="173"/>
      <c r="GES209" s="125"/>
      <c r="GET209" s="125"/>
      <c r="GEU209" s="134"/>
      <c r="GEV209" s="135"/>
      <c r="GEW209" s="135"/>
      <c r="GEX209" s="135"/>
      <c r="GEY209" s="135"/>
      <c r="GEZ209" s="173"/>
      <c r="GFA209" s="173"/>
      <c r="GFB209" s="173"/>
      <c r="GFC209" s="173"/>
      <c r="GFD209" s="173"/>
      <c r="GFE209" s="173"/>
      <c r="GFF209" s="173"/>
      <c r="GFG209" s="173"/>
      <c r="GFH209" s="173"/>
      <c r="GFI209" s="173"/>
      <c r="GFJ209" s="125"/>
      <c r="GFK209" s="125"/>
      <c r="GFL209" s="134"/>
      <c r="GFM209" s="135"/>
      <c r="GFN209" s="135"/>
      <c r="GFO209" s="135"/>
      <c r="GFP209" s="135"/>
      <c r="GFQ209" s="173"/>
      <c r="GFR209" s="173"/>
      <c r="GFS209" s="173"/>
      <c r="GFT209" s="173"/>
      <c r="GFU209" s="173"/>
      <c r="GFV209" s="173"/>
      <c r="GFW209" s="173"/>
      <c r="GFX209" s="173"/>
      <c r="GFY209" s="173"/>
      <c r="GFZ209" s="173"/>
      <c r="GGA209" s="125"/>
      <c r="GGB209" s="125"/>
      <c r="GGC209" s="134"/>
      <c r="GGD209" s="135"/>
      <c r="GGE209" s="135"/>
      <c r="GGF209" s="135"/>
      <c r="GGG209" s="135"/>
      <c r="GGH209" s="173"/>
      <c r="GGI209" s="173"/>
      <c r="GGJ209" s="173"/>
      <c r="GGK209" s="173"/>
      <c r="GGL209" s="173"/>
      <c r="GGM209" s="173"/>
      <c r="GGN209" s="173"/>
      <c r="GGO209" s="173"/>
      <c r="GGP209" s="173"/>
      <c r="GGQ209" s="173"/>
      <c r="GGR209" s="125"/>
      <c r="GGS209" s="125"/>
      <c r="GGT209" s="134"/>
      <c r="GGU209" s="135"/>
      <c r="GGV209" s="135"/>
      <c r="GGW209" s="135"/>
      <c r="GGX209" s="135"/>
      <c r="GGY209" s="173"/>
      <c r="GGZ209" s="173"/>
      <c r="GHA209" s="173"/>
      <c r="GHB209" s="173"/>
      <c r="GHC209" s="173"/>
      <c r="GHD209" s="173"/>
      <c r="GHE209" s="173"/>
      <c r="GHF209" s="173"/>
      <c r="GHG209" s="173"/>
      <c r="GHH209" s="173"/>
      <c r="GHI209" s="125"/>
      <c r="GHJ209" s="125"/>
      <c r="GHK209" s="134"/>
      <c r="GHL209" s="135"/>
      <c r="GHM209" s="135"/>
      <c r="GHN209" s="135"/>
      <c r="GHO209" s="135"/>
      <c r="GHP209" s="173"/>
      <c r="GHQ209" s="173"/>
      <c r="GHR209" s="173"/>
      <c r="GHS209" s="173"/>
      <c r="GHT209" s="173"/>
      <c r="GHU209" s="173"/>
      <c r="GHV209" s="173"/>
      <c r="GHW209" s="173"/>
      <c r="GHX209" s="173"/>
      <c r="GHY209" s="173"/>
      <c r="GHZ209" s="125"/>
      <c r="GIA209" s="125"/>
      <c r="GIB209" s="134"/>
      <c r="GIC209" s="135"/>
      <c r="GID209" s="135"/>
      <c r="GIE209" s="135"/>
      <c r="GIF209" s="135"/>
      <c r="GIG209" s="173"/>
      <c r="GIH209" s="173"/>
      <c r="GII209" s="173"/>
      <c r="GIJ209" s="173"/>
      <c r="GIK209" s="173"/>
      <c r="GIL209" s="173"/>
      <c r="GIM209" s="173"/>
      <c r="GIN209" s="173"/>
      <c r="GIO209" s="173"/>
      <c r="GIP209" s="173"/>
      <c r="GIQ209" s="125"/>
      <c r="GIR209" s="125"/>
      <c r="GIS209" s="134"/>
      <c r="GIT209" s="135"/>
      <c r="GIU209" s="135"/>
      <c r="GIV209" s="135"/>
      <c r="GIW209" s="135"/>
      <c r="GIX209" s="173"/>
      <c r="GIY209" s="173"/>
      <c r="GIZ209" s="173"/>
      <c r="GJA209" s="173"/>
      <c r="GJB209" s="173"/>
      <c r="GJC209" s="173"/>
      <c r="GJD209" s="173"/>
      <c r="GJE209" s="173"/>
      <c r="GJF209" s="173"/>
      <c r="GJG209" s="173"/>
      <c r="GJH209" s="125"/>
      <c r="GJI209" s="125"/>
      <c r="GJJ209" s="134"/>
      <c r="GJK209" s="135"/>
      <c r="GJL209" s="135"/>
      <c r="GJM209" s="135"/>
      <c r="GJN209" s="135"/>
      <c r="GJO209" s="173"/>
      <c r="GJP209" s="173"/>
      <c r="GJQ209" s="173"/>
      <c r="GJR209" s="173"/>
      <c r="GJS209" s="173"/>
      <c r="GJT209" s="173"/>
      <c r="GJU209" s="173"/>
      <c r="GJV209" s="173"/>
      <c r="GJW209" s="173"/>
      <c r="GJX209" s="173"/>
      <c r="GJY209" s="125"/>
      <c r="GJZ209" s="125"/>
      <c r="GKA209" s="134"/>
      <c r="GKB209" s="135"/>
      <c r="GKC209" s="135"/>
      <c r="GKD209" s="135"/>
      <c r="GKE209" s="135"/>
      <c r="GKF209" s="173"/>
      <c r="GKG209" s="173"/>
      <c r="GKH209" s="173"/>
      <c r="GKI209" s="173"/>
      <c r="GKJ209" s="173"/>
      <c r="GKK209" s="173"/>
      <c r="GKL209" s="173"/>
      <c r="GKM209" s="173"/>
      <c r="GKN209" s="173"/>
      <c r="GKO209" s="173"/>
      <c r="GKP209" s="125"/>
      <c r="GKQ209" s="125"/>
      <c r="GKR209" s="134"/>
      <c r="GKS209" s="135"/>
      <c r="GKT209" s="135"/>
      <c r="GKU209" s="135"/>
      <c r="GKV209" s="135"/>
      <c r="GKW209" s="173"/>
      <c r="GKX209" s="173"/>
      <c r="GKY209" s="173"/>
      <c r="GKZ209" s="173"/>
      <c r="GLA209" s="173"/>
      <c r="GLB209" s="173"/>
      <c r="GLC209" s="173"/>
      <c r="GLD209" s="173"/>
      <c r="GLE209" s="173"/>
      <c r="GLF209" s="173"/>
      <c r="GLG209" s="125"/>
      <c r="GLH209" s="125"/>
      <c r="GLI209" s="134"/>
      <c r="GLJ209" s="135"/>
      <c r="GLK209" s="135"/>
      <c r="GLL209" s="135"/>
      <c r="GLM209" s="135"/>
      <c r="GLN209" s="173"/>
      <c r="GLO209" s="173"/>
      <c r="GLP209" s="173"/>
      <c r="GLQ209" s="173"/>
      <c r="GLR209" s="173"/>
      <c r="GLS209" s="173"/>
      <c r="GLT209" s="173"/>
      <c r="GLU209" s="173"/>
      <c r="GLV209" s="173"/>
      <c r="GLW209" s="173"/>
      <c r="GLX209" s="125"/>
      <c r="GLY209" s="125"/>
      <c r="GLZ209" s="134"/>
      <c r="GMA209" s="135"/>
      <c r="GMB209" s="135"/>
      <c r="GMC209" s="135"/>
      <c r="GMD209" s="135"/>
      <c r="GME209" s="173"/>
      <c r="GMF209" s="173"/>
      <c r="GMG209" s="173"/>
      <c r="GMH209" s="173"/>
      <c r="GMI209" s="173"/>
      <c r="GMJ209" s="173"/>
      <c r="GMK209" s="173"/>
      <c r="GML209" s="173"/>
      <c r="GMM209" s="173"/>
      <c r="GMN209" s="173"/>
      <c r="GMO209" s="125"/>
      <c r="GMP209" s="125"/>
      <c r="GMQ209" s="134"/>
      <c r="GMR209" s="135"/>
      <c r="GMS209" s="135"/>
      <c r="GMT209" s="135"/>
      <c r="GMU209" s="135"/>
      <c r="GMV209" s="173"/>
      <c r="GMW209" s="173"/>
      <c r="GMX209" s="173"/>
      <c r="GMY209" s="173"/>
      <c r="GMZ209" s="173"/>
      <c r="GNA209" s="173"/>
      <c r="GNB209" s="173"/>
      <c r="GNC209" s="173"/>
      <c r="GND209" s="173"/>
      <c r="GNE209" s="173"/>
      <c r="GNF209" s="125"/>
      <c r="GNG209" s="125"/>
      <c r="GNH209" s="134"/>
      <c r="GNI209" s="135"/>
      <c r="GNJ209" s="135"/>
      <c r="GNK209" s="135"/>
      <c r="GNL209" s="135"/>
      <c r="GNM209" s="173"/>
      <c r="GNN209" s="173"/>
      <c r="GNO209" s="173"/>
      <c r="GNP209" s="173"/>
      <c r="GNQ209" s="173"/>
      <c r="GNR209" s="173"/>
      <c r="GNS209" s="173"/>
      <c r="GNT209" s="173"/>
      <c r="GNU209" s="173"/>
      <c r="GNV209" s="173"/>
      <c r="GNW209" s="125"/>
      <c r="GNX209" s="125"/>
      <c r="GNY209" s="134"/>
      <c r="GNZ209" s="135"/>
      <c r="GOA209" s="135"/>
      <c r="GOB209" s="135"/>
      <c r="GOC209" s="135"/>
      <c r="GOD209" s="173"/>
      <c r="GOE209" s="173"/>
      <c r="GOF209" s="173"/>
      <c r="GOG209" s="173"/>
      <c r="GOH209" s="173"/>
      <c r="GOI209" s="173"/>
      <c r="GOJ209" s="173"/>
      <c r="GOK209" s="173"/>
      <c r="GOL209" s="173"/>
      <c r="GOM209" s="173"/>
      <c r="GON209" s="125"/>
      <c r="GOO209" s="125"/>
      <c r="GOP209" s="134"/>
      <c r="GOQ209" s="135"/>
      <c r="GOR209" s="135"/>
      <c r="GOS209" s="135"/>
      <c r="GOT209" s="135"/>
      <c r="GOU209" s="173"/>
      <c r="GOV209" s="173"/>
      <c r="GOW209" s="173"/>
      <c r="GOX209" s="173"/>
      <c r="GOY209" s="173"/>
      <c r="GOZ209" s="173"/>
      <c r="GPA209" s="173"/>
      <c r="GPB209" s="173"/>
      <c r="GPC209" s="173"/>
      <c r="GPD209" s="173"/>
      <c r="GPE209" s="125"/>
      <c r="GPF209" s="125"/>
      <c r="GPG209" s="134"/>
      <c r="GPH209" s="135"/>
      <c r="GPI209" s="135"/>
      <c r="GPJ209" s="135"/>
      <c r="GPK209" s="135"/>
      <c r="GPL209" s="173"/>
      <c r="GPM209" s="173"/>
      <c r="GPN209" s="173"/>
      <c r="GPO209" s="173"/>
      <c r="GPP209" s="173"/>
      <c r="GPQ209" s="173"/>
      <c r="GPR209" s="173"/>
      <c r="GPS209" s="173"/>
      <c r="GPT209" s="173"/>
      <c r="GPU209" s="173"/>
      <c r="GPV209" s="125"/>
      <c r="GPW209" s="125"/>
      <c r="GPX209" s="134"/>
      <c r="GPY209" s="135"/>
      <c r="GPZ209" s="135"/>
      <c r="GQA209" s="135"/>
      <c r="GQB209" s="135"/>
      <c r="GQC209" s="173"/>
      <c r="GQD209" s="173"/>
      <c r="GQE209" s="173"/>
      <c r="GQF209" s="173"/>
      <c r="GQG209" s="173"/>
      <c r="GQH209" s="173"/>
      <c r="GQI209" s="173"/>
      <c r="GQJ209" s="173"/>
      <c r="GQK209" s="173"/>
      <c r="GQL209" s="173"/>
      <c r="GQM209" s="125"/>
      <c r="GQN209" s="125"/>
      <c r="GQO209" s="134"/>
      <c r="GQP209" s="135"/>
      <c r="GQQ209" s="135"/>
      <c r="GQR209" s="135"/>
      <c r="GQS209" s="135"/>
      <c r="GQT209" s="173"/>
      <c r="GQU209" s="173"/>
      <c r="GQV209" s="173"/>
      <c r="GQW209" s="173"/>
      <c r="GQX209" s="173"/>
      <c r="GQY209" s="173"/>
      <c r="GQZ209" s="173"/>
      <c r="GRA209" s="173"/>
      <c r="GRB209" s="173"/>
      <c r="GRC209" s="173"/>
      <c r="GRD209" s="125"/>
      <c r="GRE209" s="125"/>
      <c r="GRF209" s="134"/>
      <c r="GRG209" s="135"/>
      <c r="GRH209" s="135"/>
      <c r="GRI209" s="135"/>
      <c r="GRJ209" s="135"/>
      <c r="GRK209" s="173"/>
      <c r="GRL209" s="173"/>
      <c r="GRM209" s="173"/>
      <c r="GRN209" s="173"/>
      <c r="GRO209" s="173"/>
      <c r="GRP209" s="173"/>
      <c r="GRQ209" s="173"/>
      <c r="GRR209" s="173"/>
      <c r="GRS209" s="173"/>
      <c r="GRT209" s="173"/>
      <c r="GRU209" s="125"/>
      <c r="GRV209" s="125"/>
      <c r="GRW209" s="134"/>
      <c r="GRX209" s="135"/>
      <c r="GRY209" s="135"/>
      <c r="GRZ209" s="135"/>
      <c r="GSA209" s="135"/>
      <c r="GSB209" s="173"/>
      <c r="GSC209" s="173"/>
      <c r="GSD209" s="173"/>
      <c r="GSE209" s="173"/>
      <c r="GSF209" s="173"/>
      <c r="GSG209" s="173"/>
      <c r="GSH209" s="173"/>
      <c r="GSI209" s="173"/>
      <c r="GSJ209" s="173"/>
      <c r="GSK209" s="173"/>
      <c r="GSL209" s="125"/>
      <c r="GSM209" s="125"/>
      <c r="GSN209" s="134"/>
      <c r="GSO209" s="135"/>
      <c r="GSP209" s="135"/>
      <c r="GSQ209" s="135"/>
      <c r="GSR209" s="135"/>
      <c r="GSS209" s="173"/>
      <c r="GST209" s="173"/>
      <c r="GSU209" s="173"/>
      <c r="GSV209" s="173"/>
      <c r="GSW209" s="173"/>
      <c r="GSX209" s="173"/>
      <c r="GSY209" s="173"/>
      <c r="GSZ209" s="173"/>
      <c r="GTA209" s="173"/>
      <c r="GTB209" s="173"/>
      <c r="GTC209" s="125"/>
      <c r="GTD209" s="125"/>
      <c r="GTE209" s="134"/>
      <c r="GTF209" s="135"/>
      <c r="GTG209" s="135"/>
      <c r="GTH209" s="135"/>
      <c r="GTI209" s="135"/>
      <c r="GTJ209" s="173"/>
      <c r="GTK209" s="173"/>
      <c r="GTL209" s="173"/>
      <c r="GTM209" s="173"/>
      <c r="GTN209" s="173"/>
      <c r="GTO209" s="173"/>
      <c r="GTP209" s="173"/>
      <c r="GTQ209" s="173"/>
      <c r="GTR209" s="173"/>
      <c r="GTS209" s="173"/>
      <c r="GTT209" s="125"/>
      <c r="GTU209" s="125"/>
      <c r="GTV209" s="134"/>
      <c r="GTW209" s="135"/>
      <c r="GTX209" s="135"/>
      <c r="GTY209" s="135"/>
      <c r="GTZ209" s="135"/>
      <c r="GUA209" s="173"/>
      <c r="GUB209" s="173"/>
      <c r="GUC209" s="173"/>
      <c r="GUD209" s="173"/>
      <c r="GUE209" s="173"/>
      <c r="GUF209" s="173"/>
      <c r="GUG209" s="173"/>
      <c r="GUH209" s="173"/>
      <c r="GUI209" s="173"/>
      <c r="GUJ209" s="173"/>
      <c r="GUK209" s="125"/>
      <c r="GUL209" s="125"/>
      <c r="GUM209" s="134"/>
      <c r="GUN209" s="135"/>
      <c r="GUO209" s="135"/>
      <c r="GUP209" s="135"/>
      <c r="GUQ209" s="135"/>
      <c r="GUR209" s="173"/>
      <c r="GUS209" s="173"/>
      <c r="GUT209" s="173"/>
      <c r="GUU209" s="173"/>
      <c r="GUV209" s="173"/>
      <c r="GUW209" s="173"/>
      <c r="GUX209" s="173"/>
      <c r="GUY209" s="173"/>
      <c r="GUZ209" s="173"/>
      <c r="GVA209" s="173"/>
      <c r="GVB209" s="125"/>
      <c r="GVC209" s="125"/>
      <c r="GVD209" s="134"/>
      <c r="GVE209" s="135"/>
      <c r="GVF209" s="135"/>
      <c r="GVG209" s="135"/>
      <c r="GVH209" s="135"/>
      <c r="GVI209" s="173"/>
      <c r="GVJ209" s="173"/>
      <c r="GVK209" s="173"/>
      <c r="GVL209" s="173"/>
      <c r="GVM209" s="173"/>
      <c r="GVN209" s="173"/>
      <c r="GVO209" s="173"/>
      <c r="GVP209" s="173"/>
      <c r="GVQ209" s="173"/>
      <c r="GVR209" s="173"/>
      <c r="GVS209" s="125"/>
      <c r="GVT209" s="125"/>
      <c r="GVU209" s="134"/>
      <c r="GVV209" s="135"/>
      <c r="GVW209" s="135"/>
      <c r="GVX209" s="135"/>
      <c r="GVY209" s="135"/>
      <c r="GVZ209" s="173"/>
      <c r="GWA209" s="173"/>
      <c r="GWB209" s="173"/>
      <c r="GWC209" s="173"/>
      <c r="GWD209" s="173"/>
      <c r="GWE209" s="173"/>
      <c r="GWF209" s="173"/>
      <c r="GWG209" s="173"/>
      <c r="GWH209" s="173"/>
      <c r="GWI209" s="173"/>
      <c r="GWJ209" s="125"/>
      <c r="GWK209" s="125"/>
      <c r="GWL209" s="134"/>
      <c r="GWM209" s="135"/>
      <c r="GWN209" s="135"/>
      <c r="GWO209" s="135"/>
      <c r="GWP209" s="135"/>
      <c r="GWQ209" s="173"/>
      <c r="GWR209" s="173"/>
      <c r="GWS209" s="173"/>
      <c r="GWT209" s="173"/>
      <c r="GWU209" s="173"/>
      <c r="GWV209" s="173"/>
      <c r="GWW209" s="173"/>
      <c r="GWX209" s="173"/>
      <c r="GWY209" s="173"/>
      <c r="GWZ209" s="173"/>
      <c r="GXA209" s="125"/>
      <c r="GXB209" s="125"/>
      <c r="GXC209" s="134"/>
      <c r="GXD209" s="135"/>
      <c r="GXE209" s="135"/>
      <c r="GXF209" s="135"/>
      <c r="GXG209" s="135"/>
      <c r="GXH209" s="173"/>
      <c r="GXI209" s="173"/>
      <c r="GXJ209" s="173"/>
      <c r="GXK209" s="173"/>
      <c r="GXL209" s="173"/>
      <c r="GXM209" s="173"/>
      <c r="GXN209" s="173"/>
      <c r="GXO209" s="173"/>
      <c r="GXP209" s="173"/>
      <c r="GXQ209" s="173"/>
      <c r="GXR209" s="125"/>
      <c r="GXS209" s="125"/>
      <c r="GXT209" s="134"/>
      <c r="GXU209" s="135"/>
      <c r="GXV209" s="135"/>
      <c r="GXW209" s="135"/>
      <c r="GXX209" s="135"/>
      <c r="GXY209" s="173"/>
      <c r="GXZ209" s="173"/>
      <c r="GYA209" s="173"/>
      <c r="GYB209" s="173"/>
      <c r="GYC209" s="173"/>
      <c r="GYD209" s="173"/>
      <c r="GYE209" s="173"/>
      <c r="GYF209" s="173"/>
      <c r="GYG209" s="173"/>
      <c r="GYH209" s="173"/>
      <c r="GYI209" s="125"/>
      <c r="GYJ209" s="125"/>
      <c r="GYK209" s="134"/>
      <c r="GYL209" s="135"/>
      <c r="GYM209" s="135"/>
      <c r="GYN209" s="135"/>
      <c r="GYO209" s="135"/>
      <c r="GYP209" s="173"/>
      <c r="GYQ209" s="173"/>
      <c r="GYR209" s="173"/>
      <c r="GYS209" s="173"/>
      <c r="GYT209" s="173"/>
      <c r="GYU209" s="173"/>
      <c r="GYV209" s="173"/>
      <c r="GYW209" s="173"/>
      <c r="GYX209" s="173"/>
      <c r="GYY209" s="173"/>
      <c r="GYZ209" s="125"/>
      <c r="GZA209" s="125"/>
      <c r="GZB209" s="134"/>
      <c r="GZC209" s="135"/>
      <c r="GZD209" s="135"/>
      <c r="GZE209" s="135"/>
      <c r="GZF209" s="135"/>
      <c r="GZG209" s="173"/>
      <c r="GZH209" s="173"/>
      <c r="GZI209" s="173"/>
      <c r="GZJ209" s="173"/>
      <c r="GZK209" s="173"/>
      <c r="GZL209" s="173"/>
      <c r="GZM209" s="173"/>
      <c r="GZN209" s="173"/>
      <c r="GZO209" s="173"/>
      <c r="GZP209" s="173"/>
      <c r="GZQ209" s="125"/>
      <c r="GZR209" s="125"/>
      <c r="GZS209" s="134"/>
      <c r="GZT209" s="135"/>
      <c r="GZU209" s="135"/>
      <c r="GZV209" s="135"/>
      <c r="GZW209" s="135"/>
      <c r="GZX209" s="173"/>
      <c r="GZY209" s="173"/>
      <c r="GZZ209" s="173"/>
      <c r="HAA209" s="173"/>
      <c r="HAB209" s="173"/>
      <c r="HAC209" s="173"/>
      <c r="HAD209" s="173"/>
      <c r="HAE209" s="173"/>
      <c r="HAF209" s="173"/>
      <c r="HAG209" s="173"/>
      <c r="HAH209" s="125"/>
      <c r="HAI209" s="125"/>
      <c r="HAJ209" s="134"/>
      <c r="HAK209" s="135"/>
      <c r="HAL209" s="135"/>
      <c r="HAM209" s="135"/>
      <c r="HAN209" s="135"/>
      <c r="HAO209" s="173"/>
      <c r="HAP209" s="173"/>
      <c r="HAQ209" s="173"/>
      <c r="HAR209" s="173"/>
      <c r="HAS209" s="173"/>
      <c r="HAT209" s="173"/>
      <c r="HAU209" s="173"/>
      <c r="HAV209" s="173"/>
      <c r="HAW209" s="173"/>
      <c r="HAX209" s="173"/>
      <c r="HAY209" s="125"/>
      <c r="HAZ209" s="125"/>
      <c r="HBA209" s="134"/>
      <c r="HBB209" s="135"/>
      <c r="HBC209" s="135"/>
      <c r="HBD209" s="135"/>
      <c r="HBE209" s="135"/>
      <c r="HBF209" s="173"/>
      <c r="HBG209" s="173"/>
      <c r="HBH209" s="173"/>
      <c r="HBI209" s="173"/>
      <c r="HBJ209" s="173"/>
      <c r="HBK209" s="173"/>
      <c r="HBL209" s="173"/>
      <c r="HBM209" s="173"/>
      <c r="HBN209" s="173"/>
      <c r="HBO209" s="173"/>
      <c r="HBP209" s="125"/>
      <c r="HBQ209" s="125"/>
      <c r="HBR209" s="134"/>
      <c r="HBS209" s="135"/>
      <c r="HBT209" s="135"/>
      <c r="HBU209" s="135"/>
      <c r="HBV209" s="135"/>
      <c r="HBW209" s="173"/>
      <c r="HBX209" s="173"/>
      <c r="HBY209" s="173"/>
      <c r="HBZ209" s="173"/>
      <c r="HCA209" s="173"/>
      <c r="HCB209" s="173"/>
      <c r="HCC209" s="173"/>
      <c r="HCD209" s="173"/>
      <c r="HCE209" s="173"/>
      <c r="HCF209" s="173"/>
      <c r="HCG209" s="125"/>
      <c r="HCH209" s="125"/>
      <c r="HCI209" s="134"/>
      <c r="HCJ209" s="135"/>
      <c r="HCK209" s="135"/>
      <c r="HCL209" s="135"/>
      <c r="HCM209" s="135"/>
      <c r="HCN209" s="173"/>
      <c r="HCO209" s="173"/>
      <c r="HCP209" s="173"/>
      <c r="HCQ209" s="173"/>
      <c r="HCR209" s="173"/>
      <c r="HCS209" s="173"/>
      <c r="HCT209" s="173"/>
      <c r="HCU209" s="173"/>
      <c r="HCV209" s="173"/>
      <c r="HCW209" s="173"/>
      <c r="HCX209" s="125"/>
      <c r="HCY209" s="125"/>
      <c r="HCZ209" s="134"/>
      <c r="HDA209" s="135"/>
      <c r="HDB209" s="135"/>
      <c r="HDC209" s="135"/>
      <c r="HDD209" s="135"/>
      <c r="HDE209" s="173"/>
      <c r="HDF209" s="173"/>
      <c r="HDG209" s="173"/>
      <c r="HDH209" s="173"/>
      <c r="HDI209" s="173"/>
      <c r="HDJ209" s="173"/>
      <c r="HDK209" s="173"/>
      <c r="HDL209" s="173"/>
      <c r="HDM209" s="173"/>
      <c r="HDN209" s="173"/>
      <c r="HDO209" s="125"/>
      <c r="HDP209" s="125"/>
      <c r="HDQ209" s="134"/>
      <c r="HDR209" s="135"/>
      <c r="HDS209" s="135"/>
      <c r="HDT209" s="135"/>
      <c r="HDU209" s="135"/>
      <c r="HDV209" s="173"/>
      <c r="HDW209" s="173"/>
      <c r="HDX209" s="173"/>
      <c r="HDY209" s="173"/>
      <c r="HDZ209" s="173"/>
      <c r="HEA209" s="173"/>
      <c r="HEB209" s="173"/>
      <c r="HEC209" s="173"/>
      <c r="HED209" s="173"/>
      <c r="HEE209" s="173"/>
      <c r="HEF209" s="125"/>
      <c r="HEG209" s="125"/>
      <c r="HEH209" s="134"/>
      <c r="HEI209" s="135"/>
      <c r="HEJ209" s="135"/>
      <c r="HEK209" s="135"/>
      <c r="HEL209" s="135"/>
      <c r="HEM209" s="173"/>
      <c r="HEN209" s="173"/>
      <c r="HEO209" s="173"/>
      <c r="HEP209" s="173"/>
      <c r="HEQ209" s="173"/>
      <c r="HER209" s="173"/>
      <c r="HES209" s="173"/>
      <c r="HET209" s="173"/>
      <c r="HEU209" s="173"/>
      <c r="HEV209" s="173"/>
      <c r="HEW209" s="125"/>
      <c r="HEX209" s="125"/>
      <c r="HEY209" s="134"/>
      <c r="HEZ209" s="135"/>
      <c r="HFA209" s="135"/>
      <c r="HFB209" s="135"/>
      <c r="HFC209" s="135"/>
      <c r="HFD209" s="173"/>
      <c r="HFE209" s="173"/>
      <c r="HFF209" s="173"/>
      <c r="HFG209" s="173"/>
      <c r="HFH209" s="173"/>
      <c r="HFI209" s="173"/>
      <c r="HFJ209" s="173"/>
      <c r="HFK209" s="173"/>
      <c r="HFL209" s="173"/>
      <c r="HFM209" s="173"/>
      <c r="HFN209" s="125"/>
      <c r="HFO209" s="125"/>
      <c r="HFP209" s="134"/>
      <c r="HFQ209" s="135"/>
      <c r="HFR209" s="135"/>
      <c r="HFS209" s="135"/>
      <c r="HFT209" s="135"/>
      <c r="HFU209" s="173"/>
      <c r="HFV209" s="173"/>
      <c r="HFW209" s="173"/>
      <c r="HFX209" s="173"/>
      <c r="HFY209" s="173"/>
      <c r="HFZ209" s="173"/>
      <c r="HGA209" s="173"/>
      <c r="HGB209" s="173"/>
      <c r="HGC209" s="173"/>
      <c r="HGD209" s="173"/>
      <c r="HGE209" s="125"/>
      <c r="HGF209" s="125"/>
      <c r="HGG209" s="134"/>
      <c r="HGH209" s="135"/>
      <c r="HGI209" s="135"/>
      <c r="HGJ209" s="135"/>
      <c r="HGK209" s="135"/>
      <c r="HGL209" s="173"/>
      <c r="HGM209" s="173"/>
      <c r="HGN209" s="173"/>
      <c r="HGO209" s="173"/>
      <c r="HGP209" s="173"/>
      <c r="HGQ209" s="173"/>
      <c r="HGR209" s="173"/>
      <c r="HGS209" s="173"/>
      <c r="HGT209" s="173"/>
      <c r="HGU209" s="173"/>
      <c r="HGV209" s="125"/>
      <c r="HGW209" s="125"/>
      <c r="HGX209" s="134"/>
      <c r="HGY209" s="135"/>
      <c r="HGZ209" s="135"/>
      <c r="HHA209" s="135"/>
      <c r="HHB209" s="135"/>
      <c r="HHC209" s="173"/>
      <c r="HHD209" s="173"/>
      <c r="HHE209" s="173"/>
      <c r="HHF209" s="173"/>
      <c r="HHG209" s="173"/>
      <c r="HHH209" s="173"/>
      <c r="HHI209" s="173"/>
      <c r="HHJ209" s="173"/>
      <c r="HHK209" s="173"/>
      <c r="HHL209" s="173"/>
      <c r="HHM209" s="125"/>
      <c r="HHN209" s="125"/>
      <c r="HHO209" s="134"/>
      <c r="HHP209" s="135"/>
      <c r="HHQ209" s="135"/>
      <c r="HHR209" s="135"/>
      <c r="HHS209" s="135"/>
      <c r="HHT209" s="173"/>
      <c r="HHU209" s="173"/>
      <c r="HHV209" s="173"/>
      <c r="HHW209" s="173"/>
      <c r="HHX209" s="173"/>
      <c r="HHY209" s="173"/>
      <c r="HHZ209" s="173"/>
      <c r="HIA209" s="173"/>
      <c r="HIB209" s="173"/>
      <c r="HIC209" s="173"/>
      <c r="HID209" s="125"/>
      <c r="HIE209" s="125"/>
      <c r="HIF209" s="134"/>
      <c r="HIG209" s="135"/>
      <c r="HIH209" s="135"/>
      <c r="HII209" s="135"/>
      <c r="HIJ209" s="135"/>
      <c r="HIK209" s="173"/>
      <c r="HIL209" s="173"/>
      <c r="HIM209" s="173"/>
      <c r="HIN209" s="173"/>
      <c r="HIO209" s="173"/>
      <c r="HIP209" s="173"/>
      <c r="HIQ209" s="173"/>
      <c r="HIR209" s="173"/>
      <c r="HIS209" s="173"/>
      <c r="HIT209" s="173"/>
      <c r="HIU209" s="125"/>
      <c r="HIV209" s="125"/>
      <c r="HIW209" s="134"/>
      <c r="HIX209" s="135"/>
      <c r="HIY209" s="135"/>
      <c r="HIZ209" s="135"/>
      <c r="HJA209" s="135"/>
      <c r="HJB209" s="173"/>
      <c r="HJC209" s="173"/>
      <c r="HJD209" s="173"/>
      <c r="HJE209" s="173"/>
      <c r="HJF209" s="173"/>
      <c r="HJG209" s="173"/>
      <c r="HJH209" s="173"/>
      <c r="HJI209" s="173"/>
      <c r="HJJ209" s="173"/>
      <c r="HJK209" s="173"/>
      <c r="HJL209" s="125"/>
      <c r="HJM209" s="125"/>
      <c r="HJN209" s="134"/>
      <c r="HJO209" s="135"/>
      <c r="HJP209" s="135"/>
      <c r="HJQ209" s="135"/>
      <c r="HJR209" s="135"/>
      <c r="HJS209" s="173"/>
      <c r="HJT209" s="173"/>
      <c r="HJU209" s="173"/>
      <c r="HJV209" s="173"/>
      <c r="HJW209" s="173"/>
      <c r="HJX209" s="173"/>
      <c r="HJY209" s="173"/>
      <c r="HJZ209" s="173"/>
      <c r="HKA209" s="173"/>
      <c r="HKB209" s="173"/>
      <c r="HKC209" s="125"/>
      <c r="HKD209" s="125"/>
      <c r="HKE209" s="134"/>
      <c r="HKF209" s="135"/>
      <c r="HKG209" s="135"/>
      <c r="HKH209" s="135"/>
      <c r="HKI209" s="135"/>
      <c r="HKJ209" s="173"/>
      <c r="HKK209" s="173"/>
      <c r="HKL209" s="173"/>
      <c r="HKM209" s="173"/>
      <c r="HKN209" s="173"/>
      <c r="HKO209" s="173"/>
      <c r="HKP209" s="173"/>
      <c r="HKQ209" s="173"/>
      <c r="HKR209" s="173"/>
      <c r="HKS209" s="173"/>
      <c r="HKT209" s="125"/>
      <c r="HKU209" s="125"/>
      <c r="HKV209" s="134"/>
      <c r="HKW209" s="135"/>
      <c r="HKX209" s="135"/>
      <c r="HKY209" s="135"/>
      <c r="HKZ209" s="135"/>
      <c r="HLA209" s="173"/>
      <c r="HLB209" s="173"/>
      <c r="HLC209" s="173"/>
      <c r="HLD209" s="173"/>
      <c r="HLE209" s="173"/>
      <c r="HLF209" s="173"/>
      <c r="HLG209" s="173"/>
      <c r="HLH209" s="173"/>
      <c r="HLI209" s="173"/>
      <c r="HLJ209" s="173"/>
      <c r="HLK209" s="125"/>
      <c r="HLL209" s="125"/>
      <c r="HLM209" s="134"/>
      <c r="HLN209" s="135"/>
      <c r="HLO209" s="135"/>
      <c r="HLP209" s="135"/>
      <c r="HLQ209" s="135"/>
      <c r="HLR209" s="173"/>
      <c r="HLS209" s="173"/>
      <c r="HLT209" s="173"/>
      <c r="HLU209" s="173"/>
      <c r="HLV209" s="173"/>
      <c r="HLW209" s="173"/>
      <c r="HLX209" s="173"/>
      <c r="HLY209" s="173"/>
      <c r="HLZ209" s="173"/>
      <c r="HMA209" s="173"/>
      <c r="HMB209" s="125"/>
      <c r="HMC209" s="125"/>
      <c r="HMD209" s="134"/>
      <c r="HME209" s="135"/>
      <c r="HMF209" s="135"/>
      <c r="HMG209" s="135"/>
      <c r="HMH209" s="135"/>
      <c r="HMI209" s="173"/>
      <c r="HMJ209" s="173"/>
      <c r="HMK209" s="173"/>
      <c r="HML209" s="173"/>
      <c r="HMM209" s="173"/>
      <c r="HMN209" s="173"/>
      <c r="HMO209" s="173"/>
      <c r="HMP209" s="173"/>
      <c r="HMQ209" s="173"/>
      <c r="HMR209" s="173"/>
      <c r="HMS209" s="125"/>
      <c r="HMT209" s="125"/>
      <c r="HMU209" s="134"/>
      <c r="HMV209" s="135"/>
      <c r="HMW209" s="135"/>
      <c r="HMX209" s="135"/>
      <c r="HMY209" s="135"/>
      <c r="HMZ209" s="173"/>
      <c r="HNA209" s="173"/>
      <c r="HNB209" s="173"/>
      <c r="HNC209" s="173"/>
      <c r="HND209" s="173"/>
      <c r="HNE209" s="173"/>
      <c r="HNF209" s="173"/>
      <c r="HNG209" s="173"/>
      <c r="HNH209" s="173"/>
      <c r="HNI209" s="173"/>
      <c r="HNJ209" s="125"/>
      <c r="HNK209" s="125"/>
      <c r="HNL209" s="134"/>
      <c r="HNM209" s="135"/>
      <c r="HNN209" s="135"/>
      <c r="HNO209" s="135"/>
      <c r="HNP209" s="135"/>
      <c r="HNQ209" s="173"/>
      <c r="HNR209" s="173"/>
      <c r="HNS209" s="173"/>
      <c r="HNT209" s="173"/>
      <c r="HNU209" s="173"/>
      <c r="HNV209" s="173"/>
      <c r="HNW209" s="173"/>
      <c r="HNX209" s="173"/>
      <c r="HNY209" s="173"/>
      <c r="HNZ209" s="173"/>
      <c r="HOA209" s="125"/>
      <c r="HOB209" s="125"/>
      <c r="HOC209" s="134"/>
      <c r="HOD209" s="135"/>
      <c r="HOE209" s="135"/>
      <c r="HOF209" s="135"/>
      <c r="HOG209" s="135"/>
      <c r="HOH209" s="173"/>
      <c r="HOI209" s="173"/>
      <c r="HOJ209" s="173"/>
      <c r="HOK209" s="173"/>
      <c r="HOL209" s="173"/>
      <c r="HOM209" s="173"/>
      <c r="HON209" s="173"/>
      <c r="HOO209" s="173"/>
      <c r="HOP209" s="173"/>
      <c r="HOQ209" s="173"/>
      <c r="HOR209" s="125"/>
      <c r="HOS209" s="125"/>
      <c r="HOT209" s="134"/>
      <c r="HOU209" s="135"/>
      <c r="HOV209" s="135"/>
      <c r="HOW209" s="135"/>
      <c r="HOX209" s="135"/>
      <c r="HOY209" s="173"/>
      <c r="HOZ209" s="173"/>
      <c r="HPA209" s="173"/>
      <c r="HPB209" s="173"/>
      <c r="HPC209" s="173"/>
      <c r="HPD209" s="173"/>
      <c r="HPE209" s="173"/>
      <c r="HPF209" s="173"/>
      <c r="HPG209" s="173"/>
      <c r="HPH209" s="173"/>
      <c r="HPI209" s="125"/>
      <c r="HPJ209" s="125"/>
      <c r="HPK209" s="134"/>
      <c r="HPL209" s="135"/>
      <c r="HPM209" s="135"/>
      <c r="HPN209" s="135"/>
      <c r="HPO209" s="135"/>
      <c r="HPP209" s="173"/>
      <c r="HPQ209" s="173"/>
      <c r="HPR209" s="173"/>
      <c r="HPS209" s="173"/>
      <c r="HPT209" s="173"/>
      <c r="HPU209" s="173"/>
      <c r="HPV209" s="173"/>
      <c r="HPW209" s="173"/>
      <c r="HPX209" s="173"/>
      <c r="HPY209" s="173"/>
      <c r="HPZ209" s="125"/>
      <c r="HQA209" s="125"/>
      <c r="HQB209" s="134"/>
      <c r="HQC209" s="135"/>
      <c r="HQD209" s="135"/>
      <c r="HQE209" s="135"/>
      <c r="HQF209" s="135"/>
      <c r="HQG209" s="173"/>
      <c r="HQH209" s="173"/>
      <c r="HQI209" s="173"/>
      <c r="HQJ209" s="173"/>
      <c r="HQK209" s="173"/>
      <c r="HQL209" s="173"/>
      <c r="HQM209" s="173"/>
      <c r="HQN209" s="173"/>
      <c r="HQO209" s="173"/>
      <c r="HQP209" s="173"/>
      <c r="HQQ209" s="125"/>
      <c r="HQR209" s="125"/>
      <c r="HQS209" s="134"/>
      <c r="HQT209" s="135"/>
      <c r="HQU209" s="135"/>
      <c r="HQV209" s="135"/>
      <c r="HQW209" s="135"/>
      <c r="HQX209" s="173"/>
      <c r="HQY209" s="173"/>
      <c r="HQZ209" s="173"/>
      <c r="HRA209" s="173"/>
      <c r="HRB209" s="173"/>
      <c r="HRC209" s="173"/>
      <c r="HRD209" s="173"/>
      <c r="HRE209" s="173"/>
      <c r="HRF209" s="173"/>
      <c r="HRG209" s="173"/>
      <c r="HRH209" s="125"/>
      <c r="HRI209" s="125"/>
      <c r="HRJ209" s="134"/>
      <c r="HRK209" s="135"/>
      <c r="HRL209" s="135"/>
      <c r="HRM209" s="135"/>
      <c r="HRN209" s="135"/>
      <c r="HRO209" s="173"/>
      <c r="HRP209" s="173"/>
      <c r="HRQ209" s="173"/>
      <c r="HRR209" s="173"/>
      <c r="HRS209" s="173"/>
      <c r="HRT209" s="173"/>
      <c r="HRU209" s="173"/>
      <c r="HRV209" s="173"/>
      <c r="HRW209" s="173"/>
      <c r="HRX209" s="173"/>
      <c r="HRY209" s="125"/>
      <c r="HRZ209" s="125"/>
      <c r="HSA209" s="134"/>
      <c r="HSB209" s="135"/>
      <c r="HSC209" s="135"/>
      <c r="HSD209" s="135"/>
      <c r="HSE209" s="135"/>
      <c r="HSF209" s="173"/>
      <c r="HSG209" s="173"/>
      <c r="HSH209" s="173"/>
      <c r="HSI209" s="173"/>
      <c r="HSJ209" s="173"/>
      <c r="HSK209" s="173"/>
      <c r="HSL209" s="173"/>
      <c r="HSM209" s="173"/>
      <c r="HSN209" s="173"/>
      <c r="HSO209" s="173"/>
      <c r="HSP209" s="125"/>
      <c r="HSQ209" s="125"/>
      <c r="HSR209" s="134"/>
      <c r="HSS209" s="135"/>
      <c r="HST209" s="135"/>
      <c r="HSU209" s="135"/>
      <c r="HSV209" s="135"/>
      <c r="HSW209" s="173"/>
      <c r="HSX209" s="173"/>
      <c r="HSY209" s="173"/>
      <c r="HSZ209" s="173"/>
      <c r="HTA209" s="173"/>
      <c r="HTB209" s="173"/>
      <c r="HTC209" s="173"/>
      <c r="HTD209" s="173"/>
      <c r="HTE209" s="173"/>
      <c r="HTF209" s="173"/>
      <c r="HTG209" s="125"/>
      <c r="HTH209" s="125"/>
      <c r="HTI209" s="134"/>
      <c r="HTJ209" s="135"/>
      <c r="HTK209" s="135"/>
      <c r="HTL209" s="135"/>
      <c r="HTM209" s="135"/>
      <c r="HTN209" s="173"/>
      <c r="HTO209" s="173"/>
      <c r="HTP209" s="173"/>
      <c r="HTQ209" s="173"/>
      <c r="HTR209" s="173"/>
      <c r="HTS209" s="173"/>
      <c r="HTT209" s="173"/>
      <c r="HTU209" s="173"/>
      <c r="HTV209" s="173"/>
      <c r="HTW209" s="173"/>
      <c r="HTX209" s="125"/>
      <c r="HTY209" s="125"/>
      <c r="HTZ209" s="134"/>
      <c r="HUA209" s="135"/>
      <c r="HUB209" s="135"/>
      <c r="HUC209" s="135"/>
      <c r="HUD209" s="135"/>
      <c r="HUE209" s="173"/>
      <c r="HUF209" s="173"/>
      <c r="HUG209" s="173"/>
      <c r="HUH209" s="173"/>
      <c r="HUI209" s="173"/>
      <c r="HUJ209" s="173"/>
      <c r="HUK209" s="173"/>
      <c r="HUL209" s="173"/>
      <c r="HUM209" s="173"/>
      <c r="HUN209" s="173"/>
      <c r="HUO209" s="125"/>
      <c r="HUP209" s="125"/>
      <c r="HUQ209" s="134"/>
      <c r="HUR209" s="135"/>
      <c r="HUS209" s="135"/>
      <c r="HUT209" s="135"/>
      <c r="HUU209" s="135"/>
      <c r="HUV209" s="173"/>
      <c r="HUW209" s="173"/>
      <c r="HUX209" s="173"/>
      <c r="HUY209" s="173"/>
      <c r="HUZ209" s="173"/>
      <c r="HVA209" s="173"/>
      <c r="HVB209" s="173"/>
      <c r="HVC209" s="173"/>
      <c r="HVD209" s="173"/>
      <c r="HVE209" s="173"/>
      <c r="HVF209" s="125"/>
      <c r="HVG209" s="125"/>
      <c r="HVH209" s="134"/>
      <c r="HVI209" s="135"/>
      <c r="HVJ209" s="135"/>
      <c r="HVK209" s="135"/>
      <c r="HVL209" s="135"/>
      <c r="HVM209" s="173"/>
      <c r="HVN209" s="173"/>
      <c r="HVO209" s="173"/>
      <c r="HVP209" s="173"/>
      <c r="HVQ209" s="173"/>
      <c r="HVR209" s="173"/>
      <c r="HVS209" s="173"/>
      <c r="HVT209" s="173"/>
      <c r="HVU209" s="173"/>
      <c r="HVV209" s="173"/>
      <c r="HVW209" s="125"/>
      <c r="HVX209" s="125"/>
      <c r="HVY209" s="134"/>
      <c r="HVZ209" s="135"/>
      <c r="HWA209" s="135"/>
      <c r="HWB209" s="135"/>
      <c r="HWC209" s="135"/>
      <c r="HWD209" s="173"/>
      <c r="HWE209" s="173"/>
      <c r="HWF209" s="173"/>
      <c r="HWG209" s="173"/>
      <c r="HWH209" s="173"/>
      <c r="HWI209" s="173"/>
      <c r="HWJ209" s="173"/>
      <c r="HWK209" s="173"/>
      <c r="HWL209" s="173"/>
      <c r="HWM209" s="173"/>
      <c r="HWN209" s="125"/>
      <c r="HWO209" s="125"/>
      <c r="HWP209" s="134"/>
      <c r="HWQ209" s="135"/>
      <c r="HWR209" s="135"/>
      <c r="HWS209" s="135"/>
      <c r="HWT209" s="135"/>
      <c r="HWU209" s="173"/>
      <c r="HWV209" s="173"/>
      <c r="HWW209" s="173"/>
      <c r="HWX209" s="173"/>
      <c r="HWY209" s="173"/>
      <c r="HWZ209" s="173"/>
      <c r="HXA209" s="173"/>
      <c r="HXB209" s="173"/>
      <c r="HXC209" s="173"/>
      <c r="HXD209" s="173"/>
      <c r="HXE209" s="125"/>
      <c r="HXF209" s="125"/>
      <c r="HXG209" s="134"/>
      <c r="HXH209" s="135"/>
      <c r="HXI209" s="135"/>
      <c r="HXJ209" s="135"/>
      <c r="HXK209" s="135"/>
      <c r="HXL209" s="173"/>
      <c r="HXM209" s="173"/>
      <c r="HXN209" s="173"/>
      <c r="HXO209" s="173"/>
      <c r="HXP209" s="173"/>
      <c r="HXQ209" s="173"/>
      <c r="HXR209" s="173"/>
      <c r="HXS209" s="173"/>
      <c r="HXT209" s="173"/>
      <c r="HXU209" s="173"/>
      <c r="HXV209" s="125"/>
      <c r="HXW209" s="125"/>
      <c r="HXX209" s="134"/>
      <c r="HXY209" s="135"/>
      <c r="HXZ209" s="135"/>
      <c r="HYA209" s="135"/>
      <c r="HYB209" s="135"/>
      <c r="HYC209" s="173"/>
      <c r="HYD209" s="173"/>
      <c r="HYE209" s="173"/>
      <c r="HYF209" s="173"/>
      <c r="HYG209" s="173"/>
      <c r="HYH209" s="173"/>
      <c r="HYI209" s="173"/>
      <c r="HYJ209" s="173"/>
      <c r="HYK209" s="173"/>
      <c r="HYL209" s="173"/>
      <c r="HYM209" s="125"/>
      <c r="HYN209" s="125"/>
      <c r="HYO209" s="134"/>
      <c r="HYP209" s="135"/>
      <c r="HYQ209" s="135"/>
      <c r="HYR209" s="135"/>
      <c r="HYS209" s="135"/>
      <c r="HYT209" s="173"/>
      <c r="HYU209" s="173"/>
      <c r="HYV209" s="173"/>
      <c r="HYW209" s="173"/>
      <c r="HYX209" s="173"/>
      <c r="HYY209" s="173"/>
      <c r="HYZ209" s="173"/>
      <c r="HZA209" s="173"/>
      <c r="HZB209" s="173"/>
      <c r="HZC209" s="173"/>
      <c r="HZD209" s="125"/>
      <c r="HZE209" s="125"/>
      <c r="HZF209" s="134"/>
      <c r="HZG209" s="135"/>
      <c r="HZH209" s="135"/>
      <c r="HZI209" s="135"/>
      <c r="HZJ209" s="135"/>
      <c r="HZK209" s="173"/>
      <c r="HZL209" s="173"/>
      <c r="HZM209" s="173"/>
      <c r="HZN209" s="173"/>
      <c r="HZO209" s="173"/>
      <c r="HZP209" s="173"/>
      <c r="HZQ209" s="173"/>
      <c r="HZR209" s="173"/>
      <c r="HZS209" s="173"/>
      <c r="HZT209" s="173"/>
      <c r="HZU209" s="125"/>
      <c r="HZV209" s="125"/>
      <c r="HZW209" s="134"/>
      <c r="HZX209" s="135"/>
      <c r="HZY209" s="135"/>
      <c r="HZZ209" s="135"/>
      <c r="IAA209" s="135"/>
      <c r="IAB209" s="173"/>
      <c r="IAC209" s="173"/>
      <c r="IAD209" s="173"/>
      <c r="IAE209" s="173"/>
      <c r="IAF209" s="173"/>
      <c r="IAG209" s="173"/>
      <c r="IAH209" s="173"/>
      <c r="IAI209" s="173"/>
      <c r="IAJ209" s="173"/>
      <c r="IAK209" s="173"/>
      <c r="IAL209" s="125"/>
      <c r="IAM209" s="125"/>
      <c r="IAN209" s="134"/>
      <c r="IAO209" s="135"/>
      <c r="IAP209" s="135"/>
      <c r="IAQ209" s="135"/>
      <c r="IAR209" s="135"/>
      <c r="IAS209" s="173"/>
      <c r="IAT209" s="173"/>
      <c r="IAU209" s="173"/>
      <c r="IAV209" s="173"/>
      <c r="IAW209" s="173"/>
      <c r="IAX209" s="173"/>
      <c r="IAY209" s="173"/>
      <c r="IAZ209" s="173"/>
      <c r="IBA209" s="173"/>
      <c r="IBB209" s="173"/>
      <c r="IBC209" s="125"/>
      <c r="IBD209" s="125"/>
      <c r="IBE209" s="134"/>
      <c r="IBF209" s="135"/>
      <c r="IBG209" s="135"/>
      <c r="IBH209" s="135"/>
      <c r="IBI209" s="135"/>
      <c r="IBJ209" s="173"/>
      <c r="IBK209" s="173"/>
      <c r="IBL209" s="173"/>
      <c r="IBM209" s="173"/>
      <c r="IBN209" s="173"/>
      <c r="IBO209" s="173"/>
      <c r="IBP209" s="173"/>
      <c r="IBQ209" s="173"/>
      <c r="IBR209" s="173"/>
      <c r="IBS209" s="173"/>
      <c r="IBT209" s="125"/>
      <c r="IBU209" s="125"/>
      <c r="IBV209" s="134"/>
      <c r="IBW209" s="135"/>
      <c r="IBX209" s="135"/>
      <c r="IBY209" s="135"/>
      <c r="IBZ209" s="135"/>
      <c r="ICA209" s="173"/>
      <c r="ICB209" s="173"/>
      <c r="ICC209" s="173"/>
      <c r="ICD209" s="173"/>
      <c r="ICE209" s="173"/>
      <c r="ICF209" s="173"/>
      <c r="ICG209" s="173"/>
      <c r="ICH209" s="173"/>
      <c r="ICI209" s="173"/>
      <c r="ICJ209" s="173"/>
      <c r="ICK209" s="125"/>
      <c r="ICL209" s="125"/>
      <c r="ICM209" s="134"/>
      <c r="ICN209" s="135"/>
      <c r="ICO209" s="135"/>
      <c r="ICP209" s="135"/>
      <c r="ICQ209" s="135"/>
      <c r="ICR209" s="173"/>
      <c r="ICS209" s="173"/>
      <c r="ICT209" s="173"/>
      <c r="ICU209" s="173"/>
      <c r="ICV209" s="173"/>
      <c r="ICW209" s="173"/>
      <c r="ICX209" s="173"/>
      <c r="ICY209" s="173"/>
      <c r="ICZ209" s="173"/>
      <c r="IDA209" s="173"/>
      <c r="IDB209" s="125"/>
      <c r="IDC209" s="125"/>
      <c r="IDD209" s="134"/>
      <c r="IDE209" s="135"/>
      <c r="IDF209" s="135"/>
      <c r="IDG209" s="135"/>
      <c r="IDH209" s="135"/>
      <c r="IDI209" s="173"/>
      <c r="IDJ209" s="173"/>
      <c r="IDK209" s="173"/>
      <c r="IDL209" s="173"/>
      <c r="IDM209" s="173"/>
      <c r="IDN209" s="173"/>
      <c r="IDO209" s="173"/>
      <c r="IDP209" s="173"/>
      <c r="IDQ209" s="173"/>
      <c r="IDR209" s="173"/>
      <c r="IDS209" s="125"/>
      <c r="IDT209" s="125"/>
      <c r="IDU209" s="134"/>
      <c r="IDV209" s="135"/>
      <c r="IDW209" s="135"/>
      <c r="IDX209" s="135"/>
      <c r="IDY209" s="135"/>
      <c r="IDZ209" s="173"/>
      <c r="IEA209" s="173"/>
      <c r="IEB209" s="173"/>
      <c r="IEC209" s="173"/>
      <c r="IED209" s="173"/>
      <c r="IEE209" s="173"/>
      <c r="IEF209" s="173"/>
      <c r="IEG209" s="173"/>
      <c r="IEH209" s="173"/>
      <c r="IEI209" s="173"/>
      <c r="IEJ209" s="125"/>
      <c r="IEK209" s="125"/>
      <c r="IEL209" s="134"/>
      <c r="IEM209" s="135"/>
      <c r="IEN209" s="135"/>
      <c r="IEO209" s="135"/>
      <c r="IEP209" s="135"/>
      <c r="IEQ209" s="173"/>
      <c r="IER209" s="173"/>
      <c r="IES209" s="173"/>
      <c r="IET209" s="173"/>
      <c r="IEU209" s="173"/>
      <c r="IEV209" s="173"/>
      <c r="IEW209" s="173"/>
      <c r="IEX209" s="173"/>
      <c r="IEY209" s="173"/>
      <c r="IEZ209" s="173"/>
      <c r="IFA209" s="125"/>
      <c r="IFB209" s="125"/>
      <c r="IFC209" s="134"/>
      <c r="IFD209" s="135"/>
      <c r="IFE209" s="135"/>
      <c r="IFF209" s="135"/>
      <c r="IFG209" s="135"/>
      <c r="IFH209" s="173"/>
      <c r="IFI209" s="173"/>
      <c r="IFJ209" s="173"/>
      <c r="IFK209" s="173"/>
      <c r="IFL209" s="173"/>
      <c r="IFM209" s="173"/>
      <c r="IFN209" s="173"/>
      <c r="IFO209" s="173"/>
      <c r="IFP209" s="173"/>
      <c r="IFQ209" s="173"/>
      <c r="IFR209" s="125"/>
      <c r="IFS209" s="125"/>
      <c r="IFT209" s="134"/>
      <c r="IFU209" s="135"/>
      <c r="IFV209" s="135"/>
      <c r="IFW209" s="135"/>
      <c r="IFX209" s="135"/>
      <c r="IFY209" s="173"/>
      <c r="IFZ209" s="173"/>
      <c r="IGA209" s="173"/>
      <c r="IGB209" s="173"/>
      <c r="IGC209" s="173"/>
      <c r="IGD209" s="173"/>
      <c r="IGE209" s="173"/>
      <c r="IGF209" s="173"/>
      <c r="IGG209" s="173"/>
      <c r="IGH209" s="173"/>
      <c r="IGI209" s="125"/>
      <c r="IGJ209" s="125"/>
      <c r="IGK209" s="134"/>
      <c r="IGL209" s="135"/>
      <c r="IGM209" s="135"/>
      <c r="IGN209" s="135"/>
      <c r="IGO209" s="135"/>
      <c r="IGP209" s="173"/>
      <c r="IGQ209" s="173"/>
      <c r="IGR209" s="173"/>
      <c r="IGS209" s="173"/>
      <c r="IGT209" s="173"/>
      <c r="IGU209" s="173"/>
      <c r="IGV209" s="173"/>
      <c r="IGW209" s="173"/>
      <c r="IGX209" s="173"/>
      <c r="IGY209" s="173"/>
      <c r="IGZ209" s="125"/>
      <c r="IHA209" s="125"/>
      <c r="IHB209" s="134"/>
      <c r="IHC209" s="135"/>
      <c r="IHD209" s="135"/>
      <c r="IHE209" s="135"/>
      <c r="IHF209" s="135"/>
      <c r="IHG209" s="173"/>
      <c r="IHH209" s="173"/>
      <c r="IHI209" s="173"/>
      <c r="IHJ209" s="173"/>
      <c r="IHK209" s="173"/>
      <c r="IHL209" s="173"/>
      <c r="IHM209" s="173"/>
      <c r="IHN209" s="173"/>
      <c r="IHO209" s="173"/>
      <c r="IHP209" s="173"/>
      <c r="IHQ209" s="125"/>
      <c r="IHR209" s="125"/>
      <c r="IHS209" s="134"/>
      <c r="IHT209" s="135"/>
      <c r="IHU209" s="135"/>
      <c r="IHV209" s="135"/>
      <c r="IHW209" s="135"/>
      <c r="IHX209" s="173"/>
      <c r="IHY209" s="173"/>
      <c r="IHZ209" s="173"/>
      <c r="IIA209" s="173"/>
      <c r="IIB209" s="173"/>
      <c r="IIC209" s="173"/>
      <c r="IID209" s="173"/>
      <c r="IIE209" s="173"/>
      <c r="IIF209" s="173"/>
      <c r="IIG209" s="173"/>
      <c r="IIH209" s="125"/>
      <c r="III209" s="125"/>
      <c r="IIJ209" s="134"/>
      <c r="IIK209" s="135"/>
      <c r="IIL209" s="135"/>
      <c r="IIM209" s="135"/>
      <c r="IIN209" s="135"/>
      <c r="IIO209" s="173"/>
      <c r="IIP209" s="173"/>
      <c r="IIQ209" s="173"/>
      <c r="IIR209" s="173"/>
      <c r="IIS209" s="173"/>
      <c r="IIT209" s="173"/>
      <c r="IIU209" s="173"/>
      <c r="IIV209" s="173"/>
      <c r="IIW209" s="173"/>
      <c r="IIX209" s="173"/>
      <c r="IIY209" s="125"/>
      <c r="IIZ209" s="125"/>
      <c r="IJA209" s="134"/>
      <c r="IJB209" s="135"/>
      <c r="IJC209" s="135"/>
      <c r="IJD209" s="135"/>
      <c r="IJE209" s="135"/>
      <c r="IJF209" s="173"/>
      <c r="IJG209" s="173"/>
      <c r="IJH209" s="173"/>
      <c r="IJI209" s="173"/>
      <c r="IJJ209" s="173"/>
      <c r="IJK209" s="173"/>
      <c r="IJL209" s="173"/>
      <c r="IJM209" s="173"/>
      <c r="IJN209" s="173"/>
      <c r="IJO209" s="173"/>
      <c r="IJP209" s="125"/>
      <c r="IJQ209" s="125"/>
      <c r="IJR209" s="134"/>
      <c r="IJS209" s="135"/>
      <c r="IJT209" s="135"/>
      <c r="IJU209" s="135"/>
      <c r="IJV209" s="135"/>
      <c r="IJW209" s="173"/>
      <c r="IJX209" s="173"/>
      <c r="IJY209" s="173"/>
      <c r="IJZ209" s="173"/>
      <c r="IKA209" s="173"/>
      <c r="IKB209" s="173"/>
      <c r="IKC209" s="173"/>
      <c r="IKD209" s="173"/>
      <c r="IKE209" s="173"/>
      <c r="IKF209" s="173"/>
      <c r="IKG209" s="125"/>
      <c r="IKH209" s="125"/>
      <c r="IKI209" s="134"/>
      <c r="IKJ209" s="135"/>
      <c r="IKK209" s="135"/>
      <c r="IKL209" s="135"/>
      <c r="IKM209" s="135"/>
      <c r="IKN209" s="173"/>
      <c r="IKO209" s="173"/>
      <c r="IKP209" s="173"/>
      <c r="IKQ209" s="173"/>
      <c r="IKR209" s="173"/>
      <c r="IKS209" s="173"/>
      <c r="IKT209" s="173"/>
      <c r="IKU209" s="173"/>
      <c r="IKV209" s="173"/>
      <c r="IKW209" s="173"/>
      <c r="IKX209" s="125"/>
      <c r="IKY209" s="125"/>
      <c r="IKZ209" s="134"/>
      <c r="ILA209" s="135"/>
      <c r="ILB209" s="135"/>
      <c r="ILC209" s="135"/>
      <c r="ILD209" s="135"/>
      <c r="ILE209" s="173"/>
      <c r="ILF209" s="173"/>
      <c r="ILG209" s="173"/>
      <c r="ILH209" s="173"/>
      <c r="ILI209" s="173"/>
      <c r="ILJ209" s="173"/>
      <c r="ILK209" s="173"/>
      <c r="ILL209" s="173"/>
      <c r="ILM209" s="173"/>
      <c r="ILN209" s="173"/>
      <c r="ILO209" s="125"/>
      <c r="ILP209" s="125"/>
      <c r="ILQ209" s="134"/>
      <c r="ILR209" s="135"/>
      <c r="ILS209" s="135"/>
      <c r="ILT209" s="135"/>
      <c r="ILU209" s="135"/>
      <c r="ILV209" s="173"/>
      <c r="ILW209" s="173"/>
      <c r="ILX209" s="173"/>
      <c r="ILY209" s="173"/>
      <c r="ILZ209" s="173"/>
      <c r="IMA209" s="173"/>
      <c r="IMB209" s="173"/>
      <c r="IMC209" s="173"/>
      <c r="IMD209" s="173"/>
      <c r="IME209" s="173"/>
      <c r="IMF209" s="125"/>
      <c r="IMG209" s="125"/>
      <c r="IMH209" s="134"/>
      <c r="IMI209" s="135"/>
      <c r="IMJ209" s="135"/>
      <c r="IMK209" s="135"/>
      <c r="IML209" s="135"/>
      <c r="IMM209" s="173"/>
      <c r="IMN209" s="173"/>
      <c r="IMO209" s="173"/>
      <c r="IMP209" s="173"/>
      <c r="IMQ209" s="173"/>
      <c r="IMR209" s="173"/>
      <c r="IMS209" s="173"/>
      <c r="IMT209" s="173"/>
      <c r="IMU209" s="173"/>
      <c r="IMV209" s="173"/>
      <c r="IMW209" s="125"/>
      <c r="IMX209" s="125"/>
      <c r="IMY209" s="134"/>
      <c r="IMZ209" s="135"/>
      <c r="INA209" s="135"/>
      <c r="INB209" s="135"/>
      <c r="INC209" s="135"/>
      <c r="IND209" s="173"/>
      <c r="INE209" s="173"/>
      <c r="INF209" s="173"/>
      <c r="ING209" s="173"/>
      <c r="INH209" s="173"/>
      <c r="INI209" s="173"/>
      <c r="INJ209" s="173"/>
      <c r="INK209" s="173"/>
      <c r="INL209" s="173"/>
      <c r="INM209" s="173"/>
      <c r="INN209" s="125"/>
      <c r="INO209" s="125"/>
      <c r="INP209" s="134"/>
      <c r="INQ209" s="135"/>
      <c r="INR209" s="135"/>
      <c r="INS209" s="135"/>
      <c r="INT209" s="135"/>
      <c r="INU209" s="173"/>
      <c r="INV209" s="173"/>
      <c r="INW209" s="173"/>
      <c r="INX209" s="173"/>
      <c r="INY209" s="173"/>
      <c r="INZ209" s="173"/>
      <c r="IOA209" s="173"/>
      <c r="IOB209" s="173"/>
      <c r="IOC209" s="173"/>
      <c r="IOD209" s="173"/>
      <c r="IOE209" s="125"/>
      <c r="IOF209" s="125"/>
      <c r="IOG209" s="134"/>
      <c r="IOH209" s="135"/>
      <c r="IOI209" s="135"/>
      <c r="IOJ209" s="135"/>
      <c r="IOK209" s="135"/>
      <c r="IOL209" s="173"/>
      <c r="IOM209" s="173"/>
      <c r="ION209" s="173"/>
      <c r="IOO209" s="173"/>
      <c r="IOP209" s="173"/>
      <c r="IOQ209" s="173"/>
      <c r="IOR209" s="173"/>
      <c r="IOS209" s="173"/>
      <c r="IOT209" s="173"/>
      <c r="IOU209" s="173"/>
      <c r="IOV209" s="125"/>
      <c r="IOW209" s="125"/>
      <c r="IOX209" s="134"/>
      <c r="IOY209" s="135"/>
      <c r="IOZ209" s="135"/>
      <c r="IPA209" s="135"/>
      <c r="IPB209" s="135"/>
      <c r="IPC209" s="173"/>
      <c r="IPD209" s="173"/>
      <c r="IPE209" s="173"/>
      <c r="IPF209" s="173"/>
      <c r="IPG209" s="173"/>
      <c r="IPH209" s="173"/>
      <c r="IPI209" s="173"/>
      <c r="IPJ209" s="173"/>
      <c r="IPK209" s="173"/>
      <c r="IPL209" s="173"/>
      <c r="IPM209" s="125"/>
      <c r="IPN209" s="125"/>
      <c r="IPO209" s="134"/>
      <c r="IPP209" s="135"/>
      <c r="IPQ209" s="135"/>
      <c r="IPR209" s="135"/>
      <c r="IPS209" s="135"/>
      <c r="IPT209" s="173"/>
      <c r="IPU209" s="173"/>
      <c r="IPV209" s="173"/>
      <c r="IPW209" s="173"/>
      <c r="IPX209" s="173"/>
      <c r="IPY209" s="173"/>
      <c r="IPZ209" s="173"/>
      <c r="IQA209" s="173"/>
      <c r="IQB209" s="173"/>
      <c r="IQC209" s="173"/>
      <c r="IQD209" s="125"/>
      <c r="IQE209" s="125"/>
      <c r="IQF209" s="134"/>
      <c r="IQG209" s="135"/>
      <c r="IQH209" s="135"/>
      <c r="IQI209" s="135"/>
      <c r="IQJ209" s="135"/>
      <c r="IQK209" s="173"/>
      <c r="IQL209" s="173"/>
      <c r="IQM209" s="173"/>
      <c r="IQN209" s="173"/>
      <c r="IQO209" s="173"/>
      <c r="IQP209" s="173"/>
      <c r="IQQ209" s="173"/>
      <c r="IQR209" s="173"/>
      <c r="IQS209" s="173"/>
      <c r="IQT209" s="173"/>
      <c r="IQU209" s="125"/>
      <c r="IQV209" s="125"/>
      <c r="IQW209" s="134"/>
      <c r="IQX209" s="135"/>
      <c r="IQY209" s="135"/>
      <c r="IQZ209" s="135"/>
      <c r="IRA209" s="135"/>
      <c r="IRB209" s="173"/>
      <c r="IRC209" s="173"/>
      <c r="IRD209" s="173"/>
      <c r="IRE209" s="173"/>
      <c r="IRF209" s="173"/>
      <c r="IRG209" s="173"/>
      <c r="IRH209" s="173"/>
      <c r="IRI209" s="173"/>
      <c r="IRJ209" s="173"/>
      <c r="IRK209" s="173"/>
      <c r="IRL209" s="125"/>
      <c r="IRM209" s="125"/>
      <c r="IRN209" s="134"/>
      <c r="IRO209" s="135"/>
      <c r="IRP209" s="135"/>
      <c r="IRQ209" s="135"/>
      <c r="IRR209" s="135"/>
      <c r="IRS209" s="173"/>
      <c r="IRT209" s="173"/>
      <c r="IRU209" s="173"/>
      <c r="IRV209" s="173"/>
      <c r="IRW209" s="173"/>
      <c r="IRX209" s="173"/>
      <c r="IRY209" s="173"/>
      <c r="IRZ209" s="173"/>
      <c r="ISA209" s="173"/>
      <c r="ISB209" s="173"/>
      <c r="ISC209" s="125"/>
      <c r="ISD209" s="125"/>
      <c r="ISE209" s="134"/>
      <c r="ISF209" s="135"/>
      <c r="ISG209" s="135"/>
      <c r="ISH209" s="135"/>
      <c r="ISI209" s="135"/>
      <c r="ISJ209" s="173"/>
      <c r="ISK209" s="173"/>
      <c r="ISL209" s="173"/>
      <c r="ISM209" s="173"/>
      <c r="ISN209" s="173"/>
      <c r="ISO209" s="173"/>
      <c r="ISP209" s="173"/>
      <c r="ISQ209" s="173"/>
      <c r="ISR209" s="173"/>
      <c r="ISS209" s="173"/>
      <c r="IST209" s="125"/>
      <c r="ISU209" s="125"/>
      <c r="ISV209" s="134"/>
      <c r="ISW209" s="135"/>
      <c r="ISX209" s="135"/>
      <c r="ISY209" s="135"/>
      <c r="ISZ209" s="135"/>
      <c r="ITA209" s="173"/>
      <c r="ITB209" s="173"/>
      <c r="ITC209" s="173"/>
      <c r="ITD209" s="173"/>
      <c r="ITE209" s="173"/>
      <c r="ITF209" s="173"/>
      <c r="ITG209" s="173"/>
      <c r="ITH209" s="173"/>
      <c r="ITI209" s="173"/>
      <c r="ITJ209" s="173"/>
      <c r="ITK209" s="125"/>
      <c r="ITL209" s="125"/>
      <c r="ITM209" s="134"/>
      <c r="ITN209" s="135"/>
      <c r="ITO209" s="135"/>
      <c r="ITP209" s="135"/>
      <c r="ITQ209" s="135"/>
      <c r="ITR209" s="173"/>
      <c r="ITS209" s="173"/>
      <c r="ITT209" s="173"/>
      <c r="ITU209" s="173"/>
      <c r="ITV209" s="173"/>
      <c r="ITW209" s="173"/>
      <c r="ITX209" s="173"/>
      <c r="ITY209" s="173"/>
      <c r="ITZ209" s="173"/>
      <c r="IUA209" s="173"/>
      <c r="IUB209" s="125"/>
      <c r="IUC209" s="125"/>
      <c r="IUD209" s="134"/>
      <c r="IUE209" s="135"/>
      <c r="IUF209" s="135"/>
      <c r="IUG209" s="135"/>
      <c r="IUH209" s="135"/>
      <c r="IUI209" s="173"/>
      <c r="IUJ209" s="173"/>
      <c r="IUK209" s="173"/>
      <c r="IUL209" s="173"/>
      <c r="IUM209" s="173"/>
      <c r="IUN209" s="173"/>
      <c r="IUO209" s="173"/>
      <c r="IUP209" s="173"/>
      <c r="IUQ209" s="173"/>
      <c r="IUR209" s="173"/>
      <c r="IUS209" s="125"/>
      <c r="IUT209" s="125"/>
      <c r="IUU209" s="134"/>
      <c r="IUV209" s="135"/>
      <c r="IUW209" s="135"/>
      <c r="IUX209" s="135"/>
      <c r="IUY209" s="135"/>
      <c r="IUZ209" s="173"/>
      <c r="IVA209" s="173"/>
      <c r="IVB209" s="173"/>
      <c r="IVC209" s="173"/>
      <c r="IVD209" s="173"/>
      <c r="IVE209" s="173"/>
      <c r="IVF209" s="173"/>
      <c r="IVG209" s="173"/>
      <c r="IVH209" s="173"/>
      <c r="IVI209" s="173"/>
      <c r="IVJ209" s="125"/>
      <c r="IVK209" s="125"/>
      <c r="IVL209" s="134"/>
      <c r="IVM209" s="135"/>
      <c r="IVN209" s="135"/>
      <c r="IVO209" s="135"/>
      <c r="IVP209" s="135"/>
      <c r="IVQ209" s="173"/>
      <c r="IVR209" s="173"/>
      <c r="IVS209" s="173"/>
      <c r="IVT209" s="173"/>
      <c r="IVU209" s="173"/>
      <c r="IVV209" s="173"/>
      <c r="IVW209" s="173"/>
      <c r="IVX209" s="173"/>
      <c r="IVY209" s="173"/>
      <c r="IVZ209" s="173"/>
      <c r="IWA209" s="125"/>
      <c r="IWB209" s="125"/>
      <c r="IWC209" s="134"/>
      <c r="IWD209" s="135"/>
      <c r="IWE209" s="135"/>
      <c r="IWF209" s="135"/>
      <c r="IWG209" s="135"/>
      <c r="IWH209" s="173"/>
      <c r="IWI209" s="173"/>
      <c r="IWJ209" s="173"/>
      <c r="IWK209" s="173"/>
      <c r="IWL209" s="173"/>
      <c r="IWM209" s="173"/>
      <c r="IWN209" s="173"/>
      <c r="IWO209" s="173"/>
      <c r="IWP209" s="173"/>
      <c r="IWQ209" s="173"/>
      <c r="IWR209" s="125"/>
      <c r="IWS209" s="125"/>
      <c r="IWT209" s="134"/>
      <c r="IWU209" s="135"/>
      <c r="IWV209" s="135"/>
      <c r="IWW209" s="135"/>
      <c r="IWX209" s="135"/>
      <c r="IWY209" s="173"/>
      <c r="IWZ209" s="173"/>
      <c r="IXA209" s="173"/>
      <c r="IXB209" s="173"/>
      <c r="IXC209" s="173"/>
      <c r="IXD209" s="173"/>
      <c r="IXE209" s="173"/>
      <c r="IXF209" s="173"/>
      <c r="IXG209" s="173"/>
      <c r="IXH209" s="173"/>
      <c r="IXI209" s="125"/>
      <c r="IXJ209" s="125"/>
      <c r="IXK209" s="134"/>
      <c r="IXL209" s="135"/>
      <c r="IXM209" s="135"/>
      <c r="IXN209" s="135"/>
      <c r="IXO209" s="135"/>
      <c r="IXP209" s="173"/>
      <c r="IXQ209" s="173"/>
      <c r="IXR209" s="173"/>
      <c r="IXS209" s="173"/>
      <c r="IXT209" s="173"/>
      <c r="IXU209" s="173"/>
      <c r="IXV209" s="173"/>
      <c r="IXW209" s="173"/>
      <c r="IXX209" s="173"/>
      <c r="IXY209" s="173"/>
      <c r="IXZ209" s="125"/>
      <c r="IYA209" s="125"/>
      <c r="IYB209" s="134"/>
      <c r="IYC209" s="135"/>
      <c r="IYD209" s="135"/>
      <c r="IYE209" s="135"/>
      <c r="IYF209" s="135"/>
      <c r="IYG209" s="173"/>
      <c r="IYH209" s="173"/>
      <c r="IYI209" s="173"/>
      <c r="IYJ209" s="173"/>
      <c r="IYK209" s="173"/>
      <c r="IYL209" s="173"/>
      <c r="IYM209" s="173"/>
      <c r="IYN209" s="173"/>
      <c r="IYO209" s="173"/>
      <c r="IYP209" s="173"/>
      <c r="IYQ209" s="125"/>
      <c r="IYR209" s="125"/>
      <c r="IYS209" s="134"/>
      <c r="IYT209" s="135"/>
      <c r="IYU209" s="135"/>
      <c r="IYV209" s="135"/>
      <c r="IYW209" s="135"/>
      <c r="IYX209" s="173"/>
      <c r="IYY209" s="173"/>
      <c r="IYZ209" s="173"/>
      <c r="IZA209" s="173"/>
      <c r="IZB209" s="173"/>
      <c r="IZC209" s="173"/>
      <c r="IZD209" s="173"/>
      <c r="IZE209" s="173"/>
      <c r="IZF209" s="173"/>
      <c r="IZG209" s="173"/>
      <c r="IZH209" s="125"/>
      <c r="IZI209" s="125"/>
      <c r="IZJ209" s="134"/>
      <c r="IZK209" s="135"/>
      <c r="IZL209" s="135"/>
      <c r="IZM209" s="135"/>
      <c r="IZN209" s="135"/>
      <c r="IZO209" s="173"/>
      <c r="IZP209" s="173"/>
      <c r="IZQ209" s="173"/>
      <c r="IZR209" s="173"/>
      <c r="IZS209" s="173"/>
      <c r="IZT209" s="173"/>
      <c r="IZU209" s="173"/>
      <c r="IZV209" s="173"/>
      <c r="IZW209" s="173"/>
      <c r="IZX209" s="173"/>
      <c r="IZY209" s="125"/>
      <c r="IZZ209" s="125"/>
      <c r="JAA209" s="134"/>
      <c r="JAB209" s="135"/>
      <c r="JAC209" s="135"/>
      <c r="JAD209" s="135"/>
      <c r="JAE209" s="135"/>
      <c r="JAF209" s="173"/>
      <c r="JAG209" s="173"/>
      <c r="JAH209" s="173"/>
      <c r="JAI209" s="173"/>
      <c r="JAJ209" s="173"/>
      <c r="JAK209" s="173"/>
      <c r="JAL209" s="173"/>
      <c r="JAM209" s="173"/>
      <c r="JAN209" s="173"/>
      <c r="JAO209" s="173"/>
      <c r="JAP209" s="125"/>
      <c r="JAQ209" s="125"/>
      <c r="JAR209" s="134"/>
      <c r="JAS209" s="135"/>
      <c r="JAT209" s="135"/>
      <c r="JAU209" s="135"/>
      <c r="JAV209" s="135"/>
      <c r="JAW209" s="173"/>
      <c r="JAX209" s="173"/>
      <c r="JAY209" s="173"/>
      <c r="JAZ209" s="173"/>
      <c r="JBA209" s="173"/>
      <c r="JBB209" s="173"/>
      <c r="JBC209" s="173"/>
      <c r="JBD209" s="173"/>
      <c r="JBE209" s="173"/>
      <c r="JBF209" s="173"/>
      <c r="JBG209" s="125"/>
      <c r="JBH209" s="125"/>
      <c r="JBI209" s="134"/>
      <c r="JBJ209" s="135"/>
      <c r="JBK209" s="135"/>
      <c r="JBL209" s="135"/>
      <c r="JBM209" s="135"/>
      <c r="JBN209" s="173"/>
      <c r="JBO209" s="173"/>
      <c r="JBP209" s="173"/>
      <c r="JBQ209" s="173"/>
      <c r="JBR209" s="173"/>
      <c r="JBS209" s="173"/>
      <c r="JBT209" s="173"/>
      <c r="JBU209" s="173"/>
      <c r="JBV209" s="173"/>
      <c r="JBW209" s="173"/>
      <c r="JBX209" s="125"/>
      <c r="JBY209" s="125"/>
      <c r="JBZ209" s="134"/>
      <c r="JCA209" s="135"/>
      <c r="JCB209" s="135"/>
      <c r="JCC209" s="135"/>
      <c r="JCD209" s="135"/>
      <c r="JCE209" s="173"/>
      <c r="JCF209" s="173"/>
      <c r="JCG209" s="173"/>
      <c r="JCH209" s="173"/>
      <c r="JCI209" s="173"/>
      <c r="JCJ209" s="173"/>
      <c r="JCK209" s="173"/>
      <c r="JCL209" s="173"/>
      <c r="JCM209" s="173"/>
      <c r="JCN209" s="173"/>
      <c r="JCO209" s="125"/>
      <c r="JCP209" s="125"/>
      <c r="JCQ209" s="134"/>
      <c r="JCR209" s="135"/>
      <c r="JCS209" s="135"/>
      <c r="JCT209" s="135"/>
      <c r="JCU209" s="135"/>
      <c r="JCV209" s="173"/>
      <c r="JCW209" s="173"/>
      <c r="JCX209" s="173"/>
      <c r="JCY209" s="173"/>
      <c r="JCZ209" s="173"/>
      <c r="JDA209" s="173"/>
      <c r="JDB209" s="173"/>
      <c r="JDC209" s="173"/>
      <c r="JDD209" s="173"/>
      <c r="JDE209" s="173"/>
      <c r="JDF209" s="125"/>
      <c r="JDG209" s="125"/>
      <c r="JDH209" s="134"/>
      <c r="JDI209" s="135"/>
      <c r="JDJ209" s="135"/>
      <c r="JDK209" s="135"/>
      <c r="JDL209" s="135"/>
      <c r="JDM209" s="173"/>
      <c r="JDN209" s="173"/>
      <c r="JDO209" s="173"/>
      <c r="JDP209" s="173"/>
      <c r="JDQ209" s="173"/>
      <c r="JDR209" s="173"/>
      <c r="JDS209" s="173"/>
      <c r="JDT209" s="173"/>
      <c r="JDU209" s="173"/>
      <c r="JDV209" s="173"/>
      <c r="JDW209" s="125"/>
      <c r="JDX209" s="125"/>
      <c r="JDY209" s="134"/>
      <c r="JDZ209" s="135"/>
      <c r="JEA209" s="135"/>
      <c r="JEB209" s="135"/>
      <c r="JEC209" s="135"/>
      <c r="JED209" s="173"/>
      <c r="JEE209" s="173"/>
      <c r="JEF209" s="173"/>
      <c r="JEG209" s="173"/>
      <c r="JEH209" s="173"/>
      <c r="JEI209" s="173"/>
      <c r="JEJ209" s="173"/>
      <c r="JEK209" s="173"/>
      <c r="JEL209" s="173"/>
      <c r="JEM209" s="173"/>
      <c r="JEN209" s="125"/>
      <c r="JEO209" s="125"/>
      <c r="JEP209" s="134"/>
      <c r="JEQ209" s="135"/>
      <c r="JER209" s="135"/>
      <c r="JES209" s="135"/>
      <c r="JET209" s="135"/>
      <c r="JEU209" s="173"/>
      <c r="JEV209" s="173"/>
      <c r="JEW209" s="173"/>
      <c r="JEX209" s="173"/>
      <c r="JEY209" s="173"/>
      <c r="JEZ209" s="173"/>
      <c r="JFA209" s="173"/>
      <c r="JFB209" s="173"/>
      <c r="JFC209" s="173"/>
      <c r="JFD209" s="173"/>
      <c r="JFE209" s="125"/>
      <c r="JFF209" s="125"/>
      <c r="JFG209" s="134"/>
      <c r="JFH209" s="135"/>
      <c r="JFI209" s="135"/>
      <c r="JFJ209" s="135"/>
      <c r="JFK209" s="135"/>
      <c r="JFL209" s="173"/>
      <c r="JFM209" s="173"/>
      <c r="JFN209" s="173"/>
      <c r="JFO209" s="173"/>
      <c r="JFP209" s="173"/>
      <c r="JFQ209" s="173"/>
      <c r="JFR209" s="173"/>
      <c r="JFS209" s="173"/>
      <c r="JFT209" s="173"/>
      <c r="JFU209" s="173"/>
      <c r="JFV209" s="125"/>
      <c r="JFW209" s="125"/>
      <c r="JFX209" s="134"/>
      <c r="JFY209" s="135"/>
      <c r="JFZ209" s="135"/>
      <c r="JGA209" s="135"/>
      <c r="JGB209" s="135"/>
      <c r="JGC209" s="173"/>
      <c r="JGD209" s="173"/>
      <c r="JGE209" s="173"/>
      <c r="JGF209" s="173"/>
      <c r="JGG209" s="173"/>
      <c r="JGH209" s="173"/>
      <c r="JGI209" s="173"/>
      <c r="JGJ209" s="173"/>
      <c r="JGK209" s="173"/>
      <c r="JGL209" s="173"/>
      <c r="JGM209" s="125"/>
      <c r="JGN209" s="125"/>
      <c r="JGO209" s="134"/>
      <c r="JGP209" s="135"/>
      <c r="JGQ209" s="135"/>
      <c r="JGR209" s="135"/>
      <c r="JGS209" s="135"/>
      <c r="JGT209" s="173"/>
      <c r="JGU209" s="173"/>
      <c r="JGV209" s="173"/>
      <c r="JGW209" s="173"/>
      <c r="JGX209" s="173"/>
      <c r="JGY209" s="173"/>
      <c r="JGZ209" s="173"/>
      <c r="JHA209" s="173"/>
      <c r="JHB209" s="173"/>
      <c r="JHC209" s="173"/>
      <c r="JHD209" s="125"/>
      <c r="JHE209" s="125"/>
      <c r="JHF209" s="134"/>
      <c r="JHG209" s="135"/>
      <c r="JHH209" s="135"/>
      <c r="JHI209" s="135"/>
      <c r="JHJ209" s="135"/>
      <c r="JHK209" s="173"/>
      <c r="JHL209" s="173"/>
      <c r="JHM209" s="173"/>
      <c r="JHN209" s="173"/>
      <c r="JHO209" s="173"/>
      <c r="JHP209" s="173"/>
      <c r="JHQ209" s="173"/>
      <c r="JHR209" s="173"/>
      <c r="JHS209" s="173"/>
      <c r="JHT209" s="173"/>
      <c r="JHU209" s="125"/>
      <c r="JHV209" s="125"/>
      <c r="JHW209" s="134"/>
      <c r="JHX209" s="135"/>
      <c r="JHY209" s="135"/>
      <c r="JHZ209" s="135"/>
      <c r="JIA209" s="135"/>
      <c r="JIB209" s="173"/>
      <c r="JIC209" s="173"/>
      <c r="JID209" s="173"/>
      <c r="JIE209" s="173"/>
      <c r="JIF209" s="173"/>
      <c r="JIG209" s="173"/>
      <c r="JIH209" s="173"/>
      <c r="JII209" s="173"/>
      <c r="JIJ209" s="173"/>
      <c r="JIK209" s="173"/>
      <c r="JIL209" s="125"/>
      <c r="JIM209" s="125"/>
      <c r="JIN209" s="134"/>
      <c r="JIO209" s="135"/>
      <c r="JIP209" s="135"/>
      <c r="JIQ209" s="135"/>
      <c r="JIR209" s="135"/>
      <c r="JIS209" s="173"/>
      <c r="JIT209" s="173"/>
      <c r="JIU209" s="173"/>
      <c r="JIV209" s="173"/>
      <c r="JIW209" s="173"/>
      <c r="JIX209" s="173"/>
      <c r="JIY209" s="173"/>
      <c r="JIZ209" s="173"/>
      <c r="JJA209" s="173"/>
      <c r="JJB209" s="173"/>
      <c r="JJC209" s="125"/>
      <c r="JJD209" s="125"/>
      <c r="JJE209" s="134"/>
      <c r="JJF209" s="135"/>
      <c r="JJG209" s="135"/>
      <c r="JJH209" s="135"/>
      <c r="JJI209" s="135"/>
      <c r="JJJ209" s="173"/>
      <c r="JJK209" s="173"/>
      <c r="JJL209" s="173"/>
      <c r="JJM209" s="173"/>
      <c r="JJN209" s="173"/>
      <c r="JJO209" s="173"/>
      <c r="JJP209" s="173"/>
      <c r="JJQ209" s="173"/>
      <c r="JJR209" s="173"/>
      <c r="JJS209" s="173"/>
      <c r="JJT209" s="125"/>
      <c r="JJU209" s="125"/>
      <c r="JJV209" s="134"/>
      <c r="JJW209" s="135"/>
      <c r="JJX209" s="135"/>
      <c r="JJY209" s="135"/>
      <c r="JJZ209" s="135"/>
      <c r="JKA209" s="173"/>
      <c r="JKB209" s="173"/>
      <c r="JKC209" s="173"/>
      <c r="JKD209" s="173"/>
      <c r="JKE209" s="173"/>
      <c r="JKF209" s="173"/>
      <c r="JKG209" s="173"/>
      <c r="JKH209" s="173"/>
      <c r="JKI209" s="173"/>
      <c r="JKJ209" s="173"/>
      <c r="JKK209" s="125"/>
      <c r="JKL209" s="125"/>
      <c r="JKM209" s="134"/>
      <c r="JKN209" s="135"/>
      <c r="JKO209" s="135"/>
      <c r="JKP209" s="135"/>
      <c r="JKQ209" s="135"/>
      <c r="JKR209" s="173"/>
      <c r="JKS209" s="173"/>
      <c r="JKT209" s="173"/>
      <c r="JKU209" s="173"/>
      <c r="JKV209" s="173"/>
      <c r="JKW209" s="173"/>
      <c r="JKX209" s="173"/>
      <c r="JKY209" s="173"/>
      <c r="JKZ209" s="173"/>
      <c r="JLA209" s="173"/>
      <c r="JLB209" s="125"/>
      <c r="JLC209" s="125"/>
      <c r="JLD209" s="134"/>
      <c r="JLE209" s="135"/>
      <c r="JLF209" s="135"/>
      <c r="JLG209" s="135"/>
      <c r="JLH209" s="135"/>
      <c r="JLI209" s="173"/>
      <c r="JLJ209" s="173"/>
      <c r="JLK209" s="173"/>
      <c r="JLL209" s="173"/>
      <c r="JLM209" s="173"/>
      <c r="JLN209" s="173"/>
      <c r="JLO209" s="173"/>
      <c r="JLP209" s="173"/>
      <c r="JLQ209" s="173"/>
      <c r="JLR209" s="173"/>
      <c r="JLS209" s="125"/>
      <c r="JLT209" s="125"/>
      <c r="JLU209" s="134"/>
      <c r="JLV209" s="135"/>
      <c r="JLW209" s="135"/>
      <c r="JLX209" s="135"/>
      <c r="JLY209" s="135"/>
      <c r="JLZ209" s="173"/>
      <c r="JMA209" s="173"/>
      <c r="JMB209" s="173"/>
      <c r="JMC209" s="173"/>
      <c r="JMD209" s="173"/>
      <c r="JME209" s="173"/>
      <c r="JMF209" s="173"/>
      <c r="JMG209" s="173"/>
      <c r="JMH209" s="173"/>
      <c r="JMI209" s="173"/>
      <c r="JMJ209" s="125"/>
      <c r="JMK209" s="125"/>
      <c r="JML209" s="134"/>
      <c r="JMM209" s="135"/>
      <c r="JMN209" s="135"/>
      <c r="JMO209" s="135"/>
      <c r="JMP209" s="135"/>
      <c r="JMQ209" s="173"/>
      <c r="JMR209" s="173"/>
      <c r="JMS209" s="173"/>
      <c r="JMT209" s="173"/>
      <c r="JMU209" s="173"/>
      <c r="JMV209" s="173"/>
      <c r="JMW209" s="173"/>
      <c r="JMX209" s="173"/>
      <c r="JMY209" s="173"/>
      <c r="JMZ209" s="173"/>
      <c r="JNA209" s="125"/>
      <c r="JNB209" s="125"/>
      <c r="JNC209" s="134"/>
      <c r="JND209" s="135"/>
      <c r="JNE209" s="135"/>
      <c r="JNF209" s="135"/>
      <c r="JNG209" s="135"/>
      <c r="JNH209" s="173"/>
      <c r="JNI209" s="173"/>
      <c r="JNJ209" s="173"/>
      <c r="JNK209" s="173"/>
      <c r="JNL209" s="173"/>
      <c r="JNM209" s="173"/>
      <c r="JNN209" s="173"/>
      <c r="JNO209" s="173"/>
      <c r="JNP209" s="173"/>
      <c r="JNQ209" s="173"/>
      <c r="JNR209" s="125"/>
      <c r="JNS209" s="125"/>
      <c r="JNT209" s="134"/>
      <c r="JNU209" s="135"/>
      <c r="JNV209" s="135"/>
      <c r="JNW209" s="135"/>
      <c r="JNX209" s="135"/>
      <c r="JNY209" s="173"/>
      <c r="JNZ209" s="173"/>
      <c r="JOA209" s="173"/>
      <c r="JOB209" s="173"/>
      <c r="JOC209" s="173"/>
      <c r="JOD209" s="173"/>
      <c r="JOE209" s="173"/>
      <c r="JOF209" s="173"/>
      <c r="JOG209" s="173"/>
      <c r="JOH209" s="173"/>
      <c r="JOI209" s="125"/>
      <c r="JOJ209" s="125"/>
      <c r="JOK209" s="134"/>
      <c r="JOL209" s="135"/>
      <c r="JOM209" s="135"/>
      <c r="JON209" s="135"/>
      <c r="JOO209" s="135"/>
      <c r="JOP209" s="173"/>
      <c r="JOQ209" s="173"/>
      <c r="JOR209" s="173"/>
      <c r="JOS209" s="173"/>
      <c r="JOT209" s="173"/>
      <c r="JOU209" s="173"/>
      <c r="JOV209" s="173"/>
      <c r="JOW209" s="173"/>
      <c r="JOX209" s="173"/>
      <c r="JOY209" s="173"/>
      <c r="JOZ209" s="125"/>
      <c r="JPA209" s="125"/>
      <c r="JPB209" s="134"/>
      <c r="JPC209" s="135"/>
      <c r="JPD209" s="135"/>
      <c r="JPE209" s="135"/>
      <c r="JPF209" s="135"/>
      <c r="JPG209" s="173"/>
      <c r="JPH209" s="173"/>
      <c r="JPI209" s="173"/>
      <c r="JPJ209" s="173"/>
      <c r="JPK209" s="173"/>
      <c r="JPL209" s="173"/>
      <c r="JPM209" s="173"/>
      <c r="JPN209" s="173"/>
      <c r="JPO209" s="173"/>
      <c r="JPP209" s="173"/>
      <c r="JPQ209" s="125"/>
      <c r="JPR209" s="125"/>
      <c r="JPS209" s="134"/>
      <c r="JPT209" s="135"/>
      <c r="JPU209" s="135"/>
      <c r="JPV209" s="135"/>
      <c r="JPW209" s="135"/>
      <c r="JPX209" s="173"/>
      <c r="JPY209" s="173"/>
      <c r="JPZ209" s="173"/>
      <c r="JQA209" s="173"/>
      <c r="JQB209" s="173"/>
      <c r="JQC209" s="173"/>
      <c r="JQD209" s="173"/>
      <c r="JQE209" s="173"/>
      <c r="JQF209" s="173"/>
      <c r="JQG209" s="173"/>
      <c r="JQH209" s="125"/>
      <c r="JQI209" s="125"/>
      <c r="JQJ209" s="134"/>
      <c r="JQK209" s="135"/>
      <c r="JQL209" s="135"/>
      <c r="JQM209" s="135"/>
      <c r="JQN209" s="135"/>
      <c r="JQO209" s="173"/>
      <c r="JQP209" s="173"/>
      <c r="JQQ209" s="173"/>
      <c r="JQR209" s="173"/>
      <c r="JQS209" s="173"/>
      <c r="JQT209" s="173"/>
      <c r="JQU209" s="173"/>
      <c r="JQV209" s="173"/>
      <c r="JQW209" s="173"/>
      <c r="JQX209" s="173"/>
      <c r="JQY209" s="125"/>
      <c r="JQZ209" s="125"/>
      <c r="JRA209" s="134"/>
      <c r="JRB209" s="135"/>
      <c r="JRC209" s="135"/>
      <c r="JRD209" s="135"/>
      <c r="JRE209" s="135"/>
      <c r="JRF209" s="173"/>
      <c r="JRG209" s="173"/>
      <c r="JRH209" s="173"/>
      <c r="JRI209" s="173"/>
      <c r="JRJ209" s="173"/>
      <c r="JRK209" s="173"/>
      <c r="JRL209" s="173"/>
      <c r="JRM209" s="173"/>
      <c r="JRN209" s="173"/>
      <c r="JRO209" s="173"/>
      <c r="JRP209" s="125"/>
      <c r="JRQ209" s="125"/>
      <c r="JRR209" s="134"/>
      <c r="JRS209" s="135"/>
      <c r="JRT209" s="135"/>
      <c r="JRU209" s="135"/>
      <c r="JRV209" s="135"/>
      <c r="JRW209" s="173"/>
      <c r="JRX209" s="173"/>
      <c r="JRY209" s="173"/>
      <c r="JRZ209" s="173"/>
      <c r="JSA209" s="173"/>
      <c r="JSB209" s="173"/>
      <c r="JSC209" s="173"/>
      <c r="JSD209" s="173"/>
      <c r="JSE209" s="173"/>
      <c r="JSF209" s="173"/>
      <c r="JSG209" s="125"/>
      <c r="JSH209" s="125"/>
      <c r="JSI209" s="134"/>
      <c r="JSJ209" s="135"/>
      <c r="JSK209" s="135"/>
      <c r="JSL209" s="135"/>
      <c r="JSM209" s="135"/>
      <c r="JSN209" s="173"/>
      <c r="JSO209" s="173"/>
      <c r="JSP209" s="173"/>
      <c r="JSQ209" s="173"/>
      <c r="JSR209" s="173"/>
      <c r="JSS209" s="173"/>
      <c r="JST209" s="173"/>
      <c r="JSU209" s="173"/>
      <c r="JSV209" s="173"/>
      <c r="JSW209" s="173"/>
      <c r="JSX209" s="125"/>
      <c r="JSY209" s="125"/>
      <c r="JSZ209" s="134"/>
      <c r="JTA209" s="135"/>
      <c r="JTB209" s="135"/>
      <c r="JTC209" s="135"/>
      <c r="JTD209" s="135"/>
      <c r="JTE209" s="173"/>
      <c r="JTF209" s="173"/>
      <c r="JTG209" s="173"/>
      <c r="JTH209" s="173"/>
      <c r="JTI209" s="173"/>
      <c r="JTJ209" s="173"/>
      <c r="JTK209" s="173"/>
      <c r="JTL209" s="173"/>
      <c r="JTM209" s="173"/>
      <c r="JTN209" s="173"/>
      <c r="JTO209" s="125"/>
      <c r="JTP209" s="125"/>
      <c r="JTQ209" s="134"/>
      <c r="JTR209" s="135"/>
      <c r="JTS209" s="135"/>
      <c r="JTT209" s="135"/>
      <c r="JTU209" s="135"/>
      <c r="JTV209" s="173"/>
      <c r="JTW209" s="173"/>
      <c r="JTX209" s="173"/>
      <c r="JTY209" s="173"/>
      <c r="JTZ209" s="173"/>
      <c r="JUA209" s="173"/>
      <c r="JUB209" s="173"/>
      <c r="JUC209" s="173"/>
      <c r="JUD209" s="173"/>
      <c r="JUE209" s="173"/>
      <c r="JUF209" s="125"/>
      <c r="JUG209" s="125"/>
      <c r="JUH209" s="134"/>
      <c r="JUI209" s="135"/>
      <c r="JUJ209" s="135"/>
      <c r="JUK209" s="135"/>
      <c r="JUL209" s="135"/>
      <c r="JUM209" s="173"/>
      <c r="JUN209" s="173"/>
      <c r="JUO209" s="173"/>
      <c r="JUP209" s="173"/>
      <c r="JUQ209" s="173"/>
      <c r="JUR209" s="173"/>
      <c r="JUS209" s="173"/>
      <c r="JUT209" s="173"/>
      <c r="JUU209" s="173"/>
      <c r="JUV209" s="173"/>
      <c r="JUW209" s="125"/>
      <c r="JUX209" s="125"/>
      <c r="JUY209" s="134"/>
      <c r="JUZ209" s="135"/>
      <c r="JVA209" s="135"/>
      <c r="JVB209" s="135"/>
      <c r="JVC209" s="135"/>
      <c r="JVD209" s="173"/>
      <c r="JVE209" s="173"/>
      <c r="JVF209" s="173"/>
      <c r="JVG209" s="173"/>
      <c r="JVH209" s="173"/>
      <c r="JVI209" s="173"/>
      <c r="JVJ209" s="173"/>
      <c r="JVK209" s="173"/>
      <c r="JVL209" s="173"/>
      <c r="JVM209" s="173"/>
      <c r="JVN209" s="125"/>
      <c r="JVO209" s="125"/>
      <c r="JVP209" s="134"/>
      <c r="JVQ209" s="135"/>
      <c r="JVR209" s="135"/>
      <c r="JVS209" s="135"/>
      <c r="JVT209" s="135"/>
      <c r="JVU209" s="173"/>
      <c r="JVV209" s="173"/>
      <c r="JVW209" s="173"/>
      <c r="JVX209" s="173"/>
      <c r="JVY209" s="173"/>
      <c r="JVZ209" s="173"/>
      <c r="JWA209" s="173"/>
      <c r="JWB209" s="173"/>
      <c r="JWC209" s="173"/>
      <c r="JWD209" s="173"/>
      <c r="JWE209" s="125"/>
      <c r="JWF209" s="125"/>
      <c r="JWG209" s="134"/>
      <c r="JWH209" s="135"/>
      <c r="JWI209" s="135"/>
      <c r="JWJ209" s="135"/>
      <c r="JWK209" s="135"/>
      <c r="JWL209" s="173"/>
      <c r="JWM209" s="173"/>
      <c r="JWN209" s="173"/>
      <c r="JWO209" s="173"/>
      <c r="JWP209" s="173"/>
      <c r="JWQ209" s="173"/>
      <c r="JWR209" s="173"/>
      <c r="JWS209" s="173"/>
      <c r="JWT209" s="173"/>
      <c r="JWU209" s="173"/>
      <c r="JWV209" s="125"/>
      <c r="JWW209" s="125"/>
      <c r="JWX209" s="134"/>
      <c r="JWY209" s="135"/>
      <c r="JWZ209" s="135"/>
      <c r="JXA209" s="135"/>
      <c r="JXB209" s="135"/>
      <c r="JXC209" s="173"/>
      <c r="JXD209" s="173"/>
      <c r="JXE209" s="173"/>
      <c r="JXF209" s="173"/>
      <c r="JXG209" s="173"/>
      <c r="JXH209" s="173"/>
      <c r="JXI209" s="173"/>
      <c r="JXJ209" s="173"/>
      <c r="JXK209" s="173"/>
      <c r="JXL209" s="173"/>
      <c r="JXM209" s="125"/>
      <c r="JXN209" s="125"/>
      <c r="JXO209" s="134"/>
      <c r="JXP209" s="135"/>
      <c r="JXQ209" s="135"/>
      <c r="JXR209" s="135"/>
      <c r="JXS209" s="135"/>
      <c r="JXT209" s="173"/>
      <c r="JXU209" s="173"/>
      <c r="JXV209" s="173"/>
      <c r="JXW209" s="173"/>
      <c r="JXX209" s="173"/>
      <c r="JXY209" s="173"/>
      <c r="JXZ209" s="173"/>
      <c r="JYA209" s="173"/>
      <c r="JYB209" s="173"/>
      <c r="JYC209" s="173"/>
      <c r="JYD209" s="125"/>
      <c r="JYE209" s="125"/>
      <c r="JYF209" s="134"/>
      <c r="JYG209" s="135"/>
      <c r="JYH209" s="135"/>
      <c r="JYI209" s="135"/>
      <c r="JYJ209" s="135"/>
      <c r="JYK209" s="173"/>
      <c r="JYL209" s="173"/>
      <c r="JYM209" s="173"/>
      <c r="JYN209" s="173"/>
      <c r="JYO209" s="173"/>
      <c r="JYP209" s="173"/>
      <c r="JYQ209" s="173"/>
      <c r="JYR209" s="173"/>
      <c r="JYS209" s="173"/>
      <c r="JYT209" s="173"/>
      <c r="JYU209" s="125"/>
      <c r="JYV209" s="125"/>
      <c r="JYW209" s="134"/>
      <c r="JYX209" s="135"/>
      <c r="JYY209" s="135"/>
      <c r="JYZ209" s="135"/>
      <c r="JZA209" s="135"/>
      <c r="JZB209" s="173"/>
      <c r="JZC209" s="173"/>
      <c r="JZD209" s="173"/>
      <c r="JZE209" s="173"/>
      <c r="JZF209" s="173"/>
      <c r="JZG209" s="173"/>
      <c r="JZH209" s="173"/>
      <c r="JZI209" s="173"/>
      <c r="JZJ209" s="173"/>
      <c r="JZK209" s="173"/>
      <c r="JZL209" s="125"/>
      <c r="JZM209" s="125"/>
      <c r="JZN209" s="134"/>
      <c r="JZO209" s="135"/>
      <c r="JZP209" s="135"/>
      <c r="JZQ209" s="135"/>
      <c r="JZR209" s="135"/>
      <c r="JZS209" s="173"/>
      <c r="JZT209" s="173"/>
      <c r="JZU209" s="173"/>
      <c r="JZV209" s="173"/>
      <c r="JZW209" s="173"/>
      <c r="JZX209" s="173"/>
      <c r="JZY209" s="173"/>
      <c r="JZZ209" s="173"/>
      <c r="KAA209" s="173"/>
      <c r="KAB209" s="173"/>
      <c r="KAC209" s="125"/>
      <c r="KAD209" s="125"/>
      <c r="KAE209" s="134"/>
      <c r="KAF209" s="135"/>
      <c r="KAG209" s="135"/>
      <c r="KAH209" s="135"/>
      <c r="KAI209" s="135"/>
      <c r="KAJ209" s="173"/>
      <c r="KAK209" s="173"/>
      <c r="KAL209" s="173"/>
      <c r="KAM209" s="173"/>
      <c r="KAN209" s="173"/>
      <c r="KAO209" s="173"/>
      <c r="KAP209" s="173"/>
      <c r="KAQ209" s="173"/>
      <c r="KAR209" s="173"/>
      <c r="KAS209" s="173"/>
      <c r="KAT209" s="125"/>
      <c r="KAU209" s="125"/>
      <c r="KAV209" s="134"/>
      <c r="KAW209" s="135"/>
      <c r="KAX209" s="135"/>
      <c r="KAY209" s="135"/>
      <c r="KAZ209" s="135"/>
      <c r="KBA209" s="173"/>
      <c r="KBB209" s="173"/>
      <c r="KBC209" s="173"/>
      <c r="KBD209" s="173"/>
      <c r="KBE209" s="173"/>
      <c r="KBF209" s="173"/>
      <c r="KBG209" s="173"/>
      <c r="KBH209" s="173"/>
      <c r="KBI209" s="173"/>
      <c r="KBJ209" s="173"/>
      <c r="KBK209" s="125"/>
      <c r="KBL209" s="125"/>
      <c r="KBM209" s="134"/>
      <c r="KBN209" s="135"/>
      <c r="KBO209" s="135"/>
      <c r="KBP209" s="135"/>
      <c r="KBQ209" s="135"/>
      <c r="KBR209" s="173"/>
      <c r="KBS209" s="173"/>
      <c r="KBT209" s="173"/>
      <c r="KBU209" s="173"/>
      <c r="KBV209" s="173"/>
      <c r="KBW209" s="173"/>
      <c r="KBX209" s="173"/>
      <c r="KBY209" s="173"/>
      <c r="KBZ209" s="173"/>
      <c r="KCA209" s="173"/>
      <c r="KCB209" s="125"/>
      <c r="KCC209" s="125"/>
      <c r="KCD209" s="134"/>
      <c r="KCE209" s="135"/>
      <c r="KCF209" s="135"/>
      <c r="KCG209" s="135"/>
      <c r="KCH209" s="135"/>
      <c r="KCI209" s="173"/>
      <c r="KCJ209" s="173"/>
      <c r="KCK209" s="173"/>
      <c r="KCL209" s="173"/>
      <c r="KCM209" s="173"/>
      <c r="KCN209" s="173"/>
      <c r="KCO209" s="173"/>
      <c r="KCP209" s="173"/>
      <c r="KCQ209" s="173"/>
      <c r="KCR209" s="173"/>
      <c r="KCS209" s="125"/>
      <c r="KCT209" s="125"/>
      <c r="KCU209" s="134"/>
      <c r="KCV209" s="135"/>
      <c r="KCW209" s="135"/>
      <c r="KCX209" s="135"/>
      <c r="KCY209" s="135"/>
      <c r="KCZ209" s="173"/>
      <c r="KDA209" s="173"/>
      <c r="KDB209" s="173"/>
      <c r="KDC209" s="173"/>
      <c r="KDD209" s="173"/>
      <c r="KDE209" s="173"/>
      <c r="KDF209" s="173"/>
      <c r="KDG209" s="173"/>
      <c r="KDH209" s="173"/>
      <c r="KDI209" s="173"/>
      <c r="KDJ209" s="125"/>
      <c r="KDK209" s="125"/>
      <c r="KDL209" s="134"/>
      <c r="KDM209" s="135"/>
      <c r="KDN209" s="135"/>
      <c r="KDO209" s="135"/>
      <c r="KDP209" s="135"/>
      <c r="KDQ209" s="173"/>
      <c r="KDR209" s="173"/>
      <c r="KDS209" s="173"/>
      <c r="KDT209" s="173"/>
      <c r="KDU209" s="173"/>
      <c r="KDV209" s="173"/>
      <c r="KDW209" s="173"/>
      <c r="KDX209" s="173"/>
      <c r="KDY209" s="173"/>
      <c r="KDZ209" s="173"/>
      <c r="KEA209" s="125"/>
      <c r="KEB209" s="125"/>
      <c r="KEC209" s="134"/>
      <c r="KED209" s="135"/>
      <c r="KEE209" s="135"/>
      <c r="KEF209" s="135"/>
      <c r="KEG209" s="135"/>
      <c r="KEH209" s="173"/>
      <c r="KEI209" s="173"/>
      <c r="KEJ209" s="173"/>
      <c r="KEK209" s="173"/>
      <c r="KEL209" s="173"/>
      <c r="KEM209" s="173"/>
      <c r="KEN209" s="173"/>
      <c r="KEO209" s="173"/>
      <c r="KEP209" s="173"/>
      <c r="KEQ209" s="173"/>
      <c r="KER209" s="125"/>
      <c r="KES209" s="125"/>
      <c r="KET209" s="134"/>
      <c r="KEU209" s="135"/>
      <c r="KEV209" s="135"/>
      <c r="KEW209" s="135"/>
      <c r="KEX209" s="135"/>
      <c r="KEY209" s="173"/>
      <c r="KEZ209" s="173"/>
      <c r="KFA209" s="173"/>
      <c r="KFB209" s="173"/>
      <c r="KFC209" s="173"/>
      <c r="KFD209" s="173"/>
      <c r="KFE209" s="173"/>
      <c r="KFF209" s="173"/>
      <c r="KFG209" s="173"/>
      <c r="KFH209" s="173"/>
      <c r="KFI209" s="125"/>
      <c r="KFJ209" s="125"/>
      <c r="KFK209" s="134"/>
      <c r="KFL209" s="135"/>
      <c r="KFM209" s="135"/>
      <c r="KFN209" s="135"/>
      <c r="KFO209" s="135"/>
      <c r="KFP209" s="173"/>
      <c r="KFQ209" s="173"/>
      <c r="KFR209" s="173"/>
      <c r="KFS209" s="173"/>
      <c r="KFT209" s="173"/>
      <c r="KFU209" s="173"/>
      <c r="KFV209" s="173"/>
      <c r="KFW209" s="173"/>
      <c r="KFX209" s="173"/>
      <c r="KFY209" s="173"/>
      <c r="KFZ209" s="125"/>
      <c r="KGA209" s="125"/>
      <c r="KGB209" s="134"/>
      <c r="KGC209" s="135"/>
      <c r="KGD209" s="135"/>
      <c r="KGE209" s="135"/>
      <c r="KGF209" s="135"/>
      <c r="KGG209" s="173"/>
      <c r="KGH209" s="173"/>
      <c r="KGI209" s="173"/>
      <c r="KGJ209" s="173"/>
      <c r="KGK209" s="173"/>
      <c r="KGL209" s="173"/>
      <c r="KGM209" s="173"/>
      <c r="KGN209" s="173"/>
      <c r="KGO209" s="173"/>
      <c r="KGP209" s="173"/>
      <c r="KGQ209" s="125"/>
      <c r="KGR209" s="125"/>
      <c r="KGS209" s="134"/>
      <c r="KGT209" s="135"/>
      <c r="KGU209" s="135"/>
      <c r="KGV209" s="135"/>
      <c r="KGW209" s="135"/>
      <c r="KGX209" s="173"/>
      <c r="KGY209" s="173"/>
      <c r="KGZ209" s="173"/>
      <c r="KHA209" s="173"/>
      <c r="KHB209" s="173"/>
      <c r="KHC209" s="173"/>
      <c r="KHD209" s="173"/>
      <c r="KHE209" s="173"/>
      <c r="KHF209" s="173"/>
      <c r="KHG209" s="173"/>
      <c r="KHH209" s="125"/>
      <c r="KHI209" s="125"/>
      <c r="KHJ209" s="134"/>
      <c r="KHK209" s="135"/>
      <c r="KHL209" s="135"/>
      <c r="KHM209" s="135"/>
      <c r="KHN209" s="135"/>
      <c r="KHO209" s="173"/>
      <c r="KHP209" s="173"/>
      <c r="KHQ209" s="173"/>
      <c r="KHR209" s="173"/>
      <c r="KHS209" s="173"/>
      <c r="KHT209" s="173"/>
      <c r="KHU209" s="173"/>
      <c r="KHV209" s="173"/>
      <c r="KHW209" s="173"/>
      <c r="KHX209" s="173"/>
      <c r="KHY209" s="125"/>
      <c r="KHZ209" s="125"/>
      <c r="KIA209" s="134"/>
      <c r="KIB209" s="135"/>
      <c r="KIC209" s="135"/>
      <c r="KID209" s="135"/>
      <c r="KIE209" s="135"/>
      <c r="KIF209" s="173"/>
      <c r="KIG209" s="173"/>
      <c r="KIH209" s="173"/>
      <c r="KII209" s="173"/>
      <c r="KIJ209" s="173"/>
      <c r="KIK209" s="173"/>
      <c r="KIL209" s="173"/>
      <c r="KIM209" s="173"/>
      <c r="KIN209" s="173"/>
      <c r="KIO209" s="173"/>
      <c r="KIP209" s="125"/>
      <c r="KIQ209" s="125"/>
      <c r="KIR209" s="134"/>
      <c r="KIS209" s="135"/>
      <c r="KIT209" s="135"/>
      <c r="KIU209" s="135"/>
      <c r="KIV209" s="135"/>
      <c r="KIW209" s="173"/>
      <c r="KIX209" s="173"/>
      <c r="KIY209" s="173"/>
      <c r="KIZ209" s="173"/>
      <c r="KJA209" s="173"/>
      <c r="KJB209" s="173"/>
      <c r="KJC209" s="173"/>
      <c r="KJD209" s="173"/>
      <c r="KJE209" s="173"/>
      <c r="KJF209" s="173"/>
      <c r="KJG209" s="125"/>
      <c r="KJH209" s="125"/>
      <c r="KJI209" s="134"/>
      <c r="KJJ209" s="135"/>
      <c r="KJK209" s="135"/>
      <c r="KJL209" s="135"/>
      <c r="KJM209" s="135"/>
      <c r="KJN209" s="173"/>
      <c r="KJO209" s="173"/>
      <c r="KJP209" s="173"/>
      <c r="KJQ209" s="173"/>
      <c r="KJR209" s="173"/>
      <c r="KJS209" s="173"/>
      <c r="KJT209" s="173"/>
      <c r="KJU209" s="173"/>
      <c r="KJV209" s="173"/>
      <c r="KJW209" s="173"/>
      <c r="KJX209" s="125"/>
      <c r="KJY209" s="125"/>
      <c r="KJZ209" s="134"/>
      <c r="KKA209" s="135"/>
      <c r="KKB209" s="135"/>
      <c r="KKC209" s="135"/>
      <c r="KKD209" s="135"/>
      <c r="KKE209" s="173"/>
      <c r="KKF209" s="173"/>
      <c r="KKG209" s="173"/>
      <c r="KKH209" s="173"/>
      <c r="KKI209" s="173"/>
      <c r="KKJ209" s="173"/>
      <c r="KKK209" s="173"/>
      <c r="KKL209" s="173"/>
      <c r="KKM209" s="173"/>
      <c r="KKN209" s="173"/>
      <c r="KKO209" s="125"/>
      <c r="KKP209" s="125"/>
      <c r="KKQ209" s="134"/>
      <c r="KKR209" s="135"/>
      <c r="KKS209" s="135"/>
      <c r="KKT209" s="135"/>
      <c r="KKU209" s="135"/>
      <c r="KKV209" s="173"/>
      <c r="KKW209" s="173"/>
      <c r="KKX209" s="173"/>
      <c r="KKY209" s="173"/>
      <c r="KKZ209" s="173"/>
      <c r="KLA209" s="173"/>
      <c r="KLB209" s="173"/>
      <c r="KLC209" s="173"/>
      <c r="KLD209" s="173"/>
      <c r="KLE209" s="173"/>
      <c r="KLF209" s="125"/>
      <c r="KLG209" s="125"/>
      <c r="KLH209" s="134"/>
      <c r="KLI209" s="135"/>
      <c r="KLJ209" s="135"/>
      <c r="KLK209" s="135"/>
      <c r="KLL209" s="135"/>
      <c r="KLM209" s="173"/>
      <c r="KLN209" s="173"/>
      <c r="KLO209" s="173"/>
      <c r="KLP209" s="173"/>
      <c r="KLQ209" s="173"/>
      <c r="KLR209" s="173"/>
      <c r="KLS209" s="173"/>
      <c r="KLT209" s="173"/>
      <c r="KLU209" s="173"/>
      <c r="KLV209" s="173"/>
      <c r="KLW209" s="125"/>
      <c r="KLX209" s="125"/>
      <c r="KLY209" s="134"/>
      <c r="KLZ209" s="135"/>
      <c r="KMA209" s="135"/>
      <c r="KMB209" s="135"/>
      <c r="KMC209" s="135"/>
      <c r="KMD209" s="173"/>
      <c r="KME209" s="173"/>
      <c r="KMF209" s="173"/>
      <c r="KMG209" s="173"/>
      <c r="KMH209" s="173"/>
      <c r="KMI209" s="173"/>
      <c r="KMJ209" s="173"/>
      <c r="KMK209" s="173"/>
      <c r="KML209" s="173"/>
      <c r="KMM209" s="173"/>
      <c r="KMN209" s="125"/>
      <c r="KMO209" s="125"/>
      <c r="KMP209" s="134"/>
      <c r="KMQ209" s="135"/>
      <c r="KMR209" s="135"/>
      <c r="KMS209" s="135"/>
      <c r="KMT209" s="135"/>
      <c r="KMU209" s="173"/>
      <c r="KMV209" s="173"/>
      <c r="KMW209" s="173"/>
      <c r="KMX209" s="173"/>
      <c r="KMY209" s="173"/>
      <c r="KMZ209" s="173"/>
      <c r="KNA209" s="173"/>
      <c r="KNB209" s="173"/>
      <c r="KNC209" s="173"/>
      <c r="KND209" s="173"/>
      <c r="KNE209" s="125"/>
      <c r="KNF209" s="125"/>
      <c r="KNG209" s="134"/>
      <c r="KNH209" s="135"/>
      <c r="KNI209" s="135"/>
      <c r="KNJ209" s="135"/>
      <c r="KNK209" s="135"/>
      <c r="KNL209" s="173"/>
      <c r="KNM209" s="173"/>
      <c r="KNN209" s="173"/>
      <c r="KNO209" s="173"/>
      <c r="KNP209" s="173"/>
      <c r="KNQ209" s="173"/>
      <c r="KNR209" s="173"/>
      <c r="KNS209" s="173"/>
      <c r="KNT209" s="173"/>
      <c r="KNU209" s="173"/>
      <c r="KNV209" s="125"/>
      <c r="KNW209" s="125"/>
      <c r="KNX209" s="134"/>
      <c r="KNY209" s="135"/>
      <c r="KNZ209" s="135"/>
      <c r="KOA209" s="135"/>
      <c r="KOB209" s="135"/>
      <c r="KOC209" s="173"/>
      <c r="KOD209" s="173"/>
      <c r="KOE209" s="173"/>
      <c r="KOF209" s="173"/>
      <c r="KOG209" s="173"/>
      <c r="KOH209" s="173"/>
      <c r="KOI209" s="173"/>
      <c r="KOJ209" s="173"/>
      <c r="KOK209" s="173"/>
      <c r="KOL209" s="173"/>
      <c r="KOM209" s="125"/>
      <c r="KON209" s="125"/>
      <c r="KOO209" s="134"/>
      <c r="KOP209" s="135"/>
      <c r="KOQ209" s="135"/>
      <c r="KOR209" s="135"/>
      <c r="KOS209" s="135"/>
      <c r="KOT209" s="173"/>
      <c r="KOU209" s="173"/>
      <c r="KOV209" s="173"/>
      <c r="KOW209" s="173"/>
      <c r="KOX209" s="173"/>
      <c r="KOY209" s="173"/>
      <c r="KOZ209" s="173"/>
      <c r="KPA209" s="173"/>
      <c r="KPB209" s="173"/>
      <c r="KPC209" s="173"/>
      <c r="KPD209" s="125"/>
      <c r="KPE209" s="125"/>
      <c r="KPF209" s="134"/>
      <c r="KPG209" s="135"/>
      <c r="KPH209" s="135"/>
      <c r="KPI209" s="135"/>
      <c r="KPJ209" s="135"/>
      <c r="KPK209" s="173"/>
      <c r="KPL209" s="173"/>
      <c r="KPM209" s="173"/>
      <c r="KPN209" s="173"/>
      <c r="KPO209" s="173"/>
      <c r="KPP209" s="173"/>
      <c r="KPQ209" s="173"/>
      <c r="KPR209" s="173"/>
      <c r="KPS209" s="173"/>
      <c r="KPT209" s="173"/>
      <c r="KPU209" s="125"/>
      <c r="KPV209" s="125"/>
      <c r="KPW209" s="134"/>
      <c r="KPX209" s="135"/>
      <c r="KPY209" s="135"/>
      <c r="KPZ209" s="135"/>
      <c r="KQA209" s="135"/>
      <c r="KQB209" s="173"/>
      <c r="KQC209" s="173"/>
      <c r="KQD209" s="173"/>
      <c r="KQE209" s="173"/>
      <c r="KQF209" s="173"/>
      <c r="KQG209" s="173"/>
      <c r="KQH209" s="173"/>
      <c r="KQI209" s="173"/>
      <c r="KQJ209" s="173"/>
      <c r="KQK209" s="173"/>
      <c r="KQL209" s="125"/>
      <c r="KQM209" s="125"/>
      <c r="KQN209" s="134"/>
      <c r="KQO209" s="135"/>
      <c r="KQP209" s="135"/>
      <c r="KQQ209" s="135"/>
      <c r="KQR209" s="135"/>
      <c r="KQS209" s="173"/>
      <c r="KQT209" s="173"/>
      <c r="KQU209" s="173"/>
      <c r="KQV209" s="173"/>
      <c r="KQW209" s="173"/>
      <c r="KQX209" s="173"/>
      <c r="KQY209" s="173"/>
      <c r="KQZ209" s="173"/>
      <c r="KRA209" s="173"/>
      <c r="KRB209" s="173"/>
      <c r="KRC209" s="125"/>
      <c r="KRD209" s="125"/>
      <c r="KRE209" s="134"/>
      <c r="KRF209" s="135"/>
      <c r="KRG209" s="135"/>
      <c r="KRH209" s="135"/>
      <c r="KRI209" s="135"/>
      <c r="KRJ209" s="173"/>
      <c r="KRK209" s="173"/>
      <c r="KRL209" s="173"/>
      <c r="KRM209" s="173"/>
      <c r="KRN209" s="173"/>
      <c r="KRO209" s="173"/>
      <c r="KRP209" s="173"/>
      <c r="KRQ209" s="173"/>
      <c r="KRR209" s="173"/>
      <c r="KRS209" s="173"/>
      <c r="KRT209" s="125"/>
      <c r="KRU209" s="125"/>
      <c r="KRV209" s="134"/>
      <c r="KRW209" s="135"/>
      <c r="KRX209" s="135"/>
      <c r="KRY209" s="135"/>
      <c r="KRZ209" s="135"/>
      <c r="KSA209" s="173"/>
      <c r="KSB209" s="173"/>
      <c r="KSC209" s="173"/>
      <c r="KSD209" s="173"/>
      <c r="KSE209" s="173"/>
      <c r="KSF209" s="173"/>
      <c r="KSG209" s="173"/>
      <c r="KSH209" s="173"/>
      <c r="KSI209" s="173"/>
      <c r="KSJ209" s="173"/>
      <c r="KSK209" s="125"/>
      <c r="KSL209" s="125"/>
      <c r="KSM209" s="134"/>
      <c r="KSN209" s="135"/>
      <c r="KSO209" s="135"/>
      <c r="KSP209" s="135"/>
      <c r="KSQ209" s="135"/>
      <c r="KSR209" s="173"/>
      <c r="KSS209" s="173"/>
      <c r="KST209" s="173"/>
      <c r="KSU209" s="173"/>
      <c r="KSV209" s="173"/>
      <c r="KSW209" s="173"/>
      <c r="KSX209" s="173"/>
      <c r="KSY209" s="173"/>
      <c r="KSZ209" s="173"/>
      <c r="KTA209" s="173"/>
      <c r="KTB209" s="125"/>
      <c r="KTC209" s="125"/>
      <c r="KTD209" s="134"/>
      <c r="KTE209" s="135"/>
      <c r="KTF209" s="135"/>
      <c r="KTG209" s="135"/>
      <c r="KTH209" s="135"/>
      <c r="KTI209" s="173"/>
      <c r="KTJ209" s="173"/>
      <c r="KTK209" s="173"/>
      <c r="KTL209" s="173"/>
      <c r="KTM209" s="173"/>
      <c r="KTN209" s="173"/>
      <c r="KTO209" s="173"/>
      <c r="KTP209" s="173"/>
      <c r="KTQ209" s="173"/>
      <c r="KTR209" s="173"/>
      <c r="KTS209" s="125"/>
      <c r="KTT209" s="125"/>
      <c r="KTU209" s="134"/>
      <c r="KTV209" s="135"/>
      <c r="KTW209" s="135"/>
      <c r="KTX209" s="135"/>
      <c r="KTY209" s="135"/>
      <c r="KTZ209" s="173"/>
      <c r="KUA209" s="173"/>
      <c r="KUB209" s="173"/>
      <c r="KUC209" s="173"/>
      <c r="KUD209" s="173"/>
      <c r="KUE209" s="173"/>
      <c r="KUF209" s="173"/>
      <c r="KUG209" s="173"/>
      <c r="KUH209" s="173"/>
      <c r="KUI209" s="173"/>
      <c r="KUJ209" s="125"/>
      <c r="KUK209" s="125"/>
      <c r="KUL209" s="134"/>
      <c r="KUM209" s="135"/>
      <c r="KUN209" s="135"/>
      <c r="KUO209" s="135"/>
      <c r="KUP209" s="135"/>
      <c r="KUQ209" s="173"/>
      <c r="KUR209" s="173"/>
      <c r="KUS209" s="173"/>
      <c r="KUT209" s="173"/>
      <c r="KUU209" s="173"/>
      <c r="KUV209" s="173"/>
      <c r="KUW209" s="173"/>
      <c r="KUX209" s="173"/>
      <c r="KUY209" s="173"/>
      <c r="KUZ209" s="173"/>
      <c r="KVA209" s="125"/>
      <c r="KVB209" s="125"/>
      <c r="KVC209" s="134"/>
      <c r="KVD209" s="135"/>
      <c r="KVE209" s="135"/>
      <c r="KVF209" s="135"/>
      <c r="KVG209" s="135"/>
      <c r="KVH209" s="173"/>
      <c r="KVI209" s="173"/>
      <c r="KVJ209" s="173"/>
      <c r="KVK209" s="173"/>
      <c r="KVL209" s="173"/>
      <c r="KVM209" s="173"/>
      <c r="KVN209" s="173"/>
      <c r="KVO209" s="173"/>
      <c r="KVP209" s="173"/>
      <c r="KVQ209" s="173"/>
      <c r="KVR209" s="125"/>
      <c r="KVS209" s="125"/>
      <c r="KVT209" s="134"/>
      <c r="KVU209" s="135"/>
      <c r="KVV209" s="135"/>
      <c r="KVW209" s="135"/>
      <c r="KVX209" s="135"/>
      <c r="KVY209" s="173"/>
      <c r="KVZ209" s="173"/>
      <c r="KWA209" s="173"/>
      <c r="KWB209" s="173"/>
      <c r="KWC209" s="173"/>
      <c r="KWD209" s="173"/>
      <c r="KWE209" s="173"/>
      <c r="KWF209" s="173"/>
      <c r="KWG209" s="173"/>
      <c r="KWH209" s="173"/>
      <c r="KWI209" s="125"/>
      <c r="KWJ209" s="125"/>
      <c r="KWK209" s="134"/>
      <c r="KWL209" s="135"/>
      <c r="KWM209" s="135"/>
      <c r="KWN209" s="135"/>
      <c r="KWO209" s="135"/>
      <c r="KWP209" s="173"/>
      <c r="KWQ209" s="173"/>
      <c r="KWR209" s="173"/>
      <c r="KWS209" s="173"/>
      <c r="KWT209" s="173"/>
      <c r="KWU209" s="173"/>
      <c r="KWV209" s="173"/>
      <c r="KWW209" s="173"/>
      <c r="KWX209" s="173"/>
      <c r="KWY209" s="173"/>
      <c r="KWZ209" s="125"/>
      <c r="KXA209" s="125"/>
      <c r="KXB209" s="134"/>
      <c r="KXC209" s="135"/>
      <c r="KXD209" s="135"/>
      <c r="KXE209" s="135"/>
      <c r="KXF209" s="135"/>
      <c r="KXG209" s="173"/>
      <c r="KXH209" s="173"/>
      <c r="KXI209" s="173"/>
      <c r="KXJ209" s="173"/>
      <c r="KXK209" s="173"/>
      <c r="KXL209" s="173"/>
      <c r="KXM209" s="173"/>
      <c r="KXN209" s="173"/>
      <c r="KXO209" s="173"/>
      <c r="KXP209" s="173"/>
      <c r="KXQ209" s="125"/>
      <c r="KXR209" s="125"/>
      <c r="KXS209" s="134"/>
      <c r="KXT209" s="135"/>
      <c r="KXU209" s="135"/>
      <c r="KXV209" s="135"/>
      <c r="KXW209" s="135"/>
      <c r="KXX209" s="173"/>
      <c r="KXY209" s="173"/>
      <c r="KXZ209" s="173"/>
      <c r="KYA209" s="173"/>
      <c r="KYB209" s="173"/>
      <c r="KYC209" s="173"/>
      <c r="KYD209" s="173"/>
      <c r="KYE209" s="173"/>
      <c r="KYF209" s="173"/>
      <c r="KYG209" s="173"/>
      <c r="KYH209" s="125"/>
      <c r="KYI209" s="125"/>
      <c r="KYJ209" s="134"/>
      <c r="KYK209" s="135"/>
      <c r="KYL209" s="135"/>
      <c r="KYM209" s="135"/>
      <c r="KYN209" s="135"/>
      <c r="KYO209" s="173"/>
      <c r="KYP209" s="173"/>
      <c r="KYQ209" s="173"/>
      <c r="KYR209" s="173"/>
      <c r="KYS209" s="173"/>
      <c r="KYT209" s="173"/>
      <c r="KYU209" s="173"/>
      <c r="KYV209" s="173"/>
      <c r="KYW209" s="173"/>
      <c r="KYX209" s="173"/>
      <c r="KYY209" s="125"/>
      <c r="KYZ209" s="125"/>
      <c r="KZA209" s="134"/>
      <c r="KZB209" s="135"/>
      <c r="KZC209" s="135"/>
      <c r="KZD209" s="135"/>
      <c r="KZE209" s="135"/>
      <c r="KZF209" s="173"/>
      <c r="KZG209" s="173"/>
      <c r="KZH209" s="173"/>
      <c r="KZI209" s="173"/>
      <c r="KZJ209" s="173"/>
      <c r="KZK209" s="173"/>
      <c r="KZL209" s="173"/>
      <c r="KZM209" s="173"/>
      <c r="KZN209" s="173"/>
      <c r="KZO209" s="173"/>
      <c r="KZP209" s="125"/>
      <c r="KZQ209" s="125"/>
      <c r="KZR209" s="134"/>
      <c r="KZS209" s="135"/>
      <c r="KZT209" s="135"/>
      <c r="KZU209" s="135"/>
      <c r="KZV209" s="135"/>
      <c r="KZW209" s="173"/>
      <c r="KZX209" s="173"/>
      <c r="KZY209" s="173"/>
      <c r="KZZ209" s="173"/>
      <c r="LAA209" s="173"/>
      <c r="LAB209" s="173"/>
      <c r="LAC209" s="173"/>
      <c r="LAD209" s="173"/>
      <c r="LAE209" s="173"/>
      <c r="LAF209" s="173"/>
      <c r="LAG209" s="125"/>
      <c r="LAH209" s="125"/>
      <c r="LAI209" s="134"/>
      <c r="LAJ209" s="135"/>
      <c r="LAK209" s="135"/>
      <c r="LAL209" s="135"/>
      <c r="LAM209" s="135"/>
      <c r="LAN209" s="173"/>
      <c r="LAO209" s="173"/>
      <c r="LAP209" s="173"/>
      <c r="LAQ209" s="173"/>
      <c r="LAR209" s="173"/>
      <c r="LAS209" s="173"/>
      <c r="LAT209" s="173"/>
      <c r="LAU209" s="173"/>
      <c r="LAV209" s="173"/>
      <c r="LAW209" s="173"/>
      <c r="LAX209" s="125"/>
      <c r="LAY209" s="125"/>
      <c r="LAZ209" s="134"/>
      <c r="LBA209" s="135"/>
      <c r="LBB209" s="135"/>
      <c r="LBC209" s="135"/>
      <c r="LBD209" s="135"/>
      <c r="LBE209" s="173"/>
      <c r="LBF209" s="173"/>
      <c r="LBG209" s="173"/>
      <c r="LBH209" s="173"/>
      <c r="LBI209" s="173"/>
      <c r="LBJ209" s="173"/>
      <c r="LBK209" s="173"/>
      <c r="LBL209" s="173"/>
      <c r="LBM209" s="173"/>
      <c r="LBN209" s="173"/>
      <c r="LBO209" s="125"/>
      <c r="LBP209" s="125"/>
      <c r="LBQ209" s="134"/>
      <c r="LBR209" s="135"/>
      <c r="LBS209" s="135"/>
      <c r="LBT209" s="135"/>
      <c r="LBU209" s="135"/>
      <c r="LBV209" s="173"/>
      <c r="LBW209" s="173"/>
      <c r="LBX209" s="173"/>
      <c r="LBY209" s="173"/>
      <c r="LBZ209" s="173"/>
      <c r="LCA209" s="173"/>
      <c r="LCB209" s="173"/>
      <c r="LCC209" s="173"/>
      <c r="LCD209" s="173"/>
      <c r="LCE209" s="173"/>
      <c r="LCF209" s="125"/>
      <c r="LCG209" s="125"/>
      <c r="LCH209" s="134"/>
      <c r="LCI209" s="135"/>
      <c r="LCJ209" s="135"/>
      <c r="LCK209" s="135"/>
      <c r="LCL209" s="135"/>
      <c r="LCM209" s="173"/>
      <c r="LCN209" s="173"/>
      <c r="LCO209" s="173"/>
      <c r="LCP209" s="173"/>
      <c r="LCQ209" s="173"/>
      <c r="LCR209" s="173"/>
      <c r="LCS209" s="173"/>
      <c r="LCT209" s="173"/>
      <c r="LCU209" s="173"/>
      <c r="LCV209" s="173"/>
      <c r="LCW209" s="125"/>
      <c r="LCX209" s="125"/>
      <c r="LCY209" s="134"/>
      <c r="LCZ209" s="135"/>
      <c r="LDA209" s="135"/>
      <c r="LDB209" s="135"/>
      <c r="LDC209" s="135"/>
      <c r="LDD209" s="173"/>
      <c r="LDE209" s="173"/>
      <c r="LDF209" s="173"/>
      <c r="LDG209" s="173"/>
      <c r="LDH209" s="173"/>
      <c r="LDI209" s="173"/>
      <c r="LDJ209" s="173"/>
      <c r="LDK209" s="173"/>
      <c r="LDL209" s="173"/>
      <c r="LDM209" s="173"/>
      <c r="LDN209" s="125"/>
      <c r="LDO209" s="125"/>
      <c r="LDP209" s="134"/>
      <c r="LDQ209" s="135"/>
      <c r="LDR209" s="135"/>
      <c r="LDS209" s="135"/>
      <c r="LDT209" s="135"/>
      <c r="LDU209" s="173"/>
      <c r="LDV209" s="173"/>
      <c r="LDW209" s="173"/>
      <c r="LDX209" s="173"/>
      <c r="LDY209" s="173"/>
      <c r="LDZ209" s="173"/>
      <c r="LEA209" s="173"/>
      <c r="LEB209" s="173"/>
      <c r="LEC209" s="173"/>
      <c r="LED209" s="173"/>
      <c r="LEE209" s="125"/>
      <c r="LEF209" s="125"/>
      <c r="LEG209" s="134"/>
      <c r="LEH209" s="135"/>
      <c r="LEI209" s="135"/>
      <c r="LEJ209" s="135"/>
      <c r="LEK209" s="135"/>
      <c r="LEL209" s="173"/>
      <c r="LEM209" s="173"/>
      <c r="LEN209" s="173"/>
      <c r="LEO209" s="173"/>
      <c r="LEP209" s="173"/>
      <c r="LEQ209" s="173"/>
      <c r="LER209" s="173"/>
      <c r="LES209" s="173"/>
      <c r="LET209" s="173"/>
      <c r="LEU209" s="173"/>
      <c r="LEV209" s="125"/>
      <c r="LEW209" s="125"/>
      <c r="LEX209" s="134"/>
      <c r="LEY209" s="135"/>
      <c r="LEZ209" s="135"/>
      <c r="LFA209" s="135"/>
      <c r="LFB209" s="135"/>
      <c r="LFC209" s="173"/>
      <c r="LFD209" s="173"/>
      <c r="LFE209" s="173"/>
      <c r="LFF209" s="173"/>
      <c r="LFG209" s="173"/>
      <c r="LFH209" s="173"/>
      <c r="LFI209" s="173"/>
      <c r="LFJ209" s="173"/>
      <c r="LFK209" s="173"/>
      <c r="LFL209" s="173"/>
      <c r="LFM209" s="125"/>
      <c r="LFN209" s="125"/>
      <c r="LFO209" s="134"/>
      <c r="LFP209" s="135"/>
      <c r="LFQ209" s="135"/>
      <c r="LFR209" s="135"/>
      <c r="LFS209" s="135"/>
      <c r="LFT209" s="173"/>
      <c r="LFU209" s="173"/>
      <c r="LFV209" s="173"/>
      <c r="LFW209" s="173"/>
      <c r="LFX209" s="173"/>
      <c r="LFY209" s="173"/>
      <c r="LFZ209" s="173"/>
      <c r="LGA209" s="173"/>
      <c r="LGB209" s="173"/>
      <c r="LGC209" s="173"/>
      <c r="LGD209" s="125"/>
      <c r="LGE209" s="125"/>
      <c r="LGF209" s="134"/>
      <c r="LGG209" s="135"/>
      <c r="LGH209" s="135"/>
      <c r="LGI209" s="135"/>
      <c r="LGJ209" s="135"/>
      <c r="LGK209" s="173"/>
      <c r="LGL209" s="173"/>
      <c r="LGM209" s="173"/>
      <c r="LGN209" s="173"/>
      <c r="LGO209" s="173"/>
      <c r="LGP209" s="173"/>
      <c r="LGQ209" s="173"/>
      <c r="LGR209" s="173"/>
      <c r="LGS209" s="173"/>
      <c r="LGT209" s="173"/>
      <c r="LGU209" s="125"/>
      <c r="LGV209" s="125"/>
      <c r="LGW209" s="134"/>
      <c r="LGX209" s="135"/>
      <c r="LGY209" s="135"/>
      <c r="LGZ209" s="135"/>
      <c r="LHA209" s="135"/>
      <c r="LHB209" s="173"/>
      <c r="LHC209" s="173"/>
      <c r="LHD209" s="173"/>
      <c r="LHE209" s="173"/>
      <c r="LHF209" s="173"/>
      <c r="LHG209" s="173"/>
      <c r="LHH209" s="173"/>
      <c r="LHI209" s="173"/>
      <c r="LHJ209" s="173"/>
      <c r="LHK209" s="173"/>
      <c r="LHL209" s="125"/>
      <c r="LHM209" s="125"/>
      <c r="LHN209" s="134"/>
      <c r="LHO209" s="135"/>
      <c r="LHP209" s="135"/>
      <c r="LHQ209" s="135"/>
      <c r="LHR209" s="135"/>
      <c r="LHS209" s="173"/>
      <c r="LHT209" s="173"/>
      <c r="LHU209" s="173"/>
      <c r="LHV209" s="173"/>
      <c r="LHW209" s="173"/>
      <c r="LHX209" s="173"/>
      <c r="LHY209" s="173"/>
      <c r="LHZ209" s="173"/>
      <c r="LIA209" s="173"/>
      <c r="LIB209" s="173"/>
      <c r="LIC209" s="125"/>
      <c r="LID209" s="125"/>
      <c r="LIE209" s="134"/>
      <c r="LIF209" s="135"/>
      <c r="LIG209" s="135"/>
      <c r="LIH209" s="135"/>
      <c r="LII209" s="135"/>
      <c r="LIJ209" s="173"/>
      <c r="LIK209" s="173"/>
      <c r="LIL209" s="173"/>
      <c r="LIM209" s="173"/>
      <c r="LIN209" s="173"/>
      <c r="LIO209" s="173"/>
      <c r="LIP209" s="173"/>
      <c r="LIQ209" s="173"/>
      <c r="LIR209" s="173"/>
      <c r="LIS209" s="173"/>
      <c r="LIT209" s="125"/>
      <c r="LIU209" s="125"/>
      <c r="LIV209" s="134"/>
      <c r="LIW209" s="135"/>
      <c r="LIX209" s="135"/>
      <c r="LIY209" s="135"/>
      <c r="LIZ209" s="135"/>
      <c r="LJA209" s="173"/>
      <c r="LJB209" s="173"/>
      <c r="LJC209" s="173"/>
      <c r="LJD209" s="173"/>
      <c r="LJE209" s="173"/>
      <c r="LJF209" s="173"/>
      <c r="LJG209" s="173"/>
      <c r="LJH209" s="173"/>
      <c r="LJI209" s="173"/>
      <c r="LJJ209" s="173"/>
      <c r="LJK209" s="125"/>
      <c r="LJL209" s="125"/>
      <c r="LJM209" s="134"/>
      <c r="LJN209" s="135"/>
      <c r="LJO209" s="135"/>
      <c r="LJP209" s="135"/>
      <c r="LJQ209" s="135"/>
      <c r="LJR209" s="173"/>
      <c r="LJS209" s="173"/>
      <c r="LJT209" s="173"/>
      <c r="LJU209" s="173"/>
      <c r="LJV209" s="173"/>
      <c r="LJW209" s="173"/>
      <c r="LJX209" s="173"/>
      <c r="LJY209" s="173"/>
      <c r="LJZ209" s="173"/>
      <c r="LKA209" s="173"/>
      <c r="LKB209" s="125"/>
      <c r="LKC209" s="125"/>
      <c r="LKD209" s="134"/>
      <c r="LKE209" s="135"/>
      <c r="LKF209" s="135"/>
      <c r="LKG209" s="135"/>
      <c r="LKH209" s="135"/>
      <c r="LKI209" s="173"/>
      <c r="LKJ209" s="173"/>
      <c r="LKK209" s="173"/>
      <c r="LKL209" s="173"/>
      <c r="LKM209" s="173"/>
      <c r="LKN209" s="173"/>
      <c r="LKO209" s="173"/>
      <c r="LKP209" s="173"/>
      <c r="LKQ209" s="173"/>
      <c r="LKR209" s="173"/>
      <c r="LKS209" s="125"/>
      <c r="LKT209" s="125"/>
      <c r="LKU209" s="134"/>
      <c r="LKV209" s="135"/>
      <c r="LKW209" s="135"/>
      <c r="LKX209" s="135"/>
      <c r="LKY209" s="135"/>
      <c r="LKZ209" s="173"/>
      <c r="LLA209" s="173"/>
      <c r="LLB209" s="173"/>
      <c r="LLC209" s="173"/>
      <c r="LLD209" s="173"/>
      <c r="LLE209" s="173"/>
      <c r="LLF209" s="173"/>
      <c r="LLG209" s="173"/>
      <c r="LLH209" s="173"/>
      <c r="LLI209" s="173"/>
      <c r="LLJ209" s="125"/>
      <c r="LLK209" s="125"/>
      <c r="LLL209" s="134"/>
      <c r="LLM209" s="135"/>
      <c r="LLN209" s="135"/>
      <c r="LLO209" s="135"/>
      <c r="LLP209" s="135"/>
      <c r="LLQ209" s="173"/>
      <c r="LLR209" s="173"/>
      <c r="LLS209" s="173"/>
      <c r="LLT209" s="173"/>
      <c r="LLU209" s="173"/>
      <c r="LLV209" s="173"/>
      <c r="LLW209" s="173"/>
      <c r="LLX209" s="173"/>
      <c r="LLY209" s="173"/>
      <c r="LLZ209" s="173"/>
      <c r="LMA209" s="125"/>
      <c r="LMB209" s="125"/>
      <c r="LMC209" s="134"/>
      <c r="LMD209" s="135"/>
      <c r="LME209" s="135"/>
      <c r="LMF209" s="135"/>
      <c r="LMG209" s="135"/>
      <c r="LMH209" s="173"/>
      <c r="LMI209" s="173"/>
      <c r="LMJ209" s="173"/>
      <c r="LMK209" s="173"/>
      <c r="LML209" s="173"/>
      <c r="LMM209" s="173"/>
      <c r="LMN209" s="173"/>
      <c r="LMO209" s="173"/>
      <c r="LMP209" s="173"/>
      <c r="LMQ209" s="173"/>
      <c r="LMR209" s="125"/>
      <c r="LMS209" s="125"/>
      <c r="LMT209" s="134"/>
      <c r="LMU209" s="135"/>
      <c r="LMV209" s="135"/>
      <c r="LMW209" s="135"/>
      <c r="LMX209" s="135"/>
      <c r="LMY209" s="173"/>
      <c r="LMZ209" s="173"/>
      <c r="LNA209" s="173"/>
      <c r="LNB209" s="173"/>
      <c r="LNC209" s="173"/>
      <c r="LND209" s="173"/>
      <c r="LNE209" s="173"/>
      <c r="LNF209" s="173"/>
      <c r="LNG209" s="173"/>
      <c r="LNH209" s="173"/>
      <c r="LNI209" s="125"/>
      <c r="LNJ209" s="125"/>
      <c r="LNK209" s="134"/>
      <c r="LNL209" s="135"/>
      <c r="LNM209" s="135"/>
      <c r="LNN209" s="135"/>
      <c r="LNO209" s="135"/>
      <c r="LNP209" s="173"/>
      <c r="LNQ209" s="173"/>
      <c r="LNR209" s="173"/>
      <c r="LNS209" s="173"/>
      <c r="LNT209" s="173"/>
      <c r="LNU209" s="173"/>
      <c r="LNV209" s="173"/>
      <c r="LNW209" s="173"/>
      <c r="LNX209" s="173"/>
      <c r="LNY209" s="173"/>
      <c r="LNZ209" s="125"/>
      <c r="LOA209" s="125"/>
      <c r="LOB209" s="134"/>
      <c r="LOC209" s="135"/>
      <c r="LOD209" s="135"/>
      <c r="LOE209" s="135"/>
      <c r="LOF209" s="135"/>
      <c r="LOG209" s="173"/>
      <c r="LOH209" s="173"/>
      <c r="LOI209" s="173"/>
      <c r="LOJ209" s="173"/>
      <c r="LOK209" s="173"/>
      <c r="LOL209" s="173"/>
      <c r="LOM209" s="173"/>
      <c r="LON209" s="173"/>
      <c r="LOO209" s="173"/>
      <c r="LOP209" s="173"/>
      <c r="LOQ209" s="125"/>
      <c r="LOR209" s="125"/>
      <c r="LOS209" s="134"/>
      <c r="LOT209" s="135"/>
      <c r="LOU209" s="135"/>
      <c r="LOV209" s="135"/>
      <c r="LOW209" s="135"/>
      <c r="LOX209" s="173"/>
      <c r="LOY209" s="173"/>
      <c r="LOZ209" s="173"/>
      <c r="LPA209" s="173"/>
      <c r="LPB209" s="173"/>
      <c r="LPC209" s="173"/>
      <c r="LPD209" s="173"/>
      <c r="LPE209" s="173"/>
      <c r="LPF209" s="173"/>
      <c r="LPG209" s="173"/>
      <c r="LPH209" s="125"/>
      <c r="LPI209" s="125"/>
      <c r="LPJ209" s="134"/>
      <c r="LPK209" s="135"/>
      <c r="LPL209" s="135"/>
      <c r="LPM209" s="135"/>
      <c r="LPN209" s="135"/>
      <c r="LPO209" s="173"/>
      <c r="LPP209" s="173"/>
      <c r="LPQ209" s="173"/>
      <c r="LPR209" s="173"/>
      <c r="LPS209" s="173"/>
      <c r="LPT209" s="173"/>
      <c r="LPU209" s="173"/>
      <c r="LPV209" s="173"/>
      <c r="LPW209" s="173"/>
      <c r="LPX209" s="173"/>
      <c r="LPY209" s="125"/>
      <c r="LPZ209" s="125"/>
      <c r="LQA209" s="134"/>
      <c r="LQB209" s="135"/>
      <c r="LQC209" s="135"/>
      <c r="LQD209" s="135"/>
      <c r="LQE209" s="135"/>
      <c r="LQF209" s="173"/>
      <c r="LQG209" s="173"/>
      <c r="LQH209" s="173"/>
      <c r="LQI209" s="173"/>
      <c r="LQJ209" s="173"/>
      <c r="LQK209" s="173"/>
      <c r="LQL209" s="173"/>
      <c r="LQM209" s="173"/>
      <c r="LQN209" s="173"/>
      <c r="LQO209" s="173"/>
      <c r="LQP209" s="125"/>
      <c r="LQQ209" s="125"/>
      <c r="LQR209" s="134"/>
      <c r="LQS209" s="135"/>
      <c r="LQT209" s="135"/>
      <c r="LQU209" s="135"/>
      <c r="LQV209" s="135"/>
      <c r="LQW209" s="173"/>
      <c r="LQX209" s="173"/>
      <c r="LQY209" s="173"/>
      <c r="LQZ209" s="173"/>
      <c r="LRA209" s="173"/>
      <c r="LRB209" s="173"/>
      <c r="LRC209" s="173"/>
      <c r="LRD209" s="173"/>
      <c r="LRE209" s="173"/>
      <c r="LRF209" s="173"/>
      <c r="LRG209" s="125"/>
      <c r="LRH209" s="125"/>
      <c r="LRI209" s="134"/>
      <c r="LRJ209" s="135"/>
      <c r="LRK209" s="135"/>
      <c r="LRL209" s="135"/>
      <c r="LRM209" s="135"/>
      <c r="LRN209" s="173"/>
      <c r="LRO209" s="173"/>
      <c r="LRP209" s="173"/>
      <c r="LRQ209" s="173"/>
      <c r="LRR209" s="173"/>
      <c r="LRS209" s="173"/>
      <c r="LRT209" s="173"/>
      <c r="LRU209" s="173"/>
      <c r="LRV209" s="173"/>
      <c r="LRW209" s="173"/>
      <c r="LRX209" s="125"/>
      <c r="LRY209" s="125"/>
      <c r="LRZ209" s="134"/>
      <c r="LSA209" s="135"/>
      <c r="LSB209" s="135"/>
      <c r="LSC209" s="135"/>
      <c r="LSD209" s="135"/>
      <c r="LSE209" s="173"/>
      <c r="LSF209" s="173"/>
      <c r="LSG209" s="173"/>
      <c r="LSH209" s="173"/>
      <c r="LSI209" s="173"/>
      <c r="LSJ209" s="173"/>
      <c r="LSK209" s="173"/>
      <c r="LSL209" s="173"/>
      <c r="LSM209" s="173"/>
      <c r="LSN209" s="173"/>
      <c r="LSO209" s="125"/>
      <c r="LSP209" s="125"/>
      <c r="LSQ209" s="134"/>
      <c r="LSR209" s="135"/>
      <c r="LSS209" s="135"/>
      <c r="LST209" s="135"/>
      <c r="LSU209" s="135"/>
      <c r="LSV209" s="173"/>
      <c r="LSW209" s="173"/>
      <c r="LSX209" s="173"/>
      <c r="LSY209" s="173"/>
      <c r="LSZ209" s="173"/>
      <c r="LTA209" s="173"/>
      <c r="LTB209" s="173"/>
      <c r="LTC209" s="173"/>
      <c r="LTD209" s="173"/>
      <c r="LTE209" s="173"/>
      <c r="LTF209" s="125"/>
      <c r="LTG209" s="125"/>
      <c r="LTH209" s="134"/>
      <c r="LTI209" s="135"/>
      <c r="LTJ209" s="135"/>
      <c r="LTK209" s="135"/>
      <c r="LTL209" s="135"/>
      <c r="LTM209" s="173"/>
      <c r="LTN209" s="173"/>
      <c r="LTO209" s="173"/>
      <c r="LTP209" s="173"/>
      <c r="LTQ209" s="173"/>
      <c r="LTR209" s="173"/>
      <c r="LTS209" s="173"/>
      <c r="LTT209" s="173"/>
      <c r="LTU209" s="173"/>
      <c r="LTV209" s="173"/>
      <c r="LTW209" s="125"/>
      <c r="LTX209" s="125"/>
      <c r="LTY209" s="134"/>
      <c r="LTZ209" s="135"/>
      <c r="LUA209" s="135"/>
      <c r="LUB209" s="135"/>
      <c r="LUC209" s="135"/>
      <c r="LUD209" s="173"/>
      <c r="LUE209" s="173"/>
      <c r="LUF209" s="173"/>
      <c r="LUG209" s="173"/>
      <c r="LUH209" s="173"/>
      <c r="LUI209" s="173"/>
      <c r="LUJ209" s="173"/>
      <c r="LUK209" s="173"/>
      <c r="LUL209" s="173"/>
      <c r="LUM209" s="173"/>
      <c r="LUN209" s="125"/>
      <c r="LUO209" s="125"/>
      <c r="LUP209" s="134"/>
      <c r="LUQ209" s="135"/>
      <c r="LUR209" s="135"/>
      <c r="LUS209" s="135"/>
      <c r="LUT209" s="135"/>
      <c r="LUU209" s="173"/>
      <c r="LUV209" s="173"/>
      <c r="LUW209" s="173"/>
      <c r="LUX209" s="173"/>
      <c r="LUY209" s="173"/>
      <c r="LUZ209" s="173"/>
      <c r="LVA209" s="173"/>
      <c r="LVB209" s="173"/>
      <c r="LVC209" s="173"/>
      <c r="LVD209" s="173"/>
      <c r="LVE209" s="125"/>
      <c r="LVF209" s="125"/>
      <c r="LVG209" s="134"/>
      <c r="LVH209" s="135"/>
      <c r="LVI209" s="135"/>
      <c r="LVJ209" s="135"/>
      <c r="LVK209" s="135"/>
      <c r="LVL209" s="173"/>
      <c r="LVM209" s="173"/>
      <c r="LVN209" s="173"/>
      <c r="LVO209" s="173"/>
      <c r="LVP209" s="173"/>
      <c r="LVQ209" s="173"/>
      <c r="LVR209" s="173"/>
      <c r="LVS209" s="173"/>
      <c r="LVT209" s="173"/>
      <c r="LVU209" s="173"/>
      <c r="LVV209" s="125"/>
      <c r="LVW209" s="125"/>
      <c r="LVX209" s="134"/>
      <c r="LVY209" s="135"/>
      <c r="LVZ209" s="135"/>
      <c r="LWA209" s="135"/>
      <c r="LWB209" s="135"/>
      <c r="LWC209" s="173"/>
      <c r="LWD209" s="173"/>
      <c r="LWE209" s="173"/>
      <c r="LWF209" s="173"/>
      <c r="LWG209" s="173"/>
      <c r="LWH209" s="173"/>
      <c r="LWI209" s="173"/>
      <c r="LWJ209" s="173"/>
      <c r="LWK209" s="173"/>
      <c r="LWL209" s="173"/>
      <c r="LWM209" s="125"/>
      <c r="LWN209" s="125"/>
      <c r="LWO209" s="134"/>
      <c r="LWP209" s="135"/>
      <c r="LWQ209" s="135"/>
      <c r="LWR209" s="135"/>
      <c r="LWS209" s="135"/>
      <c r="LWT209" s="173"/>
      <c r="LWU209" s="173"/>
      <c r="LWV209" s="173"/>
      <c r="LWW209" s="173"/>
      <c r="LWX209" s="173"/>
      <c r="LWY209" s="173"/>
      <c r="LWZ209" s="173"/>
      <c r="LXA209" s="173"/>
      <c r="LXB209" s="173"/>
      <c r="LXC209" s="173"/>
      <c r="LXD209" s="125"/>
      <c r="LXE209" s="125"/>
      <c r="LXF209" s="134"/>
      <c r="LXG209" s="135"/>
      <c r="LXH209" s="135"/>
      <c r="LXI209" s="135"/>
      <c r="LXJ209" s="135"/>
      <c r="LXK209" s="173"/>
      <c r="LXL209" s="173"/>
      <c r="LXM209" s="173"/>
      <c r="LXN209" s="173"/>
      <c r="LXO209" s="173"/>
      <c r="LXP209" s="173"/>
      <c r="LXQ209" s="173"/>
      <c r="LXR209" s="173"/>
      <c r="LXS209" s="173"/>
      <c r="LXT209" s="173"/>
      <c r="LXU209" s="125"/>
      <c r="LXV209" s="125"/>
      <c r="LXW209" s="134"/>
      <c r="LXX209" s="135"/>
      <c r="LXY209" s="135"/>
      <c r="LXZ209" s="135"/>
      <c r="LYA209" s="135"/>
      <c r="LYB209" s="173"/>
      <c r="LYC209" s="173"/>
      <c r="LYD209" s="173"/>
      <c r="LYE209" s="173"/>
      <c r="LYF209" s="173"/>
      <c r="LYG209" s="173"/>
      <c r="LYH209" s="173"/>
      <c r="LYI209" s="173"/>
      <c r="LYJ209" s="173"/>
      <c r="LYK209" s="173"/>
      <c r="LYL209" s="125"/>
      <c r="LYM209" s="125"/>
      <c r="LYN209" s="134"/>
      <c r="LYO209" s="135"/>
      <c r="LYP209" s="135"/>
      <c r="LYQ209" s="135"/>
      <c r="LYR209" s="135"/>
      <c r="LYS209" s="173"/>
      <c r="LYT209" s="173"/>
      <c r="LYU209" s="173"/>
      <c r="LYV209" s="173"/>
      <c r="LYW209" s="173"/>
      <c r="LYX209" s="173"/>
      <c r="LYY209" s="173"/>
      <c r="LYZ209" s="173"/>
      <c r="LZA209" s="173"/>
      <c r="LZB209" s="173"/>
      <c r="LZC209" s="125"/>
      <c r="LZD209" s="125"/>
      <c r="LZE209" s="134"/>
      <c r="LZF209" s="135"/>
      <c r="LZG209" s="135"/>
      <c r="LZH209" s="135"/>
      <c r="LZI209" s="135"/>
      <c r="LZJ209" s="173"/>
      <c r="LZK209" s="173"/>
      <c r="LZL209" s="173"/>
      <c r="LZM209" s="173"/>
      <c r="LZN209" s="173"/>
      <c r="LZO209" s="173"/>
      <c r="LZP209" s="173"/>
      <c r="LZQ209" s="173"/>
      <c r="LZR209" s="173"/>
      <c r="LZS209" s="173"/>
      <c r="LZT209" s="125"/>
      <c r="LZU209" s="125"/>
      <c r="LZV209" s="134"/>
      <c r="LZW209" s="135"/>
      <c r="LZX209" s="135"/>
      <c r="LZY209" s="135"/>
      <c r="LZZ209" s="135"/>
      <c r="MAA209" s="173"/>
      <c r="MAB209" s="173"/>
      <c r="MAC209" s="173"/>
      <c r="MAD209" s="173"/>
      <c r="MAE209" s="173"/>
      <c r="MAF209" s="173"/>
      <c r="MAG209" s="173"/>
      <c r="MAH209" s="173"/>
      <c r="MAI209" s="173"/>
      <c r="MAJ209" s="173"/>
      <c r="MAK209" s="125"/>
      <c r="MAL209" s="125"/>
      <c r="MAM209" s="134"/>
      <c r="MAN209" s="135"/>
      <c r="MAO209" s="135"/>
      <c r="MAP209" s="135"/>
      <c r="MAQ209" s="135"/>
      <c r="MAR209" s="173"/>
      <c r="MAS209" s="173"/>
      <c r="MAT209" s="173"/>
      <c r="MAU209" s="173"/>
      <c r="MAV209" s="173"/>
      <c r="MAW209" s="173"/>
      <c r="MAX209" s="173"/>
      <c r="MAY209" s="173"/>
      <c r="MAZ209" s="173"/>
      <c r="MBA209" s="173"/>
      <c r="MBB209" s="125"/>
      <c r="MBC209" s="125"/>
      <c r="MBD209" s="134"/>
      <c r="MBE209" s="135"/>
      <c r="MBF209" s="135"/>
      <c r="MBG209" s="135"/>
      <c r="MBH209" s="135"/>
      <c r="MBI209" s="173"/>
      <c r="MBJ209" s="173"/>
      <c r="MBK209" s="173"/>
      <c r="MBL209" s="173"/>
      <c r="MBM209" s="173"/>
      <c r="MBN209" s="173"/>
      <c r="MBO209" s="173"/>
      <c r="MBP209" s="173"/>
      <c r="MBQ209" s="173"/>
      <c r="MBR209" s="173"/>
      <c r="MBS209" s="125"/>
      <c r="MBT209" s="125"/>
      <c r="MBU209" s="134"/>
      <c r="MBV209" s="135"/>
      <c r="MBW209" s="135"/>
      <c r="MBX209" s="135"/>
      <c r="MBY209" s="135"/>
      <c r="MBZ209" s="173"/>
      <c r="MCA209" s="173"/>
      <c r="MCB209" s="173"/>
      <c r="MCC209" s="173"/>
      <c r="MCD209" s="173"/>
      <c r="MCE209" s="173"/>
      <c r="MCF209" s="173"/>
      <c r="MCG209" s="173"/>
      <c r="MCH209" s="173"/>
      <c r="MCI209" s="173"/>
      <c r="MCJ209" s="125"/>
      <c r="MCK209" s="125"/>
      <c r="MCL209" s="134"/>
      <c r="MCM209" s="135"/>
      <c r="MCN209" s="135"/>
      <c r="MCO209" s="135"/>
      <c r="MCP209" s="135"/>
      <c r="MCQ209" s="173"/>
      <c r="MCR209" s="173"/>
      <c r="MCS209" s="173"/>
      <c r="MCT209" s="173"/>
      <c r="MCU209" s="173"/>
      <c r="MCV209" s="173"/>
      <c r="MCW209" s="173"/>
      <c r="MCX209" s="173"/>
      <c r="MCY209" s="173"/>
      <c r="MCZ209" s="173"/>
      <c r="MDA209" s="125"/>
      <c r="MDB209" s="125"/>
      <c r="MDC209" s="134"/>
      <c r="MDD209" s="135"/>
      <c r="MDE209" s="135"/>
      <c r="MDF209" s="135"/>
      <c r="MDG209" s="135"/>
      <c r="MDH209" s="173"/>
      <c r="MDI209" s="173"/>
      <c r="MDJ209" s="173"/>
      <c r="MDK209" s="173"/>
      <c r="MDL209" s="173"/>
      <c r="MDM209" s="173"/>
      <c r="MDN209" s="173"/>
      <c r="MDO209" s="173"/>
      <c r="MDP209" s="173"/>
      <c r="MDQ209" s="173"/>
      <c r="MDR209" s="125"/>
      <c r="MDS209" s="125"/>
      <c r="MDT209" s="134"/>
      <c r="MDU209" s="135"/>
      <c r="MDV209" s="135"/>
      <c r="MDW209" s="135"/>
      <c r="MDX209" s="135"/>
      <c r="MDY209" s="173"/>
      <c r="MDZ209" s="173"/>
      <c r="MEA209" s="173"/>
      <c r="MEB209" s="173"/>
      <c r="MEC209" s="173"/>
      <c r="MED209" s="173"/>
      <c r="MEE209" s="173"/>
      <c r="MEF209" s="173"/>
      <c r="MEG209" s="173"/>
      <c r="MEH209" s="173"/>
      <c r="MEI209" s="125"/>
      <c r="MEJ209" s="125"/>
      <c r="MEK209" s="134"/>
      <c r="MEL209" s="135"/>
      <c r="MEM209" s="135"/>
      <c r="MEN209" s="135"/>
      <c r="MEO209" s="135"/>
      <c r="MEP209" s="173"/>
      <c r="MEQ209" s="173"/>
      <c r="MER209" s="173"/>
      <c r="MES209" s="173"/>
      <c r="MET209" s="173"/>
      <c r="MEU209" s="173"/>
      <c r="MEV209" s="173"/>
      <c r="MEW209" s="173"/>
      <c r="MEX209" s="173"/>
      <c r="MEY209" s="173"/>
      <c r="MEZ209" s="125"/>
      <c r="MFA209" s="125"/>
      <c r="MFB209" s="134"/>
      <c r="MFC209" s="135"/>
      <c r="MFD209" s="135"/>
      <c r="MFE209" s="135"/>
      <c r="MFF209" s="135"/>
      <c r="MFG209" s="173"/>
      <c r="MFH209" s="173"/>
      <c r="MFI209" s="173"/>
      <c r="MFJ209" s="173"/>
      <c r="MFK209" s="173"/>
      <c r="MFL209" s="173"/>
      <c r="MFM209" s="173"/>
      <c r="MFN209" s="173"/>
      <c r="MFO209" s="173"/>
      <c r="MFP209" s="173"/>
      <c r="MFQ209" s="125"/>
      <c r="MFR209" s="125"/>
      <c r="MFS209" s="134"/>
      <c r="MFT209" s="135"/>
      <c r="MFU209" s="135"/>
      <c r="MFV209" s="135"/>
      <c r="MFW209" s="135"/>
      <c r="MFX209" s="173"/>
      <c r="MFY209" s="173"/>
      <c r="MFZ209" s="173"/>
      <c r="MGA209" s="173"/>
      <c r="MGB209" s="173"/>
      <c r="MGC209" s="173"/>
      <c r="MGD209" s="173"/>
      <c r="MGE209" s="173"/>
      <c r="MGF209" s="173"/>
      <c r="MGG209" s="173"/>
      <c r="MGH209" s="125"/>
      <c r="MGI209" s="125"/>
      <c r="MGJ209" s="134"/>
      <c r="MGK209" s="135"/>
      <c r="MGL209" s="135"/>
      <c r="MGM209" s="135"/>
      <c r="MGN209" s="135"/>
      <c r="MGO209" s="173"/>
      <c r="MGP209" s="173"/>
      <c r="MGQ209" s="173"/>
      <c r="MGR209" s="173"/>
      <c r="MGS209" s="173"/>
      <c r="MGT209" s="173"/>
      <c r="MGU209" s="173"/>
      <c r="MGV209" s="173"/>
      <c r="MGW209" s="173"/>
      <c r="MGX209" s="173"/>
      <c r="MGY209" s="125"/>
      <c r="MGZ209" s="125"/>
      <c r="MHA209" s="134"/>
      <c r="MHB209" s="135"/>
      <c r="MHC209" s="135"/>
      <c r="MHD209" s="135"/>
      <c r="MHE209" s="135"/>
      <c r="MHF209" s="173"/>
      <c r="MHG209" s="173"/>
      <c r="MHH209" s="173"/>
      <c r="MHI209" s="173"/>
      <c r="MHJ209" s="173"/>
      <c r="MHK209" s="173"/>
      <c r="MHL209" s="173"/>
      <c r="MHM209" s="173"/>
      <c r="MHN209" s="173"/>
      <c r="MHO209" s="173"/>
      <c r="MHP209" s="125"/>
      <c r="MHQ209" s="125"/>
      <c r="MHR209" s="134"/>
      <c r="MHS209" s="135"/>
      <c r="MHT209" s="135"/>
      <c r="MHU209" s="135"/>
      <c r="MHV209" s="135"/>
      <c r="MHW209" s="173"/>
      <c r="MHX209" s="173"/>
      <c r="MHY209" s="173"/>
      <c r="MHZ209" s="173"/>
      <c r="MIA209" s="173"/>
      <c r="MIB209" s="173"/>
      <c r="MIC209" s="173"/>
      <c r="MID209" s="173"/>
      <c r="MIE209" s="173"/>
      <c r="MIF209" s="173"/>
      <c r="MIG209" s="125"/>
      <c r="MIH209" s="125"/>
      <c r="MII209" s="134"/>
      <c r="MIJ209" s="135"/>
      <c r="MIK209" s="135"/>
      <c r="MIL209" s="135"/>
      <c r="MIM209" s="135"/>
      <c r="MIN209" s="173"/>
      <c r="MIO209" s="173"/>
      <c r="MIP209" s="173"/>
      <c r="MIQ209" s="173"/>
      <c r="MIR209" s="173"/>
      <c r="MIS209" s="173"/>
      <c r="MIT209" s="173"/>
      <c r="MIU209" s="173"/>
      <c r="MIV209" s="173"/>
      <c r="MIW209" s="173"/>
      <c r="MIX209" s="125"/>
      <c r="MIY209" s="125"/>
      <c r="MIZ209" s="134"/>
      <c r="MJA209" s="135"/>
      <c r="MJB209" s="135"/>
      <c r="MJC209" s="135"/>
      <c r="MJD209" s="135"/>
      <c r="MJE209" s="173"/>
      <c r="MJF209" s="173"/>
      <c r="MJG209" s="173"/>
      <c r="MJH209" s="173"/>
      <c r="MJI209" s="173"/>
      <c r="MJJ209" s="173"/>
      <c r="MJK209" s="173"/>
      <c r="MJL209" s="173"/>
      <c r="MJM209" s="173"/>
      <c r="MJN209" s="173"/>
      <c r="MJO209" s="125"/>
      <c r="MJP209" s="125"/>
      <c r="MJQ209" s="134"/>
      <c r="MJR209" s="135"/>
      <c r="MJS209" s="135"/>
      <c r="MJT209" s="135"/>
      <c r="MJU209" s="135"/>
      <c r="MJV209" s="173"/>
      <c r="MJW209" s="173"/>
      <c r="MJX209" s="173"/>
      <c r="MJY209" s="173"/>
      <c r="MJZ209" s="173"/>
      <c r="MKA209" s="173"/>
      <c r="MKB209" s="173"/>
      <c r="MKC209" s="173"/>
      <c r="MKD209" s="173"/>
      <c r="MKE209" s="173"/>
      <c r="MKF209" s="125"/>
      <c r="MKG209" s="125"/>
      <c r="MKH209" s="134"/>
      <c r="MKI209" s="135"/>
      <c r="MKJ209" s="135"/>
      <c r="MKK209" s="135"/>
      <c r="MKL209" s="135"/>
      <c r="MKM209" s="173"/>
      <c r="MKN209" s="173"/>
      <c r="MKO209" s="173"/>
      <c r="MKP209" s="173"/>
      <c r="MKQ209" s="173"/>
      <c r="MKR209" s="173"/>
      <c r="MKS209" s="173"/>
      <c r="MKT209" s="173"/>
      <c r="MKU209" s="173"/>
      <c r="MKV209" s="173"/>
      <c r="MKW209" s="125"/>
      <c r="MKX209" s="125"/>
      <c r="MKY209" s="134"/>
      <c r="MKZ209" s="135"/>
      <c r="MLA209" s="135"/>
      <c r="MLB209" s="135"/>
      <c r="MLC209" s="135"/>
      <c r="MLD209" s="173"/>
      <c r="MLE209" s="173"/>
      <c r="MLF209" s="173"/>
      <c r="MLG209" s="173"/>
      <c r="MLH209" s="173"/>
      <c r="MLI209" s="173"/>
      <c r="MLJ209" s="173"/>
      <c r="MLK209" s="173"/>
      <c r="MLL209" s="173"/>
      <c r="MLM209" s="173"/>
      <c r="MLN209" s="125"/>
      <c r="MLO209" s="125"/>
      <c r="MLP209" s="134"/>
      <c r="MLQ209" s="135"/>
      <c r="MLR209" s="135"/>
      <c r="MLS209" s="135"/>
      <c r="MLT209" s="135"/>
      <c r="MLU209" s="173"/>
      <c r="MLV209" s="173"/>
      <c r="MLW209" s="173"/>
      <c r="MLX209" s="173"/>
      <c r="MLY209" s="173"/>
      <c r="MLZ209" s="173"/>
      <c r="MMA209" s="173"/>
      <c r="MMB209" s="173"/>
      <c r="MMC209" s="173"/>
      <c r="MMD209" s="173"/>
      <c r="MME209" s="125"/>
      <c r="MMF209" s="125"/>
      <c r="MMG209" s="134"/>
      <c r="MMH209" s="135"/>
      <c r="MMI209" s="135"/>
      <c r="MMJ209" s="135"/>
      <c r="MMK209" s="135"/>
      <c r="MML209" s="173"/>
      <c r="MMM209" s="173"/>
      <c r="MMN209" s="173"/>
      <c r="MMO209" s="173"/>
      <c r="MMP209" s="173"/>
      <c r="MMQ209" s="173"/>
      <c r="MMR209" s="173"/>
      <c r="MMS209" s="173"/>
      <c r="MMT209" s="173"/>
      <c r="MMU209" s="173"/>
      <c r="MMV209" s="125"/>
      <c r="MMW209" s="125"/>
      <c r="MMX209" s="134"/>
      <c r="MMY209" s="135"/>
      <c r="MMZ209" s="135"/>
      <c r="MNA209" s="135"/>
      <c r="MNB209" s="135"/>
      <c r="MNC209" s="173"/>
      <c r="MND209" s="173"/>
      <c r="MNE209" s="173"/>
      <c r="MNF209" s="173"/>
      <c r="MNG209" s="173"/>
      <c r="MNH209" s="173"/>
      <c r="MNI209" s="173"/>
      <c r="MNJ209" s="173"/>
      <c r="MNK209" s="173"/>
      <c r="MNL209" s="173"/>
      <c r="MNM209" s="125"/>
      <c r="MNN209" s="125"/>
      <c r="MNO209" s="134"/>
      <c r="MNP209" s="135"/>
      <c r="MNQ209" s="135"/>
      <c r="MNR209" s="135"/>
      <c r="MNS209" s="135"/>
      <c r="MNT209" s="173"/>
      <c r="MNU209" s="173"/>
      <c r="MNV209" s="173"/>
      <c r="MNW209" s="173"/>
      <c r="MNX209" s="173"/>
      <c r="MNY209" s="173"/>
      <c r="MNZ209" s="173"/>
      <c r="MOA209" s="173"/>
      <c r="MOB209" s="173"/>
      <c r="MOC209" s="173"/>
      <c r="MOD209" s="125"/>
      <c r="MOE209" s="125"/>
      <c r="MOF209" s="134"/>
      <c r="MOG209" s="135"/>
      <c r="MOH209" s="135"/>
      <c r="MOI209" s="135"/>
      <c r="MOJ209" s="135"/>
      <c r="MOK209" s="173"/>
      <c r="MOL209" s="173"/>
      <c r="MOM209" s="173"/>
      <c r="MON209" s="173"/>
      <c r="MOO209" s="173"/>
      <c r="MOP209" s="173"/>
      <c r="MOQ209" s="173"/>
      <c r="MOR209" s="173"/>
      <c r="MOS209" s="173"/>
      <c r="MOT209" s="173"/>
      <c r="MOU209" s="125"/>
      <c r="MOV209" s="125"/>
      <c r="MOW209" s="134"/>
      <c r="MOX209" s="135"/>
      <c r="MOY209" s="135"/>
      <c r="MOZ209" s="135"/>
      <c r="MPA209" s="135"/>
      <c r="MPB209" s="173"/>
      <c r="MPC209" s="173"/>
      <c r="MPD209" s="173"/>
      <c r="MPE209" s="173"/>
      <c r="MPF209" s="173"/>
      <c r="MPG209" s="173"/>
      <c r="MPH209" s="173"/>
      <c r="MPI209" s="173"/>
      <c r="MPJ209" s="173"/>
      <c r="MPK209" s="173"/>
      <c r="MPL209" s="125"/>
      <c r="MPM209" s="125"/>
      <c r="MPN209" s="134"/>
      <c r="MPO209" s="135"/>
      <c r="MPP209" s="135"/>
      <c r="MPQ209" s="135"/>
      <c r="MPR209" s="135"/>
      <c r="MPS209" s="173"/>
      <c r="MPT209" s="173"/>
      <c r="MPU209" s="173"/>
      <c r="MPV209" s="173"/>
      <c r="MPW209" s="173"/>
      <c r="MPX209" s="173"/>
      <c r="MPY209" s="173"/>
      <c r="MPZ209" s="173"/>
      <c r="MQA209" s="173"/>
      <c r="MQB209" s="173"/>
      <c r="MQC209" s="125"/>
      <c r="MQD209" s="125"/>
      <c r="MQE209" s="134"/>
      <c r="MQF209" s="135"/>
      <c r="MQG209" s="135"/>
      <c r="MQH209" s="135"/>
      <c r="MQI209" s="135"/>
      <c r="MQJ209" s="173"/>
      <c r="MQK209" s="173"/>
      <c r="MQL209" s="173"/>
      <c r="MQM209" s="173"/>
      <c r="MQN209" s="173"/>
      <c r="MQO209" s="173"/>
      <c r="MQP209" s="173"/>
      <c r="MQQ209" s="173"/>
      <c r="MQR209" s="173"/>
      <c r="MQS209" s="173"/>
      <c r="MQT209" s="125"/>
      <c r="MQU209" s="125"/>
      <c r="MQV209" s="134"/>
      <c r="MQW209" s="135"/>
      <c r="MQX209" s="135"/>
      <c r="MQY209" s="135"/>
      <c r="MQZ209" s="135"/>
      <c r="MRA209" s="173"/>
      <c r="MRB209" s="173"/>
      <c r="MRC209" s="173"/>
      <c r="MRD209" s="173"/>
      <c r="MRE209" s="173"/>
      <c r="MRF209" s="173"/>
      <c r="MRG209" s="173"/>
      <c r="MRH209" s="173"/>
      <c r="MRI209" s="173"/>
      <c r="MRJ209" s="173"/>
      <c r="MRK209" s="125"/>
      <c r="MRL209" s="125"/>
      <c r="MRM209" s="134"/>
      <c r="MRN209" s="135"/>
      <c r="MRO209" s="135"/>
      <c r="MRP209" s="135"/>
      <c r="MRQ209" s="135"/>
      <c r="MRR209" s="173"/>
      <c r="MRS209" s="173"/>
      <c r="MRT209" s="173"/>
      <c r="MRU209" s="173"/>
      <c r="MRV209" s="173"/>
      <c r="MRW209" s="173"/>
      <c r="MRX209" s="173"/>
      <c r="MRY209" s="173"/>
      <c r="MRZ209" s="173"/>
      <c r="MSA209" s="173"/>
      <c r="MSB209" s="125"/>
      <c r="MSC209" s="125"/>
      <c r="MSD209" s="134"/>
      <c r="MSE209" s="135"/>
      <c r="MSF209" s="135"/>
      <c r="MSG209" s="135"/>
      <c r="MSH209" s="135"/>
      <c r="MSI209" s="173"/>
      <c r="MSJ209" s="173"/>
      <c r="MSK209" s="173"/>
      <c r="MSL209" s="173"/>
      <c r="MSM209" s="173"/>
      <c r="MSN209" s="173"/>
      <c r="MSO209" s="173"/>
      <c r="MSP209" s="173"/>
      <c r="MSQ209" s="173"/>
      <c r="MSR209" s="173"/>
      <c r="MSS209" s="125"/>
      <c r="MST209" s="125"/>
      <c r="MSU209" s="134"/>
      <c r="MSV209" s="135"/>
      <c r="MSW209" s="135"/>
      <c r="MSX209" s="135"/>
      <c r="MSY209" s="135"/>
      <c r="MSZ209" s="173"/>
      <c r="MTA209" s="173"/>
      <c r="MTB209" s="173"/>
      <c r="MTC209" s="173"/>
      <c r="MTD209" s="173"/>
      <c r="MTE209" s="173"/>
      <c r="MTF209" s="173"/>
      <c r="MTG209" s="173"/>
      <c r="MTH209" s="173"/>
      <c r="MTI209" s="173"/>
      <c r="MTJ209" s="125"/>
      <c r="MTK209" s="125"/>
      <c r="MTL209" s="134"/>
      <c r="MTM209" s="135"/>
      <c r="MTN209" s="135"/>
      <c r="MTO209" s="135"/>
      <c r="MTP209" s="135"/>
      <c r="MTQ209" s="173"/>
      <c r="MTR209" s="173"/>
      <c r="MTS209" s="173"/>
      <c r="MTT209" s="173"/>
      <c r="MTU209" s="173"/>
      <c r="MTV209" s="173"/>
      <c r="MTW209" s="173"/>
      <c r="MTX209" s="173"/>
      <c r="MTY209" s="173"/>
      <c r="MTZ209" s="173"/>
      <c r="MUA209" s="125"/>
      <c r="MUB209" s="125"/>
      <c r="MUC209" s="134"/>
      <c r="MUD209" s="135"/>
      <c r="MUE209" s="135"/>
      <c r="MUF209" s="135"/>
      <c r="MUG209" s="135"/>
      <c r="MUH209" s="173"/>
      <c r="MUI209" s="173"/>
      <c r="MUJ209" s="173"/>
      <c r="MUK209" s="173"/>
      <c r="MUL209" s="173"/>
      <c r="MUM209" s="173"/>
      <c r="MUN209" s="173"/>
      <c r="MUO209" s="173"/>
      <c r="MUP209" s="173"/>
      <c r="MUQ209" s="173"/>
      <c r="MUR209" s="125"/>
      <c r="MUS209" s="125"/>
      <c r="MUT209" s="134"/>
      <c r="MUU209" s="135"/>
      <c r="MUV209" s="135"/>
      <c r="MUW209" s="135"/>
      <c r="MUX209" s="135"/>
      <c r="MUY209" s="173"/>
      <c r="MUZ209" s="173"/>
      <c r="MVA209" s="173"/>
      <c r="MVB209" s="173"/>
      <c r="MVC209" s="173"/>
      <c r="MVD209" s="173"/>
      <c r="MVE209" s="173"/>
      <c r="MVF209" s="173"/>
      <c r="MVG209" s="173"/>
      <c r="MVH209" s="173"/>
      <c r="MVI209" s="125"/>
      <c r="MVJ209" s="125"/>
      <c r="MVK209" s="134"/>
      <c r="MVL209" s="135"/>
      <c r="MVM209" s="135"/>
      <c r="MVN209" s="135"/>
      <c r="MVO209" s="135"/>
      <c r="MVP209" s="173"/>
      <c r="MVQ209" s="173"/>
      <c r="MVR209" s="173"/>
      <c r="MVS209" s="173"/>
      <c r="MVT209" s="173"/>
      <c r="MVU209" s="173"/>
      <c r="MVV209" s="173"/>
      <c r="MVW209" s="173"/>
      <c r="MVX209" s="173"/>
      <c r="MVY209" s="173"/>
      <c r="MVZ209" s="125"/>
      <c r="MWA209" s="125"/>
      <c r="MWB209" s="134"/>
      <c r="MWC209" s="135"/>
      <c r="MWD209" s="135"/>
      <c r="MWE209" s="135"/>
      <c r="MWF209" s="135"/>
      <c r="MWG209" s="173"/>
      <c r="MWH209" s="173"/>
      <c r="MWI209" s="173"/>
      <c r="MWJ209" s="173"/>
      <c r="MWK209" s="173"/>
      <c r="MWL209" s="173"/>
      <c r="MWM209" s="173"/>
      <c r="MWN209" s="173"/>
      <c r="MWO209" s="173"/>
      <c r="MWP209" s="173"/>
      <c r="MWQ209" s="125"/>
      <c r="MWR209" s="125"/>
      <c r="MWS209" s="134"/>
      <c r="MWT209" s="135"/>
      <c r="MWU209" s="135"/>
      <c r="MWV209" s="135"/>
      <c r="MWW209" s="135"/>
      <c r="MWX209" s="173"/>
      <c r="MWY209" s="173"/>
      <c r="MWZ209" s="173"/>
      <c r="MXA209" s="173"/>
      <c r="MXB209" s="173"/>
      <c r="MXC209" s="173"/>
      <c r="MXD209" s="173"/>
      <c r="MXE209" s="173"/>
      <c r="MXF209" s="173"/>
      <c r="MXG209" s="173"/>
      <c r="MXH209" s="125"/>
      <c r="MXI209" s="125"/>
      <c r="MXJ209" s="134"/>
      <c r="MXK209" s="135"/>
      <c r="MXL209" s="135"/>
      <c r="MXM209" s="135"/>
      <c r="MXN209" s="135"/>
      <c r="MXO209" s="173"/>
      <c r="MXP209" s="173"/>
      <c r="MXQ209" s="173"/>
      <c r="MXR209" s="173"/>
      <c r="MXS209" s="173"/>
      <c r="MXT209" s="173"/>
      <c r="MXU209" s="173"/>
      <c r="MXV209" s="173"/>
      <c r="MXW209" s="173"/>
      <c r="MXX209" s="173"/>
      <c r="MXY209" s="125"/>
      <c r="MXZ209" s="125"/>
      <c r="MYA209" s="134"/>
      <c r="MYB209" s="135"/>
      <c r="MYC209" s="135"/>
      <c r="MYD209" s="135"/>
      <c r="MYE209" s="135"/>
      <c r="MYF209" s="173"/>
      <c r="MYG209" s="173"/>
      <c r="MYH209" s="173"/>
      <c r="MYI209" s="173"/>
      <c r="MYJ209" s="173"/>
      <c r="MYK209" s="173"/>
      <c r="MYL209" s="173"/>
      <c r="MYM209" s="173"/>
      <c r="MYN209" s="173"/>
      <c r="MYO209" s="173"/>
      <c r="MYP209" s="125"/>
      <c r="MYQ209" s="125"/>
      <c r="MYR209" s="134"/>
      <c r="MYS209" s="135"/>
      <c r="MYT209" s="135"/>
      <c r="MYU209" s="135"/>
      <c r="MYV209" s="135"/>
      <c r="MYW209" s="173"/>
      <c r="MYX209" s="173"/>
      <c r="MYY209" s="173"/>
      <c r="MYZ209" s="173"/>
      <c r="MZA209" s="173"/>
      <c r="MZB209" s="173"/>
      <c r="MZC209" s="173"/>
      <c r="MZD209" s="173"/>
      <c r="MZE209" s="173"/>
      <c r="MZF209" s="173"/>
      <c r="MZG209" s="125"/>
      <c r="MZH209" s="125"/>
      <c r="MZI209" s="134"/>
      <c r="MZJ209" s="135"/>
      <c r="MZK209" s="135"/>
      <c r="MZL209" s="135"/>
      <c r="MZM209" s="135"/>
      <c r="MZN209" s="173"/>
      <c r="MZO209" s="173"/>
      <c r="MZP209" s="173"/>
      <c r="MZQ209" s="173"/>
      <c r="MZR209" s="173"/>
      <c r="MZS209" s="173"/>
      <c r="MZT209" s="173"/>
      <c r="MZU209" s="173"/>
      <c r="MZV209" s="173"/>
      <c r="MZW209" s="173"/>
      <c r="MZX209" s="125"/>
      <c r="MZY209" s="125"/>
      <c r="MZZ209" s="134"/>
      <c r="NAA209" s="135"/>
      <c r="NAB209" s="135"/>
      <c r="NAC209" s="135"/>
      <c r="NAD209" s="135"/>
      <c r="NAE209" s="173"/>
      <c r="NAF209" s="173"/>
      <c r="NAG209" s="173"/>
      <c r="NAH209" s="173"/>
      <c r="NAI209" s="173"/>
      <c r="NAJ209" s="173"/>
      <c r="NAK209" s="173"/>
      <c r="NAL209" s="173"/>
      <c r="NAM209" s="173"/>
      <c r="NAN209" s="173"/>
      <c r="NAO209" s="125"/>
      <c r="NAP209" s="125"/>
      <c r="NAQ209" s="134"/>
      <c r="NAR209" s="135"/>
      <c r="NAS209" s="135"/>
      <c r="NAT209" s="135"/>
      <c r="NAU209" s="135"/>
      <c r="NAV209" s="173"/>
      <c r="NAW209" s="173"/>
      <c r="NAX209" s="173"/>
      <c r="NAY209" s="173"/>
      <c r="NAZ209" s="173"/>
      <c r="NBA209" s="173"/>
      <c r="NBB209" s="173"/>
      <c r="NBC209" s="173"/>
      <c r="NBD209" s="173"/>
      <c r="NBE209" s="173"/>
      <c r="NBF209" s="125"/>
      <c r="NBG209" s="125"/>
      <c r="NBH209" s="134"/>
      <c r="NBI209" s="135"/>
      <c r="NBJ209" s="135"/>
      <c r="NBK209" s="135"/>
      <c r="NBL209" s="135"/>
      <c r="NBM209" s="173"/>
      <c r="NBN209" s="173"/>
      <c r="NBO209" s="173"/>
      <c r="NBP209" s="173"/>
      <c r="NBQ209" s="173"/>
      <c r="NBR209" s="173"/>
      <c r="NBS209" s="173"/>
      <c r="NBT209" s="173"/>
      <c r="NBU209" s="173"/>
      <c r="NBV209" s="173"/>
      <c r="NBW209" s="125"/>
      <c r="NBX209" s="125"/>
      <c r="NBY209" s="134"/>
      <c r="NBZ209" s="135"/>
      <c r="NCA209" s="135"/>
      <c r="NCB209" s="135"/>
      <c r="NCC209" s="135"/>
      <c r="NCD209" s="173"/>
      <c r="NCE209" s="173"/>
      <c r="NCF209" s="173"/>
      <c r="NCG209" s="173"/>
      <c r="NCH209" s="173"/>
      <c r="NCI209" s="173"/>
      <c r="NCJ209" s="173"/>
      <c r="NCK209" s="173"/>
      <c r="NCL209" s="173"/>
      <c r="NCM209" s="173"/>
      <c r="NCN209" s="125"/>
      <c r="NCO209" s="125"/>
      <c r="NCP209" s="134"/>
      <c r="NCQ209" s="135"/>
      <c r="NCR209" s="135"/>
      <c r="NCS209" s="135"/>
      <c r="NCT209" s="135"/>
      <c r="NCU209" s="173"/>
      <c r="NCV209" s="173"/>
      <c r="NCW209" s="173"/>
      <c r="NCX209" s="173"/>
      <c r="NCY209" s="173"/>
      <c r="NCZ209" s="173"/>
      <c r="NDA209" s="173"/>
      <c r="NDB209" s="173"/>
      <c r="NDC209" s="173"/>
      <c r="NDD209" s="173"/>
      <c r="NDE209" s="125"/>
      <c r="NDF209" s="125"/>
      <c r="NDG209" s="134"/>
      <c r="NDH209" s="135"/>
      <c r="NDI209" s="135"/>
      <c r="NDJ209" s="135"/>
      <c r="NDK209" s="135"/>
      <c r="NDL209" s="173"/>
      <c r="NDM209" s="173"/>
      <c r="NDN209" s="173"/>
      <c r="NDO209" s="173"/>
      <c r="NDP209" s="173"/>
      <c r="NDQ209" s="173"/>
      <c r="NDR209" s="173"/>
      <c r="NDS209" s="173"/>
      <c r="NDT209" s="173"/>
      <c r="NDU209" s="173"/>
      <c r="NDV209" s="125"/>
      <c r="NDW209" s="125"/>
      <c r="NDX209" s="134"/>
      <c r="NDY209" s="135"/>
      <c r="NDZ209" s="135"/>
      <c r="NEA209" s="135"/>
      <c r="NEB209" s="135"/>
      <c r="NEC209" s="173"/>
      <c r="NED209" s="173"/>
      <c r="NEE209" s="173"/>
      <c r="NEF209" s="173"/>
      <c r="NEG209" s="173"/>
      <c r="NEH209" s="173"/>
      <c r="NEI209" s="173"/>
      <c r="NEJ209" s="173"/>
      <c r="NEK209" s="173"/>
      <c r="NEL209" s="173"/>
      <c r="NEM209" s="125"/>
      <c r="NEN209" s="125"/>
      <c r="NEO209" s="134"/>
      <c r="NEP209" s="135"/>
      <c r="NEQ209" s="135"/>
      <c r="NER209" s="135"/>
      <c r="NES209" s="135"/>
      <c r="NET209" s="173"/>
      <c r="NEU209" s="173"/>
      <c r="NEV209" s="173"/>
      <c r="NEW209" s="173"/>
      <c r="NEX209" s="173"/>
      <c r="NEY209" s="173"/>
      <c r="NEZ209" s="173"/>
      <c r="NFA209" s="173"/>
      <c r="NFB209" s="173"/>
      <c r="NFC209" s="173"/>
      <c r="NFD209" s="125"/>
      <c r="NFE209" s="125"/>
      <c r="NFF209" s="134"/>
      <c r="NFG209" s="135"/>
      <c r="NFH209" s="135"/>
      <c r="NFI209" s="135"/>
      <c r="NFJ209" s="135"/>
      <c r="NFK209" s="173"/>
      <c r="NFL209" s="173"/>
      <c r="NFM209" s="173"/>
      <c r="NFN209" s="173"/>
      <c r="NFO209" s="173"/>
      <c r="NFP209" s="173"/>
      <c r="NFQ209" s="173"/>
      <c r="NFR209" s="173"/>
      <c r="NFS209" s="173"/>
      <c r="NFT209" s="173"/>
      <c r="NFU209" s="125"/>
      <c r="NFV209" s="125"/>
      <c r="NFW209" s="134"/>
      <c r="NFX209" s="135"/>
      <c r="NFY209" s="135"/>
      <c r="NFZ209" s="135"/>
      <c r="NGA209" s="135"/>
      <c r="NGB209" s="173"/>
      <c r="NGC209" s="173"/>
      <c r="NGD209" s="173"/>
      <c r="NGE209" s="173"/>
      <c r="NGF209" s="173"/>
      <c r="NGG209" s="173"/>
      <c r="NGH209" s="173"/>
      <c r="NGI209" s="173"/>
      <c r="NGJ209" s="173"/>
      <c r="NGK209" s="173"/>
      <c r="NGL209" s="125"/>
      <c r="NGM209" s="125"/>
      <c r="NGN209" s="134"/>
      <c r="NGO209" s="135"/>
      <c r="NGP209" s="135"/>
      <c r="NGQ209" s="135"/>
      <c r="NGR209" s="135"/>
      <c r="NGS209" s="173"/>
      <c r="NGT209" s="173"/>
      <c r="NGU209" s="173"/>
      <c r="NGV209" s="173"/>
      <c r="NGW209" s="173"/>
      <c r="NGX209" s="173"/>
      <c r="NGY209" s="173"/>
      <c r="NGZ209" s="173"/>
      <c r="NHA209" s="173"/>
      <c r="NHB209" s="173"/>
      <c r="NHC209" s="125"/>
      <c r="NHD209" s="125"/>
      <c r="NHE209" s="134"/>
      <c r="NHF209" s="135"/>
      <c r="NHG209" s="135"/>
      <c r="NHH209" s="135"/>
      <c r="NHI209" s="135"/>
      <c r="NHJ209" s="173"/>
      <c r="NHK209" s="173"/>
      <c r="NHL209" s="173"/>
      <c r="NHM209" s="173"/>
      <c r="NHN209" s="173"/>
      <c r="NHO209" s="173"/>
      <c r="NHP209" s="173"/>
      <c r="NHQ209" s="173"/>
      <c r="NHR209" s="173"/>
      <c r="NHS209" s="173"/>
      <c r="NHT209" s="125"/>
      <c r="NHU209" s="125"/>
      <c r="NHV209" s="134"/>
      <c r="NHW209" s="135"/>
      <c r="NHX209" s="135"/>
      <c r="NHY209" s="135"/>
      <c r="NHZ209" s="135"/>
      <c r="NIA209" s="173"/>
      <c r="NIB209" s="173"/>
      <c r="NIC209" s="173"/>
      <c r="NID209" s="173"/>
      <c r="NIE209" s="173"/>
      <c r="NIF209" s="173"/>
      <c r="NIG209" s="173"/>
      <c r="NIH209" s="173"/>
      <c r="NII209" s="173"/>
      <c r="NIJ209" s="173"/>
      <c r="NIK209" s="125"/>
      <c r="NIL209" s="125"/>
      <c r="NIM209" s="134"/>
      <c r="NIN209" s="135"/>
      <c r="NIO209" s="135"/>
      <c r="NIP209" s="135"/>
      <c r="NIQ209" s="135"/>
      <c r="NIR209" s="173"/>
      <c r="NIS209" s="173"/>
      <c r="NIT209" s="173"/>
      <c r="NIU209" s="173"/>
      <c r="NIV209" s="173"/>
      <c r="NIW209" s="173"/>
      <c r="NIX209" s="173"/>
      <c r="NIY209" s="173"/>
      <c r="NIZ209" s="173"/>
      <c r="NJA209" s="173"/>
      <c r="NJB209" s="125"/>
      <c r="NJC209" s="125"/>
      <c r="NJD209" s="134"/>
      <c r="NJE209" s="135"/>
      <c r="NJF209" s="135"/>
      <c r="NJG209" s="135"/>
      <c r="NJH209" s="135"/>
      <c r="NJI209" s="173"/>
      <c r="NJJ209" s="173"/>
      <c r="NJK209" s="173"/>
      <c r="NJL209" s="173"/>
      <c r="NJM209" s="173"/>
      <c r="NJN209" s="173"/>
      <c r="NJO209" s="173"/>
      <c r="NJP209" s="173"/>
      <c r="NJQ209" s="173"/>
      <c r="NJR209" s="173"/>
      <c r="NJS209" s="125"/>
      <c r="NJT209" s="125"/>
      <c r="NJU209" s="134"/>
      <c r="NJV209" s="135"/>
      <c r="NJW209" s="135"/>
      <c r="NJX209" s="135"/>
      <c r="NJY209" s="135"/>
      <c r="NJZ209" s="173"/>
      <c r="NKA209" s="173"/>
      <c r="NKB209" s="173"/>
      <c r="NKC209" s="173"/>
      <c r="NKD209" s="173"/>
      <c r="NKE209" s="173"/>
      <c r="NKF209" s="173"/>
      <c r="NKG209" s="173"/>
      <c r="NKH209" s="173"/>
      <c r="NKI209" s="173"/>
      <c r="NKJ209" s="125"/>
      <c r="NKK209" s="125"/>
      <c r="NKL209" s="134"/>
      <c r="NKM209" s="135"/>
      <c r="NKN209" s="135"/>
      <c r="NKO209" s="135"/>
      <c r="NKP209" s="135"/>
      <c r="NKQ209" s="173"/>
      <c r="NKR209" s="173"/>
      <c r="NKS209" s="173"/>
      <c r="NKT209" s="173"/>
      <c r="NKU209" s="173"/>
      <c r="NKV209" s="173"/>
      <c r="NKW209" s="173"/>
      <c r="NKX209" s="173"/>
      <c r="NKY209" s="173"/>
      <c r="NKZ209" s="173"/>
      <c r="NLA209" s="125"/>
      <c r="NLB209" s="125"/>
      <c r="NLC209" s="134"/>
      <c r="NLD209" s="135"/>
      <c r="NLE209" s="135"/>
      <c r="NLF209" s="135"/>
      <c r="NLG209" s="135"/>
      <c r="NLH209" s="173"/>
      <c r="NLI209" s="173"/>
      <c r="NLJ209" s="173"/>
      <c r="NLK209" s="173"/>
      <c r="NLL209" s="173"/>
      <c r="NLM209" s="173"/>
      <c r="NLN209" s="173"/>
      <c r="NLO209" s="173"/>
      <c r="NLP209" s="173"/>
      <c r="NLQ209" s="173"/>
      <c r="NLR209" s="125"/>
      <c r="NLS209" s="125"/>
      <c r="NLT209" s="134"/>
      <c r="NLU209" s="135"/>
      <c r="NLV209" s="135"/>
      <c r="NLW209" s="135"/>
      <c r="NLX209" s="135"/>
      <c r="NLY209" s="173"/>
      <c r="NLZ209" s="173"/>
      <c r="NMA209" s="173"/>
      <c r="NMB209" s="173"/>
      <c r="NMC209" s="173"/>
      <c r="NMD209" s="173"/>
      <c r="NME209" s="173"/>
      <c r="NMF209" s="173"/>
      <c r="NMG209" s="173"/>
      <c r="NMH209" s="173"/>
      <c r="NMI209" s="125"/>
      <c r="NMJ209" s="125"/>
      <c r="NMK209" s="134"/>
      <c r="NML209" s="135"/>
      <c r="NMM209" s="135"/>
      <c r="NMN209" s="135"/>
      <c r="NMO209" s="135"/>
      <c r="NMP209" s="173"/>
      <c r="NMQ209" s="173"/>
      <c r="NMR209" s="173"/>
      <c r="NMS209" s="173"/>
      <c r="NMT209" s="173"/>
      <c r="NMU209" s="173"/>
      <c r="NMV209" s="173"/>
      <c r="NMW209" s="173"/>
      <c r="NMX209" s="173"/>
      <c r="NMY209" s="173"/>
      <c r="NMZ209" s="125"/>
      <c r="NNA209" s="125"/>
      <c r="NNB209" s="134"/>
      <c r="NNC209" s="135"/>
      <c r="NND209" s="135"/>
      <c r="NNE209" s="135"/>
      <c r="NNF209" s="135"/>
      <c r="NNG209" s="173"/>
      <c r="NNH209" s="173"/>
      <c r="NNI209" s="173"/>
      <c r="NNJ209" s="173"/>
      <c r="NNK209" s="173"/>
      <c r="NNL209" s="173"/>
      <c r="NNM209" s="173"/>
      <c r="NNN209" s="173"/>
      <c r="NNO209" s="173"/>
      <c r="NNP209" s="173"/>
      <c r="NNQ209" s="125"/>
      <c r="NNR209" s="125"/>
      <c r="NNS209" s="134"/>
      <c r="NNT209" s="135"/>
      <c r="NNU209" s="135"/>
      <c r="NNV209" s="135"/>
      <c r="NNW209" s="135"/>
      <c r="NNX209" s="173"/>
      <c r="NNY209" s="173"/>
      <c r="NNZ209" s="173"/>
      <c r="NOA209" s="173"/>
      <c r="NOB209" s="173"/>
      <c r="NOC209" s="173"/>
      <c r="NOD209" s="173"/>
      <c r="NOE209" s="173"/>
      <c r="NOF209" s="173"/>
      <c r="NOG209" s="173"/>
      <c r="NOH209" s="125"/>
      <c r="NOI209" s="125"/>
      <c r="NOJ209" s="134"/>
      <c r="NOK209" s="135"/>
      <c r="NOL209" s="135"/>
      <c r="NOM209" s="135"/>
      <c r="NON209" s="135"/>
      <c r="NOO209" s="173"/>
      <c r="NOP209" s="173"/>
      <c r="NOQ209" s="173"/>
      <c r="NOR209" s="173"/>
      <c r="NOS209" s="173"/>
      <c r="NOT209" s="173"/>
      <c r="NOU209" s="173"/>
      <c r="NOV209" s="173"/>
      <c r="NOW209" s="173"/>
      <c r="NOX209" s="173"/>
      <c r="NOY209" s="125"/>
      <c r="NOZ209" s="125"/>
      <c r="NPA209" s="134"/>
      <c r="NPB209" s="135"/>
      <c r="NPC209" s="135"/>
      <c r="NPD209" s="135"/>
      <c r="NPE209" s="135"/>
      <c r="NPF209" s="173"/>
      <c r="NPG209" s="173"/>
      <c r="NPH209" s="173"/>
      <c r="NPI209" s="173"/>
      <c r="NPJ209" s="173"/>
      <c r="NPK209" s="173"/>
      <c r="NPL209" s="173"/>
      <c r="NPM209" s="173"/>
      <c r="NPN209" s="173"/>
      <c r="NPO209" s="173"/>
      <c r="NPP209" s="125"/>
      <c r="NPQ209" s="125"/>
      <c r="NPR209" s="134"/>
      <c r="NPS209" s="135"/>
      <c r="NPT209" s="135"/>
      <c r="NPU209" s="135"/>
      <c r="NPV209" s="135"/>
      <c r="NPW209" s="173"/>
      <c r="NPX209" s="173"/>
      <c r="NPY209" s="173"/>
      <c r="NPZ209" s="173"/>
      <c r="NQA209" s="173"/>
      <c r="NQB209" s="173"/>
      <c r="NQC209" s="173"/>
      <c r="NQD209" s="173"/>
      <c r="NQE209" s="173"/>
      <c r="NQF209" s="173"/>
      <c r="NQG209" s="125"/>
      <c r="NQH209" s="125"/>
      <c r="NQI209" s="134"/>
      <c r="NQJ209" s="135"/>
      <c r="NQK209" s="135"/>
      <c r="NQL209" s="135"/>
      <c r="NQM209" s="135"/>
      <c r="NQN209" s="173"/>
      <c r="NQO209" s="173"/>
      <c r="NQP209" s="173"/>
      <c r="NQQ209" s="173"/>
      <c r="NQR209" s="173"/>
      <c r="NQS209" s="173"/>
      <c r="NQT209" s="173"/>
      <c r="NQU209" s="173"/>
      <c r="NQV209" s="173"/>
      <c r="NQW209" s="173"/>
      <c r="NQX209" s="125"/>
      <c r="NQY209" s="125"/>
      <c r="NQZ209" s="134"/>
      <c r="NRA209" s="135"/>
      <c r="NRB209" s="135"/>
      <c r="NRC209" s="135"/>
      <c r="NRD209" s="135"/>
      <c r="NRE209" s="173"/>
      <c r="NRF209" s="173"/>
      <c r="NRG209" s="173"/>
      <c r="NRH209" s="173"/>
      <c r="NRI209" s="173"/>
      <c r="NRJ209" s="173"/>
      <c r="NRK209" s="173"/>
      <c r="NRL209" s="173"/>
      <c r="NRM209" s="173"/>
      <c r="NRN209" s="173"/>
      <c r="NRO209" s="125"/>
      <c r="NRP209" s="125"/>
      <c r="NRQ209" s="134"/>
      <c r="NRR209" s="135"/>
      <c r="NRS209" s="135"/>
      <c r="NRT209" s="135"/>
      <c r="NRU209" s="135"/>
      <c r="NRV209" s="173"/>
      <c r="NRW209" s="173"/>
      <c r="NRX209" s="173"/>
      <c r="NRY209" s="173"/>
      <c r="NRZ209" s="173"/>
      <c r="NSA209" s="173"/>
      <c r="NSB209" s="173"/>
      <c r="NSC209" s="173"/>
      <c r="NSD209" s="173"/>
      <c r="NSE209" s="173"/>
      <c r="NSF209" s="125"/>
      <c r="NSG209" s="125"/>
      <c r="NSH209" s="134"/>
      <c r="NSI209" s="135"/>
      <c r="NSJ209" s="135"/>
      <c r="NSK209" s="135"/>
      <c r="NSL209" s="135"/>
      <c r="NSM209" s="173"/>
      <c r="NSN209" s="173"/>
      <c r="NSO209" s="173"/>
      <c r="NSP209" s="173"/>
      <c r="NSQ209" s="173"/>
      <c r="NSR209" s="173"/>
      <c r="NSS209" s="173"/>
      <c r="NST209" s="173"/>
      <c r="NSU209" s="173"/>
      <c r="NSV209" s="173"/>
      <c r="NSW209" s="125"/>
      <c r="NSX209" s="125"/>
      <c r="NSY209" s="134"/>
      <c r="NSZ209" s="135"/>
      <c r="NTA209" s="135"/>
      <c r="NTB209" s="135"/>
      <c r="NTC209" s="135"/>
      <c r="NTD209" s="173"/>
      <c r="NTE209" s="173"/>
      <c r="NTF209" s="173"/>
      <c r="NTG209" s="173"/>
      <c r="NTH209" s="173"/>
      <c r="NTI209" s="173"/>
      <c r="NTJ209" s="173"/>
      <c r="NTK209" s="173"/>
      <c r="NTL209" s="173"/>
      <c r="NTM209" s="173"/>
      <c r="NTN209" s="125"/>
      <c r="NTO209" s="125"/>
      <c r="NTP209" s="134"/>
      <c r="NTQ209" s="135"/>
      <c r="NTR209" s="135"/>
      <c r="NTS209" s="135"/>
      <c r="NTT209" s="135"/>
      <c r="NTU209" s="173"/>
      <c r="NTV209" s="173"/>
      <c r="NTW209" s="173"/>
      <c r="NTX209" s="173"/>
      <c r="NTY209" s="173"/>
      <c r="NTZ209" s="173"/>
      <c r="NUA209" s="173"/>
      <c r="NUB209" s="173"/>
      <c r="NUC209" s="173"/>
      <c r="NUD209" s="173"/>
      <c r="NUE209" s="125"/>
      <c r="NUF209" s="125"/>
      <c r="NUG209" s="134"/>
      <c r="NUH209" s="135"/>
      <c r="NUI209" s="135"/>
      <c r="NUJ209" s="135"/>
      <c r="NUK209" s="135"/>
      <c r="NUL209" s="173"/>
      <c r="NUM209" s="173"/>
      <c r="NUN209" s="173"/>
      <c r="NUO209" s="173"/>
      <c r="NUP209" s="173"/>
      <c r="NUQ209" s="173"/>
      <c r="NUR209" s="173"/>
      <c r="NUS209" s="173"/>
      <c r="NUT209" s="173"/>
      <c r="NUU209" s="173"/>
      <c r="NUV209" s="125"/>
      <c r="NUW209" s="125"/>
      <c r="NUX209" s="134"/>
      <c r="NUY209" s="135"/>
      <c r="NUZ209" s="135"/>
      <c r="NVA209" s="135"/>
      <c r="NVB209" s="135"/>
      <c r="NVC209" s="173"/>
      <c r="NVD209" s="173"/>
      <c r="NVE209" s="173"/>
      <c r="NVF209" s="173"/>
      <c r="NVG209" s="173"/>
      <c r="NVH209" s="173"/>
      <c r="NVI209" s="173"/>
      <c r="NVJ209" s="173"/>
      <c r="NVK209" s="173"/>
      <c r="NVL209" s="173"/>
      <c r="NVM209" s="125"/>
      <c r="NVN209" s="125"/>
      <c r="NVO209" s="134"/>
      <c r="NVP209" s="135"/>
      <c r="NVQ209" s="135"/>
      <c r="NVR209" s="135"/>
      <c r="NVS209" s="135"/>
      <c r="NVT209" s="173"/>
      <c r="NVU209" s="173"/>
      <c r="NVV209" s="173"/>
      <c r="NVW209" s="173"/>
      <c r="NVX209" s="173"/>
      <c r="NVY209" s="173"/>
      <c r="NVZ209" s="173"/>
      <c r="NWA209" s="173"/>
      <c r="NWB209" s="173"/>
      <c r="NWC209" s="173"/>
      <c r="NWD209" s="125"/>
      <c r="NWE209" s="125"/>
      <c r="NWF209" s="134"/>
      <c r="NWG209" s="135"/>
      <c r="NWH209" s="135"/>
      <c r="NWI209" s="135"/>
      <c r="NWJ209" s="135"/>
      <c r="NWK209" s="173"/>
      <c r="NWL209" s="173"/>
      <c r="NWM209" s="173"/>
      <c r="NWN209" s="173"/>
      <c r="NWO209" s="173"/>
      <c r="NWP209" s="173"/>
      <c r="NWQ209" s="173"/>
      <c r="NWR209" s="173"/>
      <c r="NWS209" s="173"/>
      <c r="NWT209" s="173"/>
      <c r="NWU209" s="125"/>
      <c r="NWV209" s="125"/>
      <c r="NWW209" s="134"/>
      <c r="NWX209" s="135"/>
      <c r="NWY209" s="135"/>
      <c r="NWZ209" s="135"/>
      <c r="NXA209" s="135"/>
      <c r="NXB209" s="173"/>
      <c r="NXC209" s="173"/>
      <c r="NXD209" s="173"/>
      <c r="NXE209" s="173"/>
      <c r="NXF209" s="173"/>
      <c r="NXG209" s="173"/>
      <c r="NXH209" s="173"/>
      <c r="NXI209" s="173"/>
      <c r="NXJ209" s="173"/>
      <c r="NXK209" s="173"/>
      <c r="NXL209" s="125"/>
      <c r="NXM209" s="125"/>
      <c r="NXN209" s="134"/>
      <c r="NXO209" s="135"/>
      <c r="NXP209" s="135"/>
      <c r="NXQ209" s="135"/>
      <c r="NXR209" s="135"/>
      <c r="NXS209" s="173"/>
      <c r="NXT209" s="173"/>
      <c r="NXU209" s="173"/>
      <c r="NXV209" s="173"/>
      <c r="NXW209" s="173"/>
      <c r="NXX209" s="173"/>
      <c r="NXY209" s="173"/>
      <c r="NXZ209" s="173"/>
      <c r="NYA209" s="173"/>
      <c r="NYB209" s="173"/>
      <c r="NYC209" s="125"/>
      <c r="NYD209" s="125"/>
      <c r="NYE209" s="134"/>
      <c r="NYF209" s="135"/>
      <c r="NYG209" s="135"/>
      <c r="NYH209" s="135"/>
      <c r="NYI209" s="135"/>
      <c r="NYJ209" s="173"/>
      <c r="NYK209" s="173"/>
      <c r="NYL209" s="173"/>
      <c r="NYM209" s="173"/>
      <c r="NYN209" s="173"/>
      <c r="NYO209" s="173"/>
      <c r="NYP209" s="173"/>
      <c r="NYQ209" s="173"/>
      <c r="NYR209" s="173"/>
      <c r="NYS209" s="173"/>
      <c r="NYT209" s="125"/>
      <c r="NYU209" s="125"/>
      <c r="NYV209" s="134"/>
      <c r="NYW209" s="135"/>
      <c r="NYX209" s="135"/>
      <c r="NYY209" s="135"/>
      <c r="NYZ209" s="135"/>
      <c r="NZA209" s="173"/>
      <c r="NZB209" s="173"/>
      <c r="NZC209" s="173"/>
      <c r="NZD209" s="173"/>
      <c r="NZE209" s="173"/>
      <c r="NZF209" s="173"/>
      <c r="NZG209" s="173"/>
      <c r="NZH209" s="173"/>
      <c r="NZI209" s="173"/>
      <c r="NZJ209" s="173"/>
      <c r="NZK209" s="125"/>
      <c r="NZL209" s="125"/>
      <c r="NZM209" s="134"/>
      <c r="NZN209" s="135"/>
      <c r="NZO209" s="135"/>
      <c r="NZP209" s="135"/>
      <c r="NZQ209" s="135"/>
      <c r="NZR209" s="173"/>
      <c r="NZS209" s="173"/>
      <c r="NZT209" s="173"/>
      <c r="NZU209" s="173"/>
      <c r="NZV209" s="173"/>
      <c r="NZW209" s="173"/>
      <c r="NZX209" s="173"/>
      <c r="NZY209" s="173"/>
      <c r="NZZ209" s="173"/>
      <c r="OAA209" s="173"/>
      <c r="OAB209" s="125"/>
      <c r="OAC209" s="125"/>
      <c r="OAD209" s="134"/>
      <c r="OAE209" s="135"/>
      <c r="OAF209" s="135"/>
      <c r="OAG209" s="135"/>
      <c r="OAH209" s="135"/>
      <c r="OAI209" s="173"/>
      <c r="OAJ209" s="173"/>
      <c r="OAK209" s="173"/>
      <c r="OAL209" s="173"/>
      <c r="OAM209" s="173"/>
      <c r="OAN209" s="173"/>
      <c r="OAO209" s="173"/>
      <c r="OAP209" s="173"/>
      <c r="OAQ209" s="173"/>
      <c r="OAR209" s="173"/>
      <c r="OAS209" s="125"/>
      <c r="OAT209" s="125"/>
      <c r="OAU209" s="134"/>
      <c r="OAV209" s="135"/>
      <c r="OAW209" s="135"/>
      <c r="OAX209" s="135"/>
      <c r="OAY209" s="135"/>
      <c r="OAZ209" s="173"/>
      <c r="OBA209" s="173"/>
      <c r="OBB209" s="173"/>
      <c r="OBC209" s="173"/>
      <c r="OBD209" s="173"/>
      <c r="OBE209" s="173"/>
      <c r="OBF209" s="173"/>
      <c r="OBG209" s="173"/>
      <c r="OBH209" s="173"/>
      <c r="OBI209" s="173"/>
      <c r="OBJ209" s="125"/>
      <c r="OBK209" s="125"/>
      <c r="OBL209" s="134"/>
      <c r="OBM209" s="135"/>
      <c r="OBN209" s="135"/>
      <c r="OBO209" s="135"/>
      <c r="OBP209" s="135"/>
      <c r="OBQ209" s="173"/>
      <c r="OBR209" s="173"/>
      <c r="OBS209" s="173"/>
      <c r="OBT209" s="173"/>
      <c r="OBU209" s="173"/>
      <c r="OBV209" s="173"/>
      <c r="OBW209" s="173"/>
      <c r="OBX209" s="173"/>
      <c r="OBY209" s="173"/>
      <c r="OBZ209" s="173"/>
      <c r="OCA209" s="125"/>
      <c r="OCB209" s="125"/>
      <c r="OCC209" s="134"/>
      <c r="OCD209" s="135"/>
      <c r="OCE209" s="135"/>
      <c r="OCF209" s="135"/>
      <c r="OCG209" s="135"/>
      <c r="OCH209" s="173"/>
      <c r="OCI209" s="173"/>
      <c r="OCJ209" s="173"/>
      <c r="OCK209" s="173"/>
      <c r="OCL209" s="173"/>
      <c r="OCM209" s="173"/>
      <c r="OCN209" s="173"/>
      <c r="OCO209" s="173"/>
      <c r="OCP209" s="173"/>
      <c r="OCQ209" s="173"/>
      <c r="OCR209" s="125"/>
      <c r="OCS209" s="125"/>
      <c r="OCT209" s="134"/>
      <c r="OCU209" s="135"/>
      <c r="OCV209" s="135"/>
      <c r="OCW209" s="135"/>
      <c r="OCX209" s="135"/>
      <c r="OCY209" s="173"/>
      <c r="OCZ209" s="173"/>
      <c r="ODA209" s="173"/>
      <c r="ODB209" s="173"/>
      <c r="ODC209" s="173"/>
      <c r="ODD209" s="173"/>
      <c r="ODE209" s="173"/>
      <c r="ODF209" s="173"/>
      <c r="ODG209" s="173"/>
      <c r="ODH209" s="173"/>
      <c r="ODI209" s="125"/>
      <c r="ODJ209" s="125"/>
      <c r="ODK209" s="134"/>
      <c r="ODL209" s="135"/>
      <c r="ODM209" s="135"/>
      <c r="ODN209" s="135"/>
      <c r="ODO209" s="135"/>
      <c r="ODP209" s="173"/>
      <c r="ODQ209" s="173"/>
      <c r="ODR209" s="173"/>
      <c r="ODS209" s="173"/>
      <c r="ODT209" s="173"/>
      <c r="ODU209" s="173"/>
      <c r="ODV209" s="173"/>
      <c r="ODW209" s="173"/>
      <c r="ODX209" s="173"/>
      <c r="ODY209" s="173"/>
      <c r="ODZ209" s="125"/>
      <c r="OEA209" s="125"/>
      <c r="OEB209" s="134"/>
      <c r="OEC209" s="135"/>
      <c r="OED209" s="135"/>
      <c r="OEE209" s="135"/>
      <c r="OEF209" s="135"/>
      <c r="OEG209" s="173"/>
      <c r="OEH209" s="173"/>
      <c r="OEI209" s="173"/>
      <c r="OEJ209" s="173"/>
      <c r="OEK209" s="173"/>
      <c r="OEL209" s="173"/>
      <c r="OEM209" s="173"/>
      <c r="OEN209" s="173"/>
      <c r="OEO209" s="173"/>
      <c r="OEP209" s="173"/>
      <c r="OEQ209" s="125"/>
      <c r="OER209" s="125"/>
      <c r="OES209" s="134"/>
      <c r="OET209" s="135"/>
      <c r="OEU209" s="135"/>
      <c r="OEV209" s="135"/>
      <c r="OEW209" s="135"/>
      <c r="OEX209" s="173"/>
      <c r="OEY209" s="173"/>
      <c r="OEZ209" s="173"/>
      <c r="OFA209" s="173"/>
      <c r="OFB209" s="173"/>
      <c r="OFC209" s="173"/>
      <c r="OFD209" s="173"/>
      <c r="OFE209" s="173"/>
      <c r="OFF209" s="173"/>
      <c r="OFG209" s="173"/>
      <c r="OFH209" s="125"/>
      <c r="OFI209" s="125"/>
      <c r="OFJ209" s="134"/>
      <c r="OFK209" s="135"/>
      <c r="OFL209" s="135"/>
      <c r="OFM209" s="135"/>
      <c r="OFN209" s="135"/>
      <c r="OFO209" s="173"/>
      <c r="OFP209" s="173"/>
      <c r="OFQ209" s="173"/>
      <c r="OFR209" s="173"/>
      <c r="OFS209" s="173"/>
      <c r="OFT209" s="173"/>
      <c r="OFU209" s="173"/>
      <c r="OFV209" s="173"/>
      <c r="OFW209" s="173"/>
      <c r="OFX209" s="173"/>
      <c r="OFY209" s="125"/>
      <c r="OFZ209" s="125"/>
      <c r="OGA209" s="134"/>
      <c r="OGB209" s="135"/>
      <c r="OGC209" s="135"/>
      <c r="OGD209" s="135"/>
      <c r="OGE209" s="135"/>
      <c r="OGF209" s="173"/>
      <c r="OGG209" s="173"/>
      <c r="OGH209" s="173"/>
      <c r="OGI209" s="173"/>
      <c r="OGJ209" s="173"/>
      <c r="OGK209" s="173"/>
      <c r="OGL209" s="173"/>
      <c r="OGM209" s="173"/>
      <c r="OGN209" s="173"/>
      <c r="OGO209" s="173"/>
      <c r="OGP209" s="125"/>
      <c r="OGQ209" s="125"/>
      <c r="OGR209" s="134"/>
      <c r="OGS209" s="135"/>
      <c r="OGT209" s="135"/>
      <c r="OGU209" s="135"/>
      <c r="OGV209" s="135"/>
      <c r="OGW209" s="173"/>
      <c r="OGX209" s="173"/>
      <c r="OGY209" s="173"/>
      <c r="OGZ209" s="173"/>
      <c r="OHA209" s="173"/>
      <c r="OHB209" s="173"/>
      <c r="OHC209" s="173"/>
      <c r="OHD209" s="173"/>
      <c r="OHE209" s="173"/>
      <c r="OHF209" s="173"/>
      <c r="OHG209" s="125"/>
      <c r="OHH209" s="125"/>
      <c r="OHI209" s="134"/>
      <c r="OHJ209" s="135"/>
      <c r="OHK209" s="135"/>
      <c r="OHL209" s="135"/>
      <c r="OHM209" s="135"/>
      <c r="OHN209" s="173"/>
      <c r="OHO209" s="173"/>
      <c r="OHP209" s="173"/>
      <c r="OHQ209" s="173"/>
      <c r="OHR209" s="173"/>
      <c r="OHS209" s="173"/>
      <c r="OHT209" s="173"/>
      <c r="OHU209" s="173"/>
      <c r="OHV209" s="173"/>
      <c r="OHW209" s="173"/>
      <c r="OHX209" s="125"/>
      <c r="OHY209" s="125"/>
      <c r="OHZ209" s="134"/>
      <c r="OIA209" s="135"/>
      <c r="OIB209" s="135"/>
      <c r="OIC209" s="135"/>
      <c r="OID209" s="135"/>
      <c r="OIE209" s="173"/>
      <c r="OIF209" s="173"/>
      <c r="OIG209" s="173"/>
      <c r="OIH209" s="173"/>
      <c r="OII209" s="173"/>
      <c r="OIJ209" s="173"/>
      <c r="OIK209" s="173"/>
      <c r="OIL209" s="173"/>
      <c r="OIM209" s="173"/>
      <c r="OIN209" s="173"/>
      <c r="OIO209" s="125"/>
      <c r="OIP209" s="125"/>
      <c r="OIQ209" s="134"/>
      <c r="OIR209" s="135"/>
      <c r="OIS209" s="135"/>
      <c r="OIT209" s="135"/>
      <c r="OIU209" s="135"/>
      <c r="OIV209" s="173"/>
      <c r="OIW209" s="173"/>
      <c r="OIX209" s="173"/>
      <c r="OIY209" s="173"/>
      <c r="OIZ209" s="173"/>
      <c r="OJA209" s="173"/>
      <c r="OJB209" s="173"/>
      <c r="OJC209" s="173"/>
      <c r="OJD209" s="173"/>
      <c r="OJE209" s="173"/>
      <c r="OJF209" s="125"/>
      <c r="OJG209" s="125"/>
      <c r="OJH209" s="134"/>
      <c r="OJI209" s="135"/>
      <c r="OJJ209" s="135"/>
      <c r="OJK209" s="135"/>
      <c r="OJL209" s="135"/>
      <c r="OJM209" s="173"/>
      <c r="OJN209" s="173"/>
      <c r="OJO209" s="173"/>
      <c r="OJP209" s="173"/>
      <c r="OJQ209" s="173"/>
      <c r="OJR209" s="173"/>
      <c r="OJS209" s="173"/>
      <c r="OJT209" s="173"/>
      <c r="OJU209" s="173"/>
      <c r="OJV209" s="173"/>
      <c r="OJW209" s="125"/>
      <c r="OJX209" s="125"/>
      <c r="OJY209" s="134"/>
      <c r="OJZ209" s="135"/>
      <c r="OKA209" s="135"/>
      <c r="OKB209" s="135"/>
      <c r="OKC209" s="135"/>
      <c r="OKD209" s="173"/>
      <c r="OKE209" s="173"/>
      <c r="OKF209" s="173"/>
      <c r="OKG209" s="173"/>
      <c r="OKH209" s="173"/>
      <c r="OKI209" s="173"/>
      <c r="OKJ209" s="173"/>
      <c r="OKK209" s="173"/>
      <c r="OKL209" s="173"/>
      <c r="OKM209" s="173"/>
      <c r="OKN209" s="125"/>
      <c r="OKO209" s="125"/>
      <c r="OKP209" s="134"/>
      <c r="OKQ209" s="135"/>
      <c r="OKR209" s="135"/>
      <c r="OKS209" s="135"/>
      <c r="OKT209" s="135"/>
      <c r="OKU209" s="173"/>
      <c r="OKV209" s="173"/>
      <c r="OKW209" s="173"/>
      <c r="OKX209" s="173"/>
      <c r="OKY209" s="173"/>
      <c r="OKZ209" s="173"/>
      <c r="OLA209" s="173"/>
      <c r="OLB209" s="173"/>
      <c r="OLC209" s="173"/>
      <c r="OLD209" s="173"/>
      <c r="OLE209" s="125"/>
      <c r="OLF209" s="125"/>
      <c r="OLG209" s="134"/>
      <c r="OLH209" s="135"/>
      <c r="OLI209" s="135"/>
      <c r="OLJ209" s="135"/>
      <c r="OLK209" s="135"/>
      <c r="OLL209" s="173"/>
      <c r="OLM209" s="173"/>
      <c r="OLN209" s="173"/>
      <c r="OLO209" s="173"/>
      <c r="OLP209" s="173"/>
      <c r="OLQ209" s="173"/>
      <c r="OLR209" s="173"/>
      <c r="OLS209" s="173"/>
      <c r="OLT209" s="173"/>
      <c r="OLU209" s="173"/>
      <c r="OLV209" s="125"/>
      <c r="OLW209" s="125"/>
      <c r="OLX209" s="134"/>
      <c r="OLY209" s="135"/>
      <c r="OLZ209" s="135"/>
      <c r="OMA209" s="135"/>
      <c r="OMB209" s="135"/>
      <c r="OMC209" s="173"/>
      <c r="OMD209" s="173"/>
      <c r="OME209" s="173"/>
      <c r="OMF209" s="173"/>
      <c r="OMG209" s="173"/>
      <c r="OMH209" s="173"/>
      <c r="OMI209" s="173"/>
      <c r="OMJ209" s="173"/>
      <c r="OMK209" s="173"/>
      <c r="OML209" s="173"/>
      <c r="OMM209" s="125"/>
      <c r="OMN209" s="125"/>
      <c r="OMO209" s="134"/>
      <c r="OMP209" s="135"/>
      <c r="OMQ209" s="135"/>
      <c r="OMR209" s="135"/>
      <c r="OMS209" s="135"/>
      <c r="OMT209" s="173"/>
      <c r="OMU209" s="173"/>
      <c r="OMV209" s="173"/>
      <c r="OMW209" s="173"/>
      <c r="OMX209" s="173"/>
      <c r="OMY209" s="173"/>
      <c r="OMZ209" s="173"/>
      <c r="ONA209" s="173"/>
      <c r="ONB209" s="173"/>
      <c r="ONC209" s="173"/>
      <c r="OND209" s="125"/>
      <c r="ONE209" s="125"/>
      <c r="ONF209" s="134"/>
      <c r="ONG209" s="135"/>
      <c r="ONH209" s="135"/>
      <c r="ONI209" s="135"/>
      <c r="ONJ209" s="135"/>
      <c r="ONK209" s="173"/>
      <c r="ONL209" s="173"/>
      <c r="ONM209" s="173"/>
      <c r="ONN209" s="173"/>
      <c r="ONO209" s="173"/>
      <c r="ONP209" s="173"/>
      <c r="ONQ209" s="173"/>
      <c r="ONR209" s="173"/>
      <c r="ONS209" s="173"/>
      <c r="ONT209" s="173"/>
      <c r="ONU209" s="125"/>
      <c r="ONV209" s="125"/>
      <c r="ONW209" s="134"/>
      <c r="ONX209" s="135"/>
      <c r="ONY209" s="135"/>
      <c r="ONZ209" s="135"/>
      <c r="OOA209" s="135"/>
      <c r="OOB209" s="173"/>
      <c r="OOC209" s="173"/>
      <c r="OOD209" s="173"/>
      <c r="OOE209" s="173"/>
      <c r="OOF209" s="173"/>
      <c r="OOG209" s="173"/>
      <c r="OOH209" s="173"/>
      <c r="OOI209" s="173"/>
      <c r="OOJ209" s="173"/>
      <c r="OOK209" s="173"/>
      <c r="OOL209" s="125"/>
      <c r="OOM209" s="125"/>
      <c r="OON209" s="134"/>
      <c r="OOO209" s="135"/>
      <c r="OOP209" s="135"/>
      <c r="OOQ209" s="135"/>
      <c r="OOR209" s="135"/>
      <c r="OOS209" s="173"/>
      <c r="OOT209" s="173"/>
      <c r="OOU209" s="173"/>
      <c r="OOV209" s="173"/>
      <c r="OOW209" s="173"/>
      <c r="OOX209" s="173"/>
      <c r="OOY209" s="173"/>
      <c r="OOZ209" s="173"/>
      <c r="OPA209" s="173"/>
      <c r="OPB209" s="173"/>
      <c r="OPC209" s="125"/>
      <c r="OPD209" s="125"/>
      <c r="OPE209" s="134"/>
      <c r="OPF209" s="135"/>
      <c r="OPG209" s="135"/>
      <c r="OPH209" s="135"/>
      <c r="OPI209" s="135"/>
      <c r="OPJ209" s="173"/>
      <c r="OPK209" s="173"/>
      <c r="OPL209" s="173"/>
      <c r="OPM209" s="173"/>
      <c r="OPN209" s="173"/>
      <c r="OPO209" s="173"/>
      <c r="OPP209" s="173"/>
      <c r="OPQ209" s="173"/>
      <c r="OPR209" s="173"/>
      <c r="OPS209" s="173"/>
      <c r="OPT209" s="125"/>
      <c r="OPU209" s="125"/>
      <c r="OPV209" s="134"/>
      <c r="OPW209" s="135"/>
      <c r="OPX209" s="135"/>
      <c r="OPY209" s="135"/>
      <c r="OPZ209" s="135"/>
      <c r="OQA209" s="173"/>
      <c r="OQB209" s="173"/>
      <c r="OQC209" s="173"/>
      <c r="OQD209" s="173"/>
      <c r="OQE209" s="173"/>
      <c r="OQF209" s="173"/>
      <c r="OQG209" s="173"/>
      <c r="OQH209" s="173"/>
      <c r="OQI209" s="173"/>
      <c r="OQJ209" s="173"/>
      <c r="OQK209" s="125"/>
      <c r="OQL209" s="125"/>
      <c r="OQM209" s="134"/>
      <c r="OQN209" s="135"/>
      <c r="OQO209" s="135"/>
      <c r="OQP209" s="135"/>
      <c r="OQQ209" s="135"/>
      <c r="OQR209" s="173"/>
      <c r="OQS209" s="173"/>
      <c r="OQT209" s="173"/>
      <c r="OQU209" s="173"/>
      <c r="OQV209" s="173"/>
      <c r="OQW209" s="173"/>
      <c r="OQX209" s="173"/>
      <c r="OQY209" s="173"/>
      <c r="OQZ209" s="173"/>
      <c r="ORA209" s="173"/>
      <c r="ORB209" s="125"/>
      <c r="ORC209" s="125"/>
      <c r="ORD209" s="134"/>
      <c r="ORE209" s="135"/>
      <c r="ORF209" s="135"/>
      <c r="ORG209" s="135"/>
      <c r="ORH209" s="135"/>
      <c r="ORI209" s="173"/>
      <c r="ORJ209" s="173"/>
      <c r="ORK209" s="173"/>
      <c r="ORL209" s="173"/>
      <c r="ORM209" s="173"/>
      <c r="ORN209" s="173"/>
      <c r="ORO209" s="173"/>
      <c r="ORP209" s="173"/>
      <c r="ORQ209" s="173"/>
      <c r="ORR209" s="173"/>
      <c r="ORS209" s="125"/>
      <c r="ORT209" s="125"/>
      <c r="ORU209" s="134"/>
      <c r="ORV209" s="135"/>
      <c r="ORW209" s="135"/>
      <c r="ORX209" s="135"/>
      <c r="ORY209" s="135"/>
      <c r="ORZ209" s="173"/>
      <c r="OSA209" s="173"/>
      <c r="OSB209" s="173"/>
      <c r="OSC209" s="173"/>
      <c r="OSD209" s="173"/>
      <c r="OSE209" s="173"/>
      <c r="OSF209" s="173"/>
      <c r="OSG209" s="173"/>
      <c r="OSH209" s="173"/>
      <c r="OSI209" s="173"/>
      <c r="OSJ209" s="125"/>
      <c r="OSK209" s="125"/>
      <c r="OSL209" s="134"/>
      <c r="OSM209" s="135"/>
      <c r="OSN209" s="135"/>
      <c r="OSO209" s="135"/>
      <c r="OSP209" s="135"/>
      <c r="OSQ209" s="173"/>
      <c r="OSR209" s="173"/>
      <c r="OSS209" s="173"/>
      <c r="OST209" s="173"/>
      <c r="OSU209" s="173"/>
      <c r="OSV209" s="173"/>
      <c r="OSW209" s="173"/>
      <c r="OSX209" s="173"/>
      <c r="OSY209" s="173"/>
      <c r="OSZ209" s="173"/>
      <c r="OTA209" s="125"/>
      <c r="OTB209" s="125"/>
      <c r="OTC209" s="134"/>
      <c r="OTD209" s="135"/>
      <c r="OTE209" s="135"/>
      <c r="OTF209" s="135"/>
      <c r="OTG209" s="135"/>
      <c r="OTH209" s="173"/>
      <c r="OTI209" s="173"/>
      <c r="OTJ209" s="173"/>
      <c r="OTK209" s="173"/>
      <c r="OTL209" s="173"/>
      <c r="OTM209" s="173"/>
      <c r="OTN209" s="173"/>
      <c r="OTO209" s="173"/>
      <c r="OTP209" s="173"/>
      <c r="OTQ209" s="173"/>
      <c r="OTR209" s="125"/>
      <c r="OTS209" s="125"/>
      <c r="OTT209" s="134"/>
      <c r="OTU209" s="135"/>
      <c r="OTV209" s="135"/>
      <c r="OTW209" s="135"/>
      <c r="OTX209" s="135"/>
      <c r="OTY209" s="173"/>
      <c r="OTZ209" s="173"/>
      <c r="OUA209" s="173"/>
      <c r="OUB209" s="173"/>
      <c r="OUC209" s="173"/>
      <c r="OUD209" s="173"/>
      <c r="OUE209" s="173"/>
      <c r="OUF209" s="173"/>
      <c r="OUG209" s="173"/>
      <c r="OUH209" s="173"/>
      <c r="OUI209" s="125"/>
      <c r="OUJ209" s="125"/>
      <c r="OUK209" s="134"/>
      <c r="OUL209" s="135"/>
      <c r="OUM209" s="135"/>
      <c r="OUN209" s="135"/>
      <c r="OUO209" s="135"/>
      <c r="OUP209" s="173"/>
      <c r="OUQ209" s="173"/>
      <c r="OUR209" s="173"/>
      <c r="OUS209" s="173"/>
      <c r="OUT209" s="173"/>
      <c r="OUU209" s="173"/>
      <c r="OUV209" s="173"/>
      <c r="OUW209" s="173"/>
      <c r="OUX209" s="173"/>
      <c r="OUY209" s="173"/>
      <c r="OUZ209" s="125"/>
      <c r="OVA209" s="125"/>
      <c r="OVB209" s="134"/>
      <c r="OVC209" s="135"/>
      <c r="OVD209" s="135"/>
      <c r="OVE209" s="135"/>
      <c r="OVF209" s="135"/>
      <c r="OVG209" s="173"/>
      <c r="OVH209" s="173"/>
      <c r="OVI209" s="173"/>
      <c r="OVJ209" s="173"/>
      <c r="OVK209" s="173"/>
      <c r="OVL209" s="173"/>
      <c r="OVM209" s="173"/>
      <c r="OVN209" s="173"/>
      <c r="OVO209" s="173"/>
      <c r="OVP209" s="173"/>
      <c r="OVQ209" s="125"/>
      <c r="OVR209" s="125"/>
      <c r="OVS209" s="134"/>
      <c r="OVT209" s="135"/>
      <c r="OVU209" s="135"/>
      <c r="OVV209" s="135"/>
      <c r="OVW209" s="135"/>
      <c r="OVX209" s="173"/>
      <c r="OVY209" s="173"/>
      <c r="OVZ209" s="173"/>
      <c r="OWA209" s="173"/>
      <c r="OWB209" s="173"/>
      <c r="OWC209" s="173"/>
      <c r="OWD209" s="173"/>
      <c r="OWE209" s="173"/>
      <c r="OWF209" s="173"/>
      <c r="OWG209" s="173"/>
      <c r="OWH209" s="125"/>
      <c r="OWI209" s="125"/>
      <c r="OWJ209" s="134"/>
      <c r="OWK209" s="135"/>
      <c r="OWL209" s="135"/>
      <c r="OWM209" s="135"/>
      <c r="OWN209" s="135"/>
      <c r="OWO209" s="173"/>
      <c r="OWP209" s="173"/>
      <c r="OWQ209" s="173"/>
      <c r="OWR209" s="173"/>
      <c r="OWS209" s="173"/>
      <c r="OWT209" s="173"/>
      <c r="OWU209" s="173"/>
      <c r="OWV209" s="173"/>
      <c r="OWW209" s="173"/>
      <c r="OWX209" s="173"/>
      <c r="OWY209" s="125"/>
      <c r="OWZ209" s="125"/>
      <c r="OXA209" s="134"/>
      <c r="OXB209" s="135"/>
      <c r="OXC209" s="135"/>
      <c r="OXD209" s="135"/>
      <c r="OXE209" s="135"/>
      <c r="OXF209" s="173"/>
      <c r="OXG209" s="173"/>
      <c r="OXH209" s="173"/>
      <c r="OXI209" s="173"/>
      <c r="OXJ209" s="173"/>
      <c r="OXK209" s="173"/>
      <c r="OXL209" s="173"/>
      <c r="OXM209" s="173"/>
      <c r="OXN209" s="173"/>
      <c r="OXO209" s="173"/>
      <c r="OXP209" s="125"/>
      <c r="OXQ209" s="125"/>
      <c r="OXR209" s="134"/>
      <c r="OXS209" s="135"/>
      <c r="OXT209" s="135"/>
      <c r="OXU209" s="135"/>
      <c r="OXV209" s="135"/>
      <c r="OXW209" s="173"/>
      <c r="OXX209" s="173"/>
      <c r="OXY209" s="173"/>
      <c r="OXZ209" s="173"/>
      <c r="OYA209" s="173"/>
      <c r="OYB209" s="173"/>
      <c r="OYC209" s="173"/>
      <c r="OYD209" s="173"/>
      <c r="OYE209" s="173"/>
      <c r="OYF209" s="173"/>
      <c r="OYG209" s="125"/>
      <c r="OYH209" s="125"/>
      <c r="OYI209" s="134"/>
      <c r="OYJ209" s="135"/>
      <c r="OYK209" s="135"/>
      <c r="OYL209" s="135"/>
      <c r="OYM209" s="135"/>
      <c r="OYN209" s="173"/>
      <c r="OYO209" s="173"/>
      <c r="OYP209" s="173"/>
      <c r="OYQ209" s="173"/>
      <c r="OYR209" s="173"/>
      <c r="OYS209" s="173"/>
      <c r="OYT209" s="173"/>
      <c r="OYU209" s="173"/>
      <c r="OYV209" s="173"/>
      <c r="OYW209" s="173"/>
      <c r="OYX209" s="125"/>
      <c r="OYY209" s="125"/>
      <c r="OYZ209" s="134"/>
      <c r="OZA209" s="135"/>
      <c r="OZB209" s="135"/>
      <c r="OZC209" s="135"/>
      <c r="OZD209" s="135"/>
      <c r="OZE209" s="173"/>
      <c r="OZF209" s="173"/>
      <c r="OZG209" s="173"/>
      <c r="OZH209" s="173"/>
      <c r="OZI209" s="173"/>
      <c r="OZJ209" s="173"/>
      <c r="OZK209" s="173"/>
      <c r="OZL209" s="173"/>
      <c r="OZM209" s="173"/>
      <c r="OZN209" s="173"/>
      <c r="OZO209" s="125"/>
      <c r="OZP209" s="125"/>
      <c r="OZQ209" s="134"/>
      <c r="OZR209" s="135"/>
      <c r="OZS209" s="135"/>
      <c r="OZT209" s="135"/>
      <c r="OZU209" s="135"/>
      <c r="OZV209" s="173"/>
      <c r="OZW209" s="173"/>
      <c r="OZX209" s="173"/>
      <c r="OZY209" s="173"/>
      <c r="OZZ209" s="173"/>
      <c r="PAA209" s="173"/>
      <c r="PAB209" s="173"/>
      <c r="PAC209" s="173"/>
      <c r="PAD209" s="173"/>
      <c r="PAE209" s="173"/>
      <c r="PAF209" s="125"/>
      <c r="PAG209" s="125"/>
      <c r="PAH209" s="134"/>
      <c r="PAI209" s="135"/>
      <c r="PAJ209" s="135"/>
      <c r="PAK209" s="135"/>
      <c r="PAL209" s="135"/>
      <c r="PAM209" s="173"/>
      <c r="PAN209" s="173"/>
      <c r="PAO209" s="173"/>
      <c r="PAP209" s="173"/>
      <c r="PAQ209" s="173"/>
      <c r="PAR209" s="173"/>
      <c r="PAS209" s="173"/>
      <c r="PAT209" s="173"/>
      <c r="PAU209" s="173"/>
      <c r="PAV209" s="173"/>
      <c r="PAW209" s="125"/>
      <c r="PAX209" s="125"/>
      <c r="PAY209" s="134"/>
      <c r="PAZ209" s="135"/>
      <c r="PBA209" s="135"/>
      <c r="PBB209" s="135"/>
      <c r="PBC209" s="135"/>
      <c r="PBD209" s="173"/>
      <c r="PBE209" s="173"/>
      <c r="PBF209" s="173"/>
      <c r="PBG209" s="173"/>
      <c r="PBH209" s="173"/>
      <c r="PBI209" s="173"/>
      <c r="PBJ209" s="173"/>
      <c r="PBK209" s="173"/>
      <c r="PBL209" s="173"/>
      <c r="PBM209" s="173"/>
      <c r="PBN209" s="125"/>
      <c r="PBO209" s="125"/>
      <c r="PBP209" s="134"/>
      <c r="PBQ209" s="135"/>
      <c r="PBR209" s="135"/>
      <c r="PBS209" s="135"/>
      <c r="PBT209" s="135"/>
      <c r="PBU209" s="173"/>
      <c r="PBV209" s="173"/>
      <c r="PBW209" s="173"/>
      <c r="PBX209" s="173"/>
      <c r="PBY209" s="173"/>
      <c r="PBZ209" s="173"/>
      <c r="PCA209" s="173"/>
      <c r="PCB209" s="173"/>
      <c r="PCC209" s="173"/>
      <c r="PCD209" s="173"/>
      <c r="PCE209" s="125"/>
      <c r="PCF209" s="125"/>
      <c r="PCG209" s="134"/>
      <c r="PCH209" s="135"/>
      <c r="PCI209" s="135"/>
      <c r="PCJ209" s="135"/>
      <c r="PCK209" s="135"/>
      <c r="PCL209" s="173"/>
      <c r="PCM209" s="173"/>
      <c r="PCN209" s="173"/>
      <c r="PCO209" s="173"/>
      <c r="PCP209" s="173"/>
      <c r="PCQ209" s="173"/>
      <c r="PCR209" s="173"/>
      <c r="PCS209" s="173"/>
      <c r="PCT209" s="173"/>
      <c r="PCU209" s="173"/>
      <c r="PCV209" s="125"/>
      <c r="PCW209" s="125"/>
      <c r="PCX209" s="134"/>
      <c r="PCY209" s="135"/>
      <c r="PCZ209" s="135"/>
      <c r="PDA209" s="135"/>
      <c r="PDB209" s="135"/>
      <c r="PDC209" s="173"/>
      <c r="PDD209" s="173"/>
      <c r="PDE209" s="173"/>
      <c r="PDF209" s="173"/>
      <c r="PDG209" s="173"/>
      <c r="PDH209" s="173"/>
      <c r="PDI209" s="173"/>
      <c r="PDJ209" s="173"/>
      <c r="PDK209" s="173"/>
      <c r="PDL209" s="173"/>
      <c r="PDM209" s="125"/>
      <c r="PDN209" s="125"/>
      <c r="PDO209" s="134"/>
      <c r="PDP209" s="135"/>
      <c r="PDQ209" s="135"/>
      <c r="PDR209" s="135"/>
      <c r="PDS209" s="135"/>
      <c r="PDT209" s="173"/>
      <c r="PDU209" s="173"/>
      <c r="PDV209" s="173"/>
      <c r="PDW209" s="173"/>
      <c r="PDX209" s="173"/>
      <c r="PDY209" s="173"/>
      <c r="PDZ209" s="173"/>
      <c r="PEA209" s="173"/>
      <c r="PEB209" s="173"/>
      <c r="PEC209" s="173"/>
      <c r="PED209" s="125"/>
      <c r="PEE209" s="125"/>
      <c r="PEF209" s="134"/>
      <c r="PEG209" s="135"/>
      <c r="PEH209" s="135"/>
      <c r="PEI209" s="135"/>
      <c r="PEJ209" s="135"/>
      <c r="PEK209" s="173"/>
      <c r="PEL209" s="173"/>
      <c r="PEM209" s="173"/>
      <c r="PEN209" s="173"/>
      <c r="PEO209" s="173"/>
      <c r="PEP209" s="173"/>
      <c r="PEQ209" s="173"/>
      <c r="PER209" s="173"/>
      <c r="PES209" s="173"/>
      <c r="PET209" s="173"/>
      <c r="PEU209" s="125"/>
      <c r="PEV209" s="125"/>
      <c r="PEW209" s="134"/>
      <c r="PEX209" s="135"/>
      <c r="PEY209" s="135"/>
      <c r="PEZ209" s="135"/>
      <c r="PFA209" s="135"/>
      <c r="PFB209" s="173"/>
      <c r="PFC209" s="173"/>
      <c r="PFD209" s="173"/>
      <c r="PFE209" s="173"/>
      <c r="PFF209" s="173"/>
      <c r="PFG209" s="173"/>
      <c r="PFH209" s="173"/>
      <c r="PFI209" s="173"/>
      <c r="PFJ209" s="173"/>
      <c r="PFK209" s="173"/>
      <c r="PFL209" s="125"/>
      <c r="PFM209" s="125"/>
      <c r="PFN209" s="134"/>
      <c r="PFO209" s="135"/>
      <c r="PFP209" s="135"/>
      <c r="PFQ209" s="135"/>
      <c r="PFR209" s="135"/>
      <c r="PFS209" s="173"/>
      <c r="PFT209" s="173"/>
      <c r="PFU209" s="173"/>
      <c r="PFV209" s="173"/>
      <c r="PFW209" s="173"/>
      <c r="PFX209" s="173"/>
      <c r="PFY209" s="173"/>
      <c r="PFZ209" s="173"/>
      <c r="PGA209" s="173"/>
      <c r="PGB209" s="173"/>
      <c r="PGC209" s="125"/>
      <c r="PGD209" s="125"/>
      <c r="PGE209" s="134"/>
      <c r="PGF209" s="135"/>
      <c r="PGG209" s="135"/>
      <c r="PGH209" s="135"/>
      <c r="PGI209" s="135"/>
      <c r="PGJ209" s="173"/>
      <c r="PGK209" s="173"/>
      <c r="PGL209" s="173"/>
      <c r="PGM209" s="173"/>
      <c r="PGN209" s="173"/>
      <c r="PGO209" s="173"/>
      <c r="PGP209" s="173"/>
      <c r="PGQ209" s="173"/>
      <c r="PGR209" s="173"/>
      <c r="PGS209" s="173"/>
      <c r="PGT209" s="125"/>
      <c r="PGU209" s="125"/>
      <c r="PGV209" s="134"/>
      <c r="PGW209" s="135"/>
      <c r="PGX209" s="135"/>
      <c r="PGY209" s="135"/>
      <c r="PGZ209" s="135"/>
      <c r="PHA209" s="173"/>
      <c r="PHB209" s="173"/>
      <c r="PHC209" s="173"/>
      <c r="PHD209" s="173"/>
      <c r="PHE209" s="173"/>
      <c r="PHF209" s="173"/>
      <c r="PHG209" s="173"/>
      <c r="PHH209" s="173"/>
      <c r="PHI209" s="173"/>
      <c r="PHJ209" s="173"/>
      <c r="PHK209" s="125"/>
      <c r="PHL209" s="125"/>
      <c r="PHM209" s="134"/>
      <c r="PHN209" s="135"/>
      <c r="PHO209" s="135"/>
      <c r="PHP209" s="135"/>
      <c r="PHQ209" s="135"/>
      <c r="PHR209" s="173"/>
      <c r="PHS209" s="173"/>
      <c r="PHT209" s="173"/>
      <c r="PHU209" s="173"/>
      <c r="PHV209" s="173"/>
      <c r="PHW209" s="173"/>
      <c r="PHX209" s="173"/>
      <c r="PHY209" s="173"/>
      <c r="PHZ209" s="173"/>
      <c r="PIA209" s="173"/>
      <c r="PIB209" s="125"/>
      <c r="PIC209" s="125"/>
      <c r="PID209" s="134"/>
      <c r="PIE209" s="135"/>
      <c r="PIF209" s="135"/>
      <c r="PIG209" s="135"/>
      <c r="PIH209" s="135"/>
      <c r="PII209" s="173"/>
      <c r="PIJ209" s="173"/>
      <c r="PIK209" s="173"/>
      <c r="PIL209" s="173"/>
      <c r="PIM209" s="173"/>
      <c r="PIN209" s="173"/>
      <c r="PIO209" s="173"/>
      <c r="PIP209" s="173"/>
      <c r="PIQ209" s="173"/>
      <c r="PIR209" s="173"/>
      <c r="PIS209" s="125"/>
      <c r="PIT209" s="125"/>
      <c r="PIU209" s="134"/>
      <c r="PIV209" s="135"/>
      <c r="PIW209" s="135"/>
      <c r="PIX209" s="135"/>
      <c r="PIY209" s="135"/>
      <c r="PIZ209" s="173"/>
      <c r="PJA209" s="173"/>
      <c r="PJB209" s="173"/>
      <c r="PJC209" s="173"/>
      <c r="PJD209" s="173"/>
      <c r="PJE209" s="173"/>
      <c r="PJF209" s="173"/>
      <c r="PJG209" s="173"/>
      <c r="PJH209" s="173"/>
      <c r="PJI209" s="173"/>
      <c r="PJJ209" s="125"/>
      <c r="PJK209" s="125"/>
      <c r="PJL209" s="134"/>
      <c r="PJM209" s="135"/>
      <c r="PJN209" s="135"/>
      <c r="PJO209" s="135"/>
      <c r="PJP209" s="135"/>
      <c r="PJQ209" s="173"/>
      <c r="PJR209" s="173"/>
      <c r="PJS209" s="173"/>
      <c r="PJT209" s="173"/>
      <c r="PJU209" s="173"/>
      <c r="PJV209" s="173"/>
      <c r="PJW209" s="173"/>
      <c r="PJX209" s="173"/>
      <c r="PJY209" s="173"/>
      <c r="PJZ209" s="173"/>
      <c r="PKA209" s="125"/>
      <c r="PKB209" s="125"/>
      <c r="PKC209" s="134"/>
      <c r="PKD209" s="135"/>
      <c r="PKE209" s="135"/>
      <c r="PKF209" s="135"/>
      <c r="PKG209" s="135"/>
      <c r="PKH209" s="173"/>
      <c r="PKI209" s="173"/>
      <c r="PKJ209" s="173"/>
      <c r="PKK209" s="173"/>
      <c r="PKL209" s="173"/>
      <c r="PKM209" s="173"/>
      <c r="PKN209" s="173"/>
      <c r="PKO209" s="173"/>
      <c r="PKP209" s="173"/>
      <c r="PKQ209" s="173"/>
      <c r="PKR209" s="125"/>
      <c r="PKS209" s="125"/>
      <c r="PKT209" s="134"/>
      <c r="PKU209" s="135"/>
      <c r="PKV209" s="135"/>
      <c r="PKW209" s="135"/>
      <c r="PKX209" s="135"/>
      <c r="PKY209" s="173"/>
      <c r="PKZ209" s="173"/>
      <c r="PLA209" s="173"/>
      <c r="PLB209" s="173"/>
      <c r="PLC209" s="173"/>
      <c r="PLD209" s="173"/>
      <c r="PLE209" s="173"/>
      <c r="PLF209" s="173"/>
      <c r="PLG209" s="173"/>
      <c r="PLH209" s="173"/>
      <c r="PLI209" s="125"/>
      <c r="PLJ209" s="125"/>
      <c r="PLK209" s="134"/>
      <c r="PLL209" s="135"/>
      <c r="PLM209" s="135"/>
      <c r="PLN209" s="135"/>
      <c r="PLO209" s="135"/>
      <c r="PLP209" s="173"/>
      <c r="PLQ209" s="173"/>
      <c r="PLR209" s="173"/>
      <c r="PLS209" s="173"/>
      <c r="PLT209" s="173"/>
      <c r="PLU209" s="173"/>
      <c r="PLV209" s="173"/>
      <c r="PLW209" s="173"/>
      <c r="PLX209" s="173"/>
      <c r="PLY209" s="173"/>
      <c r="PLZ209" s="125"/>
      <c r="PMA209" s="125"/>
      <c r="PMB209" s="134"/>
      <c r="PMC209" s="135"/>
      <c r="PMD209" s="135"/>
      <c r="PME209" s="135"/>
      <c r="PMF209" s="135"/>
      <c r="PMG209" s="173"/>
      <c r="PMH209" s="173"/>
      <c r="PMI209" s="173"/>
      <c r="PMJ209" s="173"/>
      <c r="PMK209" s="173"/>
      <c r="PML209" s="173"/>
      <c r="PMM209" s="173"/>
      <c r="PMN209" s="173"/>
      <c r="PMO209" s="173"/>
      <c r="PMP209" s="173"/>
      <c r="PMQ209" s="125"/>
      <c r="PMR209" s="125"/>
      <c r="PMS209" s="134"/>
      <c r="PMT209" s="135"/>
      <c r="PMU209" s="135"/>
      <c r="PMV209" s="135"/>
      <c r="PMW209" s="135"/>
      <c r="PMX209" s="173"/>
      <c r="PMY209" s="173"/>
      <c r="PMZ209" s="173"/>
      <c r="PNA209" s="173"/>
      <c r="PNB209" s="173"/>
      <c r="PNC209" s="173"/>
      <c r="PND209" s="173"/>
      <c r="PNE209" s="173"/>
      <c r="PNF209" s="173"/>
      <c r="PNG209" s="173"/>
      <c r="PNH209" s="125"/>
      <c r="PNI209" s="125"/>
      <c r="PNJ209" s="134"/>
      <c r="PNK209" s="135"/>
      <c r="PNL209" s="135"/>
      <c r="PNM209" s="135"/>
      <c r="PNN209" s="135"/>
      <c r="PNO209" s="173"/>
      <c r="PNP209" s="173"/>
      <c r="PNQ209" s="173"/>
      <c r="PNR209" s="173"/>
      <c r="PNS209" s="173"/>
      <c r="PNT209" s="173"/>
      <c r="PNU209" s="173"/>
      <c r="PNV209" s="173"/>
      <c r="PNW209" s="173"/>
      <c r="PNX209" s="173"/>
      <c r="PNY209" s="125"/>
      <c r="PNZ209" s="125"/>
      <c r="POA209" s="134"/>
      <c r="POB209" s="135"/>
      <c r="POC209" s="135"/>
      <c r="POD209" s="135"/>
      <c r="POE209" s="135"/>
      <c r="POF209" s="173"/>
      <c r="POG209" s="173"/>
      <c r="POH209" s="173"/>
      <c r="POI209" s="173"/>
      <c r="POJ209" s="173"/>
      <c r="POK209" s="173"/>
      <c r="POL209" s="173"/>
      <c r="POM209" s="173"/>
      <c r="PON209" s="173"/>
      <c r="POO209" s="173"/>
      <c r="POP209" s="125"/>
      <c r="POQ209" s="125"/>
      <c r="POR209" s="134"/>
      <c r="POS209" s="135"/>
      <c r="POT209" s="135"/>
      <c r="POU209" s="135"/>
      <c r="POV209" s="135"/>
      <c r="POW209" s="173"/>
      <c r="POX209" s="173"/>
      <c r="POY209" s="173"/>
      <c r="POZ209" s="173"/>
      <c r="PPA209" s="173"/>
      <c r="PPB209" s="173"/>
      <c r="PPC209" s="173"/>
      <c r="PPD209" s="173"/>
      <c r="PPE209" s="173"/>
      <c r="PPF209" s="173"/>
      <c r="PPG209" s="125"/>
      <c r="PPH209" s="125"/>
      <c r="PPI209" s="134"/>
      <c r="PPJ209" s="135"/>
      <c r="PPK209" s="135"/>
      <c r="PPL209" s="135"/>
      <c r="PPM209" s="135"/>
      <c r="PPN209" s="173"/>
      <c r="PPO209" s="173"/>
      <c r="PPP209" s="173"/>
      <c r="PPQ209" s="173"/>
      <c r="PPR209" s="173"/>
      <c r="PPS209" s="173"/>
      <c r="PPT209" s="173"/>
      <c r="PPU209" s="173"/>
      <c r="PPV209" s="173"/>
      <c r="PPW209" s="173"/>
      <c r="PPX209" s="125"/>
      <c r="PPY209" s="125"/>
      <c r="PPZ209" s="134"/>
      <c r="PQA209" s="135"/>
      <c r="PQB209" s="135"/>
      <c r="PQC209" s="135"/>
      <c r="PQD209" s="135"/>
      <c r="PQE209" s="173"/>
      <c r="PQF209" s="173"/>
      <c r="PQG209" s="173"/>
      <c r="PQH209" s="173"/>
      <c r="PQI209" s="173"/>
      <c r="PQJ209" s="173"/>
      <c r="PQK209" s="173"/>
      <c r="PQL209" s="173"/>
      <c r="PQM209" s="173"/>
      <c r="PQN209" s="173"/>
      <c r="PQO209" s="125"/>
      <c r="PQP209" s="125"/>
      <c r="PQQ209" s="134"/>
      <c r="PQR209" s="135"/>
      <c r="PQS209" s="135"/>
      <c r="PQT209" s="135"/>
      <c r="PQU209" s="135"/>
      <c r="PQV209" s="173"/>
      <c r="PQW209" s="173"/>
      <c r="PQX209" s="173"/>
      <c r="PQY209" s="173"/>
      <c r="PQZ209" s="173"/>
      <c r="PRA209" s="173"/>
      <c r="PRB209" s="173"/>
      <c r="PRC209" s="173"/>
      <c r="PRD209" s="173"/>
      <c r="PRE209" s="173"/>
      <c r="PRF209" s="125"/>
      <c r="PRG209" s="125"/>
      <c r="PRH209" s="134"/>
      <c r="PRI209" s="135"/>
      <c r="PRJ209" s="135"/>
      <c r="PRK209" s="135"/>
      <c r="PRL209" s="135"/>
      <c r="PRM209" s="173"/>
      <c r="PRN209" s="173"/>
      <c r="PRO209" s="173"/>
      <c r="PRP209" s="173"/>
      <c r="PRQ209" s="173"/>
      <c r="PRR209" s="173"/>
      <c r="PRS209" s="173"/>
      <c r="PRT209" s="173"/>
      <c r="PRU209" s="173"/>
      <c r="PRV209" s="173"/>
      <c r="PRW209" s="125"/>
      <c r="PRX209" s="125"/>
      <c r="PRY209" s="134"/>
      <c r="PRZ209" s="135"/>
      <c r="PSA209" s="135"/>
      <c r="PSB209" s="135"/>
      <c r="PSC209" s="135"/>
      <c r="PSD209" s="173"/>
      <c r="PSE209" s="173"/>
      <c r="PSF209" s="173"/>
      <c r="PSG209" s="173"/>
      <c r="PSH209" s="173"/>
      <c r="PSI209" s="173"/>
      <c r="PSJ209" s="173"/>
      <c r="PSK209" s="173"/>
      <c r="PSL209" s="173"/>
      <c r="PSM209" s="173"/>
      <c r="PSN209" s="125"/>
      <c r="PSO209" s="125"/>
      <c r="PSP209" s="134"/>
      <c r="PSQ209" s="135"/>
      <c r="PSR209" s="135"/>
      <c r="PSS209" s="135"/>
      <c r="PST209" s="135"/>
      <c r="PSU209" s="173"/>
      <c r="PSV209" s="173"/>
      <c r="PSW209" s="173"/>
      <c r="PSX209" s="173"/>
      <c r="PSY209" s="173"/>
      <c r="PSZ209" s="173"/>
      <c r="PTA209" s="173"/>
      <c r="PTB209" s="173"/>
      <c r="PTC209" s="173"/>
      <c r="PTD209" s="173"/>
      <c r="PTE209" s="125"/>
      <c r="PTF209" s="125"/>
      <c r="PTG209" s="134"/>
      <c r="PTH209" s="135"/>
      <c r="PTI209" s="135"/>
      <c r="PTJ209" s="135"/>
      <c r="PTK209" s="135"/>
      <c r="PTL209" s="173"/>
      <c r="PTM209" s="173"/>
      <c r="PTN209" s="173"/>
      <c r="PTO209" s="173"/>
      <c r="PTP209" s="173"/>
      <c r="PTQ209" s="173"/>
      <c r="PTR209" s="173"/>
      <c r="PTS209" s="173"/>
      <c r="PTT209" s="173"/>
      <c r="PTU209" s="173"/>
      <c r="PTV209" s="125"/>
      <c r="PTW209" s="125"/>
      <c r="PTX209" s="134"/>
      <c r="PTY209" s="135"/>
      <c r="PTZ209" s="135"/>
      <c r="PUA209" s="135"/>
      <c r="PUB209" s="135"/>
      <c r="PUC209" s="173"/>
      <c r="PUD209" s="173"/>
      <c r="PUE209" s="173"/>
      <c r="PUF209" s="173"/>
      <c r="PUG209" s="173"/>
      <c r="PUH209" s="173"/>
      <c r="PUI209" s="173"/>
      <c r="PUJ209" s="173"/>
      <c r="PUK209" s="173"/>
      <c r="PUL209" s="173"/>
      <c r="PUM209" s="125"/>
      <c r="PUN209" s="125"/>
      <c r="PUO209" s="134"/>
      <c r="PUP209" s="135"/>
      <c r="PUQ209" s="135"/>
      <c r="PUR209" s="135"/>
      <c r="PUS209" s="135"/>
      <c r="PUT209" s="173"/>
      <c r="PUU209" s="173"/>
      <c r="PUV209" s="173"/>
      <c r="PUW209" s="173"/>
      <c r="PUX209" s="173"/>
      <c r="PUY209" s="173"/>
      <c r="PUZ209" s="173"/>
      <c r="PVA209" s="173"/>
      <c r="PVB209" s="173"/>
      <c r="PVC209" s="173"/>
      <c r="PVD209" s="125"/>
      <c r="PVE209" s="125"/>
      <c r="PVF209" s="134"/>
      <c r="PVG209" s="135"/>
      <c r="PVH209" s="135"/>
      <c r="PVI209" s="135"/>
      <c r="PVJ209" s="135"/>
      <c r="PVK209" s="173"/>
      <c r="PVL209" s="173"/>
      <c r="PVM209" s="173"/>
      <c r="PVN209" s="173"/>
      <c r="PVO209" s="173"/>
      <c r="PVP209" s="173"/>
      <c r="PVQ209" s="173"/>
      <c r="PVR209" s="173"/>
      <c r="PVS209" s="173"/>
      <c r="PVT209" s="173"/>
      <c r="PVU209" s="125"/>
      <c r="PVV209" s="125"/>
      <c r="PVW209" s="134"/>
      <c r="PVX209" s="135"/>
      <c r="PVY209" s="135"/>
      <c r="PVZ209" s="135"/>
      <c r="PWA209" s="135"/>
      <c r="PWB209" s="173"/>
      <c r="PWC209" s="173"/>
      <c r="PWD209" s="173"/>
      <c r="PWE209" s="173"/>
      <c r="PWF209" s="173"/>
      <c r="PWG209" s="173"/>
      <c r="PWH209" s="173"/>
      <c r="PWI209" s="173"/>
      <c r="PWJ209" s="173"/>
      <c r="PWK209" s="173"/>
      <c r="PWL209" s="125"/>
      <c r="PWM209" s="125"/>
      <c r="PWN209" s="134"/>
      <c r="PWO209" s="135"/>
      <c r="PWP209" s="135"/>
      <c r="PWQ209" s="135"/>
      <c r="PWR209" s="135"/>
      <c r="PWS209" s="173"/>
      <c r="PWT209" s="173"/>
      <c r="PWU209" s="173"/>
      <c r="PWV209" s="173"/>
      <c r="PWW209" s="173"/>
      <c r="PWX209" s="173"/>
      <c r="PWY209" s="173"/>
      <c r="PWZ209" s="173"/>
      <c r="PXA209" s="173"/>
      <c r="PXB209" s="173"/>
      <c r="PXC209" s="125"/>
      <c r="PXD209" s="125"/>
      <c r="PXE209" s="134"/>
      <c r="PXF209" s="135"/>
      <c r="PXG209" s="135"/>
      <c r="PXH209" s="135"/>
      <c r="PXI209" s="135"/>
      <c r="PXJ209" s="173"/>
      <c r="PXK209" s="173"/>
      <c r="PXL209" s="173"/>
      <c r="PXM209" s="173"/>
      <c r="PXN209" s="173"/>
      <c r="PXO209" s="173"/>
      <c r="PXP209" s="173"/>
      <c r="PXQ209" s="173"/>
      <c r="PXR209" s="173"/>
      <c r="PXS209" s="173"/>
      <c r="PXT209" s="125"/>
      <c r="PXU209" s="125"/>
      <c r="PXV209" s="134"/>
      <c r="PXW209" s="135"/>
      <c r="PXX209" s="135"/>
      <c r="PXY209" s="135"/>
      <c r="PXZ209" s="135"/>
      <c r="PYA209" s="173"/>
      <c r="PYB209" s="173"/>
      <c r="PYC209" s="173"/>
      <c r="PYD209" s="173"/>
      <c r="PYE209" s="173"/>
      <c r="PYF209" s="173"/>
      <c r="PYG209" s="173"/>
      <c r="PYH209" s="173"/>
      <c r="PYI209" s="173"/>
      <c r="PYJ209" s="173"/>
      <c r="PYK209" s="125"/>
      <c r="PYL209" s="125"/>
      <c r="PYM209" s="134"/>
      <c r="PYN209" s="135"/>
      <c r="PYO209" s="135"/>
      <c r="PYP209" s="135"/>
      <c r="PYQ209" s="135"/>
      <c r="PYR209" s="173"/>
      <c r="PYS209" s="173"/>
      <c r="PYT209" s="173"/>
      <c r="PYU209" s="173"/>
      <c r="PYV209" s="173"/>
      <c r="PYW209" s="173"/>
      <c r="PYX209" s="173"/>
      <c r="PYY209" s="173"/>
      <c r="PYZ209" s="173"/>
      <c r="PZA209" s="173"/>
      <c r="PZB209" s="125"/>
      <c r="PZC209" s="125"/>
      <c r="PZD209" s="134"/>
      <c r="PZE209" s="135"/>
      <c r="PZF209" s="135"/>
      <c r="PZG209" s="135"/>
      <c r="PZH209" s="135"/>
      <c r="PZI209" s="173"/>
      <c r="PZJ209" s="173"/>
      <c r="PZK209" s="173"/>
      <c r="PZL209" s="173"/>
      <c r="PZM209" s="173"/>
      <c r="PZN209" s="173"/>
      <c r="PZO209" s="173"/>
      <c r="PZP209" s="173"/>
      <c r="PZQ209" s="173"/>
      <c r="PZR209" s="173"/>
      <c r="PZS209" s="125"/>
      <c r="PZT209" s="125"/>
      <c r="PZU209" s="134"/>
      <c r="PZV209" s="135"/>
      <c r="PZW209" s="135"/>
      <c r="PZX209" s="135"/>
      <c r="PZY209" s="135"/>
      <c r="PZZ209" s="173"/>
      <c r="QAA209" s="173"/>
      <c r="QAB209" s="173"/>
      <c r="QAC209" s="173"/>
      <c r="QAD209" s="173"/>
      <c r="QAE209" s="173"/>
      <c r="QAF209" s="173"/>
      <c r="QAG209" s="173"/>
      <c r="QAH209" s="173"/>
      <c r="QAI209" s="173"/>
      <c r="QAJ209" s="125"/>
      <c r="QAK209" s="125"/>
      <c r="QAL209" s="134"/>
      <c r="QAM209" s="135"/>
      <c r="QAN209" s="135"/>
      <c r="QAO209" s="135"/>
      <c r="QAP209" s="135"/>
      <c r="QAQ209" s="173"/>
      <c r="QAR209" s="173"/>
      <c r="QAS209" s="173"/>
      <c r="QAT209" s="173"/>
      <c r="QAU209" s="173"/>
      <c r="QAV209" s="173"/>
      <c r="QAW209" s="173"/>
      <c r="QAX209" s="173"/>
      <c r="QAY209" s="173"/>
      <c r="QAZ209" s="173"/>
      <c r="QBA209" s="125"/>
      <c r="QBB209" s="125"/>
      <c r="QBC209" s="134"/>
      <c r="QBD209" s="135"/>
      <c r="QBE209" s="135"/>
      <c r="QBF209" s="135"/>
      <c r="QBG209" s="135"/>
      <c r="QBH209" s="173"/>
      <c r="QBI209" s="173"/>
      <c r="QBJ209" s="173"/>
      <c r="QBK209" s="173"/>
      <c r="QBL209" s="173"/>
      <c r="QBM209" s="173"/>
      <c r="QBN209" s="173"/>
      <c r="QBO209" s="173"/>
      <c r="QBP209" s="173"/>
      <c r="QBQ209" s="173"/>
      <c r="QBR209" s="125"/>
      <c r="QBS209" s="125"/>
      <c r="QBT209" s="134"/>
      <c r="QBU209" s="135"/>
      <c r="QBV209" s="135"/>
      <c r="QBW209" s="135"/>
      <c r="QBX209" s="135"/>
      <c r="QBY209" s="173"/>
      <c r="QBZ209" s="173"/>
      <c r="QCA209" s="173"/>
      <c r="QCB209" s="173"/>
      <c r="QCC209" s="173"/>
      <c r="QCD209" s="173"/>
      <c r="QCE209" s="173"/>
      <c r="QCF209" s="173"/>
      <c r="QCG209" s="173"/>
      <c r="QCH209" s="173"/>
      <c r="QCI209" s="125"/>
      <c r="QCJ209" s="125"/>
      <c r="QCK209" s="134"/>
      <c r="QCL209" s="135"/>
      <c r="QCM209" s="135"/>
      <c r="QCN209" s="135"/>
      <c r="QCO209" s="135"/>
      <c r="QCP209" s="173"/>
      <c r="QCQ209" s="173"/>
      <c r="QCR209" s="173"/>
      <c r="QCS209" s="173"/>
      <c r="QCT209" s="173"/>
      <c r="QCU209" s="173"/>
      <c r="QCV209" s="173"/>
      <c r="QCW209" s="173"/>
      <c r="QCX209" s="173"/>
      <c r="QCY209" s="173"/>
      <c r="QCZ209" s="125"/>
      <c r="QDA209" s="125"/>
      <c r="QDB209" s="134"/>
      <c r="QDC209" s="135"/>
      <c r="QDD209" s="135"/>
      <c r="QDE209" s="135"/>
      <c r="QDF209" s="135"/>
      <c r="QDG209" s="173"/>
      <c r="QDH209" s="173"/>
      <c r="QDI209" s="173"/>
      <c r="QDJ209" s="173"/>
      <c r="QDK209" s="173"/>
      <c r="QDL209" s="173"/>
      <c r="QDM209" s="173"/>
      <c r="QDN209" s="173"/>
      <c r="QDO209" s="173"/>
      <c r="QDP209" s="173"/>
      <c r="QDQ209" s="125"/>
      <c r="QDR209" s="125"/>
      <c r="QDS209" s="134"/>
      <c r="QDT209" s="135"/>
      <c r="QDU209" s="135"/>
      <c r="QDV209" s="135"/>
      <c r="QDW209" s="135"/>
      <c r="QDX209" s="173"/>
      <c r="QDY209" s="173"/>
      <c r="QDZ209" s="173"/>
      <c r="QEA209" s="173"/>
      <c r="QEB209" s="173"/>
      <c r="QEC209" s="173"/>
      <c r="QED209" s="173"/>
      <c r="QEE209" s="173"/>
      <c r="QEF209" s="173"/>
      <c r="QEG209" s="173"/>
      <c r="QEH209" s="125"/>
      <c r="QEI209" s="125"/>
      <c r="QEJ209" s="134"/>
      <c r="QEK209" s="135"/>
      <c r="QEL209" s="135"/>
      <c r="QEM209" s="135"/>
      <c r="QEN209" s="135"/>
      <c r="QEO209" s="173"/>
      <c r="QEP209" s="173"/>
      <c r="QEQ209" s="173"/>
      <c r="QER209" s="173"/>
      <c r="QES209" s="173"/>
      <c r="QET209" s="173"/>
      <c r="QEU209" s="173"/>
      <c r="QEV209" s="173"/>
      <c r="QEW209" s="173"/>
      <c r="QEX209" s="173"/>
      <c r="QEY209" s="125"/>
      <c r="QEZ209" s="125"/>
      <c r="QFA209" s="134"/>
      <c r="QFB209" s="135"/>
      <c r="QFC209" s="135"/>
      <c r="QFD209" s="135"/>
      <c r="QFE209" s="135"/>
      <c r="QFF209" s="173"/>
      <c r="QFG209" s="173"/>
      <c r="QFH209" s="173"/>
      <c r="QFI209" s="173"/>
      <c r="QFJ209" s="173"/>
      <c r="QFK209" s="173"/>
      <c r="QFL209" s="173"/>
      <c r="QFM209" s="173"/>
      <c r="QFN209" s="173"/>
      <c r="QFO209" s="173"/>
      <c r="QFP209" s="125"/>
      <c r="QFQ209" s="125"/>
      <c r="QFR209" s="134"/>
      <c r="QFS209" s="135"/>
      <c r="QFT209" s="135"/>
      <c r="QFU209" s="135"/>
      <c r="QFV209" s="135"/>
      <c r="QFW209" s="173"/>
      <c r="QFX209" s="173"/>
      <c r="QFY209" s="173"/>
      <c r="QFZ209" s="173"/>
      <c r="QGA209" s="173"/>
      <c r="QGB209" s="173"/>
      <c r="QGC209" s="173"/>
      <c r="QGD209" s="173"/>
      <c r="QGE209" s="173"/>
      <c r="QGF209" s="173"/>
      <c r="QGG209" s="125"/>
      <c r="QGH209" s="125"/>
      <c r="QGI209" s="134"/>
      <c r="QGJ209" s="135"/>
      <c r="QGK209" s="135"/>
      <c r="QGL209" s="135"/>
      <c r="QGM209" s="135"/>
      <c r="QGN209" s="173"/>
      <c r="QGO209" s="173"/>
      <c r="QGP209" s="173"/>
      <c r="QGQ209" s="173"/>
      <c r="QGR209" s="173"/>
      <c r="QGS209" s="173"/>
      <c r="QGT209" s="173"/>
      <c r="QGU209" s="173"/>
      <c r="QGV209" s="173"/>
      <c r="QGW209" s="173"/>
      <c r="QGX209" s="125"/>
      <c r="QGY209" s="125"/>
      <c r="QGZ209" s="134"/>
      <c r="QHA209" s="135"/>
      <c r="QHB209" s="135"/>
      <c r="QHC209" s="135"/>
      <c r="QHD209" s="135"/>
      <c r="QHE209" s="173"/>
      <c r="QHF209" s="173"/>
      <c r="QHG209" s="173"/>
      <c r="QHH209" s="173"/>
      <c r="QHI209" s="173"/>
      <c r="QHJ209" s="173"/>
      <c r="QHK209" s="173"/>
      <c r="QHL209" s="173"/>
      <c r="QHM209" s="173"/>
      <c r="QHN209" s="173"/>
      <c r="QHO209" s="125"/>
      <c r="QHP209" s="125"/>
      <c r="QHQ209" s="134"/>
      <c r="QHR209" s="135"/>
      <c r="QHS209" s="135"/>
      <c r="QHT209" s="135"/>
      <c r="QHU209" s="135"/>
      <c r="QHV209" s="173"/>
      <c r="QHW209" s="173"/>
      <c r="QHX209" s="173"/>
      <c r="QHY209" s="173"/>
      <c r="QHZ209" s="173"/>
      <c r="QIA209" s="173"/>
      <c r="QIB209" s="173"/>
      <c r="QIC209" s="173"/>
      <c r="QID209" s="173"/>
      <c r="QIE209" s="173"/>
      <c r="QIF209" s="125"/>
      <c r="QIG209" s="125"/>
      <c r="QIH209" s="134"/>
      <c r="QII209" s="135"/>
      <c r="QIJ209" s="135"/>
      <c r="QIK209" s="135"/>
      <c r="QIL209" s="135"/>
      <c r="QIM209" s="173"/>
      <c r="QIN209" s="173"/>
      <c r="QIO209" s="173"/>
      <c r="QIP209" s="173"/>
      <c r="QIQ209" s="173"/>
      <c r="QIR209" s="173"/>
      <c r="QIS209" s="173"/>
      <c r="QIT209" s="173"/>
      <c r="QIU209" s="173"/>
      <c r="QIV209" s="173"/>
      <c r="QIW209" s="125"/>
      <c r="QIX209" s="125"/>
      <c r="QIY209" s="134"/>
      <c r="QIZ209" s="135"/>
      <c r="QJA209" s="135"/>
      <c r="QJB209" s="135"/>
      <c r="QJC209" s="135"/>
      <c r="QJD209" s="173"/>
      <c r="QJE209" s="173"/>
      <c r="QJF209" s="173"/>
      <c r="QJG209" s="173"/>
      <c r="QJH209" s="173"/>
      <c r="QJI209" s="173"/>
      <c r="QJJ209" s="173"/>
      <c r="QJK209" s="173"/>
      <c r="QJL209" s="173"/>
      <c r="QJM209" s="173"/>
      <c r="QJN209" s="125"/>
      <c r="QJO209" s="125"/>
      <c r="QJP209" s="134"/>
      <c r="QJQ209" s="135"/>
      <c r="QJR209" s="135"/>
      <c r="QJS209" s="135"/>
      <c r="QJT209" s="135"/>
      <c r="QJU209" s="173"/>
      <c r="QJV209" s="173"/>
      <c r="QJW209" s="173"/>
      <c r="QJX209" s="173"/>
      <c r="QJY209" s="173"/>
      <c r="QJZ209" s="173"/>
      <c r="QKA209" s="173"/>
      <c r="QKB209" s="173"/>
      <c r="QKC209" s="173"/>
      <c r="QKD209" s="173"/>
      <c r="QKE209" s="125"/>
      <c r="QKF209" s="125"/>
      <c r="QKG209" s="134"/>
      <c r="QKH209" s="135"/>
      <c r="QKI209" s="135"/>
      <c r="QKJ209" s="135"/>
      <c r="QKK209" s="135"/>
      <c r="QKL209" s="173"/>
      <c r="QKM209" s="173"/>
      <c r="QKN209" s="173"/>
      <c r="QKO209" s="173"/>
      <c r="QKP209" s="173"/>
      <c r="QKQ209" s="173"/>
      <c r="QKR209" s="173"/>
      <c r="QKS209" s="173"/>
      <c r="QKT209" s="173"/>
      <c r="QKU209" s="173"/>
      <c r="QKV209" s="125"/>
      <c r="QKW209" s="125"/>
      <c r="QKX209" s="134"/>
      <c r="QKY209" s="135"/>
      <c r="QKZ209" s="135"/>
      <c r="QLA209" s="135"/>
      <c r="QLB209" s="135"/>
      <c r="QLC209" s="173"/>
      <c r="QLD209" s="173"/>
      <c r="QLE209" s="173"/>
      <c r="QLF209" s="173"/>
      <c r="QLG209" s="173"/>
      <c r="QLH209" s="173"/>
      <c r="QLI209" s="173"/>
      <c r="QLJ209" s="173"/>
      <c r="QLK209" s="173"/>
      <c r="QLL209" s="173"/>
      <c r="QLM209" s="125"/>
      <c r="QLN209" s="125"/>
      <c r="QLO209" s="134"/>
      <c r="QLP209" s="135"/>
      <c r="QLQ209" s="135"/>
      <c r="QLR209" s="135"/>
      <c r="QLS209" s="135"/>
      <c r="QLT209" s="173"/>
      <c r="QLU209" s="173"/>
      <c r="QLV209" s="173"/>
      <c r="QLW209" s="173"/>
      <c r="QLX209" s="173"/>
      <c r="QLY209" s="173"/>
      <c r="QLZ209" s="173"/>
      <c r="QMA209" s="173"/>
      <c r="QMB209" s="173"/>
      <c r="QMC209" s="173"/>
      <c r="QMD209" s="125"/>
      <c r="QME209" s="125"/>
      <c r="QMF209" s="134"/>
      <c r="QMG209" s="135"/>
      <c r="QMH209" s="135"/>
      <c r="QMI209" s="135"/>
      <c r="QMJ209" s="135"/>
      <c r="QMK209" s="173"/>
      <c r="QML209" s="173"/>
      <c r="QMM209" s="173"/>
      <c r="QMN209" s="173"/>
      <c r="QMO209" s="173"/>
      <c r="QMP209" s="173"/>
      <c r="QMQ209" s="173"/>
      <c r="QMR209" s="173"/>
      <c r="QMS209" s="173"/>
      <c r="QMT209" s="173"/>
      <c r="QMU209" s="125"/>
      <c r="QMV209" s="125"/>
      <c r="QMW209" s="134"/>
      <c r="QMX209" s="135"/>
      <c r="QMY209" s="135"/>
      <c r="QMZ209" s="135"/>
      <c r="QNA209" s="135"/>
      <c r="QNB209" s="173"/>
      <c r="QNC209" s="173"/>
      <c r="QND209" s="173"/>
      <c r="QNE209" s="173"/>
      <c r="QNF209" s="173"/>
      <c r="QNG209" s="173"/>
      <c r="QNH209" s="173"/>
      <c r="QNI209" s="173"/>
      <c r="QNJ209" s="173"/>
      <c r="QNK209" s="173"/>
      <c r="QNL209" s="125"/>
      <c r="QNM209" s="125"/>
      <c r="QNN209" s="134"/>
      <c r="QNO209" s="135"/>
      <c r="QNP209" s="135"/>
      <c r="QNQ209" s="135"/>
      <c r="QNR209" s="135"/>
      <c r="QNS209" s="173"/>
      <c r="QNT209" s="173"/>
      <c r="QNU209" s="173"/>
      <c r="QNV209" s="173"/>
      <c r="QNW209" s="173"/>
      <c r="QNX209" s="173"/>
      <c r="QNY209" s="173"/>
      <c r="QNZ209" s="173"/>
      <c r="QOA209" s="173"/>
      <c r="QOB209" s="173"/>
      <c r="QOC209" s="125"/>
      <c r="QOD209" s="125"/>
      <c r="QOE209" s="134"/>
      <c r="QOF209" s="135"/>
      <c r="QOG209" s="135"/>
      <c r="QOH209" s="135"/>
      <c r="QOI209" s="135"/>
      <c r="QOJ209" s="173"/>
      <c r="QOK209" s="173"/>
      <c r="QOL209" s="173"/>
      <c r="QOM209" s="173"/>
      <c r="QON209" s="173"/>
      <c r="QOO209" s="173"/>
      <c r="QOP209" s="173"/>
      <c r="QOQ209" s="173"/>
      <c r="QOR209" s="173"/>
      <c r="QOS209" s="173"/>
      <c r="QOT209" s="125"/>
      <c r="QOU209" s="125"/>
      <c r="QOV209" s="134"/>
      <c r="QOW209" s="135"/>
      <c r="QOX209" s="135"/>
      <c r="QOY209" s="135"/>
      <c r="QOZ209" s="135"/>
      <c r="QPA209" s="173"/>
      <c r="QPB209" s="173"/>
      <c r="QPC209" s="173"/>
      <c r="QPD209" s="173"/>
      <c r="QPE209" s="173"/>
      <c r="QPF209" s="173"/>
      <c r="QPG209" s="173"/>
      <c r="QPH209" s="173"/>
      <c r="QPI209" s="173"/>
      <c r="QPJ209" s="173"/>
      <c r="QPK209" s="125"/>
      <c r="QPL209" s="125"/>
      <c r="QPM209" s="134"/>
      <c r="QPN209" s="135"/>
      <c r="QPO209" s="135"/>
      <c r="QPP209" s="135"/>
      <c r="QPQ209" s="135"/>
      <c r="QPR209" s="173"/>
      <c r="QPS209" s="173"/>
      <c r="QPT209" s="173"/>
      <c r="QPU209" s="173"/>
      <c r="QPV209" s="173"/>
      <c r="QPW209" s="173"/>
      <c r="QPX209" s="173"/>
      <c r="QPY209" s="173"/>
      <c r="QPZ209" s="173"/>
      <c r="QQA209" s="173"/>
      <c r="QQB209" s="125"/>
      <c r="QQC209" s="125"/>
      <c r="QQD209" s="134"/>
      <c r="QQE209" s="135"/>
      <c r="QQF209" s="135"/>
      <c r="QQG209" s="135"/>
      <c r="QQH209" s="135"/>
      <c r="QQI209" s="173"/>
      <c r="QQJ209" s="173"/>
      <c r="QQK209" s="173"/>
      <c r="QQL209" s="173"/>
      <c r="QQM209" s="173"/>
      <c r="QQN209" s="173"/>
      <c r="QQO209" s="173"/>
      <c r="QQP209" s="173"/>
      <c r="QQQ209" s="173"/>
      <c r="QQR209" s="173"/>
      <c r="QQS209" s="125"/>
      <c r="QQT209" s="125"/>
      <c r="QQU209" s="134"/>
      <c r="QQV209" s="135"/>
      <c r="QQW209" s="135"/>
      <c r="QQX209" s="135"/>
      <c r="QQY209" s="135"/>
      <c r="QQZ209" s="173"/>
      <c r="QRA209" s="173"/>
      <c r="QRB209" s="173"/>
      <c r="QRC209" s="173"/>
      <c r="QRD209" s="173"/>
      <c r="QRE209" s="173"/>
      <c r="QRF209" s="173"/>
      <c r="QRG209" s="173"/>
      <c r="QRH209" s="173"/>
      <c r="QRI209" s="173"/>
      <c r="QRJ209" s="125"/>
      <c r="QRK209" s="125"/>
      <c r="QRL209" s="134"/>
      <c r="QRM209" s="135"/>
      <c r="QRN209" s="135"/>
      <c r="QRO209" s="135"/>
      <c r="QRP209" s="135"/>
      <c r="QRQ209" s="173"/>
      <c r="QRR209" s="173"/>
      <c r="QRS209" s="173"/>
      <c r="QRT209" s="173"/>
      <c r="QRU209" s="173"/>
      <c r="QRV209" s="173"/>
      <c r="QRW209" s="173"/>
      <c r="QRX209" s="173"/>
      <c r="QRY209" s="173"/>
      <c r="QRZ209" s="173"/>
      <c r="QSA209" s="125"/>
      <c r="QSB209" s="125"/>
      <c r="QSC209" s="134"/>
      <c r="QSD209" s="135"/>
      <c r="QSE209" s="135"/>
      <c r="QSF209" s="135"/>
      <c r="QSG209" s="135"/>
      <c r="QSH209" s="173"/>
      <c r="QSI209" s="173"/>
      <c r="QSJ209" s="173"/>
      <c r="QSK209" s="173"/>
      <c r="QSL209" s="173"/>
      <c r="QSM209" s="173"/>
      <c r="QSN209" s="173"/>
      <c r="QSO209" s="173"/>
      <c r="QSP209" s="173"/>
      <c r="QSQ209" s="173"/>
      <c r="QSR209" s="125"/>
      <c r="QSS209" s="125"/>
      <c r="QST209" s="134"/>
      <c r="QSU209" s="135"/>
      <c r="QSV209" s="135"/>
      <c r="QSW209" s="135"/>
      <c r="QSX209" s="135"/>
      <c r="QSY209" s="173"/>
      <c r="QSZ209" s="173"/>
      <c r="QTA209" s="173"/>
      <c r="QTB209" s="173"/>
      <c r="QTC209" s="173"/>
      <c r="QTD209" s="173"/>
      <c r="QTE209" s="173"/>
      <c r="QTF209" s="173"/>
      <c r="QTG209" s="173"/>
      <c r="QTH209" s="173"/>
      <c r="QTI209" s="125"/>
      <c r="QTJ209" s="125"/>
      <c r="QTK209" s="134"/>
      <c r="QTL209" s="135"/>
      <c r="QTM209" s="135"/>
      <c r="QTN209" s="135"/>
      <c r="QTO209" s="135"/>
      <c r="QTP209" s="173"/>
      <c r="QTQ209" s="173"/>
      <c r="QTR209" s="173"/>
      <c r="QTS209" s="173"/>
      <c r="QTT209" s="173"/>
      <c r="QTU209" s="173"/>
      <c r="QTV209" s="173"/>
      <c r="QTW209" s="173"/>
      <c r="QTX209" s="173"/>
      <c r="QTY209" s="173"/>
      <c r="QTZ209" s="125"/>
      <c r="QUA209" s="125"/>
      <c r="QUB209" s="134"/>
      <c r="QUC209" s="135"/>
      <c r="QUD209" s="135"/>
      <c r="QUE209" s="135"/>
      <c r="QUF209" s="135"/>
      <c r="QUG209" s="173"/>
      <c r="QUH209" s="173"/>
      <c r="QUI209" s="173"/>
      <c r="QUJ209" s="173"/>
      <c r="QUK209" s="173"/>
      <c r="QUL209" s="173"/>
      <c r="QUM209" s="173"/>
      <c r="QUN209" s="173"/>
      <c r="QUO209" s="173"/>
      <c r="QUP209" s="173"/>
      <c r="QUQ209" s="125"/>
      <c r="QUR209" s="125"/>
      <c r="QUS209" s="134"/>
      <c r="QUT209" s="135"/>
      <c r="QUU209" s="135"/>
      <c r="QUV209" s="135"/>
      <c r="QUW209" s="135"/>
      <c r="QUX209" s="173"/>
      <c r="QUY209" s="173"/>
      <c r="QUZ209" s="173"/>
      <c r="QVA209" s="173"/>
      <c r="QVB209" s="173"/>
      <c r="QVC209" s="173"/>
      <c r="QVD209" s="173"/>
      <c r="QVE209" s="173"/>
      <c r="QVF209" s="173"/>
      <c r="QVG209" s="173"/>
      <c r="QVH209" s="125"/>
      <c r="QVI209" s="125"/>
      <c r="QVJ209" s="134"/>
      <c r="QVK209" s="135"/>
      <c r="QVL209" s="135"/>
      <c r="QVM209" s="135"/>
      <c r="QVN209" s="135"/>
      <c r="QVO209" s="173"/>
      <c r="QVP209" s="173"/>
      <c r="QVQ209" s="173"/>
      <c r="QVR209" s="173"/>
      <c r="QVS209" s="173"/>
      <c r="QVT209" s="173"/>
      <c r="QVU209" s="173"/>
      <c r="QVV209" s="173"/>
      <c r="QVW209" s="173"/>
      <c r="QVX209" s="173"/>
      <c r="QVY209" s="125"/>
      <c r="QVZ209" s="125"/>
      <c r="QWA209" s="134"/>
      <c r="QWB209" s="135"/>
      <c r="QWC209" s="135"/>
      <c r="QWD209" s="135"/>
      <c r="QWE209" s="135"/>
      <c r="QWF209" s="173"/>
      <c r="QWG209" s="173"/>
      <c r="QWH209" s="173"/>
      <c r="QWI209" s="173"/>
      <c r="QWJ209" s="173"/>
      <c r="QWK209" s="173"/>
      <c r="QWL209" s="173"/>
      <c r="QWM209" s="173"/>
      <c r="QWN209" s="173"/>
      <c r="QWO209" s="173"/>
      <c r="QWP209" s="125"/>
      <c r="QWQ209" s="125"/>
      <c r="QWR209" s="134"/>
      <c r="QWS209" s="135"/>
      <c r="QWT209" s="135"/>
      <c r="QWU209" s="135"/>
      <c r="QWV209" s="135"/>
      <c r="QWW209" s="173"/>
      <c r="QWX209" s="173"/>
      <c r="QWY209" s="173"/>
      <c r="QWZ209" s="173"/>
      <c r="QXA209" s="173"/>
      <c r="QXB209" s="173"/>
      <c r="QXC209" s="173"/>
      <c r="QXD209" s="173"/>
      <c r="QXE209" s="173"/>
      <c r="QXF209" s="173"/>
      <c r="QXG209" s="125"/>
      <c r="QXH209" s="125"/>
      <c r="QXI209" s="134"/>
      <c r="QXJ209" s="135"/>
      <c r="QXK209" s="135"/>
      <c r="QXL209" s="135"/>
      <c r="QXM209" s="135"/>
      <c r="QXN209" s="173"/>
      <c r="QXO209" s="173"/>
      <c r="QXP209" s="173"/>
      <c r="QXQ209" s="173"/>
      <c r="QXR209" s="173"/>
      <c r="QXS209" s="173"/>
      <c r="QXT209" s="173"/>
      <c r="QXU209" s="173"/>
      <c r="QXV209" s="173"/>
      <c r="QXW209" s="173"/>
      <c r="QXX209" s="125"/>
      <c r="QXY209" s="125"/>
      <c r="QXZ209" s="134"/>
      <c r="QYA209" s="135"/>
      <c r="QYB209" s="135"/>
      <c r="QYC209" s="135"/>
      <c r="QYD209" s="135"/>
      <c r="QYE209" s="173"/>
      <c r="QYF209" s="173"/>
      <c r="QYG209" s="173"/>
      <c r="QYH209" s="173"/>
      <c r="QYI209" s="173"/>
      <c r="QYJ209" s="173"/>
      <c r="QYK209" s="173"/>
      <c r="QYL209" s="173"/>
      <c r="QYM209" s="173"/>
      <c r="QYN209" s="173"/>
      <c r="QYO209" s="125"/>
      <c r="QYP209" s="125"/>
      <c r="QYQ209" s="134"/>
      <c r="QYR209" s="135"/>
      <c r="QYS209" s="135"/>
      <c r="QYT209" s="135"/>
      <c r="QYU209" s="135"/>
      <c r="QYV209" s="173"/>
      <c r="QYW209" s="173"/>
      <c r="QYX209" s="173"/>
      <c r="QYY209" s="173"/>
      <c r="QYZ209" s="173"/>
      <c r="QZA209" s="173"/>
      <c r="QZB209" s="173"/>
      <c r="QZC209" s="173"/>
      <c r="QZD209" s="173"/>
      <c r="QZE209" s="173"/>
      <c r="QZF209" s="125"/>
      <c r="QZG209" s="125"/>
      <c r="QZH209" s="134"/>
      <c r="QZI209" s="135"/>
      <c r="QZJ209" s="135"/>
      <c r="QZK209" s="135"/>
      <c r="QZL209" s="135"/>
      <c r="QZM209" s="173"/>
      <c r="QZN209" s="173"/>
      <c r="QZO209" s="173"/>
      <c r="QZP209" s="173"/>
      <c r="QZQ209" s="173"/>
      <c r="QZR209" s="173"/>
      <c r="QZS209" s="173"/>
      <c r="QZT209" s="173"/>
      <c r="QZU209" s="173"/>
      <c r="QZV209" s="173"/>
      <c r="QZW209" s="125"/>
      <c r="QZX209" s="125"/>
      <c r="QZY209" s="134"/>
      <c r="QZZ209" s="135"/>
      <c r="RAA209" s="135"/>
      <c r="RAB209" s="135"/>
      <c r="RAC209" s="135"/>
      <c r="RAD209" s="173"/>
      <c r="RAE209" s="173"/>
      <c r="RAF209" s="173"/>
      <c r="RAG209" s="173"/>
      <c r="RAH209" s="173"/>
      <c r="RAI209" s="173"/>
      <c r="RAJ209" s="173"/>
      <c r="RAK209" s="173"/>
      <c r="RAL209" s="173"/>
      <c r="RAM209" s="173"/>
      <c r="RAN209" s="125"/>
      <c r="RAO209" s="125"/>
      <c r="RAP209" s="134"/>
      <c r="RAQ209" s="135"/>
      <c r="RAR209" s="135"/>
      <c r="RAS209" s="135"/>
      <c r="RAT209" s="135"/>
      <c r="RAU209" s="173"/>
      <c r="RAV209" s="173"/>
      <c r="RAW209" s="173"/>
      <c r="RAX209" s="173"/>
      <c r="RAY209" s="173"/>
      <c r="RAZ209" s="173"/>
      <c r="RBA209" s="173"/>
      <c r="RBB209" s="173"/>
      <c r="RBC209" s="173"/>
      <c r="RBD209" s="173"/>
      <c r="RBE209" s="125"/>
      <c r="RBF209" s="125"/>
      <c r="RBG209" s="134"/>
      <c r="RBH209" s="135"/>
      <c r="RBI209" s="135"/>
      <c r="RBJ209" s="135"/>
      <c r="RBK209" s="135"/>
      <c r="RBL209" s="173"/>
      <c r="RBM209" s="173"/>
      <c r="RBN209" s="173"/>
      <c r="RBO209" s="173"/>
      <c r="RBP209" s="173"/>
      <c r="RBQ209" s="173"/>
      <c r="RBR209" s="173"/>
      <c r="RBS209" s="173"/>
      <c r="RBT209" s="173"/>
      <c r="RBU209" s="173"/>
      <c r="RBV209" s="125"/>
      <c r="RBW209" s="125"/>
      <c r="RBX209" s="134"/>
      <c r="RBY209" s="135"/>
      <c r="RBZ209" s="135"/>
      <c r="RCA209" s="135"/>
      <c r="RCB209" s="135"/>
      <c r="RCC209" s="173"/>
      <c r="RCD209" s="173"/>
      <c r="RCE209" s="173"/>
      <c r="RCF209" s="173"/>
      <c r="RCG209" s="173"/>
      <c r="RCH209" s="173"/>
      <c r="RCI209" s="173"/>
      <c r="RCJ209" s="173"/>
      <c r="RCK209" s="173"/>
      <c r="RCL209" s="173"/>
      <c r="RCM209" s="125"/>
      <c r="RCN209" s="125"/>
      <c r="RCO209" s="134"/>
      <c r="RCP209" s="135"/>
      <c r="RCQ209" s="135"/>
      <c r="RCR209" s="135"/>
      <c r="RCS209" s="135"/>
      <c r="RCT209" s="173"/>
      <c r="RCU209" s="173"/>
      <c r="RCV209" s="173"/>
      <c r="RCW209" s="173"/>
      <c r="RCX209" s="173"/>
      <c r="RCY209" s="173"/>
      <c r="RCZ209" s="173"/>
      <c r="RDA209" s="173"/>
      <c r="RDB209" s="173"/>
      <c r="RDC209" s="173"/>
      <c r="RDD209" s="125"/>
      <c r="RDE209" s="125"/>
      <c r="RDF209" s="134"/>
      <c r="RDG209" s="135"/>
      <c r="RDH209" s="135"/>
      <c r="RDI209" s="135"/>
      <c r="RDJ209" s="135"/>
      <c r="RDK209" s="173"/>
      <c r="RDL209" s="173"/>
      <c r="RDM209" s="173"/>
      <c r="RDN209" s="173"/>
      <c r="RDO209" s="173"/>
      <c r="RDP209" s="173"/>
      <c r="RDQ209" s="173"/>
      <c r="RDR209" s="173"/>
      <c r="RDS209" s="173"/>
      <c r="RDT209" s="173"/>
      <c r="RDU209" s="125"/>
      <c r="RDV209" s="125"/>
      <c r="RDW209" s="134"/>
      <c r="RDX209" s="135"/>
      <c r="RDY209" s="135"/>
      <c r="RDZ209" s="135"/>
      <c r="REA209" s="135"/>
      <c r="REB209" s="173"/>
      <c r="REC209" s="173"/>
      <c r="RED209" s="173"/>
      <c r="REE209" s="173"/>
      <c r="REF209" s="173"/>
      <c r="REG209" s="173"/>
      <c r="REH209" s="173"/>
      <c r="REI209" s="173"/>
      <c r="REJ209" s="173"/>
      <c r="REK209" s="173"/>
      <c r="REL209" s="125"/>
      <c r="REM209" s="125"/>
      <c r="REN209" s="134"/>
      <c r="REO209" s="135"/>
      <c r="REP209" s="135"/>
      <c r="REQ209" s="135"/>
      <c r="RER209" s="135"/>
      <c r="RES209" s="173"/>
      <c r="RET209" s="173"/>
      <c r="REU209" s="173"/>
      <c r="REV209" s="173"/>
      <c r="REW209" s="173"/>
      <c r="REX209" s="173"/>
      <c r="REY209" s="173"/>
      <c r="REZ209" s="173"/>
      <c r="RFA209" s="173"/>
      <c r="RFB209" s="173"/>
      <c r="RFC209" s="125"/>
      <c r="RFD209" s="125"/>
      <c r="RFE209" s="134"/>
      <c r="RFF209" s="135"/>
      <c r="RFG209" s="135"/>
      <c r="RFH209" s="135"/>
      <c r="RFI209" s="135"/>
      <c r="RFJ209" s="173"/>
      <c r="RFK209" s="173"/>
      <c r="RFL209" s="173"/>
      <c r="RFM209" s="173"/>
      <c r="RFN209" s="173"/>
      <c r="RFO209" s="173"/>
      <c r="RFP209" s="173"/>
      <c r="RFQ209" s="173"/>
      <c r="RFR209" s="173"/>
      <c r="RFS209" s="173"/>
      <c r="RFT209" s="125"/>
      <c r="RFU209" s="125"/>
      <c r="RFV209" s="134"/>
      <c r="RFW209" s="135"/>
      <c r="RFX209" s="135"/>
      <c r="RFY209" s="135"/>
      <c r="RFZ209" s="135"/>
      <c r="RGA209" s="173"/>
      <c r="RGB209" s="173"/>
      <c r="RGC209" s="173"/>
      <c r="RGD209" s="173"/>
      <c r="RGE209" s="173"/>
      <c r="RGF209" s="173"/>
      <c r="RGG209" s="173"/>
      <c r="RGH209" s="173"/>
      <c r="RGI209" s="173"/>
      <c r="RGJ209" s="173"/>
      <c r="RGK209" s="125"/>
      <c r="RGL209" s="125"/>
      <c r="RGM209" s="134"/>
      <c r="RGN209" s="135"/>
      <c r="RGO209" s="135"/>
      <c r="RGP209" s="135"/>
      <c r="RGQ209" s="135"/>
      <c r="RGR209" s="173"/>
      <c r="RGS209" s="173"/>
      <c r="RGT209" s="173"/>
      <c r="RGU209" s="173"/>
      <c r="RGV209" s="173"/>
      <c r="RGW209" s="173"/>
      <c r="RGX209" s="173"/>
      <c r="RGY209" s="173"/>
      <c r="RGZ209" s="173"/>
      <c r="RHA209" s="173"/>
      <c r="RHB209" s="125"/>
      <c r="RHC209" s="125"/>
      <c r="RHD209" s="134"/>
      <c r="RHE209" s="135"/>
      <c r="RHF209" s="135"/>
      <c r="RHG209" s="135"/>
      <c r="RHH209" s="135"/>
      <c r="RHI209" s="173"/>
      <c r="RHJ209" s="173"/>
      <c r="RHK209" s="173"/>
      <c r="RHL209" s="173"/>
      <c r="RHM209" s="173"/>
      <c r="RHN209" s="173"/>
      <c r="RHO209" s="173"/>
      <c r="RHP209" s="173"/>
      <c r="RHQ209" s="173"/>
      <c r="RHR209" s="173"/>
      <c r="RHS209" s="125"/>
      <c r="RHT209" s="125"/>
      <c r="RHU209" s="134"/>
      <c r="RHV209" s="135"/>
      <c r="RHW209" s="135"/>
      <c r="RHX209" s="135"/>
      <c r="RHY209" s="135"/>
      <c r="RHZ209" s="173"/>
      <c r="RIA209" s="173"/>
      <c r="RIB209" s="173"/>
      <c r="RIC209" s="173"/>
      <c r="RID209" s="173"/>
      <c r="RIE209" s="173"/>
      <c r="RIF209" s="173"/>
      <c r="RIG209" s="173"/>
      <c r="RIH209" s="173"/>
      <c r="RII209" s="173"/>
      <c r="RIJ209" s="125"/>
      <c r="RIK209" s="125"/>
      <c r="RIL209" s="134"/>
      <c r="RIM209" s="135"/>
      <c r="RIN209" s="135"/>
      <c r="RIO209" s="135"/>
      <c r="RIP209" s="135"/>
      <c r="RIQ209" s="173"/>
      <c r="RIR209" s="173"/>
      <c r="RIS209" s="173"/>
      <c r="RIT209" s="173"/>
      <c r="RIU209" s="173"/>
      <c r="RIV209" s="173"/>
      <c r="RIW209" s="173"/>
      <c r="RIX209" s="173"/>
      <c r="RIY209" s="173"/>
      <c r="RIZ209" s="173"/>
      <c r="RJA209" s="125"/>
      <c r="RJB209" s="125"/>
      <c r="RJC209" s="134"/>
      <c r="RJD209" s="135"/>
      <c r="RJE209" s="135"/>
      <c r="RJF209" s="135"/>
      <c r="RJG209" s="135"/>
      <c r="RJH209" s="173"/>
      <c r="RJI209" s="173"/>
      <c r="RJJ209" s="173"/>
      <c r="RJK209" s="173"/>
      <c r="RJL209" s="173"/>
      <c r="RJM209" s="173"/>
      <c r="RJN209" s="173"/>
      <c r="RJO209" s="173"/>
      <c r="RJP209" s="173"/>
      <c r="RJQ209" s="173"/>
      <c r="RJR209" s="125"/>
      <c r="RJS209" s="125"/>
      <c r="RJT209" s="134"/>
      <c r="RJU209" s="135"/>
      <c r="RJV209" s="135"/>
      <c r="RJW209" s="135"/>
      <c r="RJX209" s="135"/>
      <c r="RJY209" s="173"/>
      <c r="RJZ209" s="173"/>
      <c r="RKA209" s="173"/>
      <c r="RKB209" s="173"/>
      <c r="RKC209" s="173"/>
      <c r="RKD209" s="173"/>
      <c r="RKE209" s="173"/>
      <c r="RKF209" s="173"/>
      <c r="RKG209" s="173"/>
      <c r="RKH209" s="173"/>
      <c r="RKI209" s="125"/>
      <c r="RKJ209" s="125"/>
      <c r="RKK209" s="134"/>
      <c r="RKL209" s="135"/>
      <c r="RKM209" s="135"/>
      <c r="RKN209" s="135"/>
      <c r="RKO209" s="135"/>
      <c r="RKP209" s="173"/>
      <c r="RKQ209" s="173"/>
      <c r="RKR209" s="173"/>
      <c r="RKS209" s="173"/>
      <c r="RKT209" s="173"/>
      <c r="RKU209" s="173"/>
      <c r="RKV209" s="173"/>
      <c r="RKW209" s="173"/>
      <c r="RKX209" s="173"/>
      <c r="RKY209" s="173"/>
      <c r="RKZ209" s="125"/>
      <c r="RLA209" s="125"/>
      <c r="RLB209" s="134"/>
      <c r="RLC209" s="135"/>
      <c r="RLD209" s="135"/>
      <c r="RLE209" s="135"/>
      <c r="RLF209" s="135"/>
      <c r="RLG209" s="173"/>
      <c r="RLH209" s="173"/>
      <c r="RLI209" s="173"/>
      <c r="RLJ209" s="173"/>
      <c r="RLK209" s="173"/>
      <c r="RLL209" s="173"/>
      <c r="RLM209" s="173"/>
      <c r="RLN209" s="173"/>
      <c r="RLO209" s="173"/>
      <c r="RLP209" s="173"/>
      <c r="RLQ209" s="125"/>
      <c r="RLR209" s="125"/>
      <c r="RLS209" s="134"/>
      <c r="RLT209" s="135"/>
      <c r="RLU209" s="135"/>
      <c r="RLV209" s="135"/>
      <c r="RLW209" s="135"/>
      <c r="RLX209" s="173"/>
      <c r="RLY209" s="173"/>
      <c r="RLZ209" s="173"/>
      <c r="RMA209" s="173"/>
      <c r="RMB209" s="173"/>
      <c r="RMC209" s="173"/>
      <c r="RMD209" s="173"/>
      <c r="RME209" s="173"/>
      <c r="RMF209" s="173"/>
      <c r="RMG209" s="173"/>
      <c r="RMH209" s="125"/>
      <c r="RMI209" s="125"/>
      <c r="RMJ209" s="134"/>
      <c r="RMK209" s="135"/>
      <c r="RML209" s="135"/>
      <c r="RMM209" s="135"/>
      <c r="RMN209" s="135"/>
      <c r="RMO209" s="173"/>
      <c r="RMP209" s="173"/>
      <c r="RMQ209" s="173"/>
      <c r="RMR209" s="173"/>
      <c r="RMS209" s="173"/>
      <c r="RMT209" s="173"/>
      <c r="RMU209" s="173"/>
      <c r="RMV209" s="173"/>
      <c r="RMW209" s="173"/>
      <c r="RMX209" s="173"/>
      <c r="RMY209" s="125"/>
      <c r="RMZ209" s="125"/>
      <c r="RNA209" s="134"/>
      <c r="RNB209" s="135"/>
      <c r="RNC209" s="135"/>
      <c r="RND209" s="135"/>
      <c r="RNE209" s="135"/>
      <c r="RNF209" s="173"/>
      <c r="RNG209" s="173"/>
      <c r="RNH209" s="173"/>
      <c r="RNI209" s="173"/>
      <c r="RNJ209" s="173"/>
      <c r="RNK209" s="173"/>
      <c r="RNL209" s="173"/>
      <c r="RNM209" s="173"/>
      <c r="RNN209" s="173"/>
      <c r="RNO209" s="173"/>
      <c r="RNP209" s="125"/>
      <c r="RNQ209" s="125"/>
      <c r="RNR209" s="134"/>
      <c r="RNS209" s="135"/>
      <c r="RNT209" s="135"/>
      <c r="RNU209" s="135"/>
      <c r="RNV209" s="135"/>
      <c r="RNW209" s="173"/>
      <c r="RNX209" s="173"/>
      <c r="RNY209" s="173"/>
      <c r="RNZ209" s="173"/>
      <c r="ROA209" s="173"/>
      <c r="ROB209" s="173"/>
      <c r="ROC209" s="173"/>
      <c r="ROD209" s="173"/>
      <c r="ROE209" s="173"/>
      <c r="ROF209" s="173"/>
      <c r="ROG209" s="125"/>
      <c r="ROH209" s="125"/>
      <c r="ROI209" s="134"/>
      <c r="ROJ209" s="135"/>
      <c r="ROK209" s="135"/>
      <c r="ROL209" s="135"/>
      <c r="ROM209" s="135"/>
      <c r="RON209" s="173"/>
      <c r="ROO209" s="173"/>
      <c r="ROP209" s="173"/>
      <c r="ROQ209" s="173"/>
      <c r="ROR209" s="173"/>
      <c r="ROS209" s="173"/>
      <c r="ROT209" s="173"/>
      <c r="ROU209" s="173"/>
      <c r="ROV209" s="173"/>
      <c r="ROW209" s="173"/>
      <c r="ROX209" s="125"/>
      <c r="ROY209" s="125"/>
      <c r="ROZ209" s="134"/>
      <c r="RPA209" s="135"/>
      <c r="RPB209" s="135"/>
      <c r="RPC209" s="135"/>
      <c r="RPD209" s="135"/>
      <c r="RPE209" s="173"/>
      <c r="RPF209" s="173"/>
      <c r="RPG209" s="173"/>
      <c r="RPH209" s="173"/>
      <c r="RPI209" s="173"/>
      <c r="RPJ209" s="173"/>
      <c r="RPK209" s="173"/>
      <c r="RPL209" s="173"/>
      <c r="RPM209" s="173"/>
      <c r="RPN209" s="173"/>
      <c r="RPO209" s="125"/>
      <c r="RPP209" s="125"/>
      <c r="RPQ209" s="134"/>
      <c r="RPR209" s="135"/>
      <c r="RPS209" s="135"/>
      <c r="RPT209" s="135"/>
      <c r="RPU209" s="135"/>
      <c r="RPV209" s="173"/>
      <c r="RPW209" s="173"/>
      <c r="RPX209" s="173"/>
      <c r="RPY209" s="173"/>
      <c r="RPZ209" s="173"/>
      <c r="RQA209" s="173"/>
      <c r="RQB209" s="173"/>
      <c r="RQC209" s="173"/>
      <c r="RQD209" s="173"/>
      <c r="RQE209" s="173"/>
      <c r="RQF209" s="125"/>
      <c r="RQG209" s="125"/>
      <c r="RQH209" s="134"/>
      <c r="RQI209" s="135"/>
      <c r="RQJ209" s="135"/>
      <c r="RQK209" s="135"/>
      <c r="RQL209" s="135"/>
      <c r="RQM209" s="173"/>
      <c r="RQN209" s="173"/>
      <c r="RQO209" s="173"/>
      <c r="RQP209" s="173"/>
      <c r="RQQ209" s="173"/>
      <c r="RQR209" s="173"/>
      <c r="RQS209" s="173"/>
      <c r="RQT209" s="173"/>
      <c r="RQU209" s="173"/>
      <c r="RQV209" s="173"/>
      <c r="RQW209" s="125"/>
      <c r="RQX209" s="125"/>
      <c r="RQY209" s="134"/>
      <c r="RQZ209" s="135"/>
      <c r="RRA209" s="135"/>
      <c r="RRB209" s="135"/>
      <c r="RRC209" s="135"/>
      <c r="RRD209" s="173"/>
      <c r="RRE209" s="173"/>
      <c r="RRF209" s="173"/>
      <c r="RRG209" s="173"/>
      <c r="RRH209" s="173"/>
      <c r="RRI209" s="173"/>
      <c r="RRJ209" s="173"/>
      <c r="RRK209" s="173"/>
      <c r="RRL209" s="173"/>
      <c r="RRM209" s="173"/>
      <c r="RRN209" s="125"/>
      <c r="RRO209" s="125"/>
      <c r="RRP209" s="134"/>
      <c r="RRQ209" s="135"/>
      <c r="RRR209" s="135"/>
      <c r="RRS209" s="135"/>
      <c r="RRT209" s="135"/>
      <c r="RRU209" s="173"/>
      <c r="RRV209" s="173"/>
      <c r="RRW209" s="173"/>
      <c r="RRX209" s="173"/>
      <c r="RRY209" s="173"/>
      <c r="RRZ209" s="173"/>
      <c r="RSA209" s="173"/>
      <c r="RSB209" s="173"/>
      <c r="RSC209" s="173"/>
      <c r="RSD209" s="173"/>
      <c r="RSE209" s="125"/>
      <c r="RSF209" s="125"/>
      <c r="RSG209" s="134"/>
      <c r="RSH209" s="135"/>
      <c r="RSI209" s="135"/>
      <c r="RSJ209" s="135"/>
      <c r="RSK209" s="135"/>
      <c r="RSL209" s="173"/>
      <c r="RSM209" s="173"/>
      <c r="RSN209" s="173"/>
      <c r="RSO209" s="173"/>
      <c r="RSP209" s="173"/>
      <c r="RSQ209" s="173"/>
      <c r="RSR209" s="173"/>
      <c r="RSS209" s="173"/>
      <c r="RST209" s="173"/>
      <c r="RSU209" s="173"/>
      <c r="RSV209" s="125"/>
      <c r="RSW209" s="125"/>
      <c r="RSX209" s="134"/>
      <c r="RSY209" s="135"/>
      <c r="RSZ209" s="135"/>
      <c r="RTA209" s="135"/>
      <c r="RTB209" s="135"/>
      <c r="RTC209" s="173"/>
      <c r="RTD209" s="173"/>
      <c r="RTE209" s="173"/>
      <c r="RTF209" s="173"/>
      <c r="RTG209" s="173"/>
      <c r="RTH209" s="173"/>
      <c r="RTI209" s="173"/>
      <c r="RTJ209" s="173"/>
      <c r="RTK209" s="173"/>
      <c r="RTL209" s="173"/>
      <c r="RTM209" s="125"/>
      <c r="RTN209" s="125"/>
      <c r="RTO209" s="134"/>
      <c r="RTP209" s="135"/>
      <c r="RTQ209" s="135"/>
      <c r="RTR209" s="135"/>
      <c r="RTS209" s="135"/>
      <c r="RTT209" s="173"/>
      <c r="RTU209" s="173"/>
      <c r="RTV209" s="173"/>
      <c r="RTW209" s="173"/>
      <c r="RTX209" s="173"/>
      <c r="RTY209" s="173"/>
      <c r="RTZ209" s="173"/>
      <c r="RUA209" s="173"/>
      <c r="RUB209" s="173"/>
      <c r="RUC209" s="173"/>
      <c r="RUD209" s="125"/>
      <c r="RUE209" s="125"/>
      <c r="RUF209" s="134"/>
      <c r="RUG209" s="135"/>
      <c r="RUH209" s="135"/>
      <c r="RUI209" s="135"/>
      <c r="RUJ209" s="135"/>
      <c r="RUK209" s="173"/>
      <c r="RUL209" s="173"/>
      <c r="RUM209" s="173"/>
      <c r="RUN209" s="173"/>
      <c r="RUO209" s="173"/>
      <c r="RUP209" s="173"/>
      <c r="RUQ209" s="173"/>
      <c r="RUR209" s="173"/>
      <c r="RUS209" s="173"/>
      <c r="RUT209" s="173"/>
      <c r="RUU209" s="125"/>
      <c r="RUV209" s="125"/>
      <c r="RUW209" s="134"/>
      <c r="RUX209" s="135"/>
      <c r="RUY209" s="135"/>
      <c r="RUZ209" s="135"/>
      <c r="RVA209" s="135"/>
      <c r="RVB209" s="173"/>
      <c r="RVC209" s="173"/>
      <c r="RVD209" s="173"/>
      <c r="RVE209" s="173"/>
      <c r="RVF209" s="173"/>
      <c r="RVG209" s="173"/>
      <c r="RVH209" s="173"/>
      <c r="RVI209" s="173"/>
      <c r="RVJ209" s="173"/>
      <c r="RVK209" s="173"/>
      <c r="RVL209" s="125"/>
      <c r="RVM209" s="125"/>
      <c r="RVN209" s="134"/>
      <c r="RVO209" s="135"/>
      <c r="RVP209" s="135"/>
      <c r="RVQ209" s="135"/>
      <c r="RVR209" s="135"/>
      <c r="RVS209" s="173"/>
      <c r="RVT209" s="173"/>
      <c r="RVU209" s="173"/>
      <c r="RVV209" s="173"/>
      <c r="RVW209" s="173"/>
      <c r="RVX209" s="173"/>
      <c r="RVY209" s="173"/>
      <c r="RVZ209" s="173"/>
      <c r="RWA209" s="173"/>
      <c r="RWB209" s="173"/>
      <c r="RWC209" s="125"/>
      <c r="RWD209" s="125"/>
      <c r="RWE209" s="134"/>
      <c r="RWF209" s="135"/>
      <c r="RWG209" s="135"/>
      <c r="RWH209" s="135"/>
      <c r="RWI209" s="135"/>
      <c r="RWJ209" s="173"/>
      <c r="RWK209" s="173"/>
      <c r="RWL209" s="173"/>
      <c r="RWM209" s="173"/>
      <c r="RWN209" s="173"/>
      <c r="RWO209" s="173"/>
      <c r="RWP209" s="173"/>
      <c r="RWQ209" s="173"/>
      <c r="RWR209" s="173"/>
      <c r="RWS209" s="173"/>
      <c r="RWT209" s="125"/>
      <c r="RWU209" s="125"/>
      <c r="RWV209" s="134"/>
      <c r="RWW209" s="135"/>
      <c r="RWX209" s="135"/>
      <c r="RWY209" s="135"/>
      <c r="RWZ209" s="135"/>
      <c r="RXA209" s="173"/>
      <c r="RXB209" s="173"/>
      <c r="RXC209" s="173"/>
      <c r="RXD209" s="173"/>
      <c r="RXE209" s="173"/>
      <c r="RXF209" s="173"/>
      <c r="RXG209" s="173"/>
      <c r="RXH209" s="173"/>
      <c r="RXI209" s="173"/>
      <c r="RXJ209" s="173"/>
      <c r="RXK209" s="125"/>
      <c r="RXL209" s="125"/>
      <c r="RXM209" s="134"/>
      <c r="RXN209" s="135"/>
      <c r="RXO209" s="135"/>
      <c r="RXP209" s="135"/>
      <c r="RXQ209" s="135"/>
      <c r="RXR209" s="173"/>
      <c r="RXS209" s="173"/>
      <c r="RXT209" s="173"/>
      <c r="RXU209" s="173"/>
      <c r="RXV209" s="173"/>
      <c r="RXW209" s="173"/>
      <c r="RXX209" s="173"/>
      <c r="RXY209" s="173"/>
      <c r="RXZ209" s="173"/>
      <c r="RYA209" s="173"/>
      <c r="RYB209" s="125"/>
      <c r="RYC209" s="125"/>
      <c r="RYD209" s="134"/>
      <c r="RYE209" s="135"/>
      <c r="RYF209" s="135"/>
      <c r="RYG209" s="135"/>
      <c r="RYH209" s="135"/>
      <c r="RYI209" s="173"/>
      <c r="RYJ209" s="173"/>
      <c r="RYK209" s="173"/>
      <c r="RYL209" s="173"/>
      <c r="RYM209" s="173"/>
      <c r="RYN209" s="173"/>
      <c r="RYO209" s="173"/>
      <c r="RYP209" s="173"/>
      <c r="RYQ209" s="173"/>
      <c r="RYR209" s="173"/>
      <c r="RYS209" s="125"/>
      <c r="RYT209" s="125"/>
      <c r="RYU209" s="134"/>
      <c r="RYV209" s="135"/>
      <c r="RYW209" s="135"/>
      <c r="RYX209" s="135"/>
      <c r="RYY209" s="135"/>
      <c r="RYZ209" s="173"/>
      <c r="RZA209" s="173"/>
      <c r="RZB209" s="173"/>
      <c r="RZC209" s="173"/>
      <c r="RZD209" s="173"/>
      <c r="RZE209" s="173"/>
      <c r="RZF209" s="173"/>
      <c r="RZG209" s="173"/>
      <c r="RZH209" s="173"/>
      <c r="RZI209" s="173"/>
      <c r="RZJ209" s="125"/>
      <c r="RZK209" s="125"/>
      <c r="RZL209" s="134"/>
      <c r="RZM209" s="135"/>
      <c r="RZN209" s="135"/>
      <c r="RZO209" s="135"/>
      <c r="RZP209" s="135"/>
      <c r="RZQ209" s="173"/>
      <c r="RZR209" s="173"/>
      <c r="RZS209" s="173"/>
      <c r="RZT209" s="173"/>
      <c r="RZU209" s="173"/>
      <c r="RZV209" s="173"/>
      <c r="RZW209" s="173"/>
      <c r="RZX209" s="173"/>
      <c r="RZY209" s="173"/>
      <c r="RZZ209" s="173"/>
      <c r="SAA209" s="125"/>
      <c r="SAB209" s="125"/>
      <c r="SAC209" s="134"/>
      <c r="SAD209" s="135"/>
      <c r="SAE209" s="135"/>
      <c r="SAF209" s="135"/>
      <c r="SAG209" s="135"/>
      <c r="SAH209" s="173"/>
      <c r="SAI209" s="173"/>
      <c r="SAJ209" s="173"/>
      <c r="SAK209" s="173"/>
      <c r="SAL209" s="173"/>
      <c r="SAM209" s="173"/>
      <c r="SAN209" s="173"/>
      <c r="SAO209" s="173"/>
      <c r="SAP209" s="173"/>
      <c r="SAQ209" s="173"/>
      <c r="SAR209" s="125"/>
      <c r="SAS209" s="125"/>
      <c r="SAT209" s="134"/>
      <c r="SAU209" s="135"/>
      <c r="SAV209" s="135"/>
      <c r="SAW209" s="135"/>
      <c r="SAX209" s="135"/>
      <c r="SAY209" s="173"/>
      <c r="SAZ209" s="173"/>
      <c r="SBA209" s="173"/>
      <c r="SBB209" s="173"/>
      <c r="SBC209" s="173"/>
      <c r="SBD209" s="173"/>
      <c r="SBE209" s="173"/>
      <c r="SBF209" s="173"/>
      <c r="SBG209" s="173"/>
      <c r="SBH209" s="173"/>
      <c r="SBI209" s="125"/>
      <c r="SBJ209" s="125"/>
      <c r="SBK209" s="134"/>
      <c r="SBL209" s="135"/>
      <c r="SBM209" s="135"/>
      <c r="SBN209" s="135"/>
      <c r="SBO209" s="135"/>
      <c r="SBP209" s="173"/>
      <c r="SBQ209" s="173"/>
      <c r="SBR209" s="173"/>
      <c r="SBS209" s="173"/>
      <c r="SBT209" s="173"/>
      <c r="SBU209" s="173"/>
      <c r="SBV209" s="173"/>
      <c r="SBW209" s="173"/>
      <c r="SBX209" s="173"/>
      <c r="SBY209" s="173"/>
      <c r="SBZ209" s="125"/>
      <c r="SCA209" s="125"/>
      <c r="SCB209" s="134"/>
      <c r="SCC209" s="135"/>
      <c r="SCD209" s="135"/>
      <c r="SCE209" s="135"/>
      <c r="SCF209" s="135"/>
      <c r="SCG209" s="173"/>
      <c r="SCH209" s="173"/>
      <c r="SCI209" s="173"/>
      <c r="SCJ209" s="173"/>
      <c r="SCK209" s="173"/>
      <c r="SCL209" s="173"/>
      <c r="SCM209" s="173"/>
      <c r="SCN209" s="173"/>
      <c r="SCO209" s="173"/>
      <c r="SCP209" s="173"/>
      <c r="SCQ209" s="125"/>
      <c r="SCR209" s="125"/>
      <c r="SCS209" s="134"/>
      <c r="SCT209" s="135"/>
      <c r="SCU209" s="135"/>
      <c r="SCV209" s="135"/>
      <c r="SCW209" s="135"/>
      <c r="SCX209" s="173"/>
      <c r="SCY209" s="173"/>
      <c r="SCZ209" s="173"/>
      <c r="SDA209" s="173"/>
      <c r="SDB209" s="173"/>
      <c r="SDC209" s="173"/>
      <c r="SDD209" s="173"/>
      <c r="SDE209" s="173"/>
      <c r="SDF209" s="173"/>
      <c r="SDG209" s="173"/>
      <c r="SDH209" s="125"/>
      <c r="SDI209" s="125"/>
      <c r="SDJ209" s="134"/>
      <c r="SDK209" s="135"/>
      <c r="SDL209" s="135"/>
      <c r="SDM209" s="135"/>
      <c r="SDN209" s="135"/>
      <c r="SDO209" s="173"/>
      <c r="SDP209" s="173"/>
      <c r="SDQ209" s="173"/>
      <c r="SDR209" s="173"/>
      <c r="SDS209" s="173"/>
      <c r="SDT209" s="173"/>
      <c r="SDU209" s="173"/>
      <c r="SDV209" s="173"/>
      <c r="SDW209" s="173"/>
      <c r="SDX209" s="173"/>
      <c r="SDY209" s="125"/>
      <c r="SDZ209" s="125"/>
      <c r="SEA209" s="134"/>
      <c r="SEB209" s="135"/>
      <c r="SEC209" s="135"/>
      <c r="SED209" s="135"/>
      <c r="SEE209" s="135"/>
      <c r="SEF209" s="173"/>
      <c r="SEG209" s="173"/>
      <c r="SEH209" s="173"/>
      <c r="SEI209" s="173"/>
      <c r="SEJ209" s="173"/>
      <c r="SEK209" s="173"/>
      <c r="SEL209" s="173"/>
      <c r="SEM209" s="173"/>
      <c r="SEN209" s="173"/>
      <c r="SEO209" s="173"/>
      <c r="SEP209" s="125"/>
      <c r="SEQ209" s="125"/>
      <c r="SER209" s="134"/>
      <c r="SES209" s="135"/>
      <c r="SET209" s="135"/>
      <c r="SEU209" s="135"/>
      <c r="SEV209" s="135"/>
      <c r="SEW209" s="173"/>
      <c r="SEX209" s="173"/>
      <c r="SEY209" s="173"/>
      <c r="SEZ209" s="173"/>
      <c r="SFA209" s="173"/>
      <c r="SFB209" s="173"/>
      <c r="SFC209" s="173"/>
      <c r="SFD209" s="173"/>
      <c r="SFE209" s="173"/>
      <c r="SFF209" s="173"/>
      <c r="SFG209" s="125"/>
      <c r="SFH209" s="125"/>
      <c r="SFI209" s="134"/>
      <c r="SFJ209" s="135"/>
      <c r="SFK209" s="135"/>
      <c r="SFL209" s="135"/>
      <c r="SFM209" s="135"/>
      <c r="SFN209" s="173"/>
      <c r="SFO209" s="173"/>
      <c r="SFP209" s="173"/>
      <c r="SFQ209" s="173"/>
      <c r="SFR209" s="173"/>
      <c r="SFS209" s="173"/>
      <c r="SFT209" s="173"/>
      <c r="SFU209" s="173"/>
      <c r="SFV209" s="173"/>
      <c r="SFW209" s="173"/>
      <c r="SFX209" s="125"/>
      <c r="SFY209" s="125"/>
      <c r="SFZ209" s="134"/>
      <c r="SGA209" s="135"/>
      <c r="SGB209" s="135"/>
      <c r="SGC209" s="135"/>
      <c r="SGD209" s="135"/>
      <c r="SGE209" s="173"/>
      <c r="SGF209" s="173"/>
      <c r="SGG209" s="173"/>
      <c r="SGH209" s="173"/>
      <c r="SGI209" s="173"/>
      <c r="SGJ209" s="173"/>
      <c r="SGK209" s="173"/>
      <c r="SGL209" s="173"/>
      <c r="SGM209" s="173"/>
      <c r="SGN209" s="173"/>
      <c r="SGO209" s="125"/>
      <c r="SGP209" s="125"/>
      <c r="SGQ209" s="134"/>
      <c r="SGR209" s="135"/>
      <c r="SGS209" s="135"/>
      <c r="SGT209" s="135"/>
      <c r="SGU209" s="135"/>
      <c r="SGV209" s="173"/>
      <c r="SGW209" s="173"/>
      <c r="SGX209" s="173"/>
      <c r="SGY209" s="173"/>
      <c r="SGZ209" s="173"/>
      <c r="SHA209" s="173"/>
      <c r="SHB209" s="173"/>
      <c r="SHC209" s="173"/>
      <c r="SHD209" s="173"/>
      <c r="SHE209" s="173"/>
      <c r="SHF209" s="125"/>
      <c r="SHG209" s="125"/>
      <c r="SHH209" s="134"/>
      <c r="SHI209" s="135"/>
      <c r="SHJ209" s="135"/>
      <c r="SHK209" s="135"/>
      <c r="SHL209" s="135"/>
      <c r="SHM209" s="173"/>
      <c r="SHN209" s="173"/>
      <c r="SHO209" s="173"/>
      <c r="SHP209" s="173"/>
      <c r="SHQ209" s="173"/>
      <c r="SHR209" s="173"/>
      <c r="SHS209" s="173"/>
      <c r="SHT209" s="173"/>
      <c r="SHU209" s="173"/>
      <c r="SHV209" s="173"/>
      <c r="SHW209" s="125"/>
      <c r="SHX209" s="125"/>
      <c r="SHY209" s="134"/>
      <c r="SHZ209" s="135"/>
      <c r="SIA209" s="135"/>
      <c r="SIB209" s="135"/>
      <c r="SIC209" s="135"/>
      <c r="SID209" s="173"/>
      <c r="SIE209" s="173"/>
      <c r="SIF209" s="173"/>
      <c r="SIG209" s="173"/>
      <c r="SIH209" s="173"/>
      <c r="SII209" s="173"/>
      <c r="SIJ209" s="173"/>
      <c r="SIK209" s="173"/>
      <c r="SIL209" s="173"/>
      <c r="SIM209" s="173"/>
      <c r="SIN209" s="125"/>
      <c r="SIO209" s="125"/>
      <c r="SIP209" s="134"/>
      <c r="SIQ209" s="135"/>
      <c r="SIR209" s="135"/>
      <c r="SIS209" s="135"/>
      <c r="SIT209" s="135"/>
      <c r="SIU209" s="173"/>
      <c r="SIV209" s="173"/>
      <c r="SIW209" s="173"/>
      <c r="SIX209" s="173"/>
      <c r="SIY209" s="173"/>
      <c r="SIZ209" s="173"/>
      <c r="SJA209" s="173"/>
      <c r="SJB209" s="173"/>
      <c r="SJC209" s="173"/>
      <c r="SJD209" s="173"/>
      <c r="SJE209" s="125"/>
      <c r="SJF209" s="125"/>
      <c r="SJG209" s="134"/>
      <c r="SJH209" s="135"/>
      <c r="SJI209" s="135"/>
      <c r="SJJ209" s="135"/>
      <c r="SJK209" s="135"/>
      <c r="SJL209" s="173"/>
      <c r="SJM209" s="173"/>
      <c r="SJN209" s="173"/>
      <c r="SJO209" s="173"/>
      <c r="SJP209" s="173"/>
      <c r="SJQ209" s="173"/>
      <c r="SJR209" s="173"/>
      <c r="SJS209" s="173"/>
      <c r="SJT209" s="173"/>
      <c r="SJU209" s="173"/>
      <c r="SJV209" s="125"/>
      <c r="SJW209" s="125"/>
      <c r="SJX209" s="134"/>
      <c r="SJY209" s="135"/>
      <c r="SJZ209" s="135"/>
      <c r="SKA209" s="135"/>
      <c r="SKB209" s="135"/>
      <c r="SKC209" s="173"/>
      <c r="SKD209" s="173"/>
      <c r="SKE209" s="173"/>
      <c r="SKF209" s="173"/>
      <c r="SKG209" s="173"/>
      <c r="SKH209" s="173"/>
      <c r="SKI209" s="173"/>
      <c r="SKJ209" s="173"/>
      <c r="SKK209" s="173"/>
      <c r="SKL209" s="173"/>
      <c r="SKM209" s="125"/>
      <c r="SKN209" s="125"/>
      <c r="SKO209" s="134"/>
      <c r="SKP209" s="135"/>
      <c r="SKQ209" s="135"/>
      <c r="SKR209" s="135"/>
      <c r="SKS209" s="135"/>
      <c r="SKT209" s="173"/>
      <c r="SKU209" s="173"/>
      <c r="SKV209" s="173"/>
      <c r="SKW209" s="173"/>
      <c r="SKX209" s="173"/>
      <c r="SKY209" s="173"/>
      <c r="SKZ209" s="173"/>
      <c r="SLA209" s="173"/>
      <c r="SLB209" s="173"/>
      <c r="SLC209" s="173"/>
      <c r="SLD209" s="125"/>
      <c r="SLE209" s="125"/>
      <c r="SLF209" s="134"/>
      <c r="SLG209" s="135"/>
      <c r="SLH209" s="135"/>
      <c r="SLI209" s="135"/>
      <c r="SLJ209" s="135"/>
      <c r="SLK209" s="173"/>
      <c r="SLL209" s="173"/>
      <c r="SLM209" s="173"/>
      <c r="SLN209" s="173"/>
      <c r="SLO209" s="173"/>
      <c r="SLP209" s="173"/>
      <c r="SLQ209" s="173"/>
      <c r="SLR209" s="173"/>
      <c r="SLS209" s="173"/>
      <c r="SLT209" s="173"/>
      <c r="SLU209" s="125"/>
      <c r="SLV209" s="125"/>
      <c r="SLW209" s="134"/>
      <c r="SLX209" s="135"/>
      <c r="SLY209" s="135"/>
      <c r="SLZ209" s="135"/>
      <c r="SMA209" s="135"/>
      <c r="SMB209" s="173"/>
      <c r="SMC209" s="173"/>
      <c r="SMD209" s="173"/>
      <c r="SME209" s="173"/>
      <c r="SMF209" s="173"/>
      <c r="SMG209" s="173"/>
      <c r="SMH209" s="173"/>
      <c r="SMI209" s="173"/>
      <c r="SMJ209" s="173"/>
      <c r="SMK209" s="173"/>
      <c r="SML209" s="125"/>
      <c r="SMM209" s="125"/>
      <c r="SMN209" s="134"/>
      <c r="SMO209" s="135"/>
      <c r="SMP209" s="135"/>
      <c r="SMQ209" s="135"/>
      <c r="SMR209" s="135"/>
      <c r="SMS209" s="173"/>
      <c r="SMT209" s="173"/>
      <c r="SMU209" s="173"/>
      <c r="SMV209" s="173"/>
      <c r="SMW209" s="173"/>
      <c r="SMX209" s="173"/>
      <c r="SMY209" s="173"/>
      <c r="SMZ209" s="173"/>
      <c r="SNA209" s="173"/>
      <c r="SNB209" s="173"/>
      <c r="SNC209" s="125"/>
      <c r="SND209" s="125"/>
      <c r="SNE209" s="134"/>
      <c r="SNF209" s="135"/>
      <c r="SNG209" s="135"/>
      <c r="SNH209" s="135"/>
      <c r="SNI209" s="135"/>
      <c r="SNJ209" s="173"/>
      <c r="SNK209" s="173"/>
      <c r="SNL209" s="173"/>
      <c r="SNM209" s="173"/>
      <c r="SNN209" s="173"/>
      <c r="SNO209" s="173"/>
      <c r="SNP209" s="173"/>
      <c r="SNQ209" s="173"/>
      <c r="SNR209" s="173"/>
      <c r="SNS209" s="173"/>
      <c r="SNT209" s="125"/>
      <c r="SNU209" s="125"/>
      <c r="SNV209" s="134"/>
      <c r="SNW209" s="135"/>
      <c r="SNX209" s="135"/>
      <c r="SNY209" s="135"/>
      <c r="SNZ209" s="135"/>
      <c r="SOA209" s="173"/>
      <c r="SOB209" s="173"/>
      <c r="SOC209" s="173"/>
      <c r="SOD209" s="173"/>
      <c r="SOE209" s="173"/>
      <c r="SOF209" s="173"/>
      <c r="SOG209" s="173"/>
      <c r="SOH209" s="173"/>
      <c r="SOI209" s="173"/>
      <c r="SOJ209" s="173"/>
      <c r="SOK209" s="125"/>
      <c r="SOL209" s="125"/>
      <c r="SOM209" s="134"/>
      <c r="SON209" s="135"/>
      <c r="SOO209" s="135"/>
      <c r="SOP209" s="135"/>
      <c r="SOQ209" s="135"/>
      <c r="SOR209" s="173"/>
      <c r="SOS209" s="173"/>
      <c r="SOT209" s="173"/>
      <c r="SOU209" s="173"/>
      <c r="SOV209" s="173"/>
      <c r="SOW209" s="173"/>
      <c r="SOX209" s="173"/>
      <c r="SOY209" s="173"/>
      <c r="SOZ209" s="173"/>
      <c r="SPA209" s="173"/>
      <c r="SPB209" s="125"/>
      <c r="SPC209" s="125"/>
      <c r="SPD209" s="134"/>
      <c r="SPE209" s="135"/>
      <c r="SPF209" s="135"/>
      <c r="SPG209" s="135"/>
      <c r="SPH209" s="135"/>
      <c r="SPI209" s="173"/>
      <c r="SPJ209" s="173"/>
      <c r="SPK209" s="173"/>
      <c r="SPL209" s="173"/>
      <c r="SPM209" s="173"/>
      <c r="SPN209" s="173"/>
      <c r="SPO209" s="173"/>
      <c r="SPP209" s="173"/>
      <c r="SPQ209" s="173"/>
      <c r="SPR209" s="173"/>
      <c r="SPS209" s="125"/>
      <c r="SPT209" s="125"/>
      <c r="SPU209" s="134"/>
      <c r="SPV209" s="135"/>
      <c r="SPW209" s="135"/>
      <c r="SPX209" s="135"/>
      <c r="SPY209" s="135"/>
      <c r="SPZ209" s="173"/>
      <c r="SQA209" s="173"/>
      <c r="SQB209" s="173"/>
      <c r="SQC209" s="173"/>
      <c r="SQD209" s="173"/>
      <c r="SQE209" s="173"/>
      <c r="SQF209" s="173"/>
      <c r="SQG209" s="173"/>
      <c r="SQH209" s="173"/>
      <c r="SQI209" s="173"/>
      <c r="SQJ209" s="125"/>
      <c r="SQK209" s="125"/>
      <c r="SQL209" s="134"/>
      <c r="SQM209" s="135"/>
      <c r="SQN209" s="135"/>
      <c r="SQO209" s="135"/>
      <c r="SQP209" s="135"/>
      <c r="SQQ209" s="173"/>
      <c r="SQR209" s="173"/>
      <c r="SQS209" s="173"/>
      <c r="SQT209" s="173"/>
      <c r="SQU209" s="173"/>
      <c r="SQV209" s="173"/>
      <c r="SQW209" s="173"/>
      <c r="SQX209" s="173"/>
      <c r="SQY209" s="173"/>
      <c r="SQZ209" s="173"/>
      <c r="SRA209" s="125"/>
      <c r="SRB209" s="125"/>
      <c r="SRC209" s="134"/>
      <c r="SRD209" s="135"/>
      <c r="SRE209" s="135"/>
      <c r="SRF209" s="135"/>
      <c r="SRG209" s="135"/>
      <c r="SRH209" s="173"/>
      <c r="SRI209" s="173"/>
      <c r="SRJ209" s="173"/>
      <c r="SRK209" s="173"/>
      <c r="SRL209" s="173"/>
      <c r="SRM209" s="173"/>
      <c r="SRN209" s="173"/>
      <c r="SRO209" s="173"/>
      <c r="SRP209" s="173"/>
      <c r="SRQ209" s="173"/>
      <c r="SRR209" s="125"/>
      <c r="SRS209" s="125"/>
      <c r="SRT209" s="134"/>
      <c r="SRU209" s="135"/>
      <c r="SRV209" s="135"/>
      <c r="SRW209" s="135"/>
      <c r="SRX209" s="135"/>
      <c r="SRY209" s="173"/>
      <c r="SRZ209" s="173"/>
      <c r="SSA209" s="173"/>
      <c r="SSB209" s="173"/>
      <c r="SSC209" s="173"/>
      <c r="SSD209" s="173"/>
      <c r="SSE209" s="173"/>
      <c r="SSF209" s="173"/>
      <c r="SSG209" s="173"/>
      <c r="SSH209" s="173"/>
      <c r="SSI209" s="125"/>
      <c r="SSJ209" s="125"/>
      <c r="SSK209" s="134"/>
      <c r="SSL209" s="135"/>
      <c r="SSM209" s="135"/>
      <c r="SSN209" s="135"/>
      <c r="SSO209" s="135"/>
      <c r="SSP209" s="173"/>
      <c r="SSQ209" s="173"/>
      <c r="SSR209" s="173"/>
      <c r="SSS209" s="173"/>
      <c r="SST209" s="173"/>
      <c r="SSU209" s="173"/>
      <c r="SSV209" s="173"/>
      <c r="SSW209" s="173"/>
      <c r="SSX209" s="173"/>
      <c r="SSY209" s="173"/>
      <c r="SSZ209" s="125"/>
      <c r="STA209" s="125"/>
      <c r="STB209" s="134"/>
      <c r="STC209" s="135"/>
      <c r="STD209" s="135"/>
      <c r="STE209" s="135"/>
      <c r="STF209" s="135"/>
      <c r="STG209" s="173"/>
      <c r="STH209" s="173"/>
      <c r="STI209" s="173"/>
      <c r="STJ209" s="173"/>
      <c r="STK209" s="173"/>
      <c r="STL209" s="173"/>
      <c r="STM209" s="173"/>
      <c r="STN209" s="173"/>
      <c r="STO209" s="173"/>
      <c r="STP209" s="173"/>
      <c r="STQ209" s="125"/>
      <c r="STR209" s="125"/>
      <c r="STS209" s="134"/>
      <c r="STT209" s="135"/>
      <c r="STU209" s="135"/>
      <c r="STV209" s="135"/>
      <c r="STW209" s="135"/>
      <c r="STX209" s="173"/>
      <c r="STY209" s="173"/>
      <c r="STZ209" s="173"/>
      <c r="SUA209" s="173"/>
      <c r="SUB209" s="173"/>
      <c r="SUC209" s="173"/>
      <c r="SUD209" s="173"/>
      <c r="SUE209" s="173"/>
      <c r="SUF209" s="173"/>
      <c r="SUG209" s="173"/>
      <c r="SUH209" s="125"/>
      <c r="SUI209" s="125"/>
      <c r="SUJ209" s="134"/>
      <c r="SUK209" s="135"/>
      <c r="SUL209" s="135"/>
      <c r="SUM209" s="135"/>
      <c r="SUN209" s="135"/>
      <c r="SUO209" s="173"/>
      <c r="SUP209" s="173"/>
      <c r="SUQ209" s="173"/>
      <c r="SUR209" s="173"/>
      <c r="SUS209" s="173"/>
      <c r="SUT209" s="173"/>
      <c r="SUU209" s="173"/>
      <c r="SUV209" s="173"/>
      <c r="SUW209" s="173"/>
      <c r="SUX209" s="173"/>
      <c r="SUY209" s="125"/>
      <c r="SUZ209" s="125"/>
      <c r="SVA209" s="134"/>
      <c r="SVB209" s="135"/>
      <c r="SVC209" s="135"/>
      <c r="SVD209" s="135"/>
      <c r="SVE209" s="135"/>
      <c r="SVF209" s="173"/>
      <c r="SVG209" s="173"/>
      <c r="SVH209" s="173"/>
      <c r="SVI209" s="173"/>
      <c r="SVJ209" s="173"/>
      <c r="SVK209" s="173"/>
      <c r="SVL209" s="173"/>
      <c r="SVM209" s="173"/>
      <c r="SVN209" s="173"/>
      <c r="SVO209" s="173"/>
      <c r="SVP209" s="125"/>
      <c r="SVQ209" s="125"/>
      <c r="SVR209" s="134"/>
      <c r="SVS209" s="135"/>
      <c r="SVT209" s="135"/>
      <c r="SVU209" s="135"/>
      <c r="SVV209" s="135"/>
      <c r="SVW209" s="173"/>
      <c r="SVX209" s="173"/>
      <c r="SVY209" s="173"/>
      <c r="SVZ209" s="173"/>
      <c r="SWA209" s="173"/>
      <c r="SWB209" s="173"/>
      <c r="SWC209" s="173"/>
      <c r="SWD209" s="173"/>
      <c r="SWE209" s="173"/>
      <c r="SWF209" s="173"/>
      <c r="SWG209" s="125"/>
      <c r="SWH209" s="125"/>
      <c r="SWI209" s="134"/>
      <c r="SWJ209" s="135"/>
      <c r="SWK209" s="135"/>
      <c r="SWL209" s="135"/>
      <c r="SWM209" s="135"/>
      <c r="SWN209" s="173"/>
      <c r="SWO209" s="173"/>
      <c r="SWP209" s="173"/>
      <c r="SWQ209" s="173"/>
      <c r="SWR209" s="173"/>
      <c r="SWS209" s="173"/>
      <c r="SWT209" s="173"/>
      <c r="SWU209" s="173"/>
      <c r="SWV209" s="173"/>
      <c r="SWW209" s="173"/>
      <c r="SWX209" s="125"/>
      <c r="SWY209" s="125"/>
      <c r="SWZ209" s="134"/>
      <c r="SXA209" s="135"/>
      <c r="SXB209" s="135"/>
      <c r="SXC209" s="135"/>
      <c r="SXD209" s="135"/>
      <c r="SXE209" s="173"/>
      <c r="SXF209" s="173"/>
      <c r="SXG209" s="173"/>
      <c r="SXH209" s="173"/>
      <c r="SXI209" s="173"/>
      <c r="SXJ209" s="173"/>
      <c r="SXK209" s="173"/>
      <c r="SXL209" s="173"/>
      <c r="SXM209" s="173"/>
      <c r="SXN209" s="173"/>
      <c r="SXO209" s="125"/>
      <c r="SXP209" s="125"/>
      <c r="SXQ209" s="134"/>
      <c r="SXR209" s="135"/>
      <c r="SXS209" s="135"/>
      <c r="SXT209" s="135"/>
      <c r="SXU209" s="135"/>
      <c r="SXV209" s="173"/>
      <c r="SXW209" s="173"/>
      <c r="SXX209" s="173"/>
      <c r="SXY209" s="173"/>
      <c r="SXZ209" s="173"/>
      <c r="SYA209" s="173"/>
      <c r="SYB209" s="173"/>
      <c r="SYC209" s="173"/>
      <c r="SYD209" s="173"/>
      <c r="SYE209" s="173"/>
      <c r="SYF209" s="125"/>
      <c r="SYG209" s="125"/>
      <c r="SYH209" s="134"/>
      <c r="SYI209" s="135"/>
      <c r="SYJ209" s="135"/>
      <c r="SYK209" s="135"/>
      <c r="SYL209" s="135"/>
      <c r="SYM209" s="173"/>
      <c r="SYN209" s="173"/>
      <c r="SYO209" s="173"/>
      <c r="SYP209" s="173"/>
      <c r="SYQ209" s="173"/>
      <c r="SYR209" s="173"/>
      <c r="SYS209" s="173"/>
      <c r="SYT209" s="173"/>
      <c r="SYU209" s="173"/>
      <c r="SYV209" s="173"/>
      <c r="SYW209" s="125"/>
      <c r="SYX209" s="125"/>
      <c r="SYY209" s="134"/>
      <c r="SYZ209" s="135"/>
      <c r="SZA209" s="135"/>
      <c r="SZB209" s="135"/>
      <c r="SZC209" s="135"/>
      <c r="SZD209" s="173"/>
      <c r="SZE209" s="173"/>
      <c r="SZF209" s="173"/>
      <c r="SZG209" s="173"/>
      <c r="SZH209" s="173"/>
      <c r="SZI209" s="173"/>
      <c r="SZJ209" s="173"/>
      <c r="SZK209" s="173"/>
      <c r="SZL209" s="173"/>
      <c r="SZM209" s="173"/>
      <c r="SZN209" s="125"/>
      <c r="SZO209" s="125"/>
      <c r="SZP209" s="134"/>
      <c r="SZQ209" s="135"/>
      <c r="SZR209" s="135"/>
      <c r="SZS209" s="135"/>
      <c r="SZT209" s="135"/>
      <c r="SZU209" s="173"/>
      <c r="SZV209" s="173"/>
      <c r="SZW209" s="173"/>
      <c r="SZX209" s="173"/>
      <c r="SZY209" s="173"/>
      <c r="SZZ209" s="173"/>
      <c r="TAA209" s="173"/>
      <c r="TAB209" s="173"/>
      <c r="TAC209" s="173"/>
      <c r="TAD209" s="173"/>
      <c r="TAE209" s="125"/>
      <c r="TAF209" s="125"/>
      <c r="TAG209" s="134"/>
      <c r="TAH209" s="135"/>
      <c r="TAI209" s="135"/>
      <c r="TAJ209" s="135"/>
      <c r="TAK209" s="135"/>
      <c r="TAL209" s="173"/>
      <c r="TAM209" s="173"/>
      <c r="TAN209" s="173"/>
      <c r="TAO209" s="173"/>
      <c r="TAP209" s="173"/>
      <c r="TAQ209" s="173"/>
      <c r="TAR209" s="173"/>
      <c r="TAS209" s="173"/>
      <c r="TAT209" s="173"/>
      <c r="TAU209" s="173"/>
      <c r="TAV209" s="125"/>
      <c r="TAW209" s="125"/>
      <c r="TAX209" s="134"/>
      <c r="TAY209" s="135"/>
      <c r="TAZ209" s="135"/>
      <c r="TBA209" s="135"/>
      <c r="TBB209" s="135"/>
      <c r="TBC209" s="173"/>
      <c r="TBD209" s="173"/>
      <c r="TBE209" s="173"/>
      <c r="TBF209" s="173"/>
      <c r="TBG209" s="173"/>
      <c r="TBH209" s="173"/>
      <c r="TBI209" s="173"/>
      <c r="TBJ209" s="173"/>
      <c r="TBK209" s="173"/>
      <c r="TBL209" s="173"/>
      <c r="TBM209" s="125"/>
      <c r="TBN209" s="125"/>
      <c r="TBO209" s="134"/>
      <c r="TBP209" s="135"/>
      <c r="TBQ209" s="135"/>
      <c r="TBR209" s="135"/>
      <c r="TBS209" s="135"/>
      <c r="TBT209" s="173"/>
      <c r="TBU209" s="173"/>
      <c r="TBV209" s="173"/>
      <c r="TBW209" s="173"/>
      <c r="TBX209" s="173"/>
      <c r="TBY209" s="173"/>
      <c r="TBZ209" s="173"/>
      <c r="TCA209" s="173"/>
      <c r="TCB209" s="173"/>
      <c r="TCC209" s="173"/>
      <c r="TCD209" s="125"/>
      <c r="TCE209" s="125"/>
      <c r="TCF209" s="134"/>
      <c r="TCG209" s="135"/>
      <c r="TCH209" s="135"/>
      <c r="TCI209" s="135"/>
      <c r="TCJ209" s="135"/>
      <c r="TCK209" s="173"/>
      <c r="TCL209" s="173"/>
      <c r="TCM209" s="173"/>
      <c r="TCN209" s="173"/>
      <c r="TCO209" s="173"/>
      <c r="TCP209" s="173"/>
      <c r="TCQ209" s="173"/>
      <c r="TCR209" s="173"/>
      <c r="TCS209" s="173"/>
      <c r="TCT209" s="173"/>
      <c r="TCU209" s="125"/>
      <c r="TCV209" s="125"/>
      <c r="TCW209" s="134"/>
      <c r="TCX209" s="135"/>
      <c r="TCY209" s="135"/>
      <c r="TCZ209" s="135"/>
      <c r="TDA209" s="135"/>
      <c r="TDB209" s="173"/>
      <c r="TDC209" s="173"/>
      <c r="TDD209" s="173"/>
      <c r="TDE209" s="173"/>
      <c r="TDF209" s="173"/>
      <c r="TDG209" s="173"/>
      <c r="TDH209" s="173"/>
      <c r="TDI209" s="173"/>
      <c r="TDJ209" s="173"/>
      <c r="TDK209" s="173"/>
      <c r="TDL209" s="125"/>
      <c r="TDM209" s="125"/>
      <c r="TDN209" s="134"/>
      <c r="TDO209" s="135"/>
      <c r="TDP209" s="135"/>
      <c r="TDQ209" s="135"/>
      <c r="TDR209" s="135"/>
      <c r="TDS209" s="173"/>
      <c r="TDT209" s="173"/>
      <c r="TDU209" s="173"/>
      <c r="TDV209" s="173"/>
      <c r="TDW209" s="173"/>
      <c r="TDX209" s="173"/>
      <c r="TDY209" s="173"/>
      <c r="TDZ209" s="173"/>
      <c r="TEA209" s="173"/>
      <c r="TEB209" s="173"/>
      <c r="TEC209" s="125"/>
      <c r="TED209" s="125"/>
      <c r="TEE209" s="134"/>
      <c r="TEF209" s="135"/>
      <c r="TEG209" s="135"/>
      <c r="TEH209" s="135"/>
      <c r="TEI209" s="135"/>
      <c r="TEJ209" s="173"/>
      <c r="TEK209" s="173"/>
      <c r="TEL209" s="173"/>
      <c r="TEM209" s="173"/>
      <c r="TEN209" s="173"/>
      <c r="TEO209" s="173"/>
      <c r="TEP209" s="173"/>
      <c r="TEQ209" s="173"/>
      <c r="TER209" s="173"/>
      <c r="TES209" s="173"/>
      <c r="TET209" s="125"/>
      <c r="TEU209" s="125"/>
      <c r="TEV209" s="134"/>
      <c r="TEW209" s="135"/>
      <c r="TEX209" s="135"/>
      <c r="TEY209" s="135"/>
      <c r="TEZ209" s="135"/>
      <c r="TFA209" s="173"/>
      <c r="TFB209" s="173"/>
      <c r="TFC209" s="173"/>
      <c r="TFD209" s="173"/>
      <c r="TFE209" s="173"/>
      <c r="TFF209" s="173"/>
      <c r="TFG209" s="173"/>
      <c r="TFH209" s="173"/>
      <c r="TFI209" s="173"/>
      <c r="TFJ209" s="173"/>
      <c r="TFK209" s="125"/>
      <c r="TFL209" s="125"/>
      <c r="TFM209" s="134"/>
      <c r="TFN209" s="135"/>
      <c r="TFO209" s="135"/>
      <c r="TFP209" s="135"/>
      <c r="TFQ209" s="135"/>
      <c r="TFR209" s="173"/>
      <c r="TFS209" s="173"/>
      <c r="TFT209" s="173"/>
      <c r="TFU209" s="173"/>
      <c r="TFV209" s="173"/>
      <c r="TFW209" s="173"/>
      <c r="TFX209" s="173"/>
      <c r="TFY209" s="173"/>
      <c r="TFZ209" s="173"/>
      <c r="TGA209" s="173"/>
      <c r="TGB209" s="125"/>
      <c r="TGC209" s="125"/>
      <c r="TGD209" s="134"/>
      <c r="TGE209" s="135"/>
      <c r="TGF209" s="135"/>
      <c r="TGG209" s="135"/>
      <c r="TGH209" s="135"/>
      <c r="TGI209" s="173"/>
      <c r="TGJ209" s="173"/>
      <c r="TGK209" s="173"/>
      <c r="TGL209" s="173"/>
      <c r="TGM209" s="173"/>
      <c r="TGN209" s="173"/>
      <c r="TGO209" s="173"/>
      <c r="TGP209" s="173"/>
      <c r="TGQ209" s="173"/>
      <c r="TGR209" s="173"/>
      <c r="TGS209" s="125"/>
      <c r="TGT209" s="125"/>
      <c r="TGU209" s="134"/>
      <c r="TGV209" s="135"/>
      <c r="TGW209" s="135"/>
      <c r="TGX209" s="135"/>
      <c r="TGY209" s="135"/>
      <c r="TGZ209" s="173"/>
      <c r="THA209" s="173"/>
      <c r="THB209" s="173"/>
      <c r="THC209" s="173"/>
      <c r="THD209" s="173"/>
      <c r="THE209" s="173"/>
      <c r="THF209" s="173"/>
      <c r="THG209" s="173"/>
      <c r="THH209" s="173"/>
      <c r="THI209" s="173"/>
      <c r="THJ209" s="125"/>
      <c r="THK209" s="125"/>
      <c r="THL209" s="134"/>
      <c r="THM209" s="135"/>
      <c r="THN209" s="135"/>
      <c r="THO209" s="135"/>
      <c r="THP209" s="135"/>
      <c r="THQ209" s="173"/>
      <c r="THR209" s="173"/>
      <c r="THS209" s="173"/>
      <c r="THT209" s="173"/>
      <c r="THU209" s="173"/>
      <c r="THV209" s="173"/>
      <c r="THW209" s="173"/>
      <c r="THX209" s="173"/>
      <c r="THY209" s="173"/>
      <c r="THZ209" s="173"/>
      <c r="TIA209" s="125"/>
      <c r="TIB209" s="125"/>
      <c r="TIC209" s="134"/>
      <c r="TID209" s="135"/>
      <c r="TIE209" s="135"/>
      <c r="TIF209" s="135"/>
      <c r="TIG209" s="135"/>
      <c r="TIH209" s="173"/>
      <c r="TII209" s="173"/>
      <c r="TIJ209" s="173"/>
      <c r="TIK209" s="173"/>
      <c r="TIL209" s="173"/>
      <c r="TIM209" s="173"/>
      <c r="TIN209" s="173"/>
      <c r="TIO209" s="173"/>
      <c r="TIP209" s="173"/>
      <c r="TIQ209" s="173"/>
      <c r="TIR209" s="125"/>
      <c r="TIS209" s="125"/>
      <c r="TIT209" s="134"/>
      <c r="TIU209" s="135"/>
      <c r="TIV209" s="135"/>
      <c r="TIW209" s="135"/>
      <c r="TIX209" s="135"/>
      <c r="TIY209" s="173"/>
      <c r="TIZ209" s="173"/>
      <c r="TJA209" s="173"/>
      <c r="TJB209" s="173"/>
      <c r="TJC209" s="173"/>
      <c r="TJD209" s="173"/>
      <c r="TJE209" s="173"/>
      <c r="TJF209" s="173"/>
      <c r="TJG209" s="173"/>
      <c r="TJH209" s="173"/>
      <c r="TJI209" s="125"/>
      <c r="TJJ209" s="125"/>
      <c r="TJK209" s="134"/>
      <c r="TJL209" s="135"/>
      <c r="TJM209" s="135"/>
      <c r="TJN209" s="135"/>
      <c r="TJO209" s="135"/>
      <c r="TJP209" s="173"/>
      <c r="TJQ209" s="173"/>
      <c r="TJR209" s="173"/>
      <c r="TJS209" s="173"/>
      <c r="TJT209" s="173"/>
      <c r="TJU209" s="173"/>
      <c r="TJV209" s="173"/>
      <c r="TJW209" s="173"/>
      <c r="TJX209" s="173"/>
      <c r="TJY209" s="173"/>
      <c r="TJZ209" s="125"/>
      <c r="TKA209" s="125"/>
      <c r="TKB209" s="134"/>
      <c r="TKC209" s="135"/>
      <c r="TKD209" s="135"/>
      <c r="TKE209" s="135"/>
      <c r="TKF209" s="135"/>
      <c r="TKG209" s="173"/>
      <c r="TKH209" s="173"/>
      <c r="TKI209" s="173"/>
      <c r="TKJ209" s="173"/>
      <c r="TKK209" s="173"/>
      <c r="TKL209" s="173"/>
      <c r="TKM209" s="173"/>
      <c r="TKN209" s="173"/>
      <c r="TKO209" s="173"/>
      <c r="TKP209" s="173"/>
      <c r="TKQ209" s="125"/>
      <c r="TKR209" s="125"/>
      <c r="TKS209" s="134"/>
      <c r="TKT209" s="135"/>
      <c r="TKU209" s="135"/>
      <c r="TKV209" s="135"/>
      <c r="TKW209" s="135"/>
      <c r="TKX209" s="173"/>
      <c r="TKY209" s="173"/>
      <c r="TKZ209" s="173"/>
      <c r="TLA209" s="173"/>
      <c r="TLB209" s="173"/>
      <c r="TLC209" s="173"/>
      <c r="TLD209" s="173"/>
      <c r="TLE209" s="173"/>
      <c r="TLF209" s="173"/>
      <c r="TLG209" s="173"/>
      <c r="TLH209" s="125"/>
      <c r="TLI209" s="125"/>
      <c r="TLJ209" s="134"/>
      <c r="TLK209" s="135"/>
      <c r="TLL209" s="135"/>
      <c r="TLM209" s="135"/>
      <c r="TLN209" s="135"/>
      <c r="TLO209" s="173"/>
      <c r="TLP209" s="173"/>
      <c r="TLQ209" s="173"/>
      <c r="TLR209" s="173"/>
      <c r="TLS209" s="173"/>
      <c r="TLT209" s="173"/>
      <c r="TLU209" s="173"/>
      <c r="TLV209" s="173"/>
      <c r="TLW209" s="173"/>
      <c r="TLX209" s="173"/>
      <c r="TLY209" s="125"/>
      <c r="TLZ209" s="125"/>
      <c r="TMA209" s="134"/>
      <c r="TMB209" s="135"/>
      <c r="TMC209" s="135"/>
      <c r="TMD209" s="135"/>
      <c r="TME209" s="135"/>
      <c r="TMF209" s="173"/>
      <c r="TMG209" s="173"/>
      <c r="TMH209" s="173"/>
      <c r="TMI209" s="173"/>
      <c r="TMJ209" s="173"/>
      <c r="TMK209" s="173"/>
      <c r="TML209" s="173"/>
      <c r="TMM209" s="173"/>
      <c r="TMN209" s="173"/>
      <c r="TMO209" s="173"/>
      <c r="TMP209" s="125"/>
      <c r="TMQ209" s="125"/>
      <c r="TMR209" s="134"/>
      <c r="TMS209" s="135"/>
      <c r="TMT209" s="135"/>
      <c r="TMU209" s="135"/>
      <c r="TMV209" s="135"/>
      <c r="TMW209" s="173"/>
      <c r="TMX209" s="173"/>
      <c r="TMY209" s="173"/>
      <c r="TMZ209" s="173"/>
      <c r="TNA209" s="173"/>
      <c r="TNB209" s="173"/>
      <c r="TNC209" s="173"/>
      <c r="TND209" s="173"/>
      <c r="TNE209" s="173"/>
      <c r="TNF209" s="173"/>
      <c r="TNG209" s="125"/>
      <c r="TNH209" s="125"/>
      <c r="TNI209" s="134"/>
      <c r="TNJ209" s="135"/>
      <c r="TNK209" s="135"/>
      <c r="TNL209" s="135"/>
      <c r="TNM209" s="135"/>
      <c r="TNN209" s="173"/>
      <c r="TNO209" s="173"/>
      <c r="TNP209" s="173"/>
      <c r="TNQ209" s="173"/>
      <c r="TNR209" s="173"/>
      <c r="TNS209" s="173"/>
      <c r="TNT209" s="173"/>
      <c r="TNU209" s="173"/>
      <c r="TNV209" s="173"/>
      <c r="TNW209" s="173"/>
      <c r="TNX209" s="125"/>
      <c r="TNY209" s="125"/>
      <c r="TNZ209" s="134"/>
      <c r="TOA209" s="135"/>
      <c r="TOB209" s="135"/>
      <c r="TOC209" s="135"/>
      <c r="TOD209" s="135"/>
      <c r="TOE209" s="173"/>
      <c r="TOF209" s="173"/>
      <c r="TOG209" s="173"/>
      <c r="TOH209" s="173"/>
      <c r="TOI209" s="173"/>
      <c r="TOJ209" s="173"/>
      <c r="TOK209" s="173"/>
      <c r="TOL209" s="173"/>
      <c r="TOM209" s="173"/>
      <c r="TON209" s="173"/>
      <c r="TOO209" s="125"/>
      <c r="TOP209" s="125"/>
      <c r="TOQ209" s="134"/>
      <c r="TOR209" s="135"/>
      <c r="TOS209" s="135"/>
      <c r="TOT209" s="135"/>
      <c r="TOU209" s="135"/>
      <c r="TOV209" s="173"/>
      <c r="TOW209" s="173"/>
      <c r="TOX209" s="173"/>
      <c r="TOY209" s="173"/>
      <c r="TOZ209" s="173"/>
      <c r="TPA209" s="173"/>
      <c r="TPB209" s="173"/>
      <c r="TPC209" s="173"/>
      <c r="TPD209" s="173"/>
      <c r="TPE209" s="173"/>
      <c r="TPF209" s="125"/>
      <c r="TPG209" s="125"/>
      <c r="TPH209" s="134"/>
      <c r="TPI209" s="135"/>
      <c r="TPJ209" s="135"/>
      <c r="TPK209" s="135"/>
      <c r="TPL209" s="135"/>
      <c r="TPM209" s="173"/>
      <c r="TPN209" s="173"/>
      <c r="TPO209" s="173"/>
      <c r="TPP209" s="173"/>
      <c r="TPQ209" s="173"/>
      <c r="TPR209" s="173"/>
      <c r="TPS209" s="173"/>
      <c r="TPT209" s="173"/>
      <c r="TPU209" s="173"/>
      <c r="TPV209" s="173"/>
      <c r="TPW209" s="125"/>
      <c r="TPX209" s="125"/>
      <c r="TPY209" s="134"/>
      <c r="TPZ209" s="135"/>
      <c r="TQA209" s="135"/>
      <c r="TQB209" s="135"/>
      <c r="TQC209" s="135"/>
      <c r="TQD209" s="173"/>
      <c r="TQE209" s="173"/>
      <c r="TQF209" s="173"/>
      <c r="TQG209" s="173"/>
      <c r="TQH209" s="173"/>
      <c r="TQI209" s="173"/>
      <c r="TQJ209" s="173"/>
      <c r="TQK209" s="173"/>
      <c r="TQL209" s="173"/>
      <c r="TQM209" s="173"/>
      <c r="TQN209" s="125"/>
      <c r="TQO209" s="125"/>
      <c r="TQP209" s="134"/>
      <c r="TQQ209" s="135"/>
      <c r="TQR209" s="135"/>
      <c r="TQS209" s="135"/>
      <c r="TQT209" s="135"/>
      <c r="TQU209" s="173"/>
      <c r="TQV209" s="173"/>
      <c r="TQW209" s="173"/>
      <c r="TQX209" s="173"/>
      <c r="TQY209" s="173"/>
      <c r="TQZ209" s="173"/>
      <c r="TRA209" s="173"/>
      <c r="TRB209" s="173"/>
      <c r="TRC209" s="173"/>
      <c r="TRD209" s="173"/>
      <c r="TRE209" s="125"/>
      <c r="TRF209" s="125"/>
      <c r="TRG209" s="134"/>
      <c r="TRH209" s="135"/>
      <c r="TRI209" s="135"/>
      <c r="TRJ209" s="135"/>
      <c r="TRK209" s="135"/>
      <c r="TRL209" s="173"/>
      <c r="TRM209" s="173"/>
      <c r="TRN209" s="173"/>
      <c r="TRO209" s="173"/>
      <c r="TRP209" s="173"/>
      <c r="TRQ209" s="173"/>
      <c r="TRR209" s="173"/>
      <c r="TRS209" s="173"/>
      <c r="TRT209" s="173"/>
      <c r="TRU209" s="173"/>
      <c r="TRV209" s="125"/>
      <c r="TRW209" s="125"/>
      <c r="TRX209" s="134"/>
      <c r="TRY209" s="135"/>
      <c r="TRZ209" s="135"/>
      <c r="TSA209" s="135"/>
      <c r="TSB209" s="135"/>
      <c r="TSC209" s="173"/>
      <c r="TSD209" s="173"/>
      <c r="TSE209" s="173"/>
      <c r="TSF209" s="173"/>
      <c r="TSG209" s="173"/>
      <c r="TSH209" s="173"/>
      <c r="TSI209" s="173"/>
      <c r="TSJ209" s="173"/>
      <c r="TSK209" s="173"/>
      <c r="TSL209" s="173"/>
      <c r="TSM209" s="125"/>
      <c r="TSN209" s="125"/>
      <c r="TSO209" s="134"/>
      <c r="TSP209" s="135"/>
      <c r="TSQ209" s="135"/>
      <c r="TSR209" s="135"/>
      <c r="TSS209" s="135"/>
      <c r="TST209" s="173"/>
      <c r="TSU209" s="173"/>
      <c r="TSV209" s="173"/>
      <c r="TSW209" s="173"/>
      <c r="TSX209" s="173"/>
      <c r="TSY209" s="173"/>
      <c r="TSZ209" s="173"/>
      <c r="TTA209" s="173"/>
      <c r="TTB209" s="173"/>
      <c r="TTC209" s="173"/>
      <c r="TTD209" s="125"/>
      <c r="TTE209" s="125"/>
      <c r="TTF209" s="134"/>
      <c r="TTG209" s="135"/>
      <c r="TTH209" s="135"/>
      <c r="TTI209" s="135"/>
      <c r="TTJ209" s="135"/>
      <c r="TTK209" s="173"/>
      <c r="TTL209" s="173"/>
      <c r="TTM209" s="173"/>
      <c r="TTN209" s="173"/>
      <c r="TTO209" s="173"/>
      <c r="TTP209" s="173"/>
      <c r="TTQ209" s="173"/>
      <c r="TTR209" s="173"/>
      <c r="TTS209" s="173"/>
      <c r="TTT209" s="173"/>
      <c r="TTU209" s="125"/>
      <c r="TTV209" s="125"/>
      <c r="TTW209" s="134"/>
      <c r="TTX209" s="135"/>
      <c r="TTY209" s="135"/>
      <c r="TTZ209" s="135"/>
      <c r="TUA209" s="135"/>
      <c r="TUB209" s="173"/>
      <c r="TUC209" s="173"/>
      <c r="TUD209" s="173"/>
      <c r="TUE209" s="173"/>
      <c r="TUF209" s="173"/>
      <c r="TUG209" s="173"/>
      <c r="TUH209" s="173"/>
      <c r="TUI209" s="173"/>
      <c r="TUJ209" s="173"/>
      <c r="TUK209" s="173"/>
      <c r="TUL209" s="125"/>
      <c r="TUM209" s="125"/>
      <c r="TUN209" s="134"/>
      <c r="TUO209" s="135"/>
      <c r="TUP209" s="135"/>
      <c r="TUQ209" s="135"/>
      <c r="TUR209" s="135"/>
      <c r="TUS209" s="173"/>
      <c r="TUT209" s="173"/>
      <c r="TUU209" s="173"/>
      <c r="TUV209" s="173"/>
      <c r="TUW209" s="173"/>
      <c r="TUX209" s="173"/>
      <c r="TUY209" s="173"/>
      <c r="TUZ209" s="173"/>
      <c r="TVA209" s="173"/>
      <c r="TVB209" s="173"/>
      <c r="TVC209" s="125"/>
      <c r="TVD209" s="125"/>
      <c r="TVE209" s="134"/>
      <c r="TVF209" s="135"/>
      <c r="TVG209" s="135"/>
      <c r="TVH209" s="135"/>
      <c r="TVI209" s="135"/>
      <c r="TVJ209" s="173"/>
      <c r="TVK209" s="173"/>
      <c r="TVL209" s="173"/>
      <c r="TVM209" s="173"/>
      <c r="TVN209" s="173"/>
      <c r="TVO209" s="173"/>
      <c r="TVP209" s="173"/>
      <c r="TVQ209" s="173"/>
      <c r="TVR209" s="173"/>
      <c r="TVS209" s="173"/>
      <c r="TVT209" s="125"/>
      <c r="TVU209" s="125"/>
      <c r="TVV209" s="134"/>
      <c r="TVW209" s="135"/>
      <c r="TVX209" s="135"/>
      <c r="TVY209" s="135"/>
      <c r="TVZ209" s="135"/>
      <c r="TWA209" s="173"/>
      <c r="TWB209" s="173"/>
      <c r="TWC209" s="173"/>
      <c r="TWD209" s="173"/>
      <c r="TWE209" s="173"/>
      <c r="TWF209" s="173"/>
      <c r="TWG209" s="173"/>
      <c r="TWH209" s="173"/>
      <c r="TWI209" s="173"/>
      <c r="TWJ209" s="173"/>
      <c r="TWK209" s="125"/>
      <c r="TWL209" s="125"/>
      <c r="TWM209" s="134"/>
      <c r="TWN209" s="135"/>
      <c r="TWO209" s="135"/>
      <c r="TWP209" s="135"/>
      <c r="TWQ209" s="135"/>
      <c r="TWR209" s="173"/>
      <c r="TWS209" s="173"/>
      <c r="TWT209" s="173"/>
      <c r="TWU209" s="173"/>
      <c r="TWV209" s="173"/>
      <c r="TWW209" s="173"/>
      <c r="TWX209" s="173"/>
      <c r="TWY209" s="173"/>
      <c r="TWZ209" s="173"/>
      <c r="TXA209" s="173"/>
      <c r="TXB209" s="125"/>
      <c r="TXC209" s="125"/>
      <c r="TXD209" s="134"/>
      <c r="TXE209" s="135"/>
      <c r="TXF209" s="135"/>
      <c r="TXG209" s="135"/>
      <c r="TXH209" s="135"/>
      <c r="TXI209" s="173"/>
      <c r="TXJ209" s="173"/>
      <c r="TXK209" s="173"/>
      <c r="TXL209" s="173"/>
      <c r="TXM209" s="173"/>
      <c r="TXN209" s="173"/>
      <c r="TXO209" s="173"/>
      <c r="TXP209" s="173"/>
      <c r="TXQ209" s="173"/>
      <c r="TXR209" s="173"/>
      <c r="TXS209" s="125"/>
      <c r="TXT209" s="125"/>
      <c r="TXU209" s="134"/>
      <c r="TXV209" s="135"/>
      <c r="TXW209" s="135"/>
      <c r="TXX209" s="135"/>
      <c r="TXY209" s="135"/>
      <c r="TXZ209" s="173"/>
      <c r="TYA209" s="173"/>
      <c r="TYB209" s="173"/>
      <c r="TYC209" s="173"/>
      <c r="TYD209" s="173"/>
      <c r="TYE209" s="173"/>
      <c r="TYF209" s="173"/>
      <c r="TYG209" s="173"/>
      <c r="TYH209" s="173"/>
      <c r="TYI209" s="173"/>
      <c r="TYJ209" s="125"/>
      <c r="TYK209" s="125"/>
      <c r="TYL209" s="134"/>
      <c r="TYM209" s="135"/>
      <c r="TYN209" s="135"/>
      <c r="TYO209" s="135"/>
      <c r="TYP209" s="135"/>
      <c r="TYQ209" s="173"/>
      <c r="TYR209" s="173"/>
      <c r="TYS209" s="173"/>
      <c r="TYT209" s="173"/>
      <c r="TYU209" s="173"/>
      <c r="TYV209" s="173"/>
      <c r="TYW209" s="173"/>
      <c r="TYX209" s="173"/>
      <c r="TYY209" s="173"/>
      <c r="TYZ209" s="173"/>
      <c r="TZA209" s="125"/>
      <c r="TZB209" s="125"/>
      <c r="TZC209" s="134"/>
      <c r="TZD209" s="135"/>
      <c r="TZE209" s="135"/>
      <c r="TZF209" s="135"/>
      <c r="TZG209" s="135"/>
      <c r="TZH209" s="173"/>
      <c r="TZI209" s="173"/>
      <c r="TZJ209" s="173"/>
      <c r="TZK209" s="173"/>
      <c r="TZL209" s="173"/>
      <c r="TZM209" s="173"/>
      <c r="TZN209" s="173"/>
      <c r="TZO209" s="173"/>
      <c r="TZP209" s="173"/>
      <c r="TZQ209" s="173"/>
      <c r="TZR209" s="125"/>
      <c r="TZS209" s="125"/>
      <c r="TZT209" s="134"/>
      <c r="TZU209" s="135"/>
      <c r="TZV209" s="135"/>
      <c r="TZW209" s="135"/>
      <c r="TZX209" s="135"/>
      <c r="TZY209" s="173"/>
      <c r="TZZ209" s="173"/>
      <c r="UAA209" s="173"/>
      <c r="UAB209" s="173"/>
      <c r="UAC209" s="173"/>
      <c r="UAD209" s="173"/>
      <c r="UAE209" s="173"/>
      <c r="UAF209" s="173"/>
      <c r="UAG209" s="173"/>
      <c r="UAH209" s="173"/>
      <c r="UAI209" s="125"/>
      <c r="UAJ209" s="125"/>
      <c r="UAK209" s="134"/>
      <c r="UAL209" s="135"/>
      <c r="UAM209" s="135"/>
      <c r="UAN209" s="135"/>
      <c r="UAO209" s="135"/>
      <c r="UAP209" s="173"/>
      <c r="UAQ209" s="173"/>
      <c r="UAR209" s="173"/>
      <c r="UAS209" s="173"/>
      <c r="UAT209" s="173"/>
      <c r="UAU209" s="173"/>
      <c r="UAV209" s="173"/>
      <c r="UAW209" s="173"/>
      <c r="UAX209" s="173"/>
      <c r="UAY209" s="173"/>
      <c r="UAZ209" s="125"/>
      <c r="UBA209" s="125"/>
      <c r="UBB209" s="134"/>
      <c r="UBC209" s="135"/>
      <c r="UBD209" s="135"/>
      <c r="UBE209" s="135"/>
      <c r="UBF209" s="135"/>
      <c r="UBG209" s="173"/>
      <c r="UBH209" s="173"/>
      <c r="UBI209" s="173"/>
      <c r="UBJ209" s="173"/>
      <c r="UBK209" s="173"/>
      <c r="UBL209" s="173"/>
      <c r="UBM209" s="173"/>
      <c r="UBN209" s="173"/>
      <c r="UBO209" s="173"/>
      <c r="UBP209" s="173"/>
      <c r="UBQ209" s="125"/>
      <c r="UBR209" s="125"/>
      <c r="UBS209" s="134"/>
      <c r="UBT209" s="135"/>
      <c r="UBU209" s="135"/>
      <c r="UBV209" s="135"/>
      <c r="UBW209" s="135"/>
      <c r="UBX209" s="173"/>
      <c r="UBY209" s="173"/>
      <c r="UBZ209" s="173"/>
      <c r="UCA209" s="173"/>
      <c r="UCB209" s="173"/>
      <c r="UCC209" s="173"/>
      <c r="UCD209" s="173"/>
      <c r="UCE209" s="173"/>
      <c r="UCF209" s="173"/>
      <c r="UCG209" s="173"/>
      <c r="UCH209" s="125"/>
      <c r="UCI209" s="125"/>
      <c r="UCJ209" s="134"/>
      <c r="UCK209" s="135"/>
      <c r="UCL209" s="135"/>
      <c r="UCM209" s="135"/>
      <c r="UCN209" s="135"/>
      <c r="UCO209" s="173"/>
      <c r="UCP209" s="173"/>
      <c r="UCQ209" s="173"/>
      <c r="UCR209" s="173"/>
      <c r="UCS209" s="173"/>
      <c r="UCT209" s="173"/>
      <c r="UCU209" s="173"/>
      <c r="UCV209" s="173"/>
      <c r="UCW209" s="173"/>
      <c r="UCX209" s="173"/>
      <c r="UCY209" s="125"/>
      <c r="UCZ209" s="125"/>
      <c r="UDA209" s="134"/>
      <c r="UDB209" s="135"/>
      <c r="UDC209" s="135"/>
      <c r="UDD209" s="135"/>
      <c r="UDE209" s="135"/>
      <c r="UDF209" s="173"/>
      <c r="UDG209" s="173"/>
      <c r="UDH209" s="173"/>
      <c r="UDI209" s="173"/>
      <c r="UDJ209" s="173"/>
      <c r="UDK209" s="173"/>
      <c r="UDL209" s="173"/>
      <c r="UDM209" s="173"/>
      <c r="UDN209" s="173"/>
      <c r="UDO209" s="173"/>
      <c r="UDP209" s="125"/>
      <c r="UDQ209" s="125"/>
      <c r="UDR209" s="134"/>
      <c r="UDS209" s="135"/>
      <c r="UDT209" s="135"/>
      <c r="UDU209" s="135"/>
      <c r="UDV209" s="135"/>
      <c r="UDW209" s="173"/>
      <c r="UDX209" s="173"/>
      <c r="UDY209" s="173"/>
      <c r="UDZ209" s="173"/>
      <c r="UEA209" s="173"/>
      <c r="UEB209" s="173"/>
      <c r="UEC209" s="173"/>
      <c r="UED209" s="173"/>
      <c r="UEE209" s="173"/>
      <c r="UEF209" s="173"/>
      <c r="UEG209" s="125"/>
      <c r="UEH209" s="125"/>
      <c r="UEI209" s="134"/>
      <c r="UEJ209" s="135"/>
      <c r="UEK209" s="135"/>
      <c r="UEL209" s="135"/>
      <c r="UEM209" s="135"/>
      <c r="UEN209" s="173"/>
      <c r="UEO209" s="173"/>
      <c r="UEP209" s="173"/>
      <c r="UEQ209" s="173"/>
      <c r="UER209" s="173"/>
      <c r="UES209" s="173"/>
      <c r="UET209" s="173"/>
      <c r="UEU209" s="173"/>
      <c r="UEV209" s="173"/>
      <c r="UEW209" s="173"/>
      <c r="UEX209" s="125"/>
      <c r="UEY209" s="125"/>
      <c r="UEZ209" s="134"/>
      <c r="UFA209" s="135"/>
      <c r="UFB209" s="135"/>
      <c r="UFC209" s="135"/>
      <c r="UFD209" s="135"/>
      <c r="UFE209" s="173"/>
      <c r="UFF209" s="173"/>
      <c r="UFG209" s="173"/>
      <c r="UFH209" s="173"/>
      <c r="UFI209" s="173"/>
      <c r="UFJ209" s="173"/>
      <c r="UFK209" s="173"/>
      <c r="UFL209" s="173"/>
      <c r="UFM209" s="173"/>
      <c r="UFN209" s="173"/>
      <c r="UFO209" s="125"/>
      <c r="UFP209" s="125"/>
      <c r="UFQ209" s="134"/>
      <c r="UFR209" s="135"/>
      <c r="UFS209" s="135"/>
      <c r="UFT209" s="135"/>
      <c r="UFU209" s="135"/>
      <c r="UFV209" s="173"/>
      <c r="UFW209" s="173"/>
      <c r="UFX209" s="173"/>
      <c r="UFY209" s="173"/>
      <c r="UFZ209" s="173"/>
      <c r="UGA209" s="173"/>
      <c r="UGB209" s="173"/>
      <c r="UGC209" s="173"/>
      <c r="UGD209" s="173"/>
      <c r="UGE209" s="173"/>
      <c r="UGF209" s="125"/>
      <c r="UGG209" s="125"/>
      <c r="UGH209" s="134"/>
      <c r="UGI209" s="135"/>
      <c r="UGJ209" s="135"/>
      <c r="UGK209" s="135"/>
      <c r="UGL209" s="135"/>
      <c r="UGM209" s="173"/>
      <c r="UGN209" s="173"/>
      <c r="UGO209" s="173"/>
      <c r="UGP209" s="173"/>
      <c r="UGQ209" s="173"/>
      <c r="UGR209" s="173"/>
      <c r="UGS209" s="173"/>
      <c r="UGT209" s="173"/>
      <c r="UGU209" s="173"/>
      <c r="UGV209" s="173"/>
      <c r="UGW209" s="125"/>
      <c r="UGX209" s="125"/>
      <c r="UGY209" s="134"/>
      <c r="UGZ209" s="135"/>
      <c r="UHA209" s="135"/>
      <c r="UHB209" s="135"/>
      <c r="UHC209" s="135"/>
      <c r="UHD209" s="173"/>
      <c r="UHE209" s="173"/>
      <c r="UHF209" s="173"/>
      <c r="UHG209" s="173"/>
      <c r="UHH209" s="173"/>
      <c r="UHI209" s="173"/>
      <c r="UHJ209" s="173"/>
      <c r="UHK209" s="173"/>
      <c r="UHL209" s="173"/>
      <c r="UHM209" s="173"/>
      <c r="UHN209" s="125"/>
      <c r="UHO209" s="125"/>
      <c r="UHP209" s="134"/>
      <c r="UHQ209" s="135"/>
      <c r="UHR209" s="135"/>
      <c r="UHS209" s="135"/>
      <c r="UHT209" s="135"/>
      <c r="UHU209" s="173"/>
      <c r="UHV209" s="173"/>
      <c r="UHW209" s="173"/>
      <c r="UHX209" s="173"/>
      <c r="UHY209" s="173"/>
      <c r="UHZ209" s="173"/>
      <c r="UIA209" s="173"/>
      <c r="UIB209" s="173"/>
      <c r="UIC209" s="173"/>
      <c r="UID209" s="173"/>
      <c r="UIE209" s="125"/>
      <c r="UIF209" s="125"/>
      <c r="UIG209" s="134"/>
      <c r="UIH209" s="135"/>
      <c r="UII209" s="135"/>
      <c r="UIJ209" s="135"/>
      <c r="UIK209" s="135"/>
      <c r="UIL209" s="173"/>
      <c r="UIM209" s="173"/>
      <c r="UIN209" s="173"/>
      <c r="UIO209" s="173"/>
      <c r="UIP209" s="173"/>
      <c r="UIQ209" s="173"/>
      <c r="UIR209" s="173"/>
      <c r="UIS209" s="173"/>
      <c r="UIT209" s="173"/>
      <c r="UIU209" s="173"/>
      <c r="UIV209" s="125"/>
      <c r="UIW209" s="125"/>
      <c r="UIX209" s="134"/>
      <c r="UIY209" s="135"/>
      <c r="UIZ209" s="135"/>
      <c r="UJA209" s="135"/>
      <c r="UJB209" s="135"/>
      <c r="UJC209" s="173"/>
      <c r="UJD209" s="173"/>
      <c r="UJE209" s="173"/>
      <c r="UJF209" s="173"/>
      <c r="UJG209" s="173"/>
      <c r="UJH209" s="173"/>
      <c r="UJI209" s="173"/>
      <c r="UJJ209" s="173"/>
      <c r="UJK209" s="173"/>
      <c r="UJL209" s="173"/>
      <c r="UJM209" s="125"/>
      <c r="UJN209" s="125"/>
      <c r="UJO209" s="134"/>
      <c r="UJP209" s="135"/>
      <c r="UJQ209" s="135"/>
      <c r="UJR209" s="135"/>
      <c r="UJS209" s="135"/>
      <c r="UJT209" s="173"/>
      <c r="UJU209" s="173"/>
      <c r="UJV209" s="173"/>
      <c r="UJW209" s="173"/>
      <c r="UJX209" s="173"/>
      <c r="UJY209" s="173"/>
      <c r="UJZ209" s="173"/>
      <c r="UKA209" s="173"/>
      <c r="UKB209" s="173"/>
      <c r="UKC209" s="173"/>
      <c r="UKD209" s="125"/>
      <c r="UKE209" s="125"/>
      <c r="UKF209" s="134"/>
      <c r="UKG209" s="135"/>
      <c r="UKH209" s="135"/>
      <c r="UKI209" s="135"/>
      <c r="UKJ209" s="135"/>
      <c r="UKK209" s="173"/>
      <c r="UKL209" s="173"/>
      <c r="UKM209" s="173"/>
      <c r="UKN209" s="173"/>
      <c r="UKO209" s="173"/>
      <c r="UKP209" s="173"/>
      <c r="UKQ209" s="173"/>
      <c r="UKR209" s="173"/>
      <c r="UKS209" s="173"/>
      <c r="UKT209" s="173"/>
      <c r="UKU209" s="125"/>
      <c r="UKV209" s="125"/>
      <c r="UKW209" s="134"/>
      <c r="UKX209" s="135"/>
      <c r="UKY209" s="135"/>
      <c r="UKZ209" s="135"/>
      <c r="ULA209" s="135"/>
      <c r="ULB209" s="173"/>
      <c r="ULC209" s="173"/>
      <c r="ULD209" s="173"/>
      <c r="ULE209" s="173"/>
      <c r="ULF209" s="173"/>
      <c r="ULG209" s="173"/>
      <c r="ULH209" s="173"/>
      <c r="ULI209" s="173"/>
      <c r="ULJ209" s="173"/>
      <c r="ULK209" s="173"/>
      <c r="ULL209" s="125"/>
      <c r="ULM209" s="125"/>
      <c r="ULN209" s="134"/>
      <c r="ULO209" s="135"/>
      <c r="ULP209" s="135"/>
      <c r="ULQ209" s="135"/>
      <c r="ULR209" s="135"/>
      <c r="ULS209" s="173"/>
      <c r="ULT209" s="173"/>
      <c r="ULU209" s="173"/>
      <c r="ULV209" s="173"/>
      <c r="ULW209" s="173"/>
      <c r="ULX209" s="173"/>
      <c r="ULY209" s="173"/>
      <c r="ULZ209" s="173"/>
      <c r="UMA209" s="173"/>
      <c r="UMB209" s="173"/>
      <c r="UMC209" s="125"/>
      <c r="UMD209" s="125"/>
      <c r="UME209" s="134"/>
      <c r="UMF209" s="135"/>
      <c r="UMG209" s="135"/>
      <c r="UMH209" s="135"/>
      <c r="UMI209" s="135"/>
      <c r="UMJ209" s="173"/>
      <c r="UMK209" s="173"/>
      <c r="UML209" s="173"/>
      <c r="UMM209" s="173"/>
      <c r="UMN209" s="173"/>
      <c r="UMO209" s="173"/>
      <c r="UMP209" s="173"/>
      <c r="UMQ209" s="173"/>
      <c r="UMR209" s="173"/>
      <c r="UMS209" s="173"/>
      <c r="UMT209" s="125"/>
      <c r="UMU209" s="125"/>
      <c r="UMV209" s="134"/>
      <c r="UMW209" s="135"/>
      <c r="UMX209" s="135"/>
      <c r="UMY209" s="135"/>
      <c r="UMZ209" s="135"/>
      <c r="UNA209" s="173"/>
      <c r="UNB209" s="173"/>
      <c r="UNC209" s="173"/>
      <c r="UND209" s="173"/>
      <c r="UNE209" s="173"/>
      <c r="UNF209" s="173"/>
      <c r="UNG209" s="173"/>
      <c r="UNH209" s="173"/>
      <c r="UNI209" s="173"/>
      <c r="UNJ209" s="173"/>
      <c r="UNK209" s="125"/>
      <c r="UNL209" s="125"/>
      <c r="UNM209" s="134"/>
      <c r="UNN209" s="135"/>
      <c r="UNO209" s="135"/>
      <c r="UNP209" s="135"/>
      <c r="UNQ209" s="135"/>
      <c r="UNR209" s="173"/>
      <c r="UNS209" s="173"/>
      <c r="UNT209" s="173"/>
      <c r="UNU209" s="173"/>
      <c r="UNV209" s="173"/>
      <c r="UNW209" s="173"/>
      <c r="UNX209" s="173"/>
      <c r="UNY209" s="173"/>
      <c r="UNZ209" s="173"/>
      <c r="UOA209" s="173"/>
      <c r="UOB209" s="125"/>
      <c r="UOC209" s="125"/>
      <c r="UOD209" s="134"/>
      <c r="UOE209" s="135"/>
      <c r="UOF209" s="135"/>
      <c r="UOG209" s="135"/>
      <c r="UOH209" s="135"/>
      <c r="UOI209" s="173"/>
      <c r="UOJ209" s="173"/>
      <c r="UOK209" s="173"/>
      <c r="UOL209" s="173"/>
      <c r="UOM209" s="173"/>
      <c r="UON209" s="173"/>
      <c r="UOO209" s="173"/>
      <c r="UOP209" s="173"/>
      <c r="UOQ209" s="173"/>
      <c r="UOR209" s="173"/>
      <c r="UOS209" s="125"/>
      <c r="UOT209" s="125"/>
      <c r="UOU209" s="134"/>
      <c r="UOV209" s="135"/>
      <c r="UOW209" s="135"/>
      <c r="UOX209" s="135"/>
      <c r="UOY209" s="135"/>
      <c r="UOZ209" s="173"/>
      <c r="UPA209" s="173"/>
      <c r="UPB209" s="173"/>
      <c r="UPC209" s="173"/>
      <c r="UPD209" s="173"/>
      <c r="UPE209" s="173"/>
      <c r="UPF209" s="173"/>
      <c r="UPG209" s="173"/>
      <c r="UPH209" s="173"/>
      <c r="UPI209" s="173"/>
      <c r="UPJ209" s="125"/>
      <c r="UPK209" s="125"/>
      <c r="UPL209" s="134"/>
      <c r="UPM209" s="135"/>
      <c r="UPN209" s="135"/>
      <c r="UPO209" s="135"/>
      <c r="UPP209" s="135"/>
      <c r="UPQ209" s="173"/>
      <c r="UPR209" s="173"/>
      <c r="UPS209" s="173"/>
      <c r="UPT209" s="173"/>
      <c r="UPU209" s="173"/>
      <c r="UPV209" s="173"/>
      <c r="UPW209" s="173"/>
      <c r="UPX209" s="173"/>
      <c r="UPY209" s="173"/>
      <c r="UPZ209" s="173"/>
      <c r="UQA209" s="125"/>
      <c r="UQB209" s="125"/>
      <c r="UQC209" s="134"/>
      <c r="UQD209" s="135"/>
      <c r="UQE209" s="135"/>
      <c r="UQF209" s="135"/>
      <c r="UQG209" s="135"/>
      <c r="UQH209" s="173"/>
      <c r="UQI209" s="173"/>
      <c r="UQJ209" s="173"/>
      <c r="UQK209" s="173"/>
      <c r="UQL209" s="173"/>
      <c r="UQM209" s="173"/>
      <c r="UQN209" s="173"/>
      <c r="UQO209" s="173"/>
      <c r="UQP209" s="173"/>
      <c r="UQQ209" s="173"/>
      <c r="UQR209" s="125"/>
      <c r="UQS209" s="125"/>
      <c r="UQT209" s="134"/>
      <c r="UQU209" s="135"/>
      <c r="UQV209" s="135"/>
      <c r="UQW209" s="135"/>
      <c r="UQX209" s="135"/>
      <c r="UQY209" s="173"/>
      <c r="UQZ209" s="173"/>
      <c r="URA209" s="173"/>
      <c r="URB209" s="173"/>
      <c r="URC209" s="173"/>
      <c r="URD209" s="173"/>
      <c r="URE209" s="173"/>
      <c r="URF209" s="173"/>
      <c r="URG209" s="173"/>
      <c r="URH209" s="173"/>
      <c r="URI209" s="125"/>
      <c r="URJ209" s="125"/>
      <c r="URK209" s="134"/>
      <c r="URL209" s="135"/>
      <c r="URM209" s="135"/>
      <c r="URN209" s="135"/>
      <c r="URO209" s="135"/>
      <c r="URP209" s="173"/>
      <c r="URQ209" s="173"/>
      <c r="URR209" s="173"/>
      <c r="URS209" s="173"/>
      <c r="URT209" s="173"/>
      <c r="URU209" s="173"/>
      <c r="URV209" s="173"/>
      <c r="URW209" s="173"/>
      <c r="URX209" s="173"/>
      <c r="URY209" s="173"/>
      <c r="URZ209" s="125"/>
      <c r="USA209" s="125"/>
      <c r="USB209" s="134"/>
      <c r="USC209" s="135"/>
      <c r="USD209" s="135"/>
      <c r="USE209" s="135"/>
      <c r="USF209" s="135"/>
      <c r="USG209" s="173"/>
      <c r="USH209" s="173"/>
      <c r="USI209" s="173"/>
      <c r="USJ209" s="173"/>
      <c r="USK209" s="173"/>
      <c r="USL209" s="173"/>
      <c r="USM209" s="173"/>
      <c r="USN209" s="173"/>
      <c r="USO209" s="173"/>
      <c r="USP209" s="173"/>
      <c r="USQ209" s="125"/>
      <c r="USR209" s="125"/>
      <c r="USS209" s="134"/>
      <c r="UST209" s="135"/>
      <c r="USU209" s="135"/>
      <c r="USV209" s="135"/>
      <c r="USW209" s="135"/>
      <c r="USX209" s="173"/>
      <c r="USY209" s="173"/>
      <c r="USZ209" s="173"/>
      <c r="UTA209" s="173"/>
      <c r="UTB209" s="173"/>
      <c r="UTC209" s="173"/>
      <c r="UTD209" s="173"/>
      <c r="UTE209" s="173"/>
      <c r="UTF209" s="173"/>
      <c r="UTG209" s="173"/>
      <c r="UTH209" s="125"/>
      <c r="UTI209" s="125"/>
      <c r="UTJ209" s="134"/>
      <c r="UTK209" s="135"/>
      <c r="UTL209" s="135"/>
      <c r="UTM209" s="135"/>
      <c r="UTN209" s="135"/>
      <c r="UTO209" s="173"/>
      <c r="UTP209" s="173"/>
      <c r="UTQ209" s="173"/>
      <c r="UTR209" s="173"/>
      <c r="UTS209" s="173"/>
      <c r="UTT209" s="173"/>
      <c r="UTU209" s="173"/>
      <c r="UTV209" s="173"/>
      <c r="UTW209" s="173"/>
      <c r="UTX209" s="173"/>
      <c r="UTY209" s="125"/>
      <c r="UTZ209" s="125"/>
      <c r="UUA209" s="134"/>
      <c r="UUB209" s="135"/>
      <c r="UUC209" s="135"/>
      <c r="UUD209" s="135"/>
      <c r="UUE209" s="135"/>
      <c r="UUF209" s="173"/>
      <c r="UUG209" s="173"/>
      <c r="UUH209" s="173"/>
      <c r="UUI209" s="173"/>
      <c r="UUJ209" s="173"/>
      <c r="UUK209" s="173"/>
      <c r="UUL209" s="173"/>
      <c r="UUM209" s="173"/>
      <c r="UUN209" s="173"/>
      <c r="UUO209" s="173"/>
      <c r="UUP209" s="125"/>
      <c r="UUQ209" s="125"/>
      <c r="UUR209" s="134"/>
      <c r="UUS209" s="135"/>
      <c r="UUT209" s="135"/>
      <c r="UUU209" s="135"/>
      <c r="UUV209" s="135"/>
      <c r="UUW209" s="173"/>
      <c r="UUX209" s="173"/>
      <c r="UUY209" s="173"/>
      <c r="UUZ209" s="173"/>
      <c r="UVA209" s="173"/>
      <c r="UVB209" s="173"/>
      <c r="UVC209" s="173"/>
      <c r="UVD209" s="173"/>
      <c r="UVE209" s="173"/>
      <c r="UVF209" s="173"/>
      <c r="UVG209" s="125"/>
      <c r="UVH209" s="125"/>
      <c r="UVI209" s="134"/>
      <c r="UVJ209" s="135"/>
      <c r="UVK209" s="135"/>
      <c r="UVL209" s="135"/>
      <c r="UVM209" s="135"/>
      <c r="UVN209" s="173"/>
      <c r="UVO209" s="173"/>
      <c r="UVP209" s="173"/>
      <c r="UVQ209" s="173"/>
      <c r="UVR209" s="173"/>
      <c r="UVS209" s="173"/>
      <c r="UVT209" s="173"/>
      <c r="UVU209" s="173"/>
      <c r="UVV209" s="173"/>
      <c r="UVW209" s="173"/>
      <c r="UVX209" s="125"/>
      <c r="UVY209" s="125"/>
      <c r="UVZ209" s="134"/>
      <c r="UWA209" s="135"/>
      <c r="UWB209" s="135"/>
      <c r="UWC209" s="135"/>
      <c r="UWD209" s="135"/>
      <c r="UWE209" s="173"/>
      <c r="UWF209" s="173"/>
      <c r="UWG209" s="173"/>
      <c r="UWH209" s="173"/>
      <c r="UWI209" s="173"/>
      <c r="UWJ209" s="173"/>
      <c r="UWK209" s="173"/>
      <c r="UWL209" s="173"/>
      <c r="UWM209" s="173"/>
      <c r="UWN209" s="173"/>
      <c r="UWO209" s="125"/>
      <c r="UWP209" s="125"/>
      <c r="UWQ209" s="134"/>
      <c r="UWR209" s="135"/>
      <c r="UWS209" s="135"/>
      <c r="UWT209" s="135"/>
      <c r="UWU209" s="135"/>
      <c r="UWV209" s="173"/>
      <c r="UWW209" s="173"/>
      <c r="UWX209" s="173"/>
      <c r="UWY209" s="173"/>
      <c r="UWZ209" s="173"/>
      <c r="UXA209" s="173"/>
      <c r="UXB209" s="173"/>
      <c r="UXC209" s="173"/>
      <c r="UXD209" s="173"/>
      <c r="UXE209" s="173"/>
      <c r="UXF209" s="125"/>
      <c r="UXG209" s="125"/>
      <c r="UXH209" s="134"/>
      <c r="UXI209" s="135"/>
      <c r="UXJ209" s="135"/>
      <c r="UXK209" s="135"/>
      <c r="UXL209" s="135"/>
      <c r="UXM209" s="173"/>
      <c r="UXN209" s="173"/>
      <c r="UXO209" s="173"/>
      <c r="UXP209" s="173"/>
      <c r="UXQ209" s="173"/>
      <c r="UXR209" s="173"/>
      <c r="UXS209" s="173"/>
      <c r="UXT209" s="173"/>
      <c r="UXU209" s="173"/>
      <c r="UXV209" s="173"/>
      <c r="UXW209" s="125"/>
      <c r="UXX209" s="125"/>
      <c r="UXY209" s="134"/>
      <c r="UXZ209" s="135"/>
      <c r="UYA209" s="135"/>
      <c r="UYB209" s="135"/>
      <c r="UYC209" s="135"/>
      <c r="UYD209" s="173"/>
      <c r="UYE209" s="173"/>
      <c r="UYF209" s="173"/>
      <c r="UYG209" s="173"/>
      <c r="UYH209" s="173"/>
      <c r="UYI209" s="173"/>
      <c r="UYJ209" s="173"/>
      <c r="UYK209" s="173"/>
      <c r="UYL209" s="173"/>
      <c r="UYM209" s="173"/>
      <c r="UYN209" s="125"/>
      <c r="UYO209" s="125"/>
      <c r="UYP209" s="134"/>
      <c r="UYQ209" s="135"/>
      <c r="UYR209" s="135"/>
      <c r="UYS209" s="135"/>
      <c r="UYT209" s="135"/>
      <c r="UYU209" s="173"/>
      <c r="UYV209" s="173"/>
      <c r="UYW209" s="173"/>
      <c r="UYX209" s="173"/>
      <c r="UYY209" s="173"/>
      <c r="UYZ209" s="173"/>
      <c r="UZA209" s="173"/>
      <c r="UZB209" s="173"/>
      <c r="UZC209" s="173"/>
      <c r="UZD209" s="173"/>
      <c r="UZE209" s="125"/>
      <c r="UZF209" s="125"/>
      <c r="UZG209" s="134"/>
      <c r="UZH209" s="135"/>
      <c r="UZI209" s="135"/>
      <c r="UZJ209" s="135"/>
      <c r="UZK209" s="135"/>
      <c r="UZL209" s="173"/>
      <c r="UZM209" s="173"/>
      <c r="UZN209" s="173"/>
      <c r="UZO209" s="173"/>
      <c r="UZP209" s="173"/>
      <c r="UZQ209" s="173"/>
      <c r="UZR209" s="173"/>
      <c r="UZS209" s="173"/>
      <c r="UZT209" s="173"/>
      <c r="UZU209" s="173"/>
      <c r="UZV209" s="125"/>
      <c r="UZW209" s="125"/>
      <c r="UZX209" s="134"/>
      <c r="UZY209" s="135"/>
      <c r="UZZ209" s="135"/>
      <c r="VAA209" s="135"/>
      <c r="VAB209" s="135"/>
      <c r="VAC209" s="173"/>
      <c r="VAD209" s="173"/>
      <c r="VAE209" s="173"/>
      <c r="VAF209" s="173"/>
      <c r="VAG209" s="173"/>
      <c r="VAH209" s="173"/>
      <c r="VAI209" s="173"/>
      <c r="VAJ209" s="173"/>
      <c r="VAK209" s="173"/>
      <c r="VAL209" s="173"/>
      <c r="VAM209" s="125"/>
      <c r="VAN209" s="125"/>
      <c r="VAO209" s="134"/>
      <c r="VAP209" s="135"/>
      <c r="VAQ209" s="135"/>
      <c r="VAR209" s="135"/>
      <c r="VAS209" s="135"/>
      <c r="VAT209" s="173"/>
      <c r="VAU209" s="173"/>
      <c r="VAV209" s="173"/>
      <c r="VAW209" s="173"/>
      <c r="VAX209" s="173"/>
      <c r="VAY209" s="173"/>
      <c r="VAZ209" s="173"/>
      <c r="VBA209" s="173"/>
      <c r="VBB209" s="173"/>
      <c r="VBC209" s="173"/>
      <c r="VBD209" s="125"/>
      <c r="VBE209" s="125"/>
      <c r="VBF209" s="134"/>
      <c r="VBG209" s="135"/>
      <c r="VBH209" s="135"/>
      <c r="VBI209" s="135"/>
      <c r="VBJ209" s="135"/>
      <c r="VBK209" s="173"/>
      <c r="VBL209" s="173"/>
      <c r="VBM209" s="173"/>
      <c r="VBN209" s="173"/>
      <c r="VBO209" s="173"/>
      <c r="VBP209" s="173"/>
      <c r="VBQ209" s="173"/>
      <c r="VBR209" s="173"/>
      <c r="VBS209" s="173"/>
      <c r="VBT209" s="173"/>
      <c r="VBU209" s="125"/>
      <c r="VBV209" s="125"/>
      <c r="VBW209" s="134"/>
      <c r="VBX209" s="135"/>
      <c r="VBY209" s="135"/>
      <c r="VBZ209" s="135"/>
      <c r="VCA209" s="135"/>
      <c r="VCB209" s="173"/>
      <c r="VCC209" s="173"/>
      <c r="VCD209" s="173"/>
      <c r="VCE209" s="173"/>
      <c r="VCF209" s="173"/>
      <c r="VCG209" s="173"/>
      <c r="VCH209" s="173"/>
      <c r="VCI209" s="173"/>
      <c r="VCJ209" s="173"/>
      <c r="VCK209" s="173"/>
      <c r="VCL209" s="125"/>
      <c r="VCM209" s="125"/>
      <c r="VCN209" s="134"/>
      <c r="VCO209" s="135"/>
      <c r="VCP209" s="135"/>
      <c r="VCQ209" s="135"/>
      <c r="VCR209" s="135"/>
      <c r="VCS209" s="173"/>
      <c r="VCT209" s="173"/>
      <c r="VCU209" s="173"/>
      <c r="VCV209" s="173"/>
      <c r="VCW209" s="173"/>
      <c r="VCX209" s="173"/>
      <c r="VCY209" s="173"/>
      <c r="VCZ209" s="173"/>
      <c r="VDA209" s="173"/>
      <c r="VDB209" s="173"/>
      <c r="VDC209" s="125"/>
      <c r="VDD209" s="125"/>
      <c r="VDE209" s="134"/>
      <c r="VDF209" s="135"/>
      <c r="VDG209" s="135"/>
      <c r="VDH209" s="135"/>
      <c r="VDI209" s="135"/>
      <c r="VDJ209" s="173"/>
      <c r="VDK209" s="173"/>
      <c r="VDL209" s="173"/>
      <c r="VDM209" s="173"/>
      <c r="VDN209" s="173"/>
      <c r="VDO209" s="173"/>
      <c r="VDP209" s="173"/>
      <c r="VDQ209" s="173"/>
      <c r="VDR209" s="173"/>
      <c r="VDS209" s="173"/>
      <c r="VDT209" s="125"/>
      <c r="VDU209" s="125"/>
      <c r="VDV209" s="134"/>
      <c r="VDW209" s="135"/>
      <c r="VDX209" s="135"/>
      <c r="VDY209" s="135"/>
      <c r="VDZ209" s="135"/>
      <c r="VEA209" s="173"/>
      <c r="VEB209" s="173"/>
      <c r="VEC209" s="173"/>
      <c r="VED209" s="173"/>
      <c r="VEE209" s="173"/>
      <c r="VEF209" s="173"/>
      <c r="VEG209" s="173"/>
      <c r="VEH209" s="173"/>
      <c r="VEI209" s="173"/>
      <c r="VEJ209" s="173"/>
      <c r="VEK209" s="125"/>
      <c r="VEL209" s="125"/>
      <c r="VEM209" s="134"/>
      <c r="VEN209" s="135"/>
      <c r="VEO209" s="135"/>
      <c r="VEP209" s="135"/>
      <c r="VEQ209" s="135"/>
      <c r="VER209" s="173"/>
      <c r="VES209" s="173"/>
      <c r="VET209" s="173"/>
      <c r="VEU209" s="173"/>
      <c r="VEV209" s="173"/>
      <c r="VEW209" s="173"/>
      <c r="VEX209" s="173"/>
      <c r="VEY209" s="173"/>
      <c r="VEZ209" s="173"/>
      <c r="VFA209" s="173"/>
      <c r="VFB209" s="125"/>
      <c r="VFC209" s="125"/>
      <c r="VFD209" s="134"/>
      <c r="VFE209" s="135"/>
      <c r="VFF209" s="135"/>
      <c r="VFG209" s="135"/>
      <c r="VFH209" s="135"/>
      <c r="VFI209" s="173"/>
      <c r="VFJ209" s="173"/>
      <c r="VFK209" s="173"/>
      <c r="VFL209" s="173"/>
      <c r="VFM209" s="173"/>
      <c r="VFN209" s="173"/>
      <c r="VFO209" s="173"/>
      <c r="VFP209" s="173"/>
      <c r="VFQ209" s="173"/>
      <c r="VFR209" s="173"/>
      <c r="VFS209" s="125"/>
      <c r="VFT209" s="125"/>
      <c r="VFU209" s="134"/>
      <c r="VFV209" s="135"/>
      <c r="VFW209" s="135"/>
      <c r="VFX209" s="135"/>
      <c r="VFY209" s="135"/>
      <c r="VFZ209" s="173"/>
      <c r="VGA209" s="173"/>
      <c r="VGB209" s="173"/>
      <c r="VGC209" s="173"/>
      <c r="VGD209" s="173"/>
      <c r="VGE209" s="173"/>
      <c r="VGF209" s="173"/>
      <c r="VGG209" s="173"/>
      <c r="VGH209" s="173"/>
      <c r="VGI209" s="173"/>
      <c r="VGJ209" s="125"/>
      <c r="VGK209" s="125"/>
      <c r="VGL209" s="134"/>
      <c r="VGM209" s="135"/>
      <c r="VGN209" s="135"/>
      <c r="VGO209" s="135"/>
      <c r="VGP209" s="135"/>
      <c r="VGQ209" s="173"/>
      <c r="VGR209" s="173"/>
      <c r="VGS209" s="173"/>
      <c r="VGT209" s="173"/>
      <c r="VGU209" s="173"/>
      <c r="VGV209" s="173"/>
      <c r="VGW209" s="173"/>
      <c r="VGX209" s="173"/>
      <c r="VGY209" s="173"/>
      <c r="VGZ209" s="173"/>
      <c r="VHA209" s="125"/>
      <c r="VHB209" s="125"/>
      <c r="VHC209" s="134"/>
      <c r="VHD209" s="135"/>
      <c r="VHE209" s="135"/>
      <c r="VHF209" s="135"/>
      <c r="VHG209" s="135"/>
      <c r="VHH209" s="173"/>
      <c r="VHI209" s="173"/>
      <c r="VHJ209" s="173"/>
      <c r="VHK209" s="173"/>
      <c r="VHL209" s="173"/>
      <c r="VHM209" s="173"/>
      <c r="VHN209" s="173"/>
      <c r="VHO209" s="173"/>
      <c r="VHP209" s="173"/>
      <c r="VHQ209" s="173"/>
      <c r="VHR209" s="125"/>
      <c r="VHS209" s="125"/>
      <c r="VHT209" s="134"/>
      <c r="VHU209" s="135"/>
      <c r="VHV209" s="135"/>
      <c r="VHW209" s="135"/>
      <c r="VHX209" s="135"/>
      <c r="VHY209" s="173"/>
      <c r="VHZ209" s="173"/>
      <c r="VIA209" s="173"/>
      <c r="VIB209" s="173"/>
      <c r="VIC209" s="173"/>
      <c r="VID209" s="173"/>
      <c r="VIE209" s="173"/>
      <c r="VIF209" s="173"/>
      <c r="VIG209" s="173"/>
      <c r="VIH209" s="173"/>
      <c r="VII209" s="125"/>
      <c r="VIJ209" s="125"/>
      <c r="VIK209" s="134"/>
      <c r="VIL209" s="135"/>
      <c r="VIM209" s="135"/>
      <c r="VIN209" s="135"/>
      <c r="VIO209" s="135"/>
      <c r="VIP209" s="173"/>
      <c r="VIQ209" s="173"/>
      <c r="VIR209" s="173"/>
      <c r="VIS209" s="173"/>
      <c r="VIT209" s="173"/>
      <c r="VIU209" s="173"/>
      <c r="VIV209" s="173"/>
      <c r="VIW209" s="173"/>
      <c r="VIX209" s="173"/>
      <c r="VIY209" s="173"/>
      <c r="VIZ209" s="125"/>
      <c r="VJA209" s="125"/>
      <c r="VJB209" s="134"/>
      <c r="VJC209" s="135"/>
      <c r="VJD209" s="135"/>
      <c r="VJE209" s="135"/>
      <c r="VJF209" s="135"/>
      <c r="VJG209" s="173"/>
      <c r="VJH209" s="173"/>
      <c r="VJI209" s="173"/>
      <c r="VJJ209" s="173"/>
      <c r="VJK209" s="173"/>
      <c r="VJL209" s="173"/>
      <c r="VJM209" s="173"/>
      <c r="VJN209" s="173"/>
      <c r="VJO209" s="173"/>
      <c r="VJP209" s="173"/>
      <c r="VJQ209" s="125"/>
      <c r="VJR209" s="125"/>
      <c r="VJS209" s="134"/>
      <c r="VJT209" s="135"/>
      <c r="VJU209" s="135"/>
      <c r="VJV209" s="135"/>
      <c r="VJW209" s="135"/>
      <c r="VJX209" s="173"/>
      <c r="VJY209" s="173"/>
      <c r="VJZ209" s="173"/>
      <c r="VKA209" s="173"/>
      <c r="VKB209" s="173"/>
      <c r="VKC209" s="173"/>
      <c r="VKD209" s="173"/>
      <c r="VKE209" s="173"/>
      <c r="VKF209" s="173"/>
      <c r="VKG209" s="173"/>
      <c r="VKH209" s="125"/>
      <c r="VKI209" s="125"/>
      <c r="VKJ209" s="134"/>
      <c r="VKK209" s="135"/>
      <c r="VKL209" s="135"/>
      <c r="VKM209" s="135"/>
      <c r="VKN209" s="135"/>
      <c r="VKO209" s="173"/>
      <c r="VKP209" s="173"/>
      <c r="VKQ209" s="173"/>
      <c r="VKR209" s="173"/>
      <c r="VKS209" s="173"/>
      <c r="VKT209" s="173"/>
      <c r="VKU209" s="173"/>
      <c r="VKV209" s="173"/>
      <c r="VKW209" s="173"/>
      <c r="VKX209" s="173"/>
      <c r="VKY209" s="125"/>
      <c r="VKZ209" s="125"/>
      <c r="VLA209" s="134"/>
      <c r="VLB209" s="135"/>
      <c r="VLC209" s="135"/>
      <c r="VLD209" s="135"/>
      <c r="VLE209" s="135"/>
      <c r="VLF209" s="173"/>
      <c r="VLG209" s="173"/>
      <c r="VLH209" s="173"/>
      <c r="VLI209" s="173"/>
      <c r="VLJ209" s="173"/>
      <c r="VLK209" s="173"/>
      <c r="VLL209" s="173"/>
      <c r="VLM209" s="173"/>
      <c r="VLN209" s="173"/>
      <c r="VLO209" s="173"/>
      <c r="VLP209" s="125"/>
      <c r="VLQ209" s="125"/>
      <c r="VLR209" s="134"/>
      <c r="VLS209" s="135"/>
      <c r="VLT209" s="135"/>
      <c r="VLU209" s="135"/>
      <c r="VLV209" s="135"/>
      <c r="VLW209" s="173"/>
      <c r="VLX209" s="173"/>
      <c r="VLY209" s="173"/>
      <c r="VLZ209" s="173"/>
      <c r="VMA209" s="173"/>
      <c r="VMB209" s="173"/>
      <c r="VMC209" s="173"/>
      <c r="VMD209" s="173"/>
      <c r="VME209" s="173"/>
      <c r="VMF209" s="173"/>
      <c r="VMG209" s="125"/>
      <c r="VMH209" s="125"/>
      <c r="VMI209" s="134"/>
      <c r="VMJ209" s="135"/>
      <c r="VMK209" s="135"/>
      <c r="VML209" s="135"/>
      <c r="VMM209" s="135"/>
      <c r="VMN209" s="173"/>
      <c r="VMO209" s="173"/>
      <c r="VMP209" s="173"/>
      <c r="VMQ209" s="173"/>
      <c r="VMR209" s="173"/>
      <c r="VMS209" s="173"/>
      <c r="VMT209" s="173"/>
      <c r="VMU209" s="173"/>
      <c r="VMV209" s="173"/>
      <c r="VMW209" s="173"/>
      <c r="VMX209" s="125"/>
      <c r="VMY209" s="125"/>
      <c r="VMZ209" s="134"/>
      <c r="VNA209" s="135"/>
      <c r="VNB209" s="135"/>
      <c r="VNC209" s="135"/>
      <c r="VND209" s="135"/>
      <c r="VNE209" s="173"/>
      <c r="VNF209" s="173"/>
      <c r="VNG209" s="173"/>
      <c r="VNH209" s="173"/>
      <c r="VNI209" s="173"/>
      <c r="VNJ209" s="173"/>
      <c r="VNK209" s="173"/>
      <c r="VNL209" s="173"/>
      <c r="VNM209" s="173"/>
      <c r="VNN209" s="173"/>
      <c r="VNO209" s="125"/>
      <c r="VNP209" s="125"/>
      <c r="VNQ209" s="134"/>
      <c r="VNR209" s="135"/>
      <c r="VNS209" s="135"/>
      <c r="VNT209" s="135"/>
      <c r="VNU209" s="135"/>
      <c r="VNV209" s="173"/>
      <c r="VNW209" s="173"/>
      <c r="VNX209" s="173"/>
      <c r="VNY209" s="173"/>
      <c r="VNZ209" s="173"/>
      <c r="VOA209" s="173"/>
      <c r="VOB209" s="173"/>
      <c r="VOC209" s="173"/>
      <c r="VOD209" s="173"/>
      <c r="VOE209" s="173"/>
      <c r="VOF209" s="125"/>
      <c r="VOG209" s="125"/>
      <c r="VOH209" s="134"/>
      <c r="VOI209" s="135"/>
      <c r="VOJ209" s="135"/>
      <c r="VOK209" s="135"/>
      <c r="VOL209" s="135"/>
      <c r="VOM209" s="173"/>
      <c r="VON209" s="173"/>
      <c r="VOO209" s="173"/>
      <c r="VOP209" s="173"/>
      <c r="VOQ209" s="173"/>
      <c r="VOR209" s="173"/>
      <c r="VOS209" s="173"/>
      <c r="VOT209" s="173"/>
      <c r="VOU209" s="173"/>
      <c r="VOV209" s="173"/>
      <c r="VOW209" s="125"/>
      <c r="VOX209" s="125"/>
      <c r="VOY209" s="134"/>
      <c r="VOZ209" s="135"/>
      <c r="VPA209" s="135"/>
      <c r="VPB209" s="135"/>
      <c r="VPC209" s="135"/>
      <c r="VPD209" s="173"/>
      <c r="VPE209" s="173"/>
      <c r="VPF209" s="173"/>
      <c r="VPG209" s="173"/>
      <c r="VPH209" s="173"/>
      <c r="VPI209" s="173"/>
      <c r="VPJ209" s="173"/>
      <c r="VPK209" s="173"/>
      <c r="VPL209" s="173"/>
      <c r="VPM209" s="173"/>
      <c r="VPN209" s="125"/>
      <c r="VPO209" s="125"/>
      <c r="VPP209" s="134"/>
      <c r="VPQ209" s="135"/>
      <c r="VPR209" s="135"/>
      <c r="VPS209" s="135"/>
      <c r="VPT209" s="135"/>
      <c r="VPU209" s="173"/>
      <c r="VPV209" s="173"/>
      <c r="VPW209" s="173"/>
      <c r="VPX209" s="173"/>
      <c r="VPY209" s="173"/>
      <c r="VPZ209" s="173"/>
      <c r="VQA209" s="173"/>
      <c r="VQB209" s="173"/>
      <c r="VQC209" s="173"/>
      <c r="VQD209" s="173"/>
      <c r="VQE209" s="125"/>
      <c r="VQF209" s="125"/>
      <c r="VQG209" s="134"/>
      <c r="VQH209" s="135"/>
      <c r="VQI209" s="135"/>
      <c r="VQJ209" s="135"/>
      <c r="VQK209" s="135"/>
      <c r="VQL209" s="173"/>
      <c r="VQM209" s="173"/>
      <c r="VQN209" s="173"/>
      <c r="VQO209" s="173"/>
      <c r="VQP209" s="173"/>
      <c r="VQQ209" s="173"/>
      <c r="VQR209" s="173"/>
      <c r="VQS209" s="173"/>
      <c r="VQT209" s="173"/>
      <c r="VQU209" s="173"/>
      <c r="VQV209" s="125"/>
      <c r="VQW209" s="125"/>
      <c r="VQX209" s="134"/>
      <c r="VQY209" s="135"/>
      <c r="VQZ209" s="135"/>
      <c r="VRA209" s="135"/>
      <c r="VRB209" s="135"/>
      <c r="VRC209" s="173"/>
      <c r="VRD209" s="173"/>
      <c r="VRE209" s="173"/>
      <c r="VRF209" s="173"/>
      <c r="VRG209" s="173"/>
      <c r="VRH209" s="173"/>
      <c r="VRI209" s="173"/>
      <c r="VRJ209" s="173"/>
      <c r="VRK209" s="173"/>
      <c r="VRL209" s="173"/>
      <c r="VRM209" s="125"/>
      <c r="VRN209" s="125"/>
      <c r="VRO209" s="134"/>
      <c r="VRP209" s="135"/>
      <c r="VRQ209" s="135"/>
      <c r="VRR209" s="135"/>
      <c r="VRS209" s="135"/>
      <c r="VRT209" s="173"/>
      <c r="VRU209" s="173"/>
      <c r="VRV209" s="173"/>
      <c r="VRW209" s="173"/>
      <c r="VRX209" s="173"/>
      <c r="VRY209" s="173"/>
      <c r="VRZ209" s="173"/>
      <c r="VSA209" s="173"/>
      <c r="VSB209" s="173"/>
      <c r="VSC209" s="173"/>
      <c r="VSD209" s="125"/>
      <c r="VSE209" s="125"/>
      <c r="VSF209" s="134"/>
      <c r="VSG209" s="135"/>
      <c r="VSH209" s="135"/>
      <c r="VSI209" s="135"/>
      <c r="VSJ209" s="135"/>
      <c r="VSK209" s="173"/>
      <c r="VSL209" s="173"/>
      <c r="VSM209" s="173"/>
      <c r="VSN209" s="173"/>
      <c r="VSO209" s="173"/>
      <c r="VSP209" s="173"/>
      <c r="VSQ209" s="173"/>
      <c r="VSR209" s="173"/>
      <c r="VSS209" s="173"/>
      <c r="VST209" s="173"/>
      <c r="VSU209" s="125"/>
      <c r="VSV209" s="125"/>
      <c r="VSW209" s="134"/>
      <c r="VSX209" s="135"/>
      <c r="VSY209" s="135"/>
      <c r="VSZ209" s="135"/>
      <c r="VTA209" s="135"/>
      <c r="VTB209" s="173"/>
      <c r="VTC209" s="173"/>
      <c r="VTD209" s="173"/>
      <c r="VTE209" s="173"/>
      <c r="VTF209" s="173"/>
      <c r="VTG209" s="173"/>
      <c r="VTH209" s="173"/>
      <c r="VTI209" s="173"/>
      <c r="VTJ209" s="173"/>
      <c r="VTK209" s="173"/>
      <c r="VTL209" s="125"/>
      <c r="VTM209" s="125"/>
      <c r="VTN209" s="134"/>
      <c r="VTO209" s="135"/>
      <c r="VTP209" s="135"/>
      <c r="VTQ209" s="135"/>
      <c r="VTR209" s="135"/>
      <c r="VTS209" s="173"/>
      <c r="VTT209" s="173"/>
      <c r="VTU209" s="173"/>
      <c r="VTV209" s="173"/>
      <c r="VTW209" s="173"/>
      <c r="VTX209" s="173"/>
      <c r="VTY209" s="173"/>
      <c r="VTZ209" s="173"/>
      <c r="VUA209" s="173"/>
      <c r="VUB209" s="173"/>
      <c r="VUC209" s="125"/>
      <c r="VUD209" s="125"/>
      <c r="VUE209" s="134"/>
      <c r="VUF209" s="135"/>
      <c r="VUG209" s="135"/>
      <c r="VUH209" s="135"/>
      <c r="VUI209" s="135"/>
      <c r="VUJ209" s="173"/>
      <c r="VUK209" s="173"/>
      <c r="VUL209" s="173"/>
      <c r="VUM209" s="173"/>
      <c r="VUN209" s="173"/>
      <c r="VUO209" s="173"/>
      <c r="VUP209" s="173"/>
      <c r="VUQ209" s="173"/>
      <c r="VUR209" s="173"/>
      <c r="VUS209" s="173"/>
      <c r="VUT209" s="125"/>
      <c r="VUU209" s="125"/>
      <c r="VUV209" s="134"/>
      <c r="VUW209" s="135"/>
      <c r="VUX209" s="135"/>
      <c r="VUY209" s="135"/>
      <c r="VUZ209" s="135"/>
      <c r="VVA209" s="173"/>
      <c r="VVB209" s="173"/>
      <c r="VVC209" s="173"/>
      <c r="VVD209" s="173"/>
      <c r="VVE209" s="173"/>
      <c r="VVF209" s="173"/>
      <c r="VVG209" s="173"/>
      <c r="VVH209" s="173"/>
      <c r="VVI209" s="173"/>
      <c r="VVJ209" s="173"/>
      <c r="VVK209" s="125"/>
      <c r="VVL209" s="125"/>
      <c r="VVM209" s="134"/>
      <c r="VVN209" s="135"/>
      <c r="VVO209" s="135"/>
      <c r="VVP209" s="135"/>
      <c r="VVQ209" s="135"/>
      <c r="VVR209" s="173"/>
      <c r="VVS209" s="173"/>
      <c r="VVT209" s="173"/>
      <c r="VVU209" s="173"/>
      <c r="VVV209" s="173"/>
      <c r="VVW209" s="173"/>
      <c r="VVX209" s="173"/>
      <c r="VVY209" s="173"/>
      <c r="VVZ209" s="173"/>
      <c r="VWA209" s="173"/>
      <c r="VWB209" s="125"/>
      <c r="VWC209" s="125"/>
      <c r="VWD209" s="134"/>
      <c r="VWE209" s="135"/>
      <c r="VWF209" s="135"/>
      <c r="VWG209" s="135"/>
      <c r="VWH209" s="135"/>
      <c r="VWI209" s="173"/>
      <c r="VWJ209" s="173"/>
      <c r="VWK209" s="173"/>
      <c r="VWL209" s="173"/>
      <c r="VWM209" s="173"/>
      <c r="VWN209" s="173"/>
      <c r="VWO209" s="173"/>
      <c r="VWP209" s="173"/>
      <c r="VWQ209" s="173"/>
      <c r="VWR209" s="173"/>
      <c r="VWS209" s="125"/>
      <c r="VWT209" s="125"/>
      <c r="VWU209" s="134"/>
      <c r="VWV209" s="135"/>
      <c r="VWW209" s="135"/>
      <c r="VWX209" s="135"/>
      <c r="VWY209" s="135"/>
      <c r="VWZ209" s="173"/>
      <c r="VXA209" s="173"/>
      <c r="VXB209" s="173"/>
      <c r="VXC209" s="173"/>
      <c r="VXD209" s="173"/>
      <c r="VXE209" s="173"/>
      <c r="VXF209" s="173"/>
      <c r="VXG209" s="173"/>
      <c r="VXH209" s="173"/>
      <c r="VXI209" s="173"/>
      <c r="VXJ209" s="125"/>
      <c r="VXK209" s="125"/>
      <c r="VXL209" s="134"/>
      <c r="VXM209" s="135"/>
      <c r="VXN209" s="135"/>
      <c r="VXO209" s="135"/>
      <c r="VXP209" s="135"/>
      <c r="VXQ209" s="173"/>
      <c r="VXR209" s="173"/>
      <c r="VXS209" s="173"/>
      <c r="VXT209" s="173"/>
      <c r="VXU209" s="173"/>
      <c r="VXV209" s="173"/>
      <c r="VXW209" s="173"/>
      <c r="VXX209" s="173"/>
      <c r="VXY209" s="173"/>
      <c r="VXZ209" s="173"/>
      <c r="VYA209" s="125"/>
      <c r="VYB209" s="125"/>
      <c r="VYC209" s="134"/>
      <c r="VYD209" s="135"/>
      <c r="VYE209" s="135"/>
      <c r="VYF209" s="135"/>
      <c r="VYG209" s="135"/>
      <c r="VYH209" s="173"/>
      <c r="VYI209" s="173"/>
      <c r="VYJ209" s="173"/>
      <c r="VYK209" s="173"/>
      <c r="VYL209" s="173"/>
      <c r="VYM209" s="173"/>
      <c r="VYN209" s="173"/>
      <c r="VYO209" s="173"/>
      <c r="VYP209" s="173"/>
      <c r="VYQ209" s="173"/>
      <c r="VYR209" s="125"/>
      <c r="VYS209" s="125"/>
      <c r="VYT209" s="134"/>
      <c r="VYU209" s="135"/>
      <c r="VYV209" s="135"/>
      <c r="VYW209" s="135"/>
      <c r="VYX209" s="135"/>
      <c r="VYY209" s="173"/>
      <c r="VYZ209" s="173"/>
      <c r="VZA209" s="173"/>
      <c r="VZB209" s="173"/>
      <c r="VZC209" s="173"/>
      <c r="VZD209" s="173"/>
      <c r="VZE209" s="173"/>
      <c r="VZF209" s="173"/>
      <c r="VZG209" s="173"/>
      <c r="VZH209" s="173"/>
      <c r="VZI209" s="125"/>
      <c r="VZJ209" s="125"/>
      <c r="VZK209" s="134"/>
      <c r="VZL209" s="135"/>
      <c r="VZM209" s="135"/>
      <c r="VZN209" s="135"/>
      <c r="VZO209" s="135"/>
      <c r="VZP209" s="173"/>
      <c r="VZQ209" s="173"/>
      <c r="VZR209" s="173"/>
      <c r="VZS209" s="173"/>
      <c r="VZT209" s="173"/>
      <c r="VZU209" s="173"/>
      <c r="VZV209" s="173"/>
      <c r="VZW209" s="173"/>
      <c r="VZX209" s="173"/>
      <c r="VZY209" s="173"/>
      <c r="VZZ209" s="125"/>
      <c r="WAA209" s="125"/>
      <c r="WAB209" s="134"/>
      <c r="WAC209" s="135"/>
      <c r="WAD209" s="135"/>
      <c r="WAE209" s="135"/>
      <c r="WAF209" s="135"/>
      <c r="WAG209" s="173"/>
      <c r="WAH209" s="173"/>
      <c r="WAI209" s="173"/>
      <c r="WAJ209" s="173"/>
      <c r="WAK209" s="173"/>
      <c r="WAL209" s="173"/>
      <c r="WAM209" s="173"/>
      <c r="WAN209" s="173"/>
      <c r="WAO209" s="173"/>
      <c r="WAP209" s="173"/>
      <c r="WAQ209" s="125"/>
      <c r="WAR209" s="125"/>
      <c r="WAS209" s="134"/>
      <c r="WAT209" s="135"/>
      <c r="WAU209" s="135"/>
      <c r="WAV209" s="135"/>
      <c r="WAW209" s="135"/>
      <c r="WAX209" s="173"/>
      <c r="WAY209" s="173"/>
      <c r="WAZ209" s="173"/>
      <c r="WBA209" s="173"/>
      <c r="WBB209" s="173"/>
      <c r="WBC209" s="173"/>
      <c r="WBD209" s="173"/>
      <c r="WBE209" s="173"/>
      <c r="WBF209" s="173"/>
      <c r="WBG209" s="173"/>
      <c r="WBH209" s="125"/>
      <c r="WBI209" s="125"/>
      <c r="WBJ209" s="134"/>
      <c r="WBK209" s="135"/>
      <c r="WBL209" s="135"/>
      <c r="WBM209" s="135"/>
      <c r="WBN209" s="135"/>
      <c r="WBO209" s="173"/>
      <c r="WBP209" s="173"/>
      <c r="WBQ209" s="173"/>
      <c r="WBR209" s="173"/>
      <c r="WBS209" s="173"/>
      <c r="WBT209" s="173"/>
      <c r="WBU209" s="173"/>
      <c r="WBV209" s="173"/>
      <c r="WBW209" s="173"/>
      <c r="WBX209" s="173"/>
      <c r="WBY209" s="125"/>
      <c r="WBZ209" s="125"/>
      <c r="WCA209" s="134"/>
      <c r="WCB209" s="135"/>
      <c r="WCC209" s="135"/>
      <c r="WCD209" s="135"/>
      <c r="WCE209" s="135"/>
      <c r="WCF209" s="173"/>
      <c r="WCG209" s="173"/>
      <c r="WCH209" s="173"/>
      <c r="WCI209" s="173"/>
      <c r="WCJ209" s="173"/>
      <c r="WCK209" s="173"/>
      <c r="WCL209" s="173"/>
      <c r="WCM209" s="173"/>
      <c r="WCN209" s="173"/>
      <c r="WCO209" s="173"/>
      <c r="WCP209" s="125"/>
      <c r="WCQ209" s="125"/>
      <c r="WCR209" s="134"/>
      <c r="WCS209" s="135"/>
      <c r="WCT209" s="135"/>
      <c r="WCU209" s="135"/>
      <c r="WCV209" s="135"/>
      <c r="WCW209" s="173"/>
      <c r="WCX209" s="173"/>
      <c r="WCY209" s="173"/>
      <c r="WCZ209" s="173"/>
      <c r="WDA209" s="173"/>
      <c r="WDB209" s="173"/>
      <c r="WDC209" s="173"/>
      <c r="WDD209" s="173"/>
      <c r="WDE209" s="173"/>
      <c r="WDF209" s="173"/>
      <c r="WDG209" s="125"/>
      <c r="WDH209" s="125"/>
      <c r="WDI209" s="134"/>
      <c r="WDJ209" s="135"/>
      <c r="WDK209" s="135"/>
      <c r="WDL209" s="135"/>
      <c r="WDM209" s="135"/>
      <c r="WDN209" s="173"/>
      <c r="WDO209" s="173"/>
      <c r="WDP209" s="173"/>
      <c r="WDQ209" s="173"/>
      <c r="WDR209" s="173"/>
      <c r="WDS209" s="173"/>
      <c r="WDT209" s="173"/>
      <c r="WDU209" s="173"/>
      <c r="WDV209" s="173"/>
      <c r="WDW209" s="173"/>
      <c r="WDX209" s="125"/>
      <c r="WDY209" s="125"/>
      <c r="WDZ209" s="134"/>
      <c r="WEA209" s="135"/>
      <c r="WEB209" s="135"/>
      <c r="WEC209" s="135"/>
      <c r="WED209" s="135"/>
      <c r="WEE209" s="173"/>
      <c r="WEF209" s="173"/>
      <c r="WEG209" s="173"/>
      <c r="WEH209" s="173"/>
      <c r="WEI209" s="173"/>
      <c r="WEJ209" s="173"/>
      <c r="WEK209" s="173"/>
      <c r="WEL209" s="173"/>
      <c r="WEM209" s="173"/>
      <c r="WEN209" s="173"/>
      <c r="WEO209" s="125"/>
      <c r="WEP209" s="125"/>
      <c r="WEQ209" s="134"/>
      <c r="WER209" s="135"/>
      <c r="WES209" s="135"/>
      <c r="WET209" s="135"/>
      <c r="WEU209" s="135"/>
      <c r="WEV209" s="173"/>
      <c r="WEW209" s="173"/>
      <c r="WEX209" s="173"/>
      <c r="WEY209" s="173"/>
      <c r="WEZ209" s="173"/>
      <c r="WFA209" s="173"/>
      <c r="WFB209" s="173"/>
      <c r="WFC209" s="173"/>
      <c r="WFD209" s="173"/>
      <c r="WFE209" s="173"/>
      <c r="WFF209" s="125"/>
      <c r="WFG209" s="125"/>
      <c r="WFH209" s="134"/>
      <c r="WFI209" s="135"/>
      <c r="WFJ209" s="135"/>
      <c r="WFK209" s="135"/>
      <c r="WFL209" s="135"/>
      <c r="WFM209" s="173"/>
      <c r="WFN209" s="173"/>
      <c r="WFO209" s="173"/>
      <c r="WFP209" s="173"/>
      <c r="WFQ209" s="173"/>
      <c r="WFR209" s="173"/>
      <c r="WFS209" s="173"/>
      <c r="WFT209" s="173"/>
      <c r="WFU209" s="173"/>
      <c r="WFV209" s="173"/>
      <c r="WFW209" s="125"/>
      <c r="WFX209" s="125"/>
      <c r="WFY209" s="134"/>
      <c r="WFZ209" s="135"/>
      <c r="WGA209" s="135"/>
      <c r="WGB209" s="135"/>
      <c r="WGC209" s="135"/>
      <c r="WGD209" s="173"/>
      <c r="WGE209" s="173"/>
      <c r="WGF209" s="173"/>
      <c r="WGG209" s="173"/>
      <c r="WGH209" s="173"/>
      <c r="WGI209" s="173"/>
      <c r="WGJ209" s="173"/>
      <c r="WGK209" s="173"/>
      <c r="WGL209" s="173"/>
      <c r="WGM209" s="173"/>
      <c r="WGN209" s="125"/>
      <c r="WGO209" s="125"/>
      <c r="WGP209" s="134"/>
      <c r="WGQ209" s="135"/>
      <c r="WGR209" s="135"/>
      <c r="WGS209" s="135"/>
      <c r="WGT209" s="135"/>
      <c r="WGU209" s="173"/>
      <c r="WGV209" s="173"/>
      <c r="WGW209" s="173"/>
      <c r="WGX209" s="173"/>
      <c r="WGY209" s="173"/>
      <c r="WGZ209" s="173"/>
      <c r="WHA209" s="173"/>
      <c r="WHB209" s="173"/>
      <c r="WHC209" s="173"/>
      <c r="WHD209" s="173"/>
      <c r="WHE209" s="125"/>
      <c r="WHF209" s="125"/>
      <c r="WHG209" s="134"/>
      <c r="WHH209" s="135"/>
      <c r="WHI209" s="135"/>
      <c r="WHJ209" s="135"/>
      <c r="WHK209" s="135"/>
      <c r="WHL209" s="173"/>
      <c r="WHM209" s="173"/>
      <c r="WHN209" s="173"/>
      <c r="WHO209" s="173"/>
      <c r="WHP209" s="173"/>
      <c r="WHQ209" s="173"/>
      <c r="WHR209" s="173"/>
      <c r="WHS209" s="173"/>
      <c r="WHT209" s="173"/>
      <c r="WHU209" s="173"/>
      <c r="WHV209" s="125"/>
      <c r="WHW209" s="125"/>
      <c r="WHX209" s="134"/>
      <c r="WHY209" s="135"/>
      <c r="WHZ209" s="135"/>
      <c r="WIA209" s="135"/>
      <c r="WIB209" s="135"/>
      <c r="WIC209" s="173"/>
      <c r="WID209" s="173"/>
      <c r="WIE209" s="173"/>
      <c r="WIF209" s="173"/>
      <c r="WIG209" s="173"/>
      <c r="WIH209" s="173"/>
      <c r="WII209" s="173"/>
      <c r="WIJ209" s="173"/>
      <c r="WIK209" s="173"/>
      <c r="WIL209" s="173"/>
      <c r="WIM209" s="125"/>
      <c r="WIN209" s="125"/>
      <c r="WIO209" s="134"/>
      <c r="WIP209" s="135"/>
      <c r="WIQ209" s="135"/>
      <c r="WIR209" s="135"/>
      <c r="WIS209" s="135"/>
      <c r="WIT209" s="173"/>
      <c r="WIU209" s="173"/>
      <c r="WIV209" s="173"/>
      <c r="WIW209" s="173"/>
      <c r="WIX209" s="173"/>
      <c r="WIY209" s="173"/>
      <c r="WIZ209" s="173"/>
      <c r="WJA209" s="173"/>
      <c r="WJB209" s="173"/>
      <c r="WJC209" s="173"/>
      <c r="WJD209" s="125"/>
      <c r="WJE209" s="125"/>
      <c r="WJF209" s="134"/>
      <c r="WJG209" s="135"/>
      <c r="WJH209" s="135"/>
      <c r="WJI209" s="135"/>
      <c r="WJJ209" s="135"/>
      <c r="WJK209" s="173"/>
      <c r="WJL209" s="173"/>
      <c r="WJM209" s="173"/>
      <c r="WJN209" s="173"/>
      <c r="WJO209" s="173"/>
      <c r="WJP209" s="173"/>
      <c r="WJQ209" s="173"/>
      <c r="WJR209" s="173"/>
      <c r="WJS209" s="173"/>
      <c r="WJT209" s="173"/>
      <c r="WJU209" s="125"/>
      <c r="WJV209" s="125"/>
      <c r="WJW209" s="134"/>
      <c r="WJX209" s="135"/>
      <c r="WJY209" s="135"/>
      <c r="WJZ209" s="135"/>
      <c r="WKA209" s="135"/>
      <c r="WKB209" s="173"/>
      <c r="WKC209" s="173"/>
      <c r="WKD209" s="173"/>
      <c r="WKE209" s="173"/>
      <c r="WKF209" s="173"/>
      <c r="WKG209" s="173"/>
      <c r="WKH209" s="173"/>
      <c r="WKI209" s="173"/>
      <c r="WKJ209" s="173"/>
      <c r="WKK209" s="173"/>
      <c r="WKL209" s="125"/>
      <c r="WKM209" s="125"/>
      <c r="WKN209" s="134"/>
      <c r="WKO209" s="135"/>
      <c r="WKP209" s="135"/>
      <c r="WKQ209" s="135"/>
      <c r="WKR209" s="135"/>
      <c r="WKS209" s="173"/>
      <c r="WKT209" s="173"/>
      <c r="WKU209" s="173"/>
      <c r="WKV209" s="173"/>
      <c r="WKW209" s="173"/>
      <c r="WKX209" s="173"/>
      <c r="WKY209" s="173"/>
      <c r="WKZ209" s="173"/>
      <c r="WLA209" s="173"/>
      <c r="WLB209" s="173"/>
      <c r="WLC209" s="125"/>
      <c r="WLD209" s="125"/>
      <c r="WLE209" s="134"/>
      <c r="WLF209" s="135"/>
      <c r="WLG209" s="135"/>
      <c r="WLH209" s="135"/>
      <c r="WLI209" s="135"/>
      <c r="WLJ209" s="173"/>
      <c r="WLK209" s="173"/>
      <c r="WLL209" s="173"/>
      <c r="WLM209" s="173"/>
      <c r="WLN209" s="173"/>
      <c r="WLO209" s="173"/>
      <c r="WLP209" s="173"/>
      <c r="WLQ209" s="173"/>
      <c r="WLR209" s="173"/>
      <c r="WLS209" s="173"/>
      <c r="WLT209" s="125"/>
      <c r="WLU209" s="125"/>
      <c r="WLV209" s="134"/>
      <c r="WLW209" s="135"/>
      <c r="WLX209" s="135"/>
      <c r="WLY209" s="135"/>
      <c r="WLZ209" s="135"/>
      <c r="WMA209" s="173"/>
      <c r="WMB209" s="173"/>
      <c r="WMC209" s="173"/>
      <c r="WMD209" s="173"/>
      <c r="WME209" s="173"/>
      <c r="WMF209" s="173"/>
      <c r="WMG209" s="173"/>
      <c r="WMH209" s="173"/>
      <c r="WMI209" s="173"/>
      <c r="WMJ209" s="173"/>
      <c r="WMK209" s="125"/>
      <c r="WML209" s="125"/>
      <c r="WMM209" s="134"/>
      <c r="WMN209" s="135"/>
      <c r="WMO209" s="135"/>
      <c r="WMP209" s="135"/>
      <c r="WMQ209" s="135"/>
      <c r="WMR209" s="173"/>
      <c r="WMS209" s="173"/>
      <c r="WMT209" s="173"/>
      <c r="WMU209" s="173"/>
      <c r="WMV209" s="173"/>
      <c r="WMW209" s="173"/>
      <c r="WMX209" s="173"/>
      <c r="WMY209" s="173"/>
      <c r="WMZ209" s="173"/>
      <c r="WNA209" s="173"/>
      <c r="WNB209" s="125"/>
      <c r="WNC209" s="125"/>
      <c r="WND209" s="134"/>
      <c r="WNE209" s="135"/>
      <c r="WNF209" s="135"/>
      <c r="WNG209" s="135"/>
      <c r="WNH209" s="135"/>
      <c r="WNI209" s="173"/>
      <c r="WNJ209" s="173"/>
      <c r="WNK209" s="173"/>
      <c r="WNL209" s="173"/>
      <c r="WNM209" s="173"/>
      <c r="WNN209" s="173"/>
      <c r="WNO209" s="173"/>
      <c r="WNP209" s="173"/>
      <c r="WNQ209" s="173"/>
      <c r="WNR209" s="173"/>
      <c r="WNS209" s="125"/>
      <c r="WNT209" s="125"/>
      <c r="WNU209" s="134"/>
      <c r="WNV209" s="135"/>
      <c r="WNW209" s="135"/>
      <c r="WNX209" s="135"/>
      <c r="WNY209" s="135"/>
      <c r="WNZ209" s="173"/>
      <c r="WOA209" s="173"/>
      <c r="WOB209" s="173"/>
      <c r="WOC209" s="173"/>
      <c r="WOD209" s="173"/>
      <c r="WOE209" s="173"/>
      <c r="WOF209" s="173"/>
      <c r="WOG209" s="173"/>
      <c r="WOH209" s="173"/>
      <c r="WOI209" s="173"/>
      <c r="WOJ209" s="125"/>
      <c r="WOK209" s="125"/>
      <c r="WOL209" s="134"/>
      <c r="WOM209" s="135"/>
      <c r="WON209" s="135"/>
      <c r="WOO209" s="135"/>
      <c r="WOP209" s="135"/>
      <c r="WOQ209" s="173"/>
      <c r="WOR209" s="173"/>
      <c r="WOS209" s="173"/>
      <c r="WOT209" s="173"/>
      <c r="WOU209" s="173"/>
      <c r="WOV209" s="173"/>
      <c r="WOW209" s="173"/>
      <c r="WOX209" s="173"/>
      <c r="WOY209" s="173"/>
      <c r="WOZ209" s="173"/>
      <c r="WPA209" s="125"/>
      <c r="WPB209" s="125"/>
      <c r="WPC209" s="134"/>
      <c r="WPD209" s="135"/>
      <c r="WPE209" s="135"/>
      <c r="WPF209" s="135"/>
      <c r="WPG209" s="135"/>
      <c r="WPH209" s="173"/>
      <c r="WPI209" s="173"/>
      <c r="WPJ209" s="173"/>
      <c r="WPK209" s="173"/>
      <c r="WPL209" s="173"/>
      <c r="WPM209" s="173"/>
      <c r="WPN209" s="173"/>
      <c r="WPO209" s="173"/>
      <c r="WPP209" s="173"/>
      <c r="WPQ209" s="173"/>
      <c r="WPR209" s="125"/>
      <c r="WPS209" s="125"/>
      <c r="WPT209" s="134"/>
      <c r="WPU209" s="135"/>
      <c r="WPV209" s="135"/>
      <c r="WPW209" s="135"/>
      <c r="WPX209" s="135"/>
      <c r="WPY209" s="173"/>
      <c r="WPZ209" s="173"/>
      <c r="WQA209" s="173"/>
      <c r="WQB209" s="173"/>
      <c r="WQC209" s="173"/>
      <c r="WQD209" s="173"/>
      <c r="WQE209" s="173"/>
      <c r="WQF209" s="173"/>
      <c r="WQG209" s="173"/>
      <c r="WQH209" s="173"/>
      <c r="WQI209" s="125"/>
      <c r="WQJ209" s="125"/>
      <c r="WQK209" s="134"/>
      <c r="WQL209" s="135"/>
      <c r="WQM209" s="135"/>
      <c r="WQN209" s="135"/>
      <c r="WQO209" s="135"/>
      <c r="WQP209" s="173"/>
      <c r="WQQ209" s="173"/>
      <c r="WQR209" s="173"/>
      <c r="WQS209" s="173"/>
      <c r="WQT209" s="173"/>
      <c r="WQU209" s="173"/>
      <c r="WQV209" s="173"/>
      <c r="WQW209" s="173"/>
      <c r="WQX209" s="173"/>
      <c r="WQY209" s="173"/>
      <c r="WQZ209" s="125"/>
      <c r="WRA209" s="125"/>
      <c r="WRB209" s="134"/>
      <c r="WRC209" s="135"/>
      <c r="WRD209" s="135"/>
      <c r="WRE209" s="135"/>
      <c r="WRF209" s="135"/>
      <c r="WRG209" s="173"/>
      <c r="WRH209" s="173"/>
      <c r="WRI209" s="173"/>
      <c r="WRJ209" s="173"/>
      <c r="WRK209" s="173"/>
      <c r="WRL209" s="173"/>
      <c r="WRM209" s="173"/>
      <c r="WRN209" s="173"/>
      <c r="WRO209" s="173"/>
      <c r="WRP209" s="173"/>
      <c r="WRQ209" s="125"/>
      <c r="WRR209" s="125"/>
      <c r="WRS209" s="134"/>
      <c r="WRT209" s="135"/>
      <c r="WRU209" s="135"/>
      <c r="WRV209" s="135"/>
      <c r="WRW209" s="135"/>
      <c r="WRX209" s="173"/>
      <c r="WRY209" s="173"/>
      <c r="WRZ209" s="173"/>
      <c r="WSA209" s="173"/>
      <c r="WSB209" s="173"/>
      <c r="WSC209" s="173"/>
      <c r="WSD209" s="173"/>
      <c r="WSE209" s="173"/>
      <c r="WSF209" s="173"/>
      <c r="WSG209" s="173"/>
      <c r="WSH209" s="125"/>
      <c r="WSI209" s="125"/>
      <c r="WSJ209" s="134"/>
      <c r="WSK209" s="135"/>
      <c r="WSL209" s="135"/>
      <c r="WSM209" s="135"/>
      <c r="WSN209" s="135"/>
      <c r="WSO209" s="173"/>
      <c r="WSP209" s="173"/>
      <c r="WSQ209" s="173"/>
      <c r="WSR209" s="173"/>
      <c r="WSS209" s="173"/>
      <c r="WST209" s="173"/>
      <c r="WSU209" s="173"/>
      <c r="WSV209" s="173"/>
      <c r="WSW209" s="173"/>
      <c r="WSX209" s="173"/>
      <c r="WSY209" s="125"/>
      <c r="WSZ209" s="125"/>
      <c r="WTA209" s="134"/>
      <c r="WTB209" s="135"/>
      <c r="WTC209" s="135"/>
      <c r="WTD209" s="135"/>
      <c r="WTE209" s="135"/>
      <c r="WTF209" s="173"/>
      <c r="WTG209" s="173"/>
      <c r="WTH209" s="173"/>
      <c r="WTI209" s="173"/>
      <c r="WTJ209" s="173"/>
      <c r="WTK209" s="173"/>
      <c r="WTL209" s="173"/>
      <c r="WTM209" s="173"/>
      <c r="WTN209" s="173"/>
      <c r="WTO209" s="173"/>
      <c r="WTP209" s="125"/>
      <c r="WTQ209" s="125"/>
      <c r="WTR209" s="134"/>
      <c r="WTS209" s="135"/>
      <c r="WTT209" s="135"/>
      <c r="WTU209" s="135"/>
      <c r="WTV209" s="135"/>
      <c r="WTW209" s="173"/>
      <c r="WTX209" s="173"/>
      <c r="WTY209" s="173"/>
      <c r="WTZ209" s="173"/>
      <c r="WUA209" s="173"/>
      <c r="WUB209" s="173"/>
      <c r="WUC209" s="173"/>
      <c r="WUD209" s="173"/>
      <c r="WUE209" s="173"/>
      <c r="WUF209" s="173"/>
      <c r="WUG209" s="125"/>
      <c r="WUH209" s="125"/>
      <c r="WUI209" s="134"/>
      <c r="WUJ209" s="135"/>
      <c r="WUK209" s="135"/>
      <c r="WUL209" s="135"/>
      <c r="WUM209" s="135"/>
      <c r="WUN209" s="173"/>
      <c r="WUO209" s="173"/>
      <c r="WUP209" s="173"/>
      <c r="WUQ209" s="173"/>
      <c r="WUR209" s="173"/>
      <c r="WUS209" s="173"/>
      <c r="WUT209" s="173"/>
      <c r="WUU209" s="173"/>
      <c r="WUV209" s="173"/>
      <c r="WUW209" s="173"/>
      <c r="WUX209" s="125"/>
      <c r="WUY209" s="125"/>
      <c r="WUZ209" s="134"/>
      <c r="WVA209" s="135"/>
      <c r="WVB209" s="135"/>
      <c r="WVC209" s="135"/>
      <c r="WVD209" s="135"/>
      <c r="WVE209" s="173"/>
      <c r="WVF209" s="173"/>
      <c r="WVG209" s="173"/>
      <c r="WVH209" s="173"/>
      <c r="WVI209" s="173"/>
      <c r="WVJ209" s="173"/>
      <c r="WVK209" s="173"/>
      <c r="WVL209" s="173"/>
      <c r="WVM209" s="173"/>
      <c r="WVN209" s="173"/>
      <c r="WVO209" s="125"/>
      <c r="WVP209" s="125"/>
      <c r="WVQ209" s="134"/>
      <c r="WVR209" s="135"/>
      <c r="WVS209" s="135"/>
      <c r="WVT209" s="135"/>
      <c r="WVU209" s="135"/>
      <c r="WVV209" s="173"/>
      <c r="WVW209" s="173"/>
      <c r="WVX209" s="173"/>
      <c r="WVY209" s="173"/>
      <c r="WVZ209" s="173"/>
      <c r="WWA209" s="173"/>
      <c r="WWB209" s="173"/>
      <c r="WWC209" s="173"/>
      <c r="WWD209" s="173"/>
      <c r="WWE209" s="173"/>
      <c r="WWF209" s="125"/>
      <c r="WWG209" s="125"/>
      <c r="WWH209" s="134"/>
      <c r="WWI209" s="135"/>
      <c r="WWJ209" s="135"/>
      <c r="WWK209" s="135"/>
      <c r="WWL209" s="135"/>
      <c r="WWM209" s="173"/>
      <c r="WWN209" s="173"/>
      <c r="WWO209" s="173"/>
      <c r="WWP209" s="173"/>
      <c r="WWQ209" s="173"/>
      <c r="WWR209" s="173"/>
      <c r="WWS209" s="173"/>
      <c r="WWT209" s="173"/>
      <c r="WWU209" s="173"/>
      <c r="WWV209" s="173"/>
      <c r="WWW209" s="125"/>
      <c r="WWX209" s="125"/>
      <c r="WWY209" s="134"/>
      <c r="WWZ209" s="135"/>
      <c r="WXA209" s="135"/>
      <c r="WXB209" s="135"/>
      <c r="WXC209" s="135"/>
      <c r="WXD209" s="173"/>
      <c r="WXE209" s="173"/>
      <c r="WXF209" s="173"/>
      <c r="WXG209" s="173"/>
      <c r="WXH209" s="173"/>
      <c r="WXI209" s="173"/>
      <c r="WXJ209" s="173"/>
      <c r="WXK209" s="173"/>
      <c r="WXL209" s="173"/>
      <c r="WXM209" s="173"/>
      <c r="WXN209" s="125"/>
      <c r="WXO209" s="125"/>
      <c r="WXP209" s="134"/>
      <c r="WXQ209" s="135"/>
      <c r="WXR209" s="135"/>
      <c r="WXS209" s="135"/>
      <c r="WXT209" s="135"/>
      <c r="WXU209" s="173"/>
      <c r="WXV209" s="173"/>
      <c r="WXW209" s="173"/>
      <c r="WXX209" s="173"/>
      <c r="WXY209" s="173"/>
      <c r="WXZ209" s="173"/>
      <c r="WYA209" s="173"/>
      <c r="WYB209" s="173"/>
      <c r="WYC209" s="173"/>
      <c r="WYD209" s="173"/>
      <c r="WYE209" s="125"/>
      <c r="WYF209" s="125"/>
      <c r="WYG209" s="134"/>
      <c r="WYH209" s="135"/>
      <c r="WYI209" s="135"/>
      <c r="WYJ209" s="135"/>
      <c r="WYK209" s="135"/>
      <c r="WYL209" s="173"/>
      <c r="WYM209" s="173"/>
      <c r="WYN209" s="173"/>
      <c r="WYO209" s="173"/>
      <c r="WYP209" s="173"/>
      <c r="WYQ209" s="173"/>
      <c r="WYR209" s="173"/>
      <c r="WYS209" s="173"/>
      <c r="WYT209" s="173"/>
      <c r="WYU209" s="173"/>
      <c r="WYV209" s="125"/>
      <c r="WYW209" s="125"/>
      <c r="WYX209" s="134"/>
      <c r="WYY209" s="135"/>
      <c r="WYZ209" s="135"/>
      <c r="WZA209" s="135"/>
      <c r="WZB209" s="135"/>
      <c r="WZC209" s="173"/>
      <c r="WZD209" s="173"/>
      <c r="WZE209" s="173"/>
      <c r="WZF209" s="173"/>
      <c r="WZG209" s="173"/>
      <c r="WZH209" s="173"/>
      <c r="WZI209" s="173"/>
      <c r="WZJ209" s="173"/>
      <c r="WZK209" s="173"/>
      <c r="WZL209" s="173"/>
      <c r="WZM209" s="125"/>
      <c r="WZN209" s="125"/>
      <c r="WZO209" s="134"/>
      <c r="WZP209" s="135"/>
      <c r="WZQ209" s="135"/>
      <c r="WZR209" s="135"/>
      <c r="WZS209" s="135"/>
      <c r="WZT209" s="173"/>
      <c r="WZU209" s="173"/>
      <c r="WZV209" s="173"/>
      <c r="WZW209" s="173"/>
      <c r="WZX209" s="173"/>
      <c r="WZY209" s="173"/>
      <c r="WZZ209" s="173"/>
      <c r="XAA209" s="173"/>
      <c r="XAB209" s="173"/>
      <c r="XAC209" s="173"/>
      <c r="XAD209" s="125"/>
      <c r="XAE209" s="125"/>
      <c r="XAF209" s="134"/>
      <c r="XAG209" s="135"/>
      <c r="XAH209" s="135"/>
      <c r="XAI209" s="135"/>
      <c r="XAJ209" s="135"/>
      <c r="XAK209" s="173"/>
      <c r="XAL209" s="173"/>
      <c r="XAM209" s="173"/>
      <c r="XAN209" s="173"/>
      <c r="XAO209" s="173"/>
      <c r="XAP209" s="173"/>
      <c r="XAQ209" s="173"/>
      <c r="XAR209" s="173"/>
      <c r="XAS209" s="173"/>
      <c r="XAT209" s="173"/>
      <c r="XAU209" s="125"/>
      <c r="XAV209" s="125"/>
      <c r="XAW209" s="134"/>
      <c r="XAX209" s="135"/>
      <c r="XAY209" s="135"/>
      <c r="XAZ209" s="135"/>
      <c r="XBA209" s="135"/>
      <c r="XBB209" s="173"/>
      <c r="XBC209" s="173"/>
      <c r="XBD209" s="173"/>
      <c r="XBE209" s="173"/>
      <c r="XBF209" s="173"/>
      <c r="XBG209" s="173"/>
      <c r="XBH209" s="173"/>
      <c r="XBI209" s="173"/>
      <c r="XBJ209" s="173"/>
      <c r="XBK209" s="173"/>
      <c r="XBL209" s="125"/>
      <c r="XBM209" s="125"/>
      <c r="XBN209" s="134"/>
      <c r="XBO209" s="135"/>
      <c r="XBP209" s="135"/>
      <c r="XBQ209" s="135"/>
      <c r="XBR209" s="135"/>
      <c r="XBS209" s="173"/>
      <c r="XBT209" s="173"/>
      <c r="XBU209" s="173"/>
      <c r="XBV209" s="173"/>
      <c r="XBW209" s="173"/>
      <c r="XBX209" s="173"/>
      <c r="XBY209" s="173"/>
      <c r="XBZ209" s="173"/>
      <c r="XCA209" s="173"/>
      <c r="XCB209" s="173"/>
      <c r="XCC209" s="125"/>
      <c r="XCD209" s="125"/>
      <c r="XCE209" s="134"/>
      <c r="XCF209" s="135"/>
      <c r="XCG209" s="135"/>
      <c r="XCH209" s="135"/>
      <c r="XCI209" s="135"/>
      <c r="XCJ209" s="173"/>
      <c r="XCK209" s="173"/>
      <c r="XCL209" s="173"/>
      <c r="XCM209" s="173"/>
      <c r="XCN209" s="173"/>
      <c r="XCO209" s="173"/>
      <c r="XCP209" s="173"/>
      <c r="XCQ209" s="173"/>
      <c r="XCR209" s="173"/>
      <c r="XCS209" s="173"/>
      <c r="XCT209" s="125"/>
      <c r="XCU209" s="125"/>
      <c r="XCV209" s="134"/>
      <c r="XCW209" s="135"/>
      <c r="XCX209" s="135"/>
      <c r="XCY209" s="135"/>
      <c r="XCZ209" s="135"/>
      <c r="XDA209" s="173"/>
      <c r="XDB209" s="173"/>
      <c r="XDC209" s="173"/>
      <c r="XDD209" s="173"/>
      <c r="XDE209" s="173"/>
      <c r="XDF209" s="173"/>
      <c r="XDG209" s="173"/>
      <c r="XDH209" s="173"/>
      <c r="XDI209" s="173"/>
      <c r="XDJ209" s="173"/>
      <c r="XDK209" s="125"/>
      <c r="XDL209" s="125"/>
      <c r="XDM209" s="134"/>
      <c r="XDN209" s="135"/>
      <c r="XDO209" s="135"/>
      <c r="XDP209" s="135"/>
      <c r="XDQ209" s="135"/>
      <c r="XDR209" s="173"/>
      <c r="XDS209" s="173"/>
      <c r="XDT209" s="173"/>
      <c r="XDU209" s="173"/>
      <c r="XDV209" s="173"/>
      <c r="XDW209" s="173"/>
      <c r="XDX209" s="173"/>
      <c r="XDY209" s="173"/>
      <c r="XDZ209" s="173"/>
      <c r="XEA209" s="173"/>
      <c r="XEB209" s="125"/>
      <c r="XEC209" s="125"/>
      <c r="XED209" s="134"/>
      <c r="XEE209" s="135"/>
      <c r="XEF209" s="135"/>
      <c r="XEG209" s="135"/>
      <c r="XEH209" s="135"/>
      <c r="XEI209" s="173"/>
      <c r="XEJ209" s="173"/>
      <c r="XEK209" s="173"/>
      <c r="XEL209" s="173"/>
      <c r="XEM209" s="173"/>
      <c r="XEN209" s="173"/>
      <c r="XEO209" s="173"/>
      <c r="XEP209" s="173"/>
      <c r="XEQ209" s="173"/>
      <c r="XER209" s="173"/>
      <c r="XES209" s="125"/>
      <c r="XET209" s="125"/>
      <c r="XEU209" s="134"/>
      <c r="XEV209" s="135"/>
      <c r="XEW209" s="135"/>
      <c r="XEX209" s="135"/>
      <c r="XEY209" s="135"/>
      <c r="XEZ209" s="173"/>
      <c r="XFA209" s="173"/>
      <c r="XFB209" s="173"/>
    </row>
    <row r="210" spans="1:16382" ht="15" hidden="1" customHeight="1">
      <c r="C210" s="164" t="s">
        <v>184</v>
      </c>
      <c r="G210" s="164" t="s">
        <v>176</v>
      </c>
      <c r="J210" s="191" t="e">
        <f t="shared" ref="J210:R210" si="142">J209/I209-1</f>
        <v>#DIV/0!</v>
      </c>
      <c r="K210" s="191" t="e">
        <f t="shared" si="142"/>
        <v>#DIV/0!</v>
      </c>
      <c r="L210" s="191" t="e">
        <f t="shared" si="142"/>
        <v>#DIV/0!</v>
      </c>
      <c r="M210" s="191" t="e">
        <f t="shared" si="142"/>
        <v>#DIV/0!</v>
      </c>
      <c r="N210" s="170" t="e">
        <f t="shared" si="142"/>
        <v>#DIV/0!</v>
      </c>
      <c r="O210" s="177" t="e">
        <f t="shared" si="142"/>
        <v>#DIV/0!</v>
      </c>
      <c r="P210" s="177" t="e">
        <f t="shared" si="142"/>
        <v>#DIV/0!</v>
      </c>
      <c r="Q210" s="170" t="e">
        <f t="shared" si="142"/>
        <v>#DIV/0!</v>
      </c>
      <c r="R210" s="170" t="e">
        <f t="shared" si="142"/>
        <v>#DIV/0!</v>
      </c>
      <c r="S210"/>
      <c r="T210"/>
      <c r="U210"/>
      <c r="V210"/>
      <c r="W210"/>
      <c r="X210"/>
      <c r="Y210"/>
      <c r="AA210"/>
      <c r="AB210"/>
      <c r="AC210"/>
      <c r="AD210"/>
    </row>
    <row r="211" spans="1:16382" hidden="1">
      <c r="A211" s="4" t="str">
        <f>'[7]Input sheet'!A89</f>
        <v>Turkey</v>
      </c>
      <c r="B211" s="129" t="str">
        <f>'[7]Input sheet'!B89</f>
        <v>Employment</v>
      </c>
      <c r="C211" s="4" t="str">
        <f>'[7]Input sheet'!C89</f>
        <v>Total Tourism Employment by Sector</v>
      </c>
      <c r="D211" s="2" t="str">
        <f>'[7]Input sheet'!D89</f>
        <v>Accommodation</v>
      </c>
      <c r="G211" s="1" t="str">
        <f>'[7]Input sheet'!G89</f>
        <v>Thousands</v>
      </c>
      <c r="H211" s="169">
        <f>H171+H131</f>
        <v>0</v>
      </c>
      <c r="I211" s="169">
        <f>I171+I131</f>
        <v>0</v>
      </c>
      <c r="J211" s="169">
        <f t="shared" ref="J211:M223" si="143">J171+J131</f>
        <v>0</v>
      </c>
      <c r="K211" s="169">
        <f t="shared" si="143"/>
        <v>0</v>
      </c>
      <c r="L211" s="169">
        <f t="shared" si="143"/>
        <v>0</v>
      </c>
      <c r="M211" s="169">
        <f t="shared" si="143"/>
        <v>0</v>
      </c>
      <c r="N211" s="169" t="e">
        <f>N171+N131</f>
        <v>#DIV/0!</v>
      </c>
      <c r="O211" s="203" t="e">
        <f t="shared" ref="O211:R223" si="144">O171+O131</f>
        <v>#DIV/0!</v>
      </c>
      <c r="P211" s="203" t="e">
        <f t="shared" si="144"/>
        <v>#DIV/0!</v>
      </c>
      <c r="Q211" s="203" t="e">
        <f t="shared" si="144"/>
        <v>#DIV/0!</v>
      </c>
      <c r="R211" s="203" t="e">
        <f t="shared" si="144"/>
        <v>#DIV/0!</v>
      </c>
      <c r="S211" s="114"/>
      <c r="T211" s="114"/>
      <c r="U211" s="114"/>
      <c r="V211" s="114"/>
      <c r="W211" s="114"/>
      <c r="X211" s="114"/>
      <c r="Y211" s="114"/>
      <c r="AA211"/>
      <c r="AB211"/>
      <c r="AC211"/>
      <c r="AD211"/>
    </row>
    <row r="212" spans="1:16382" hidden="1">
      <c r="C212" s="164" t="s">
        <v>184</v>
      </c>
      <c r="G212" s="164" t="s">
        <v>176</v>
      </c>
      <c r="J212" s="170" t="e">
        <f t="shared" ref="J212:R212" si="145">J211/I211-1</f>
        <v>#DIV/0!</v>
      </c>
      <c r="K212" s="170" t="e">
        <f t="shared" si="145"/>
        <v>#DIV/0!</v>
      </c>
      <c r="L212" s="170" t="e">
        <f t="shared" si="145"/>
        <v>#DIV/0!</v>
      </c>
      <c r="M212" s="170" t="e">
        <f t="shared" si="145"/>
        <v>#DIV/0!</v>
      </c>
      <c r="N212" s="170" t="e">
        <f t="shared" si="145"/>
        <v>#DIV/0!</v>
      </c>
      <c r="O212" s="177" t="e">
        <f t="shared" si="145"/>
        <v>#DIV/0!</v>
      </c>
      <c r="P212" s="177" t="e">
        <f t="shared" si="145"/>
        <v>#DIV/0!</v>
      </c>
      <c r="Q212" s="177" t="e">
        <f t="shared" si="145"/>
        <v>#DIV/0!</v>
      </c>
      <c r="R212" s="177" t="e">
        <f t="shared" si="145"/>
        <v>#DIV/0!</v>
      </c>
      <c r="S212" s="114"/>
      <c r="T212" s="114"/>
      <c r="U212" s="114"/>
      <c r="V212" s="114"/>
      <c r="W212" s="114"/>
      <c r="X212" s="114"/>
      <c r="Y212" s="114"/>
      <c r="AA212"/>
      <c r="AB212"/>
      <c r="AC212"/>
      <c r="AD212"/>
    </row>
    <row r="213" spans="1:16382" hidden="1">
      <c r="A213" s="4" t="str">
        <f>'[7]Input sheet'!A90</f>
        <v>Turkey</v>
      </c>
      <c r="B213" s="129" t="str">
        <f>'[7]Input sheet'!B90</f>
        <v>Employment</v>
      </c>
      <c r="C213" s="4" t="str">
        <f>'[7]Input sheet'!C90</f>
        <v>Total Tourism Employment by Sector</v>
      </c>
      <c r="D213" s="2" t="str">
        <f>'[7]Input sheet'!D90</f>
        <v>Entertainment &amp; Sightseeing</v>
      </c>
      <c r="G213" s="1" t="str">
        <f>'[7]Input sheet'!G90</f>
        <v>Thousands</v>
      </c>
      <c r="H213" s="169">
        <f>H173+H133</f>
        <v>0</v>
      </c>
      <c r="I213" s="169">
        <f>I173+I133</f>
        <v>0</v>
      </c>
      <c r="J213" s="169">
        <f t="shared" si="143"/>
        <v>0</v>
      </c>
      <c r="K213" s="169">
        <f t="shared" si="143"/>
        <v>0</v>
      </c>
      <c r="L213" s="169">
        <f t="shared" si="143"/>
        <v>0</v>
      </c>
      <c r="M213" s="169">
        <f t="shared" si="143"/>
        <v>0</v>
      </c>
      <c r="N213" s="169" t="e">
        <f>N173+N133</f>
        <v>#DIV/0!</v>
      </c>
      <c r="O213" s="203" t="e">
        <f t="shared" si="144"/>
        <v>#DIV/0!</v>
      </c>
      <c r="P213" s="203" t="e">
        <f t="shared" si="144"/>
        <v>#DIV/0!</v>
      </c>
      <c r="Q213" s="203" t="e">
        <f t="shared" si="144"/>
        <v>#DIV/0!</v>
      </c>
      <c r="R213" s="203" t="e">
        <f t="shared" si="144"/>
        <v>#DIV/0!</v>
      </c>
      <c r="S213" s="114"/>
      <c r="T213" s="6" t="e">
        <f>'[7]Input sheet'!S90</f>
        <v>#REF!</v>
      </c>
      <c r="U213" s="6" t="str">
        <f>'[7]Input sheet'!T90</f>
        <v>Used the total tourism-related employment numbers from the TSA</v>
      </c>
      <c r="V213" s="6" t="e">
        <f>'[7]Input sheet'!U90</f>
        <v>#REF!</v>
      </c>
      <c r="W213" s="6" t="e">
        <f>'[7]Input sheet'!W90</f>
        <v>#REF!</v>
      </c>
      <c r="X213" s="6" t="e">
        <f>'[7]Input sheet'!X90</f>
        <v>#REF!</v>
      </c>
      <c r="Y213" s="6"/>
      <c r="Z213" s="1"/>
    </row>
    <row r="214" spans="1:16382" hidden="1">
      <c r="C214" s="164" t="s">
        <v>184</v>
      </c>
      <c r="G214" s="164" t="s">
        <v>176</v>
      </c>
      <c r="J214" s="170" t="e">
        <f t="shared" ref="J214:R214" si="146">J213/I213-1</f>
        <v>#DIV/0!</v>
      </c>
      <c r="K214" s="170" t="e">
        <f t="shared" si="146"/>
        <v>#DIV/0!</v>
      </c>
      <c r="L214" s="170" t="e">
        <f t="shared" si="146"/>
        <v>#DIV/0!</v>
      </c>
      <c r="M214" s="170" t="e">
        <f t="shared" si="146"/>
        <v>#DIV/0!</v>
      </c>
      <c r="N214" s="170" t="e">
        <f t="shared" si="146"/>
        <v>#DIV/0!</v>
      </c>
      <c r="O214" s="177" t="e">
        <f t="shared" si="146"/>
        <v>#DIV/0!</v>
      </c>
      <c r="P214" s="177" t="e">
        <f t="shared" si="146"/>
        <v>#DIV/0!</v>
      </c>
      <c r="Q214" s="177" t="e">
        <f t="shared" si="146"/>
        <v>#DIV/0!</v>
      </c>
      <c r="R214" s="177" t="e">
        <f t="shared" si="146"/>
        <v>#DIV/0!</v>
      </c>
      <c r="S214" s="114"/>
      <c r="T214" s="6"/>
      <c r="U214" s="6"/>
      <c r="V214" s="6"/>
      <c r="W214" s="6"/>
      <c r="X214" s="6"/>
      <c r="Y214" s="6"/>
      <c r="Z214" s="751"/>
    </row>
    <row r="215" spans="1:16382" hidden="1">
      <c r="A215" s="4" t="str">
        <f>'[7]Input sheet'!A91</f>
        <v>Turkey</v>
      </c>
      <c r="B215" s="129" t="str">
        <f>'[7]Input sheet'!B91</f>
        <v>Employment</v>
      </c>
      <c r="C215" s="4" t="str">
        <f>'[7]Input sheet'!C91</f>
        <v>Total Tourism Employment by Sector</v>
      </c>
      <c r="D215" s="2" t="str">
        <f>'[7]Input sheet'!D91</f>
        <v>Foodservice</v>
      </c>
      <c r="G215" s="1" t="str">
        <f>'[7]Input sheet'!G91</f>
        <v>Thousands</v>
      </c>
      <c r="H215" s="169">
        <f>H175+H135</f>
        <v>0</v>
      </c>
      <c r="I215" s="169">
        <f>I175+I135</f>
        <v>0</v>
      </c>
      <c r="J215" s="169">
        <f t="shared" si="143"/>
        <v>0</v>
      </c>
      <c r="K215" s="169">
        <f t="shared" si="143"/>
        <v>0</v>
      </c>
      <c r="L215" s="169">
        <f t="shared" si="143"/>
        <v>0</v>
      </c>
      <c r="M215" s="169">
        <f t="shared" si="143"/>
        <v>0</v>
      </c>
      <c r="N215" s="169" t="e">
        <f>N175+N135</f>
        <v>#DIV/0!</v>
      </c>
      <c r="O215" s="203" t="e">
        <f t="shared" si="144"/>
        <v>#DIV/0!</v>
      </c>
      <c r="P215" s="203" t="e">
        <f t="shared" si="144"/>
        <v>#DIV/0!</v>
      </c>
      <c r="Q215" s="203" t="e">
        <f t="shared" si="144"/>
        <v>#DIV/0!</v>
      </c>
      <c r="R215" s="203" t="e">
        <f t="shared" si="144"/>
        <v>#DIV/0!</v>
      </c>
      <c r="S215" s="114"/>
      <c r="T215" s="6" t="e">
        <f>'[7]Input sheet'!S91</f>
        <v>#REF!</v>
      </c>
      <c r="U215" s="6" t="str">
        <f>'[7]Input sheet'!T91</f>
        <v>Used the total tourism-related employment numbers from the TSA</v>
      </c>
      <c r="V215" s="6" t="e">
        <f>'[7]Input sheet'!U91</f>
        <v>#REF!</v>
      </c>
      <c r="W215" s="6" t="e">
        <f>'[7]Input sheet'!W91</f>
        <v>#REF!</v>
      </c>
      <c r="X215" s="6" t="e">
        <f>'[7]Input sheet'!X91</f>
        <v>#REF!</v>
      </c>
      <c r="Y215" s="6"/>
      <c r="Z215" s="1"/>
    </row>
    <row r="216" spans="1:16382" hidden="1">
      <c r="C216" s="164" t="s">
        <v>184</v>
      </c>
      <c r="G216" s="164" t="s">
        <v>176</v>
      </c>
      <c r="J216" s="170" t="e">
        <f t="shared" ref="J216:R216" si="147">J215/I215-1</f>
        <v>#DIV/0!</v>
      </c>
      <c r="K216" s="170" t="e">
        <f t="shared" si="147"/>
        <v>#DIV/0!</v>
      </c>
      <c r="L216" s="170" t="e">
        <f t="shared" si="147"/>
        <v>#DIV/0!</v>
      </c>
      <c r="M216" s="170" t="e">
        <f t="shared" si="147"/>
        <v>#DIV/0!</v>
      </c>
      <c r="N216" s="170" t="e">
        <f t="shared" si="147"/>
        <v>#DIV/0!</v>
      </c>
      <c r="O216" s="177" t="e">
        <f t="shared" si="147"/>
        <v>#DIV/0!</v>
      </c>
      <c r="P216" s="177" t="e">
        <f t="shared" si="147"/>
        <v>#DIV/0!</v>
      </c>
      <c r="Q216" s="177" t="e">
        <f t="shared" si="147"/>
        <v>#DIV/0!</v>
      </c>
      <c r="R216" s="177" t="e">
        <f t="shared" si="147"/>
        <v>#DIV/0!</v>
      </c>
      <c r="S216" s="114"/>
      <c r="T216" s="6"/>
      <c r="U216" s="6"/>
      <c r="V216" s="6"/>
      <c r="W216" s="6"/>
      <c r="X216" s="6"/>
      <c r="Y216" s="6"/>
      <c r="Z216" s="1"/>
    </row>
    <row r="217" spans="1:16382" hidden="1">
      <c r="A217" s="4" t="str">
        <f>'[7]Input sheet'!A92</f>
        <v>Turkey</v>
      </c>
      <c r="B217" s="129" t="str">
        <f>'[7]Input sheet'!B92</f>
        <v>Employment</v>
      </c>
      <c r="C217" s="4" t="str">
        <f>'[7]Input sheet'!C92</f>
        <v>Total Tourism Employment by Sector</v>
      </c>
      <c r="D217" s="2" t="str">
        <f>'[7]Input sheet'!D92</f>
        <v>Retail</v>
      </c>
      <c r="G217" s="1" t="str">
        <f>'[7]Input sheet'!G92</f>
        <v>Thousands</v>
      </c>
      <c r="H217" s="169">
        <f>H177+H137</f>
        <v>0</v>
      </c>
      <c r="I217" s="169">
        <f>I177+I137</f>
        <v>0</v>
      </c>
      <c r="J217" s="169">
        <f t="shared" si="143"/>
        <v>0</v>
      </c>
      <c r="K217" s="169">
        <f t="shared" si="143"/>
        <v>0</v>
      </c>
      <c r="L217" s="169">
        <f t="shared" si="143"/>
        <v>0</v>
      </c>
      <c r="M217" s="169">
        <f t="shared" si="143"/>
        <v>0</v>
      </c>
      <c r="N217" s="169" t="e">
        <f>N177+N137</f>
        <v>#DIV/0!</v>
      </c>
      <c r="O217" s="203" t="e">
        <f t="shared" si="144"/>
        <v>#DIV/0!</v>
      </c>
      <c r="P217" s="203" t="e">
        <f t="shared" si="144"/>
        <v>#DIV/0!</v>
      </c>
      <c r="Q217" s="203" t="e">
        <f t="shared" si="144"/>
        <v>#DIV/0!</v>
      </c>
      <c r="R217" s="203" t="e">
        <f t="shared" si="144"/>
        <v>#DIV/0!</v>
      </c>
      <c r="S217" s="114"/>
      <c r="T217" s="6" t="e">
        <f>'[7]Input sheet'!S92</f>
        <v>#REF!</v>
      </c>
      <c r="U217" s="6" t="str">
        <f>'[7]Input sheet'!T92</f>
        <v>Used the total tourism-related employment numbers from the TSA</v>
      </c>
      <c r="V217" s="6" t="e">
        <f>'[7]Input sheet'!U92</f>
        <v>#REF!</v>
      </c>
      <c r="W217" s="6" t="e">
        <f>'[7]Input sheet'!W92</f>
        <v>#REF!</v>
      </c>
      <c r="X217" s="6" t="e">
        <f>'[7]Input sheet'!X92</f>
        <v>#REF!</v>
      </c>
      <c r="Y217" s="6"/>
      <c r="Z217" s="1"/>
    </row>
    <row r="218" spans="1:16382" hidden="1">
      <c r="C218" s="164" t="s">
        <v>184</v>
      </c>
      <c r="G218" s="164" t="s">
        <v>176</v>
      </c>
      <c r="J218" s="177" t="e">
        <f t="shared" ref="J218:R218" si="148">J217/I217-1</f>
        <v>#DIV/0!</v>
      </c>
      <c r="K218" s="170" t="e">
        <f t="shared" si="148"/>
        <v>#DIV/0!</v>
      </c>
      <c r="L218" s="170" t="e">
        <f t="shared" si="148"/>
        <v>#DIV/0!</v>
      </c>
      <c r="M218" s="170" t="e">
        <f t="shared" si="148"/>
        <v>#DIV/0!</v>
      </c>
      <c r="N218" s="170" t="e">
        <f t="shared" si="148"/>
        <v>#DIV/0!</v>
      </c>
      <c r="O218" s="177" t="e">
        <f t="shared" si="148"/>
        <v>#DIV/0!</v>
      </c>
      <c r="P218" s="177" t="e">
        <f t="shared" si="148"/>
        <v>#DIV/0!</v>
      </c>
      <c r="Q218" s="177" t="e">
        <f t="shared" si="148"/>
        <v>#DIV/0!</v>
      </c>
      <c r="R218" s="177" t="e">
        <f t="shared" si="148"/>
        <v>#DIV/0!</v>
      </c>
      <c r="S218" s="114"/>
      <c r="T218" s="6"/>
      <c r="U218" s="6"/>
      <c r="V218" s="6"/>
      <c r="W218" s="6"/>
      <c r="X218" s="6"/>
      <c r="Y218" s="6"/>
      <c r="Z218" s="1"/>
    </row>
    <row r="219" spans="1:16382" hidden="1">
      <c r="A219" s="4" t="str">
        <f>'[7]Input sheet'!A93</f>
        <v>Turkey</v>
      </c>
      <c r="B219" s="129" t="str">
        <f>'[7]Input sheet'!B93</f>
        <v>Employment</v>
      </c>
      <c r="C219" s="4" t="str">
        <f>'[7]Input sheet'!C93</f>
        <v>Total Tourism Employment by Sector</v>
      </c>
      <c r="D219" s="2" t="str">
        <f>'[7]Input sheet'!D93</f>
        <v>Transportation</v>
      </c>
      <c r="G219" s="1" t="str">
        <f>'[7]Input sheet'!G93</f>
        <v>Thousands</v>
      </c>
      <c r="H219" s="169">
        <f>H179+H139</f>
        <v>0</v>
      </c>
      <c r="I219" s="169">
        <f>I179+I139</f>
        <v>0</v>
      </c>
      <c r="J219" s="203">
        <f t="shared" si="143"/>
        <v>0</v>
      </c>
      <c r="K219" s="169">
        <f t="shared" si="143"/>
        <v>0</v>
      </c>
      <c r="L219" s="169">
        <f t="shared" si="143"/>
        <v>0</v>
      </c>
      <c r="M219" s="169">
        <f t="shared" si="143"/>
        <v>0</v>
      </c>
      <c r="N219" s="169" t="e">
        <f>N179+N139</f>
        <v>#DIV/0!</v>
      </c>
      <c r="O219" s="203" t="e">
        <f t="shared" si="144"/>
        <v>#DIV/0!</v>
      </c>
      <c r="P219" s="203" t="e">
        <f t="shared" si="144"/>
        <v>#DIV/0!</v>
      </c>
      <c r="Q219" s="203" t="e">
        <f t="shared" si="144"/>
        <v>#DIV/0!</v>
      </c>
      <c r="R219" s="203" t="e">
        <f t="shared" si="144"/>
        <v>#DIV/0!</v>
      </c>
      <c r="S219" s="114"/>
      <c r="T219" s="6" t="e">
        <f>'[7]Input sheet'!S93</f>
        <v>#REF!</v>
      </c>
      <c r="U219" s="6" t="str">
        <f>'[7]Input sheet'!T93</f>
        <v>Used the total tourism-related employment numbers from the TSA</v>
      </c>
      <c r="V219" s="6" t="e">
        <f>'[7]Input sheet'!U93</f>
        <v>#REF!</v>
      </c>
      <c r="W219" s="6" t="e">
        <f>'[7]Input sheet'!W93</f>
        <v>#REF!</v>
      </c>
      <c r="X219" s="6" t="e">
        <f>'[7]Input sheet'!X93</f>
        <v>#REF!</v>
      </c>
      <c r="Y219" s="6"/>
      <c r="Z219" s="1"/>
    </row>
    <row r="220" spans="1:16382" hidden="1">
      <c r="C220" s="164" t="s">
        <v>184</v>
      </c>
      <c r="G220" s="164" t="s">
        <v>176</v>
      </c>
      <c r="J220" s="177" t="e">
        <f t="shared" ref="J220:R220" si="149">J219/I219-1</f>
        <v>#DIV/0!</v>
      </c>
      <c r="K220" s="170" t="e">
        <f t="shared" si="149"/>
        <v>#DIV/0!</v>
      </c>
      <c r="L220" s="170" t="e">
        <f t="shared" si="149"/>
        <v>#DIV/0!</v>
      </c>
      <c r="M220" s="170" t="e">
        <f t="shared" si="149"/>
        <v>#DIV/0!</v>
      </c>
      <c r="N220" s="170" t="e">
        <f t="shared" si="149"/>
        <v>#DIV/0!</v>
      </c>
      <c r="O220" s="177" t="e">
        <f t="shared" si="149"/>
        <v>#DIV/0!</v>
      </c>
      <c r="P220" s="177" t="e">
        <f t="shared" si="149"/>
        <v>#DIV/0!</v>
      </c>
      <c r="Q220" s="177" t="e">
        <f t="shared" si="149"/>
        <v>#DIV/0!</v>
      </c>
      <c r="R220" s="177" t="e">
        <f t="shared" si="149"/>
        <v>#DIV/0!</v>
      </c>
      <c r="S220" s="114"/>
      <c r="T220" s="6"/>
      <c r="U220" s="6"/>
      <c r="V220" s="6"/>
      <c r="W220" s="6"/>
      <c r="X220" s="6"/>
      <c r="Y220" s="6"/>
      <c r="Z220" s="1"/>
    </row>
    <row r="221" spans="1:16382" hidden="1">
      <c r="A221" s="4" t="str">
        <f>'[7]Input sheet'!A94</f>
        <v>Turkey</v>
      </c>
      <c r="B221" s="129" t="str">
        <f>'[7]Input sheet'!B94</f>
        <v>Employment</v>
      </c>
      <c r="C221" s="4" t="str">
        <f>'[7]Input sheet'!C94</f>
        <v>Total Tourism Employment by Sector</v>
      </c>
      <c r="D221" s="2" t="str">
        <f>'[7]Input sheet'!D94</f>
        <v>Travel Intermediation</v>
      </c>
      <c r="G221" s="1" t="str">
        <f>'[7]Input sheet'!G94</f>
        <v>Thousands</v>
      </c>
      <c r="H221" s="169">
        <f>H181+H141</f>
        <v>0</v>
      </c>
      <c r="I221" s="169">
        <f>I181+I141</f>
        <v>0</v>
      </c>
      <c r="J221" s="203">
        <f>J181+J141</f>
        <v>0</v>
      </c>
      <c r="K221" s="169">
        <f t="shared" si="143"/>
        <v>0</v>
      </c>
      <c r="L221" s="169">
        <f t="shared" si="143"/>
        <v>0</v>
      </c>
      <c r="M221" s="169">
        <f t="shared" si="143"/>
        <v>0</v>
      </c>
      <c r="N221" s="169" t="e">
        <f>N181+N141</f>
        <v>#DIV/0!</v>
      </c>
      <c r="O221" s="169" t="e">
        <f t="shared" si="144"/>
        <v>#DIV/0!</v>
      </c>
      <c r="P221" s="169" t="e">
        <f t="shared" si="144"/>
        <v>#DIV/0!</v>
      </c>
      <c r="Q221" s="169" t="e">
        <f t="shared" si="144"/>
        <v>#DIV/0!</v>
      </c>
      <c r="R221" s="169" t="e">
        <f t="shared" si="144"/>
        <v>#DIV/0!</v>
      </c>
      <c r="S221"/>
      <c r="T221" s="1" t="e">
        <f>'[7]Input sheet'!S94</f>
        <v>#REF!</v>
      </c>
      <c r="U221" s="1" t="str">
        <f>'[7]Input sheet'!T94</f>
        <v>Used the total tourism-related employment numbers from the TSA</v>
      </c>
      <c r="V221" s="1" t="e">
        <f>'[7]Input sheet'!U94</f>
        <v>#REF!</v>
      </c>
      <c r="W221" s="1" t="e">
        <f>'[7]Input sheet'!W94</f>
        <v>#REF!</v>
      </c>
      <c r="X221" s="1" t="e">
        <f>'[7]Input sheet'!X94</f>
        <v>#REF!</v>
      </c>
      <c r="Z221" s="1"/>
    </row>
    <row r="222" spans="1:16382" hidden="1">
      <c r="C222" s="164" t="s">
        <v>184</v>
      </c>
      <c r="G222" s="164" t="s">
        <v>176</v>
      </c>
      <c r="J222" s="177" t="e">
        <f t="shared" ref="J222:R222" si="150">J221/I221-1</f>
        <v>#DIV/0!</v>
      </c>
      <c r="K222" s="170" t="e">
        <f t="shared" si="150"/>
        <v>#DIV/0!</v>
      </c>
      <c r="L222" s="170" t="e">
        <f t="shared" si="150"/>
        <v>#DIV/0!</v>
      </c>
      <c r="M222" s="170" t="e">
        <f t="shared" si="150"/>
        <v>#DIV/0!</v>
      </c>
      <c r="N222" s="170" t="e">
        <f t="shared" si="150"/>
        <v>#DIV/0!</v>
      </c>
      <c r="O222" s="170" t="e">
        <f t="shared" si="150"/>
        <v>#DIV/0!</v>
      </c>
      <c r="P222" s="170" t="e">
        <f t="shared" si="150"/>
        <v>#DIV/0!</v>
      </c>
      <c r="Q222" s="170" t="e">
        <f t="shared" si="150"/>
        <v>#DIV/0!</v>
      </c>
      <c r="R222" s="170" t="e">
        <f t="shared" si="150"/>
        <v>#DIV/0!</v>
      </c>
      <c r="S222"/>
      <c r="Z222" s="1"/>
    </row>
    <row r="223" spans="1:16382" hidden="1">
      <c r="A223" s="4" t="str">
        <f>'[7]Input sheet'!A95</f>
        <v>Turkey</v>
      </c>
      <c r="B223" s="129" t="str">
        <f>'[7]Input sheet'!B95</f>
        <v>Employment</v>
      </c>
      <c r="C223" s="4" t="str">
        <f>'[7]Input sheet'!C95</f>
        <v>Total Tourism Employment by Sector</v>
      </c>
      <c r="D223" s="2" t="str">
        <f>'[7]Input sheet'!D95</f>
        <v>Other Sectors</v>
      </c>
      <c r="G223" s="1" t="str">
        <f>'[7]Input sheet'!G95</f>
        <v>Thousands</v>
      </c>
      <c r="H223" s="169">
        <f>H183+H143</f>
        <v>0</v>
      </c>
      <c r="I223" s="169">
        <f>I183+I143</f>
        <v>0</v>
      </c>
      <c r="J223" s="169">
        <f t="shared" si="143"/>
        <v>0</v>
      </c>
      <c r="K223" s="169">
        <f t="shared" si="143"/>
        <v>0</v>
      </c>
      <c r="L223" s="169">
        <f t="shared" si="143"/>
        <v>0</v>
      </c>
      <c r="M223" s="169">
        <f t="shared" si="143"/>
        <v>0</v>
      </c>
      <c r="N223" s="169" t="e">
        <f>N183+N143</f>
        <v>#DIV/0!</v>
      </c>
      <c r="O223" s="169" t="e">
        <f t="shared" si="144"/>
        <v>#DIV/0!</v>
      </c>
      <c r="P223" s="169" t="e">
        <f t="shared" si="144"/>
        <v>#DIV/0!</v>
      </c>
      <c r="Q223" s="169" t="e">
        <f t="shared" si="144"/>
        <v>#DIV/0!</v>
      </c>
      <c r="R223" s="169" t="e">
        <f t="shared" si="144"/>
        <v>#DIV/0!</v>
      </c>
      <c r="S223"/>
      <c r="T223" s="1" t="e">
        <f>'[7]Input sheet'!S95</f>
        <v>#REF!</v>
      </c>
      <c r="U223" s="1" t="str">
        <f>'[7]Input sheet'!T95</f>
        <v>Used the total tourism-related employment numbers from the TSA</v>
      </c>
      <c r="V223" s="1" t="e">
        <f>'[7]Input sheet'!U95</f>
        <v>#REF!</v>
      </c>
      <c r="W223" s="1" t="e">
        <f>'[7]Input sheet'!W95</f>
        <v>#REF!</v>
      </c>
      <c r="X223" s="1" t="e">
        <f>'[7]Input sheet'!X95</f>
        <v>#REF!</v>
      </c>
      <c r="Z223" s="1"/>
    </row>
    <row r="224" spans="1:16382" ht="11.25" hidden="1">
      <c r="C224" s="164" t="s">
        <v>184</v>
      </c>
      <c r="G224" s="164" t="s">
        <v>176</v>
      </c>
      <c r="J224" s="170" t="e">
        <f t="shared" ref="J224:R224" si="151">J223/I223-1</f>
        <v>#DIV/0!</v>
      </c>
      <c r="K224" s="170" t="e">
        <f t="shared" si="151"/>
        <v>#DIV/0!</v>
      </c>
      <c r="L224" s="170" t="e">
        <f t="shared" si="151"/>
        <v>#DIV/0!</v>
      </c>
      <c r="M224" s="170" t="e">
        <f t="shared" si="151"/>
        <v>#DIV/0!</v>
      </c>
      <c r="N224" s="170" t="e">
        <f t="shared" si="151"/>
        <v>#DIV/0!</v>
      </c>
      <c r="O224" s="170" t="e">
        <f t="shared" si="151"/>
        <v>#DIV/0!</v>
      </c>
      <c r="P224" s="170" t="e">
        <f t="shared" si="151"/>
        <v>#DIV/0!</v>
      </c>
      <c r="Q224" s="170" t="e">
        <f t="shared" si="151"/>
        <v>#DIV/0!</v>
      </c>
      <c r="R224" s="170" t="e">
        <f t="shared" si="151"/>
        <v>#DIV/0!</v>
      </c>
      <c r="Z224" s="1"/>
    </row>
    <row r="225" spans="1:16382" ht="11.25" hidden="1">
      <c r="C225" s="174" t="s">
        <v>348</v>
      </c>
      <c r="D225" s="34"/>
      <c r="E225" s="34"/>
      <c r="F225" s="34"/>
      <c r="G225" s="174"/>
      <c r="H225" s="183" t="e">
        <f>H111*1000/H209</f>
        <v>#DIV/0!</v>
      </c>
      <c r="I225" s="183" t="e">
        <f>I111*1000/I209</f>
        <v>#DIV/0!</v>
      </c>
      <c r="J225" s="183" t="e">
        <f t="shared" ref="J225:R225" si="152">J111*1000/J209</f>
        <v>#DIV/0!</v>
      </c>
      <c r="K225" s="183" t="e">
        <f t="shared" si="152"/>
        <v>#DIV/0!</v>
      </c>
      <c r="L225" s="183" t="e">
        <f t="shared" si="152"/>
        <v>#DIV/0!</v>
      </c>
      <c r="M225" s="183" t="e">
        <f t="shared" si="152"/>
        <v>#DIV/0!</v>
      </c>
      <c r="N225" s="183" t="e">
        <f t="shared" si="152"/>
        <v>#DIV/0!</v>
      </c>
      <c r="O225" s="183" t="e">
        <f t="shared" si="152"/>
        <v>#DIV/0!</v>
      </c>
      <c r="P225" s="183" t="e">
        <f t="shared" si="152"/>
        <v>#DIV/0!</v>
      </c>
      <c r="Q225" s="183" t="e">
        <f t="shared" si="152"/>
        <v>#DIV/0!</v>
      </c>
      <c r="R225" s="183" t="e">
        <f t="shared" si="152"/>
        <v>#DIV/0!</v>
      </c>
      <c r="Z225" s="1"/>
    </row>
    <row r="226" spans="1:16382" ht="11.25" hidden="1">
      <c r="C226" s="174"/>
      <c r="D226" s="175" t="s">
        <v>36</v>
      </c>
      <c r="E226" s="34"/>
      <c r="F226" s="34"/>
      <c r="G226" s="174"/>
      <c r="H226" s="184" t="e">
        <f>H113*1000/H211</f>
        <v>#DIV/0!</v>
      </c>
      <c r="I226" s="184" t="e">
        <f>I113*1000/I211</f>
        <v>#DIV/0!</v>
      </c>
      <c r="J226" s="184" t="e">
        <f t="shared" ref="J226:R226" si="153">J113*1000/J211</f>
        <v>#DIV/0!</v>
      </c>
      <c r="K226" s="184" t="e">
        <f t="shared" si="153"/>
        <v>#DIV/0!</v>
      </c>
      <c r="L226" s="184" t="e">
        <f t="shared" si="153"/>
        <v>#DIV/0!</v>
      </c>
      <c r="M226" s="184" t="e">
        <f t="shared" si="153"/>
        <v>#DIV/0!</v>
      </c>
      <c r="N226" s="184" t="e">
        <f t="shared" si="153"/>
        <v>#DIV/0!</v>
      </c>
      <c r="O226" s="184" t="e">
        <f t="shared" si="153"/>
        <v>#DIV/0!</v>
      </c>
      <c r="P226" s="184" t="e">
        <f t="shared" si="153"/>
        <v>#DIV/0!</v>
      </c>
      <c r="Q226" s="184" t="e">
        <f t="shared" si="153"/>
        <v>#DIV/0!</v>
      </c>
      <c r="R226" s="184" t="e">
        <f t="shared" si="153"/>
        <v>#DIV/0!</v>
      </c>
      <c r="Z226" s="1"/>
    </row>
    <row r="227" spans="1:16382" ht="11.25" hidden="1">
      <c r="C227" s="174"/>
      <c r="D227" s="175" t="s">
        <v>37</v>
      </c>
      <c r="E227" s="34"/>
      <c r="F227" s="34"/>
      <c r="G227" s="174"/>
      <c r="H227" s="184" t="e">
        <f>H115*1000/H213</f>
        <v>#DIV/0!</v>
      </c>
      <c r="I227" s="184" t="e">
        <f>I115*1000/I213</f>
        <v>#DIV/0!</v>
      </c>
      <c r="J227" s="184" t="e">
        <f t="shared" ref="J227:R227" si="154">J115*1000/J213</f>
        <v>#DIV/0!</v>
      </c>
      <c r="K227" s="184" t="e">
        <f t="shared" si="154"/>
        <v>#DIV/0!</v>
      </c>
      <c r="L227" s="184" t="e">
        <f>L115*1000/L213</f>
        <v>#DIV/0!</v>
      </c>
      <c r="M227" s="184" t="e">
        <f t="shared" si="154"/>
        <v>#DIV/0!</v>
      </c>
      <c r="N227" s="184" t="e">
        <f t="shared" si="154"/>
        <v>#DIV/0!</v>
      </c>
      <c r="O227" s="184" t="e">
        <f t="shared" si="154"/>
        <v>#DIV/0!</v>
      </c>
      <c r="P227" s="184" t="e">
        <f t="shared" si="154"/>
        <v>#DIV/0!</v>
      </c>
      <c r="Q227" s="184" t="e">
        <f t="shared" si="154"/>
        <v>#DIV/0!</v>
      </c>
      <c r="R227" s="184" t="e">
        <f t="shared" si="154"/>
        <v>#DIV/0!</v>
      </c>
      <c r="Z227" s="1"/>
    </row>
    <row r="228" spans="1:16382" ht="11.25" hidden="1">
      <c r="C228" s="174"/>
      <c r="D228" s="175" t="s">
        <v>38</v>
      </c>
      <c r="E228" s="34"/>
      <c r="F228" s="34"/>
      <c r="G228" s="174"/>
      <c r="H228" s="184" t="e">
        <f>H117*1000/H215</f>
        <v>#DIV/0!</v>
      </c>
      <c r="I228" s="184" t="e">
        <f>I117*1000/I215</f>
        <v>#DIV/0!</v>
      </c>
      <c r="J228" s="184" t="e">
        <f t="shared" ref="J228:R228" si="155">J117*1000/J215</f>
        <v>#DIV/0!</v>
      </c>
      <c r="K228" s="184" t="e">
        <f t="shared" si="155"/>
        <v>#DIV/0!</v>
      </c>
      <c r="L228" s="184" t="e">
        <f t="shared" si="155"/>
        <v>#DIV/0!</v>
      </c>
      <c r="M228" s="184" t="e">
        <f t="shared" si="155"/>
        <v>#DIV/0!</v>
      </c>
      <c r="N228" s="184" t="e">
        <f t="shared" si="155"/>
        <v>#DIV/0!</v>
      </c>
      <c r="O228" s="184" t="e">
        <f t="shared" si="155"/>
        <v>#DIV/0!</v>
      </c>
      <c r="P228" s="184" t="e">
        <f t="shared" si="155"/>
        <v>#DIV/0!</v>
      </c>
      <c r="Q228" s="184" t="e">
        <f t="shared" si="155"/>
        <v>#DIV/0!</v>
      </c>
      <c r="R228" s="184" t="e">
        <f t="shared" si="155"/>
        <v>#DIV/0!</v>
      </c>
      <c r="Z228" s="1"/>
    </row>
    <row r="229" spans="1:16382" ht="11.25" hidden="1">
      <c r="C229" s="174"/>
      <c r="D229" s="175" t="s">
        <v>39</v>
      </c>
      <c r="E229" s="34"/>
      <c r="F229" s="34"/>
      <c r="G229" s="174"/>
      <c r="H229" s="184" t="e">
        <f>H119*1000/H217</f>
        <v>#DIV/0!</v>
      </c>
      <c r="I229" s="184" t="e">
        <f>I119*1000/I217</f>
        <v>#DIV/0!</v>
      </c>
      <c r="J229" s="184" t="e">
        <f t="shared" ref="J229:R229" si="156">J119*1000/J217</f>
        <v>#DIV/0!</v>
      </c>
      <c r="K229" s="184" t="e">
        <f t="shared" si="156"/>
        <v>#DIV/0!</v>
      </c>
      <c r="L229" s="184" t="e">
        <f t="shared" si="156"/>
        <v>#DIV/0!</v>
      </c>
      <c r="M229" s="184" t="e">
        <f t="shared" si="156"/>
        <v>#DIV/0!</v>
      </c>
      <c r="N229" s="184" t="e">
        <f t="shared" si="156"/>
        <v>#DIV/0!</v>
      </c>
      <c r="O229" s="184" t="e">
        <f t="shared" si="156"/>
        <v>#DIV/0!</v>
      </c>
      <c r="P229" s="184" t="e">
        <f t="shared" si="156"/>
        <v>#DIV/0!</v>
      </c>
      <c r="Q229" s="184" t="e">
        <f t="shared" si="156"/>
        <v>#DIV/0!</v>
      </c>
      <c r="R229" s="184" t="e">
        <f t="shared" si="156"/>
        <v>#DIV/0!</v>
      </c>
      <c r="Z229" s="1"/>
    </row>
    <row r="230" spans="1:16382" ht="11.25" hidden="1">
      <c r="C230" s="174"/>
      <c r="D230" s="175" t="s">
        <v>40</v>
      </c>
      <c r="E230" s="34"/>
      <c r="F230" s="34"/>
      <c r="G230" s="174"/>
      <c r="H230" s="184" t="e">
        <f>H121*1000/H219</f>
        <v>#DIV/0!</v>
      </c>
      <c r="I230" s="184" t="e">
        <f>I121*1000/I219</f>
        <v>#DIV/0!</v>
      </c>
      <c r="J230" s="184" t="e">
        <f t="shared" ref="J230:R230" si="157">J121*1000/J219</f>
        <v>#DIV/0!</v>
      </c>
      <c r="K230" s="184" t="e">
        <f t="shared" si="157"/>
        <v>#DIV/0!</v>
      </c>
      <c r="L230" s="184" t="e">
        <f t="shared" si="157"/>
        <v>#DIV/0!</v>
      </c>
      <c r="M230" s="184" t="e">
        <f t="shared" si="157"/>
        <v>#DIV/0!</v>
      </c>
      <c r="N230" s="184" t="e">
        <f t="shared" si="157"/>
        <v>#DIV/0!</v>
      </c>
      <c r="O230" s="184" t="e">
        <f t="shared" si="157"/>
        <v>#DIV/0!</v>
      </c>
      <c r="P230" s="184" t="e">
        <f t="shared" si="157"/>
        <v>#DIV/0!</v>
      </c>
      <c r="Q230" s="184" t="e">
        <f t="shared" si="157"/>
        <v>#DIV/0!</v>
      </c>
      <c r="R230" s="184" t="e">
        <f t="shared" si="157"/>
        <v>#DIV/0!</v>
      </c>
      <c r="Z230" s="1"/>
    </row>
    <row r="231" spans="1:16382" ht="11.25" hidden="1">
      <c r="C231" s="174"/>
      <c r="D231" s="175" t="s">
        <v>41</v>
      </c>
      <c r="E231" s="34"/>
      <c r="F231" s="34"/>
      <c r="G231" s="174"/>
      <c r="H231" s="184" t="e">
        <f>H123*1000/H221</f>
        <v>#DIV/0!</v>
      </c>
      <c r="I231" s="184" t="e">
        <f>I123*1000/I221</f>
        <v>#DIV/0!</v>
      </c>
      <c r="J231" s="184" t="e">
        <f t="shared" ref="J231:R231" si="158">J123*1000/J221</f>
        <v>#DIV/0!</v>
      </c>
      <c r="K231" s="184" t="e">
        <f t="shared" si="158"/>
        <v>#DIV/0!</v>
      </c>
      <c r="L231" s="184" t="e">
        <f t="shared" si="158"/>
        <v>#DIV/0!</v>
      </c>
      <c r="M231" s="184" t="e">
        <f t="shared" si="158"/>
        <v>#DIV/0!</v>
      </c>
      <c r="N231" s="184" t="e">
        <f t="shared" si="158"/>
        <v>#DIV/0!</v>
      </c>
      <c r="O231" s="184" t="e">
        <f t="shared" si="158"/>
        <v>#DIV/0!</v>
      </c>
      <c r="P231" s="184" t="e">
        <f t="shared" si="158"/>
        <v>#DIV/0!</v>
      </c>
      <c r="Q231" s="184" t="e">
        <f t="shared" si="158"/>
        <v>#DIV/0!</v>
      </c>
      <c r="R231" s="184" t="e">
        <f t="shared" si="158"/>
        <v>#DIV/0!</v>
      </c>
      <c r="Z231" s="1"/>
    </row>
    <row r="232" spans="1:16382" hidden="1">
      <c r="C232" s="174"/>
      <c r="D232" s="175" t="s">
        <v>42</v>
      </c>
      <c r="E232" s="34"/>
      <c r="F232" s="34"/>
      <c r="G232" s="174"/>
      <c r="H232" s="184" t="e">
        <f>H125*1000/H223</f>
        <v>#DIV/0!</v>
      </c>
      <c r="I232" s="184" t="e">
        <f>I125*1000/I223</f>
        <v>#DIV/0!</v>
      </c>
      <c r="J232" s="184" t="e">
        <f t="shared" ref="J232:R232" si="159">J125*1000/J223</f>
        <v>#DIV/0!</v>
      </c>
      <c r="K232" s="184" t="e">
        <f t="shared" si="159"/>
        <v>#DIV/0!</v>
      </c>
      <c r="L232" s="184" t="e">
        <f t="shared" si="159"/>
        <v>#DIV/0!</v>
      </c>
      <c r="M232" s="184" t="e">
        <f t="shared" si="159"/>
        <v>#DIV/0!</v>
      </c>
      <c r="N232" s="184" t="e">
        <f>N125*1000/N223</f>
        <v>#DIV/0!</v>
      </c>
      <c r="O232" s="184" t="e">
        <f t="shared" si="159"/>
        <v>#DIV/0!</v>
      </c>
      <c r="P232" s="184" t="e">
        <f t="shared" si="159"/>
        <v>#DIV/0!</v>
      </c>
      <c r="Q232" s="184" t="e">
        <f t="shared" si="159"/>
        <v>#DIV/0!</v>
      </c>
      <c r="R232" s="184" t="e">
        <f t="shared" si="159"/>
        <v>#DIV/0!</v>
      </c>
      <c r="S232"/>
      <c r="T232"/>
      <c r="U232"/>
      <c r="V232"/>
      <c r="W232"/>
      <c r="X232"/>
      <c r="Y232"/>
      <c r="AA232"/>
      <c r="AB232"/>
      <c r="AC232"/>
      <c r="AD232"/>
    </row>
    <row r="233" spans="1:16382" customFormat="1" hidden="1">
      <c r="A233" s="125" t="str">
        <f>'[7]Input sheet'!A96</f>
        <v>Turkey</v>
      </c>
      <c r="B233" s="125" t="str">
        <f>'[7]Input sheet'!B96</f>
        <v>Employment</v>
      </c>
      <c r="C233" s="134" t="str">
        <f>'[7]Input sheet'!C96</f>
        <v>Total Tourism Employment as a Percentage of Total Employment</v>
      </c>
      <c r="D233" s="135"/>
      <c r="E233" s="135"/>
      <c r="F233" s="135"/>
      <c r="G233" s="135" t="str">
        <f>'[7]Input sheet'!G96</f>
        <v>%</v>
      </c>
      <c r="H233" s="192" t="e">
        <f>H209/H$508</f>
        <v>#DIV/0!</v>
      </c>
      <c r="I233" s="192" t="e">
        <f>I209/I$508</f>
        <v>#DIV/0!</v>
      </c>
      <c r="J233" s="192" t="e">
        <f t="shared" ref="J233:M233" si="160">J209/J$508</f>
        <v>#DIV/0!</v>
      </c>
      <c r="K233" s="192" t="e">
        <f t="shared" si="160"/>
        <v>#DIV/0!</v>
      </c>
      <c r="L233" s="192" t="e">
        <f t="shared" si="160"/>
        <v>#DIV/0!</v>
      </c>
      <c r="M233" s="192" t="e">
        <f t="shared" si="160"/>
        <v>#DIV/0!</v>
      </c>
      <c r="N233" s="192" t="e">
        <f>N209/N$508</f>
        <v>#DIV/0!</v>
      </c>
      <c r="O233" s="192" t="e">
        <f t="shared" ref="O233:R233" si="161">O209/O$508</f>
        <v>#DIV/0!</v>
      </c>
      <c r="P233" s="192" t="e">
        <f t="shared" si="161"/>
        <v>#DIV/0!</v>
      </c>
      <c r="Q233" s="192" t="e">
        <f t="shared" si="161"/>
        <v>#DIV/0!</v>
      </c>
      <c r="R233" s="192" t="e">
        <f t="shared" si="161"/>
        <v>#DIV/0!</v>
      </c>
      <c r="AE233" s="173"/>
      <c r="AF233" s="173"/>
      <c r="AG233" s="173"/>
      <c r="AH233" s="173"/>
      <c r="AI233" s="173"/>
      <c r="AJ233" s="125"/>
      <c r="AK233" s="125"/>
      <c r="AL233" s="134"/>
      <c r="AM233" s="135"/>
      <c r="AN233" s="135"/>
      <c r="AO233" s="135"/>
      <c r="AP233" s="135"/>
      <c r="AQ233" s="173"/>
      <c r="AR233" s="173"/>
      <c r="AS233" s="173"/>
      <c r="AT233" s="173"/>
      <c r="AU233" s="173"/>
      <c r="AV233" s="173"/>
      <c r="AW233" s="173"/>
      <c r="AX233" s="173"/>
      <c r="AY233" s="173"/>
      <c r="AZ233" s="173"/>
      <c r="BA233" s="125"/>
      <c r="BB233" s="125"/>
      <c r="BC233" s="134"/>
      <c r="BD233" s="135"/>
      <c r="BE233" s="135"/>
      <c r="BF233" s="135"/>
      <c r="BG233" s="135"/>
      <c r="BH233" s="173"/>
      <c r="BI233" s="173"/>
      <c r="BJ233" s="173"/>
      <c r="BK233" s="173"/>
      <c r="BL233" s="173"/>
      <c r="BM233" s="173"/>
      <c r="BN233" s="173"/>
      <c r="BO233" s="173"/>
      <c r="BP233" s="173"/>
      <c r="BQ233" s="173"/>
      <c r="BR233" s="125"/>
      <c r="BS233" s="125"/>
      <c r="BT233" s="134"/>
      <c r="BU233" s="135"/>
      <c r="BV233" s="135"/>
      <c r="BW233" s="135"/>
      <c r="BX233" s="135"/>
      <c r="BY233" s="173"/>
      <c r="BZ233" s="173"/>
      <c r="CA233" s="173"/>
      <c r="CB233" s="173"/>
      <c r="CC233" s="173"/>
      <c r="CD233" s="173"/>
      <c r="CE233" s="173"/>
      <c r="CF233" s="173"/>
      <c r="CG233" s="173"/>
      <c r="CH233" s="173"/>
      <c r="CI233" s="125"/>
      <c r="CJ233" s="125"/>
      <c r="CK233" s="134"/>
      <c r="CL233" s="135"/>
      <c r="CM233" s="135"/>
      <c r="CN233" s="135"/>
      <c r="CO233" s="135"/>
      <c r="CP233" s="173"/>
      <c r="CQ233" s="173"/>
      <c r="CR233" s="173"/>
      <c r="CS233" s="173"/>
      <c r="CT233" s="173"/>
      <c r="CU233" s="173"/>
      <c r="CV233" s="173"/>
      <c r="CW233" s="173"/>
      <c r="CX233" s="173"/>
      <c r="CY233" s="173"/>
      <c r="CZ233" s="125"/>
      <c r="DA233" s="125"/>
      <c r="DB233" s="134"/>
      <c r="DC233" s="135"/>
      <c r="DD233" s="135"/>
      <c r="DE233" s="135"/>
      <c r="DF233" s="135"/>
      <c r="DG233" s="173"/>
      <c r="DH233" s="173"/>
      <c r="DI233" s="173"/>
      <c r="DJ233" s="173"/>
      <c r="DK233" s="173"/>
      <c r="DL233" s="173"/>
      <c r="DM233" s="173"/>
      <c r="DN233" s="173"/>
      <c r="DO233" s="173"/>
      <c r="DP233" s="173"/>
      <c r="DQ233" s="125"/>
      <c r="DR233" s="125"/>
      <c r="DS233" s="134"/>
      <c r="DT233" s="135"/>
      <c r="DU233" s="135"/>
      <c r="DV233" s="135"/>
      <c r="DW233" s="135"/>
      <c r="DX233" s="173"/>
      <c r="DY233" s="173"/>
      <c r="DZ233" s="173"/>
      <c r="EA233" s="173"/>
      <c r="EB233" s="173"/>
      <c r="EC233" s="173"/>
      <c r="ED233" s="173"/>
      <c r="EE233" s="173"/>
      <c r="EF233" s="173"/>
      <c r="EG233" s="173"/>
      <c r="EH233" s="125"/>
      <c r="EI233" s="125"/>
      <c r="EJ233" s="134"/>
      <c r="EK233" s="135"/>
      <c r="EL233" s="135"/>
      <c r="EM233" s="135"/>
      <c r="EN233" s="135"/>
      <c r="EO233" s="173"/>
      <c r="EP233" s="173"/>
      <c r="EQ233" s="173"/>
      <c r="ER233" s="173"/>
      <c r="ES233" s="173"/>
      <c r="ET233" s="173"/>
      <c r="EU233" s="173"/>
      <c r="EV233" s="173"/>
      <c r="EW233" s="173"/>
      <c r="EX233" s="173"/>
      <c r="EY233" s="125"/>
      <c r="EZ233" s="125"/>
      <c r="FA233" s="134"/>
      <c r="FB233" s="135"/>
      <c r="FC233" s="135"/>
      <c r="FD233" s="135"/>
      <c r="FE233" s="135"/>
      <c r="FF233" s="173"/>
      <c r="FG233" s="173"/>
      <c r="FH233" s="173"/>
      <c r="FI233" s="173"/>
      <c r="FJ233" s="173"/>
      <c r="FK233" s="173"/>
      <c r="FL233" s="173"/>
      <c r="FM233" s="173"/>
      <c r="FN233" s="173"/>
      <c r="FO233" s="173"/>
      <c r="FP233" s="125"/>
      <c r="FQ233" s="125"/>
      <c r="FR233" s="134"/>
      <c r="FS233" s="135"/>
      <c r="FT233" s="135"/>
      <c r="FU233" s="135"/>
      <c r="FV233" s="135"/>
      <c r="FW233" s="173"/>
      <c r="FX233" s="173"/>
      <c r="FY233" s="173"/>
      <c r="FZ233" s="173"/>
      <c r="GA233" s="173"/>
      <c r="GB233" s="173"/>
      <c r="GC233" s="173"/>
      <c r="GD233" s="173"/>
      <c r="GE233" s="173"/>
      <c r="GF233" s="173"/>
      <c r="GG233" s="125"/>
      <c r="GH233" s="125"/>
      <c r="GI233" s="134"/>
      <c r="GJ233" s="135"/>
      <c r="GK233" s="135"/>
      <c r="GL233" s="135"/>
      <c r="GM233" s="135"/>
      <c r="GN233" s="173"/>
      <c r="GO233" s="173"/>
      <c r="GP233" s="173"/>
      <c r="GQ233" s="173"/>
      <c r="GR233" s="173"/>
      <c r="GS233" s="173"/>
      <c r="GT233" s="173"/>
      <c r="GU233" s="173"/>
      <c r="GV233" s="173"/>
      <c r="GW233" s="173"/>
      <c r="GX233" s="125"/>
      <c r="GY233" s="125"/>
      <c r="GZ233" s="134"/>
      <c r="HA233" s="135"/>
      <c r="HB233" s="135"/>
      <c r="HC233" s="135"/>
      <c r="HD233" s="135"/>
      <c r="HE233" s="173"/>
      <c r="HF233" s="173"/>
      <c r="HG233" s="173"/>
      <c r="HH233" s="173"/>
      <c r="HI233" s="173"/>
      <c r="HJ233" s="173"/>
      <c r="HK233" s="173"/>
      <c r="HL233" s="173"/>
      <c r="HM233" s="173"/>
      <c r="HN233" s="173"/>
      <c r="HO233" s="125"/>
      <c r="HP233" s="125"/>
      <c r="HQ233" s="134"/>
      <c r="HR233" s="135"/>
      <c r="HS233" s="135"/>
      <c r="HT233" s="135"/>
      <c r="HU233" s="135"/>
      <c r="HV233" s="173"/>
      <c r="HW233" s="173"/>
      <c r="HX233" s="173"/>
      <c r="HY233" s="173"/>
      <c r="HZ233" s="173"/>
      <c r="IA233" s="173"/>
      <c r="IB233" s="173"/>
      <c r="IC233" s="173"/>
      <c r="ID233" s="173"/>
      <c r="IE233" s="173"/>
      <c r="IF233" s="125"/>
      <c r="IG233" s="125"/>
      <c r="IH233" s="134"/>
      <c r="II233" s="135"/>
      <c r="IJ233" s="135"/>
      <c r="IK233" s="135"/>
      <c r="IL233" s="135"/>
      <c r="IM233" s="173"/>
      <c r="IN233" s="173"/>
      <c r="IO233" s="173"/>
      <c r="IP233" s="173"/>
      <c r="IQ233" s="173"/>
      <c r="IR233" s="173"/>
      <c r="IS233" s="173"/>
      <c r="IT233" s="173"/>
      <c r="IU233" s="173"/>
      <c r="IV233" s="173"/>
      <c r="IW233" s="125"/>
      <c r="IX233" s="125"/>
      <c r="IY233" s="134"/>
      <c r="IZ233" s="135"/>
      <c r="JA233" s="135"/>
      <c r="JB233" s="135"/>
      <c r="JC233" s="135"/>
      <c r="JD233" s="173"/>
      <c r="JE233" s="173"/>
      <c r="JF233" s="173"/>
      <c r="JG233" s="173"/>
      <c r="JH233" s="173"/>
      <c r="JI233" s="173"/>
      <c r="JJ233" s="173"/>
      <c r="JK233" s="173"/>
      <c r="JL233" s="173"/>
      <c r="JM233" s="173"/>
      <c r="JN233" s="125"/>
      <c r="JO233" s="125"/>
      <c r="JP233" s="134"/>
      <c r="JQ233" s="135"/>
      <c r="JR233" s="135"/>
      <c r="JS233" s="135"/>
      <c r="JT233" s="135"/>
      <c r="JU233" s="173"/>
      <c r="JV233" s="173"/>
      <c r="JW233" s="173"/>
      <c r="JX233" s="173"/>
      <c r="JY233" s="173"/>
      <c r="JZ233" s="173"/>
      <c r="KA233" s="173"/>
      <c r="KB233" s="173"/>
      <c r="KC233" s="173"/>
      <c r="KD233" s="173"/>
      <c r="KE233" s="125"/>
      <c r="KF233" s="125"/>
      <c r="KG233" s="134"/>
      <c r="KH233" s="135"/>
      <c r="KI233" s="135"/>
      <c r="KJ233" s="135"/>
      <c r="KK233" s="135"/>
      <c r="KL233" s="173"/>
      <c r="KM233" s="173"/>
      <c r="KN233" s="173"/>
      <c r="KO233" s="173"/>
      <c r="KP233" s="173"/>
      <c r="KQ233" s="173"/>
      <c r="KR233" s="173"/>
      <c r="KS233" s="173"/>
      <c r="KT233" s="173"/>
      <c r="KU233" s="173"/>
      <c r="KV233" s="125"/>
      <c r="KW233" s="125"/>
      <c r="KX233" s="134"/>
      <c r="KY233" s="135"/>
      <c r="KZ233" s="135"/>
      <c r="LA233" s="135"/>
      <c r="LB233" s="135"/>
      <c r="LC233" s="173"/>
      <c r="LD233" s="173"/>
      <c r="LE233" s="173"/>
      <c r="LF233" s="173"/>
      <c r="LG233" s="173"/>
      <c r="LH233" s="173"/>
      <c r="LI233" s="173"/>
      <c r="LJ233" s="173"/>
      <c r="LK233" s="173"/>
      <c r="LL233" s="173"/>
      <c r="LM233" s="125"/>
      <c r="LN233" s="125"/>
      <c r="LO233" s="134"/>
      <c r="LP233" s="135"/>
      <c r="LQ233" s="135"/>
      <c r="LR233" s="135"/>
      <c r="LS233" s="135"/>
      <c r="LT233" s="173"/>
      <c r="LU233" s="173"/>
      <c r="LV233" s="173"/>
      <c r="LW233" s="173"/>
      <c r="LX233" s="173"/>
      <c r="LY233" s="173"/>
      <c r="LZ233" s="173"/>
      <c r="MA233" s="173"/>
      <c r="MB233" s="173"/>
      <c r="MC233" s="173"/>
      <c r="MD233" s="125"/>
      <c r="ME233" s="125"/>
      <c r="MF233" s="134"/>
      <c r="MG233" s="135"/>
      <c r="MH233" s="135"/>
      <c r="MI233" s="135"/>
      <c r="MJ233" s="135"/>
      <c r="MK233" s="173"/>
      <c r="ML233" s="173"/>
      <c r="MM233" s="173"/>
      <c r="MN233" s="173"/>
      <c r="MO233" s="173"/>
      <c r="MP233" s="173"/>
      <c r="MQ233" s="173"/>
      <c r="MR233" s="173"/>
      <c r="MS233" s="173"/>
      <c r="MT233" s="173"/>
      <c r="MU233" s="125"/>
      <c r="MV233" s="125"/>
      <c r="MW233" s="134"/>
      <c r="MX233" s="135"/>
      <c r="MY233" s="135"/>
      <c r="MZ233" s="135"/>
      <c r="NA233" s="135"/>
      <c r="NB233" s="173"/>
      <c r="NC233" s="173"/>
      <c r="ND233" s="173"/>
      <c r="NE233" s="173"/>
      <c r="NF233" s="173"/>
      <c r="NG233" s="173"/>
      <c r="NH233" s="173"/>
      <c r="NI233" s="173"/>
      <c r="NJ233" s="173"/>
      <c r="NK233" s="173"/>
      <c r="NL233" s="125"/>
      <c r="NM233" s="125"/>
      <c r="NN233" s="134"/>
      <c r="NO233" s="135"/>
      <c r="NP233" s="135"/>
      <c r="NQ233" s="135"/>
      <c r="NR233" s="135"/>
      <c r="NS233" s="173"/>
      <c r="NT233" s="173"/>
      <c r="NU233" s="173"/>
      <c r="NV233" s="173"/>
      <c r="NW233" s="173"/>
      <c r="NX233" s="173"/>
      <c r="NY233" s="173"/>
      <c r="NZ233" s="173"/>
      <c r="OA233" s="173"/>
      <c r="OB233" s="173"/>
      <c r="OC233" s="125"/>
      <c r="OD233" s="125"/>
      <c r="OE233" s="134"/>
      <c r="OF233" s="135"/>
      <c r="OG233" s="135"/>
      <c r="OH233" s="135"/>
      <c r="OI233" s="135"/>
      <c r="OJ233" s="173"/>
      <c r="OK233" s="173"/>
      <c r="OL233" s="173"/>
      <c r="OM233" s="173"/>
      <c r="ON233" s="173"/>
      <c r="OO233" s="173"/>
      <c r="OP233" s="173"/>
      <c r="OQ233" s="173"/>
      <c r="OR233" s="173"/>
      <c r="OS233" s="173"/>
      <c r="OT233" s="125"/>
      <c r="OU233" s="125"/>
      <c r="OV233" s="134"/>
      <c r="OW233" s="135"/>
      <c r="OX233" s="135"/>
      <c r="OY233" s="135"/>
      <c r="OZ233" s="135"/>
      <c r="PA233" s="173"/>
      <c r="PB233" s="173"/>
      <c r="PC233" s="173"/>
      <c r="PD233" s="173"/>
      <c r="PE233" s="173"/>
      <c r="PF233" s="173"/>
      <c r="PG233" s="173"/>
      <c r="PH233" s="173"/>
      <c r="PI233" s="173"/>
      <c r="PJ233" s="173"/>
      <c r="PK233" s="125"/>
      <c r="PL233" s="125"/>
      <c r="PM233" s="134"/>
      <c r="PN233" s="135"/>
      <c r="PO233" s="135"/>
      <c r="PP233" s="135"/>
      <c r="PQ233" s="135"/>
      <c r="PR233" s="173"/>
      <c r="PS233" s="173"/>
      <c r="PT233" s="173"/>
      <c r="PU233" s="173"/>
      <c r="PV233" s="173"/>
      <c r="PW233" s="173"/>
      <c r="PX233" s="173"/>
      <c r="PY233" s="173"/>
      <c r="PZ233" s="173"/>
      <c r="QA233" s="173"/>
      <c r="QB233" s="125"/>
      <c r="QC233" s="125"/>
      <c r="QD233" s="134"/>
      <c r="QE233" s="135"/>
      <c r="QF233" s="135"/>
      <c r="QG233" s="135"/>
      <c r="QH233" s="135"/>
      <c r="QI233" s="173"/>
      <c r="QJ233" s="173"/>
      <c r="QK233" s="173"/>
      <c r="QL233" s="173"/>
      <c r="QM233" s="173"/>
      <c r="QN233" s="173"/>
      <c r="QO233" s="173"/>
      <c r="QP233" s="173"/>
      <c r="QQ233" s="173"/>
      <c r="QR233" s="173"/>
      <c r="QS233" s="125"/>
      <c r="QT233" s="125"/>
      <c r="QU233" s="134"/>
      <c r="QV233" s="135"/>
      <c r="QW233" s="135"/>
      <c r="QX233" s="135"/>
      <c r="QY233" s="135"/>
      <c r="QZ233" s="173"/>
      <c r="RA233" s="173"/>
      <c r="RB233" s="173"/>
      <c r="RC233" s="173"/>
      <c r="RD233" s="173"/>
      <c r="RE233" s="173"/>
      <c r="RF233" s="173"/>
      <c r="RG233" s="173"/>
      <c r="RH233" s="173"/>
      <c r="RI233" s="173"/>
      <c r="RJ233" s="125"/>
      <c r="RK233" s="125"/>
      <c r="RL233" s="134"/>
      <c r="RM233" s="135"/>
      <c r="RN233" s="135"/>
      <c r="RO233" s="135"/>
      <c r="RP233" s="135"/>
      <c r="RQ233" s="173"/>
      <c r="RR233" s="173"/>
      <c r="RS233" s="173"/>
      <c r="RT233" s="173"/>
      <c r="RU233" s="173"/>
      <c r="RV233" s="173"/>
      <c r="RW233" s="173"/>
      <c r="RX233" s="173"/>
      <c r="RY233" s="173"/>
      <c r="RZ233" s="173"/>
      <c r="SA233" s="125"/>
      <c r="SB233" s="125"/>
      <c r="SC233" s="134"/>
      <c r="SD233" s="135"/>
      <c r="SE233" s="135"/>
      <c r="SF233" s="135"/>
      <c r="SG233" s="135"/>
      <c r="SH233" s="173"/>
      <c r="SI233" s="173"/>
      <c r="SJ233" s="173"/>
      <c r="SK233" s="173"/>
      <c r="SL233" s="173"/>
      <c r="SM233" s="173"/>
      <c r="SN233" s="173"/>
      <c r="SO233" s="173"/>
      <c r="SP233" s="173"/>
      <c r="SQ233" s="173"/>
      <c r="SR233" s="125"/>
      <c r="SS233" s="125"/>
      <c r="ST233" s="134"/>
      <c r="SU233" s="135"/>
      <c r="SV233" s="135"/>
      <c r="SW233" s="135"/>
      <c r="SX233" s="135"/>
      <c r="SY233" s="173"/>
      <c r="SZ233" s="173"/>
      <c r="TA233" s="173"/>
      <c r="TB233" s="173"/>
      <c r="TC233" s="173"/>
      <c r="TD233" s="173"/>
      <c r="TE233" s="173"/>
      <c r="TF233" s="173"/>
      <c r="TG233" s="173"/>
      <c r="TH233" s="173"/>
      <c r="TI233" s="125"/>
      <c r="TJ233" s="125"/>
      <c r="TK233" s="134"/>
      <c r="TL233" s="135"/>
      <c r="TM233" s="135"/>
      <c r="TN233" s="135"/>
      <c r="TO233" s="135"/>
      <c r="TP233" s="173"/>
      <c r="TQ233" s="173"/>
      <c r="TR233" s="173"/>
      <c r="TS233" s="173"/>
      <c r="TT233" s="173"/>
      <c r="TU233" s="173"/>
      <c r="TV233" s="173"/>
      <c r="TW233" s="173"/>
      <c r="TX233" s="173"/>
      <c r="TY233" s="173"/>
      <c r="TZ233" s="125"/>
      <c r="UA233" s="125"/>
      <c r="UB233" s="134"/>
      <c r="UC233" s="135"/>
      <c r="UD233" s="135"/>
      <c r="UE233" s="135"/>
      <c r="UF233" s="135"/>
      <c r="UG233" s="173"/>
      <c r="UH233" s="173"/>
      <c r="UI233" s="173"/>
      <c r="UJ233" s="173"/>
      <c r="UK233" s="173"/>
      <c r="UL233" s="173"/>
      <c r="UM233" s="173"/>
      <c r="UN233" s="173"/>
      <c r="UO233" s="173"/>
      <c r="UP233" s="173"/>
      <c r="UQ233" s="125"/>
      <c r="UR233" s="125"/>
      <c r="US233" s="134"/>
      <c r="UT233" s="135"/>
      <c r="UU233" s="135"/>
      <c r="UV233" s="135"/>
      <c r="UW233" s="135"/>
      <c r="UX233" s="173"/>
      <c r="UY233" s="173"/>
      <c r="UZ233" s="173"/>
      <c r="VA233" s="173"/>
      <c r="VB233" s="173"/>
      <c r="VC233" s="173"/>
      <c r="VD233" s="173"/>
      <c r="VE233" s="173"/>
      <c r="VF233" s="173"/>
      <c r="VG233" s="173"/>
      <c r="VH233" s="125"/>
      <c r="VI233" s="125"/>
      <c r="VJ233" s="134"/>
      <c r="VK233" s="135"/>
      <c r="VL233" s="135"/>
      <c r="VM233" s="135"/>
      <c r="VN233" s="135"/>
      <c r="VO233" s="173"/>
      <c r="VP233" s="173"/>
      <c r="VQ233" s="173"/>
      <c r="VR233" s="173"/>
      <c r="VS233" s="173"/>
      <c r="VT233" s="173"/>
      <c r="VU233" s="173"/>
      <c r="VV233" s="173"/>
      <c r="VW233" s="173"/>
      <c r="VX233" s="173"/>
      <c r="VY233" s="125"/>
      <c r="VZ233" s="125"/>
      <c r="WA233" s="134"/>
      <c r="WB233" s="135"/>
      <c r="WC233" s="135"/>
      <c r="WD233" s="135"/>
      <c r="WE233" s="135"/>
      <c r="WF233" s="173"/>
      <c r="WG233" s="173"/>
      <c r="WH233" s="173"/>
      <c r="WI233" s="173"/>
      <c r="WJ233" s="173"/>
      <c r="WK233" s="173"/>
      <c r="WL233" s="173"/>
      <c r="WM233" s="173"/>
      <c r="WN233" s="173"/>
      <c r="WO233" s="173"/>
      <c r="WP233" s="125"/>
      <c r="WQ233" s="125"/>
      <c r="WR233" s="134"/>
      <c r="WS233" s="135"/>
      <c r="WT233" s="135"/>
      <c r="WU233" s="135"/>
      <c r="WV233" s="135"/>
      <c r="WW233" s="173"/>
      <c r="WX233" s="173"/>
      <c r="WY233" s="173"/>
      <c r="WZ233" s="173"/>
      <c r="XA233" s="173"/>
      <c r="XB233" s="173"/>
      <c r="XC233" s="173"/>
      <c r="XD233" s="173"/>
      <c r="XE233" s="173"/>
      <c r="XF233" s="173"/>
      <c r="XG233" s="125"/>
      <c r="XH233" s="125"/>
      <c r="XI233" s="134"/>
      <c r="XJ233" s="135"/>
      <c r="XK233" s="135"/>
      <c r="XL233" s="135"/>
      <c r="XM233" s="135"/>
      <c r="XN233" s="173"/>
      <c r="XO233" s="173"/>
      <c r="XP233" s="173"/>
      <c r="XQ233" s="173"/>
      <c r="XR233" s="173"/>
      <c r="XS233" s="173"/>
      <c r="XT233" s="173"/>
      <c r="XU233" s="173"/>
      <c r="XV233" s="173"/>
      <c r="XW233" s="173"/>
      <c r="XX233" s="125"/>
      <c r="XY233" s="125"/>
      <c r="XZ233" s="134"/>
      <c r="YA233" s="135"/>
      <c r="YB233" s="135"/>
      <c r="YC233" s="135"/>
      <c r="YD233" s="135"/>
      <c r="YE233" s="173"/>
      <c r="YF233" s="173"/>
      <c r="YG233" s="173"/>
      <c r="YH233" s="173"/>
      <c r="YI233" s="173"/>
      <c r="YJ233" s="173"/>
      <c r="YK233" s="173"/>
      <c r="YL233" s="173"/>
      <c r="YM233" s="173"/>
      <c r="YN233" s="173"/>
      <c r="YO233" s="125"/>
      <c r="YP233" s="125"/>
      <c r="YQ233" s="134"/>
      <c r="YR233" s="135"/>
      <c r="YS233" s="135"/>
      <c r="YT233" s="135"/>
      <c r="YU233" s="135"/>
      <c r="YV233" s="173"/>
      <c r="YW233" s="173"/>
      <c r="YX233" s="173"/>
      <c r="YY233" s="173"/>
      <c r="YZ233" s="173"/>
      <c r="ZA233" s="173"/>
      <c r="ZB233" s="173"/>
      <c r="ZC233" s="173"/>
      <c r="ZD233" s="173"/>
      <c r="ZE233" s="173"/>
      <c r="ZF233" s="125"/>
      <c r="ZG233" s="125"/>
      <c r="ZH233" s="134"/>
      <c r="ZI233" s="135"/>
      <c r="ZJ233" s="135"/>
      <c r="ZK233" s="135"/>
      <c r="ZL233" s="135"/>
      <c r="ZM233" s="173"/>
      <c r="ZN233" s="173"/>
      <c r="ZO233" s="173"/>
      <c r="ZP233" s="173"/>
      <c r="ZQ233" s="173"/>
      <c r="ZR233" s="173"/>
      <c r="ZS233" s="173"/>
      <c r="ZT233" s="173"/>
      <c r="ZU233" s="173"/>
      <c r="ZV233" s="173"/>
      <c r="ZW233" s="125"/>
      <c r="ZX233" s="125"/>
      <c r="ZY233" s="134"/>
      <c r="ZZ233" s="135"/>
      <c r="AAA233" s="135"/>
      <c r="AAB233" s="135"/>
      <c r="AAC233" s="135"/>
      <c r="AAD233" s="173"/>
      <c r="AAE233" s="173"/>
      <c r="AAF233" s="173"/>
      <c r="AAG233" s="173"/>
      <c r="AAH233" s="173"/>
      <c r="AAI233" s="173"/>
      <c r="AAJ233" s="173"/>
      <c r="AAK233" s="173"/>
      <c r="AAL233" s="173"/>
      <c r="AAM233" s="173"/>
      <c r="AAN233" s="125"/>
      <c r="AAO233" s="125"/>
      <c r="AAP233" s="134"/>
      <c r="AAQ233" s="135"/>
      <c r="AAR233" s="135"/>
      <c r="AAS233" s="135"/>
      <c r="AAT233" s="135"/>
      <c r="AAU233" s="173"/>
      <c r="AAV233" s="173"/>
      <c r="AAW233" s="173"/>
      <c r="AAX233" s="173"/>
      <c r="AAY233" s="173"/>
      <c r="AAZ233" s="173"/>
      <c r="ABA233" s="173"/>
      <c r="ABB233" s="173"/>
      <c r="ABC233" s="173"/>
      <c r="ABD233" s="173"/>
      <c r="ABE233" s="125"/>
      <c r="ABF233" s="125"/>
      <c r="ABG233" s="134"/>
      <c r="ABH233" s="135"/>
      <c r="ABI233" s="135"/>
      <c r="ABJ233" s="135"/>
      <c r="ABK233" s="135"/>
      <c r="ABL233" s="173"/>
      <c r="ABM233" s="173"/>
      <c r="ABN233" s="173"/>
      <c r="ABO233" s="173"/>
      <c r="ABP233" s="173"/>
      <c r="ABQ233" s="173"/>
      <c r="ABR233" s="173"/>
      <c r="ABS233" s="173"/>
      <c r="ABT233" s="173"/>
      <c r="ABU233" s="173"/>
      <c r="ABV233" s="125"/>
      <c r="ABW233" s="125"/>
      <c r="ABX233" s="134"/>
      <c r="ABY233" s="135"/>
      <c r="ABZ233" s="135"/>
      <c r="ACA233" s="135"/>
      <c r="ACB233" s="135"/>
      <c r="ACC233" s="173"/>
      <c r="ACD233" s="173"/>
      <c r="ACE233" s="173"/>
      <c r="ACF233" s="173"/>
      <c r="ACG233" s="173"/>
      <c r="ACH233" s="173"/>
      <c r="ACI233" s="173"/>
      <c r="ACJ233" s="173"/>
      <c r="ACK233" s="173"/>
      <c r="ACL233" s="173"/>
      <c r="ACM233" s="125"/>
      <c r="ACN233" s="125"/>
      <c r="ACO233" s="134"/>
      <c r="ACP233" s="135"/>
      <c r="ACQ233" s="135"/>
      <c r="ACR233" s="135"/>
      <c r="ACS233" s="135"/>
      <c r="ACT233" s="173"/>
      <c r="ACU233" s="173"/>
      <c r="ACV233" s="173"/>
      <c r="ACW233" s="173"/>
      <c r="ACX233" s="173"/>
      <c r="ACY233" s="173"/>
      <c r="ACZ233" s="173"/>
      <c r="ADA233" s="173"/>
      <c r="ADB233" s="173"/>
      <c r="ADC233" s="173"/>
      <c r="ADD233" s="125"/>
      <c r="ADE233" s="125"/>
      <c r="ADF233" s="134"/>
      <c r="ADG233" s="135"/>
      <c r="ADH233" s="135"/>
      <c r="ADI233" s="135"/>
      <c r="ADJ233" s="135"/>
      <c r="ADK233" s="173"/>
      <c r="ADL233" s="173"/>
      <c r="ADM233" s="173"/>
      <c r="ADN233" s="173"/>
      <c r="ADO233" s="173"/>
      <c r="ADP233" s="173"/>
      <c r="ADQ233" s="173"/>
      <c r="ADR233" s="173"/>
      <c r="ADS233" s="173"/>
      <c r="ADT233" s="173"/>
      <c r="ADU233" s="125"/>
      <c r="ADV233" s="125"/>
      <c r="ADW233" s="134"/>
      <c r="ADX233" s="135"/>
      <c r="ADY233" s="135"/>
      <c r="ADZ233" s="135"/>
      <c r="AEA233" s="135"/>
      <c r="AEB233" s="173"/>
      <c r="AEC233" s="173"/>
      <c r="AED233" s="173"/>
      <c r="AEE233" s="173"/>
      <c r="AEF233" s="173"/>
      <c r="AEG233" s="173"/>
      <c r="AEH233" s="173"/>
      <c r="AEI233" s="173"/>
      <c r="AEJ233" s="173"/>
      <c r="AEK233" s="173"/>
      <c r="AEL233" s="125"/>
      <c r="AEM233" s="125"/>
      <c r="AEN233" s="134"/>
      <c r="AEO233" s="135"/>
      <c r="AEP233" s="135"/>
      <c r="AEQ233" s="135"/>
      <c r="AER233" s="135"/>
      <c r="AES233" s="173"/>
      <c r="AET233" s="173"/>
      <c r="AEU233" s="173"/>
      <c r="AEV233" s="173"/>
      <c r="AEW233" s="173"/>
      <c r="AEX233" s="173"/>
      <c r="AEY233" s="173"/>
      <c r="AEZ233" s="173"/>
      <c r="AFA233" s="173"/>
      <c r="AFB233" s="173"/>
      <c r="AFC233" s="125"/>
      <c r="AFD233" s="125"/>
      <c r="AFE233" s="134"/>
      <c r="AFF233" s="135"/>
      <c r="AFG233" s="135"/>
      <c r="AFH233" s="135"/>
      <c r="AFI233" s="135"/>
      <c r="AFJ233" s="173"/>
      <c r="AFK233" s="173"/>
      <c r="AFL233" s="173"/>
      <c r="AFM233" s="173"/>
      <c r="AFN233" s="173"/>
      <c r="AFO233" s="173"/>
      <c r="AFP233" s="173"/>
      <c r="AFQ233" s="173"/>
      <c r="AFR233" s="173"/>
      <c r="AFS233" s="173"/>
      <c r="AFT233" s="125"/>
      <c r="AFU233" s="125"/>
      <c r="AFV233" s="134"/>
      <c r="AFW233" s="135"/>
      <c r="AFX233" s="135"/>
      <c r="AFY233" s="135"/>
      <c r="AFZ233" s="135"/>
      <c r="AGA233" s="173"/>
      <c r="AGB233" s="173"/>
      <c r="AGC233" s="173"/>
      <c r="AGD233" s="173"/>
      <c r="AGE233" s="173"/>
      <c r="AGF233" s="173"/>
      <c r="AGG233" s="173"/>
      <c r="AGH233" s="173"/>
      <c r="AGI233" s="173"/>
      <c r="AGJ233" s="173"/>
      <c r="AGK233" s="125"/>
      <c r="AGL233" s="125"/>
      <c r="AGM233" s="134"/>
      <c r="AGN233" s="135"/>
      <c r="AGO233" s="135"/>
      <c r="AGP233" s="135"/>
      <c r="AGQ233" s="135"/>
      <c r="AGR233" s="173"/>
      <c r="AGS233" s="173"/>
      <c r="AGT233" s="173"/>
      <c r="AGU233" s="173"/>
      <c r="AGV233" s="173"/>
      <c r="AGW233" s="173"/>
      <c r="AGX233" s="173"/>
      <c r="AGY233" s="173"/>
      <c r="AGZ233" s="173"/>
      <c r="AHA233" s="173"/>
      <c r="AHB233" s="125"/>
      <c r="AHC233" s="125"/>
      <c r="AHD233" s="134"/>
      <c r="AHE233" s="135"/>
      <c r="AHF233" s="135"/>
      <c r="AHG233" s="135"/>
      <c r="AHH233" s="135"/>
      <c r="AHI233" s="173"/>
      <c r="AHJ233" s="173"/>
      <c r="AHK233" s="173"/>
      <c r="AHL233" s="173"/>
      <c r="AHM233" s="173"/>
      <c r="AHN233" s="173"/>
      <c r="AHO233" s="173"/>
      <c r="AHP233" s="173"/>
      <c r="AHQ233" s="173"/>
      <c r="AHR233" s="173"/>
      <c r="AHS233" s="125"/>
      <c r="AHT233" s="125"/>
      <c r="AHU233" s="134"/>
      <c r="AHV233" s="135"/>
      <c r="AHW233" s="135"/>
      <c r="AHX233" s="135"/>
      <c r="AHY233" s="135"/>
      <c r="AHZ233" s="173"/>
      <c r="AIA233" s="173"/>
      <c r="AIB233" s="173"/>
      <c r="AIC233" s="173"/>
      <c r="AID233" s="173"/>
      <c r="AIE233" s="173"/>
      <c r="AIF233" s="173"/>
      <c r="AIG233" s="173"/>
      <c r="AIH233" s="173"/>
      <c r="AII233" s="173"/>
      <c r="AIJ233" s="125"/>
      <c r="AIK233" s="125"/>
      <c r="AIL233" s="134"/>
      <c r="AIM233" s="135"/>
      <c r="AIN233" s="135"/>
      <c r="AIO233" s="135"/>
      <c r="AIP233" s="135"/>
      <c r="AIQ233" s="173"/>
      <c r="AIR233" s="173"/>
      <c r="AIS233" s="173"/>
      <c r="AIT233" s="173"/>
      <c r="AIU233" s="173"/>
      <c r="AIV233" s="173"/>
      <c r="AIW233" s="173"/>
      <c r="AIX233" s="173"/>
      <c r="AIY233" s="173"/>
      <c r="AIZ233" s="173"/>
      <c r="AJA233" s="125"/>
      <c r="AJB233" s="125"/>
      <c r="AJC233" s="134"/>
      <c r="AJD233" s="135"/>
      <c r="AJE233" s="135"/>
      <c r="AJF233" s="135"/>
      <c r="AJG233" s="135"/>
      <c r="AJH233" s="173"/>
      <c r="AJI233" s="173"/>
      <c r="AJJ233" s="173"/>
      <c r="AJK233" s="173"/>
      <c r="AJL233" s="173"/>
      <c r="AJM233" s="173"/>
      <c r="AJN233" s="173"/>
      <c r="AJO233" s="173"/>
      <c r="AJP233" s="173"/>
      <c r="AJQ233" s="173"/>
      <c r="AJR233" s="125"/>
      <c r="AJS233" s="125"/>
      <c r="AJT233" s="134"/>
      <c r="AJU233" s="135"/>
      <c r="AJV233" s="135"/>
      <c r="AJW233" s="135"/>
      <c r="AJX233" s="135"/>
      <c r="AJY233" s="173"/>
      <c r="AJZ233" s="173"/>
      <c r="AKA233" s="173"/>
      <c r="AKB233" s="173"/>
      <c r="AKC233" s="173"/>
      <c r="AKD233" s="173"/>
      <c r="AKE233" s="173"/>
      <c r="AKF233" s="173"/>
      <c r="AKG233" s="173"/>
      <c r="AKH233" s="173"/>
      <c r="AKI233" s="125"/>
      <c r="AKJ233" s="125"/>
      <c r="AKK233" s="134"/>
      <c r="AKL233" s="135"/>
      <c r="AKM233" s="135"/>
      <c r="AKN233" s="135"/>
      <c r="AKO233" s="135"/>
      <c r="AKP233" s="173"/>
      <c r="AKQ233" s="173"/>
      <c r="AKR233" s="173"/>
      <c r="AKS233" s="173"/>
      <c r="AKT233" s="173"/>
      <c r="AKU233" s="173"/>
      <c r="AKV233" s="173"/>
      <c r="AKW233" s="173"/>
      <c r="AKX233" s="173"/>
      <c r="AKY233" s="173"/>
      <c r="AKZ233" s="125"/>
      <c r="ALA233" s="125"/>
      <c r="ALB233" s="134"/>
      <c r="ALC233" s="135"/>
      <c r="ALD233" s="135"/>
      <c r="ALE233" s="135"/>
      <c r="ALF233" s="135"/>
      <c r="ALG233" s="173"/>
      <c r="ALH233" s="173"/>
      <c r="ALI233" s="173"/>
      <c r="ALJ233" s="173"/>
      <c r="ALK233" s="173"/>
      <c r="ALL233" s="173"/>
      <c r="ALM233" s="173"/>
      <c r="ALN233" s="173"/>
      <c r="ALO233" s="173"/>
      <c r="ALP233" s="173"/>
      <c r="ALQ233" s="125"/>
      <c r="ALR233" s="125"/>
      <c r="ALS233" s="134"/>
      <c r="ALT233" s="135"/>
      <c r="ALU233" s="135"/>
      <c r="ALV233" s="135"/>
      <c r="ALW233" s="135"/>
      <c r="ALX233" s="173"/>
      <c r="ALY233" s="173"/>
      <c r="ALZ233" s="173"/>
      <c r="AMA233" s="173"/>
      <c r="AMB233" s="173"/>
      <c r="AMC233" s="173"/>
      <c r="AMD233" s="173"/>
      <c r="AME233" s="173"/>
      <c r="AMF233" s="173"/>
      <c r="AMG233" s="173"/>
      <c r="AMH233" s="125"/>
      <c r="AMI233" s="125"/>
      <c r="AMJ233" s="134"/>
      <c r="AMK233" s="135"/>
      <c r="AML233" s="135"/>
      <c r="AMM233" s="135"/>
      <c r="AMN233" s="135"/>
      <c r="AMO233" s="173"/>
      <c r="AMP233" s="173"/>
      <c r="AMQ233" s="173"/>
      <c r="AMR233" s="173"/>
      <c r="AMS233" s="173"/>
      <c r="AMT233" s="173"/>
      <c r="AMU233" s="173"/>
      <c r="AMV233" s="173"/>
      <c r="AMW233" s="173"/>
      <c r="AMX233" s="173"/>
      <c r="AMY233" s="125"/>
      <c r="AMZ233" s="125"/>
      <c r="ANA233" s="134"/>
      <c r="ANB233" s="135"/>
      <c r="ANC233" s="135"/>
      <c r="AND233" s="135"/>
      <c r="ANE233" s="135"/>
      <c r="ANF233" s="173"/>
      <c r="ANG233" s="173"/>
      <c r="ANH233" s="173"/>
      <c r="ANI233" s="173"/>
      <c r="ANJ233" s="173"/>
      <c r="ANK233" s="173"/>
      <c r="ANL233" s="173"/>
      <c r="ANM233" s="173"/>
      <c r="ANN233" s="173"/>
      <c r="ANO233" s="173"/>
      <c r="ANP233" s="125"/>
      <c r="ANQ233" s="125"/>
      <c r="ANR233" s="134"/>
      <c r="ANS233" s="135"/>
      <c r="ANT233" s="135"/>
      <c r="ANU233" s="135"/>
      <c r="ANV233" s="135"/>
      <c r="ANW233" s="173"/>
      <c r="ANX233" s="173"/>
      <c r="ANY233" s="173"/>
      <c r="ANZ233" s="173"/>
      <c r="AOA233" s="173"/>
      <c r="AOB233" s="173"/>
      <c r="AOC233" s="173"/>
      <c r="AOD233" s="173"/>
      <c r="AOE233" s="173"/>
      <c r="AOF233" s="173"/>
      <c r="AOG233" s="125"/>
      <c r="AOH233" s="125"/>
      <c r="AOI233" s="134"/>
      <c r="AOJ233" s="135"/>
      <c r="AOK233" s="135"/>
      <c r="AOL233" s="135"/>
      <c r="AOM233" s="135"/>
      <c r="AON233" s="173"/>
      <c r="AOO233" s="173"/>
      <c r="AOP233" s="173"/>
      <c r="AOQ233" s="173"/>
      <c r="AOR233" s="173"/>
      <c r="AOS233" s="173"/>
      <c r="AOT233" s="173"/>
      <c r="AOU233" s="173"/>
      <c r="AOV233" s="173"/>
      <c r="AOW233" s="173"/>
      <c r="AOX233" s="125"/>
      <c r="AOY233" s="125"/>
      <c r="AOZ233" s="134"/>
      <c r="APA233" s="135"/>
      <c r="APB233" s="135"/>
      <c r="APC233" s="135"/>
      <c r="APD233" s="135"/>
      <c r="APE233" s="173"/>
      <c r="APF233" s="173"/>
      <c r="APG233" s="173"/>
      <c r="APH233" s="173"/>
      <c r="API233" s="173"/>
      <c r="APJ233" s="173"/>
      <c r="APK233" s="173"/>
      <c r="APL233" s="173"/>
      <c r="APM233" s="173"/>
      <c r="APN233" s="173"/>
      <c r="APO233" s="125"/>
      <c r="APP233" s="125"/>
      <c r="APQ233" s="134"/>
      <c r="APR233" s="135"/>
      <c r="APS233" s="135"/>
      <c r="APT233" s="135"/>
      <c r="APU233" s="135"/>
      <c r="APV233" s="173"/>
      <c r="APW233" s="173"/>
      <c r="APX233" s="173"/>
      <c r="APY233" s="173"/>
      <c r="APZ233" s="173"/>
      <c r="AQA233" s="173"/>
      <c r="AQB233" s="173"/>
      <c r="AQC233" s="173"/>
      <c r="AQD233" s="173"/>
      <c r="AQE233" s="173"/>
      <c r="AQF233" s="125"/>
      <c r="AQG233" s="125"/>
      <c r="AQH233" s="134"/>
      <c r="AQI233" s="135"/>
      <c r="AQJ233" s="135"/>
      <c r="AQK233" s="135"/>
      <c r="AQL233" s="135"/>
      <c r="AQM233" s="173"/>
      <c r="AQN233" s="173"/>
      <c r="AQO233" s="173"/>
      <c r="AQP233" s="173"/>
      <c r="AQQ233" s="173"/>
      <c r="AQR233" s="173"/>
      <c r="AQS233" s="173"/>
      <c r="AQT233" s="173"/>
      <c r="AQU233" s="173"/>
      <c r="AQV233" s="173"/>
      <c r="AQW233" s="125"/>
      <c r="AQX233" s="125"/>
      <c r="AQY233" s="134"/>
      <c r="AQZ233" s="135"/>
      <c r="ARA233" s="135"/>
      <c r="ARB233" s="135"/>
      <c r="ARC233" s="135"/>
      <c r="ARD233" s="173"/>
      <c r="ARE233" s="173"/>
      <c r="ARF233" s="173"/>
      <c r="ARG233" s="173"/>
      <c r="ARH233" s="173"/>
      <c r="ARI233" s="173"/>
      <c r="ARJ233" s="173"/>
      <c r="ARK233" s="173"/>
      <c r="ARL233" s="173"/>
      <c r="ARM233" s="173"/>
      <c r="ARN233" s="125"/>
      <c r="ARO233" s="125"/>
      <c r="ARP233" s="134"/>
      <c r="ARQ233" s="135"/>
      <c r="ARR233" s="135"/>
      <c r="ARS233" s="135"/>
      <c r="ART233" s="135"/>
      <c r="ARU233" s="173"/>
      <c r="ARV233" s="173"/>
      <c r="ARW233" s="173"/>
      <c r="ARX233" s="173"/>
      <c r="ARY233" s="173"/>
      <c r="ARZ233" s="173"/>
      <c r="ASA233" s="173"/>
      <c r="ASB233" s="173"/>
      <c r="ASC233" s="173"/>
      <c r="ASD233" s="173"/>
      <c r="ASE233" s="125"/>
      <c r="ASF233" s="125"/>
      <c r="ASG233" s="134"/>
      <c r="ASH233" s="135"/>
      <c r="ASI233" s="135"/>
      <c r="ASJ233" s="135"/>
      <c r="ASK233" s="135"/>
      <c r="ASL233" s="173"/>
      <c r="ASM233" s="173"/>
      <c r="ASN233" s="173"/>
      <c r="ASO233" s="173"/>
      <c r="ASP233" s="173"/>
      <c r="ASQ233" s="173"/>
      <c r="ASR233" s="173"/>
      <c r="ASS233" s="173"/>
      <c r="AST233" s="173"/>
      <c r="ASU233" s="173"/>
      <c r="ASV233" s="125"/>
      <c r="ASW233" s="125"/>
      <c r="ASX233" s="134"/>
      <c r="ASY233" s="135"/>
      <c r="ASZ233" s="135"/>
      <c r="ATA233" s="135"/>
      <c r="ATB233" s="135"/>
      <c r="ATC233" s="173"/>
      <c r="ATD233" s="173"/>
      <c r="ATE233" s="173"/>
      <c r="ATF233" s="173"/>
      <c r="ATG233" s="173"/>
      <c r="ATH233" s="173"/>
      <c r="ATI233" s="173"/>
      <c r="ATJ233" s="173"/>
      <c r="ATK233" s="173"/>
      <c r="ATL233" s="173"/>
      <c r="ATM233" s="125"/>
      <c r="ATN233" s="125"/>
      <c r="ATO233" s="134"/>
      <c r="ATP233" s="135"/>
      <c r="ATQ233" s="135"/>
      <c r="ATR233" s="135"/>
      <c r="ATS233" s="135"/>
      <c r="ATT233" s="173"/>
      <c r="ATU233" s="173"/>
      <c r="ATV233" s="173"/>
      <c r="ATW233" s="173"/>
      <c r="ATX233" s="173"/>
      <c r="ATY233" s="173"/>
      <c r="ATZ233" s="173"/>
      <c r="AUA233" s="173"/>
      <c r="AUB233" s="173"/>
      <c r="AUC233" s="173"/>
      <c r="AUD233" s="125"/>
      <c r="AUE233" s="125"/>
      <c r="AUF233" s="134"/>
      <c r="AUG233" s="135"/>
      <c r="AUH233" s="135"/>
      <c r="AUI233" s="135"/>
      <c r="AUJ233" s="135"/>
      <c r="AUK233" s="173"/>
      <c r="AUL233" s="173"/>
      <c r="AUM233" s="173"/>
      <c r="AUN233" s="173"/>
      <c r="AUO233" s="173"/>
      <c r="AUP233" s="173"/>
      <c r="AUQ233" s="173"/>
      <c r="AUR233" s="173"/>
      <c r="AUS233" s="173"/>
      <c r="AUT233" s="173"/>
      <c r="AUU233" s="125"/>
      <c r="AUV233" s="125"/>
      <c r="AUW233" s="134"/>
      <c r="AUX233" s="135"/>
      <c r="AUY233" s="135"/>
      <c r="AUZ233" s="135"/>
      <c r="AVA233" s="135"/>
      <c r="AVB233" s="173"/>
      <c r="AVC233" s="173"/>
      <c r="AVD233" s="173"/>
      <c r="AVE233" s="173"/>
      <c r="AVF233" s="173"/>
      <c r="AVG233" s="173"/>
      <c r="AVH233" s="173"/>
      <c r="AVI233" s="173"/>
      <c r="AVJ233" s="173"/>
      <c r="AVK233" s="173"/>
      <c r="AVL233" s="125"/>
      <c r="AVM233" s="125"/>
      <c r="AVN233" s="134"/>
      <c r="AVO233" s="135"/>
      <c r="AVP233" s="135"/>
      <c r="AVQ233" s="135"/>
      <c r="AVR233" s="135"/>
      <c r="AVS233" s="173"/>
      <c r="AVT233" s="173"/>
      <c r="AVU233" s="173"/>
      <c r="AVV233" s="173"/>
      <c r="AVW233" s="173"/>
      <c r="AVX233" s="173"/>
      <c r="AVY233" s="173"/>
      <c r="AVZ233" s="173"/>
      <c r="AWA233" s="173"/>
      <c r="AWB233" s="173"/>
      <c r="AWC233" s="125"/>
      <c r="AWD233" s="125"/>
      <c r="AWE233" s="134"/>
      <c r="AWF233" s="135"/>
      <c r="AWG233" s="135"/>
      <c r="AWH233" s="135"/>
      <c r="AWI233" s="135"/>
      <c r="AWJ233" s="173"/>
      <c r="AWK233" s="173"/>
      <c r="AWL233" s="173"/>
      <c r="AWM233" s="173"/>
      <c r="AWN233" s="173"/>
      <c r="AWO233" s="173"/>
      <c r="AWP233" s="173"/>
      <c r="AWQ233" s="173"/>
      <c r="AWR233" s="173"/>
      <c r="AWS233" s="173"/>
      <c r="AWT233" s="125"/>
      <c r="AWU233" s="125"/>
      <c r="AWV233" s="134"/>
      <c r="AWW233" s="135"/>
      <c r="AWX233" s="135"/>
      <c r="AWY233" s="135"/>
      <c r="AWZ233" s="135"/>
      <c r="AXA233" s="173"/>
      <c r="AXB233" s="173"/>
      <c r="AXC233" s="173"/>
      <c r="AXD233" s="173"/>
      <c r="AXE233" s="173"/>
      <c r="AXF233" s="173"/>
      <c r="AXG233" s="173"/>
      <c r="AXH233" s="173"/>
      <c r="AXI233" s="173"/>
      <c r="AXJ233" s="173"/>
      <c r="AXK233" s="125"/>
      <c r="AXL233" s="125"/>
      <c r="AXM233" s="134"/>
      <c r="AXN233" s="135"/>
      <c r="AXO233" s="135"/>
      <c r="AXP233" s="135"/>
      <c r="AXQ233" s="135"/>
      <c r="AXR233" s="173"/>
      <c r="AXS233" s="173"/>
      <c r="AXT233" s="173"/>
      <c r="AXU233" s="173"/>
      <c r="AXV233" s="173"/>
      <c r="AXW233" s="173"/>
      <c r="AXX233" s="173"/>
      <c r="AXY233" s="173"/>
      <c r="AXZ233" s="173"/>
      <c r="AYA233" s="173"/>
      <c r="AYB233" s="125"/>
      <c r="AYC233" s="125"/>
      <c r="AYD233" s="134"/>
      <c r="AYE233" s="135"/>
      <c r="AYF233" s="135"/>
      <c r="AYG233" s="135"/>
      <c r="AYH233" s="135"/>
      <c r="AYI233" s="173"/>
      <c r="AYJ233" s="173"/>
      <c r="AYK233" s="173"/>
      <c r="AYL233" s="173"/>
      <c r="AYM233" s="173"/>
      <c r="AYN233" s="173"/>
      <c r="AYO233" s="173"/>
      <c r="AYP233" s="173"/>
      <c r="AYQ233" s="173"/>
      <c r="AYR233" s="173"/>
      <c r="AYS233" s="125"/>
      <c r="AYT233" s="125"/>
      <c r="AYU233" s="134"/>
      <c r="AYV233" s="135"/>
      <c r="AYW233" s="135"/>
      <c r="AYX233" s="135"/>
      <c r="AYY233" s="135"/>
      <c r="AYZ233" s="173"/>
      <c r="AZA233" s="173"/>
      <c r="AZB233" s="173"/>
      <c r="AZC233" s="173"/>
      <c r="AZD233" s="173"/>
      <c r="AZE233" s="173"/>
      <c r="AZF233" s="173"/>
      <c r="AZG233" s="173"/>
      <c r="AZH233" s="173"/>
      <c r="AZI233" s="173"/>
      <c r="AZJ233" s="125"/>
      <c r="AZK233" s="125"/>
      <c r="AZL233" s="134"/>
      <c r="AZM233" s="135"/>
      <c r="AZN233" s="135"/>
      <c r="AZO233" s="135"/>
      <c r="AZP233" s="135"/>
      <c r="AZQ233" s="173"/>
      <c r="AZR233" s="173"/>
      <c r="AZS233" s="173"/>
      <c r="AZT233" s="173"/>
      <c r="AZU233" s="173"/>
      <c r="AZV233" s="173"/>
      <c r="AZW233" s="173"/>
      <c r="AZX233" s="173"/>
      <c r="AZY233" s="173"/>
      <c r="AZZ233" s="173"/>
      <c r="BAA233" s="125"/>
      <c r="BAB233" s="125"/>
      <c r="BAC233" s="134"/>
      <c r="BAD233" s="135"/>
      <c r="BAE233" s="135"/>
      <c r="BAF233" s="135"/>
      <c r="BAG233" s="135"/>
      <c r="BAH233" s="173"/>
      <c r="BAI233" s="173"/>
      <c r="BAJ233" s="173"/>
      <c r="BAK233" s="173"/>
      <c r="BAL233" s="173"/>
      <c r="BAM233" s="173"/>
      <c r="BAN233" s="173"/>
      <c r="BAO233" s="173"/>
      <c r="BAP233" s="173"/>
      <c r="BAQ233" s="173"/>
      <c r="BAR233" s="125"/>
      <c r="BAS233" s="125"/>
      <c r="BAT233" s="134"/>
      <c r="BAU233" s="135"/>
      <c r="BAV233" s="135"/>
      <c r="BAW233" s="135"/>
      <c r="BAX233" s="135"/>
      <c r="BAY233" s="173"/>
      <c r="BAZ233" s="173"/>
      <c r="BBA233" s="173"/>
      <c r="BBB233" s="173"/>
      <c r="BBC233" s="173"/>
      <c r="BBD233" s="173"/>
      <c r="BBE233" s="173"/>
      <c r="BBF233" s="173"/>
      <c r="BBG233" s="173"/>
      <c r="BBH233" s="173"/>
      <c r="BBI233" s="125"/>
      <c r="BBJ233" s="125"/>
      <c r="BBK233" s="134"/>
      <c r="BBL233" s="135"/>
      <c r="BBM233" s="135"/>
      <c r="BBN233" s="135"/>
      <c r="BBO233" s="135"/>
      <c r="BBP233" s="173"/>
      <c r="BBQ233" s="173"/>
      <c r="BBR233" s="173"/>
      <c r="BBS233" s="173"/>
      <c r="BBT233" s="173"/>
      <c r="BBU233" s="173"/>
      <c r="BBV233" s="173"/>
      <c r="BBW233" s="173"/>
      <c r="BBX233" s="173"/>
      <c r="BBY233" s="173"/>
      <c r="BBZ233" s="125"/>
      <c r="BCA233" s="125"/>
      <c r="BCB233" s="134"/>
      <c r="BCC233" s="135"/>
      <c r="BCD233" s="135"/>
      <c r="BCE233" s="135"/>
      <c r="BCF233" s="135"/>
      <c r="BCG233" s="173"/>
      <c r="BCH233" s="173"/>
      <c r="BCI233" s="173"/>
      <c r="BCJ233" s="173"/>
      <c r="BCK233" s="173"/>
      <c r="BCL233" s="173"/>
      <c r="BCM233" s="173"/>
      <c r="BCN233" s="173"/>
      <c r="BCO233" s="173"/>
      <c r="BCP233" s="173"/>
      <c r="BCQ233" s="125"/>
      <c r="BCR233" s="125"/>
      <c r="BCS233" s="134"/>
      <c r="BCT233" s="135"/>
      <c r="BCU233" s="135"/>
      <c r="BCV233" s="135"/>
      <c r="BCW233" s="135"/>
      <c r="BCX233" s="173"/>
      <c r="BCY233" s="173"/>
      <c r="BCZ233" s="173"/>
      <c r="BDA233" s="173"/>
      <c r="BDB233" s="173"/>
      <c r="BDC233" s="173"/>
      <c r="BDD233" s="173"/>
      <c r="BDE233" s="173"/>
      <c r="BDF233" s="173"/>
      <c r="BDG233" s="173"/>
      <c r="BDH233" s="125"/>
      <c r="BDI233" s="125"/>
      <c r="BDJ233" s="134"/>
      <c r="BDK233" s="135"/>
      <c r="BDL233" s="135"/>
      <c r="BDM233" s="135"/>
      <c r="BDN233" s="135"/>
      <c r="BDO233" s="173"/>
      <c r="BDP233" s="173"/>
      <c r="BDQ233" s="173"/>
      <c r="BDR233" s="173"/>
      <c r="BDS233" s="173"/>
      <c r="BDT233" s="173"/>
      <c r="BDU233" s="173"/>
      <c r="BDV233" s="173"/>
      <c r="BDW233" s="173"/>
      <c r="BDX233" s="173"/>
      <c r="BDY233" s="125"/>
      <c r="BDZ233" s="125"/>
      <c r="BEA233" s="134"/>
      <c r="BEB233" s="135"/>
      <c r="BEC233" s="135"/>
      <c r="BED233" s="135"/>
      <c r="BEE233" s="135"/>
      <c r="BEF233" s="173"/>
      <c r="BEG233" s="173"/>
      <c r="BEH233" s="173"/>
      <c r="BEI233" s="173"/>
      <c r="BEJ233" s="173"/>
      <c r="BEK233" s="173"/>
      <c r="BEL233" s="173"/>
      <c r="BEM233" s="173"/>
      <c r="BEN233" s="173"/>
      <c r="BEO233" s="173"/>
      <c r="BEP233" s="125"/>
      <c r="BEQ233" s="125"/>
      <c r="BER233" s="134"/>
      <c r="BES233" s="135"/>
      <c r="BET233" s="135"/>
      <c r="BEU233" s="135"/>
      <c r="BEV233" s="135"/>
      <c r="BEW233" s="173"/>
      <c r="BEX233" s="173"/>
      <c r="BEY233" s="173"/>
      <c r="BEZ233" s="173"/>
      <c r="BFA233" s="173"/>
      <c r="BFB233" s="173"/>
      <c r="BFC233" s="173"/>
      <c r="BFD233" s="173"/>
      <c r="BFE233" s="173"/>
      <c r="BFF233" s="173"/>
      <c r="BFG233" s="125"/>
      <c r="BFH233" s="125"/>
      <c r="BFI233" s="134"/>
      <c r="BFJ233" s="135"/>
      <c r="BFK233" s="135"/>
      <c r="BFL233" s="135"/>
      <c r="BFM233" s="135"/>
      <c r="BFN233" s="173"/>
      <c r="BFO233" s="173"/>
      <c r="BFP233" s="173"/>
      <c r="BFQ233" s="173"/>
      <c r="BFR233" s="173"/>
      <c r="BFS233" s="173"/>
      <c r="BFT233" s="173"/>
      <c r="BFU233" s="173"/>
      <c r="BFV233" s="173"/>
      <c r="BFW233" s="173"/>
      <c r="BFX233" s="125"/>
      <c r="BFY233" s="125"/>
      <c r="BFZ233" s="134"/>
      <c r="BGA233" s="135"/>
      <c r="BGB233" s="135"/>
      <c r="BGC233" s="135"/>
      <c r="BGD233" s="135"/>
      <c r="BGE233" s="173"/>
      <c r="BGF233" s="173"/>
      <c r="BGG233" s="173"/>
      <c r="BGH233" s="173"/>
      <c r="BGI233" s="173"/>
      <c r="BGJ233" s="173"/>
      <c r="BGK233" s="173"/>
      <c r="BGL233" s="173"/>
      <c r="BGM233" s="173"/>
      <c r="BGN233" s="173"/>
      <c r="BGO233" s="125"/>
      <c r="BGP233" s="125"/>
      <c r="BGQ233" s="134"/>
      <c r="BGR233" s="135"/>
      <c r="BGS233" s="135"/>
      <c r="BGT233" s="135"/>
      <c r="BGU233" s="135"/>
      <c r="BGV233" s="173"/>
      <c r="BGW233" s="173"/>
      <c r="BGX233" s="173"/>
      <c r="BGY233" s="173"/>
      <c r="BGZ233" s="173"/>
      <c r="BHA233" s="173"/>
      <c r="BHB233" s="173"/>
      <c r="BHC233" s="173"/>
      <c r="BHD233" s="173"/>
      <c r="BHE233" s="173"/>
      <c r="BHF233" s="125"/>
      <c r="BHG233" s="125"/>
      <c r="BHH233" s="134"/>
      <c r="BHI233" s="135"/>
      <c r="BHJ233" s="135"/>
      <c r="BHK233" s="135"/>
      <c r="BHL233" s="135"/>
      <c r="BHM233" s="173"/>
      <c r="BHN233" s="173"/>
      <c r="BHO233" s="173"/>
      <c r="BHP233" s="173"/>
      <c r="BHQ233" s="173"/>
      <c r="BHR233" s="173"/>
      <c r="BHS233" s="173"/>
      <c r="BHT233" s="173"/>
      <c r="BHU233" s="173"/>
      <c r="BHV233" s="173"/>
      <c r="BHW233" s="125"/>
      <c r="BHX233" s="125"/>
      <c r="BHY233" s="134"/>
      <c r="BHZ233" s="135"/>
      <c r="BIA233" s="135"/>
      <c r="BIB233" s="135"/>
      <c r="BIC233" s="135"/>
      <c r="BID233" s="173"/>
      <c r="BIE233" s="173"/>
      <c r="BIF233" s="173"/>
      <c r="BIG233" s="173"/>
      <c r="BIH233" s="173"/>
      <c r="BII233" s="173"/>
      <c r="BIJ233" s="173"/>
      <c r="BIK233" s="173"/>
      <c r="BIL233" s="173"/>
      <c r="BIM233" s="173"/>
      <c r="BIN233" s="125"/>
      <c r="BIO233" s="125"/>
      <c r="BIP233" s="134"/>
      <c r="BIQ233" s="135"/>
      <c r="BIR233" s="135"/>
      <c r="BIS233" s="135"/>
      <c r="BIT233" s="135"/>
      <c r="BIU233" s="173"/>
      <c r="BIV233" s="173"/>
      <c r="BIW233" s="173"/>
      <c r="BIX233" s="173"/>
      <c r="BIY233" s="173"/>
      <c r="BIZ233" s="173"/>
      <c r="BJA233" s="173"/>
      <c r="BJB233" s="173"/>
      <c r="BJC233" s="173"/>
      <c r="BJD233" s="173"/>
      <c r="BJE233" s="125"/>
      <c r="BJF233" s="125"/>
      <c r="BJG233" s="134"/>
      <c r="BJH233" s="135"/>
      <c r="BJI233" s="135"/>
      <c r="BJJ233" s="135"/>
      <c r="BJK233" s="135"/>
      <c r="BJL233" s="173"/>
      <c r="BJM233" s="173"/>
      <c r="BJN233" s="173"/>
      <c r="BJO233" s="173"/>
      <c r="BJP233" s="173"/>
      <c r="BJQ233" s="173"/>
      <c r="BJR233" s="173"/>
      <c r="BJS233" s="173"/>
      <c r="BJT233" s="173"/>
      <c r="BJU233" s="173"/>
      <c r="BJV233" s="125"/>
      <c r="BJW233" s="125"/>
      <c r="BJX233" s="134"/>
      <c r="BJY233" s="135"/>
      <c r="BJZ233" s="135"/>
      <c r="BKA233" s="135"/>
      <c r="BKB233" s="135"/>
      <c r="BKC233" s="173"/>
      <c r="BKD233" s="173"/>
      <c r="BKE233" s="173"/>
      <c r="BKF233" s="173"/>
      <c r="BKG233" s="173"/>
      <c r="BKH233" s="173"/>
      <c r="BKI233" s="173"/>
      <c r="BKJ233" s="173"/>
      <c r="BKK233" s="173"/>
      <c r="BKL233" s="173"/>
      <c r="BKM233" s="125"/>
      <c r="BKN233" s="125"/>
      <c r="BKO233" s="134"/>
      <c r="BKP233" s="135"/>
      <c r="BKQ233" s="135"/>
      <c r="BKR233" s="135"/>
      <c r="BKS233" s="135"/>
      <c r="BKT233" s="173"/>
      <c r="BKU233" s="173"/>
      <c r="BKV233" s="173"/>
      <c r="BKW233" s="173"/>
      <c r="BKX233" s="173"/>
      <c r="BKY233" s="173"/>
      <c r="BKZ233" s="173"/>
      <c r="BLA233" s="173"/>
      <c r="BLB233" s="173"/>
      <c r="BLC233" s="173"/>
      <c r="BLD233" s="125"/>
      <c r="BLE233" s="125"/>
      <c r="BLF233" s="134"/>
      <c r="BLG233" s="135"/>
      <c r="BLH233" s="135"/>
      <c r="BLI233" s="135"/>
      <c r="BLJ233" s="135"/>
      <c r="BLK233" s="173"/>
      <c r="BLL233" s="173"/>
      <c r="BLM233" s="173"/>
      <c r="BLN233" s="173"/>
      <c r="BLO233" s="173"/>
      <c r="BLP233" s="173"/>
      <c r="BLQ233" s="173"/>
      <c r="BLR233" s="173"/>
      <c r="BLS233" s="173"/>
      <c r="BLT233" s="173"/>
      <c r="BLU233" s="125"/>
      <c r="BLV233" s="125"/>
      <c r="BLW233" s="134"/>
      <c r="BLX233" s="135"/>
      <c r="BLY233" s="135"/>
      <c r="BLZ233" s="135"/>
      <c r="BMA233" s="135"/>
      <c r="BMB233" s="173"/>
      <c r="BMC233" s="173"/>
      <c r="BMD233" s="173"/>
      <c r="BME233" s="173"/>
      <c r="BMF233" s="173"/>
      <c r="BMG233" s="173"/>
      <c r="BMH233" s="173"/>
      <c r="BMI233" s="173"/>
      <c r="BMJ233" s="173"/>
      <c r="BMK233" s="173"/>
      <c r="BML233" s="125"/>
      <c r="BMM233" s="125"/>
      <c r="BMN233" s="134"/>
      <c r="BMO233" s="135"/>
      <c r="BMP233" s="135"/>
      <c r="BMQ233" s="135"/>
      <c r="BMR233" s="135"/>
      <c r="BMS233" s="173"/>
      <c r="BMT233" s="173"/>
      <c r="BMU233" s="173"/>
      <c r="BMV233" s="173"/>
      <c r="BMW233" s="173"/>
      <c r="BMX233" s="173"/>
      <c r="BMY233" s="173"/>
      <c r="BMZ233" s="173"/>
      <c r="BNA233" s="173"/>
      <c r="BNB233" s="173"/>
      <c r="BNC233" s="125"/>
      <c r="BND233" s="125"/>
      <c r="BNE233" s="134"/>
      <c r="BNF233" s="135"/>
      <c r="BNG233" s="135"/>
      <c r="BNH233" s="135"/>
      <c r="BNI233" s="135"/>
      <c r="BNJ233" s="173"/>
      <c r="BNK233" s="173"/>
      <c r="BNL233" s="173"/>
      <c r="BNM233" s="173"/>
      <c r="BNN233" s="173"/>
      <c r="BNO233" s="173"/>
      <c r="BNP233" s="173"/>
      <c r="BNQ233" s="173"/>
      <c r="BNR233" s="173"/>
      <c r="BNS233" s="173"/>
      <c r="BNT233" s="125"/>
      <c r="BNU233" s="125"/>
      <c r="BNV233" s="134"/>
      <c r="BNW233" s="135"/>
      <c r="BNX233" s="135"/>
      <c r="BNY233" s="135"/>
      <c r="BNZ233" s="135"/>
      <c r="BOA233" s="173"/>
      <c r="BOB233" s="173"/>
      <c r="BOC233" s="173"/>
      <c r="BOD233" s="173"/>
      <c r="BOE233" s="173"/>
      <c r="BOF233" s="173"/>
      <c r="BOG233" s="173"/>
      <c r="BOH233" s="173"/>
      <c r="BOI233" s="173"/>
      <c r="BOJ233" s="173"/>
      <c r="BOK233" s="125"/>
      <c r="BOL233" s="125"/>
      <c r="BOM233" s="134"/>
      <c r="BON233" s="135"/>
      <c r="BOO233" s="135"/>
      <c r="BOP233" s="135"/>
      <c r="BOQ233" s="135"/>
      <c r="BOR233" s="173"/>
      <c r="BOS233" s="173"/>
      <c r="BOT233" s="173"/>
      <c r="BOU233" s="173"/>
      <c r="BOV233" s="173"/>
      <c r="BOW233" s="173"/>
      <c r="BOX233" s="173"/>
      <c r="BOY233" s="173"/>
      <c r="BOZ233" s="173"/>
      <c r="BPA233" s="173"/>
      <c r="BPB233" s="125"/>
      <c r="BPC233" s="125"/>
      <c r="BPD233" s="134"/>
      <c r="BPE233" s="135"/>
      <c r="BPF233" s="135"/>
      <c r="BPG233" s="135"/>
      <c r="BPH233" s="135"/>
      <c r="BPI233" s="173"/>
      <c r="BPJ233" s="173"/>
      <c r="BPK233" s="173"/>
      <c r="BPL233" s="173"/>
      <c r="BPM233" s="173"/>
      <c r="BPN233" s="173"/>
      <c r="BPO233" s="173"/>
      <c r="BPP233" s="173"/>
      <c r="BPQ233" s="173"/>
      <c r="BPR233" s="173"/>
      <c r="BPS233" s="125"/>
      <c r="BPT233" s="125"/>
      <c r="BPU233" s="134"/>
      <c r="BPV233" s="135"/>
      <c r="BPW233" s="135"/>
      <c r="BPX233" s="135"/>
      <c r="BPY233" s="135"/>
      <c r="BPZ233" s="173"/>
      <c r="BQA233" s="173"/>
      <c r="BQB233" s="173"/>
      <c r="BQC233" s="173"/>
      <c r="BQD233" s="173"/>
      <c r="BQE233" s="173"/>
      <c r="BQF233" s="173"/>
      <c r="BQG233" s="173"/>
      <c r="BQH233" s="173"/>
      <c r="BQI233" s="173"/>
      <c r="BQJ233" s="125"/>
      <c r="BQK233" s="125"/>
      <c r="BQL233" s="134"/>
      <c r="BQM233" s="135"/>
      <c r="BQN233" s="135"/>
      <c r="BQO233" s="135"/>
      <c r="BQP233" s="135"/>
      <c r="BQQ233" s="173"/>
      <c r="BQR233" s="173"/>
      <c r="BQS233" s="173"/>
      <c r="BQT233" s="173"/>
      <c r="BQU233" s="173"/>
      <c r="BQV233" s="173"/>
      <c r="BQW233" s="173"/>
      <c r="BQX233" s="173"/>
      <c r="BQY233" s="173"/>
      <c r="BQZ233" s="173"/>
      <c r="BRA233" s="125"/>
      <c r="BRB233" s="125"/>
      <c r="BRC233" s="134"/>
      <c r="BRD233" s="135"/>
      <c r="BRE233" s="135"/>
      <c r="BRF233" s="135"/>
      <c r="BRG233" s="135"/>
      <c r="BRH233" s="173"/>
      <c r="BRI233" s="173"/>
      <c r="BRJ233" s="173"/>
      <c r="BRK233" s="173"/>
      <c r="BRL233" s="173"/>
      <c r="BRM233" s="173"/>
      <c r="BRN233" s="173"/>
      <c r="BRO233" s="173"/>
      <c r="BRP233" s="173"/>
      <c r="BRQ233" s="173"/>
      <c r="BRR233" s="125"/>
      <c r="BRS233" s="125"/>
      <c r="BRT233" s="134"/>
      <c r="BRU233" s="135"/>
      <c r="BRV233" s="135"/>
      <c r="BRW233" s="135"/>
      <c r="BRX233" s="135"/>
      <c r="BRY233" s="173"/>
      <c r="BRZ233" s="173"/>
      <c r="BSA233" s="173"/>
      <c r="BSB233" s="173"/>
      <c r="BSC233" s="173"/>
      <c r="BSD233" s="173"/>
      <c r="BSE233" s="173"/>
      <c r="BSF233" s="173"/>
      <c r="BSG233" s="173"/>
      <c r="BSH233" s="173"/>
      <c r="BSI233" s="125"/>
      <c r="BSJ233" s="125"/>
      <c r="BSK233" s="134"/>
      <c r="BSL233" s="135"/>
      <c r="BSM233" s="135"/>
      <c r="BSN233" s="135"/>
      <c r="BSO233" s="135"/>
      <c r="BSP233" s="173"/>
      <c r="BSQ233" s="173"/>
      <c r="BSR233" s="173"/>
      <c r="BSS233" s="173"/>
      <c r="BST233" s="173"/>
      <c r="BSU233" s="173"/>
      <c r="BSV233" s="173"/>
      <c r="BSW233" s="173"/>
      <c r="BSX233" s="173"/>
      <c r="BSY233" s="173"/>
      <c r="BSZ233" s="125"/>
      <c r="BTA233" s="125"/>
      <c r="BTB233" s="134"/>
      <c r="BTC233" s="135"/>
      <c r="BTD233" s="135"/>
      <c r="BTE233" s="135"/>
      <c r="BTF233" s="135"/>
      <c r="BTG233" s="173"/>
      <c r="BTH233" s="173"/>
      <c r="BTI233" s="173"/>
      <c r="BTJ233" s="173"/>
      <c r="BTK233" s="173"/>
      <c r="BTL233" s="173"/>
      <c r="BTM233" s="173"/>
      <c r="BTN233" s="173"/>
      <c r="BTO233" s="173"/>
      <c r="BTP233" s="173"/>
      <c r="BTQ233" s="125"/>
      <c r="BTR233" s="125"/>
      <c r="BTS233" s="134"/>
      <c r="BTT233" s="135"/>
      <c r="BTU233" s="135"/>
      <c r="BTV233" s="135"/>
      <c r="BTW233" s="135"/>
      <c r="BTX233" s="173"/>
      <c r="BTY233" s="173"/>
      <c r="BTZ233" s="173"/>
      <c r="BUA233" s="173"/>
      <c r="BUB233" s="173"/>
      <c r="BUC233" s="173"/>
      <c r="BUD233" s="173"/>
      <c r="BUE233" s="173"/>
      <c r="BUF233" s="173"/>
      <c r="BUG233" s="173"/>
      <c r="BUH233" s="125"/>
      <c r="BUI233" s="125"/>
      <c r="BUJ233" s="134"/>
      <c r="BUK233" s="135"/>
      <c r="BUL233" s="135"/>
      <c r="BUM233" s="135"/>
      <c r="BUN233" s="135"/>
      <c r="BUO233" s="173"/>
      <c r="BUP233" s="173"/>
      <c r="BUQ233" s="173"/>
      <c r="BUR233" s="173"/>
      <c r="BUS233" s="173"/>
      <c r="BUT233" s="173"/>
      <c r="BUU233" s="173"/>
      <c r="BUV233" s="173"/>
      <c r="BUW233" s="173"/>
      <c r="BUX233" s="173"/>
      <c r="BUY233" s="125"/>
      <c r="BUZ233" s="125"/>
      <c r="BVA233" s="134"/>
      <c r="BVB233" s="135"/>
      <c r="BVC233" s="135"/>
      <c r="BVD233" s="135"/>
      <c r="BVE233" s="135"/>
      <c r="BVF233" s="173"/>
      <c r="BVG233" s="173"/>
      <c r="BVH233" s="173"/>
      <c r="BVI233" s="173"/>
      <c r="BVJ233" s="173"/>
      <c r="BVK233" s="173"/>
      <c r="BVL233" s="173"/>
      <c r="BVM233" s="173"/>
      <c r="BVN233" s="173"/>
      <c r="BVO233" s="173"/>
      <c r="BVP233" s="125"/>
      <c r="BVQ233" s="125"/>
      <c r="BVR233" s="134"/>
      <c r="BVS233" s="135"/>
      <c r="BVT233" s="135"/>
      <c r="BVU233" s="135"/>
      <c r="BVV233" s="135"/>
      <c r="BVW233" s="173"/>
      <c r="BVX233" s="173"/>
      <c r="BVY233" s="173"/>
      <c r="BVZ233" s="173"/>
      <c r="BWA233" s="173"/>
      <c r="BWB233" s="173"/>
      <c r="BWC233" s="173"/>
      <c r="BWD233" s="173"/>
      <c r="BWE233" s="173"/>
      <c r="BWF233" s="173"/>
      <c r="BWG233" s="125"/>
      <c r="BWH233" s="125"/>
      <c r="BWI233" s="134"/>
      <c r="BWJ233" s="135"/>
      <c r="BWK233" s="135"/>
      <c r="BWL233" s="135"/>
      <c r="BWM233" s="135"/>
      <c r="BWN233" s="173"/>
      <c r="BWO233" s="173"/>
      <c r="BWP233" s="173"/>
      <c r="BWQ233" s="173"/>
      <c r="BWR233" s="173"/>
      <c r="BWS233" s="173"/>
      <c r="BWT233" s="173"/>
      <c r="BWU233" s="173"/>
      <c r="BWV233" s="173"/>
      <c r="BWW233" s="173"/>
      <c r="BWX233" s="125"/>
      <c r="BWY233" s="125"/>
      <c r="BWZ233" s="134"/>
      <c r="BXA233" s="135"/>
      <c r="BXB233" s="135"/>
      <c r="BXC233" s="135"/>
      <c r="BXD233" s="135"/>
      <c r="BXE233" s="173"/>
      <c r="BXF233" s="173"/>
      <c r="BXG233" s="173"/>
      <c r="BXH233" s="173"/>
      <c r="BXI233" s="173"/>
      <c r="BXJ233" s="173"/>
      <c r="BXK233" s="173"/>
      <c r="BXL233" s="173"/>
      <c r="BXM233" s="173"/>
      <c r="BXN233" s="173"/>
      <c r="BXO233" s="125"/>
      <c r="BXP233" s="125"/>
      <c r="BXQ233" s="134"/>
      <c r="BXR233" s="135"/>
      <c r="BXS233" s="135"/>
      <c r="BXT233" s="135"/>
      <c r="BXU233" s="135"/>
      <c r="BXV233" s="173"/>
      <c r="BXW233" s="173"/>
      <c r="BXX233" s="173"/>
      <c r="BXY233" s="173"/>
      <c r="BXZ233" s="173"/>
      <c r="BYA233" s="173"/>
      <c r="BYB233" s="173"/>
      <c r="BYC233" s="173"/>
      <c r="BYD233" s="173"/>
      <c r="BYE233" s="173"/>
      <c r="BYF233" s="125"/>
      <c r="BYG233" s="125"/>
      <c r="BYH233" s="134"/>
      <c r="BYI233" s="135"/>
      <c r="BYJ233" s="135"/>
      <c r="BYK233" s="135"/>
      <c r="BYL233" s="135"/>
      <c r="BYM233" s="173"/>
      <c r="BYN233" s="173"/>
      <c r="BYO233" s="173"/>
      <c r="BYP233" s="173"/>
      <c r="BYQ233" s="173"/>
      <c r="BYR233" s="173"/>
      <c r="BYS233" s="173"/>
      <c r="BYT233" s="173"/>
      <c r="BYU233" s="173"/>
      <c r="BYV233" s="173"/>
      <c r="BYW233" s="125"/>
      <c r="BYX233" s="125"/>
      <c r="BYY233" s="134"/>
      <c r="BYZ233" s="135"/>
      <c r="BZA233" s="135"/>
      <c r="BZB233" s="135"/>
      <c r="BZC233" s="135"/>
      <c r="BZD233" s="173"/>
      <c r="BZE233" s="173"/>
      <c r="BZF233" s="173"/>
      <c r="BZG233" s="173"/>
      <c r="BZH233" s="173"/>
      <c r="BZI233" s="173"/>
      <c r="BZJ233" s="173"/>
      <c r="BZK233" s="173"/>
      <c r="BZL233" s="173"/>
      <c r="BZM233" s="173"/>
      <c r="BZN233" s="125"/>
      <c r="BZO233" s="125"/>
      <c r="BZP233" s="134"/>
      <c r="BZQ233" s="135"/>
      <c r="BZR233" s="135"/>
      <c r="BZS233" s="135"/>
      <c r="BZT233" s="135"/>
      <c r="BZU233" s="173"/>
      <c r="BZV233" s="173"/>
      <c r="BZW233" s="173"/>
      <c r="BZX233" s="173"/>
      <c r="BZY233" s="173"/>
      <c r="BZZ233" s="173"/>
      <c r="CAA233" s="173"/>
      <c r="CAB233" s="173"/>
      <c r="CAC233" s="173"/>
      <c r="CAD233" s="173"/>
      <c r="CAE233" s="125"/>
      <c r="CAF233" s="125"/>
      <c r="CAG233" s="134"/>
      <c r="CAH233" s="135"/>
      <c r="CAI233" s="135"/>
      <c r="CAJ233" s="135"/>
      <c r="CAK233" s="135"/>
      <c r="CAL233" s="173"/>
      <c r="CAM233" s="173"/>
      <c r="CAN233" s="173"/>
      <c r="CAO233" s="173"/>
      <c r="CAP233" s="173"/>
      <c r="CAQ233" s="173"/>
      <c r="CAR233" s="173"/>
      <c r="CAS233" s="173"/>
      <c r="CAT233" s="173"/>
      <c r="CAU233" s="173"/>
      <c r="CAV233" s="125"/>
      <c r="CAW233" s="125"/>
      <c r="CAX233" s="134"/>
      <c r="CAY233" s="135"/>
      <c r="CAZ233" s="135"/>
      <c r="CBA233" s="135"/>
      <c r="CBB233" s="135"/>
      <c r="CBC233" s="173"/>
      <c r="CBD233" s="173"/>
      <c r="CBE233" s="173"/>
      <c r="CBF233" s="173"/>
      <c r="CBG233" s="173"/>
      <c r="CBH233" s="173"/>
      <c r="CBI233" s="173"/>
      <c r="CBJ233" s="173"/>
      <c r="CBK233" s="173"/>
      <c r="CBL233" s="173"/>
      <c r="CBM233" s="125"/>
      <c r="CBN233" s="125"/>
      <c r="CBO233" s="134"/>
      <c r="CBP233" s="135"/>
      <c r="CBQ233" s="135"/>
      <c r="CBR233" s="135"/>
      <c r="CBS233" s="135"/>
      <c r="CBT233" s="173"/>
      <c r="CBU233" s="173"/>
      <c r="CBV233" s="173"/>
      <c r="CBW233" s="173"/>
      <c r="CBX233" s="173"/>
      <c r="CBY233" s="173"/>
      <c r="CBZ233" s="173"/>
      <c r="CCA233" s="173"/>
      <c r="CCB233" s="173"/>
      <c r="CCC233" s="173"/>
      <c r="CCD233" s="125"/>
      <c r="CCE233" s="125"/>
      <c r="CCF233" s="134"/>
      <c r="CCG233" s="135"/>
      <c r="CCH233" s="135"/>
      <c r="CCI233" s="135"/>
      <c r="CCJ233" s="135"/>
      <c r="CCK233" s="173"/>
      <c r="CCL233" s="173"/>
      <c r="CCM233" s="173"/>
      <c r="CCN233" s="173"/>
      <c r="CCO233" s="173"/>
      <c r="CCP233" s="173"/>
      <c r="CCQ233" s="173"/>
      <c r="CCR233" s="173"/>
      <c r="CCS233" s="173"/>
      <c r="CCT233" s="173"/>
      <c r="CCU233" s="125"/>
      <c r="CCV233" s="125"/>
      <c r="CCW233" s="134"/>
      <c r="CCX233" s="135"/>
      <c r="CCY233" s="135"/>
      <c r="CCZ233" s="135"/>
      <c r="CDA233" s="135"/>
      <c r="CDB233" s="173"/>
      <c r="CDC233" s="173"/>
      <c r="CDD233" s="173"/>
      <c r="CDE233" s="173"/>
      <c r="CDF233" s="173"/>
      <c r="CDG233" s="173"/>
      <c r="CDH233" s="173"/>
      <c r="CDI233" s="173"/>
      <c r="CDJ233" s="173"/>
      <c r="CDK233" s="173"/>
      <c r="CDL233" s="125"/>
      <c r="CDM233" s="125"/>
      <c r="CDN233" s="134"/>
      <c r="CDO233" s="135"/>
      <c r="CDP233" s="135"/>
      <c r="CDQ233" s="135"/>
      <c r="CDR233" s="135"/>
      <c r="CDS233" s="173"/>
      <c r="CDT233" s="173"/>
      <c r="CDU233" s="173"/>
      <c r="CDV233" s="173"/>
      <c r="CDW233" s="173"/>
      <c r="CDX233" s="173"/>
      <c r="CDY233" s="173"/>
      <c r="CDZ233" s="173"/>
      <c r="CEA233" s="173"/>
      <c r="CEB233" s="173"/>
      <c r="CEC233" s="125"/>
      <c r="CED233" s="125"/>
      <c r="CEE233" s="134"/>
      <c r="CEF233" s="135"/>
      <c r="CEG233" s="135"/>
      <c r="CEH233" s="135"/>
      <c r="CEI233" s="135"/>
      <c r="CEJ233" s="173"/>
      <c r="CEK233" s="173"/>
      <c r="CEL233" s="173"/>
      <c r="CEM233" s="173"/>
      <c r="CEN233" s="173"/>
      <c r="CEO233" s="173"/>
      <c r="CEP233" s="173"/>
      <c r="CEQ233" s="173"/>
      <c r="CER233" s="173"/>
      <c r="CES233" s="173"/>
      <c r="CET233" s="125"/>
      <c r="CEU233" s="125"/>
      <c r="CEV233" s="134"/>
      <c r="CEW233" s="135"/>
      <c r="CEX233" s="135"/>
      <c r="CEY233" s="135"/>
      <c r="CEZ233" s="135"/>
      <c r="CFA233" s="173"/>
      <c r="CFB233" s="173"/>
      <c r="CFC233" s="173"/>
      <c r="CFD233" s="173"/>
      <c r="CFE233" s="173"/>
      <c r="CFF233" s="173"/>
      <c r="CFG233" s="173"/>
      <c r="CFH233" s="173"/>
      <c r="CFI233" s="173"/>
      <c r="CFJ233" s="173"/>
      <c r="CFK233" s="125"/>
      <c r="CFL233" s="125"/>
      <c r="CFM233" s="134"/>
      <c r="CFN233" s="135"/>
      <c r="CFO233" s="135"/>
      <c r="CFP233" s="135"/>
      <c r="CFQ233" s="135"/>
      <c r="CFR233" s="173"/>
      <c r="CFS233" s="173"/>
      <c r="CFT233" s="173"/>
      <c r="CFU233" s="173"/>
      <c r="CFV233" s="173"/>
      <c r="CFW233" s="173"/>
      <c r="CFX233" s="173"/>
      <c r="CFY233" s="173"/>
      <c r="CFZ233" s="173"/>
      <c r="CGA233" s="173"/>
      <c r="CGB233" s="125"/>
      <c r="CGC233" s="125"/>
      <c r="CGD233" s="134"/>
      <c r="CGE233" s="135"/>
      <c r="CGF233" s="135"/>
      <c r="CGG233" s="135"/>
      <c r="CGH233" s="135"/>
      <c r="CGI233" s="173"/>
      <c r="CGJ233" s="173"/>
      <c r="CGK233" s="173"/>
      <c r="CGL233" s="173"/>
      <c r="CGM233" s="173"/>
      <c r="CGN233" s="173"/>
      <c r="CGO233" s="173"/>
      <c r="CGP233" s="173"/>
      <c r="CGQ233" s="173"/>
      <c r="CGR233" s="173"/>
      <c r="CGS233" s="125"/>
      <c r="CGT233" s="125"/>
      <c r="CGU233" s="134"/>
      <c r="CGV233" s="135"/>
      <c r="CGW233" s="135"/>
      <c r="CGX233" s="135"/>
      <c r="CGY233" s="135"/>
      <c r="CGZ233" s="173"/>
      <c r="CHA233" s="173"/>
      <c r="CHB233" s="173"/>
      <c r="CHC233" s="173"/>
      <c r="CHD233" s="173"/>
      <c r="CHE233" s="173"/>
      <c r="CHF233" s="173"/>
      <c r="CHG233" s="173"/>
      <c r="CHH233" s="173"/>
      <c r="CHI233" s="173"/>
      <c r="CHJ233" s="125"/>
      <c r="CHK233" s="125"/>
      <c r="CHL233" s="134"/>
      <c r="CHM233" s="135"/>
      <c r="CHN233" s="135"/>
      <c r="CHO233" s="135"/>
      <c r="CHP233" s="135"/>
      <c r="CHQ233" s="173"/>
      <c r="CHR233" s="173"/>
      <c r="CHS233" s="173"/>
      <c r="CHT233" s="173"/>
      <c r="CHU233" s="173"/>
      <c r="CHV233" s="173"/>
      <c r="CHW233" s="173"/>
      <c r="CHX233" s="173"/>
      <c r="CHY233" s="173"/>
      <c r="CHZ233" s="173"/>
      <c r="CIA233" s="125"/>
      <c r="CIB233" s="125"/>
      <c r="CIC233" s="134"/>
      <c r="CID233" s="135"/>
      <c r="CIE233" s="135"/>
      <c r="CIF233" s="135"/>
      <c r="CIG233" s="135"/>
      <c r="CIH233" s="173"/>
      <c r="CII233" s="173"/>
      <c r="CIJ233" s="173"/>
      <c r="CIK233" s="173"/>
      <c r="CIL233" s="173"/>
      <c r="CIM233" s="173"/>
      <c r="CIN233" s="173"/>
      <c r="CIO233" s="173"/>
      <c r="CIP233" s="173"/>
      <c r="CIQ233" s="173"/>
      <c r="CIR233" s="125"/>
      <c r="CIS233" s="125"/>
      <c r="CIT233" s="134"/>
      <c r="CIU233" s="135"/>
      <c r="CIV233" s="135"/>
      <c r="CIW233" s="135"/>
      <c r="CIX233" s="135"/>
      <c r="CIY233" s="173"/>
      <c r="CIZ233" s="173"/>
      <c r="CJA233" s="173"/>
      <c r="CJB233" s="173"/>
      <c r="CJC233" s="173"/>
      <c r="CJD233" s="173"/>
      <c r="CJE233" s="173"/>
      <c r="CJF233" s="173"/>
      <c r="CJG233" s="173"/>
      <c r="CJH233" s="173"/>
      <c r="CJI233" s="125"/>
      <c r="CJJ233" s="125"/>
      <c r="CJK233" s="134"/>
      <c r="CJL233" s="135"/>
      <c r="CJM233" s="135"/>
      <c r="CJN233" s="135"/>
      <c r="CJO233" s="135"/>
      <c r="CJP233" s="173"/>
      <c r="CJQ233" s="173"/>
      <c r="CJR233" s="173"/>
      <c r="CJS233" s="173"/>
      <c r="CJT233" s="173"/>
      <c r="CJU233" s="173"/>
      <c r="CJV233" s="173"/>
      <c r="CJW233" s="173"/>
      <c r="CJX233" s="173"/>
      <c r="CJY233" s="173"/>
      <c r="CJZ233" s="125"/>
      <c r="CKA233" s="125"/>
      <c r="CKB233" s="134"/>
      <c r="CKC233" s="135"/>
      <c r="CKD233" s="135"/>
      <c r="CKE233" s="135"/>
      <c r="CKF233" s="135"/>
      <c r="CKG233" s="173"/>
      <c r="CKH233" s="173"/>
      <c r="CKI233" s="173"/>
      <c r="CKJ233" s="173"/>
      <c r="CKK233" s="173"/>
      <c r="CKL233" s="173"/>
      <c r="CKM233" s="173"/>
      <c r="CKN233" s="173"/>
      <c r="CKO233" s="173"/>
      <c r="CKP233" s="173"/>
      <c r="CKQ233" s="125"/>
      <c r="CKR233" s="125"/>
      <c r="CKS233" s="134"/>
      <c r="CKT233" s="135"/>
      <c r="CKU233" s="135"/>
      <c r="CKV233" s="135"/>
      <c r="CKW233" s="135"/>
      <c r="CKX233" s="173"/>
      <c r="CKY233" s="173"/>
      <c r="CKZ233" s="173"/>
      <c r="CLA233" s="173"/>
      <c r="CLB233" s="173"/>
      <c r="CLC233" s="173"/>
      <c r="CLD233" s="173"/>
      <c r="CLE233" s="173"/>
      <c r="CLF233" s="173"/>
      <c r="CLG233" s="173"/>
      <c r="CLH233" s="125"/>
      <c r="CLI233" s="125"/>
      <c r="CLJ233" s="134"/>
      <c r="CLK233" s="135"/>
      <c r="CLL233" s="135"/>
      <c r="CLM233" s="135"/>
      <c r="CLN233" s="135"/>
      <c r="CLO233" s="173"/>
      <c r="CLP233" s="173"/>
      <c r="CLQ233" s="173"/>
      <c r="CLR233" s="173"/>
      <c r="CLS233" s="173"/>
      <c r="CLT233" s="173"/>
      <c r="CLU233" s="173"/>
      <c r="CLV233" s="173"/>
      <c r="CLW233" s="173"/>
      <c r="CLX233" s="173"/>
      <c r="CLY233" s="125"/>
      <c r="CLZ233" s="125"/>
      <c r="CMA233" s="134"/>
      <c r="CMB233" s="135"/>
      <c r="CMC233" s="135"/>
      <c r="CMD233" s="135"/>
      <c r="CME233" s="135"/>
      <c r="CMF233" s="173"/>
      <c r="CMG233" s="173"/>
      <c r="CMH233" s="173"/>
      <c r="CMI233" s="173"/>
      <c r="CMJ233" s="173"/>
      <c r="CMK233" s="173"/>
      <c r="CML233" s="173"/>
      <c r="CMM233" s="173"/>
      <c r="CMN233" s="173"/>
      <c r="CMO233" s="173"/>
      <c r="CMP233" s="125"/>
      <c r="CMQ233" s="125"/>
      <c r="CMR233" s="134"/>
      <c r="CMS233" s="135"/>
      <c r="CMT233" s="135"/>
      <c r="CMU233" s="135"/>
      <c r="CMV233" s="135"/>
      <c r="CMW233" s="173"/>
      <c r="CMX233" s="173"/>
      <c r="CMY233" s="173"/>
      <c r="CMZ233" s="173"/>
      <c r="CNA233" s="173"/>
      <c r="CNB233" s="173"/>
      <c r="CNC233" s="173"/>
      <c r="CND233" s="173"/>
      <c r="CNE233" s="173"/>
      <c r="CNF233" s="173"/>
      <c r="CNG233" s="125"/>
      <c r="CNH233" s="125"/>
      <c r="CNI233" s="134"/>
      <c r="CNJ233" s="135"/>
      <c r="CNK233" s="135"/>
      <c r="CNL233" s="135"/>
      <c r="CNM233" s="135"/>
      <c r="CNN233" s="173"/>
      <c r="CNO233" s="173"/>
      <c r="CNP233" s="173"/>
      <c r="CNQ233" s="173"/>
      <c r="CNR233" s="173"/>
      <c r="CNS233" s="173"/>
      <c r="CNT233" s="173"/>
      <c r="CNU233" s="173"/>
      <c r="CNV233" s="173"/>
      <c r="CNW233" s="173"/>
      <c r="CNX233" s="125"/>
      <c r="CNY233" s="125"/>
      <c r="CNZ233" s="134"/>
      <c r="COA233" s="135"/>
      <c r="COB233" s="135"/>
      <c r="COC233" s="135"/>
      <c r="COD233" s="135"/>
      <c r="COE233" s="173"/>
      <c r="COF233" s="173"/>
      <c r="COG233" s="173"/>
      <c r="COH233" s="173"/>
      <c r="COI233" s="173"/>
      <c r="COJ233" s="173"/>
      <c r="COK233" s="173"/>
      <c r="COL233" s="173"/>
      <c r="COM233" s="173"/>
      <c r="CON233" s="173"/>
      <c r="COO233" s="125"/>
      <c r="COP233" s="125"/>
      <c r="COQ233" s="134"/>
      <c r="COR233" s="135"/>
      <c r="COS233" s="135"/>
      <c r="COT233" s="135"/>
      <c r="COU233" s="135"/>
      <c r="COV233" s="173"/>
      <c r="COW233" s="173"/>
      <c r="COX233" s="173"/>
      <c r="COY233" s="173"/>
      <c r="COZ233" s="173"/>
      <c r="CPA233" s="173"/>
      <c r="CPB233" s="173"/>
      <c r="CPC233" s="173"/>
      <c r="CPD233" s="173"/>
      <c r="CPE233" s="173"/>
      <c r="CPF233" s="125"/>
      <c r="CPG233" s="125"/>
      <c r="CPH233" s="134"/>
      <c r="CPI233" s="135"/>
      <c r="CPJ233" s="135"/>
      <c r="CPK233" s="135"/>
      <c r="CPL233" s="135"/>
      <c r="CPM233" s="173"/>
      <c r="CPN233" s="173"/>
      <c r="CPO233" s="173"/>
      <c r="CPP233" s="173"/>
      <c r="CPQ233" s="173"/>
      <c r="CPR233" s="173"/>
      <c r="CPS233" s="173"/>
      <c r="CPT233" s="173"/>
      <c r="CPU233" s="173"/>
      <c r="CPV233" s="173"/>
      <c r="CPW233" s="125"/>
      <c r="CPX233" s="125"/>
      <c r="CPY233" s="134"/>
      <c r="CPZ233" s="135"/>
      <c r="CQA233" s="135"/>
      <c r="CQB233" s="135"/>
      <c r="CQC233" s="135"/>
      <c r="CQD233" s="173"/>
      <c r="CQE233" s="173"/>
      <c r="CQF233" s="173"/>
      <c r="CQG233" s="173"/>
      <c r="CQH233" s="173"/>
      <c r="CQI233" s="173"/>
      <c r="CQJ233" s="173"/>
      <c r="CQK233" s="173"/>
      <c r="CQL233" s="173"/>
      <c r="CQM233" s="173"/>
      <c r="CQN233" s="125"/>
      <c r="CQO233" s="125"/>
      <c r="CQP233" s="134"/>
      <c r="CQQ233" s="135"/>
      <c r="CQR233" s="135"/>
      <c r="CQS233" s="135"/>
      <c r="CQT233" s="135"/>
      <c r="CQU233" s="173"/>
      <c r="CQV233" s="173"/>
      <c r="CQW233" s="173"/>
      <c r="CQX233" s="173"/>
      <c r="CQY233" s="173"/>
      <c r="CQZ233" s="173"/>
      <c r="CRA233" s="173"/>
      <c r="CRB233" s="173"/>
      <c r="CRC233" s="173"/>
      <c r="CRD233" s="173"/>
      <c r="CRE233" s="125"/>
      <c r="CRF233" s="125"/>
      <c r="CRG233" s="134"/>
      <c r="CRH233" s="135"/>
      <c r="CRI233" s="135"/>
      <c r="CRJ233" s="135"/>
      <c r="CRK233" s="135"/>
      <c r="CRL233" s="173"/>
      <c r="CRM233" s="173"/>
      <c r="CRN233" s="173"/>
      <c r="CRO233" s="173"/>
      <c r="CRP233" s="173"/>
      <c r="CRQ233" s="173"/>
      <c r="CRR233" s="173"/>
      <c r="CRS233" s="173"/>
      <c r="CRT233" s="173"/>
      <c r="CRU233" s="173"/>
      <c r="CRV233" s="125"/>
      <c r="CRW233" s="125"/>
      <c r="CRX233" s="134"/>
      <c r="CRY233" s="135"/>
      <c r="CRZ233" s="135"/>
      <c r="CSA233" s="135"/>
      <c r="CSB233" s="135"/>
      <c r="CSC233" s="173"/>
      <c r="CSD233" s="173"/>
      <c r="CSE233" s="173"/>
      <c r="CSF233" s="173"/>
      <c r="CSG233" s="173"/>
      <c r="CSH233" s="173"/>
      <c r="CSI233" s="173"/>
      <c r="CSJ233" s="173"/>
      <c r="CSK233" s="173"/>
      <c r="CSL233" s="173"/>
      <c r="CSM233" s="125"/>
      <c r="CSN233" s="125"/>
      <c r="CSO233" s="134"/>
      <c r="CSP233" s="135"/>
      <c r="CSQ233" s="135"/>
      <c r="CSR233" s="135"/>
      <c r="CSS233" s="135"/>
      <c r="CST233" s="173"/>
      <c r="CSU233" s="173"/>
      <c r="CSV233" s="173"/>
      <c r="CSW233" s="173"/>
      <c r="CSX233" s="173"/>
      <c r="CSY233" s="173"/>
      <c r="CSZ233" s="173"/>
      <c r="CTA233" s="173"/>
      <c r="CTB233" s="173"/>
      <c r="CTC233" s="173"/>
      <c r="CTD233" s="125"/>
      <c r="CTE233" s="125"/>
      <c r="CTF233" s="134"/>
      <c r="CTG233" s="135"/>
      <c r="CTH233" s="135"/>
      <c r="CTI233" s="135"/>
      <c r="CTJ233" s="135"/>
      <c r="CTK233" s="173"/>
      <c r="CTL233" s="173"/>
      <c r="CTM233" s="173"/>
      <c r="CTN233" s="173"/>
      <c r="CTO233" s="173"/>
      <c r="CTP233" s="173"/>
      <c r="CTQ233" s="173"/>
      <c r="CTR233" s="173"/>
      <c r="CTS233" s="173"/>
      <c r="CTT233" s="173"/>
      <c r="CTU233" s="125"/>
      <c r="CTV233" s="125"/>
      <c r="CTW233" s="134"/>
      <c r="CTX233" s="135"/>
      <c r="CTY233" s="135"/>
      <c r="CTZ233" s="135"/>
      <c r="CUA233" s="135"/>
      <c r="CUB233" s="173"/>
      <c r="CUC233" s="173"/>
      <c r="CUD233" s="173"/>
      <c r="CUE233" s="173"/>
      <c r="CUF233" s="173"/>
      <c r="CUG233" s="173"/>
      <c r="CUH233" s="173"/>
      <c r="CUI233" s="173"/>
      <c r="CUJ233" s="173"/>
      <c r="CUK233" s="173"/>
      <c r="CUL233" s="125"/>
      <c r="CUM233" s="125"/>
      <c r="CUN233" s="134"/>
      <c r="CUO233" s="135"/>
      <c r="CUP233" s="135"/>
      <c r="CUQ233" s="135"/>
      <c r="CUR233" s="135"/>
      <c r="CUS233" s="173"/>
      <c r="CUT233" s="173"/>
      <c r="CUU233" s="173"/>
      <c r="CUV233" s="173"/>
      <c r="CUW233" s="173"/>
      <c r="CUX233" s="173"/>
      <c r="CUY233" s="173"/>
      <c r="CUZ233" s="173"/>
      <c r="CVA233" s="173"/>
      <c r="CVB233" s="173"/>
      <c r="CVC233" s="125"/>
      <c r="CVD233" s="125"/>
      <c r="CVE233" s="134"/>
      <c r="CVF233" s="135"/>
      <c r="CVG233" s="135"/>
      <c r="CVH233" s="135"/>
      <c r="CVI233" s="135"/>
      <c r="CVJ233" s="173"/>
      <c r="CVK233" s="173"/>
      <c r="CVL233" s="173"/>
      <c r="CVM233" s="173"/>
      <c r="CVN233" s="173"/>
      <c r="CVO233" s="173"/>
      <c r="CVP233" s="173"/>
      <c r="CVQ233" s="173"/>
      <c r="CVR233" s="173"/>
      <c r="CVS233" s="173"/>
      <c r="CVT233" s="125"/>
      <c r="CVU233" s="125"/>
      <c r="CVV233" s="134"/>
      <c r="CVW233" s="135"/>
      <c r="CVX233" s="135"/>
      <c r="CVY233" s="135"/>
      <c r="CVZ233" s="135"/>
      <c r="CWA233" s="173"/>
      <c r="CWB233" s="173"/>
      <c r="CWC233" s="173"/>
      <c r="CWD233" s="173"/>
      <c r="CWE233" s="173"/>
      <c r="CWF233" s="173"/>
      <c r="CWG233" s="173"/>
      <c r="CWH233" s="173"/>
      <c r="CWI233" s="173"/>
      <c r="CWJ233" s="173"/>
      <c r="CWK233" s="125"/>
      <c r="CWL233" s="125"/>
      <c r="CWM233" s="134"/>
      <c r="CWN233" s="135"/>
      <c r="CWO233" s="135"/>
      <c r="CWP233" s="135"/>
      <c r="CWQ233" s="135"/>
      <c r="CWR233" s="173"/>
      <c r="CWS233" s="173"/>
      <c r="CWT233" s="173"/>
      <c r="CWU233" s="173"/>
      <c r="CWV233" s="173"/>
      <c r="CWW233" s="173"/>
      <c r="CWX233" s="173"/>
      <c r="CWY233" s="173"/>
      <c r="CWZ233" s="173"/>
      <c r="CXA233" s="173"/>
      <c r="CXB233" s="125"/>
      <c r="CXC233" s="125"/>
      <c r="CXD233" s="134"/>
      <c r="CXE233" s="135"/>
      <c r="CXF233" s="135"/>
      <c r="CXG233" s="135"/>
      <c r="CXH233" s="135"/>
      <c r="CXI233" s="173"/>
      <c r="CXJ233" s="173"/>
      <c r="CXK233" s="173"/>
      <c r="CXL233" s="173"/>
      <c r="CXM233" s="173"/>
      <c r="CXN233" s="173"/>
      <c r="CXO233" s="173"/>
      <c r="CXP233" s="173"/>
      <c r="CXQ233" s="173"/>
      <c r="CXR233" s="173"/>
      <c r="CXS233" s="125"/>
      <c r="CXT233" s="125"/>
      <c r="CXU233" s="134"/>
      <c r="CXV233" s="135"/>
      <c r="CXW233" s="135"/>
      <c r="CXX233" s="135"/>
      <c r="CXY233" s="135"/>
      <c r="CXZ233" s="173"/>
      <c r="CYA233" s="173"/>
      <c r="CYB233" s="173"/>
      <c r="CYC233" s="173"/>
      <c r="CYD233" s="173"/>
      <c r="CYE233" s="173"/>
      <c r="CYF233" s="173"/>
      <c r="CYG233" s="173"/>
      <c r="CYH233" s="173"/>
      <c r="CYI233" s="173"/>
      <c r="CYJ233" s="125"/>
      <c r="CYK233" s="125"/>
      <c r="CYL233" s="134"/>
      <c r="CYM233" s="135"/>
      <c r="CYN233" s="135"/>
      <c r="CYO233" s="135"/>
      <c r="CYP233" s="135"/>
      <c r="CYQ233" s="173"/>
      <c r="CYR233" s="173"/>
      <c r="CYS233" s="173"/>
      <c r="CYT233" s="173"/>
      <c r="CYU233" s="173"/>
      <c r="CYV233" s="173"/>
      <c r="CYW233" s="173"/>
      <c r="CYX233" s="173"/>
      <c r="CYY233" s="173"/>
      <c r="CYZ233" s="173"/>
      <c r="CZA233" s="125"/>
      <c r="CZB233" s="125"/>
      <c r="CZC233" s="134"/>
      <c r="CZD233" s="135"/>
      <c r="CZE233" s="135"/>
      <c r="CZF233" s="135"/>
      <c r="CZG233" s="135"/>
      <c r="CZH233" s="173"/>
      <c r="CZI233" s="173"/>
      <c r="CZJ233" s="173"/>
      <c r="CZK233" s="173"/>
      <c r="CZL233" s="173"/>
      <c r="CZM233" s="173"/>
      <c r="CZN233" s="173"/>
      <c r="CZO233" s="173"/>
      <c r="CZP233" s="173"/>
      <c r="CZQ233" s="173"/>
      <c r="CZR233" s="125"/>
      <c r="CZS233" s="125"/>
      <c r="CZT233" s="134"/>
      <c r="CZU233" s="135"/>
      <c r="CZV233" s="135"/>
      <c r="CZW233" s="135"/>
      <c r="CZX233" s="135"/>
      <c r="CZY233" s="173"/>
      <c r="CZZ233" s="173"/>
      <c r="DAA233" s="173"/>
      <c r="DAB233" s="173"/>
      <c r="DAC233" s="173"/>
      <c r="DAD233" s="173"/>
      <c r="DAE233" s="173"/>
      <c r="DAF233" s="173"/>
      <c r="DAG233" s="173"/>
      <c r="DAH233" s="173"/>
      <c r="DAI233" s="125"/>
      <c r="DAJ233" s="125"/>
      <c r="DAK233" s="134"/>
      <c r="DAL233" s="135"/>
      <c r="DAM233" s="135"/>
      <c r="DAN233" s="135"/>
      <c r="DAO233" s="135"/>
      <c r="DAP233" s="173"/>
      <c r="DAQ233" s="173"/>
      <c r="DAR233" s="173"/>
      <c r="DAS233" s="173"/>
      <c r="DAT233" s="173"/>
      <c r="DAU233" s="173"/>
      <c r="DAV233" s="173"/>
      <c r="DAW233" s="173"/>
      <c r="DAX233" s="173"/>
      <c r="DAY233" s="173"/>
      <c r="DAZ233" s="125"/>
      <c r="DBA233" s="125"/>
      <c r="DBB233" s="134"/>
      <c r="DBC233" s="135"/>
      <c r="DBD233" s="135"/>
      <c r="DBE233" s="135"/>
      <c r="DBF233" s="135"/>
      <c r="DBG233" s="173"/>
      <c r="DBH233" s="173"/>
      <c r="DBI233" s="173"/>
      <c r="DBJ233" s="173"/>
      <c r="DBK233" s="173"/>
      <c r="DBL233" s="173"/>
      <c r="DBM233" s="173"/>
      <c r="DBN233" s="173"/>
      <c r="DBO233" s="173"/>
      <c r="DBP233" s="173"/>
      <c r="DBQ233" s="125"/>
      <c r="DBR233" s="125"/>
      <c r="DBS233" s="134"/>
      <c r="DBT233" s="135"/>
      <c r="DBU233" s="135"/>
      <c r="DBV233" s="135"/>
      <c r="DBW233" s="135"/>
      <c r="DBX233" s="173"/>
      <c r="DBY233" s="173"/>
      <c r="DBZ233" s="173"/>
      <c r="DCA233" s="173"/>
      <c r="DCB233" s="173"/>
      <c r="DCC233" s="173"/>
      <c r="DCD233" s="173"/>
      <c r="DCE233" s="173"/>
      <c r="DCF233" s="173"/>
      <c r="DCG233" s="173"/>
      <c r="DCH233" s="125"/>
      <c r="DCI233" s="125"/>
      <c r="DCJ233" s="134"/>
      <c r="DCK233" s="135"/>
      <c r="DCL233" s="135"/>
      <c r="DCM233" s="135"/>
      <c r="DCN233" s="135"/>
      <c r="DCO233" s="173"/>
      <c r="DCP233" s="173"/>
      <c r="DCQ233" s="173"/>
      <c r="DCR233" s="173"/>
      <c r="DCS233" s="173"/>
      <c r="DCT233" s="173"/>
      <c r="DCU233" s="173"/>
      <c r="DCV233" s="173"/>
      <c r="DCW233" s="173"/>
      <c r="DCX233" s="173"/>
      <c r="DCY233" s="125"/>
      <c r="DCZ233" s="125"/>
      <c r="DDA233" s="134"/>
      <c r="DDB233" s="135"/>
      <c r="DDC233" s="135"/>
      <c r="DDD233" s="135"/>
      <c r="DDE233" s="135"/>
      <c r="DDF233" s="173"/>
      <c r="DDG233" s="173"/>
      <c r="DDH233" s="173"/>
      <c r="DDI233" s="173"/>
      <c r="DDJ233" s="173"/>
      <c r="DDK233" s="173"/>
      <c r="DDL233" s="173"/>
      <c r="DDM233" s="173"/>
      <c r="DDN233" s="173"/>
      <c r="DDO233" s="173"/>
      <c r="DDP233" s="125"/>
      <c r="DDQ233" s="125"/>
      <c r="DDR233" s="134"/>
      <c r="DDS233" s="135"/>
      <c r="DDT233" s="135"/>
      <c r="DDU233" s="135"/>
      <c r="DDV233" s="135"/>
      <c r="DDW233" s="173"/>
      <c r="DDX233" s="173"/>
      <c r="DDY233" s="173"/>
      <c r="DDZ233" s="173"/>
      <c r="DEA233" s="173"/>
      <c r="DEB233" s="173"/>
      <c r="DEC233" s="173"/>
      <c r="DED233" s="173"/>
      <c r="DEE233" s="173"/>
      <c r="DEF233" s="173"/>
      <c r="DEG233" s="125"/>
      <c r="DEH233" s="125"/>
      <c r="DEI233" s="134"/>
      <c r="DEJ233" s="135"/>
      <c r="DEK233" s="135"/>
      <c r="DEL233" s="135"/>
      <c r="DEM233" s="135"/>
      <c r="DEN233" s="173"/>
      <c r="DEO233" s="173"/>
      <c r="DEP233" s="173"/>
      <c r="DEQ233" s="173"/>
      <c r="DER233" s="173"/>
      <c r="DES233" s="173"/>
      <c r="DET233" s="173"/>
      <c r="DEU233" s="173"/>
      <c r="DEV233" s="173"/>
      <c r="DEW233" s="173"/>
      <c r="DEX233" s="125"/>
      <c r="DEY233" s="125"/>
      <c r="DEZ233" s="134"/>
      <c r="DFA233" s="135"/>
      <c r="DFB233" s="135"/>
      <c r="DFC233" s="135"/>
      <c r="DFD233" s="135"/>
      <c r="DFE233" s="173"/>
      <c r="DFF233" s="173"/>
      <c r="DFG233" s="173"/>
      <c r="DFH233" s="173"/>
      <c r="DFI233" s="173"/>
      <c r="DFJ233" s="173"/>
      <c r="DFK233" s="173"/>
      <c r="DFL233" s="173"/>
      <c r="DFM233" s="173"/>
      <c r="DFN233" s="173"/>
      <c r="DFO233" s="125"/>
      <c r="DFP233" s="125"/>
      <c r="DFQ233" s="134"/>
      <c r="DFR233" s="135"/>
      <c r="DFS233" s="135"/>
      <c r="DFT233" s="135"/>
      <c r="DFU233" s="135"/>
      <c r="DFV233" s="173"/>
      <c r="DFW233" s="173"/>
      <c r="DFX233" s="173"/>
      <c r="DFY233" s="173"/>
      <c r="DFZ233" s="173"/>
      <c r="DGA233" s="173"/>
      <c r="DGB233" s="173"/>
      <c r="DGC233" s="173"/>
      <c r="DGD233" s="173"/>
      <c r="DGE233" s="173"/>
      <c r="DGF233" s="125"/>
      <c r="DGG233" s="125"/>
      <c r="DGH233" s="134"/>
      <c r="DGI233" s="135"/>
      <c r="DGJ233" s="135"/>
      <c r="DGK233" s="135"/>
      <c r="DGL233" s="135"/>
      <c r="DGM233" s="173"/>
      <c r="DGN233" s="173"/>
      <c r="DGO233" s="173"/>
      <c r="DGP233" s="173"/>
      <c r="DGQ233" s="173"/>
      <c r="DGR233" s="173"/>
      <c r="DGS233" s="173"/>
      <c r="DGT233" s="173"/>
      <c r="DGU233" s="173"/>
      <c r="DGV233" s="173"/>
      <c r="DGW233" s="125"/>
      <c r="DGX233" s="125"/>
      <c r="DGY233" s="134"/>
      <c r="DGZ233" s="135"/>
      <c r="DHA233" s="135"/>
      <c r="DHB233" s="135"/>
      <c r="DHC233" s="135"/>
      <c r="DHD233" s="173"/>
      <c r="DHE233" s="173"/>
      <c r="DHF233" s="173"/>
      <c r="DHG233" s="173"/>
      <c r="DHH233" s="173"/>
      <c r="DHI233" s="173"/>
      <c r="DHJ233" s="173"/>
      <c r="DHK233" s="173"/>
      <c r="DHL233" s="173"/>
      <c r="DHM233" s="173"/>
      <c r="DHN233" s="125"/>
      <c r="DHO233" s="125"/>
      <c r="DHP233" s="134"/>
      <c r="DHQ233" s="135"/>
      <c r="DHR233" s="135"/>
      <c r="DHS233" s="135"/>
      <c r="DHT233" s="135"/>
      <c r="DHU233" s="173"/>
      <c r="DHV233" s="173"/>
      <c r="DHW233" s="173"/>
      <c r="DHX233" s="173"/>
      <c r="DHY233" s="173"/>
      <c r="DHZ233" s="173"/>
      <c r="DIA233" s="173"/>
      <c r="DIB233" s="173"/>
      <c r="DIC233" s="173"/>
      <c r="DID233" s="173"/>
      <c r="DIE233" s="125"/>
      <c r="DIF233" s="125"/>
      <c r="DIG233" s="134"/>
      <c r="DIH233" s="135"/>
      <c r="DII233" s="135"/>
      <c r="DIJ233" s="135"/>
      <c r="DIK233" s="135"/>
      <c r="DIL233" s="173"/>
      <c r="DIM233" s="173"/>
      <c r="DIN233" s="173"/>
      <c r="DIO233" s="173"/>
      <c r="DIP233" s="173"/>
      <c r="DIQ233" s="173"/>
      <c r="DIR233" s="173"/>
      <c r="DIS233" s="173"/>
      <c r="DIT233" s="173"/>
      <c r="DIU233" s="173"/>
      <c r="DIV233" s="125"/>
      <c r="DIW233" s="125"/>
      <c r="DIX233" s="134"/>
      <c r="DIY233" s="135"/>
      <c r="DIZ233" s="135"/>
      <c r="DJA233" s="135"/>
      <c r="DJB233" s="135"/>
      <c r="DJC233" s="173"/>
      <c r="DJD233" s="173"/>
      <c r="DJE233" s="173"/>
      <c r="DJF233" s="173"/>
      <c r="DJG233" s="173"/>
      <c r="DJH233" s="173"/>
      <c r="DJI233" s="173"/>
      <c r="DJJ233" s="173"/>
      <c r="DJK233" s="173"/>
      <c r="DJL233" s="173"/>
      <c r="DJM233" s="125"/>
      <c r="DJN233" s="125"/>
      <c r="DJO233" s="134"/>
      <c r="DJP233" s="135"/>
      <c r="DJQ233" s="135"/>
      <c r="DJR233" s="135"/>
      <c r="DJS233" s="135"/>
      <c r="DJT233" s="173"/>
      <c r="DJU233" s="173"/>
      <c r="DJV233" s="173"/>
      <c r="DJW233" s="173"/>
      <c r="DJX233" s="173"/>
      <c r="DJY233" s="173"/>
      <c r="DJZ233" s="173"/>
      <c r="DKA233" s="173"/>
      <c r="DKB233" s="173"/>
      <c r="DKC233" s="173"/>
      <c r="DKD233" s="125"/>
      <c r="DKE233" s="125"/>
      <c r="DKF233" s="134"/>
      <c r="DKG233" s="135"/>
      <c r="DKH233" s="135"/>
      <c r="DKI233" s="135"/>
      <c r="DKJ233" s="135"/>
      <c r="DKK233" s="173"/>
      <c r="DKL233" s="173"/>
      <c r="DKM233" s="173"/>
      <c r="DKN233" s="173"/>
      <c r="DKO233" s="173"/>
      <c r="DKP233" s="173"/>
      <c r="DKQ233" s="173"/>
      <c r="DKR233" s="173"/>
      <c r="DKS233" s="173"/>
      <c r="DKT233" s="173"/>
      <c r="DKU233" s="125"/>
      <c r="DKV233" s="125"/>
      <c r="DKW233" s="134"/>
      <c r="DKX233" s="135"/>
      <c r="DKY233" s="135"/>
      <c r="DKZ233" s="135"/>
      <c r="DLA233" s="135"/>
      <c r="DLB233" s="173"/>
      <c r="DLC233" s="173"/>
      <c r="DLD233" s="173"/>
      <c r="DLE233" s="173"/>
      <c r="DLF233" s="173"/>
      <c r="DLG233" s="173"/>
      <c r="DLH233" s="173"/>
      <c r="DLI233" s="173"/>
      <c r="DLJ233" s="173"/>
      <c r="DLK233" s="173"/>
      <c r="DLL233" s="125"/>
      <c r="DLM233" s="125"/>
      <c r="DLN233" s="134"/>
      <c r="DLO233" s="135"/>
      <c r="DLP233" s="135"/>
      <c r="DLQ233" s="135"/>
      <c r="DLR233" s="135"/>
      <c r="DLS233" s="173"/>
      <c r="DLT233" s="173"/>
      <c r="DLU233" s="173"/>
      <c r="DLV233" s="173"/>
      <c r="DLW233" s="173"/>
      <c r="DLX233" s="173"/>
      <c r="DLY233" s="173"/>
      <c r="DLZ233" s="173"/>
      <c r="DMA233" s="173"/>
      <c r="DMB233" s="173"/>
      <c r="DMC233" s="125"/>
      <c r="DMD233" s="125"/>
      <c r="DME233" s="134"/>
      <c r="DMF233" s="135"/>
      <c r="DMG233" s="135"/>
      <c r="DMH233" s="135"/>
      <c r="DMI233" s="135"/>
      <c r="DMJ233" s="173"/>
      <c r="DMK233" s="173"/>
      <c r="DML233" s="173"/>
      <c r="DMM233" s="173"/>
      <c r="DMN233" s="173"/>
      <c r="DMO233" s="173"/>
      <c r="DMP233" s="173"/>
      <c r="DMQ233" s="173"/>
      <c r="DMR233" s="173"/>
      <c r="DMS233" s="173"/>
      <c r="DMT233" s="125"/>
      <c r="DMU233" s="125"/>
      <c r="DMV233" s="134"/>
      <c r="DMW233" s="135"/>
      <c r="DMX233" s="135"/>
      <c r="DMY233" s="135"/>
      <c r="DMZ233" s="135"/>
      <c r="DNA233" s="173"/>
      <c r="DNB233" s="173"/>
      <c r="DNC233" s="173"/>
      <c r="DND233" s="173"/>
      <c r="DNE233" s="173"/>
      <c r="DNF233" s="173"/>
      <c r="DNG233" s="173"/>
      <c r="DNH233" s="173"/>
      <c r="DNI233" s="173"/>
      <c r="DNJ233" s="173"/>
      <c r="DNK233" s="125"/>
      <c r="DNL233" s="125"/>
      <c r="DNM233" s="134"/>
      <c r="DNN233" s="135"/>
      <c r="DNO233" s="135"/>
      <c r="DNP233" s="135"/>
      <c r="DNQ233" s="135"/>
      <c r="DNR233" s="173"/>
      <c r="DNS233" s="173"/>
      <c r="DNT233" s="173"/>
      <c r="DNU233" s="173"/>
      <c r="DNV233" s="173"/>
      <c r="DNW233" s="173"/>
      <c r="DNX233" s="173"/>
      <c r="DNY233" s="173"/>
      <c r="DNZ233" s="173"/>
      <c r="DOA233" s="173"/>
      <c r="DOB233" s="125"/>
      <c r="DOC233" s="125"/>
      <c r="DOD233" s="134"/>
      <c r="DOE233" s="135"/>
      <c r="DOF233" s="135"/>
      <c r="DOG233" s="135"/>
      <c r="DOH233" s="135"/>
      <c r="DOI233" s="173"/>
      <c r="DOJ233" s="173"/>
      <c r="DOK233" s="173"/>
      <c r="DOL233" s="173"/>
      <c r="DOM233" s="173"/>
      <c r="DON233" s="173"/>
      <c r="DOO233" s="173"/>
      <c r="DOP233" s="173"/>
      <c r="DOQ233" s="173"/>
      <c r="DOR233" s="173"/>
      <c r="DOS233" s="125"/>
      <c r="DOT233" s="125"/>
      <c r="DOU233" s="134"/>
      <c r="DOV233" s="135"/>
      <c r="DOW233" s="135"/>
      <c r="DOX233" s="135"/>
      <c r="DOY233" s="135"/>
      <c r="DOZ233" s="173"/>
      <c r="DPA233" s="173"/>
      <c r="DPB233" s="173"/>
      <c r="DPC233" s="173"/>
      <c r="DPD233" s="173"/>
      <c r="DPE233" s="173"/>
      <c r="DPF233" s="173"/>
      <c r="DPG233" s="173"/>
      <c r="DPH233" s="173"/>
      <c r="DPI233" s="173"/>
      <c r="DPJ233" s="125"/>
      <c r="DPK233" s="125"/>
      <c r="DPL233" s="134"/>
      <c r="DPM233" s="135"/>
      <c r="DPN233" s="135"/>
      <c r="DPO233" s="135"/>
      <c r="DPP233" s="135"/>
      <c r="DPQ233" s="173"/>
      <c r="DPR233" s="173"/>
      <c r="DPS233" s="173"/>
      <c r="DPT233" s="173"/>
      <c r="DPU233" s="173"/>
      <c r="DPV233" s="173"/>
      <c r="DPW233" s="173"/>
      <c r="DPX233" s="173"/>
      <c r="DPY233" s="173"/>
      <c r="DPZ233" s="173"/>
      <c r="DQA233" s="125"/>
      <c r="DQB233" s="125"/>
      <c r="DQC233" s="134"/>
      <c r="DQD233" s="135"/>
      <c r="DQE233" s="135"/>
      <c r="DQF233" s="135"/>
      <c r="DQG233" s="135"/>
      <c r="DQH233" s="173"/>
      <c r="DQI233" s="173"/>
      <c r="DQJ233" s="173"/>
      <c r="DQK233" s="173"/>
      <c r="DQL233" s="173"/>
      <c r="DQM233" s="173"/>
      <c r="DQN233" s="173"/>
      <c r="DQO233" s="173"/>
      <c r="DQP233" s="173"/>
      <c r="DQQ233" s="173"/>
      <c r="DQR233" s="125"/>
      <c r="DQS233" s="125"/>
      <c r="DQT233" s="134"/>
      <c r="DQU233" s="135"/>
      <c r="DQV233" s="135"/>
      <c r="DQW233" s="135"/>
      <c r="DQX233" s="135"/>
      <c r="DQY233" s="173"/>
      <c r="DQZ233" s="173"/>
      <c r="DRA233" s="173"/>
      <c r="DRB233" s="173"/>
      <c r="DRC233" s="173"/>
      <c r="DRD233" s="173"/>
      <c r="DRE233" s="173"/>
      <c r="DRF233" s="173"/>
      <c r="DRG233" s="173"/>
      <c r="DRH233" s="173"/>
      <c r="DRI233" s="125"/>
      <c r="DRJ233" s="125"/>
      <c r="DRK233" s="134"/>
      <c r="DRL233" s="135"/>
      <c r="DRM233" s="135"/>
      <c r="DRN233" s="135"/>
      <c r="DRO233" s="135"/>
      <c r="DRP233" s="173"/>
      <c r="DRQ233" s="173"/>
      <c r="DRR233" s="173"/>
      <c r="DRS233" s="173"/>
      <c r="DRT233" s="173"/>
      <c r="DRU233" s="173"/>
      <c r="DRV233" s="173"/>
      <c r="DRW233" s="173"/>
      <c r="DRX233" s="173"/>
      <c r="DRY233" s="173"/>
      <c r="DRZ233" s="125"/>
      <c r="DSA233" s="125"/>
      <c r="DSB233" s="134"/>
      <c r="DSC233" s="135"/>
      <c r="DSD233" s="135"/>
      <c r="DSE233" s="135"/>
      <c r="DSF233" s="135"/>
      <c r="DSG233" s="173"/>
      <c r="DSH233" s="173"/>
      <c r="DSI233" s="173"/>
      <c r="DSJ233" s="173"/>
      <c r="DSK233" s="173"/>
      <c r="DSL233" s="173"/>
      <c r="DSM233" s="173"/>
      <c r="DSN233" s="173"/>
      <c r="DSO233" s="173"/>
      <c r="DSP233" s="173"/>
      <c r="DSQ233" s="125"/>
      <c r="DSR233" s="125"/>
      <c r="DSS233" s="134"/>
      <c r="DST233" s="135"/>
      <c r="DSU233" s="135"/>
      <c r="DSV233" s="135"/>
      <c r="DSW233" s="135"/>
      <c r="DSX233" s="173"/>
      <c r="DSY233" s="173"/>
      <c r="DSZ233" s="173"/>
      <c r="DTA233" s="173"/>
      <c r="DTB233" s="173"/>
      <c r="DTC233" s="173"/>
      <c r="DTD233" s="173"/>
      <c r="DTE233" s="173"/>
      <c r="DTF233" s="173"/>
      <c r="DTG233" s="173"/>
      <c r="DTH233" s="125"/>
      <c r="DTI233" s="125"/>
      <c r="DTJ233" s="134"/>
      <c r="DTK233" s="135"/>
      <c r="DTL233" s="135"/>
      <c r="DTM233" s="135"/>
      <c r="DTN233" s="135"/>
      <c r="DTO233" s="173"/>
      <c r="DTP233" s="173"/>
      <c r="DTQ233" s="173"/>
      <c r="DTR233" s="173"/>
      <c r="DTS233" s="173"/>
      <c r="DTT233" s="173"/>
      <c r="DTU233" s="173"/>
      <c r="DTV233" s="173"/>
      <c r="DTW233" s="173"/>
      <c r="DTX233" s="173"/>
      <c r="DTY233" s="125"/>
      <c r="DTZ233" s="125"/>
      <c r="DUA233" s="134"/>
      <c r="DUB233" s="135"/>
      <c r="DUC233" s="135"/>
      <c r="DUD233" s="135"/>
      <c r="DUE233" s="135"/>
      <c r="DUF233" s="173"/>
      <c r="DUG233" s="173"/>
      <c r="DUH233" s="173"/>
      <c r="DUI233" s="173"/>
      <c r="DUJ233" s="173"/>
      <c r="DUK233" s="173"/>
      <c r="DUL233" s="173"/>
      <c r="DUM233" s="173"/>
      <c r="DUN233" s="173"/>
      <c r="DUO233" s="173"/>
      <c r="DUP233" s="125"/>
      <c r="DUQ233" s="125"/>
      <c r="DUR233" s="134"/>
      <c r="DUS233" s="135"/>
      <c r="DUT233" s="135"/>
      <c r="DUU233" s="135"/>
      <c r="DUV233" s="135"/>
      <c r="DUW233" s="173"/>
      <c r="DUX233" s="173"/>
      <c r="DUY233" s="173"/>
      <c r="DUZ233" s="173"/>
      <c r="DVA233" s="173"/>
      <c r="DVB233" s="173"/>
      <c r="DVC233" s="173"/>
      <c r="DVD233" s="173"/>
      <c r="DVE233" s="173"/>
      <c r="DVF233" s="173"/>
      <c r="DVG233" s="125"/>
      <c r="DVH233" s="125"/>
      <c r="DVI233" s="134"/>
      <c r="DVJ233" s="135"/>
      <c r="DVK233" s="135"/>
      <c r="DVL233" s="135"/>
      <c r="DVM233" s="135"/>
      <c r="DVN233" s="173"/>
      <c r="DVO233" s="173"/>
      <c r="DVP233" s="173"/>
      <c r="DVQ233" s="173"/>
      <c r="DVR233" s="173"/>
      <c r="DVS233" s="173"/>
      <c r="DVT233" s="173"/>
      <c r="DVU233" s="173"/>
      <c r="DVV233" s="173"/>
      <c r="DVW233" s="173"/>
      <c r="DVX233" s="125"/>
      <c r="DVY233" s="125"/>
      <c r="DVZ233" s="134"/>
      <c r="DWA233" s="135"/>
      <c r="DWB233" s="135"/>
      <c r="DWC233" s="135"/>
      <c r="DWD233" s="135"/>
      <c r="DWE233" s="173"/>
      <c r="DWF233" s="173"/>
      <c r="DWG233" s="173"/>
      <c r="DWH233" s="173"/>
      <c r="DWI233" s="173"/>
      <c r="DWJ233" s="173"/>
      <c r="DWK233" s="173"/>
      <c r="DWL233" s="173"/>
      <c r="DWM233" s="173"/>
      <c r="DWN233" s="173"/>
      <c r="DWO233" s="125"/>
      <c r="DWP233" s="125"/>
      <c r="DWQ233" s="134"/>
      <c r="DWR233" s="135"/>
      <c r="DWS233" s="135"/>
      <c r="DWT233" s="135"/>
      <c r="DWU233" s="135"/>
      <c r="DWV233" s="173"/>
      <c r="DWW233" s="173"/>
      <c r="DWX233" s="173"/>
      <c r="DWY233" s="173"/>
      <c r="DWZ233" s="173"/>
      <c r="DXA233" s="173"/>
      <c r="DXB233" s="173"/>
      <c r="DXC233" s="173"/>
      <c r="DXD233" s="173"/>
      <c r="DXE233" s="173"/>
      <c r="DXF233" s="125"/>
      <c r="DXG233" s="125"/>
      <c r="DXH233" s="134"/>
      <c r="DXI233" s="135"/>
      <c r="DXJ233" s="135"/>
      <c r="DXK233" s="135"/>
      <c r="DXL233" s="135"/>
      <c r="DXM233" s="173"/>
      <c r="DXN233" s="173"/>
      <c r="DXO233" s="173"/>
      <c r="DXP233" s="173"/>
      <c r="DXQ233" s="173"/>
      <c r="DXR233" s="173"/>
      <c r="DXS233" s="173"/>
      <c r="DXT233" s="173"/>
      <c r="DXU233" s="173"/>
      <c r="DXV233" s="173"/>
      <c r="DXW233" s="125"/>
      <c r="DXX233" s="125"/>
      <c r="DXY233" s="134"/>
      <c r="DXZ233" s="135"/>
      <c r="DYA233" s="135"/>
      <c r="DYB233" s="135"/>
      <c r="DYC233" s="135"/>
      <c r="DYD233" s="173"/>
      <c r="DYE233" s="173"/>
      <c r="DYF233" s="173"/>
      <c r="DYG233" s="173"/>
      <c r="DYH233" s="173"/>
      <c r="DYI233" s="173"/>
      <c r="DYJ233" s="173"/>
      <c r="DYK233" s="173"/>
      <c r="DYL233" s="173"/>
      <c r="DYM233" s="173"/>
      <c r="DYN233" s="125"/>
      <c r="DYO233" s="125"/>
      <c r="DYP233" s="134"/>
      <c r="DYQ233" s="135"/>
      <c r="DYR233" s="135"/>
      <c r="DYS233" s="135"/>
      <c r="DYT233" s="135"/>
      <c r="DYU233" s="173"/>
      <c r="DYV233" s="173"/>
      <c r="DYW233" s="173"/>
      <c r="DYX233" s="173"/>
      <c r="DYY233" s="173"/>
      <c r="DYZ233" s="173"/>
      <c r="DZA233" s="173"/>
      <c r="DZB233" s="173"/>
      <c r="DZC233" s="173"/>
      <c r="DZD233" s="173"/>
      <c r="DZE233" s="125"/>
      <c r="DZF233" s="125"/>
      <c r="DZG233" s="134"/>
      <c r="DZH233" s="135"/>
      <c r="DZI233" s="135"/>
      <c r="DZJ233" s="135"/>
      <c r="DZK233" s="135"/>
      <c r="DZL233" s="173"/>
      <c r="DZM233" s="173"/>
      <c r="DZN233" s="173"/>
      <c r="DZO233" s="173"/>
      <c r="DZP233" s="173"/>
      <c r="DZQ233" s="173"/>
      <c r="DZR233" s="173"/>
      <c r="DZS233" s="173"/>
      <c r="DZT233" s="173"/>
      <c r="DZU233" s="173"/>
      <c r="DZV233" s="125"/>
      <c r="DZW233" s="125"/>
      <c r="DZX233" s="134"/>
      <c r="DZY233" s="135"/>
      <c r="DZZ233" s="135"/>
      <c r="EAA233" s="135"/>
      <c r="EAB233" s="135"/>
      <c r="EAC233" s="173"/>
      <c r="EAD233" s="173"/>
      <c r="EAE233" s="173"/>
      <c r="EAF233" s="173"/>
      <c r="EAG233" s="173"/>
      <c r="EAH233" s="173"/>
      <c r="EAI233" s="173"/>
      <c r="EAJ233" s="173"/>
      <c r="EAK233" s="173"/>
      <c r="EAL233" s="173"/>
      <c r="EAM233" s="125"/>
      <c r="EAN233" s="125"/>
      <c r="EAO233" s="134"/>
      <c r="EAP233" s="135"/>
      <c r="EAQ233" s="135"/>
      <c r="EAR233" s="135"/>
      <c r="EAS233" s="135"/>
      <c r="EAT233" s="173"/>
      <c r="EAU233" s="173"/>
      <c r="EAV233" s="173"/>
      <c r="EAW233" s="173"/>
      <c r="EAX233" s="173"/>
      <c r="EAY233" s="173"/>
      <c r="EAZ233" s="173"/>
      <c r="EBA233" s="173"/>
      <c r="EBB233" s="173"/>
      <c r="EBC233" s="173"/>
      <c r="EBD233" s="125"/>
      <c r="EBE233" s="125"/>
      <c r="EBF233" s="134"/>
      <c r="EBG233" s="135"/>
      <c r="EBH233" s="135"/>
      <c r="EBI233" s="135"/>
      <c r="EBJ233" s="135"/>
      <c r="EBK233" s="173"/>
      <c r="EBL233" s="173"/>
      <c r="EBM233" s="173"/>
      <c r="EBN233" s="173"/>
      <c r="EBO233" s="173"/>
      <c r="EBP233" s="173"/>
      <c r="EBQ233" s="173"/>
      <c r="EBR233" s="173"/>
      <c r="EBS233" s="173"/>
      <c r="EBT233" s="173"/>
      <c r="EBU233" s="125"/>
      <c r="EBV233" s="125"/>
      <c r="EBW233" s="134"/>
      <c r="EBX233" s="135"/>
      <c r="EBY233" s="135"/>
      <c r="EBZ233" s="135"/>
      <c r="ECA233" s="135"/>
      <c r="ECB233" s="173"/>
      <c r="ECC233" s="173"/>
      <c r="ECD233" s="173"/>
      <c r="ECE233" s="173"/>
      <c r="ECF233" s="173"/>
      <c r="ECG233" s="173"/>
      <c r="ECH233" s="173"/>
      <c r="ECI233" s="173"/>
      <c r="ECJ233" s="173"/>
      <c r="ECK233" s="173"/>
      <c r="ECL233" s="125"/>
      <c r="ECM233" s="125"/>
      <c r="ECN233" s="134"/>
      <c r="ECO233" s="135"/>
      <c r="ECP233" s="135"/>
      <c r="ECQ233" s="135"/>
      <c r="ECR233" s="135"/>
      <c r="ECS233" s="173"/>
      <c r="ECT233" s="173"/>
      <c r="ECU233" s="173"/>
      <c r="ECV233" s="173"/>
      <c r="ECW233" s="173"/>
      <c r="ECX233" s="173"/>
      <c r="ECY233" s="173"/>
      <c r="ECZ233" s="173"/>
      <c r="EDA233" s="173"/>
      <c r="EDB233" s="173"/>
      <c r="EDC233" s="125"/>
      <c r="EDD233" s="125"/>
      <c r="EDE233" s="134"/>
      <c r="EDF233" s="135"/>
      <c r="EDG233" s="135"/>
      <c r="EDH233" s="135"/>
      <c r="EDI233" s="135"/>
      <c r="EDJ233" s="173"/>
      <c r="EDK233" s="173"/>
      <c r="EDL233" s="173"/>
      <c r="EDM233" s="173"/>
      <c r="EDN233" s="173"/>
      <c r="EDO233" s="173"/>
      <c r="EDP233" s="173"/>
      <c r="EDQ233" s="173"/>
      <c r="EDR233" s="173"/>
      <c r="EDS233" s="173"/>
      <c r="EDT233" s="125"/>
      <c r="EDU233" s="125"/>
      <c r="EDV233" s="134"/>
      <c r="EDW233" s="135"/>
      <c r="EDX233" s="135"/>
      <c r="EDY233" s="135"/>
      <c r="EDZ233" s="135"/>
      <c r="EEA233" s="173"/>
      <c r="EEB233" s="173"/>
      <c r="EEC233" s="173"/>
      <c r="EED233" s="173"/>
      <c r="EEE233" s="173"/>
      <c r="EEF233" s="173"/>
      <c r="EEG233" s="173"/>
      <c r="EEH233" s="173"/>
      <c r="EEI233" s="173"/>
      <c r="EEJ233" s="173"/>
      <c r="EEK233" s="125"/>
      <c r="EEL233" s="125"/>
      <c r="EEM233" s="134"/>
      <c r="EEN233" s="135"/>
      <c r="EEO233" s="135"/>
      <c r="EEP233" s="135"/>
      <c r="EEQ233" s="135"/>
      <c r="EER233" s="173"/>
      <c r="EES233" s="173"/>
      <c r="EET233" s="173"/>
      <c r="EEU233" s="173"/>
      <c r="EEV233" s="173"/>
      <c r="EEW233" s="173"/>
      <c r="EEX233" s="173"/>
      <c r="EEY233" s="173"/>
      <c r="EEZ233" s="173"/>
      <c r="EFA233" s="173"/>
      <c r="EFB233" s="125"/>
      <c r="EFC233" s="125"/>
      <c r="EFD233" s="134"/>
      <c r="EFE233" s="135"/>
      <c r="EFF233" s="135"/>
      <c r="EFG233" s="135"/>
      <c r="EFH233" s="135"/>
      <c r="EFI233" s="173"/>
      <c r="EFJ233" s="173"/>
      <c r="EFK233" s="173"/>
      <c r="EFL233" s="173"/>
      <c r="EFM233" s="173"/>
      <c r="EFN233" s="173"/>
      <c r="EFO233" s="173"/>
      <c r="EFP233" s="173"/>
      <c r="EFQ233" s="173"/>
      <c r="EFR233" s="173"/>
      <c r="EFS233" s="125"/>
      <c r="EFT233" s="125"/>
      <c r="EFU233" s="134"/>
      <c r="EFV233" s="135"/>
      <c r="EFW233" s="135"/>
      <c r="EFX233" s="135"/>
      <c r="EFY233" s="135"/>
      <c r="EFZ233" s="173"/>
      <c r="EGA233" s="173"/>
      <c r="EGB233" s="173"/>
      <c r="EGC233" s="173"/>
      <c r="EGD233" s="173"/>
      <c r="EGE233" s="173"/>
      <c r="EGF233" s="173"/>
      <c r="EGG233" s="173"/>
      <c r="EGH233" s="173"/>
      <c r="EGI233" s="173"/>
      <c r="EGJ233" s="125"/>
      <c r="EGK233" s="125"/>
      <c r="EGL233" s="134"/>
      <c r="EGM233" s="135"/>
      <c r="EGN233" s="135"/>
      <c r="EGO233" s="135"/>
      <c r="EGP233" s="135"/>
      <c r="EGQ233" s="173"/>
      <c r="EGR233" s="173"/>
      <c r="EGS233" s="173"/>
      <c r="EGT233" s="173"/>
      <c r="EGU233" s="173"/>
      <c r="EGV233" s="173"/>
      <c r="EGW233" s="173"/>
      <c r="EGX233" s="173"/>
      <c r="EGY233" s="173"/>
      <c r="EGZ233" s="173"/>
      <c r="EHA233" s="125"/>
      <c r="EHB233" s="125"/>
      <c r="EHC233" s="134"/>
      <c r="EHD233" s="135"/>
      <c r="EHE233" s="135"/>
      <c r="EHF233" s="135"/>
      <c r="EHG233" s="135"/>
      <c r="EHH233" s="173"/>
      <c r="EHI233" s="173"/>
      <c r="EHJ233" s="173"/>
      <c r="EHK233" s="173"/>
      <c r="EHL233" s="173"/>
      <c r="EHM233" s="173"/>
      <c r="EHN233" s="173"/>
      <c r="EHO233" s="173"/>
      <c r="EHP233" s="173"/>
      <c r="EHQ233" s="173"/>
      <c r="EHR233" s="125"/>
      <c r="EHS233" s="125"/>
      <c r="EHT233" s="134"/>
      <c r="EHU233" s="135"/>
      <c r="EHV233" s="135"/>
      <c r="EHW233" s="135"/>
      <c r="EHX233" s="135"/>
      <c r="EHY233" s="173"/>
      <c r="EHZ233" s="173"/>
      <c r="EIA233" s="173"/>
      <c r="EIB233" s="173"/>
      <c r="EIC233" s="173"/>
      <c r="EID233" s="173"/>
      <c r="EIE233" s="173"/>
      <c r="EIF233" s="173"/>
      <c r="EIG233" s="173"/>
      <c r="EIH233" s="173"/>
      <c r="EII233" s="125"/>
      <c r="EIJ233" s="125"/>
      <c r="EIK233" s="134"/>
      <c r="EIL233" s="135"/>
      <c r="EIM233" s="135"/>
      <c r="EIN233" s="135"/>
      <c r="EIO233" s="135"/>
      <c r="EIP233" s="173"/>
      <c r="EIQ233" s="173"/>
      <c r="EIR233" s="173"/>
      <c r="EIS233" s="173"/>
      <c r="EIT233" s="173"/>
      <c r="EIU233" s="173"/>
      <c r="EIV233" s="173"/>
      <c r="EIW233" s="173"/>
      <c r="EIX233" s="173"/>
      <c r="EIY233" s="173"/>
      <c r="EIZ233" s="125"/>
      <c r="EJA233" s="125"/>
      <c r="EJB233" s="134"/>
      <c r="EJC233" s="135"/>
      <c r="EJD233" s="135"/>
      <c r="EJE233" s="135"/>
      <c r="EJF233" s="135"/>
      <c r="EJG233" s="173"/>
      <c r="EJH233" s="173"/>
      <c r="EJI233" s="173"/>
      <c r="EJJ233" s="173"/>
      <c r="EJK233" s="173"/>
      <c r="EJL233" s="173"/>
      <c r="EJM233" s="173"/>
      <c r="EJN233" s="173"/>
      <c r="EJO233" s="173"/>
      <c r="EJP233" s="173"/>
      <c r="EJQ233" s="125"/>
      <c r="EJR233" s="125"/>
      <c r="EJS233" s="134"/>
      <c r="EJT233" s="135"/>
      <c r="EJU233" s="135"/>
      <c r="EJV233" s="135"/>
      <c r="EJW233" s="135"/>
      <c r="EJX233" s="173"/>
      <c r="EJY233" s="173"/>
      <c r="EJZ233" s="173"/>
      <c r="EKA233" s="173"/>
      <c r="EKB233" s="173"/>
      <c r="EKC233" s="173"/>
      <c r="EKD233" s="173"/>
      <c r="EKE233" s="173"/>
      <c r="EKF233" s="173"/>
      <c r="EKG233" s="173"/>
      <c r="EKH233" s="125"/>
      <c r="EKI233" s="125"/>
      <c r="EKJ233" s="134"/>
      <c r="EKK233" s="135"/>
      <c r="EKL233" s="135"/>
      <c r="EKM233" s="135"/>
      <c r="EKN233" s="135"/>
      <c r="EKO233" s="173"/>
      <c r="EKP233" s="173"/>
      <c r="EKQ233" s="173"/>
      <c r="EKR233" s="173"/>
      <c r="EKS233" s="173"/>
      <c r="EKT233" s="173"/>
      <c r="EKU233" s="173"/>
      <c r="EKV233" s="173"/>
      <c r="EKW233" s="173"/>
      <c r="EKX233" s="173"/>
      <c r="EKY233" s="125"/>
      <c r="EKZ233" s="125"/>
      <c r="ELA233" s="134"/>
      <c r="ELB233" s="135"/>
      <c r="ELC233" s="135"/>
      <c r="ELD233" s="135"/>
      <c r="ELE233" s="135"/>
      <c r="ELF233" s="173"/>
      <c r="ELG233" s="173"/>
      <c r="ELH233" s="173"/>
      <c r="ELI233" s="173"/>
      <c r="ELJ233" s="173"/>
      <c r="ELK233" s="173"/>
      <c r="ELL233" s="173"/>
      <c r="ELM233" s="173"/>
      <c r="ELN233" s="173"/>
      <c r="ELO233" s="173"/>
      <c r="ELP233" s="125"/>
      <c r="ELQ233" s="125"/>
      <c r="ELR233" s="134"/>
      <c r="ELS233" s="135"/>
      <c r="ELT233" s="135"/>
      <c r="ELU233" s="135"/>
      <c r="ELV233" s="135"/>
      <c r="ELW233" s="173"/>
      <c r="ELX233" s="173"/>
      <c r="ELY233" s="173"/>
      <c r="ELZ233" s="173"/>
      <c r="EMA233" s="173"/>
      <c r="EMB233" s="173"/>
      <c r="EMC233" s="173"/>
      <c r="EMD233" s="173"/>
      <c r="EME233" s="173"/>
      <c r="EMF233" s="173"/>
      <c r="EMG233" s="125"/>
      <c r="EMH233" s="125"/>
      <c r="EMI233" s="134"/>
      <c r="EMJ233" s="135"/>
      <c r="EMK233" s="135"/>
      <c r="EML233" s="135"/>
      <c r="EMM233" s="135"/>
      <c r="EMN233" s="173"/>
      <c r="EMO233" s="173"/>
      <c r="EMP233" s="173"/>
      <c r="EMQ233" s="173"/>
      <c r="EMR233" s="173"/>
      <c r="EMS233" s="173"/>
      <c r="EMT233" s="173"/>
      <c r="EMU233" s="173"/>
      <c r="EMV233" s="173"/>
      <c r="EMW233" s="173"/>
      <c r="EMX233" s="125"/>
      <c r="EMY233" s="125"/>
      <c r="EMZ233" s="134"/>
      <c r="ENA233" s="135"/>
      <c r="ENB233" s="135"/>
      <c r="ENC233" s="135"/>
      <c r="END233" s="135"/>
      <c r="ENE233" s="173"/>
      <c r="ENF233" s="173"/>
      <c r="ENG233" s="173"/>
      <c r="ENH233" s="173"/>
      <c r="ENI233" s="173"/>
      <c r="ENJ233" s="173"/>
      <c r="ENK233" s="173"/>
      <c r="ENL233" s="173"/>
      <c r="ENM233" s="173"/>
      <c r="ENN233" s="173"/>
      <c r="ENO233" s="125"/>
      <c r="ENP233" s="125"/>
      <c r="ENQ233" s="134"/>
      <c r="ENR233" s="135"/>
      <c r="ENS233" s="135"/>
      <c r="ENT233" s="135"/>
      <c r="ENU233" s="135"/>
      <c r="ENV233" s="173"/>
      <c r="ENW233" s="173"/>
      <c r="ENX233" s="173"/>
      <c r="ENY233" s="173"/>
      <c r="ENZ233" s="173"/>
      <c r="EOA233" s="173"/>
      <c r="EOB233" s="173"/>
      <c r="EOC233" s="173"/>
      <c r="EOD233" s="173"/>
      <c r="EOE233" s="173"/>
      <c r="EOF233" s="125"/>
      <c r="EOG233" s="125"/>
      <c r="EOH233" s="134"/>
      <c r="EOI233" s="135"/>
      <c r="EOJ233" s="135"/>
      <c r="EOK233" s="135"/>
      <c r="EOL233" s="135"/>
      <c r="EOM233" s="173"/>
      <c r="EON233" s="173"/>
      <c r="EOO233" s="173"/>
      <c r="EOP233" s="173"/>
      <c r="EOQ233" s="173"/>
      <c r="EOR233" s="173"/>
      <c r="EOS233" s="173"/>
      <c r="EOT233" s="173"/>
      <c r="EOU233" s="173"/>
      <c r="EOV233" s="173"/>
      <c r="EOW233" s="125"/>
      <c r="EOX233" s="125"/>
      <c r="EOY233" s="134"/>
      <c r="EOZ233" s="135"/>
      <c r="EPA233" s="135"/>
      <c r="EPB233" s="135"/>
      <c r="EPC233" s="135"/>
      <c r="EPD233" s="173"/>
      <c r="EPE233" s="173"/>
      <c r="EPF233" s="173"/>
      <c r="EPG233" s="173"/>
      <c r="EPH233" s="173"/>
      <c r="EPI233" s="173"/>
      <c r="EPJ233" s="173"/>
      <c r="EPK233" s="173"/>
      <c r="EPL233" s="173"/>
      <c r="EPM233" s="173"/>
      <c r="EPN233" s="125"/>
      <c r="EPO233" s="125"/>
      <c r="EPP233" s="134"/>
      <c r="EPQ233" s="135"/>
      <c r="EPR233" s="135"/>
      <c r="EPS233" s="135"/>
      <c r="EPT233" s="135"/>
      <c r="EPU233" s="173"/>
      <c r="EPV233" s="173"/>
      <c r="EPW233" s="173"/>
      <c r="EPX233" s="173"/>
      <c r="EPY233" s="173"/>
      <c r="EPZ233" s="173"/>
      <c r="EQA233" s="173"/>
      <c r="EQB233" s="173"/>
      <c r="EQC233" s="173"/>
      <c r="EQD233" s="173"/>
      <c r="EQE233" s="125"/>
      <c r="EQF233" s="125"/>
      <c r="EQG233" s="134"/>
      <c r="EQH233" s="135"/>
      <c r="EQI233" s="135"/>
      <c r="EQJ233" s="135"/>
      <c r="EQK233" s="135"/>
      <c r="EQL233" s="173"/>
      <c r="EQM233" s="173"/>
      <c r="EQN233" s="173"/>
      <c r="EQO233" s="173"/>
      <c r="EQP233" s="173"/>
      <c r="EQQ233" s="173"/>
      <c r="EQR233" s="173"/>
      <c r="EQS233" s="173"/>
      <c r="EQT233" s="173"/>
      <c r="EQU233" s="173"/>
      <c r="EQV233" s="125"/>
      <c r="EQW233" s="125"/>
      <c r="EQX233" s="134"/>
      <c r="EQY233" s="135"/>
      <c r="EQZ233" s="135"/>
      <c r="ERA233" s="135"/>
      <c r="ERB233" s="135"/>
      <c r="ERC233" s="173"/>
      <c r="ERD233" s="173"/>
      <c r="ERE233" s="173"/>
      <c r="ERF233" s="173"/>
      <c r="ERG233" s="173"/>
      <c r="ERH233" s="173"/>
      <c r="ERI233" s="173"/>
      <c r="ERJ233" s="173"/>
      <c r="ERK233" s="173"/>
      <c r="ERL233" s="173"/>
      <c r="ERM233" s="125"/>
      <c r="ERN233" s="125"/>
      <c r="ERO233" s="134"/>
      <c r="ERP233" s="135"/>
      <c r="ERQ233" s="135"/>
      <c r="ERR233" s="135"/>
      <c r="ERS233" s="135"/>
      <c r="ERT233" s="173"/>
      <c r="ERU233" s="173"/>
      <c r="ERV233" s="173"/>
      <c r="ERW233" s="173"/>
      <c r="ERX233" s="173"/>
      <c r="ERY233" s="173"/>
      <c r="ERZ233" s="173"/>
      <c r="ESA233" s="173"/>
      <c r="ESB233" s="173"/>
      <c r="ESC233" s="173"/>
      <c r="ESD233" s="125"/>
      <c r="ESE233" s="125"/>
      <c r="ESF233" s="134"/>
      <c r="ESG233" s="135"/>
      <c r="ESH233" s="135"/>
      <c r="ESI233" s="135"/>
      <c r="ESJ233" s="135"/>
      <c r="ESK233" s="173"/>
      <c r="ESL233" s="173"/>
      <c r="ESM233" s="173"/>
      <c r="ESN233" s="173"/>
      <c r="ESO233" s="173"/>
      <c r="ESP233" s="173"/>
      <c r="ESQ233" s="173"/>
      <c r="ESR233" s="173"/>
      <c r="ESS233" s="173"/>
      <c r="EST233" s="173"/>
      <c r="ESU233" s="125"/>
      <c r="ESV233" s="125"/>
      <c r="ESW233" s="134"/>
      <c r="ESX233" s="135"/>
      <c r="ESY233" s="135"/>
      <c r="ESZ233" s="135"/>
      <c r="ETA233" s="135"/>
      <c r="ETB233" s="173"/>
      <c r="ETC233" s="173"/>
      <c r="ETD233" s="173"/>
      <c r="ETE233" s="173"/>
      <c r="ETF233" s="173"/>
      <c r="ETG233" s="173"/>
      <c r="ETH233" s="173"/>
      <c r="ETI233" s="173"/>
      <c r="ETJ233" s="173"/>
      <c r="ETK233" s="173"/>
      <c r="ETL233" s="125"/>
      <c r="ETM233" s="125"/>
      <c r="ETN233" s="134"/>
      <c r="ETO233" s="135"/>
      <c r="ETP233" s="135"/>
      <c r="ETQ233" s="135"/>
      <c r="ETR233" s="135"/>
      <c r="ETS233" s="173"/>
      <c r="ETT233" s="173"/>
      <c r="ETU233" s="173"/>
      <c r="ETV233" s="173"/>
      <c r="ETW233" s="173"/>
      <c r="ETX233" s="173"/>
      <c r="ETY233" s="173"/>
      <c r="ETZ233" s="173"/>
      <c r="EUA233" s="173"/>
      <c r="EUB233" s="173"/>
      <c r="EUC233" s="125"/>
      <c r="EUD233" s="125"/>
      <c r="EUE233" s="134"/>
      <c r="EUF233" s="135"/>
      <c r="EUG233" s="135"/>
      <c r="EUH233" s="135"/>
      <c r="EUI233" s="135"/>
      <c r="EUJ233" s="173"/>
      <c r="EUK233" s="173"/>
      <c r="EUL233" s="173"/>
      <c r="EUM233" s="173"/>
      <c r="EUN233" s="173"/>
      <c r="EUO233" s="173"/>
      <c r="EUP233" s="173"/>
      <c r="EUQ233" s="173"/>
      <c r="EUR233" s="173"/>
      <c r="EUS233" s="173"/>
      <c r="EUT233" s="125"/>
      <c r="EUU233" s="125"/>
      <c r="EUV233" s="134"/>
      <c r="EUW233" s="135"/>
      <c r="EUX233" s="135"/>
      <c r="EUY233" s="135"/>
      <c r="EUZ233" s="135"/>
      <c r="EVA233" s="173"/>
      <c r="EVB233" s="173"/>
      <c r="EVC233" s="173"/>
      <c r="EVD233" s="173"/>
      <c r="EVE233" s="173"/>
      <c r="EVF233" s="173"/>
      <c r="EVG233" s="173"/>
      <c r="EVH233" s="173"/>
      <c r="EVI233" s="173"/>
      <c r="EVJ233" s="173"/>
      <c r="EVK233" s="125"/>
      <c r="EVL233" s="125"/>
      <c r="EVM233" s="134"/>
      <c r="EVN233" s="135"/>
      <c r="EVO233" s="135"/>
      <c r="EVP233" s="135"/>
      <c r="EVQ233" s="135"/>
      <c r="EVR233" s="173"/>
      <c r="EVS233" s="173"/>
      <c r="EVT233" s="173"/>
      <c r="EVU233" s="173"/>
      <c r="EVV233" s="173"/>
      <c r="EVW233" s="173"/>
      <c r="EVX233" s="173"/>
      <c r="EVY233" s="173"/>
      <c r="EVZ233" s="173"/>
      <c r="EWA233" s="173"/>
      <c r="EWB233" s="125"/>
      <c r="EWC233" s="125"/>
      <c r="EWD233" s="134"/>
      <c r="EWE233" s="135"/>
      <c r="EWF233" s="135"/>
      <c r="EWG233" s="135"/>
      <c r="EWH233" s="135"/>
      <c r="EWI233" s="173"/>
      <c r="EWJ233" s="173"/>
      <c r="EWK233" s="173"/>
      <c r="EWL233" s="173"/>
      <c r="EWM233" s="173"/>
      <c r="EWN233" s="173"/>
      <c r="EWO233" s="173"/>
      <c r="EWP233" s="173"/>
      <c r="EWQ233" s="173"/>
      <c r="EWR233" s="173"/>
      <c r="EWS233" s="125"/>
      <c r="EWT233" s="125"/>
      <c r="EWU233" s="134"/>
      <c r="EWV233" s="135"/>
      <c r="EWW233" s="135"/>
      <c r="EWX233" s="135"/>
      <c r="EWY233" s="135"/>
      <c r="EWZ233" s="173"/>
      <c r="EXA233" s="173"/>
      <c r="EXB233" s="173"/>
      <c r="EXC233" s="173"/>
      <c r="EXD233" s="173"/>
      <c r="EXE233" s="173"/>
      <c r="EXF233" s="173"/>
      <c r="EXG233" s="173"/>
      <c r="EXH233" s="173"/>
      <c r="EXI233" s="173"/>
      <c r="EXJ233" s="125"/>
      <c r="EXK233" s="125"/>
      <c r="EXL233" s="134"/>
      <c r="EXM233" s="135"/>
      <c r="EXN233" s="135"/>
      <c r="EXO233" s="135"/>
      <c r="EXP233" s="135"/>
      <c r="EXQ233" s="173"/>
      <c r="EXR233" s="173"/>
      <c r="EXS233" s="173"/>
      <c r="EXT233" s="173"/>
      <c r="EXU233" s="173"/>
      <c r="EXV233" s="173"/>
      <c r="EXW233" s="173"/>
      <c r="EXX233" s="173"/>
      <c r="EXY233" s="173"/>
      <c r="EXZ233" s="173"/>
      <c r="EYA233" s="125"/>
      <c r="EYB233" s="125"/>
      <c r="EYC233" s="134"/>
      <c r="EYD233" s="135"/>
      <c r="EYE233" s="135"/>
      <c r="EYF233" s="135"/>
      <c r="EYG233" s="135"/>
      <c r="EYH233" s="173"/>
      <c r="EYI233" s="173"/>
      <c r="EYJ233" s="173"/>
      <c r="EYK233" s="173"/>
      <c r="EYL233" s="173"/>
      <c r="EYM233" s="173"/>
      <c r="EYN233" s="173"/>
      <c r="EYO233" s="173"/>
      <c r="EYP233" s="173"/>
      <c r="EYQ233" s="173"/>
      <c r="EYR233" s="125"/>
      <c r="EYS233" s="125"/>
      <c r="EYT233" s="134"/>
      <c r="EYU233" s="135"/>
      <c r="EYV233" s="135"/>
      <c r="EYW233" s="135"/>
      <c r="EYX233" s="135"/>
      <c r="EYY233" s="173"/>
      <c r="EYZ233" s="173"/>
      <c r="EZA233" s="173"/>
      <c r="EZB233" s="173"/>
      <c r="EZC233" s="173"/>
      <c r="EZD233" s="173"/>
      <c r="EZE233" s="173"/>
      <c r="EZF233" s="173"/>
      <c r="EZG233" s="173"/>
      <c r="EZH233" s="173"/>
      <c r="EZI233" s="125"/>
      <c r="EZJ233" s="125"/>
      <c r="EZK233" s="134"/>
      <c r="EZL233" s="135"/>
      <c r="EZM233" s="135"/>
      <c r="EZN233" s="135"/>
      <c r="EZO233" s="135"/>
      <c r="EZP233" s="173"/>
      <c r="EZQ233" s="173"/>
      <c r="EZR233" s="173"/>
      <c r="EZS233" s="173"/>
      <c r="EZT233" s="173"/>
      <c r="EZU233" s="173"/>
      <c r="EZV233" s="173"/>
      <c r="EZW233" s="173"/>
      <c r="EZX233" s="173"/>
      <c r="EZY233" s="173"/>
      <c r="EZZ233" s="125"/>
      <c r="FAA233" s="125"/>
      <c r="FAB233" s="134"/>
      <c r="FAC233" s="135"/>
      <c r="FAD233" s="135"/>
      <c r="FAE233" s="135"/>
      <c r="FAF233" s="135"/>
      <c r="FAG233" s="173"/>
      <c r="FAH233" s="173"/>
      <c r="FAI233" s="173"/>
      <c r="FAJ233" s="173"/>
      <c r="FAK233" s="173"/>
      <c r="FAL233" s="173"/>
      <c r="FAM233" s="173"/>
      <c r="FAN233" s="173"/>
      <c r="FAO233" s="173"/>
      <c r="FAP233" s="173"/>
      <c r="FAQ233" s="125"/>
      <c r="FAR233" s="125"/>
      <c r="FAS233" s="134"/>
      <c r="FAT233" s="135"/>
      <c r="FAU233" s="135"/>
      <c r="FAV233" s="135"/>
      <c r="FAW233" s="135"/>
      <c r="FAX233" s="173"/>
      <c r="FAY233" s="173"/>
      <c r="FAZ233" s="173"/>
      <c r="FBA233" s="173"/>
      <c r="FBB233" s="173"/>
      <c r="FBC233" s="173"/>
      <c r="FBD233" s="173"/>
      <c r="FBE233" s="173"/>
      <c r="FBF233" s="173"/>
      <c r="FBG233" s="173"/>
      <c r="FBH233" s="125"/>
      <c r="FBI233" s="125"/>
      <c r="FBJ233" s="134"/>
      <c r="FBK233" s="135"/>
      <c r="FBL233" s="135"/>
      <c r="FBM233" s="135"/>
      <c r="FBN233" s="135"/>
      <c r="FBO233" s="173"/>
      <c r="FBP233" s="173"/>
      <c r="FBQ233" s="173"/>
      <c r="FBR233" s="173"/>
      <c r="FBS233" s="173"/>
      <c r="FBT233" s="173"/>
      <c r="FBU233" s="173"/>
      <c r="FBV233" s="173"/>
      <c r="FBW233" s="173"/>
      <c r="FBX233" s="173"/>
      <c r="FBY233" s="125"/>
      <c r="FBZ233" s="125"/>
      <c r="FCA233" s="134"/>
      <c r="FCB233" s="135"/>
      <c r="FCC233" s="135"/>
      <c r="FCD233" s="135"/>
      <c r="FCE233" s="135"/>
      <c r="FCF233" s="173"/>
      <c r="FCG233" s="173"/>
      <c r="FCH233" s="173"/>
      <c r="FCI233" s="173"/>
      <c r="FCJ233" s="173"/>
      <c r="FCK233" s="173"/>
      <c r="FCL233" s="173"/>
      <c r="FCM233" s="173"/>
      <c r="FCN233" s="173"/>
      <c r="FCO233" s="173"/>
      <c r="FCP233" s="125"/>
      <c r="FCQ233" s="125"/>
      <c r="FCR233" s="134"/>
      <c r="FCS233" s="135"/>
      <c r="FCT233" s="135"/>
      <c r="FCU233" s="135"/>
      <c r="FCV233" s="135"/>
      <c r="FCW233" s="173"/>
      <c r="FCX233" s="173"/>
      <c r="FCY233" s="173"/>
      <c r="FCZ233" s="173"/>
      <c r="FDA233" s="173"/>
      <c r="FDB233" s="173"/>
      <c r="FDC233" s="173"/>
      <c r="FDD233" s="173"/>
      <c r="FDE233" s="173"/>
      <c r="FDF233" s="173"/>
      <c r="FDG233" s="125"/>
      <c r="FDH233" s="125"/>
      <c r="FDI233" s="134"/>
      <c r="FDJ233" s="135"/>
      <c r="FDK233" s="135"/>
      <c r="FDL233" s="135"/>
      <c r="FDM233" s="135"/>
      <c r="FDN233" s="173"/>
      <c r="FDO233" s="173"/>
      <c r="FDP233" s="173"/>
      <c r="FDQ233" s="173"/>
      <c r="FDR233" s="173"/>
      <c r="FDS233" s="173"/>
      <c r="FDT233" s="173"/>
      <c r="FDU233" s="173"/>
      <c r="FDV233" s="173"/>
      <c r="FDW233" s="173"/>
      <c r="FDX233" s="125"/>
      <c r="FDY233" s="125"/>
      <c r="FDZ233" s="134"/>
      <c r="FEA233" s="135"/>
      <c r="FEB233" s="135"/>
      <c r="FEC233" s="135"/>
      <c r="FED233" s="135"/>
      <c r="FEE233" s="173"/>
      <c r="FEF233" s="173"/>
      <c r="FEG233" s="173"/>
      <c r="FEH233" s="173"/>
      <c r="FEI233" s="173"/>
      <c r="FEJ233" s="173"/>
      <c r="FEK233" s="173"/>
      <c r="FEL233" s="173"/>
      <c r="FEM233" s="173"/>
      <c r="FEN233" s="173"/>
      <c r="FEO233" s="125"/>
      <c r="FEP233" s="125"/>
      <c r="FEQ233" s="134"/>
      <c r="FER233" s="135"/>
      <c r="FES233" s="135"/>
      <c r="FET233" s="135"/>
      <c r="FEU233" s="135"/>
      <c r="FEV233" s="173"/>
      <c r="FEW233" s="173"/>
      <c r="FEX233" s="173"/>
      <c r="FEY233" s="173"/>
      <c r="FEZ233" s="173"/>
      <c r="FFA233" s="173"/>
      <c r="FFB233" s="173"/>
      <c r="FFC233" s="173"/>
      <c r="FFD233" s="173"/>
      <c r="FFE233" s="173"/>
      <c r="FFF233" s="125"/>
      <c r="FFG233" s="125"/>
      <c r="FFH233" s="134"/>
      <c r="FFI233" s="135"/>
      <c r="FFJ233" s="135"/>
      <c r="FFK233" s="135"/>
      <c r="FFL233" s="135"/>
      <c r="FFM233" s="173"/>
      <c r="FFN233" s="173"/>
      <c r="FFO233" s="173"/>
      <c r="FFP233" s="173"/>
      <c r="FFQ233" s="173"/>
      <c r="FFR233" s="173"/>
      <c r="FFS233" s="173"/>
      <c r="FFT233" s="173"/>
      <c r="FFU233" s="173"/>
      <c r="FFV233" s="173"/>
      <c r="FFW233" s="125"/>
      <c r="FFX233" s="125"/>
      <c r="FFY233" s="134"/>
      <c r="FFZ233" s="135"/>
      <c r="FGA233" s="135"/>
      <c r="FGB233" s="135"/>
      <c r="FGC233" s="135"/>
      <c r="FGD233" s="173"/>
      <c r="FGE233" s="173"/>
      <c r="FGF233" s="173"/>
      <c r="FGG233" s="173"/>
      <c r="FGH233" s="173"/>
      <c r="FGI233" s="173"/>
      <c r="FGJ233" s="173"/>
      <c r="FGK233" s="173"/>
      <c r="FGL233" s="173"/>
      <c r="FGM233" s="173"/>
      <c r="FGN233" s="125"/>
      <c r="FGO233" s="125"/>
      <c r="FGP233" s="134"/>
      <c r="FGQ233" s="135"/>
      <c r="FGR233" s="135"/>
      <c r="FGS233" s="135"/>
      <c r="FGT233" s="135"/>
      <c r="FGU233" s="173"/>
      <c r="FGV233" s="173"/>
      <c r="FGW233" s="173"/>
      <c r="FGX233" s="173"/>
      <c r="FGY233" s="173"/>
      <c r="FGZ233" s="173"/>
      <c r="FHA233" s="173"/>
      <c r="FHB233" s="173"/>
      <c r="FHC233" s="173"/>
      <c r="FHD233" s="173"/>
      <c r="FHE233" s="125"/>
      <c r="FHF233" s="125"/>
      <c r="FHG233" s="134"/>
      <c r="FHH233" s="135"/>
      <c r="FHI233" s="135"/>
      <c r="FHJ233" s="135"/>
      <c r="FHK233" s="135"/>
      <c r="FHL233" s="173"/>
      <c r="FHM233" s="173"/>
      <c r="FHN233" s="173"/>
      <c r="FHO233" s="173"/>
      <c r="FHP233" s="173"/>
      <c r="FHQ233" s="173"/>
      <c r="FHR233" s="173"/>
      <c r="FHS233" s="173"/>
      <c r="FHT233" s="173"/>
      <c r="FHU233" s="173"/>
      <c r="FHV233" s="125"/>
      <c r="FHW233" s="125"/>
      <c r="FHX233" s="134"/>
      <c r="FHY233" s="135"/>
      <c r="FHZ233" s="135"/>
      <c r="FIA233" s="135"/>
      <c r="FIB233" s="135"/>
      <c r="FIC233" s="173"/>
      <c r="FID233" s="173"/>
      <c r="FIE233" s="173"/>
      <c r="FIF233" s="173"/>
      <c r="FIG233" s="173"/>
      <c r="FIH233" s="173"/>
      <c r="FII233" s="173"/>
      <c r="FIJ233" s="173"/>
      <c r="FIK233" s="173"/>
      <c r="FIL233" s="173"/>
      <c r="FIM233" s="125"/>
      <c r="FIN233" s="125"/>
      <c r="FIO233" s="134"/>
      <c r="FIP233" s="135"/>
      <c r="FIQ233" s="135"/>
      <c r="FIR233" s="135"/>
      <c r="FIS233" s="135"/>
      <c r="FIT233" s="173"/>
      <c r="FIU233" s="173"/>
      <c r="FIV233" s="173"/>
      <c r="FIW233" s="173"/>
      <c r="FIX233" s="173"/>
      <c r="FIY233" s="173"/>
      <c r="FIZ233" s="173"/>
      <c r="FJA233" s="173"/>
      <c r="FJB233" s="173"/>
      <c r="FJC233" s="173"/>
      <c r="FJD233" s="125"/>
      <c r="FJE233" s="125"/>
      <c r="FJF233" s="134"/>
      <c r="FJG233" s="135"/>
      <c r="FJH233" s="135"/>
      <c r="FJI233" s="135"/>
      <c r="FJJ233" s="135"/>
      <c r="FJK233" s="173"/>
      <c r="FJL233" s="173"/>
      <c r="FJM233" s="173"/>
      <c r="FJN233" s="173"/>
      <c r="FJO233" s="173"/>
      <c r="FJP233" s="173"/>
      <c r="FJQ233" s="173"/>
      <c r="FJR233" s="173"/>
      <c r="FJS233" s="173"/>
      <c r="FJT233" s="173"/>
      <c r="FJU233" s="125"/>
      <c r="FJV233" s="125"/>
      <c r="FJW233" s="134"/>
      <c r="FJX233" s="135"/>
      <c r="FJY233" s="135"/>
      <c r="FJZ233" s="135"/>
      <c r="FKA233" s="135"/>
      <c r="FKB233" s="173"/>
      <c r="FKC233" s="173"/>
      <c r="FKD233" s="173"/>
      <c r="FKE233" s="173"/>
      <c r="FKF233" s="173"/>
      <c r="FKG233" s="173"/>
      <c r="FKH233" s="173"/>
      <c r="FKI233" s="173"/>
      <c r="FKJ233" s="173"/>
      <c r="FKK233" s="173"/>
      <c r="FKL233" s="125"/>
      <c r="FKM233" s="125"/>
      <c r="FKN233" s="134"/>
      <c r="FKO233" s="135"/>
      <c r="FKP233" s="135"/>
      <c r="FKQ233" s="135"/>
      <c r="FKR233" s="135"/>
      <c r="FKS233" s="173"/>
      <c r="FKT233" s="173"/>
      <c r="FKU233" s="173"/>
      <c r="FKV233" s="173"/>
      <c r="FKW233" s="173"/>
      <c r="FKX233" s="173"/>
      <c r="FKY233" s="173"/>
      <c r="FKZ233" s="173"/>
      <c r="FLA233" s="173"/>
      <c r="FLB233" s="173"/>
      <c r="FLC233" s="125"/>
      <c r="FLD233" s="125"/>
      <c r="FLE233" s="134"/>
      <c r="FLF233" s="135"/>
      <c r="FLG233" s="135"/>
      <c r="FLH233" s="135"/>
      <c r="FLI233" s="135"/>
      <c r="FLJ233" s="173"/>
      <c r="FLK233" s="173"/>
      <c r="FLL233" s="173"/>
      <c r="FLM233" s="173"/>
      <c r="FLN233" s="173"/>
      <c r="FLO233" s="173"/>
      <c r="FLP233" s="173"/>
      <c r="FLQ233" s="173"/>
      <c r="FLR233" s="173"/>
      <c r="FLS233" s="173"/>
      <c r="FLT233" s="125"/>
      <c r="FLU233" s="125"/>
      <c r="FLV233" s="134"/>
      <c r="FLW233" s="135"/>
      <c r="FLX233" s="135"/>
      <c r="FLY233" s="135"/>
      <c r="FLZ233" s="135"/>
      <c r="FMA233" s="173"/>
      <c r="FMB233" s="173"/>
      <c r="FMC233" s="173"/>
      <c r="FMD233" s="173"/>
      <c r="FME233" s="173"/>
      <c r="FMF233" s="173"/>
      <c r="FMG233" s="173"/>
      <c r="FMH233" s="173"/>
      <c r="FMI233" s="173"/>
      <c r="FMJ233" s="173"/>
      <c r="FMK233" s="125"/>
      <c r="FML233" s="125"/>
      <c r="FMM233" s="134"/>
      <c r="FMN233" s="135"/>
      <c r="FMO233" s="135"/>
      <c r="FMP233" s="135"/>
      <c r="FMQ233" s="135"/>
      <c r="FMR233" s="173"/>
      <c r="FMS233" s="173"/>
      <c r="FMT233" s="173"/>
      <c r="FMU233" s="173"/>
      <c r="FMV233" s="173"/>
      <c r="FMW233" s="173"/>
      <c r="FMX233" s="173"/>
      <c r="FMY233" s="173"/>
      <c r="FMZ233" s="173"/>
      <c r="FNA233" s="173"/>
      <c r="FNB233" s="125"/>
      <c r="FNC233" s="125"/>
      <c r="FND233" s="134"/>
      <c r="FNE233" s="135"/>
      <c r="FNF233" s="135"/>
      <c r="FNG233" s="135"/>
      <c r="FNH233" s="135"/>
      <c r="FNI233" s="173"/>
      <c r="FNJ233" s="173"/>
      <c r="FNK233" s="173"/>
      <c r="FNL233" s="173"/>
      <c r="FNM233" s="173"/>
      <c r="FNN233" s="173"/>
      <c r="FNO233" s="173"/>
      <c r="FNP233" s="173"/>
      <c r="FNQ233" s="173"/>
      <c r="FNR233" s="173"/>
      <c r="FNS233" s="125"/>
      <c r="FNT233" s="125"/>
      <c r="FNU233" s="134"/>
      <c r="FNV233" s="135"/>
      <c r="FNW233" s="135"/>
      <c r="FNX233" s="135"/>
      <c r="FNY233" s="135"/>
      <c r="FNZ233" s="173"/>
      <c r="FOA233" s="173"/>
      <c r="FOB233" s="173"/>
      <c r="FOC233" s="173"/>
      <c r="FOD233" s="173"/>
      <c r="FOE233" s="173"/>
      <c r="FOF233" s="173"/>
      <c r="FOG233" s="173"/>
      <c r="FOH233" s="173"/>
      <c r="FOI233" s="173"/>
      <c r="FOJ233" s="125"/>
      <c r="FOK233" s="125"/>
      <c r="FOL233" s="134"/>
      <c r="FOM233" s="135"/>
      <c r="FON233" s="135"/>
      <c r="FOO233" s="135"/>
      <c r="FOP233" s="135"/>
      <c r="FOQ233" s="173"/>
      <c r="FOR233" s="173"/>
      <c r="FOS233" s="173"/>
      <c r="FOT233" s="173"/>
      <c r="FOU233" s="173"/>
      <c r="FOV233" s="173"/>
      <c r="FOW233" s="173"/>
      <c r="FOX233" s="173"/>
      <c r="FOY233" s="173"/>
      <c r="FOZ233" s="173"/>
      <c r="FPA233" s="125"/>
      <c r="FPB233" s="125"/>
      <c r="FPC233" s="134"/>
      <c r="FPD233" s="135"/>
      <c r="FPE233" s="135"/>
      <c r="FPF233" s="135"/>
      <c r="FPG233" s="135"/>
      <c r="FPH233" s="173"/>
      <c r="FPI233" s="173"/>
      <c r="FPJ233" s="173"/>
      <c r="FPK233" s="173"/>
      <c r="FPL233" s="173"/>
      <c r="FPM233" s="173"/>
      <c r="FPN233" s="173"/>
      <c r="FPO233" s="173"/>
      <c r="FPP233" s="173"/>
      <c r="FPQ233" s="173"/>
      <c r="FPR233" s="125"/>
      <c r="FPS233" s="125"/>
      <c r="FPT233" s="134"/>
      <c r="FPU233" s="135"/>
      <c r="FPV233" s="135"/>
      <c r="FPW233" s="135"/>
      <c r="FPX233" s="135"/>
      <c r="FPY233" s="173"/>
      <c r="FPZ233" s="173"/>
      <c r="FQA233" s="173"/>
      <c r="FQB233" s="173"/>
      <c r="FQC233" s="173"/>
      <c r="FQD233" s="173"/>
      <c r="FQE233" s="173"/>
      <c r="FQF233" s="173"/>
      <c r="FQG233" s="173"/>
      <c r="FQH233" s="173"/>
      <c r="FQI233" s="125"/>
      <c r="FQJ233" s="125"/>
      <c r="FQK233" s="134"/>
      <c r="FQL233" s="135"/>
      <c r="FQM233" s="135"/>
      <c r="FQN233" s="135"/>
      <c r="FQO233" s="135"/>
      <c r="FQP233" s="173"/>
      <c r="FQQ233" s="173"/>
      <c r="FQR233" s="173"/>
      <c r="FQS233" s="173"/>
      <c r="FQT233" s="173"/>
      <c r="FQU233" s="173"/>
      <c r="FQV233" s="173"/>
      <c r="FQW233" s="173"/>
      <c r="FQX233" s="173"/>
      <c r="FQY233" s="173"/>
      <c r="FQZ233" s="125"/>
      <c r="FRA233" s="125"/>
      <c r="FRB233" s="134"/>
      <c r="FRC233" s="135"/>
      <c r="FRD233" s="135"/>
      <c r="FRE233" s="135"/>
      <c r="FRF233" s="135"/>
      <c r="FRG233" s="173"/>
      <c r="FRH233" s="173"/>
      <c r="FRI233" s="173"/>
      <c r="FRJ233" s="173"/>
      <c r="FRK233" s="173"/>
      <c r="FRL233" s="173"/>
      <c r="FRM233" s="173"/>
      <c r="FRN233" s="173"/>
      <c r="FRO233" s="173"/>
      <c r="FRP233" s="173"/>
      <c r="FRQ233" s="125"/>
      <c r="FRR233" s="125"/>
      <c r="FRS233" s="134"/>
      <c r="FRT233" s="135"/>
      <c r="FRU233" s="135"/>
      <c r="FRV233" s="135"/>
      <c r="FRW233" s="135"/>
      <c r="FRX233" s="173"/>
      <c r="FRY233" s="173"/>
      <c r="FRZ233" s="173"/>
      <c r="FSA233" s="173"/>
      <c r="FSB233" s="173"/>
      <c r="FSC233" s="173"/>
      <c r="FSD233" s="173"/>
      <c r="FSE233" s="173"/>
      <c r="FSF233" s="173"/>
      <c r="FSG233" s="173"/>
      <c r="FSH233" s="125"/>
      <c r="FSI233" s="125"/>
      <c r="FSJ233" s="134"/>
      <c r="FSK233" s="135"/>
      <c r="FSL233" s="135"/>
      <c r="FSM233" s="135"/>
      <c r="FSN233" s="135"/>
      <c r="FSO233" s="173"/>
      <c r="FSP233" s="173"/>
      <c r="FSQ233" s="173"/>
      <c r="FSR233" s="173"/>
      <c r="FSS233" s="173"/>
      <c r="FST233" s="173"/>
      <c r="FSU233" s="173"/>
      <c r="FSV233" s="173"/>
      <c r="FSW233" s="173"/>
      <c r="FSX233" s="173"/>
      <c r="FSY233" s="125"/>
      <c r="FSZ233" s="125"/>
      <c r="FTA233" s="134"/>
      <c r="FTB233" s="135"/>
      <c r="FTC233" s="135"/>
      <c r="FTD233" s="135"/>
      <c r="FTE233" s="135"/>
      <c r="FTF233" s="173"/>
      <c r="FTG233" s="173"/>
      <c r="FTH233" s="173"/>
      <c r="FTI233" s="173"/>
      <c r="FTJ233" s="173"/>
      <c r="FTK233" s="173"/>
      <c r="FTL233" s="173"/>
      <c r="FTM233" s="173"/>
      <c r="FTN233" s="173"/>
      <c r="FTO233" s="173"/>
      <c r="FTP233" s="125"/>
      <c r="FTQ233" s="125"/>
      <c r="FTR233" s="134"/>
      <c r="FTS233" s="135"/>
      <c r="FTT233" s="135"/>
      <c r="FTU233" s="135"/>
      <c r="FTV233" s="135"/>
      <c r="FTW233" s="173"/>
      <c r="FTX233" s="173"/>
      <c r="FTY233" s="173"/>
      <c r="FTZ233" s="173"/>
      <c r="FUA233" s="173"/>
      <c r="FUB233" s="173"/>
      <c r="FUC233" s="173"/>
      <c r="FUD233" s="173"/>
      <c r="FUE233" s="173"/>
      <c r="FUF233" s="173"/>
      <c r="FUG233" s="125"/>
      <c r="FUH233" s="125"/>
      <c r="FUI233" s="134"/>
      <c r="FUJ233" s="135"/>
      <c r="FUK233" s="135"/>
      <c r="FUL233" s="135"/>
      <c r="FUM233" s="135"/>
      <c r="FUN233" s="173"/>
      <c r="FUO233" s="173"/>
      <c r="FUP233" s="173"/>
      <c r="FUQ233" s="173"/>
      <c r="FUR233" s="173"/>
      <c r="FUS233" s="173"/>
      <c r="FUT233" s="173"/>
      <c r="FUU233" s="173"/>
      <c r="FUV233" s="173"/>
      <c r="FUW233" s="173"/>
      <c r="FUX233" s="125"/>
      <c r="FUY233" s="125"/>
      <c r="FUZ233" s="134"/>
      <c r="FVA233" s="135"/>
      <c r="FVB233" s="135"/>
      <c r="FVC233" s="135"/>
      <c r="FVD233" s="135"/>
      <c r="FVE233" s="173"/>
      <c r="FVF233" s="173"/>
      <c r="FVG233" s="173"/>
      <c r="FVH233" s="173"/>
      <c r="FVI233" s="173"/>
      <c r="FVJ233" s="173"/>
      <c r="FVK233" s="173"/>
      <c r="FVL233" s="173"/>
      <c r="FVM233" s="173"/>
      <c r="FVN233" s="173"/>
      <c r="FVO233" s="125"/>
      <c r="FVP233" s="125"/>
      <c r="FVQ233" s="134"/>
      <c r="FVR233" s="135"/>
      <c r="FVS233" s="135"/>
      <c r="FVT233" s="135"/>
      <c r="FVU233" s="135"/>
      <c r="FVV233" s="173"/>
      <c r="FVW233" s="173"/>
      <c r="FVX233" s="173"/>
      <c r="FVY233" s="173"/>
      <c r="FVZ233" s="173"/>
      <c r="FWA233" s="173"/>
      <c r="FWB233" s="173"/>
      <c r="FWC233" s="173"/>
      <c r="FWD233" s="173"/>
      <c r="FWE233" s="173"/>
      <c r="FWF233" s="125"/>
      <c r="FWG233" s="125"/>
      <c r="FWH233" s="134"/>
      <c r="FWI233" s="135"/>
      <c r="FWJ233" s="135"/>
      <c r="FWK233" s="135"/>
      <c r="FWL233" s="135"/>
      <c r="FWM233" s="173"/>
      <c r="FWN233" s="173"/>
      <c r="FWO233" s="173"/>
      <c r="FWP233" s="173"/>
      <c r="FWQ233" s="173"/>
      <c r="FWR233" s="173"/>
      <c r="FWS233" s="173"/>
      <c r="FWT233" s="173"/>
      <c r="FWU233" s="173"/>
      <c r="FWV233" s="173"/>
      <c r="FWW233" s="125"/>
      <c r="FWX233" s="125"/>
      <c r="FWY233" s="134"/>
      <c r="FWZ233" s="135"/>
      <c r="FXA233" s="135"/>
      <c r="FXB233" s="135"/>
      <c r="FXC233" s="135"/>
      <c r="FXD233" s="173"/>
      <c r="FXE233" s="173"/>
      <c r="FXF233" s="173"/>
      <c r="FXG233" s="173"/>
      <c r="FXH233" s="173"/>
      <c r="FXI233" s="173"/>
      <c r="FXJ233" s="173"/>
      <c r="FXK233" s="173"/>
      <c r="FXL233" s="173"/>
      <c r="FXM233" s="173"/>
      <c r="FXN233" s="125"/>
      <c r="FXO233" s="125"/>
      <c r="FXP233" s="134"/>
      <c r="FXQ233" s="135"/>
      <c r="FXR233" s="135"/>
      <c r="FXS233" s="135"/>
      <c r="FXT233" s="135"/>
      <c r="FXU233" s="173"/>
      <c r="FXV233" s="173"/>
      <c r="FXW233" s="173"/>
      <c r="FXX233" s="173"/>
      <c r="FXY233" s="173"/>
      <c r="FXZ233" s="173"/>
      <c r="FYA233" s="173"/>
      <c r="FYB233" s="173"/>
      <c r="FYC233" s="173"/>
      <c r="FYD233" s="173"/>
      <c r="FYE233" s="125"/>
      <c r="FYF233" s="125"/>
      <c r="FYG233" s="134"/>
      <c r="FYH233" s="135"/>
      <c r="FYI233" s="135"/>
      <c r="FYJ233" s="135"/>
      <c r="FYK233" s="135"/>
      <c r="FYL233" s="173"/>
      <c r="FYM233" s="173"/>
      <c r="FYN233" s="173"/>
      <c r="FYO233" s="173"/>
      <c r="FYP233" s="173"/>
      <c r="FYQ233" s="173"/>
      <c r="FYR233" s="173"/>
      <c r="FYS233" s="173"/>
      <c r="FYT233" s="173"/>
      <c r="FYU233" s="173"/>
      <c r="FYV233" s="125"/>
      <c r="FYW233" s="125"/>
      <c r="FYX233" s="134"/>
      <c r="FYY233" s="135"/>
      <c r="FYZ233" s="135"/>
      <c r="FZA233" s="135"/>
      <c r="FZB233" s="135"/>
      <c r="FZC233" s="173"/>
      <c r="FZD233" s="173"/>
      <c r="FZE233" s="173"/>
      <c r="FZF233" s="173"/>
      <c r="FZG233" s="173"/>
      <c r="FZH233" s="173"/>
      <c r="FZI233" s="173"/>
      <c r="FZJ233" s="173"/>
      <c r="FZK233" s="173"/>
      <c r="FZL233" s="173"/>
      <c r="FZM233" s="125"/>
      <c r="FZN233" s="125"/>
      <c r="FZO233" s="134"/>
      <c r="FZP233" s="135"/>
      <c r="FZQ233" s="135"/>
      <c r="FZR233" s="135"/>
      <c r="FZS233" s="135"/>
      <c r="FZT233" s="173"/>
      <c r="FZU233" s="173"/>
      <c r="FZV233" s="173"/>
      <c r="FZW233" s="173"/>
      <c r="FZX233" s="173"/>
      <c r="FZY233" s="173"/>
      <c r="FZZ233" s="173"/>
      <c r="GAA233" s="173"/>
      <c r="GAB233" s="173"/>
      <c r="GAC233" s="173"/>
      <c r="GAD233" s="125"/>
      <c r="GAE233" s="125"/>
      <c r="GAF233" s="134"/>
      <c r="GAG233" s="135"/>
      <c r="GAH233" s="135"/>
      <c r="GAI233" s="135"/>
      <c r="GAJ233" s="135"/>
      <c r="GAK233" s="173"/>
      <c r="GAL233" s="173"/>
      <c r="GAM233" s="173"/>
      <c r="GAN233" s="173"/>
      <c r="GAO233" s="173"/>
      <c r="GAP233" s="173"/>
      <c r="GAQ233" s="173"/>
      <c r="GAR233" s="173"/>
      <c r="GAS233" s="173"/>
      <c r="GAT233" s="173"/>
      <c r="GAU233" s="125"/>
      <c r="GAV233" s="125"/>
      <c r="GAW233" s="134"/>
      <c r="GAX233" s="135"/>
      <c r="GAY233" s="135"/>
      <c r="GAZ233" s="135"/>
      <c r="GBA233" s="135"/>
      <c r="GBB233" s="173"/>
      <c r="GBC233" s="173"/>
      <c r="GBD233" s="173"/>
      <c r="GBE233" s="173"/>
      <c r="GBF233" s="173"/>
      <c r="GBG233" s="173"/>
      <c r="GBH233" s="173"/>
      <c r="GBI233" s="173"/>
      <c r="GBJ233" s="173"/>
      <c r="GBK233" s="173"/>
      <c r="GBL233" s="125"/>
      <c r="GBM233" s="125"/>
      <c r="GBN233" s="134"/>
      <c r="GBO233" s="135"/>
      <c r="GBP233" s="135"/>
      <c r="GBQ233" s="135"/>
      <c r="GBR233" s="135"/>
      <c r="GBS233" s="173"/>
      <c r="GBT233" s="173"/>
      <c r="GBU233" s="173"/>
      <c r="GBV233" s="173"/>
      <c r="GBW233" s="173"/>
      <c r="GBX233" s="173"/>
      <c r="GBY233" s="173"/>
      <c r="GBZ233" s="173"/>
      <c r="GCA233" s="173"/>
      <c r="GCB233" s="173"/>
      <c r="GCC233" s="125"/>
      <c r="GCD233" s="125"/>
      <c r="GCE233" s="134"/>
      <c r="GCF233" s="135"/>
      <c r="GCG233" s="135"/>
      <c r="GCH233" s="135"/>
      <c r="GCI233" s="135"/>
      <c r="GCJ233" s="173"/>
      <c r="GCK233" s="173"/>
      <c r="GCL233" s="173"/>
      <c r="GCM233" s="173"/>
      <c r="GCN233" s="173"/>
      <c r="GCO233" s="173"/>
      <c r="GCP233" s="173"/>
      <c r="GCQ233" s="173"/>
      <c r="GCR233" s="173"/>
      <c r="GCS233" s="173"/>
      <c r="GCT233" s="125"/>
      <c r="GCU233" s="125"/>
      <c r="GCV233" s="134"/>
      <c r="GCW233" s="135"/>
      <c r="GCX233" s="135"/>
      <c r="GCY233" s="135"/>
      <c r="GCZ233" s="135"/>
      <c r="GDA233" s="173"/>
      <c r="GDB233" s="173"/>
      <c r="GDC233" s="173"/>
      <c r="GDD233" s="173"/>
      <c r="GDE233" s="173"/>
      <c r="GDF233" s="173"/>
      <c r="GDG233" s="173"/>
      <c r="GDH233" s="173"/>
      <c r="GDI233" s="173"/>
      <c r="GDJ233" s="173"/>
      <c r="GDK233" s="125"/>
      <c r="GDL233" s="125"/>
      <c r="GDM233" s="134"/>
      <c r="GDN233" s="135"/>
      <c r="GDO233" s="135"/>
      <c r="GDP233" s="135"/>
      <c r="GDQ233" s="135"/>
      <c r="GDR233" s="173"/>
      <c r="GDS233" s="173"/>
      <c r="GDT233" s="173"/>
      <c r="GDU233" s="173"/>
      <c r="GDV233" s="173"/>
      <c r="GDW233" s="173"/>
      <c r="GDX233" s="173"/>
      <c r="GDY233" s="173"/>
      <c r="GDZ233" s="173"/>
      <c r="GEA233" s="173"/>
      <c r="GEB233" s="125"/>
      <c r="GEC233" s="125"/>
      <c r="GED233" s="134"/>
      <c r="GEE233" s="135"/>
      <c r="GEF233" s="135"/>
      <c r="GEG233" s="135"/>
      <c r="GEH233" s="135"/>
      <c r="GEI233" s="173"/>
      <c r="GEJ233" s="173"/>
      <c r="GEK233" s="173"/>
      <c r="GEL233" s="173"/>
      <c r="GEM233" s="173"/>
      <c r="GEN233" s="173"/>
      <c r="GEO233" s="173"/>
      <c r="GEP233" s="173"/>
      <c r="GEQ233" s="173"/>
      <c r="GER233" s="173"/>
      <c r="GES233" s="125"/>
      <c r="GET233" s="125"/>
      <c r="GEU233" s="134"/>
      <c r="GEV233" s="135"/>
      <c r="GEW233" s="135"/>
      <c r="GEX233" s="135"/>
      <c r="GEY233" s="135"/>
      <c r="GEZ233" s="173"/>
      <c r="GFA233" s="173"/>
      <c r="GFB233" s="173"/>
      <c r="GFC233" s="173"/>
      <c r="GFD233" s="173"/>
      <c r="GFE233" s="173"/>
      <c r="GFF233" s="173"/>
      <c r="GFG233" s="173"/>
      <c r="GFH233" s="173"/>
      <c r="GFI233" s="173"/>
      <c r="GFJ233" s="125"/>
      <c r="GFK233" s="125"/>
      <c r="GFL233" s="134"/>
      <c r="GFM233" s="135"/>
      <c r="GFN233" s="135"/>
      <c r="GFO233" s="135"/>
      <c r="GFP233" s="135"/>
      <c r="GFQ233" s="173"/>
      <c r="GFR233" s="173"/>
      <c r="GFS233" s="173"/>
      <c r="GFT233" s="173"/>
      <c r="GFU233" s="173"/>
      <c r="GFV233" s="173"/>
      <c r="GFW233" s="173"/>
      <c r="GFX233" s="173"/>
      <c r="GFY233" s="173"/>
      <c r="GFZ233" s="173"/>
      <c r="GGA233" s="125"/>
      <c r="GGB233" s="125"/>
      <c r="GGC233" s="134"/>
      <c r="GGD233" s="135"/>
      <c r="GGE233" s="135"/>
      <c r="GGF233" s="135"/>
      <c r="GGG233" s="135"/>
      <c r="GGH233" s="173"/>
      <c r="GGI233" s="173"/>
      <c r="GGJ233" s="173"/>
      <c r="GGK233" s="173"/>
      <c r="GGL233" s="173"/>
      <c r="GGM233" s="173"/>
      <c r="GGN233" s="173"/>
      <c r="GGO233" s="173"/>
      <c r="GGP233" s="173"/>
      <c r="GGQ233" s="173"/>
      <c r="GGR233" s="125"/>
      <c r="GGS233" s="125"/>
      <c r="GGT233" s="134"/>
      <c r="GGU233" s="135"/>
      <c r="GGV233" s="135"/>
      <c r="GGW233" s="135"/>
      <c r="GGX233" s="135"/>
      <c r="GGY233" s="173"/>
      <c r="GGZ233" s="173"/>
      <c r="GHA233" s="173"/>
      <c r="GHB233" s="173"/>
      <c r="GHC233" s="173"/>
      <c r="GHD233" s="173"/>
      <c r="GHE233" s="173"/>
      <c r="GHF233" s="173"/>
      <c r="GHG233" s="173"/>
      <c r="GHH233" s="173"/>
      <c r="GHI233" s="125"/>
      <c r="GHJ233" s="125"/>
      <c r="GHK233" s="134"/>
      <c r="GHL233" s="135"/>
      <c r="GHM233" s="135"/>
      <c r="GHN233" s="135"/>
      <c r="GHO233" s="135"/>
      <c r="GHP233" s="173"/>
      <c r="GHQ233" s="173"/>
      <c r="GHR233" s="173"/>
      <c r="GHS233" s="173"/>
      <c r="GHT233" s="173"/>
      <c r="GHU233" s="173"/>
      <c r="GHV233" s="173"/>
      <c r="GHW233" s="173"/>
      <c r="GHX233" s="173"/>
      <c r="GHY233" s="173"/>
      <c r="GHZ233" s="125"/>
      <c r="GIA233" s="125"/>
      <c r="GIB233" s="134"/>
      <c r="GIC233" s="135"/>
      <c r="GID233" s="135"/>
      <c r="GIE233" s="135"/>
      <c r="GIF233" s="135"/>
      <c r="GIG233" s="173"/>
      <c r="GIH233" s="173"/>
      <c r="GII233" s="173"/>
      <c r="GIJ233" s="173"/>
      <c r="GIK233" s="173"/>
      <c r="GIL233" s="173"/>
      <c r="GIM233" s="173"/>
      <c r="GIN233" s="173"/>
      <c r="GIO233" s="173"/>
      <c r="GIP233" s="173"/>
      <c r="GIQ233" s="125"/>
      <c r="GIR233" s="125"/>
      <c r="GIS233" s="134"/>
      <c r="GIT233" s="135"/>
      <c r="GIU233" s="135"/>
      <c r="GIV233" s="135"/>
      <c r="GIW233" s="135"/>
      <c r="GIX233" s="173"/>
      <c r="GIY233" s="173"/>
      <c r="GIZ233" s="173"/>
      <c r="GJA233" s="173"/>
      <c r="GJB233" s="173"/>
      <c r="GJC233" s="173"/>
      <c r="GJD233" s="173"/>
      <c r="GJE233" s="173"/>
      <c r="GJF233" s="173"/>
      <c r="GJG233" s="173"/>
      <c r="GJH233" s="125"/>
      <c r="GJI233" s="125"/>
      <c r="GJJ233" s="134"/>
      <c r="GJK233" s="135"/>
      <c r="GJL233" s="135"/>
      <c r="GJM233" s="135"/>
      <c r="GJN233" s="135"/>
      <c r="GJO233" s="173"/>
      <c r="GJP233" s="173"/>
      <c r="GJQ233" s="173"/>
      <c r="GJR233" s="173"/>
      <c r="GJS233" s="173"/>
      <c r="GJT233" s="173"/>
      <c r="GJU233" s="173"/>
      <c r="GJV233" s="173"/>
      <c r="GJW233" s="173"/>
      <c r="GJX233" s="173"/>
      <c r="GJY233" s="125"/>
      <c r="GJZ233" s="125"/>
      <c r="GKA233" s="134"/>
      <c r="GKB233" s="135"/>
      <c r="GKC233" s="135"/>
      <c r="GKD233" s="135"/>
      <c r="GKE233" s="135"/>
      <c r="GKF233" s="173"/>
      <c r="GKG233" s="173"/>
      <c r="GKH233" s="173"/>
      <c r="GKI233" s="173"/>
      <c r="GKJ233" s="173"/>
      <c r="GKK233" s="173"/>
      <c r="GKL233" s="173"/>
      <c r="GKM233" s="173"/>
      <c r="GKN233" s="173"/>
      <c r="GKO233" s="173"/>
      <c r="GKP233" s="125"/>
      <c r="GKQ233" s="125"/>
      <c r="GKR233" s="134"/>
      <c r="GKS233" s="135"/>
      <c r="GKT233" s="135"/>
      <c r="GKU233" s="135"/>
      <c r="GKV233" s="135"/>
      <c r="GKW233" s="173"/>
      <c r="GKX233" s="173"/>
      <c r="GKY233" s="173"/>
      <c r="GKZ233" s="173"/>
      <c r="GLA233" s="173"/>
      <c r="GLB233" s="173"/>
      <c r="GLC233" s="173"/>
      <c r="GLD233" s="173"/>
      <c r="GLE233" s="173"/>
      <c r="GLF233" s="173"/>
      <c r="GLG233" s="125"/>
      <c r="GLH233" s="125"/>
      <c r="GLI233" s="134"/>
      <c r="GLJ233" s="135"/>
      <c r="GLK233" s="135"/>
      <c r="GLL233" s="135"/>
      <c r="GLM233" s="135"/>
      <c r="GLN233" s="173"/>
      <c r="GLO233" s="173"/>
      <c r="GLP233" s="173"/>
      <c r="GLQ233" s="173"/>
      <c r="GLR233" s="173"/>
      <c r="GLS233" s="173"/>
      <c r="GLT233" s="173"/>
      <c r="GLU233" s="173"/>
      <c r="GLV233" s="173"/>
      <c r="GLW233" s="173"/>
      <c r="GLX233" s="125"/>
      <c r="GLY233" s="125"/>
      <c r="GLZ233" s="134"/>
      <c r="GMA233" s="135"/>
      <c r="GMB233" s="135"/>
      <c r="GMC233" s="135"/>
      <c r="GMD233" s="135"/>
      <c r="GME233" s="173"/>
      <c r="GMF233" s="173"/>
      <c r="GMG233" s="173"/>
      <c r="GMH233" s="173"/>
      <c r="GMI233" s="173"/>
      <c r="GMJ233" s="173"/>
      <c r="GMK233" s="173"/>
      <c r="GML233" s="173"/>
      <c r="GMM233" s="173"/>
      <c r="GMN233" s="173"/>
      <c r="GMO233" s="125"/>
      <c r="GMP233" s="125"/>
      <c r="GMQ233" s="134"/>
      <c r="GMR233" s="135"/>
      <c r="GMS233" s="135"/>
      <c r="GMT233" s="135"/>
      <c r="GMU233" s="135"/>
      <c r="GMV233" s="173"/>
      <c r="GMW233" s="173"/>
      <c r="GMX233" s="173"/>
      <c r="GMY233" s="173"/>
      <c r="GMZ233" s="173"/>
      <c r="GNA233" s="173"/>
      <c r="GNB233" s="173"/>
      <c r="GNC233" s="173"/>
      <c r="GND233" s="173"/>
      <c r="GNE233" s="173"/>
      <c r="GNF233" s="125"/>
      <c r="GNG233" s="125"/>
      <c r="GNH233" s="134"/>
      <c r="GNI233" s="135"/>
      <c r="GNJ233" s="135"/>
      <c r="GNK233" s="135"/>
      <c r="GNL233" s="135"/>
      <c r="GNM233" s="173"/>
      <c r="GNN233" s="173"/>
      <c r="GNO233" s="173"/>
      <c r="GNP233" s="173"/>
      <c r="GNQ233" s="173"/>
      <c r="GNR233" s="173"/>
      <c r="GNS233" s="173"/>
      <c r="GNT233" s="173"/>
      <c r="GNU233" s="173"/>
      <c r="GNV233" s="173"/>
      <c r="GNW233" s="125"/>
      <c r="GNX233" s="125"/>
      <c r="GNY233" s="134"/>
      <c r="GNZ233" s="135"/>
      <c r="GOA233" s="135"/>
      <c r="GOB233" s="135"/>
      <c r="GOC233" s="135"/>
      <c r="GOD233" s="173"/>
      <c r="GOE233" s="173"/>
      <c r="GOF233" s="173"/>
      <c r="GOG233" s="173"/>
      <c r="GOH233" s="173"/>
      <c r="GOI233" s="173"/>
      <c r="GOJ233" s="173"/>
      <c r="GOK233" s="173"/>
      <c r="GOL233" s="173"/>
      <c r="GOM233" s="173"/>
      <c r="GON233" s="125"/>
      <c r="GOO233" s="125"/>
      <c r="GOP233" s="134"/>
      <c r="GOQ233" s="135"/>
      <c r="GOR233" s="135"/>
      <c r="GOS233" s="135"/>
      <c r="GOT233" s="135"/>
      <c r="GOU233" s="173"/>
      <c r="GOV233" s="173"/>
      <c r="GOW233" s="173"/>
      <c r="GOX233" s="173"/>
      <c r="GOY233" s="173"/>
      <c r="GOZ233" s="173"/>
      <c r="GPA233" s="173"/>
      <c r="GPB233" s="173"/>
      <c r="GPC233" s="173"/>
      <c r="GPD233" s="173"/>
      <c r="GPE233" s="125"/>
      <c r="GPF233" s="125"/>
      <c r="GPG233" s="134"/>
      <c r="GPH233" s="135"/>
      <c r="GPI233" s="135"/>
      <c r="GPJ233" s="135"/>
      <c r="GPK233" s="135"/>
      <c r="GPL233" s="173"/>
      <c r="GPM233" s="173"/>
      <c r="GPN233" s="173"/>
      <c r="GPO233" s="173"/>
      <c r="GPP233" s="173"/>
      <c r="GPQ233" s="173"/>
      <c r="GPR233" s="173"/>
      <c r="GPS233" s="173"/>
      <c r="GPT233" s="173"/>
      <c r="GPU233" s="173"/>
      <c r="GPV233" s="125"/>
      <c r="GPW233" s="125"/>
      <c r="GPX233" s="134"/>
      <c r="GPY233" s="135"/>
      <c r="GPZ233" s="135"/>
      <c r="GQA233" s="135"/>
      <c r="GQB233" s="135"/>
      <c r="GQC233" s="173"/>
      <c r="GQD233" s="173"/>
      <c r="GQE233" s="173"/>
      <c r="GQF233" s="173"/>
      <c r="GQG233" s="173"/>
      <c r="GQH233" s="173"/>
      <c r="GQI233" s="173"/>
      <c r="GQJ233" s="173"/>
      <c r="GQK233" s="173"/>
      <c r="GQL233" s="173"/>
      <c r="GQM233" s="125"/>
      <c r="GQN233" s="125"/>
      <c r="GQO233" s="134"/>
      <c r="GQP233" s="135"/>
      <c r="GQQ233" s="135"/>
      <c r="GQR233" s="135"/>
      <c r="GQS233" s="135"/>
      <c r="GQT233" s="173"/>
      <c r="GQU233" s="173"/>
      <c r="GQV233" s="173"/>
      <c r="GQW233" s="173"/>
      <c r="GQX233" s="173"/>
      <c r="GQY233" s="173"/>
      <c r="GQZ233" s="173"/>
      <c r="GRA233" s="173"/>
      <c r="GRB233" s="173"/>
      <c r="GRC233" s="173"/>
      <c r="GRD233" s="125"/>
      <c r="GRE233" s="125"/>
      <c r="GRF233" s="134"/>
      <c r="GRG233" s="135"/>
      <c r="GRH233" s="135"/>
      <c r="GRI233" s="135"/>
      <c r="GRJ233" s="135"/>
      <c r="GRK233" s="173"/>
      <c r="GRL233" s="173"/>
      <c r="GRM233" s="173"/>
      <c r="GRN233" s="173"/>
      <c r="GRO233" s="173"/>
      <c r="GRP233" s="173"/>
      <c r="GRQ233" s="173"/>
      <c r="GRR233" s="173"/>
      <c r="GRS233" s="173"/>
      <c r="GRT233" s="173"/>
      <c r="GRU233" s="125"/>
      <c r="GRV233" s="125"/>
      <c r="GRW233" s="134"/>
      <c r="GRX233" s="135"/>
      <c r="GRY233" s="135"/>
      <c r="GRZ233" s="135"/>
      <c r="GSA233" s="135"/>
      <c r="GSB233" s="173"/>
      <c r="GSC233" s="173"/>
      <c r="GSD233" s="173"/>
      <c r="GSE233" s="173"/>
      <c r="GSF233" s="173"/>
      <c r="GSG233" s="173"/>
      <c r="GSH233" s="173"/>
      <c r="GSI233" s="173"/>
      <c r="GSJ233" s="173"/>
      <c r="GSK233" s="173"/>
      <c r="GSL233" s="125"/>
      <c r="GSM233" s="125"/>
      <c r="GSN233" s="134"/>
      <c r="GSO233" s="135"/>
      <c r="GSP233" s="135"/>
      <c r="GSQ233" s="135"/>
      <c r="GSR233" s="135"/>
      <c r="GSS233" s="173"/>
      <c r="GST233" s="173"/>
      <c r="GSU233" s="173"/>
      <c r="GSV233" s="173"/>
      <c r="GSW233" s="173"/>
      <c r="GSX233" s="173"/>
      <c r="GSY233" s="173"/>
      <c r="GSZ233" s="173"/>
      <c r="GTA233" s="173"/>
      <c r="GTB233" s="173"/>
      <c r="GTC233" s="125"/>
      <c r="GTD233" s="125"/>
      <c r="GTE233" s="134"/>
      <c r="GTF233" s="135"/>
      <c r="GTG233" s="135"/>
      <c r="GTH233" s="135"/>
      <c r="GTI233" s="135"/>
      <c r="GTJ233" s="173"/>
      <c r="GTK233" s="173"/>
      <c r="GTL233" s="173"/>
      <c r="GTM233" s="173"/>
      <c r="GTN233" s="173"/>
      <c r="GTO233" s="173"/>
      <c r="GTP233" s="173"/>
      <c r="GTQ233" s="173"/>
      <c r="GTR233" s="173"/>
      <c r="GTS233" s="173"/>
      <c r="GTT233" s="125"/>
      <c r="GTU233" s="125"/>
      <c r="GTV233" s="134"/>
      <c r="GTW233" s="135"/>
      <c r="GTX233" s="135"/>
      <c r="GTY233" s="135"/>
      <c r="GTZ233" s="135"/>
      <c r="GUA233" s="173"/>
      <c r="GUB233" s="173"/>
      <c r="GUC233" s="173"/>
      <c r="GUD233" s="173"/>
      <c r="GUE233" s="173"/>
      <c r="GUF233" s="173"/>
      <c r="GUG233" s="173"/>
      <c r="GUH233" s="173"/>
      <c r="GUI233" s="173"/>
      <c r="GUJ233" s="173"/>
      <c r="GUK233" s="125"/>
      <c r="GUL233" s="125"/>
      <c r="GUM233" s="134"/>
      <c r="GUN233" s="135"/>
      <c r="GUO233" s="135"/>
      <c r="GUP233" s="135"/>
      <c r="GUQ233" s="135"/>
      <c r="GUR233" s="173"/>
      <c r="GUS233" s="173"/>
      <c r="GUT233" s="173"/>
      <c r="GUU233" s="173"/>
      <c r="GUV233" s="173"/>
      <c r="GUW233" s="173"/>
      <c r="GUX233" s="173"/>
      <c r="GUY233" s="173"/>
      <c r="GUZ233" s="173"/>
      <c r="GVA233" s="173"/>
      <c r="GVB233" s="125"/>
      <c r="GVC233" s="125"/>
      <c r="GVD233" s="134"/>
      <c r="GVE233" s="135"/>
      <c r="GVF233" s="135"/>
      <c r="GVG233" s="135"/>
      <c r="GVH233" s="135"/>
      <c r="GVI233" s="173"/>
      <c r="GVJ233" s="173"/>
      <c r="GVK233" s="173"/>
      <c r="GVL233" s="173"/>
      <c r="GVM233" s="173"/>
      <c r="GVN233" s="173"/>
      <c r="GVO233" s="173"/>
      <c r="GVP233" s="173"/>
      <c r="GVQ233" s="173"/>
      <c r="GVR233" s="173"/>
      <c r="GVS233" s="125"/>
      <c r="GVT233" s="125"/>
      <c r="GVU233" s="134"/>
      <c r="GVV233" s="135"/>
      <c r="GVW233" s="135"/>
      <c r="GVX233" s="135"/>
      <c r="GVY233" s="135"/>
      <c r="GVZ233" s="173"/>
      <c r="GWA233" s="173"/>
      <c r="GWB233" s="173"/>
      <c r="GWC233" s="173"/>
      <c r="GWD233" s="173"/>
      <c r="GWE233" s="173"/>
      <c r="GWF233" s="173"/>
      <c r="GWG233" s="173"/>
      <c r="GWH233" s="173"/>
      <c r="GWI233" s="173"/>
      <c r="GWJ233" s="125"/>
      <c r="GWK233" s="125"/>
      <c r="GWL233" s="134"/>
      <c r="GWM233" s="135"/>
      <c r="GWN233" s="135"/>
      <c r="GWO233" s="135"/>
      <c r="GWP233" s="135"/>
      <c r="GWQ233" s="173"/>
      <c r="GWR233" s="173"/>
      <c r="GWS233" s="173"/>
      <c r="GWT233" s="173"/>
      <c r="GWU233" s="173"/>
      <c r="GWV233" s="173"/>
      <c r="GWW233" s="173"/>
      <c r="GWX233" s="173"/>
      <c r="GWY233" s="173"/>
      <c r="GWZ233" s="173"/>
      <c r="GXA233" s="125"/>
      <c r="GXB233" s="125"/>
      <c r="GXC233" s="134"/>
      <c r="GXD233" s="135"/>
      <c r="GXE233" s="135"/>
      <c r="GXF233" s="135"/>
      <c r="GXG233" s="135"/>
      <c r="GXH233" s="173"/>
      <c r="GXI233" s="173"/>
      <c r="GXJ233" s="173"/>
      <c r="GXK233" s="173"/>
      <c r="GXL233" s="173"/>
      <c r="GXM233" s="173"/>
      <c r="GXN233" s="173"/>
      <c r="GXO233" s="173"/>
      <c r="GXP233" s="173"/>
      <c r="GXQ233" s="173"/>
      <c r="GXR233" s="125"/>
      <c r="GXS233" s="125"/>
      <c r="GXT233" s="134"/>
      <c r="GXU233" s="135"/>
      <c r="GXV233" s="135"/>
      <c r="GXW233" s="135"/>
      <c r="GXX233" s="135"/>
      <c r="GXY233" s="173"/>
      <c r="GXZ233" s="173"/>
      <c r="GYA233" s="173"/>
      <c r="GYB233" s="173"/>
      <c r="GYC233" s="173"/>
      <c r="GYD233" s="173"/>
      <c r="GYE233" s="173"/>
      <c r="GYF233" s="173"/>
      <c r="GYG233" s="173"/>
      <c r="GYH233" s="173"/>
      <c r="GYI233" s="125"/>
      <c r="GYJ233" s="125"/>
      <c r="GYK233" s="134"/>
      <c r="GYL233" s="135"/>
      <c r="GYM233" s="135"/>
      <c r="GYN233" s="135"/>
      <c r="GYO233" s="135"/>
      <c r="GYP233" s="173"/>
      <c r="GYQ233" s="173"/>
      <c r="GYR233" s="173"/>
      <c r="GYS233" s="173"/>
      <c r="GYT233" s="173"/>
      <c r="GYU233" s="173"/>
      <c r="GYV233" s="173"/>
      <c r="GYW233" s="173"/>
      <c r="GYX233" s="173"/>
      <c r="GYY233" s="173"/>
      <c r="GYZ233" s="125"/>
      <c r="GZA233" s="125"/>
      <c r="GZB233" s="134"/>
      <c r="GZC233" s="135"/>
      <c r="GZD233" s="135"/>
      <c r="GZE233" s="135"/>
      <c r="GZF233" s="135"/>
      <c r="GZG233" s="173"/>
      <c r="GZH233" s="173"/>
      <c r="GZI233" s="173"/>
      <c r="GZJ233" s="173"/>
      <c r="GZK233" s="173"/>
      <c r="GZL233" s="173"/>
      <c r="GZM233" s="173"/>
      <c r="GZN233" s="173"/>
      <c r="GZO233" s="173"/>
      <c r="GZP233" s="173"/>
      <c r="GZQ233" s="125"/>
      <c r="GZR233" s="125"/>
      <c r="GZS233" s="134"/>
      <c r="GZT233" s="135"/>
      <c r="GZU233" s="135"/>
      <c r="GZV233" s="135"/>
      <c r="GZW233" s="135"/>
      <c r="GZX233" s="173"/>
      <c r="GZY233" s="173"/>
      <c r="GZZ233" s="173"/>
      <c r="HAA233" s="173"/>
      <c r="HAB233" s="173"/>
      <c r="HAC233" s="173"/>
      <c r="HAD233" s="173"/>
      <c r="HAE233" s="173"/>
      <c r="HAF233" s="173"/>
      <c r="HAG233" s="173"/>
      <c r="HAH233" s="125"/>
      <c r="HAI233" s="125"/>
      <c r="HAJ233" s="134"/>
      <c r="HAK233" s="135"/>
      <c r="HAL233" s="135"/>
      <c r="HAM233" s="135"/>
      <c r="HAN233" s="135"/>
      <c r="HAO233" s="173"/>
      <c r="HAP233" s="173"/>
      <c r="HAQ233" s="173"/>
      <c r="HAR233" s="173"/>
      <c r="HAS233" s="173"/>
      <c r="HAT233" s="173"/>
      <c r="HAU233" s="173"/>
      <c r="HAV233" s="173"/>
      <c r="HAW233" s="173"/>
      <c r="HAX233" s="173"/>
      <c r="HAY233" s="125"/>
      <c r="HAZ233" s="125"/>
      <c r="HBA233" s="134"/>
      <c r="HBB233" s="135"/>
      <c r="HBC233" s="135"/>
      <c r="HBD233" s="135"/>
      <c r="HBE233" s="135"/>
      <c r="HBF233" s="173"/>
      <c r="HBG233" s="173"/>
      <c r="HBH233" s="173"/>
      <c r="HBI233" s="173"/>
      <c r="HBJ233" s="173"/>
      <c r="HBK233" s="173"/>
      <c r="HBL233" s="173"/>
      <c r="HBM233" s="173"/>
      <c r="HBN233" s="173"/>
      <c r="HBO233" s="173"/>
      <c r="HBP233" s="125"/>
      <c r="HBQ233" s="125"/>
      <c r="HBR233" s="134"/>
      <c r="HBS233" s="135"/>
      <c r="HBT233" s="135"/>
      <c r="HBU233" s="135"/>
      <c r="HBV233" s="135"/>
      <c r="HBW233" s="173"/>
      <c r="HBX233" s="173"/>
      <c r="HBY233" s="173"/>
      <c r="HBZ233" s="173"/>
      <c r="HCA233" s="173"/>
      <c r="HCB233" s="173"/>
      <c r="HCC233" s="173"/>
      <c r="HCD233" s="173"/>
      <c r="HCE233" s="173"/>
      <c r="HCF233" s="173"/>
      <c r="HCG233" s="125"/>
      <c r="HCH233" s="125"/>
      <c r="HCI233" s="134"/>
      <c r="HCJ233" s="135"/>
      <c r="HCK233" s="135"/>
      <c r="HCL233" s="135"/>
      <c r="HCM233" s="135"/>
      <c r="HCN233" s="173"/>
      <c r="HCO233" s="173"/>
      <c r="HCP233" s="173"/>
      <c r="HCQ233" s="173"/>
      <c r="HCR233" s="173"/>
      <c r="HCS233" s="173"/>
      <c r="HCT233" s="173"/>
      <c r="HCU233" s="173"/>
      <c r="HCV233" s="173"/>
      <c r="HCW233" s="173"/>
      <c r="HCX233" s="125"/>
      <c r="HCY233" s="125"/>
      <c r="HCZ233" s="134"/>
      <c r="HDA233" s="135"/>
      <c r="HDB233" s="135"/>
      <c r="HDC233" s="135"/>
      <c r="HDD233" s="135"/>
      <c r="HDE233" s="173"/>
      <c r="HDF233" s="173"/>
      <c r="HDG233" s="173"/>
      <c r="HDH233" s="173"/>
      <c r="HDI233" s="173"/>
      <c r="HDJ233" s="173"/>
      <c r="HDK233" s="173"/>
      <c r="HDL233" s="173"/>
      <c r="HDM233" s="173"/>
      <c r="HDN233" s="173"/>
      <c r="HDO233" s="125"/>
      <c r="HDP233" s="125"/>
      <c r="HDQ233" s="134"/>
      <c r="HDR233" s="135"/>
      <c r="HDS233" s="135"/>
      <c r="HDT233" s="135"/>
      <c r="HDU233" s="135"/>
      <c r="HDV233" s="173"/>
      <c r="HDW233" s="173"/>
      <c r="HDX233" s="173"/>
      <c r="HDY233" s="173"/>
      <c r="HDZ233" s="173"/>
      <c r="HEA233" s="173"/>
      <c r="HEB233" s="173"/>
      <c r="HEC233" s="173"/>
      <c r="HED233" s="173"/>
      <c r="HEE233" s="173"/>
      <c r="HEF233" s="125"/>
      <c r="HEG233" s="125"/>
      <c r="HEH233" s="134"/>
      <c r="HEI233" s="135"/>
      <c r="HEJ233" s="135"/>
      <c r="HEK233" s="135"/>
      <c r="HEL233" s="135"/>
      <c r="HEM233" s="173"/>
      <c r="HEN233" s="173"/>
      <c r="HEO233" s="173"/>
      <c r="HEP233" s="173"/>
      <c r="HEQ233" s="173"/>
      <c r="HER233" s="173"/>
      <c r="HES233" s="173"/>
      <c r="HET233" s="173"/>
      <c r="HEU233" s="173"/>
      <c r="HEV233" s="173"/>
      <c r="HEW233" s="125"/>
      <c r="HEX233" s="125"/>
      <c r="HEY233" s="134"/>
      <c r="HEZ233" s="135"/>
      <c r="HFA233" s="135"/>
      <c r="HFB233" s="135"/>
      <c r="HFC233" s="135"/>
      <c r="HFD233" s="173"/>
      <c r="HFE233" s="173"/>
      <c r="HFF233" s="173"/>
      <c r="HFG233" s="173"/>
      <c r="HFH233" s="173"/>
      <c r="HFI233" s="173"/>
      <c r="HFJ233" s="173"/>
      <c r="HFK233" s="173"/>
      <c r="HFL233" s="173"/>
      <c r="HFM233" s="173"/>
      <c r="HFN233" s="125"/>
      <c r="HFO233" s="125"/>
      <c r="HFP233" s="134"/>
      <c r="HFQ233" s="135"/>
      <c r="HFR233" s="135"/>
      <c r="HFS233" s="135"/>
      <c r="HFT233" s="135"/>
      <c r="HFU233" s="173"/>
      <c r="HFV233" s="173"/>
      <c r="HFW233" s="173"/>
      <c r="HFX233" s="173"/>
      <c r="HFY233" s="173"/>
      <c r="HFZ233" s="173"/>
      <c r="HGA233" s="173"/>
      <c r="HGB233" s="173"/>
      <c r="HGC233" s="173"/>
      <c r="HGD233" s="173"/>
      <c r="HGE233" s="125"/>
      <c r="HGF233" s="125"/>
      <c r="HGG233" s="134"/>
      <c r="HGH233" s="135"/>
      <c r="HGI233" s="135"/>
      <c r="HGJ233" s="135"/>
      <c r="HGK233" s="135"/>
      <c r="HGL233" s="173"/>
      <c r="HGM233" s="173"/>
      <c r="HGN233" s="173"/>
      <c r="HGO233" s="173"/>
      <c r="HGP233" s="173"/>
      <c r="HGQ233" s="173"/>
      <c r="HGR233" s="173"/>
      <c r="HGS233" s="173"/>
      <c r="HGT233" s="173"/>
      <c r="HGU233" s="173"/>
      <c r="HGV233" s="125"/>
      <c r="HGW233" s="125"/>
      <c r="HGX233" s="134"/>
      <c r="HGY233" s="135"/>
      <c r="HGZ233" s="135"/>
      <c r="HHA233" s="135"/>
      <c r="HHB233" s="135"/>
      <c r="HHC233" s="173"/>
      <c r="HHD233" s="173"/>
      <c r="HHE233" s="173"/>
      <c r="HHF233" s="173"/>
      <c r="HHG233" s="173"/>
      <c r="HHH233" s="173"/>
      <c r="HHI233" s="173"/>
      <c r="HHJ233" s="173"/>
      <c r="HHK233" s="173"/>
      <c r="HHL233" s="173"/>
      <c r="HHM233" s="125"/>
      <c r="HHN233" s="125"/>
      <c r="HHO233" s="134"/>
      <c r="HHP233" s="135"/>
      <c r="HHQ233" s="135"/>
      <c r="HHR233" s="135"/>
      <c r="HHS233" s="135"/>
      <c r="HHT233" s="173"/>
      <c r="HHU233" s="173"/>
      <c r="HHV233" s="173"/>
      <c r="HHW233" s="173"/>
      <c r="HHX233" s="173"/>
      <c r="HHY233" s="173"/>
      <c r="HHZ233" s="173"/>
      <c r="HIA233" s="173"/>
      <c r="HIB233" s="173"/>
      <c r="HIC233" s="173"/>
      <c r="HID233" s="125"/>
      <c r="HIE233" s="125"/>
      <c r="HIF233" s="134"/>
      <c r="HIG233" s="135"/>
      <c r="HIH233" s="135"/>
      <c r="HII233" s="135"/>
      <c r="HIJ233" s="135"/>
      <c r="HIK233" s="173"/>
      <c r="HIL233" s="173"/>
      <c r="HIM233" s="173"/>
      <c r="HIN233" s="173"/>
      <c r="HIO233" s="173"/>
      <c r="HIP233" s="173"/>
      <c r="HIQ233" s="173"/>
      <c r="HIR233" s="173"/>
      <c r="HIS233" s="173"/>
      <c r="HIT233" s="173"/>
      <c r="HIU233" s="125"/>
      <c r="HIV233" s="125"/>
      <c r="HIW233" s="134"/>
      <c r="HIX233" s="135"/>
      <c r="HIY233" s="135"/>
      <c r="HIZ233" s="135"/>
      <c r="HJA233" s="135"/>
      <c r="HJB233" s="173"/>
      <c r="HJC233" s="173"/>
      <c r="HJD233" s="173"/>
      <c r="HJE233" s="173"/>
      <c r="HJF233" s="173"/>
      <c r="HJG233" s="173"/>
      <c r="HJH233" s="173"/>
      <c r="HJI233" s="173"/>
      <c r="HJJ233" s="173"/>
      <c r="HJK233" s="173"/>
      <c r="HJL233" s="125"/>
      <c r="HJM233" s="125"/>
      <c r="HJN233" s="134"/>
      <c r="HJO233" s="135"/>
      <c r="HJP233" s="135"/>
      <c r="HJQ233" s="135"/>
      <c r="HJR233" s="135"/>
      <c r="HJS233" s="173"/>
      <c r="HJT233" s="173"/>
      <c r="HJU233" s="173"/>
      <c r="HJV233" s="173"/>
      <c r="HJW233" s="173"/>
      <c r="HJX233" s="173"/>
      <c r="HJY233" s="173"/>
      <c r="HJZ233" s="173"/>
      <c r="HKA233" s="173"/>
      <c r="HKB233" s="173"/>
      <c r="HKC233" s="125"/>
      <c r="HKD233" s="125"/>
      <c r="HKE233" s="134"/>
      <c r="HKF233" s="135"/>
      <c r="HKG233" s="135"/>
      <c r="HKH233" s="135"/>
      <c r="HKI233" s="135"/>
      <c r="HKJ233" s="173"/>
      <c r="HKK233" s="173"/>
      <c r="HKL233" s="173"/>
      <c r="HKM233" s="173"/>
      <c r="HKN233" s="173"/>
      <c r="HKO233" s="173"/>
      <c r="HKP233" s="173"/>
      <c r="HKQ233" s="173"/>
      <c r="HKR233" s="173"/>
      <c r="HKS233" s="173"/>
      <c r="HKT233" s="125"/>
      <c r="HKU233" s="125"/>
      <c r="HKV233" s="134"/>
      <c r="HKW233" s="135"/>
      <c r="HKX233" s="135"/>
      <c r="HKY233" s="135"/>
      <c r="HKZ233" s="135"/>
      <c r="HLA233" s="173"/>
      <c r="HLB233" s="173"/>
      <c r="HLC233" s="173"/>
      <c r="HLD233" s="173"/>
      <c r="HLE233" s="173"/>
      <c r="HLF233" s="173"/>
      <c r="HLG233" s="173"/>
      <c r="HLH233" s="173"/>
      <c r="HLI233" s="173"/>
      <c r="HLJ233" s="173"/>
      <c r="HLK233" s="125"/>
      <c r="HLL233" s="125"/>
      <c r="HLM233" s="134"/>
      <c r="HLN233" s="135"/>
      <c r="HLO233" s="135"/>
      <c r="HLP233" s="135"/>
      <c r="HLQ233" s="135"/>
      <c r="HLR233" s="173"/>
      <c r="HLS233" s="173"/>
      <c r="HLT233" s="173"/>
      <c r="HLU233" s="173"/>
      <c r="HLV233" s="173"/>
      <c r="HLW233" s="173"/>
      <c r="HLX233" s="173"/>
      <c r="HLY233" s="173"/>
      <c r="HLZ233" s="173"/>
      <c r="HMA233" s="173"/>
      <c r="HMB233" s="125"/>
      <c r="HMC233" s="125"/>
      <c r="HMD233" s="134"/>
      <c r="HME233" s="135"/>
      <c r="HMF233" s="135"/>
      <c r="HMG233" s="135"/>
      <c r="HMH233" s="135"/>
      <c r="HMI233" s="173"/>
      <c r="HMJ233" s="173"/>
      <c r="HMK233" s="173"/>
      <c r="HML233" s="173"/>
      <c r="HMM233" s="173"/>
      <c r="HMN233" s="173"/>
      <c r="HMO233" s="173"/>
      <c r="HMP233" s="173"/>
      <c r="HMQ233" s="173"/>
      <c r="HMR233" s="173"/>
      <c r="HMS233" s="125"/>
      <c r="HMT233" s="125"/>
      <c r="HMU233" s="134"/>
      <c r="HMV233" s="135"/>
      <c r="HMW233" s="135"/>
      <c r="HMX233" s="135"/>
      <c r="HMY233" s="135"/>
      <c r="HMZ233" s="173"/>
      <c r="HNA233" s="173"/>
      <c r="HNB233" s="173"/>
      <c r="HNC233" s="173"/>
      <c r="HND233" s="173"/>
      <c r="HNE233" s="173"/>
      <c r="HNF233" s="173"/>
      <c r="HNG233" s="173"/>
      <c r="HNH233" s="173"/>
      <c r="HNI233" s="173"/>
      <c r="HNJ233" s="125"/>
      <c r="HNK233" s="125"/>
      <c r="HNL233" s="134"/>
      <c r="HNM233" s="135"/>
      <c r="HNN233" s="135"/>
      <c r="HNO233" s="135"/>
      <c r="HNP233" s="135"/>
      <c r="HNQ233" s="173"/>
      <c r="HNR233" s="173"/>
      <c r="HNS233" s="173"/>
      <c r="HNT233" s="173"/>
      <c r="HNU233" s="173"/>
      <c r="HNV233" s="173"/>
      <c r="HNW233" s="173"/>
      <c r="HNX233" s="173"/>
      <c r="HNY233" s="173"/>
      <c r="HNZ233" s="173"/>
      <c r="HOA233" s="125"/>
      <c r="HOB233" s="125"/>
      <c r="HOC233" s="134"/>
      <c r="HOD233" s="135"/>
      <c r="HOE233" s="135"/>
      <c r="HOF233" s="135"/>
      <c r="HOG233" s="135"/>
      <c r="HOH233" s="173"/>
      <c r="HOI233" s="173"/>
      <c r="HOJ233" s="173"/>
      <c r="HOK233" s="173"/>
      <c r="HOL233" s="173"/>
      <c r="HOM233" s="173"/>
      <c r="HON233" s="173"/>
      <c r="HOO233" s="173"/>
      <c r="HOP233" s="173"/>
      <c r="HOQ233" s="173"/>
      <c r="HOR233" s="125"/>
      <c r="HOS233" s="125"/>
      <c r="HOT233" s="134"/>
      <c r="HOU233" s="135"/>
      <c r="HOV233" s="135"/>
      <c r="HOW233" s="135"/>
      <c r="HOX233" s="135"/>
      <c r="HOY233" s="173"/>
      <c r="HOZ233" s="173"/>
      <c r="HPA233" s="173"/>
      <c r="HPB233" s="173"/>
      <c r="HPC233" s="173"/>
      <c r="HPD233" s="173"/>
      <c r="HPE233" s="173"/>
      <c r="HPF233" s="173"/>
      <c r="HPG233" s="173"/>
      <c r="HPH233" s="173"/>
      <c r="HPI233" s="125"/>
      <c r="HPJ233" s="125"/>
      <c r="HPK233" s="134"/>
      <c r="HPL233" s="135"/>
      <c r="HPM233" s="135"/>
      <c r="HPN233" s="135"/>
      <c r="HPO233" s="135"/>
      <c r="HPP233" s="173"/>
      <c r="HPQ233" s="173"/>
      <c r="HPR233" s="173"/>
      <c r="HPS233" s="173"/>
      <c r="HPT233" s="173"/>
      <c r="HPU233" s="173"/>
      <c r="HPV233" s="173"/>
      <c r="HPW233" s="173"/>
      <c r="HPX233" s="173"/>
      <c r="HPY233" s="173"/>
      <c r="HPZ233" s="125"/>
      <c r="HQA233" s="125"/>
      <c r="HQB233" s="134"/>
      <c r="HQC233" s="135"/>
      <c r="HQD233" s="135"/>
      <c r="HQE233" s="135"/>
      <c r="HQF233" s="135"/>
      <c r="HQG233" s="173"/>
      <c r="HQH233" s="173"/>
      <c r="HQI233" s="173"/>
      <c r="HQJ233" s="173"/>
      <c r="HQK233" s="173"/>
      <c r="HQL233" s="173"/>
      <c r="HQM233" s="173"/>
      <c r="HQN233" s="173"/>
      <c r="HQO233" s="173"/>
      <c r="HQP233" s="173"/>
      <c r="HQQ233" s="125"/>
      <c r="HQR233" s="125"/>
      <c r="HQS233" s="134"/>
      <c r="HQT233" s="135"/>
      <c r="HQU233" s="135"/>
      <c r="HQV233" s="135"/>
      <c r="HQW233" s="135"/>
      <c r="HQX233" s="173"/>
      <c r="HQY233" s="173"/>
      <c r="HQZ233" s="173"/>
      <c r="HRA233" s="173"/>
      <c r="HRB233" s="173"/>
      <c r="HRC233" s="173"/>
      <c r="HRD233" s="173"/>
      <c r="HRE233" s="173"/>
      <c r="HRF233" s="173"/>
      <c r="HRG233" s="173"/>
      <c r="HRH233" s="125"/>
      <c r="HRI233" s="125"/>
      <c r="HRJ233" s="134"/>
      <c r="HRK233" s="135"/>
      <c r="HRL233" s="135"/>
      <c r="HRM233" s="135"/>
      <c r="HRN233" s="135"/>
      <c r="HRO233" s="173"/>
      <c r="HRP233" s="173"/>
      <c r="HRQ233" s="173"/>
      <c r="HRR233" s="173"/>
      <c r="HRS233" s="173"/>
      <c r="HRT233" s="173"/>
      <c r="HRU233" s="173"/>
      <c r="HRV233" s="173"/>
      <c r="HRW233" s="173"/>
      <c r="HRX233" s="173"/>
      <c r="HRY233" s="125"/>
      <c r="HRZ233" s="125"/>
      <c r="HSA233" s="134"/>
      <c r="HSB233" s="135"/>
      <c r="HSC233" s="135"/>
      <c r="HSD233" s="135"/>
      <c r="HSE233" s="135"/>
      <c r="HSF233" s="173"/>
      <c r="HSG233" s="173"/>
      <c r="HSH233" s="173"/>
      <c r="HSI233" s="173"/>
      <c r="HSJ233" s="173"/>
      <c r="HSK233" s="173"/>
      <c r="HSL233" s="173"/>
      <c r="HSM233" s="173"/>
      <c r="HSN233" s="173"/>
      <c r="HSO233" s="173"/>
      <c r="HSP233" s="125"/>
      <c r="HSQ233" s="125"/>
      <c r="HSR233" s="134"/>
      <c r="HSS233" s="135"/>
      <c r="HST233" s="135"/>
      <c r="HSU233" s="135"/>
      <c r="HSV233" s="135"/>
      <c r="HSW233" s="173"/>
      <c r="HSX233" s="173"/>
      <c r="HSY233" s="173"/>
      <c r="HSZ233" s="173"/>
      <c r="HTA233" s="173"/>
      <c r="HTB233" s="173"/>
      <c r="HTC233" s="173"/>
      <c r="HTD233" s="173"/>
      <c r="HTE233" s="173"/>
      <c r="HTF233" s="173"/>
      <c r="HTG233" s="125"/>
      <c r="HTH233" s="125"/>
      <c r="HTI233" s="134"/>
      <c r="HTJ233" s="135"/>
      <c r="HTK233" s="135"/>
      <c r="HTL233" s="135"/>
      <c r="HTM233" s="135"/>
      <c r="HTN233" s="173"/>
      <c r="HTO233" s="173"/>
      <c r="HTP233" s="173"/>
      <c r="HTQ233" s="173"/>
      <c r="HTR233" s="173"/>
      <c r="HTS233" s="173"/>
      <c r="HTT233" s="173"/>
      <c r="HTU233" s="173"/>
      <c r="HTV233" s="173"/>
      <c r="HTW233" s="173"/>
      <c r="HTX233" s="125"/>
      <c r="HTY233" s="125"/>
      <c r="HTZ233" s="134"/>
      <c r="HUA233" s="135"/>
      <c r="HUB233" s="135"/>
      <c r="HUC233" s="135"/>
      <c r="HUD233" s="135"/>
      <c r="HUE233" s="173"/>
      <c r="HUF233" s="173"/>
      <c r="HUG233" s="173"/>
      <c r="HUH233" s="173"/>
      <c r="HUI233" s="173"/>
      <c r="HUJ233" s="173"/>
      <c r="HUK233" s="173"/>
      <c r="HUL233" s="173"/>
      <c r="HUM233" s="173"/>
      <c r="HUN233" s="173"/>
      <c r="HUO233" s="125"/>
      <c r="HUP233" s="125"/>
      <c r="HUQ233" s="134"/>
      <c r="HUR233" s="135"/>
      <c r="HUS233" s="135"/>
      <c r="HUT233" s="135"/>
      <c r="HUU233" s="135"/>
      <c r="HUV233" s="173"/>
      <c r="HUW233" s="173"/>
      <c r="HUX233" s="173"/>
      <c r="HUY233" s="173"/>
      <c r="HUZ233" s="173"/>
      <c r="HVA233" s="173"/>
      <c r="HVB233" s="173"/>
      <c r="HVC233" s="173"/>
      <c r="HVD233" s="173"/>
      <c r="HVE233" s="173"/>
      <c r="HVF233" s="125"/>
      <c r="HVG233" s="125"/>
      <c r="HVH233" s="134"/>
      <c r="HVI233" s="135"/>
      <c r="HVJ233" s="135"/>
      <c r="HVK233" s="135"/>
      <c r="HVL233" s="135"/>
      <c r="HVM233" s="173"/>
      <c r="HVN233" s="173"/>
      <c r="HVO233" s="173"/>
      <c r="HVP233" s="173"/>
      <c r="HVQ233" s="173"/>
      <c r="HVR233" s="173"/>
      <c r="HVS233" s="173"/>
      <c r="HVT233" s="173"/>
      <c r="HVU233" s="173"/>
      <c r="HVV233" s="173"/>
      <c r="HVW233" s="125"/>
      <c r="HVX233" s="125"/>
      <c r="HVY233" s="134"/>
      <c r="HVZ233" s="135"/>
      <c r="HWA233" s="135"/>
      <c r="HWB233" s="135"/>
      <c r="HWC233" s="135"/>
      <c r="HWD233" s="173"/>
      <c r="HWE233" s="173"/>
      <c r="HWF233" s="173"/>
      <c r="HWG233" s="173"/>
      <c r="HWH233" s="173"/>
      <c r="HWI233" s="173"/>
      <c r="HWJ233" s="173"/>
      <c r="HWK233" s="173"/>
      <c r="HWL233" s="173"/>
      <c r="HWM233" s="173"/>
      <c r="HWN233" s="125"/>
      <c r="HWO233" s="125"/>
      <c r="HWP233" s="134"/>
      <c r="HWQ233" s="135"/>
      <c r="HWR233" s="135"/>
      <c r="HWS233" s="135"/>
      <c r="HWT233" s="135"/>
      <c r="HWU233" s="173"/>
      <c r="HWV233" s="173"/>
      <c r="HWW233" s="173"/>
      <c r="HWX233" s="173"/>
      <c r="HWY233" s="173"/>
      <c r="HWZ233" s="173"/>
      <c r="HXA233" s="173"/>
      <c r="HXB233" s="173"/>
      <c r="HXC233" s="173"/>
      <c r="HXD233" s="173"/>
      <c r="HXE233" s="125"/>
      <c r="HXF233" s="125"/>
      <c r="HXG233" s="134"/>
      <c r="HXH233" s="135"/>
      <c r="HXI233" s="135"/>
      <c r="HXJ233" s="135"/>
      <c r="HXK233" s="135"/>
      <c r="HXL233" s="173"/>
      <c r="HXM233" s="173"/>
      <c r="HXN233" s="173"/>
      <c r="HXO233" s="173"/>
      <c r="HXP233" s="173"/>
      <c r="HXQ233" s="173"/>
      <c r="HXR233" s="173"/>
      <c r="HXS233" s="173"/>
      <c r="HXT233" s="173"/>
      <c r="HXU233" s="173"/>
      <c r="HXV233" s="125"/>
      <c r="HXW233" s="125"/>
      <c r="HXX233" s="134"/>
      <c r="HXY233" s="135"/>
      <c r="HXZ233" s="135"/>
      <c r="HYA233" s="135"/>
      <c r="HYB233" s="135"/>
      <c r="HYC233" s="173"/>
      <c r="HYD233" s="173"/>
      <c r="HYE233" s="173"/>
      <c r="HYF233" s="173"/>
      <c r="HYG233" s="173"/>
      <c r="HYH233" s="173"/>
      <c r="HYI233" s="173"/>
      <c r="HYJ233" s="173"/>
      <c r="HYK233" s="173"/>
      <c r="HYL233" s="173"/>
      <c r="HYM233" s="125"/>
      <c r="HYN233" s="125"/>
      <c r="HYO233" s="134"/>
      <c r="HYP233" s="135"/>
      <c r="HYQ233" s="135"/>
      <c r="HYR233" s="135"/>
      <c r="HYS233" s="135"/>
      <c r="HYT233" s="173"/>
      <c r="HYU233" s="173"/>
      <c r="HYV233" s="173"/>
      <c r="HYW233" s="173"/>
      <c r="HYX233" s="173"/>
      <c r="HYY233" s="173"/>
      <c r="HYZ233" s="173"/>
      <c r="HZA233" s="173"/>
      <c r="HZB233" s="173"/>
      <c r="HZC233" s="173"/>
      <c r="HZD233" s="125"/>
      <c r="HZE233" s="125"/>
      <c r="HZF233" s="134"/>
      <c r="HZG233" s="135"/>
      <c r="HZH233" s="135"/>
      <c r="HZI233" s="135"/>
      <c r="HZJ233" s="135"/>
      <c r="HZK233" s="173"/>
      <c r="HZL233" s="173"/>
      <c r="HZM233" s="173"/>
      <c r="HZN233" s="173"/>
      <c r="HZO233" s="173"/>
      <c r="HZP233" s="173"/>
      <c r="HZQ233" s="173"/>
      <c r="HZR233" s="173"/>
      <c r="HZS233" s="173"/>
      <c r="HZT233" s="173"/>
      <c r="HZU233" s="125"/>
      <c r="HZV233" s="125"/>
      <c r="HZW233" s="134"/>
      <c r="HZX233" s="135"/>
      <c r="HZY233" s="135"/>
      <c r="HZZ233" s="135"/>
      <c r="IAA233" s="135"/>
      <c r="IAB233" s="173"/>
      <c r="IAC233" s="173"/>
      <c r="IAD233" s="173"/>
      <c r="IAE233" s="173"/>
      <c r="IAF233" s="173"/>
      <c r="IAG233" s="173"/>
      <c r="IAH233" s="173"/>
      <c r="IAI233" s="173"/>
      <c r="IAJ233" s="173"/>
      <c r="IAK233" s="173"/>
      <c r="IAL233" s="125"/>
      <c r="IAM233" s="125"/>
      <c r="IAN233" s="134"/>
      <c r="IAO233" s="135"/>
      <c r="IAP233" s="135"/>
      <c r="IAQ233" s="135"/>
      <c r="IAR233" s="135"/>
      <c r="IAS233" s="173"/>
      <c r="IAT233" s="173"/>
      <c r="IAU233" s="173"/>
      <c r="IAV233" s="173"/>
      <c r="IAW233" s="173"/>
      <c r="IAX233" s="173"/>
      <c r="IAY233" s="173"/>
      <c r="IAZ233" s="173"/>
      <c r="IBA233" s="173"/>
      <c r="IBB233" s="173"/>
      <c r="IBC233" s="125"/>
      <c r="IBD233" s="125"/>
      <c r="IBE233" s="134"/>
      <c r="IBF233" s="135"/>
      <c r="IBG233" s="135"/>
      <c r="IBH233" s="135"/>
      <c r="IBI233" s="135"/>
      <c r="IBJ233" s="173"/>
      <c r="IBK233" s="173"/>
      <c r="IBL233" s="173"/>
      <c r="IBM233" s="173"/>
      <c r="IBN233" s="173"/>
      <c r="IBO233" s="173"/>
      <c r="IBP233" s="173"/>
      <c r="IBQ233" s="173"/>
      <c r="IBR233" s="173"/>
      <c r="IBS233" s="173"/>
      <c r="IBT233" s="125"/>
      <c r="IBU233" s="125"/>
      <c r="IBV233" s="134"/>
      <c r="IBW233" s="135"/>
      <c r="IBX233" s="135"/>
      <c r="IBY233" s="135"/>
      <c r="IBZ233" s="135"/>
      <c r="ICA233" s="173"/>
      <c r="ICB233" s="173"/>
      <c r="ICC233" s="173"/>
      <c r="ICD233" s="173"/>
      <c r="ICE233" s="173"/>
      <c r="ICF233" s="173"/>
      <c r="ICG233" s="173"/>
      <c r="ICH233" s="173"/>
      <c r="ICI233" s="173"/>
      <c r="ICJ233" s="173"/>
      <c r="ICK233" s="125"/>
      <c r="ICL233" s="125"/>
      <c r="ICM233" s="134"/>
      <c r="ICN233" s="135"/>
      <c r="ICO233" s="135"/>
      <c r="ICP233" s="135"/>
      <c r="ICQ233" s="135"/>
      <c r="ICR233" s="173"/>
      <c r="ICS233" s="173"/>
      <c r="ICT233" s="173"/>
      <c r="ICU233" s="173"/>
      <c r="ICV233" s="173"/>
      <c r="ICW233" s="173"/>
      <c r="ICX233" s="173"/>
      <c r="ICY233" s="173"/>
      <c r="ICZ233" s="173"/>
      <c r="IDA233" s="173"/>
      <c r="IDB233" s="125"/>
      <c r="IDC233" s="125"/>
      <c r="IDD233" s="134"/>
      <c r="IDE233" s="135"/>
      <c r="IDF233" s="135"/>
      <c r="IDG233" s="135"/>
      <c r="IDH233" s="135"/>
      <c r="IDI233" s="173"/>
      <c r="IDJ233" s="173"/>
      <c r="IDK233" s="173"/>
      <c r="IDL233" s="173"/>
      <c r="IDM233" s="173"/>
      <c r="IDN233" s="173"/>
      <c r="IDO233" s="173"/>
      <c r="IDP233" s="173"/>
      <c r="IDQ233" s="173"/>
      <c r="IDR233" s="173"/>
      <c r="IDS233" s="125"/>
      <c r="IDT233" s="125"/>
      <c r="IDU233" s="134"/>
      <c r="IDV233" s="135"/>
      <c r="IDW233" s="135"/>
      <c r="IDX233" s="135"/>
      <c r="IDY233" s="135"/>
      <c r="IDZ233" s="173"/>
      <c r="IEA233" s="173"/>
      <c r="IEB233" s="173"/>
      <c r="IEC233" s="173"/>
      <c r="IED233" s="173"/>
      <c r="IEE233" s="173"/>
      <c r="IEF233" s="173"/>
      <c r="IEG233" s="173"/>
      <c r="IEH233" s="173"/>
      <c r="IEI233" s="173"/>
      <c r="IEJ233" s="125"/>
      <c r="IEK233" s="125"/>
      <c r="IEL233" s="134"/>
      <c r="IEM233" s="135"/>
      <c r="IEN233" s="135"/>
      <c r="IEO233" s="135"/>
      <c r="IEP233" s="135"/>
      <c r="IEQ233" s="173"/>
      <c r="IER233" s="173"/>
      <c r="IES233" s="173"/>
      <c r="IET233" s="173"/>
      <c r="IEU233" s="173"/>
      <c r="IEV233" s="173"/>
      <c r="IEW233" s="173"/>
      <c r="IEX233" s="173"/>
      <c r="IEY233" s="173"/>
      <c r="IEZ233" s="173"/>
      <c r="IFA233" s="125"/>
      <c r="IFB233" s="125"/>
      <c r="IFC233" s="134"/>
      <c r="IFD233" s="135"/>
      <c r="IFE233" s="135"/>
      <c r="IFF233" s="135"/>
      <c r="IFG233" s="135"/>
      <c r="IFH233" s="173"/>
      <c r="IFI233" s="173"/>
      <c r="IFJ233" s="173"/>
      <c r="IFK233" s="173"/>
      <c r="IFL233" s="173"/>
      <c r="IFM233" s="173"/>
      <c r="IFN233" s="173"/>
      <c r="IFO233" s="173"/>
      <c r="IFP233" s="173"/>
      <c r="IFQ233" s="173"/>
      <c r="IFR233" s="125"/>
      <c r="IFS233" s="125"/>
      <c r="IFT233" s="134"/>
      <c r="IFU233" s="135"/>
      <c r="IFV233" s="135"/>
      <c r="IFW233" s="135"/>
      <c r="IFX233" s="135"/>
      <c r="IFY233" s="173"/>
      <c r="IFZ233" s="173"/>
      <c r="IGA233" s="173"/>
      <c r="IGB233" s="173"/>
      <c r="IGC233" s="173"/>
      <c r="IGD233" s="173"/>
      <c r="IGE233" s="173"/>
      <c r="IGF233" s="173"/>
      <c r="IGG233" s="173"/>
      <c r="IGH233" s="173"/>
      <c r="IGI233" s="125"/>
      <c r="IGJ233" s="125"/>
      <c r="IGK233" s="134"/>
      <c r="IGL233" s="135"/>
      <c r="IGM233" s="135"/>
      <c r="IGN233" s="135"/>
      <c r="IGO233" s="135"/>
      <c r="IGP233" s="173"/>
      <c r="IGQ233" s="173"/>
      <c r="IGR233" s="173"/>
      <c r="IGS233" s="173"/>
      <c r="IGT233" s="173"/>
      <c r="IGU233" s="173"/>
      <c r="IGV233" s="173"/>
      <c r="IGW233" s="173"/>
      <c r="IGX233" s="173"/>
      <c r="IGY233" s="173"/>
      <c r="IGZ233" s="125"/>
      <c r="IHA233" s="125"/>
      <c r="IHB233" s="134"/>
      <c r="IHC233" s="135"/>
      <c r="IHD233" s="135"/>
      <c r="IHE233" s="135"/>
      <c r="IHF233" s="135"/>
      <c r="IHG233" s="173"/>
      <c r="IHH233" s="173"/>
      <c r="IHI233" s="173"/>
      <c r="IHJ233" s="173"/>
      <c r="IHK233" s="173"/>
      <c r="IHL233" s="173"/>
      <c r="IHM233" s="173"/>
      <c r="IHN233" s="173"/>
      <c r="IHO233" s="173"/>
      <c r="IHP233" s="173"/>
      <c r="IHQ233" s="125"/>
      <c r="IHR233" s="125"/>
      <c r="IHS233" s="134"/>
      <c r="IHT233" s="135"/>
      <c r="IHU233" s="135"/>
      <c r="IHV233" s="135"/>
      <c r="IHW233" s="135"/>
      <c r="IHX233" s="173"/>
      <c r="IHY233" s="173"/>
      <c r="IHZ233" s="173"/>
      <c r="IIA233" s="173"/>
      <c r="IIB233" s="173"/>
      <c r="IIC233" s="173"/>
      <c r="IID233" s="173"/>
      <c r="IIE233" s="173"/>
      <c r="IIF233" s="173"/>
      <c r="IIG233" s="173"/>
      <c r="IIH233" s="125"/>
      <c r="III233" s="125"/>
      <c r="IIJ233" s="134"/>
      <c r="IIK233" s="135"/>
      <c r="IIL233" s="135"/>
      <c r="IIM233" s="135"/>
      <c r="IIN233" s="135"/>
      <c r="IIO233" s="173"/>
      <c r="IIP233" s="173"/>
      <c r="IIQ233" s="173"/>
      <c r="IIR233" s="173"/>
      <c r="IIS233" s="173"/>
      <c r="IIT233" s="173"/>
      <c r="IIU233" s="173"/>
      <c r="IIV233" s="173"/>
      <c r="IIW233" s="173"/>
      <c r="IIX233" s="173"/>
      <c r="IIY233" s="125"/>
      <c r="IIZ233" s="125"/>
      <c r="IJA233" s="134"/>
      <c r="IJB233" s="135"/>
      <c r="IJC233" s="135"/>
      <c r="IJD233" s="135"/>
      <c r="IJE233" s="135"/>
      <c r="IJF233" s="173"/>
      <c r="IJG233" s="173"/>
      <c r="IJH233" s="173"/>
      <c r="IJI233" s="173"/>
      <c r="IJJ233" s="173"/>
      <c r="IJK233" s="173"/>
      <c r="IJL233" s="173"/>
      <c r="IJM233" s="173"/>
      <c r="IJN233" s="173"/>
      <c r="IJO233" s="173"/>
      <c r="IJP233" s="125"/>
      <c r="IJQ233" s="125"/>
      <c r="IJR233" s="134"/>
      <c r="IJS233" s="135"/>
      <c r="IJT233" s="135"/>
      <c r="IJU233" s="135"/>
      <c r="IJV233" s="135"/>
      <c r="IJW233" s="173"/>
      <c r="IJX233" s="173"/>
      <c r="IJY233" s="173"/>
      <c r="IJZ233" s="173"/>
      <c r="IKA233" s="173"/>
      <c r="IKB233" s="173"/>
      <c r="IKC233" s="173"/>
      <c r="IKD233" s="173"/>
      <c r="IKE233" s="173"/>
      <c r="IKF233" s="173"/>
      <c r="IKG233" s="125"/>
      <c r="IKH233" s="125"/>
      <c r="IKI233" s="134"/>
      <c r="IKJ233" s="135"/>
      <c r="IKK233" s="135"/>
      <c r="IKL233" s="135"/>
      <c r="IKM233" s="135"/>
      <c r="IKN233" s="173"/>
      <c r="IKO233" s="173"/>
      <c r="IKP233" s="173"/>
      <c r="IKQ233" s="173"/>
      <c r="IKR233" s="173"/>
      <c r="IKS233" s="173"/>
      <c r="IKT233" s="173"/>
      <c r="IKU233" s="173"/>
      <c r="IKV233" s="173"/>
      <c r="IKW233" s="173"/>
      <c r="IKX233" s="125"/>
      <c r="IKY233" s="125"/>
      <c r="IKZ233" s="134"/>
      <c r="ILA233" s="135"/>
      <c r="ILB233" s="135"/>
      <c r="ILC233" s="135"/>
      <c r="ILD233" s="135"/>
      <c r="ILE233" s="173"/>
      <c r="ILF233" s="173"/>
      <c r="ILG233" s="173"/>
      <c r="ILH233" s="173"/>
      <c r="ILI233" s="173"/>
      <c r="ILJ233" s="173"/>
      <c r="ILK233" s="173"/>
      <c r="ILL233" s="173"/>
      <c r="ILM233" s="173"/>
      <c r="ILN233" s="173"/>
      <c r="ILO233" s="125"/>
      <c r="ILP233" s="125"/>
      <c r="ILQ233" s="134"/>
      <c r="ILR233" s="135"/>
      <c r="ILS233" s="135"/>
      <c r="ILT233" s="135"/>
      <c r="ILU233" s="135"/>
      <c r="ILV233" s="173"/>
      <c r="ILW233" s="173"/>
      <c r="ILX233" s="173"/>
      <c r="ILY233" s="173"/>
      <c r="ILZ233" s="173"/>
      <c r="IMA233" s="173"/>
      <c r="IMB233" s="173"/>
      <c r="IMC233" s="173"/>
      <c r="IMD233" s="173"/>
      <c r="IME233" s="173"/>
      <c r="IMF233" s="125"/>
      <c r="IMG233" s="125"/>
      <c r="IMH233" s="134"/>
      <c r="IMI233" s="135"/>
      <c r="IMJ233" s="135"/>
      <c r="IMK233" s="135"/>
      <c r="IML233" s="135"/>
      <c r="IMM233" s="173"/>
      <c r="IMN233" s="173"/>
      <c r="IMO233" s="173"/>
      <c r="IMP233" s="173"/>
      <c r="IMQ233" s="173"/>
      <c r="IMR233" s="173"/>
      <c r="IMS233" s="173"/>
      <c r="IMT233" s="173"/>
      <c r="IMU233" s="173"/>
      <c r="IMV233" s="173"/>
      <c r="IMW233" s="125"/>
      <c r="IMX233" s="125"/>
      <c r="IMY233" s="134"/>
      <c r="IMZ233" s="135"/>
      <c r="INA233" s="135"/>
      <c r="INB233" s="135"/>
      <c r="INC233" s="135"/>
      <c r="IND233" s="173"/>
      <c r="INE233" s="173"/>
      <c r="INF233" s="173"/>
      <c r="ING233" s="173"/>
      <c r="INH233" s="173"/>
      <c r="INI233" s="173"/>
      <c r="INJ233" s="173"/>
      <c r="INK233" s="173"/>
      <c r="INL233" s="173"/>
      <c r="INM233" s="173"/>
      <c r="INN233" s="125"/>
      <c r="INO233" s="125"/>
      <c r="INP233" s="134"/>
      <c r="INQ233" s="135"/>
      <c r="INR233" s="135"/>
      <c r="INS233" s="135"/>
      <c r="INT233" s="135"/>
      <c r="INU233" s="173"/>
      <c r="INV233" s="173"/>
      <c r="INW233" s="173"/>
      <c r="INX233" s="173"/>
      <c r="INY233" s="173"/>
      <c r="INZ233" s="173"/>
      <c r="IOA233" s="173"/>
      <c r="IOB233" s="173"/>
      <c r="IOC233" s="173"/>
      <c r="IOD233" s="173"/>
      <c r="IOE233" s="125"/>
      <c r="IOF233" s="125"/>
      <c r="IOG233" s="134"/>
      <c r="IOH233" s="135"/>
      <c r="IOI233" s="135"/>
      <c r="IOJ233" s="135"/>
      <c r="IOK233" s="135"/>
      <c r="IOL233" s="173"/>
      <c r="IOM233" s="173"/>
      <c r="ION233" s="173"/>
      <c r="IOO233" s="173"/>
      <c r="IOP233" s="173"/>
      <c r="IOQ233" s="173"/>
      <c r="IOR233" s="173"/>
      <c r="IOS233" s="173"/>
      <c r="IOT233" s="173"/>
      <c r="IOU233" s="173"/>
      <c r="IOV233" s="125"/>
      <c r="IOW233" s="125"/>
      <c r="IOX233" s="134"/>
      <c r="IOY233" s="135"/>
      <c r="IOZ233" s="135"/>
      <c r="IPA233" s="135"/>
      <c r="IPB233" s="135"/>
      <c r="IPC233" s="173"/>
      <c r="IPD233" s="173"/>
      <c r="IPE233" s="173"/>
      <c r="IPF233" s="173"/>
      <c r="IPG233" s="173"/>
      <c r="IPH233" s="173"/>
      <c r="IPI233" s="173"/>
      <c r="IPJ233" s="173"/>
      <c r="IPK233" s="173"/>
      <c r="IPL233" s="173"/>
      <c r="IPM233" s="125"/>
      <c r="IPN233" s="125"/>
      <c r="IPO233" s="134"/>
      <c r="IPP233" s="135"/>
      <c r="IPQ233" s="135"/>
      <c r="IPR233" s="135"/>
      <c r="IPS233" s="135"/>
      <c r="IPT233" s="173"/>
      <c r="IPU233" s="173"/>
      <c r="IPV233" s="173"/>
      <c r="IPW233" s="173"/>
      <c r="IPX233" s="173"/>
      <c r="IPY233" s="173"/>
      <c r="IPZ233" s="173"/>
      <c r="IQA233" s="173"/>
      <c r="IQB233" s="173"/>
      <c r="IQC233" s="173"/>
      <c r="IQD233" s="125"/>
      <c r="IQE233" s="125"/>
      <c r="IQF233" s="134"/>
      <c r="IQG233" s="135"/>
      <c r="IQH233" s="135"/>
      <c r="IQI233" s="135"/>
      <c r="IQJ233" s="135"/>
      <c r="IQK233" s="173"/>
      <c r="IQL233" s="173"/>
      <c r="IQM233" s="173"/>
      <c r="IQN233" s="173"/>
      <c r="IQO233" s="173"/>
      <c r="IQP233" s="173"/>
      <c r="IQQ233" s="173"/>
      <c r="IQR233" s="173"/>
      <c r="IQS233" s="173"/>
      <c r="IQT233" s="173"/>
      <c r="IQU233" s="125"/>
      <c r="IQV233" s="125"/>
      <c r="IQW233" s="134"/>
      <c r="IQX233" s="135"/>
      <c r="IQY233" s="135"/>
      <c r="IQZ233" s="135"/>
      <c r="IRA233" s="135"/>
      <c r="IRB233" s="173"/>
      <c r="IRC233" s="173"/>
      <c r="IRD233" s="173"/>
      <c r="IRE233" s="173"/>
      <c r="IRF233" s="173"/>
      <c r="IRG233" s="173"/>
      <c r="IRH233" s="173"/>
      <c r="IRI233" s="173"/>
      <c r="IRJ233" s="173"/>
      <c r="IRK233" s="173"/>
      <c r="IRL233" s="125"/>
      <c r="IRM233" s="125"/>
      <c r="IRN233" s="134"/>
      <c r="IRO233" s="135"/>
      <c r="IRP233" s="135"/>
      <c r="IRQ233" s="135"/>
      <c r="IRR233" s="135"/>
      <c r="IRS233" s="173"/>
      <c r="IRT233" s="173"/>
      <c r="IRU233" s="173"/>
      <c r="IRV233" s="173"/>
      <c r="IRW233" s="173"/>
      <c r="IRX233" s="173"/>
      <c r="IRY233" s="173"/>
      <c r="IRZ233" s="173"/>
      <c r="ISA233" s="173"/>
      <c r="ISB233" s="173"/>
      <c r="ISC233" s="125"/>
      <c r="ISD233" s="125"/>
      <c r="ISE233" s="134"/>
      <c r="ISF233" s="135"/>
      <c r="ISG233" s="135"/>
      <c r="ISH233" s="135"/>
      <c r="ISI233" s="135"/>
      <c r="ISJ233" s="173"/>
      <c r="ISK233" s="173"/>
      <c r="ISL233" s="173"/>
      <c r="ISM233" s="173"/>
      <c r="ISN233" s="173"/>
      <c r="ISO233" s="173"/>
      <c r="ISP233" s="173"/>
      <c r="ISQ233" s="173"/>
      <c r="ISR233" s="173"/>
      <c r="ISS233" s="173"/>
      <c r="IST233" s="125"/>
      <c r="ISU233" s="125"/>
      <c r="ISV233" s="134"/>
      <c r="ISW233" s="135"/>
      <c r="ISX233" s="135"/>
      <c r="ISY233" s="135"/>
      <c r="ISZ233" s="135"/>
      <c r="ITA233" s="173"/>
      <c r="ITB233" s="173"/>
      <c r="ITC233" s="173"/>
      <c r="ITD233" s="173"/>
      <c r="ITE233" s="173"/>
      <c r="ITF233" s="173"/>
      <c r="ITG233" s="173"/>
      <c r="ITH233" s="173"/>
      <c r="ITI233" s="173"/>
      <c r="ITJ233" s="173"/>
      <c r="ITK233" s="125"/>
      <c r="ITL233" s="125"/>
      <c r="ITM233" s="134"/>
      <c r="ITN233" s="135"/>
      <c r="ITO233" s="135"/>
      <c r="ITP233" s="135"/>
      <c r="ITQ233" s="135"/>
      <c r="ITR233" s="173"/>
      <c r="ITS233" s="173"/>
      <c r="ITT233" s="173"/>
      <c r="ITU233" s="173"/>
      <c r="ITV233" s="173"/>
      <c r="ITW233" s="173"/>
      <c r="ITX233" s="173"/>
      <c r="ITY233" s="173"/>
      <c r="ITZ233" s="173"/>
      <c r="IUA233" s="173"/>
      <c r="IUB233" s="125"/>
      <c r="IUC233" s="125"/>
      <c r="IUD233" s="134"/>
      <c r="IUE233" s="135"/>
      <c r="IUF233" s="135"/>
      <c r="IUG233" s="135"/>
      <c r="IUH233" s="135"/>
      <c r="IUI233" s="173"/>
      <c r="IUJ233" s="173"/>
      <c r="IUK233" s="173"/>
      <c r="IUL233" s="173"/>
      <c r="IUM233" s="173"/>
      <c r="IUN233" s="173"/>
      <c r="IUO233" s="173"/>
      <c r="IUP233" s="173"/>
      <c r="IUQ233" s="173"/>
      <c r="IUR233" s="173"/>
      <c r="IUS233" s="125"/>
      <c r="IUT233" s="125"/>
      <c r="IUU233" s="134"/>
      <c r="IUV233" s="135"/>
      <c r="IUW233" s="135"/>
      <c r="IUX233" s="135"/>
      <c r="IUY233" s="135"/>
      <c r="IUZ233" s="173"/>
      <c r="IVA233" s="173"/>
      <c r="IVB233" s="173"/>
      <c r="IVC233" s="173"/>
      <c r="IVD233" s="173"/>
      <c r="IVE233" s="173"/>
      <c r="IVF233" s="173"/>
      <c r="IVG233" s="173"/>
      <c r="IVH233" s="173"/>
      <c r="IVI233" s="173"/>
      <c r="IVJ233" s="125"/>
      <c r="IVK233" s="125"/>
      <c r="IVL233" s="134"/>
      <c r="IVM233" s="135"/>
      <c r="IVN233" s="135"/>
      <c r="IVO233" s="135"/>
      <c r="IVP233" s="135"/>
      <c r="IVQ233" s="173"/>
      <c r="IVR233" s="173"/>
      <c r="IVS233" s="173"/>
      <c r="IVT233" s="173"/>
      <c r="IVU233" s="173"/>
      <c r="IVV233" s="173"/>
      <c r="IVW233" s="173"/>
      <c r="IVX233" s="173"/>
      <c r="IVY233" s="173"/>
      <c r="IVZ233" s="173"/>
      <c r="IWA233" s="125"/>
      <c r="IWB233" s="125"/>
      <c r="IWC233" s="134"/>
      <c r="IWD233" s="135"/>
      <c r="IWE233" s="135"/>
      <c r="IWF233" s="135"/>
      <c r="IWG233" s="135"/>
      <c r="IWH233" s="173"/>
      <c r="IWI233" s="173"/>
      <c r="IWJ233" s="173"/>
      <c r="IWK233" s="173"/>
      <c r="IWL233" s="173"/>
      <c r="IWM233" s="173"/>
      <c r="IWN233" s="173"/>
      <c r="IWO233" s="173"/>
      <c r="IWP233" s="173"/>
      <c r="IWQ233" s="173"/>
      <c r="IWR233" s="125"/>
      <c r="IWS233" s="125"/>
      <c r="IWT233" s="134"/>
      <c r="IWU233" s="135"/>
      <c r="IWV233" s="135"/>
      <c r="IWW233" s="135"/>
      <c r="IWX233" s="135"/>
      <c r="IWY233" s="173"/>
      <c r="IWZ233" s="173"/>
      <c r="IXA233" s="173"/>
      <c r="IXB233" s="173"/>
      <c r="IXC233" s="173"/>
      <c r="IXD233" s="173"/>
      <c r="IXE233" s="173"/>
      <c r="IXF233" s="173"/>
      <c r="IXG233" s="173"/>
      <c r="IXH233" s="173"/>
      <c r="IXI233" s="125"/>
      <c r="IXJ233" s="125"/>
      <c r="IXK233" s="134"/>
      <c r="IXL233" s="135"/>
      <c r="IXM233" s="135"/>
      <c r="IXN233" s="135"/>
      <c r="IXO233" s="135"/>
      <c r="IXP233" s="173"/>
      <c r="IXQ233" s="173"/>
      <c r="IXR233" s="173"/>
      <c r="IXS233" s="173"/>
      <c r="IXT233" s="173"/>
      <c r="IXU233" s="173"/>
      <c r="IXV233" s="173"/>
      <c r="IXW233" s="173"/>
      <c r="IXX233" s="173"/>
      <c r="IXY233" s="173"/>
      <c r="IXZ233" s="125"/>
      <c r="IYA233" s="125"/>
      <c r="IYB233" s="134"/>
      <c r="IYC233" s="135"/>
      <c r="IYD233" s="135"/>
      <c r="IYE233" s="135"/>
      <c r="IYF233" s="135"/>
      <c r="IYG233" s="173"/>
      <c r="IYH233" s="173"/>
      <c r="IYI233" s="173"/>
      <c r="IYJ233" s="173"/>
      <c r="IYK233" s="173"/>
      <c r="IYL233" s="173"/>
      <c r="IYM233" s="173"/>
      <c r="IYN233" s="173"/>
      <c r="IYO233" s="173"/>
      <c r="IYP233" s="173"/>
      <c r="IYQ233" s="125"/>
      <c r="IYR233" s="125"/>
      <c r="IYS233" s="134"/>
      <c r="IYT233" s="135"/>
      <c r="IYU233" s="135"/>
      <c r="IYV233" s="135"/>
      <c r="IYW233" s="135"/>
      <c r="IYX233" s="173"/>
      <c r="IYY233" s="173"/>
      <c r="IYZ233" s="173"/>
      <c r="IZA233" s="173"/>
      <c r="IZB233" s="173"/>
      <c r="IZC233" s="173"/>
      <c r="IZD233" s="173"/>
      <c r="IZE233" s="173"/>
      <c r="IZF233" s="173"/>
      <c r="IZG233" s="173"/>
      <c r="IZH233" s="125"/>
      <c r="IZI233" s="125"/>
      <c r="IZJ233" s="134"/>
      <c r="IZK233" s="135"/>
      <c r="IZL233" s="135"/>
      <c r="IZM233" s="135"/>
      <c r="IZN233" s="135"/>
      <c r="IZO233" s="173"/>
      <c r="IZP233" s="173"/>
      <c r="IZQ233" s="173"/>
      <c r="IZR233" s="173"/>
      <c r="IZS233" s="173"/>
      <c r="IZT233" s="173"/>
      <c r="IZU233" s="173"/>
      <c r="IZV233" s="173"/>
      <c r="IZW233" s="173"/>
      <c r="IZX233" s="173"/>
      <c r="IZY233" s="125"/>
      <c r="IZZ233" s="125"/>
      <c r="JAA233" s="134"/>
      <c r="JAB233" s="135"/>
      <c r="JAC233" s="135"/>
      <c r="JAD233" s="135"/>
      <c r="JAE233" s="135"/>
      <c r="JAF233" s="173"/>
      <c r="JAG233" s="173"/>
      <c r="JAH233" s="173"/>
      <c r="JAI233" s="173"/>
      <c r="JAJ233" s="173"/>
      <c r="JAK233" s="173"/>
      <c r="JAL233" s="173"/>
      <c r="JAM233" s="173"/>
      <c r="JAN233" s="173"/>
      <c r="JAO233" s="173"/>
      <c r="JAP233" s="125"/>
      <c r="JAQ233" s="125"/>
      <c r="JAR233" s="134"/>
      <c r="JAS233" s="135"/>
      <c r="JAT233" s="135"/>
      <c r="JAU233" s="135"/>
      <c r="JAV233" s="135"/>
      <c r="JAW233" s="173"/>
      <c r="JAX233" s="173"/>
      <c r="JAY233" s="173"/>
      <c r="JAZ233" s="173"/>
      <c r="JBA233" s="173"/>
      <c r="JBB233" s="173"/>
      <c r="JBC233" s="173"/>
      <c r="JBD233" s="173"/>
      <c r="JBE233" s="173"/>
      <c r="JBF233" s="173"/>
      <c r="JBG233" s="125"/>
      <c r="JBH233" s="125"/>
      <c r="JBI233" s="134"/>
      <c r="JBJ233" s="135"/>
      <c r="JBK233" s="135"/>
      <c r="JBL233" s="135"/>
      <c r="JBM233" s="135"/>
      <c r="JBN233" s="173"/>
      <c r="JBO233" s="173"/>
      <c r="JBP233" s="173"/>
      <c r="JBQ233" s="173"/>
      <c r="JBR233" s="173"/>
      <c r="JBS233" s="173"/>
      <c r="JBT233" s="173"/>
      <c r="JBU233" s="173"/>
      <c r="JBV233" s="173"/>
      <c r="JBW233" s="173"/>
      <c r="JBX233" s="125"/>
      <c r="JBY233" s="125"/>
      <c r="JBZ233" s="134"/>
      <c r="JCA233" s="135"/>
      <c r="JCB233" s="135"/>
      <c r="JCC233" s="135"/>
      <c r="JCD233" s="135"/>
      <c r="JCE233" s="173"/>
      <c r="JCF233" s="173"/>
      <c r="JCG233" s="173"/>
      <c r="JCH233" s="173"/>
      <c r="JCI233" s="173"/>
      <c r="JCJ233" s="173"/>
      <c r="JCK233" s="173"/>
      <c r="JCL233" s="173"/>
      <c r="JCM233" s="173"/>
      <c r="JCN233" s="173"/>
      <c r="JCO233" s="125"/>
      <c r="JCP233" s="125"/>
      <c r="JCQ233" s="134"/>
      <c r="JCR233" s="135"/>
      <c r="JCS233" s="135"/>
      <c r="JCT233" s="135"/>
      <c r="JCU233" s="135"/>
      <c r="JCV233" s="173"/>
      <c r="JCW233" s="173"/>
      <c r="JCX233" s="173"/>
      <c r="JCY233" s="173"/>
      <c r="JCZ233" s="173"/>
      <c r="JDA233" s="173"/>
      <c r="JDB233" s="173"/>
      <c r="JDC233" s="173"/>
      <c r="JDD233" s="173"/>
      <c r="JDE233" s="173"/>
      <c r="JDF233" s="125"/>
      <c r="JDG233" s="125"/>
      <c r="JDH233" s="134"/>
      <c r="JDI233" s="135"/>
      <c r="JDJ233" s="135"/>
      <c r="JDK233" s="135"/>
      <c r="JDL233" s="135"/>
      <c r="JDM233" s="173"/>
      <c r="JDN233" s="173"/>
      <c r="JDO233" s="173"/>
      <c r="JDP233" s="173"/>
      <c r="JDQ233" s="173"/>
      <c r="JDR233" s="173"/>
      <c r="JDS233" s="173"/>
      <c r="JDT233" s="173"/>
      <c r="JDU233" s="173"/>
      <c r="JDV233" s="173"/>
      <c r="JDW233" s="125"/>
      <c r="JDX233" s="125"/>
      <c r="JDY233" s="134"/>
      <c r="JDZ233" s="135"/>
      <c r="JEA233" s="135"/>
      <c r="JEB233" s="135"/>
      <c r="JEC233" s="135"/>
      <c r="JED233" s="173"/>
      <c r="JEE233" s="173"/>
      <c r="JEF233" s="173"/>
      <c r="JEG233" s="173"/>
      <c r="JEH233" s="173"/>
      <c r="JEI233" s="173"/>
      <c r="JEJ233" s="173"/>
      <c r="JEK233" s="173"/>
      <c r="JEL233" s="173"/>
      <c r="JEM233" s="173"/>
      <c r="JEN233" s="125"/>
      <c r="JEO233" s="125"/>
      <c r="JEP233" s="134"/>
      <c r="JEQ233" s="135"/>
      <c r="JER233" s="135"/>
      <c r="JES233" s="135"/>
      <c r="JET233" s="135"/>
      <c r="JEU233" s="173"/>
      <c r="JEV233" s="173"/>
      <c r="JEW233" s="173"/>
      <c r="JEX233" s="173"/>
      <c r="JEY233" s="173"/>
      <c r="JEZ233" s="173"/>
      <c r="JFA233" s="173"/>
      <c r="JFB233" s="173"/>
      <c r="JFC233" s="173"/>
      <c r="JFD233" s="173"/>
      <c r="JFE233" s="125"/>
      <c r="JFF233" s="125"/>
      <c r="JFG233" s="134"/>
      <c r="JFH233" s="135"/>
      <c r="JFI233" s="135"/>
      <c r="JFJ233" s="135"/>
      <c r="JFK233" s="135"/>
      <c r="JFL233" s="173"/>
      <c r="JFM233" s="173"/>
      <c r="JFN233" s="173"/>
      <c r="JFO233" s="173"/>
      <c r="JFP233" s="173"/>
      <c r="JFQ233" s="173"/>
      <c r="JFR233" s="173"/>
      <c r="JFS233" s="173"/>
      <c r="JFT233" s="173"/>
      <c r="JFU233" s="173"/>
      <c r="JFV233" s="125"/>
      <c r="JFW233" s="125"/>
      <c r="JFX233" s="134"/>
      <c r="JFY233" s="135"/>
      <c r="JFZ233" s="135"/>
      <c r="JGA233" s="135"/>
      <c r="JGB233" s="135"/>
      <c r="JGC233" s="173"/>
      <c r="JGD233" s="173"/>
      <c r="JGE233" s="173"/>
      <c r="JGF233" s="173"/>
      <c r="JGG233" s="173"/>
      <c r="JGH233" s="173"/>
      <c r="JGI233" s="173"/>
      <c r="JGJ233" s="173"/>
      <c r="JGK233" s="173"/>
      <c r="JGL233" s="173"/>
      <c r="JGM233" s="125"/>
      <c r="JGN233" s="125"/>
      <c r="JGO233" s="134"/>
      <c r="JGP233" s="135"/>
      <c r="JGQ233" s="135"/>
      <c r="JGR233" s="135"/>
      <c r="JGS233" s="135"/>
      <c r="JGT233" s="173"/>
      <c r="JGU233" s="173"/>
      <c r="JGV233" s="173"/>
      <c r="JGW233" s="173"/>
      <c r="JGX233" s="173"/>
      <c r="JGY233" s="173"/>
      <c r="JGZ233" s="173"/>
      <c r="JHA233" s="173"/>
      <c r="JHB233" s="173"/>
      <c r="JHC233" s="173"/>
      <c r="JHD233" s="125"/>
      <c r="JHE233" s="125"/>
      <c r="JHF233" s="134"/>
      <c r="JHG233" s="135"/>
      <c r="JHH233" s="135"/>
      <c r="JHI233" s="135"/>
      <c r="JHJ233" s="135"/>
      <c r="JHK233" s="173"/>
      <c r="JHL233" s="173"/>
      <c r="JHM233" s="173"/>
      <c r="JHN233" s="173"/>
      <c r="JHO233" s="173"/>
      <c r="JHP233" s="173"/>
      <c r="JHQ233" s="173"/>
      <c r="JHR233" s="173"/>
      <c r="JHS233" s="173"/>
      <c r="JHT233" s="173"/>
      <c r="JHU233" s="125"/>
      <c r="JHV233" s="125"/>
      <c r="JHW233" s="134"/>
      <c r="JHX233" s="135"/>
      <c r="JHY233" s="135"/>
      <c r="JHZ233" s="135"/>
      <c r="JIA233" s="135"/>
      <c r="JIB233" s="173"/>
      <c r="JIC233" s="173"/>
      <c r="JID233" s="173"/>
      <c r="JIE233" s="173"/>
      <c r="JIF233" s="173"/>
      <c r="JIG233" s="173"/>
      <c r="JIH233" s="173"/>
      <c r="JII233" s="173"/>
      <c r="JIJ233" s="173"/>
      <c r="JIK233" s="173"/>
      <c r="JIL233" s="125"/>
      <c r="JIM233" s="125"/>
      <c r="JIN233" s="134"/>
      <c r="JIO233" s="135"/>
      <c r="JIP233" s="135"/>
      <c r="JIQ233" s="135"/>
      <c r="JIR233" s="135"/>
      <c r="JIS233" s="173"/>
      <c r="JIT233" s="173"/>
      <c r="JIU233" s="173"/>
      <c r="JIV233" s="173"/>
      <c r="JIW233" s="173"/>
      <c r="JIX233" s="173"/>
      <c r="JIY233" s="173"/>
      <c r="JIZ233" s="173"/>
      <c r="JJA233" s="173"/>
      <c r="JJB233" s="173"/>
      <c r="JJC233" s="125"/>
      <c r="JJD233" s="125"/>
      <c r="JJE233" s="134"/>
      <c r="JJF233" s="135"/>
      <c r="JJG233" s="135"/>
      <c r="JJH233" s="135"/>
      <c r="JJI233" s="135"/>
      <c r="JJJ233" s="173"/>
      <c r="JJK233" s="173"/>
      <c r="JJL233" s="173"/>
      <c r="JJM233" s="173"/>
      <c r="JJN233" s="173"/>
      <c r="JJO233" s="173"/>
      <c r="JJP233" s="173"/>
      <c r="JJQ233" s="173"/>
      <c r="JJR233" s="173"/>
      <c r="JJS233" s="173"/>
      <c r="JJT233" s="125"/>
      <c r="JJU233" s="125"/>
      <c r="JJV233" s="134"/>
      <c r="JJW233" s="135"/>
      <c r="JJX233" s="135"/>
      <c r="JJY233" s="135"/>
      <c r="JJZ233" s="135"/>
      <c r="JKA233" s="173"/>
      <c r="JKB233" s="173"/>
      <c r="JKC233" s="173"/>
      <c r="JKD233" s="173"/>
      <c r="JKE233" s="173"/>
      <c r="JKF233" s="173"/>
      <c r="JKG233" s="173"/>
      <c r="JKH233" s="173"/>
      <c r="JKI233" s="173"/>
      <c r="JKJ233" s="173"/>
      <c r="JKK233" s="125"/>
      <c r="JKL233" s="125"/>
      <c r="JKM233" s="134"/>
      <c r="JKN233" s="135"/>
      <c r="JKO233" s="135"/>
      <c r="JKP233" s="135"/>
      <c r="JKQ233" s="135"/>
      <c r="JKR233" s="173"/>
      <c r="JKS233" s="173"/>
      <c r="JKT233" s="173"/>
      <c r="JKU233" s="173"/>
      <c r="JKV233" s="173"/>
      <c r="JKW233" s="173"/>
      <c r="JKX233" s="173"/>
      <c r="JKY233" s="173"/>
      <c r="JKZ233" s="173"/>
      <c r="JLA233" s="173"/>
      <c r="JLB233" s="125"/>
      <c r="JLC233" s="125"/>
      <c r="JLD233" s="134"/>
      <c r="JLE233" s="135"/>
      <c r="JLF233" s="135"/>
      <c r="JLG233" s="135"/>
      <c r="JLH233" s="135"/>
      <c r="JLI233" s="173"/>
      <c r="JLJ233" s="173"/>
      <c r="JLK233" s="173"/>
      <c r="JLL233" s="173"/>
      <c r="JLM233" s="173"/>
      <c r="JLN233" s="173"/>
      <c r="JLO233" s="173"/>
      <c r="JLP233" s="173"/>
      <c r="JLQ233" s="173"/>
      <c r="JLR233" s="173"/>
      <c r="JLS233" s="125"/>
      <c r="JLT233" s="125"/>
      <c r="JLU233" s="134"/>
      <c r="JLV233" s="135"/>
      <c r="JLW233" s="135"/>
      <c r="JLX233" s="135"/>
      <c r="JLY233" s="135"/>
      <c r="JLZ233" s="173"/>
      <c r="JMA233" s="173"/>
      <c r="JMB233" s="173"/>
      <c r="JMC233" s="173"/>
      <c r="JMD233" s="173"/>
      <c r="JME233" s="173"/>
      <c r="JMF233" s="173"/>
      <c r="JMG233" s="173"/>
      <c r="JMH233" s="173"/>
      <c r="JMI233" s="173"/>
      <c r="JMJ233" s="125"/>
      <c r="JMK233" s="125"/>
      <c r="JML233" s="134"/>
      <c r="JMM233" s="135"/>
      <c r="JMN233" s="135"/>
      <c r="JMO233" s="135"/>
      <c r="JMP233" s="135"/>
      <c r="JMQ233" s="173"/>
      <c r="JMR233" s="173"/>
      <c r="JMS233" s="173"/>
      <c r="JMT233" s="173"/>
      <c r="JMU233" s="173"/>
      <c r="JMV233" s="173"/>
      <c r="JMW233" s="173"/>
      <c r="JMX233" s="173"/>
      <c r="JMY233" s="173"/>
      <c r="JMZ233" s="173"/>
      <c r="JNA233" s="125"/>
      <c r="JNB233" s="125"/>
      <c r="JNC233" s="134"/>
      <c r="JND233" s="135"/>
      <c r="JNE233" s="135"/>
      <c r="JNF233" s="135"/>
      <c r="JNG233" s="135"/>
      <c r="JNH233" s="173"/>
      <c r="JNI233" s="173"/>
      <c r="JNJ233" s="173"/>
      <c r="JNK233" s="173"/>
      <c r="JNL233" s="173"/>
      <c r="JNM233" s="173"/>
      <c r="JNN233" s="173"/>
      <c r="JNO233" s="173"/>
      <c r="JNP233" s="173"/>
      <c r="JNQ233" s="173"/>
      <c r="JNR233" s="125"/>
      <c r="JNS233" s="125"/>
      <c r="JNT233" s="134"/>
      <c r="JNU233" s="135"/>
      <c r="JNV233" s="135"/>
      <c r="JNW233" s="135"/>
      <c r="JNX233" s="135"/>
      <c r="JNY233" s="173"/>
      <c r="JNZ233" s="173"/>
      <c r="JOA233" s="173"/>
      <c r="JOB233" s="173"/>
      <c r="JOC233" s="173"/>
      <c r="JOD233" s="173"/>
      <c r="JOE233" s="173"/>
      <c r="JOF233" s="173"/>
      <c r="JOG233" s="173"/>
      <c r="JOH233" s="173"/>
      <c r="JOI233" s="125"/>
      <c r="JOJ233" s="125"/>
      <c r="JOK233" s="134"/>
      <c r="JOL233" s="135"/>
      <c r="JOM233" s="135"/>
      <c r="JON233" s="135"/>
      <c r="JOO233" s="135"/>
      <c r="JOP233" s="173"/>
      <c r="JOQ233" s="173"/>
      <c r="JOR233" s="173"/>
      <c r="JOS233" s="173"/>
      <c r="JOT233" s="173"/>
      <c r="JOU233" s="173"/>
      <c r="JOV233" s="173"/>
      <c r="JOW233" s="173"/>
      <c r="JOX233" s="173"/>
      <c r="JOY233" s="173"/>
      <c r="JOZ233" s="125"/>
      <c r="JPA233" s="125"/>
      <c r="JPB233" s="134"/>
      <c r="JPC233" s="135"/>
      <c r="JPD233" s="135"/>
      <c r="JPE233" s="135"/>
      <c r="JPF233" s="135"/>
      <c r="JPG233" s="173"/>
      <c r="JPH233" s="173"/>
      <c r="JPI233" s="173"/>
      <c r="JPJ233" s="173"/>
      <c r="JPK233" s="173"/>
      <c r="JPL233" s="173"/>
      <c r="JPM233" s="173"/>
      <c r="JPN233" s="173"/>
      <c r="JPO233" s="173"/>
      <c r="JPP233" s="173"/>
      <c r="JPQ233" s="125"/>
      <c r="JPR233" s="125"/>
      <c r="JPS233" s="134"/>
      <c r="JPT233" s="135"/>
      <c r="JPU233" s="135"/>
      <c r="JPV233" s="135"/>
      <c r="JPW233" s="135"/>
      <c r="JPX233" s="173"/>
      <c r="JPY233" s="173"/>
      <c r="JPZ233" s="173"/>
      <c r="JQA233" s="173"/>
      <c r="JQB233" s="173"/>
      <c r="JQC233" s="173"/>
      <c r="JQD233" s="173"/>
      <c r="JQE233" s="173"/>
      <c r="JQF233" s="173"/>
      <c r="JQG233" s="173"/>
      <c r="JQH233" s="125"/>
      <c r="JQI233" s="125"/>
      <c r="JQJ233" s="134"/>
      <c r="JQK233" s="135"/>
      <c r="JQL233" s="135"/>
      <c r="JQM233" s="135"/>
      <c r="JQN233" s="135"/>
      <c r="JQO233" s="173"/>
      <c r="JQP233" s="173"/>
      <c r="JQQ233" s="173"/>
      <c r="JQR233" s="173"/>
      <c r="JQS233" s="173"/>
      <c r="JQT233" s="173"/>
      <c r="JQU233" s="173"/>
      <c r="JQV233" s="173"/>
      <c r="JQW233" s="173"/>
      <c r="JQX233" s="173"/>
      <c r="JQY233" s="125"/>
      <c r="JQZ233" s="125"/>
      <c r="JRA233" s="134"/>
      <c r="JRB233" s="135"/>
      <c r="JRC233" s="135"/>
      <c r="JRD233" s="135"/>
      <c r="JRE233" s="135"/>
      <c r="JRF233" s="173"/>
      <c r="JRG233" s="173"/>
      <c r="JRH233" s="173"/>
      <c r="JRI233" s="173"/>
      <c r="JRJ233" s="173"/>
      <c r="JRK233" s="173"/>
      <c r="JRL233" s="173"/>
      <c r="JRM233" s="173"/>
      <c r="JRN233" s="173"/>
      <c r="JRO233" s="173"/>
      <c r="JRP233" s="125"/>
      <c r="JRQ233" s="125"/>
      <c r="JRR233" s="134"/>
      <c r="JRS233" s="135"/>
      <c r="JRT233" s="135"/>
      <c r="JRU233" s="135"/>
      <c r="JRV233" s="135"/>
      <c r="JRW233" s="173"/>
      <c r="JRX233" s="173"/>
      <c r="JRY233" s="173"/>
      <c r="JRZ233" s="173"/>
      <c r="JSA233" s="173"/>
      <c r="JSB233" s="173"/>
      <c r="JSC233" s="173"/>
      <c r="JSD233" s="173"/>
      <c r="JSE233" s="173"/>
      <c r="JSF233" s="173"/>
      <c r="JSG233" s="125"/>
      <c r="JSH233" s="125"/>
      <c r="JSI233" s="134"/>
      <c r="JSJ233" s="135"/>
      <c r="JSK233" s="135"/>
      <c r="JSL233" s="135"/>
      <c r="JSM233" s="135"/>
      <c r="JSN233" s="173"/>
      <c r="JSO233" s="173"/>
      <c r="JSP233" s="173"/>
      <c r="JSQ233" s="173"/>
      <c r="JSR233" s="173"/>
      <c r="JSS233" s="173"/>
      <c r="JST233" s="173"/>
      <c r="JSU233" s="173"/>
      <c r="JSV233" s="173"/>
      <c r="JSW233" s="173"/>
      <c r="JSX233" s="125"/>
      <c r="JSY233" s="125"/>
      <c r="JSZ233" s="134"/>
      <c r="JTA233" s="135"/>
      <c r="JTB233" s="135"/>
      <c r="JTC233" s="135"/>
      <c r="JTD233" s="135"/>
      <c r="JTE233" s="173"/>
      <c r="JTF233" s="173"/>
      <c r="JTG233" s="173"/>
      <c r="JTH233" s="173"/>
      <c r="JTI233" s="173"/>
      <c r="JTJ233" s="173"/>
      <c r="JTK233" s="173"/>
      <c r="JTL233" s="173"/>
      <c r="JTM233" s="173"/>
      <c r="JTN233" s="173"/>
      <c r="JTO233" s="125"/>
      <c r="JTP233" s="125"/>
      <c r="JTQ233" s="134"/>
      <c r="JTR233" s="135"/>
      <c r="JTS233" s="135"/>
      <c r="JTT233" s="135"/>
      <c r="JTU233" s="135"/>
      <c r="JTV233" s="173"/>
      <c r="JTW233" s="173"/>
      <c r="JTX233" s="173"/>
      <c r="JTY233" s="173"/>
      <c r="JTZ233" s="173"/>
      <c r="JUA233" s="173"/>
      <c r="JUB233" s="173"/>
      <c r="JUC233" s="173"/>
      <c r="JUD233" s="173"/>
      <c r="JUE233" s="173"/>
      <c r="JUF233" s="125"/>
      <c r="JUG233" s="125"/>
      <c r="JUH233" s="134"/>
      <c r="JUI233" s="135"/>
      <c r="JUJ233" s="135"/>
      <c r="JUK233" s="135"/>
      <c r="JUL233" s="135"/>
      <c r="JUM233" s="173"/>
      <c r="JUN233" s="173"/>
      <c r="JUO233" s="173"/>
      <c r="JUP233" s="173"/>
      <c r="JUQ233" s="173"/>
      <c r="JUR233" s="173"/>
      <c r="JUS233" s="173"/>
      <c r="JUT233" s="173"/>
      <c r="JUU233" s="173"/>
      <c r="JUV233" s="173"/>
      <c r="JUW233" s="125"/>
      <c r="JUX233" s="125"/>
      <c r="JUY233" s="134"/>
      <c r="JUZ233" s="135"/>
      <c r="JVA233" s="135"/>
      <c r="JVB233" s="135"/>
      <c r="JVC233" s="135"/>
      <c r="JVD233" s="173"/>
      <c r="JVE233" s="173"/>
      <c r="JVF233" s="173"/>
      <c r="JVG233" s="173"/>
      <c r="JVH233" s="173"/>
      <c r="JVI233" s="173"/>
      <c r="JVJ233" s="173"/>
      <c r="JVK233" s="173"/>
      <c r="JVL233" s="173"/>
      <c r="JVM233" s="173"/>
      <c r="JVN233" s="125"/>
      <c r="JVO233" s="125"/>
      <c r="JVP233" s="134"/>
      <c r="JVQ233" s="135"/>
      <c r="JVR233" s="135"/>
      <c r="JVS233" s="135"/>
      <c r="JVT233" s="135"/>
      <c r="JVU233" s="173"/>
      <c r="JVV233" s="173"/>
      <c r="JVW233" s="173"/>
      <c r="JVX233" s="173"/>
      <c r="JVY233" s="173"/>
      <c r="JVZ233" s="173"/>
      <c r="JWA233" s="173"/>
      <c r="JWB233" s="173"/>
      <c r="JWC233" s="173"/>
      <c r="JWD233" s="173"/>
      <c r="JWE233" s="125"/>
      <c r="JWF233" s="125"/>
      <c r="JWG233" s="134"/>
      <c r="JWH233" s="135"/>
      <c r="JWI233" s="135"/>
      <c r="JWJ233" s="135"/>
      <c r="JWK233" s="135"/>
      <c r="JWL233" s="173"/>
      <c r="JWM233" s="173"/>
      <c r="JWN233" s="173"/>
      <c r="JWO233" s="173"/>
      <c r="JWP233" s="173"/>
      <c r="JWQ233" s="173"/>
      <c r="JWR233" s="173"/>
      <c r="JWS233" s="173"/>
      <c r="JWT233" s="173"/>
      <c r="JWU233" s="173"/>
      <c r="JWV233" s="125"/>
      <c r="JWW233" s="125"/>
      <c r="JWX233" s="134"/>
      <c r="JWY233" s="135"/>
      <c r="JWZ233" s="135"/>
      <c r="JXA233" s="135"/>
      <c r="JXB233" s="135"/>
      <c r="JXC233" s="173"/>
      <c r="JXD233" s="173"/>
      <c r="JXE233" s="173"/>
      <c r="JXF233" s="173"/>
      <c r="JXG233" s="173"/>
      <c r="JXH233" s="173"/>
      <c r="JXI233" s="173"/>
      <c r="JXJ233" s="173"/>
      <c r="JXK233" s="173"/>
      <c r="JXL233" s="173"/>
      <c r="JXM233" s="125"/>
      <c r="JXN233" s="125"/>
      <c r="JXO233" s="134"/>
      <c r="JXP233" s="135"/>
      <c r="JXQ233" s="135"/>
      <c r="JXR233" s="135"/>
      <c r="JXS233" s="135"/>
      <c r="JXT233" s="173"/>
      <c r="JXU233" s="173"/>
      <c r="JXV233" s="173"/>
      <c r="JXW233" s="173"/>
      <c r="JXX233" s="173"/>
      <c r="JXY233" s="173"/>
      <c r="JXZ233" s="173"/>
      <c r="JYA233" s="173"/>
      <c r="JYB233" s="173"/>
      <c r="JYC233" s="173"/>
      <c r="JYD233" s="125"/>
      <c r="JYE233" s="125"/>
      <c r="JYF233" s="134"/>
      <c r="JYG233" s="135"/>
      <c r="JYH233" s="135"/>
      <c r="JYI233" s="135"/>
      <c r="JYJ233" s="135"/>
      <c r="JYK233" s="173"/>
      <c r="JYL233" s="173"/>
      <c r="JYM233" s="173"/>
      <c r="JYN233" s="173"/>
      <c r="JYO233" s="173"/>
      <c r="JYP233" s="173"/>
      <c r="JYQ233" s="173"/>
      <c r="JYR233" s="173"/>
      <c r="JYS233" s="173"/>
      <c r="JYT233" s="173"/>
      <c r="JYU233" s="125"/>
      <c r="JYV233" s="125"/>
      <c r="JYW233" s="134"/>
      <c r="JYX233" s="135"/>
      <c r="JYY233" s="135"/>
      <c r="JYZ233" s="135"/>
      <c r="JZA233" s="135"/>
      <c r="JZB233" s="173"/>
      <c r="JZC233" s="173"/>
      <c r="JZD233" s="173"/>
      <c r="JZE233" s="173"/>
      <c r="JZF233" s="173"/>
      <c r="JZG233" s="173"/>
      <c r="JZH233" s="173"/>
      <c r="JZI233" s="173"/>
      <c r="JZJ233" s="173"/>
      <c r="JZK233" s="173"/>
      <c r="JZL233" s="125"/>
      <c r="JZM233" s="125"/>
      <c r="JZN233" s="134"/>
      <c r="JZO233" s="135"/>
      <c r="JZP233" s="135"/>
      <c r="JZQ233" s="135"/>
      <c r="JZR233" s="135"/>
      <c r="JZS233" s="173"/>
      <c r="JZT233" s="173"/>
      <c r="JZU233" s="173"/>
      <c r="JZV233" s="173"/>
      <c r="JZW233" s="173"/>
      <c r="JZX233" s="173"/>
      <c r="JZY233" s="173"/>
      <c r="JZZ233" s="173"/>
      <c r="KAA233" s="173"/>
      <c r="KAB233" s="173"/>
      <c r="KAC233" s="125"/>
      <c r="KAD233" s="125"/>
      <c r="KAE233" s="134"/>
      <c r="KAF233" s="135"/>
      <c r="KAG233" s="135"/>
      <c r="KAH233" s="135"/>
      <c r="KAI233" s="135"/>
      <c r="KAJ233" s="173"/>
      <c r="KAK233" s="173"/>
      <c r="KAL233" s="173"/>
      <c r="KAM233" s="173"/>
      <c r="KAN233" s="173"/>
      <c r="KAO233" s="173"/>
      <c r="KAP233" s="173"/>
      <c r="KAQ233" s="173"/>
      <c r="KAR233" s="173"/>
      <c r="KAS233" s="173"/>
      <c r="KAT233" s="125"/>
      <c r="KAU233" s="125"/>
      <c r="KAV233" s="134"/>
      <c r="KAW233" s="135"/>
      <c r="KAX233" s="135"/>
      <c r="KAY233" s="135"/>
      <c r="KAZ233" s="135"/>
      <c r="KBA233" s="173"/>
      <c r="KBB233" s="173"/>
      <c r="KBC233" s="173"/>
      <c r="KBD233" s="173"/>
      <c r="KBE233" s="173"/>
      <c r="KBF233" s="173"/>
      <c r="KBG233" s="173"/>
      <c r="KBH233" s="173"/>
      <c r="KBI233" s="173"/>
      <c r="KBJ233" s="173"/>
      <c r="KBK233" s="125"/>
      <c r="KBL233" s="125"/>
      <c r="KBM233" s="134"/>
      <c r="KBN233" s="135"/>
      <c r="KBO233" s="135"/>
      <c r="KBP233" s="135"/>
      <c r="KBQ233" s="135"/>
      <c r="KBR233" s="173"/>
      <c r="KBS233" s="173"/>
      <c r="KBT233" s="173"/>
      <c r="KBU233" s="173"/>
      <c r="KBV233" s="173"/>
      <c r="KBW233" s="173"/>
      <c r="KBX233" s="173"/>
      <c r="KBY233" s="173"/>
      <c r="KBZ233" s="173"/>
      <c r="KCA233" s="173"/>
      <c r="KCB233" s="125"/>
      <c r="KCC233" s="125"/>
      <c r="KCD233" s="134"/>
      <c r="KCE233" s="135"/>
      <c r="KCF233" s="135"/>
      <c r="KCG233" s="135"/>
      <c r="KCH233" s="135"/>
      <c r="KCI233" s="173"/>
      <c r="KCJ233" s="173"/>
      <c r="KCK233" s="173"/>
      <c r="KCL233" s="173"/>
      <c r="KCM233" s="173"/>
      <c r="KCN233" s="173"/>
      <c r="KCO233" s="173"/>
      <c r="KCP233" s="173"/>
      <c r="KCQ233" s="173"/>
      <c r="KCR233" s="173"/>
      <c r="KCS233" s="125"/>
      <c r="KCT233" s="125"/>
      <c r="KCU233" s="134"/>
      <c r="KCV233" s="135"/>
      <c r="KCW233" s="135"/>
      <c r="KCX233" s="135"/>
      <c r="KCY233" s="135"/>
      <c r="KCZ233" s="173"/>
      <c r="KDA233" s="173"/>
      <c r="KDB233" s="173"/>
      <c r="KDC233" s="173"/>
      <c r="KDD233" s="173"/>
      <c r="KDE233" s="173"/>
      <c r="KDF233" s="173"/>
      <c r="KDG233" s="173"/>
      <c r="KDH233" s="173"/>
      <c r="KDI233" s="173"/>
      <c r="KDJ233" s="125"/>
      <c r="KDK233" s="125"/>
      <c r="KDL233" s="134"/>
      <c r="KDM233" s="135"/>
      <c r="KDN233" s="135"/>
      <c r="KDO233" s="135"/>
      <c r="KDP233" s="135"/>
      <c r="KDQ233" s="173"/>
      <c r="KDR233" s="173"/>
      <c r="KDS233" s="173"/>
      <c r="KDT233" s="173"/>
      <c r="KDU233" s="173"/>
      <c r="KDV233" s="173"/>
      <c r="KDW233" s="173"/>
      <c r="KDX233" s="173"/>
      <c r="KDY233" s="173"/>
      <c r="KDZ233" s="173"/>
      <c r="KEA233" s="125"/>
      <c r="KEB233" s="125"/>
      <c r="KEC233" s="134"/>
      <c r="KED233" s="135"/>
      <c r="KEE233" s="135"/>
      <c r="KEF233" s="135"/>
      <c r="KEG233" s="135"/>
      <c r="KEH233" s="173"/>
      <c r="KEI233" s="173"/>
      <c r="KEJ233" s="173"/>
      <c r="KEK233" s="173"/>
      <c r="KEL233" s="173"/>
      <c r="KEM233" s="173"/>
      <c r="KEN233" s="173"/>
      <c r="KEO233" s="173"/>
      <c r="KEP233" s="173"/>
      <c r="KEQ233" s="173"/>
      <c r="KER233" s="125"/>
      <c r="KES233" s="125"/>
      <c r="KET233" s="134"/>
      <c r="KEU233" s="135"/>
      <c r="KEV233" s="135"/>
      <c r="KEW233" s="135"/>
      <c r="KEX233" s="135"/>
      <c r="KEY233" s="173"/>
      <c r="KEZ233" s="173"/>
      <c r="KFA233" s="173"/>
      <c r="KFB233" s="173"/>
      <c r="KFC233" s="173"/>
      <c r="KFD233" s="173"/>
      <c r="KFE233" s="173"/>
      <c r="KFF233" s="173"/>
      <c r="KFG233" s="173"/>
      <c r="KFH233" s="173"/>
      <c r="KFI233" s="125"/>
      <c r="KFJ233" s="125"/>
      <c r="KFK233" s="134"/>
      <c r="KFL233" s="135"/>
      <c r="KFM233" s="135"/>
      <c r="KFN233" s="135"/>
      <c r="KFO233" s="135"/>
      <c r="KFP233" s="173"/>
      <c r="KFQ233" s="173"/>
      <c r="KFR233" s="173"/>
      <c r="KFS233" s="173"/>
      <c r="KFT233" s="173"/>
      <c r="KFU233" s="173"/>
      <c r="KFV233" s="173"/>
      <c r="KFW233" s="173"/>
      <c r="KFX233" s="173"/>
      <c r="KFY233" s="173"/>
      <c r="KFZ233" s="125"/>
      <c r="KGA233" s="125"/>
      <c r="KGB233" s="134"/>
      <c r="KGC233" s="135"/>
      <c r="KGD233" s="135"/>
      <c r="KGE233" s="135"/>
      <c r="KGF233" s="135"/>
      <c r="KGG233" s="173"/>
      <c r="KGH233" s="173"/>
      <c r="KGI233" s="173"/>
      <c r="KGJ233" s="173"/>
      <c r="KGK233" s="173"/>
      <c r="KGL233" s="173"/>
      <c r="KGM233" s="173"/>
      <c r="KGN233" s="173"/>
      <c r="KGO233" s="173"/>
      <c r="KGP233" s="173"/>
      <c r="KGQ233" s="125"/>
      <c r="KGR233" s="125"/>
      <c r="KGS233" s="134"/>
      <c r="KGT233" s="135"/>
      <c r="KGU233" s="135"/>
      <c r="KGV233" s="135"/>
      <c r="KGW233" s="135"/>
      <c r="KGX233" s="173"/>
      <c r="KGY233" s="173"/>
      <c r="KGZ233" s="173"/>
      <c r="KHA233" s="173"/>
      <c r="KHB233" s="173"/>
      <c r="KHC233" s="173"/>
      <c r="KHD233" s="173"/>
      <c r="KHE233" s="173"/>
      <c r="KHF233" s="173"/>
      <c r="KHG233" s="173"/>
      <c r="KHH233" s="125"/>
      <c r="KHI233" s="125"/>
      <c r="KHJ233" s="134"/>
      <c r="KHK233" s="135"/>
      <c r="KHL233" s="135"/>
      <c r="KHM233" s="135"/>
      <c r="KHN233" s="135"/>
      <c r="KHO233" s="173"/>
      <c r="KHP233" s="173"/>
      <c r="KHQ233" s="173"/>
      <c r="KHR233" s="173"/>
      <c r="KHS233" s="173"/>
      <c r="KHT233" s="173"/>
      <c r="KHU233" s="173"/>
      <c r="KHV233" s="173"/>
      <c r="KHW233" s="173"/>
      <c r="KHX233" s="173"/>
      <c r="KHY233" s="125"/>
      <c r="KHZ233" s="125"/>
      <c r="KIA233" s="134"/>
      <c r="KIB233" s="135"/>
      <c r="KIC233" s="135"/>
      <c r="KID233" s="135"/>
      <c r="KIE233" s="135"/>
      <c r="KIF233" s="173"/>
      <c r="KIG233" s="173"/>
      <c r="KIH233" s="173"/>
      <c r="KII233" s="173"/>
      <c r="KIJ233" s="173"/>
      <c r="KIK233" s="173"/>
      <c r="KIL233" s="173"/>
      <c r="KIM233" s="173"/>
      <c r="KIN233" s="173"/>
      <c r="KIO233" s="173"/>
      <c r="KIP233" s="125"/>
      <c r="KIQ233" s="125"/>
      <c r="KIR233" s="134"/>
      <c r="KIS233" s="135"/>
      <c r="KIT233" s="135"/>
      <c r="KIU233" s="135"/>
      <c r="KIV233" s="135"/>
      <c r="KIW233" s="173"/>
      <c r="KIX233" s="173"/>
      <c r="KIY233" s="173"/>
      <c r="KIZ233" s="173"/>
      <c r="KJA233" s="173"/>
      <c r="KJB233" s="173"/>
      <c r="KJC233" s="173"/>
      <c r="KJD233" s="173"/>
      <c r="KJE233" s="173"/>
      <c r="KJF233" s="173"/>
      <c r="KJG233" s="125"/>
      <c r="KJH233" s="125"/>
      <c r="KJI233" s="134"/>
      <c r="KJJ233" s="135"/>
      <c r="KJK233" s="135"/>
      <c r="KJL233" s="135"/>
      <c r="KJM233" s="135"/>
      <c r="KJN233" s="173"/>
      <c r="KJO233" s="173"/>
      <c r="KJP233" s="173"/>
      <c r="KJQ233" s="173"/>
      <c r="KJR233" s="173"/>
      <c r="KJS233" s="173"/>
      <c r="KJT233" s="173"/>
      <c r="KJU233" s="173"/>
      <c r="KJV233" s="173"/>
      <c r="KJW233" s="173"/>
      <c r="KJX233" s="125"/>
      <c r="KJY233" s="125"/>
      <c r="KJZ233" s="134"/>
      <c r="KKA233" s="135"/>
      <c r="KKB233" s="135"/>
      <c r="KKC233" s="135"/>
      <c r="KKD233" s="135"/>
      <c r="KKE233" s="173"/>
      <c r="KKF233" s="173"/>
      <c r="KKG233" s="173"/>
      <c r="KKH233" s="173"/>
      <c r="KKI233" s="173"/>
      <c r="KKJ233" s="173"/>
      <c r="KKK233" s="173"/>
      <c r="KKL233" s="173"/>
      <c r="KKM233" s="173"/>
      <c r="KKN233" s="173"/>
      <c r="KKO233" s="125"/>
      <c r="KKP233" s="125"/>
      <c r="KKQ233" s="134"/>
      <c r="KKR233" s="135"/>
      <c r="KKS233" s="135"/>
      <c r="KKT233" s="135"/>
      <c r="KKU233" s="135"/>
      <c r="KKV233" s="173"/>
      <c r="KKW233" s="173"/>
      <c r="KKX233" s="173"/>
      <c r="KKY233" s="173"/>
      <c r="KKZ233" s="173"/>
      <c r="KLA233" s="173"/>
      <c r="KLB233" s="173"/>
      <c r="KLC233" s="173"/>
      <c r="KLD233" s="173"/>
      <c r="KLE233" s="173"/>
      <c r="KLF233" s="125"/>
      <c r="KLG233" s="125"/>
      <c r="KLH233" s="134"/>
      <c r="KLI233" s="135"/>
      <c r="KLJ233" s="135"/>
      <c r="KLK233" s="135"/>
      <c r="KLL233" s="135"/>
      <c r="KLM233" s="173"/>
      <c r="KLN233" s="173"/>
      <c r="KLO233" s="173"/>
      <c r="KLP233" s="173"/>
      <c r="KLQ233" s="173"/>
      <c r="KLR233" s="173"/>
      <c r="KLS233" s="173"/>
      <c r="KLT233" s="173"/>
      <c r="KLU233" s="173"/>
      <c r="KLV233" s="173"/>
      <c r="KLW233" s="125"/>
      <c r="KLX233" s="125"/>
      <c r="KLY233" s="134"/>
      <c r="KLZ233" s="135"/>
      <c r="KMA233" s="135"/>
      <c r="KMB233" s="135"/>
      <c r="KMC233" s="135"/>
      <c r="KMD233" s="173"/>
      <c r="KME233" s="173"/>
      <c r="KMF233" s="173"/>
      <c r="KMG233" s="173"/>
      <c r="KMH233" s="173"/>
      <c r="KMI233" s="173"/>
      <c r="KMJ233" s="173"/>
      <c r="KMK233" s="173"/>
      <c r="KML233" s="173"/>
      <c r="KMM233" s="173"/>
      <c r="KMN233" s="125"/>
      <c r="KMO233" s="125"/>
      <c r="KMP233" s="134"/>
      <c r="KMQ233" s="135"/>
      <c r="KMR233" s="135"/>
      <c r="KMS233" s="135"/>
      <c r="KMT233" s="135"/>
      <c r="KMU233" s="173"/>
      <c r="KMV233" s="173"/>
      <c r="KMW233" s="173"/>
      <c r="KMX233" s="173"/>
      <c r="KMY233" s="173"/>
      <c r="KMZ233" s="173"/>
      <c r="KNA233" s="173"/>
      <c r="KNB233" s="173"/>
      <c r="KNC233" s="173"/>
      <c r="KND233" s="173"/>
      <c r="KNE233" s="125"/>
      <c r="KNF233" s="125"/>
      <c r="KNG233" s="134"/>
      <c r="KNH233" s="135"/>
      <c r="KNI233" s="135"/>
      <c r="KNJ233" s="135"/>
      <c r="KNK233" s="135"/>
      <c r="KNL233" s="173"/>
      <c r="KNM233" s="173"/>
      <c r="KNN233" s="173"/>
      <c r="KNO233" s="173"/>
      <c r="KNP233" s="173"/>
      <c r="KNQ233" s="173"/>
      <c r="KNR233" s="173"/>
      <c r="KNS233" s="173"/>
      <c r="KNT233" s="173"/>
      <c r="KNU233" s="173"/>
      <c r="KNV233" s="125"/>
      <c r="KNW233" s="125"/>
      <c r="KNX233" s="134"/>
      <c r="KNY233" s="135"/>
      <c r="KNZ233" s="135"/>
      <c r="KOA233" s="135"/>
      <c r="KOB233" s="135"/>
      <c r="KOC233" s="173"/>
      <c r="KOD233" s="173"/>
      <c r="KOE233" s="173"/>
      <c r="KOF233" s="173"/>
      <c r="KOG233" s="173"/>
      <c r="KOH233" s="173"/>
      <c r="KOI233" s="173"/>
      <c r="KOJ233" s="173"/>
      <c r="KOK233" s="173"/>
      <c r="KOL233" s="173"/>
      <c r="KOM233" s="125"/>
      <c r="KON233" s="125"/>
      <c r="KOO233" s="134"/>
      <c r="KOP233" s="135"/>
      <c r="KOQ233" s="135"/>
      <c r="KOR233" s="135"/>
      <c r="KOS233" s="135"/>
      <c r="KOT233" s="173"/>
      <c r="KOU233" s="173"/>
      <c r="KOV233" s="173"/>
      <c r="KOW233" s="173"/>
      <c r="KOX233" s="173"/>
      <c r="KOY233" s="173"/>
      <c r="KOZ233" s="173"/>
      <c r="KPA233" s="173"/>
      <c r="KPB233" s="173"/>
      <c r="KPC233" s="173"/>
      <c r="KPD233" s="125"/>
      <c r="KPE233" s="125"/>
      <c r="KPF233" s="134"/>
      <c r="KPG233" s="135"/>
      <c r="KPH233" s="135"/>
      <c r="KPI233" s="135"/>
      <c r="KPJ233" s="135"/>
      <c r="KPK233" s="173"/>
      <c r="KPL233" s="173"/>
      <c r="KPM233" s="173"/>
      <c r="KPN233" s="173"/>
      <c r="KPO233" s="173"/>
      <c r="KPP233" s="173"/>
      <c r="KPQ233" s="173"/>
      <c r="KPR233" s="173"/>
      <c r="KPS233" s="173"/>
      <c r="KPT233" s="173"/>
      <c r="KPU233" s="125"/>
      <c r="KPV233" s="125"/>
      <c r="KPW233" s="134"/>
      <c r="KPX233" s="135"/>
      <c r="KPY233" s="135"/>
      <c r="KPZ233" s="135"/>
      <c r="KQA233" s="135"/>
      <c r="KQB233" s="173"/>
      <c r="KQC233" s="173"/>
      <c r="KQD233" s="173"/>
      <c r="KQE233" s="173"/>
      <c r="KQF233" s="173"/>
      <c r="KQG233" s="173"/>
      <c r="KQH233" s="173"/>
      <c r="KQI233" s="173"/>
      <c r="KQJ233" s="173"/>
      <c r="KQK233" s="173"/>
      <c r="KQL233" s="125"/>
      <c r="KQM233" s="125"/>
      <c r="KQN233" s="134"/>
      <c r="KQO233" s="135"/>
      <c r="KQP233" s="135"/>
      <c r="KQQ233" s="135"/>
      <c r="KQR233" s="135"/>
      <c r="KQS233" s="173"/>
      <c r="KQT233" s="173"/>
      <c r="KQU233" s="173"/>
      <c r="KQV233" s="173"/>
      <c r="KQW233" s="173"/>
      <c r="KQX233" s="173"/>
      <c r="KQY233" s="173"/>
      <c r="KQZ233" s="173"/>
      <c r="KRA233" s="173"/>
      <c r="KRB233" s="173"/>
      <c r="KRC233" s="125"/>
      <c r="KRD233" s="125"/>
      <c r="KRE233" s="134"/>
      <c r="KRF233" s="135"/>
      <c r="KRG233" s="135"/>
      <c r="KRH233" s="135"/>
      <c r="KRI233" s="135"/>
      <c r="KRJ233" s="173"/>
      <c r="KRK233" s="173"/>
      <c r="KRL233" s="173"/>
      <c r="KRM233" s="173"/>
      <c r="KRN233" s="173"/>
      <c r="KRO233" s="173"/>
      <c r="KRP233" s="173"/>
      <c r="KRQ233" s="173"/>
      <c r="KRR233" s="173"/>
      <c r="KRS233" s="173"/>
      <c r="KRT233" s="125"/>
      <c r="KRU233" s="125"/>
      <c r="KRV233" s="134"/>
      <c r="KRW233" s="135"/>
      <c r="KRX233" s="135"/>
      <c r="KRY233" s="135"/>
      <c r="KRZ233" s="135"/>
      <c r="KSA233" s="173"/>
      <c r="KSB233" s="173"/>
      <c r="KSC233" s="173"/>
      <c r="KSD233" s="173"/>
      <c r="KSE233" s="173"/>
      <c r="KSF233" s="173"/>
      <c r="KSG233" s="173"/>
      <c r="KSH233" s="173"/>
      <c r="KSI233" s="173"/>
      <c r="KSJ233" s="173"/>
      <c r="KSK233" s="125"/>
      <c r="KSL233" s="125"/>
      <c r="KSM233" s="134"/>
      <c r="KSN233" s="135"/>
      <c r="KSO233" s="135"/>
      <c r="KSP233" s="135"/>
      <c r="KSQ233" s="135"/>
      <c r="KSR233" s="173"/>
      <c r="KSS233" s="173"/>
      <c r="KST233" s="173"/>
      <c r="KSU233" s="173"/>
      <c r="KSV233" s="173"/>
      <c r="KSW233" s="173"/>
      <c r="KSX233" s="173"/>
      <c r="KSY233" s="173"/>
      <c r="KSZ233" s="173"/>
      <c r="KTA233" s="173"/>
      <c r="KTB233" s="125"/>
      <c r="KTC233" s="125"/>
      <c r="KTD233" s="134"/>
      <c r="KTE233" s="135"/>
      <c r="KTF233" s="135"/>
      <c r="KTG233" s="135"/>
      <c r="KTH233" s="135"/>
      <c r="KTI233" s="173"/>
      <c r="KTJ233" s="173"/>
      <c r="KTK233" s="173"/>
      <c r="KTL233" s="173"/>
      <c r="KTM233" s="173"/>
      <c r="KTN233" s="173"/>
      <c r="KTO233" s="173"/>
      <c r="KTP233" s="173"/>
      <c r="KTQ233" s="173"/>
      <c r="KTR233" s="173"/>
      <c r="KTS233" s="125"/>
      <c r="KTT233" s="125"/>
      <c r="KTU233" s="134"/>
      <c r="KTV233" s="135"/>
      <c r="KTW233" s="135"/>
      <c r="KTX233" s="135"/>
      <c r="KTY233" s="135"/>
      <c r="KTZ233" s="173"/>
      <c r="KUA233" s="173"/>
      <c r="KUB233" s="173"/>
      <c r="KUC233" s="173"/>
      <c r="KUD233" s="173"/>
      <c r="KUE233" s="173"/>
      <c r="KUF233" s="173"/>
      <c r="KUG233" s="173"/>
      <c r="KUH233" s="173"/>
      <c r="KUI233" s="173"/>
      <c r="KUJ233" s="125"/>
      <c r="KUK233" s="125"/>
      <c r="KUL233" s="134"/>
      <c r="KUM233" s="135"/>
      <c r="KUN233" s="135"/>
      <c r="KUO233" s="135"/>
      <c r="KUP233" s="135"/>
      <c r="KUQ233" s="173"/>
      <c r="KUR233" s="173"/>
      <c r="KUS233" s="173"/>
      <c r="KUT233" s="173"/>
      <c r="KUU233" s="173"/>
      <c r="KUV233" s="173"/>
      <c r="KUW233" s="173"/>
      <c r="KUX233" s="173"/>
      <c r="KUY233" s="173"/>
      <c r="KUZ233" s="173"/>
      <c r="KVA233" s="125"/>
      <c r="KVB233" s="125"/>
      <c r="KVC233" s="134"/>
      <c r="KVD233" s="135"/>
      <c r="KVE233" s="135"/>
      <c r="KVF233" s="135"/>
      <c r="KVG233" s="135"/>
      <c r="KVH233" s="173"/>
      <c r="KVI233" s="173"/>
      <c r="KVJ233" s="173"/>
      <c r="KVK233" s="173"/>
      <c r="KVL233" s="173"/>
      <c r="KVM233" s="173"/>
      <c r="KVN233" s="173"/>
      <c r="KVO233" s="173"/>
      <c r="KVP233" s="173"/>
      <c r="KVQ233" s="173"/>
      <c r="KVR233" s="125"/>
      <c r="KVS233" s="125"/>
      <c r="KVT233" s="134"/>
      <c r="KVU233" s="135"/>
      <c r="KVV233" s="135"/>
      <c r="KVW233" s="135"/>
      <c r="KVX233" s="135"/>
      <c r="KVY233" s="173"/>
      <c r="KVZ233" s="173"/>
      <c r="KWA233" s="173"/>
      <c r="KWB233" s="173"/>
      <c r="KWC233" s="173"/>
      <c r="KWD233" s="173"/>
      <c r="KWE233" s="173"/>
      <c r="KWF233" s="173"/>
      <c r="KWG233" s="173"/>
      <c r="KWH233" s="173"/>
      <c r="KWI233" s="125"/>
      <c r="KWJ233" s="125"/>
      <c r="KWK233" s="134"/>
      <c r="KWL233" s="135"/>
      <c r="KWM233" s="135"/>
      <c r="KWN233" s="135"/>
      <c r="KWO233" s="135"/>
      <c r="KWP233" s="173"/>
      <c r="KWQ233" s="173"/>
      <c r="KWR233" s="173"/>
      <c r="KWS233" s="173"/>
      <c r="KWT233" s="173"/>
      <c r="KWU233" s="173"/>
      <c r="KWV233" s="173"/>
      <c r="KWW233" s="173"/>
      <c r="KWX233" s="173"/>
      <c r="KWY233" s="173"/>
      <c r="KWZ233" s="125"/>
      <c r="KXA233" s="125"/>
      <c r="KXB233" s="134"/>
      <c r="KXC233" s="135"/>
      <c r="KXD233" s="135"/>
      <c r="KXE233" s="135"/>
      <c r="KXF233" s="135"/>
      <c r="KXG233" s="173"/>
      <c r="KXH233" s="173"/>
      <c r="KXI233" s="173"/>
      <c r="KXJ233" s="173"/>
      <c r="KXK233" s="173"/>
      <c r="KXL233" s="173"/>
      <c r="KXM233" s="173"/>
      <c r="KXN233" s="173"/>
      <c r="KXO233" s="173"/>
      <c r="KXP233" s="173"/>
      <c r="KXQ233" s="125"/>
      <c r="KXR233" s="125"/>
      <c r="KXS233" s="134"/>
      <c r="KXT233" s="135"/>
      <c r="KXU233" s="135"/>
      <c r="KXV233" s="135"/>
      <c r="KXW233" s="135"/>
      <c r="KXX233" s="173"/>
      <c r="KXY233" s="173"/>
      <c r="KXZ233" s="173"/>
      <c r="KYA233" s="173"/>
      <c r="KYB233" s="173"/>
      <c r="KYC233" s="173"/>
      <c r="KYD233" s="173"/>
      <c r="KYE233" s="173"/>
      <c r="KYF233" s="173"/>
      <c r="KYG233" s="173"/>
      <c r="KYH233" s="125"/>
      <c r="KYI233" s="125"/>
      <c r="KYJ233" s="134"/>
      <c r="KYK233" s="135"/>
      <c r="KYL233" s="135"/>
      <c r="KYM233" s="135"/>
      <c r="KYN233" s="135"/>
      <c r="KYO233" s="173"/>
      <c r="KYP233" s="173"/>
      <c r="KYQ233" s="173"/>
      <c r="KYR233" s="173"/>
      <c r="KYS233" s="173"/>
      <c r="KYT233" s="173"/>
      <c r="KYU233" s="173"/>
      <c r="KYV233" s="173"/>
      <c r="KYW233" s="173"/>
      <c r="KYX233" s="173"/>
      <c r="KYY233" s="125"/>
      <c r="KYZ233" s="125"/>
      <c r="KZA233" s="134"/>
      <c r="KZB233" s="135"/>
      <c r="KZC233" s="135"/>
      <c r="KZD233" s="135"/>
      <c r="KZE233" s="135"/>
      <c r="KZF233" s="173"/>
      <c r="KZG233" s="173"/>
      <c r="KZH233" s="173"/>
      <c r="KZI233" s="173"/>
      <c r="KZJ233" s="173"/>
      <c r="KZK233" s="173"/>
      <c r="KZL233" s="173"/>
      <c r="KZM233" s="173"/>
      <c r="KZN233" s="173"/>
      <c r="KZO233" s="173"/>
      <c r="KZP233" s="125"/>
      <c r="KZQ233" s="125"/>
      <c r="KZR233" s="134"/>
      <c r="KZS233" s="135"/>
      <c r="KZT233" s="135"/>
      <c r="KZU233" s="135"/>
      <c r="KZV233" s="135"/>
      <c r="KZW233" s="173"/>
      <c r="KZX233" s="173"/>
      <c r="KZY233" s="173"/>
      <c r="KZZ233" s="173"/>
      <c r="LAA233" s="173"/>
      <c r="LAB233" s="173"/>
      <c r="LAC233" s="173"/>
      <c r="LAD233" s="173"/>
      <c r="LAE233" s="173"/>
      <c r="LAF233" s="173"/>
      <c r="LAG233" s="125"/>
      <c r="LAH233" s="125"/>
      <c r="LAI233" s="134"/>
      <c r="LAJ233" s="135"/>
      <c r="LAK233" s="135"/>
      <c r="LAL233" s="135"/>
      <c r="LAM233" s="135"/>
      <c r="LAN233" s="173"/>
      <c r="LAO233" s="173"/>
      <c r="LAP233" s="173"/>
      <c r="LAQ233" s="173"/>
      <c r="LAR233" s="173"/>
      <c r="LAS233" s="173"/>
      <c r="LAT233" s="173"/>
      <c r="LAU233" s="173"/>
      <c r="LAV233" s="173"/>
      <c r="LAW233" s="173"/>
      <c r="LAX233" s="125"/>
      <c r="LAY233" s="125"/>
      <c r="LAZ233" s="134"/>
      <c r="LBA233" s="135"/>
      <c r="LBB233" s="135"/>
      <c r="LBC233" s="135"/>
      <c r="LBD233" s="135"/>
      <c r="LBE233" s="173"/>
      <c r="LBF233" s="173"/>
      <c r="LBG233" s="173"/>
      <c r="LBH233" s="173"/>
      <c r="LBI233" s="173"/>
      <c r="LBJ233" s="173"/>
      <c r="LBK233" s="173"/>
      <c r="LBL233" s="173"/>
      <c r="LBM233" s="173"/>
      <c r="LBN233" s="173"/>
      <c r="LBO233" s="125"/>
      <c r="LBP233" s="125"/>
      <c r="LBQ233" s="134"/>
      <c r="LBR233" s="135"/>
      <c r="LBS233" s="135"/>
      <c r="LBT233" s="135"/>
      <c r="LBU233" s="135"/>
      <c r="LBV233" s="173"/>
      <c r="LBW233" s="173"/>
      <c r="LBX233" s="173"/>
      <c r="LBY233" s="173"/>
      <c r="LBZ233" s="173"/>
      <c r="LCA233" s="173"/>
      <c r="LCB233" s="173"/>
      <c r="LCC233" s="173"/>
      <c r="LCD233" s="173"/>
      <c r="LCE233" s="173"/>
      <c r="LCF233" s="125"/>
      <c r="LCG233" s="125"/>
      <c r="LCH233" s="134"/>
      <c r="LCI233" s="135"/>
      <c r="LCJ233" s="135"/>
      <c r="LCK233" s="135"/>
      <c r="LCL233" s="135"/>
      <c r="LCM233" s="173"/>
      <c r="LCN233" s="173"/>
      <c r="LCO233" s="173"/>
      <c r="LCP233" s="173"/>
      <c r="LCQ233" s="173"/>
      <c r="LCR233" s="173"/>
      <c r="LCS233" s="173"/>
      <c r="LCT233" s="173"/>
      <c r="LCU233" s="173"/>
      <c r="LCV233" s="173"/>
      <c r="LCW233" s="125"/>
      <c r="LCX233" s="125"/>
      <c r="LCY233" s="134"/>
      <c r="LCZ233" s="135"/>
      <c r="LDA233" s="135"/>
      <c r="LDB233" s="135"/>
      <c r="LDC233" s="135"/>
      <c r="LDD233" s="173"/>
      <c r="LDE233" s="173"/>
      <c r="LDF233" s="173"/>
      <c r="LDG233" s="173"/>
      <c r="LDH233" s="173"/>
      <c r="LDI233" s="173"/>
      <c r="LDJ233" s="173"/>
      <c r="LDK233" s="173"/>
      <c r="LDL233" s="173"/>
      <c r="LDM233" s="173"/>
      <c r="LDN233" s="125"/>
      <c r="LDO233" s="125"/>
      <c r="LDP233" s="134"/>
      <c r="LDQ233" s="135"/>
      <c r="LDR233" s="135"/>
      <c r="LDS233" s="135"/>
      <c r="LDT233" s="135"/>
      <c r="LDU233" s="173"/>
      <c r="LDV233" s="173"/>
      <c r="LDW233" s="173"/>
      <c r="LDX233" s="173"/>
      <c r="LDY233" s="173"/>
      <c r="LDZ233" s="173"/>
      <c r="LEA233" s="173"/>
      <c r="LEB233" s="173"/>
      <c r="LEC233" s="173"/>
      <c r="LED233" s="173"/>
      <c r="LEE233" s="125"/>
      <c r="LEF233" s="125"/>
      <c r="LEG233" s="134"/>
      <c r="LEH233" s="135"/>
      <c r="LEI233" s="135"/>
      <c r="LEJ233" s="135"/>
      <c r="LEK233" s="135"/>
      <c r="LEL233" s="173"/>
      <c r="LEM233" s="173"/>
      <c r="LEN233" s="173"/>
      <c r="LEO233" s="173"/>
      <c r="LEP233" s="173"/>
      <c r="LEQ233" s="173"/>
      <c r="LER233" s="173"/>
      <c r="LES233" s="173"/>
      <c r="LET233" s="173"/>
      <c r="LEU233" s="173"/>
      <c r="LEV233" s="125"/>
      <c r="LEW233" s="125"/>
      <c r="LEX233" s="134"/>
      <c r="LEY233" s="135"/>
      <c r="LEZ233" s="135"/>
      <c r="LFA233" s="135"/>
      <c r="LFB233" s="135"/>
      <c r="LFC233" s="173"/>
      <c r="LFD233" s="173"/>
      <c r="LFE233" s="173"/>
      <c r="LFF233" s="173"/>
      <c r="LFG233" s="173"/>
      <c r="LFH233" s="173"/>
      <c r="LFI233" s="173"/>
      <c r="LFJ233" s="173"/>
      <c r="LFK233" s="173"/>
      <c r="LFL233" s="173"/>
      <c r="LFM233" s="125"/>
      <c r="LFN233" s="125"/>
      <c r="LFO233" s="134"/>
      <c r="LFP233" s="135"/>
      <c r="LFQ233" s="135"/>
      <c r="LFR233" s="135"/>
      <c r="LFS233" s="135"/>
      <c r="LFT233" s="173"/>
      <c r="LFU233" s="173"/>
      <c r="LFV233" s="173"/>
      <c r="LFW233" s="173"/>
      <c r="LFX233" s="173"/>
      <c r="LFY233" s="173"/>
      <c r="LFZ233" s="173"/>
      <c r="LGA233" s="173"/>
      <c r="LGB233" s="173"/>
      <c r="LGC233" s="173"/>
      <c r="LGD233" s="125"/>
      <c r="LGE233" s="125"/>
      <c r="LGF233" s="134"/>
      <c r="LGG233" s="135"/>
      <c r="LGH233" s="135"/>
      <c r="LGI233" s="135"/>
      <c r="LGJ233" s="135"/>
      <c r="LGK233" s="173"/>
      <c r="LGL233" s="173"/>
      <c r="LGM233" s="173"/>
      <c r="LGN233" s="173"/>
      <c r="LGO233" s="173"/>
      <c r="LGP233" s="173"/>
      <c r="LGQ233" s="173"/>
      <c r="LGR233" s="173"/>
      <c r="LGS233" s="173"/>
      <c r="LGT233" s="173"/>
      <c r="LGU233" s="125"/>
      <c r="LGV233" s="125"/>
      <c r="LGW233" s="134"/>
      <c r="LGX233" s="135"/>
      <c r="LGY233" s="135"/>
      <c r="LGZ233" s="135"/>
      <c r="LHA233" s="135"/>
      <c r="LHB233" s="173"/>
      <c r="LHC233" s="173"/>
      <c r="LHD233" s="173"/>
      <c r="LHE233" s="173"/>
      <c r="LHF233" s="173"/>
      <c r="LHG233" s="173"/>
      <c r="LHH233" s="173"/>
      <c r="LHI233" s="173"/>
      <c r="LHJ233" s="173"/>
      <c r="LHK233" s="173"/>
      <c r="LHL233" s="125"/>
      <c r="LHM233" s="125"/>
      <c r="LHN233" s="134"/>
      <c r="LHO233" s="135"/>
      <c r="LHP233" s="135"/>
      <c r="LHQ233" s="135"/>
      <c r="LHR233" s="135"/>
      <c r="LHS233" s="173"/>
      <c r="LHT233" s="173"/>
      <c r="LHU233" s="173"/>
      <c r="LHV233" s="173"/>
      <c r="LHW233" s="173"/>
      <c r="LHX233" s="173"/>
      <c r="LHY233" s="173"/>
      <c r="LHZ233" s="173"/>
      <c r="LIA233" s="173"/>
      <c r="LIB233" s="173"/>
      <c r="LIC233" s="125"/>
      <c r="LID233" s="125"/>
      <c r="LIE233" s="134"/>
      <c r="LIF233" s="135"/>
      <c r="LIG233" s="135"/>
      <c r="LIH233" s="135"/>
      <c r="LII233" s="135"/>
      <c r="LIJ233" s="173"/>
      <c r="LIK233" s="173"/>
      <c r="LIL233" s="173"/>
      <c r="LIM233" s="173"/>
      <c r="LIN233" s="173"/>
      <c r="LIO233" s="173"/>
      <c r="LIP233" s="173"/>
      <c r="LIQ233" s="173"/>
      <c r="LIR233" s="173"/>
      <c r="LIS233" s="173"/>
      <c r="LIT233" s="125"/>
      <c r="LIU233" s="125"/>
      <c r="LIV233" s="134"/>
      <c r="LIW233" s="135"/>
      <c r="LIX233" s="135"/>
      <c r="LIY233" s="135"/>
      <c r="LIZ233" s="135"/>
      <c r="LJA233" s="173"/>
      <c r="LJB233" s="173"/>
      <c r="LJC233" s="173"/>
      <c r="LJD233" s="173"/>
      <c r="LJE233" s="173"/>
      <c r="LJF233" s="173"/>
      <c r="LJG233" s="173"/>
      <c r="LJH233" s="173"/>
      <c r="LJI233" s="173"/>
      <c r="LJJ233" s="173"/>
      <c r="LJK233" s="125"/>
      <c r="LJL233" s="125"/>
      <c r="LJM233" s="134"/>
      <c r="LJN233" s="135"/>
      <c r="LJO233" s="135"/>
      <c r="LJP233" s="135"/>
      <c r="LJQ233" s="135"/>
      <c r="LJR233" s="173"/>
      <c r="LJS233" s="173"/>
      <c r="LJT233" s="173"/>
      <c r="LJU233" s="173"/>
      <c r="LJV233" s="173"/>
      <c r="LJW233" s="173"/>
      <c r="LJX233" s="173"/>
      <c r="LJY233" s="173"/>
      <c r="LJZ233" s="173"/>
      <c r="LKA233" s="173"/>
      <c r="LKB233" s="125"/>
      <c r="LKC233" s="125"/>
      <c r="LKD233" s="134"/>
      <c r="LKE233" s="135"/>
      <c r="LKF233" s="135"/>
      <c r="LKG233" s="135"/>
      <c r="LKH233" s="135"/>
      <c r="LKI233" s="173"/>
      <c r="LKJ233" s="173"/>
      <c r="LKK233" s="173"/>
      <c r="LKL233" s="173"/>
      <c r="LKM233" s="173"/>
      <c r="LKN233" s="173"/>
      <c r="LKO233" s="173"/>
      <c r="LKP233" s="173"/>
      <c r="LKQ233" s="173"/>
      <c r="LKR233" s="173"/>
      <c r="LKS233" s="125"/>
      <c r="LKT233" s="125"/>
      <c r="LKU233" s="134"/>
      <c r="LKV233" s="135"/>
      <c r="LKW233" s="135"/>
      <c r="LKX233" s="135"/>
      <c r="LKY233" s="135"/>
      <c r="LKZ233" s="173"/>
      <c r="LLA233" s="173"/>
      <c r="LLB233" s="173"/>
      <c r="LLC233" s="173"/>
      <c r="LLD233" s="173"/>
      <c r="LLE233" s="173"/>
      <c r="LLF233" s="173"/>
      <c r="LLG233" s="173"/>
      <c r="LLH233" s="173"/>
      <c r="LLI233" s="173"/>
      <c r="LLJ233" s="125"/>
      <c r="LLK233" s="125"/>
      <c r="LLL233" s="134"/>
      <c r="LLM233" s="135"/>
      <c r="LLN233" s="135"/>
      <c r="LLO233" s="135"/>
      <c r="LLP233" s="135"/>
      <c r="LLQ233" s="173"/>
      <c r="LLR233" s="173"/>
      <c r="LLS233" s="173"/>
      <c r="LLT233" s="173"/>
      <c r="LLU233" s="173"/>
      <c r="LLV233" s="173"/>
      <c r="LLW233" s="173"/>
      <c r="LLX233" s="173"/>
      <c r="LLY233" s="173"/>
      <c r="LLZ233" s="173"/>
      <c r="LMA233" s="125"/>
      <c r="LMB233" s="125"/>
      <c r="LMC233" s="134"/>
      <c r="LMD233" s="135"/>
      <c r="LME233" s="135"/>
      <c r="LMF233" s="135"/>
      <c r="LMG233" s="135"/>
      <c r="LMH233" s="173"/>
      <c r="LMI233" s="173"/>
      <c r="LMJ233" s="173"/>
      <c r="LMK233" s="173"/>
      <c r="LML233" s="173"/>
      <c r="LMM233" s="173"/>
      <c r="LMN233" s="173"/>
      <c r="LMO233" s="173"/>
      <c r="LMP233" s="173"/>
      <c r="LMQ233" s="173"/>
      <c r="LMR233" s="125"/>
      <c r="LMS233" s="125"/>
      <c r="LMT233" s="134"/>
      <c r="LMU233" s="135"/>
      <c r="LMV233" s="135"/>
      <c r="LMW233" s="135"/>
      <c r="LMX233" s="135"/>
      <c r="LMY233" s="173"/>
      <c r="LMZ233" s="173"/>
      <c r="LNA233" s="173"/>
      <c r="LNB233" s="173"/>
      <c r="LNC233" s="173"/>
      <c r="LND233" s="173"/>
      <c r="LNE233" s="173"/>
      <c r="LNF233" s="173"/>
      <c r="LNG233" s="173"/>
      <c r="LNH233" s="173"/>
      <c r="LNI233" s="125"/>
      <c r="LNJ233" s="125"/>
      <c r="LNK233" s="134"/>
      <c r="LNL233" s="135"/>
      <c r="LNM233" s="135"/>
      <c r="LNN233" s="135"/>
      <c r="LNO233" s="135"/>
      <c r="LNP233" s="173"/>
      <c r="LNQ233" s="173"/>
      <c r="LNR233" s="173"/>
      <c r="LNS233" s="173"/>
      <c r="LNT233" s="173"/>
      <c r="LNU233" s="173"/>
      <c r="LNV233" s="173"/>
      <c r="LNW233" s="173"/>
      <c r="LNX233" s="173"/>
      <c r="LNY233" s="173"/>
      <c r="LNZ233" s="125"/>
      <c r="LOA233" s="125"/>
      <c r="LOB233" s="134"/>
      <c r="LOC233" s="135"/>
      <c r="LOD233" s="135"/>
      <c r="LOE233" s="135"/>
      <c r="LOF233" s="135"/>
      <c r="LOG233" s="173"/>
      <c r="LOH233" s="173"/>
      <c r="LOI233" s="173"/>
      <c r="LOJ233" s="173"/>
      <c r="LOK233" s="173"/>
      <c r="LOL233" s="173"/>
      <c r="LOM233" s="173"/>
      <c r="LON233" s="173"/>
      <c r="LOO233" s="173"/>
      <c r="LOP233" s="173"/>
      <c r="LOQ233" s="125"/>
      <c r="LOR233" s="125"/>
      <c r="LOS233" s="134"/>
      <c r="LOT233" s="135"/>
      <c r="LOU233" s="135"/>
      <c r="LOV233" s="135"/>
      <c r="LOW233" s="135"/>
      <c r="LOX233" s="173"/>
      <c r="LOY233" s="173"/>
      <c r="LOZ233" s="173"/>
      <c r="LPA233" s="173"/>
      <c r="LPB233" s="173"/>
      <c r="LPC233" s="173"/>
      <c r="LPD233" s="173"/>
      <c r="LPE233" s="173"/>
      <c r="LPF233" s="173"/>
      <c r="LPG233" s="173"/>
      <c r="LPH233" s="125"/>
      <c r="LPI233" s="125"/>
      <c r="LPJ233" s="134"/>
      <c r="LPK233" s="135"/>
      <c r="LPL233" s="135"/>
      <c r="LPM233" s="135"/>
      <c r="LPN233" s="135"/>
      <c r="LPO233" s="173"/>
      <c r="LPP233" s="173"/>
      <c r="LPQ233" s="173"/>
      <c r="LPR233" s="173"/>
      <c r="LPS233" s="173"/>
      <c r="LPT233" s="173"/>
      <c r="LPU233" s="173"/>
      <c r="LPV233" s="173"/>
      <c r="LPW233" s="173"/>
      <c r="LPX233" s="173"/>
      <c r="LPY233" s="125"/>
      <c r="LPZ233" s="125"/>
      <c r="LQA233" s="134"/>
      <c r="LQB233" s="135"/>
      <c r="LQC233" s="135"/>
      <c r="LQD233" s="135"/>
      <c r="LQE233" s="135"/>
      <c r="LQF233" s="173"/>
      <c r="LQG233" s="173"/>
      <c r="LQH233" s="173"/>
      <c r="LQI233" s="173"/>
      <c r="LQJ233" s="173"/>
      <c r="LQK233" s="173"/>
      <c r="LQL233" s="173"/>
      <c r="LQM233" s="173"/>
      <c r="LQN233" s="173"/>
      <c r="LQO233" s="173"/>
      <c r="LQP233" s="125"/>
      <c r="LQQ233" s="125"/>
      <c r="LQR233" s="134"/>
      <c r="LQS233" s="135"/>
      <c r="LQT233" s="135"/>
      <c r="LQU233" s="135"/>
      <c r="LQV233" s="135"/>
      <c r="LQW233" s="173"/>
      <c r="LQX233" s="173"/>
      <c r="LQY233" s="173"/>
      <c r="LQZ233" s="173"/>
      <c r="LRA233" s="173"/>
      <c r="LRB233" s="173"/>
      <c r="LRC233" s="173"/>
      <c r="LRD233" s="173"/>
      <c r="LRE233" s="173"/>
      <c r="LRF233" s="173"/>
      <c r="LRG233" s="125"/>
      <c r="LRH233" s="125"/>
      <c r="LRI233" s="134"/>
      <c r="LRJ233" s="135"/>
      <c r="LRK233" s="135"/>
      <c r="LRL233" s="135"/>
      <c r="LRM233" s="135"/>
      <c r="LRN233" s="173"/>
      <c r="LRO233" s="173"/>
      <c r="LRP233" s="173"/>
      <c r="LRQ233" s="173"/>
      <c r="LRR233" s="173"/>
      <c r="LRS233" s="173"/>
      <c r="LRT233" s="173"/>
      <c r="LRU233" s="173"/>
      <c r="LRV233" s="173"/>
      <c r="LRW233" s="173"/>
      <c r="LRX233" s="125"/>
      <c r="LRY233" s="125"/>
      <c r="LRZ233" s="134"/>
      <c r="LSA233" s="135"/>
      <c r="LSB233" s="135"/>
      <c r="LSC233" s="135"/>
      <c r="LSD233" s="135"/>
      <c r="LSE233" s="173"/>
      <c r="LSF233" s="173"/>
      <c r="LSG233" s="173"/>
      <c r="LSH233" s="173"/>
      <c r="LSI233" s="173"/>
      <c r="LSJ233" s="173"/>
      <c r="LSK233" s="173"/>
      <c r="LSL233" s="173"/>
      <c r="LSM233" s="173"/>
      <c r="LSN233" s="173"/>
      <c r="LSO233" s="125"/>
      <c r="LSP233" s="125"/>
      <c r="LSQ233" s="134"/>
      <c r="LSR233" s="135"/>
      <c r="LSS233" s="135"/>
      <c r="LST233" s="135"/>
      <c r="LSU233" s="135"/>
      <c r="LSV233" s="173"/>
      <c r="LSW233" s="173"/>
      <c r="LSX233" s="173"/>
      <c r="LSY233" s="173"/>
      <c r="LSZ233" s="173"/>
      <c r="LTA233" s="173"/>
      <c r="LTB233" s="173"/>
      <c r="LTC233" s="173"/>
      <c r="LTD233" s="173"/>
      <c r="LTE233" s="173"/>
      <c r="LTF233" s="125"/>
      <c r="LTG233" s="125"/>
      <c r="LTH233" s="134"/>
      <c r="LTI233" s="135"/>
      <c r="LTJ233" s="135"/>
      <c r="LTK233" s="135"/>
      <c r="LTL233" s="135"/>
      <c r="LTM233" s="173"/>
      <c r="LTN233" s="173"/>
      <c r="LTO233" s="173"/>
      <c r="LTP233" s="173"/>
      <c r="LTQ233" s="173"/>
      <c r="LTR233" s="173"/>
      <c r="LTS233" s="173"/>
      <c r="LTT233" s="173"/>
      <c r="LTU233" s="173"/>
      <c r="LTV233" s="173"/>
      <c r="LTW233" s="125"/>
      <c r="LTX233" s="125"/>
      <c r="LTY233" s="134"/>
      <c r="LTZ233" s="135"/>
      <c r="LUA233" s="135"/>
      <c r="LUB233" s="135"/>
      <c r="LUC233" s="135"/>
      <c r="LUD233" s="173"/>
      <c r="LUE233" s="173"/>
      <c r="LUF233" s="173"/>
      <c r="LUG233" s="173"/>
      <c r="LUH233" s="173"/>
      <c r="LUI233" s="173"/>
      <c r="LUJ233" s="173"/>
      <c r="LUK233" s="173"/>
      <c r="LUL233" s="173"/>
      <c r="LUM233" s="173"/>
      <c r="LUN233" s="125"/>
      <c r="LUO233" s="125"/>
      <c r="LUP233" s="134"/>
      <c r="LUQ233" s="135"/>
      <c r="LUR233" s="135"/>
      <c r="LUS233" s="135"/>
      <c r="LUT233" s="135"/>
      <c r="LUU233" s="173"/>
      <c r="LUV233" s="173"/>
      <c r="LUW233" s="173"/>
      <c r="LUX233" s="173"/>
      <c r="LUY233" s="173"/>
      <c r="LUZ233" s="173"/>
      <c r="LVA233" s="173"/>
      <c r="LVB233" s="173"/>
      <c r="LVC233" s="173"/>
      <c r="LVD233" s="173"/>
      <c r="LVE233" s="125"/>
      <c r="LVF233" s="125"/>
      <c r="LVG233" s="134"/>
      <c r="LVH233" s="135"/>
      <c r="LVI233" s="135"/>
      <c r="LVJ233" s="135"/>
      <c r="LVK233" s="135"/>
      <c r="LVL233" s="173"/>
      <c r="LVM233" s="173"/>
      <c r="LVN233" s="173"/>
      <c r="LVO233" s="173"/>
      <c r="LVP233" s="173"/>
      <c r="LVQ233" s="173"/>
      <c r="LVR233" s="173"/>
      <c r="LVS233" s="173"/>
      <c r="LVT233" s="173"/>
      <c r="LVU233" s="173"/>
      <c r="LVV233" s="125"/>
      <c r="LVW233" s="125"/>
      <c r="LVX233" s="134"/>
      <c r="LVY233" s="135"/>
      <c r="LVZ233" s="135"/>
      <c r="LWA233" s="135"/>
      <c r="LWB233" s="135"/>
      <c r="LWC233" s="173"/>
      <c r="LWD233" s="173"/>
      <c r="LWE233" s="173"/>
      <c r="LWF233" s="173"/>
      <c r="LWG233" s="173"/>
      <c r="LWH233" s="173"/>
      <c r="LWI233" s="173"/>
      <c r="LWJ233" s="173"/>
      <c r="LWK233" s="173"/>
      <c r="LWL233" s="173"/>
      <c r="LWM233" s="125"/>
      <c r="LWN233" s="125"/>
      <c r="LWO233" s="134"/>
      <c r="LWP233" s="135"/>
      <c r="LWQ233" s="135"/>
      <c r="LWR233" s="135"/>
      <c r="LWS233" s="135"/>
      <c r="LWT233" s="173"/>
      <c r="LWU233" s="173"/>
      <c r="LWV233" s="173"/>
      <c r="LWW233" s="173"/>
      <c r="LWX233" s="173"/>
      <c r="LWY233" s="173"/>
      <c r="LWZ233" s="173"/>
      <c r="LXA233" s="173"/>
      <c r="LXB233" s="173"/>
      <c r="LXC233" s="173"/>
      <c r="LXD233" s="125"/>
      <c r="LXE233" s="125"/>
      <c r="LXF233" s="134"/>
      <c r="LXG233" s="135"/>
      <c r="LXH233" s="135"/>
      <c r="LXI233" s="135"/>
      <c r="LXJ233" s="135"/>
      <c r="LXK233" s="173"/>
      <c r="LXL233" s="173"/>
      <c r="LXM233" s="173"/>
      <c r="LXN233" s="173"/>
      <c r="LXO233" s="173"/>
      <c r="LXP233" s="173"/>
      <c r="LXQ233" s="173"/>
      <c r="LXR233" s="173"/>
      <c r="LXS233" s="173"/>
      <c r="LXT233" s="173"/>
      <c r="LXU233" s="125"/>
      <c r="LXV233" s="125"/>
      <c r="LXW233" s="134"/>
      <c r="LXX233" s="135"/>
      <c r="LXY233" s="135"/>
      <c r="LXZ233" s="135"/>
      <c r="LYA233" s="135"/>
      <c r="LYB233" s="173"/>
      <c r="LYC233" s="173"/>
      <c r="LYD233" s="173"/>
      <c r="LYE233" s="173"/>
      <c r="LYF233" s="173"/>
      <c r="LYG233" s="173"/>
      <c r="LYH233" s="173"/>
      <c r="LYI233" s="173"/>
      <c r="LYJ233" s="173"/>
      <c r="LYK233" s="173"/>
      <c r="LYL233" s="125"/>
      <c r="LYM233" s="125"/>
      <c r="LYN233" s="134"/>
      <c r="LYO233" s="135"/>
      <c r="LYP233" s="135"/>
      <c r="LYQ233" s="135"/>
      <c r="LYR233" s="135"/>
      <c r="LYS233" s="173"/>
      <c r="LYT233" s="173"/>
      <c r="LYU233" s="173"/>
      <c r="LYV233" s="173"/>
      <c r="LYW233" s="173"/>
      <c r="LYX233" s="173"/>
      <c r="LYY233" s="173"/>
      <c r="LYZ233" s="173"/>
      <c r="LZA233" s="173"/>
      <c r="LZB233" s="173"/>
      <c r="LZC233" s="125"/>
      <c r="LZD233" s="125"/>
      <c r="LZE233" s="134"/>
      <c r="LZF233" s="135"/>
      <c r="LZG233" s="135"/>
      <c r="LZH233" s="135"/>
      <c r="LZI233" s="135"/>
      <c r="LZJ233" s="173"/>
      <c r="LZK233" s="173"/>
      <c r="LZL233" s="173"/>
      <c r="LZM233" s="173"/>
      <c r="LZN233" s="173"/>
      <c r="LZO233" s="173"/>
      <c r="LZP233" s="173"/>
      <c r="LZQ233" s="173"/>
      <c r="LZR233" s="173"/>
      <c r="LZS233" s="173"/>
      <c r="LZT233" s="125"/>
      <c r="LZU233" s="125"/>
      <c r="LZV233" s="134"/>
      <c r="LZW233" s="135"/>
      <c r="LZX233" s="135"/>
      <c r="LZY233" s="135"/>
      <c r="LZZ233" s="135"/>
      <c r="MAA233" s="173"/>
      <c r="MAB233" s="173"/>
      <c r="MAC233" s="173"/>
      <c r="MAD233" s="173"/>
      <c r="MAE233" s="173"/>
      <c r="MAF233" s="173"/>
      <c r="MAG233" s="173"/>
      <c r="MAH233" s="173"/>
      <c r="MAI233" s="173"/>
      <c r="MAJ233" s="173"/>
      <c r="MAK233" s="125"/>
      <c r="MAL233" s="125"/>
      <c r="MAM233" s="134"/>
      <c r="MAN233" s="135"/>
      <c r="MAO233" s="135"/>
      <c r="MAP233" s="135"/>
      <c r="MAQ233" s="135"/>
      <c r="MAR233" s="173"/>
      <c r="MAS233" s="173"/>
      <c r="MAT233" s="173"/>
      <c r="MAU233" s="173"/>
      <c r="MAV233" s="173"/>
      <c r="MAW233" s="173"/>
      <c r="MAX233" s="173"/>
      <c r="MAY233" s="173"/>
      <c r="MAZ233" s="173"/>
      <c r="MBA233" s="173"/>
      <c r="MBB233" s="125"/>
      <c r="MBC233" s="125"/>
      <c r="MBD233" s="134"/>
      <c r="MBE233" s="135"/>
      <c r="MBF233" s="135"/>
      <c r="MBG233" s="135"/>
      <c r="MBH233" s="135"/>
      <c r="MBI233" s="173"/>
      <c r="MBJ233" s="173"/>
      <c r="MBK233" s="173"/>
      <c r="MBL233" s="173"/>
      <c r="MBM233" s="173"/>
      <c r="MBN233" s="173"/>
      <c r="MBO233" s="173"/>
      <c r="MBP233" s="173"/>
      <c r="MBQ233" s="173"/>
      <c r="MBR233" s="173"/>
      <c r="MBS233" s="125"/>
      <c r="MBT233" s="125"/>
      <c r="MBU233" s="134"/>
      <c r="MBV233" s="135"/>
      <c r="MBW233" s="135"/>
      <c r="MBX233" s="135"/>
      <c r="MBY233" s="135"/>
      <c r="MBZ233" s="173"/>
      <c r="MCA233" s="173"/>
      <c r="MCB233" s="173"/>
      <c r="MCC233" s="173"/>
      <c r="MCD233" s="173"/>
      <c r="MCE233" s="173"/>
      <c r="MCF233" s="173"/>
      <c r="MCG233" s="173"/>
      <c r="MCH233" s="173"/>
      <c r="MCI233" s="173"/>
      <c r="MCJ233" s="125"/>
      <c r="MCK233" s="125"/>
      <c r="MCL233" s="134"/>
      <c r="MCM233" s="135"/>
      <c r="MCN233" s="135"/>
      <c r="MCO233" s="135"/>
      <c r="MCP233" s="135"/>
      <c r="MCQ233" s="173"/>
      <c r="MCR233" s="173"/>
      <c r="MCS233" s="173"/>
      <c r="MCT233" s="173"/>
      <c r="MCU233" s="173"/>
      <c r="MCV233" s="173"/>
      <c r="MCW233" s="173"/>
      <c r="MCX233" s="173"/>
      <c r="MCY233" s="173"/>
      <c r="MCZ233" s="173"/>
      <c r="MDA233" s="125"/>
      <c r="MDB233" s="125"/>
      <c r="MDC233" s="134"/>
      <c r="MDD233" s="135"/>
      <c r="MDE233" s="135"/>
      <c r="MDF233" s="135"/>
      <c r="MDG233" s="135"/>
      <c r="MDH233" s="173"/>
      <c r="MDI233" s="173"/>
      <c r="MDJ233" s="173"/>
      <c r="MDK233" s="173"/>
      <c r="MDL233" s="173"/>
      <c r="MDM233" s="173"/>
      <c r="MDN233" s="173"/>
      <c r="MDO233" s="173"/>
      <c r="MDP233" s="173"/>
      <c r="MDQ233" s="173"/>
      <c r="MDR233" s="125"/>
      <c r="MDS233" s="125"/>
      <c r="MDT233" s="134"/>
      <c r="MDU233" s="135"/>
      <c r="MDV233" s="135"/>
      <c r="MDW233" s="135"/>
      <c r="MDX233" s="135"/>
      <c r="MDY233" s="173"/>
      <c r="MDZ233" s="173"/>
      <c r="MEA233" s="173"/>
      <c r="MEB233" s="173"/>
      <c r="MEC233" s="173"/>
      <c r="MED233" s="173"/>
      <c r="MEE233" s="173"/>
      <c r="MEF233" s="173"/>
      <c r="MEG233" s="173"/>
      <c r="MEH233" s="173"/>
      <c r="MEI233" s="125"/>
      <c r="MEJ233" s="125"/>
      <c r="MEK233" s="134"/>
      <c r="MEL233" s="135"/>
      <c r="MEM233" s="135"/>
      <c r="MEN233" s="135"/>
      <c r="MEO233" s="135"/>
      <c r="MEP233" s="173"/>
      <c r="MEQ233" s="173"/>
      <c r="MER233" s="173"/>
      <c r="MES233" s="173"/>
      <c r="MET233" s="173"/>
      <c r="MEU233" s="173"/>
      <c r="MEV233" s="173"/>
      <c r="MEW233" s="173"/>
      <c r="MEX233" s="173"/>
      <c r="MEY233" s="173"/>
      <c r="MEZ233" s="125"/>
      <c r="MFA233" s="125"/>
      <c r="MFB233" s="134"/>
      <c r="MFC233" s="135"/>
      <c r="MFD233" s="135"/>
      <c r="MFE233" s="135"/>
      <c r="MFF233" s="135"/>
      <c r="MFG233" s="173"/>
      <c r="MFH233" s="173"/>
      <c r="MFI233" s="173"/>
      <c r="MFJ233" s="173"/>
      <c r="MFK233" s="173"/>
      <c r="MFL233" s="173"/>
      <c r="MFM233" s="173"/>
      <c r="MFN233" s="173"/>
      <c r="MFO233" s="173"/>
      <c r="MFP233" s="173"/>
      <c r="MFQ233" s="125"/>
      <c r="MFR233" s="125"/>
      <c r="MFS233" s="134"/>
      <c r="MFT233" s="135"/>
      <c r="MFU233" s="135"/>
      <c r="MFV233" s="135"/>
      <c r="MFW233" s="135"/>
      <c r="MFX233" s="173"/>
      <c r="MFY233" s="173"/>
      <c r="MFZ233" s="173"/>
      <c r="MGA233" s="173"/>
      <c r="MGB233" s="173"/>
      <c r="MGC233" s="173"/>
      <c r="MGD233" s="173"/>
      <c r="MGE233" s="173"/>
      <c r="MGF233" s="173"/>
      <c r="MGG233" s="173"/>
      <c r="MGH233" s="125"/>
      <c r="MGI233" s="125"/>
      <c r="MGJ233" s="134"/>
      <c r="MGK233" s="135"/>
      <c r="MGL233" s="135"/>
      <c r="MGM233" s="135"/>
      <c r="MGN233" s="135"/>
      <c r="MGO233" s="173"/>
      <c r="MGP233" s="173"/>
      <c r="MGQ233" s="173"/>
      <c r="MGR233" s="173"/>
      <c r="MGS233" s="173"/>
      <c r="MGT233" s="173"/>
      <c r="MGU233" s="173"/>
      <c r="MGV233" s="173"/>
      <c r="MGW233" s="173"/>
      <c r="MGX233" s="173"/>
      <c r="MGY233" s="125"/>
      <c r="MGZ233" s="125"/>
      <c r="MHA233" s="134"/>
      <c r="MHB233" s="135"/>
      <c r="MHC233" s="135"/>
      <c r="MHD233" s="135"/>
      <c r="MHE233" s="135"/>
      <c r="MHF233" s="173"/>
      <c r="MHG233" s="173"/>
      <c r="MHH233" s="173"/>
      <c r="MHI233" s="173"/>
      <c r="MHJ233" s="173"/>
      <c r="MHK233" s="173"/>
      <c r="MHL233" s="173"/>
      <c r="MHM233" s="173"/>
      <c r="MHN233" s="173"/>
      <c r="MHO233" s="173"/>
      <c r="MHP233" s="125"/>
      <c r="MHQ233" s="125"/>
      <c r="MHR233" s="134"/>
      <c r="MHS233" s="135"/>
      <c r="MHT233" s="135"/>
      <c r="MHU233" s="135"/>
      <c r="MHV233" s="135"/>
      <c r="MHW233" s="173"/>
      <c r="MHX233" s="173"/>
      <c r="MHY233" s="173"/>
      <c r="MHZ233" s="173"/>
      <c r="MIA233" s="173"/>
      <c r="MIB233" s="173"/>
      <c r="MIC233" s="173"/>
      <c r="MID233" s="173"/>
      <c r="MIE233" s="173"/>
      <c r="MIF233" s="173"/>
      <c r="MIG233" s="125"/>
      <c r="MIH233" s="125"/>
      <c r="MII233" s="134"/>
      <c r="MIJ233" s="135"/>
      <c r="MIK233" s="135"/>
      <c r="MIL233" s="135"/>
      <c r="MIM233" s="135"/>
      <c r="MIN233" s="173"/>
      <c r="MIO233" s="173"/>
      <c r="MIP233" s="173"/>
      <c r="MIQ233" s="173"/>
      <c r="MIR233" s="173"/>
      <c r="MIS233" s="173"/>
      <c r="MIT233" s="173"/>
      <c r="MIU233" s="173"/>
      <c r="MIV233" s="173"/>
      <c r="MIW233" s="173"/>
      <c r="MIX233" s="125"/>
      <c r="MIY233" s="125"/>
      <c r="MIZ233" s="134"/>
      <c r="MJA233" s="135"/>
      <c r="MJB233" s="135"/>
      <c r="MJC233" s="135"/>
      <c r="MJD233" s="135"/>
      <c r="MJE233" s="173"/>
      <c r="MJF233" s="173"/>
      <c r="MJG233" s="173"/>
      <c r="MJH233" s="173"/>
      <c r="MJI233" s="173"/>
      <c r="MJJ233" s="173"/>
      <c r="MJK233" s="173"/>
      <c r="MJL233" s="173"/>
      <c r="MJM233" s="173"/>
      <c r="MJN233" s="173"/>
      <c r="MJO233" s="125"/>
      <c r="MJP233" s="125"/>
      <c r="MJQ233" s="134"/>
      <c r="MJR233" s="135"/>
      <c r="MJS233" s="135"/>
      <c r="MJT233" s="135"/>
      <c r="MJU233" s="135"/>
      <c r="MJV233" s="173"/>
      <c r="MJW233" s="173"/>
      <c r="MJX233" s="173"/>
      <c r="MJY233" s="173"/>
      <c r="MJZ233" s="173"/>
      <c r="MKA233" s="173"/>
      <c r="MKB233" s="173"/>
      <c r="MKC233" s="173"/>
      <c r="MKD233" s="173"/>
      <c r="MKE233" s="173"/>
      <c r="MKF233" s="125"/>
      <c r="MKG233" s="125"/>
      <c r="MKH233" s="134"/>
      <c r="MKI233" s="135"/>
      <c r="MKJ233" s="135"/>
      <c r="MKK233" s="135"/>
      <c r="MKL233" s="135"/>
      <c r="MKM233" s="173"/>
      <c r="MKN233" s="173"/>
      <c r="MKO233" s="173"/>
      <c r="MKP233" s="173"/>
      <c r="MKQ233" s="173"/>
      <c r="MKR233" s="173"/>
      <c r="MKS233" s="173"/>
      <c r="MKT233" s="173"/>
      <c r="MKU233" s="173"/>
      <c r="MKV233" s="173"/>
      <c r="MKW233" s="125"/>
      <c r="MKX233" s="125"/>
      <c r="MKY233" s="134"/>
      <c r="MKZ233" s="135"/>
      <c r="MLA233" s="135"/>
      <c r="MLB233" s="135"/>
      <c r="MLC233" s="135"/>
      <c r="MLD233" s="173"/>
      <c r="MLE233" s="173"/>
      <c r="MLF233" s="173"/>
      <c r="MLG233" s="173"/>
      <c r="MLH233" s="173"/>
      <c r="MLI233" s="173"/>
      <c r="MLJ233" s="173"/>
      <c r="MLK233" s="173"/>
      <c r="MLL233" s="173"/>
      <c r="MLM233" s="173"/>
      <c r="MLN233" s="125"/>
      <c r="MLO233" s="125"/>
      <c r="MLP233" s="134"/>
      <c r="MLQ233" s="135"/>
      <c r="MLR233" s="135"/>
      <c r="MLS233" s="135"/>
      <c r="MLT233" s="135"/>
      <c r="MLU233" s="173"/>
      <c r="MLV233" s="173"/>
      <c r="MLW233" s="173"/>
      <c r="MLX233" s="173"/>
      <c r="MLY233" s="173"/>
      <c r="MLZ233" s="173"/>
      <c r="MMA233" s="173"/>
      <c r="MMB233" s="173"/>
      <c r="MMC233" s="173"/>
      <c r="MMD233" s="173"/>
      <c r="MME233" s="125"/>
      <c r="MMF233" s="125"/>
      <c r="MMG233" s="134"/>
      <c r="MMH233" s="135"/>
      <c r="MMI233" s="135"/>
      <c r="MMJ233" s="135"/>
      <c r="MMK233" s="135"/>
      <c r="MML233" s="173"/>
      <c r="MMM233" s="173"/>
      <c r="MMN233" s="173"/>
      <c r="MMO233" s="173"/>
      <c r="MMP233" s="173"/>
      <c r="MMQ233" s="173"/>
      <c r="MMR233" s="173"/>
      <c r="MMS233" s="173"/>
      <c r="MMT233" s="173"/>
      <c r="MMU233" s="173"/>
      <c r="MMV233" s="125"/>
      <c r="MMW233" s="125"/>
      <c r="MMX233" s="134"/>
      <c r="MMY233" s="135"/>
      <c r="MMZ233" s="135"/>
      <c r="MNA233" s="135"/>
      <c r="MNB233" s="135"/>
      <c r="MNC233" s="173"/>
      <c r="MND233" s="173"/>
      <c r="MNE233" s="173"/>
      <c r="MNF233" s="173"/>
      <c r="MNG233" s="173"/>
      <c r="MNH233" s="173"/>
      <c r="MNI233" s="173"/>
      <c r="MNJ233" s="173"/>
      <c r="MNK233" s="173"/>
      <c r="MNL233" s="173"/>
      <c r="MNM233" s="125"/>
      <c r="MNN233" s="125"/>
      <c r="MNO233" s="134"/>
      <c r="MNP233" s="135"/>
      <c r="MNQ233" s="135"/>
      <c r="MNR233" s="135"/>
      <c r="MNS233" s="135"/>
      <c r="MNT233" s="173"/>
      <c r="MNU233" s="173"/>
      <c r="MNV233" s="173"/>
      <c r="MNW233" s="173"/>
      <c r="MNX233" s="173"/>
      <c r="MNY233" s="173"/>
      <c r="MNZ233" s="173"/>
      <c r="MOA233" s="173"/>
      <c r="MOB233" s="173"/>
      <c r="MOC233" s="173"/>
      <c r="MOD233" s="125"/>
      <c r="MOE233" s="125"/>
      <c r="MOF233" s="134"/>
      <c r="MOG233" s="135"/>
      <c r="MOH233" s="135"/>
      <c r="MOI233" s="135"/>
      <c r="MOJ233" s="135"/>
      <c r="MOK233" s="173"/>
      <c r="MOL233" s="173"/>
      <c r="MOM233" s="173"/>
      <c r="MON233" s="173"/>
      <c r="MOO233" s="173"/>
      <c r="MOP233" s="173"/>
      <c r="MOQ233" s="173"/>
      <c r="MOR233" s="173"/>
      <c r="MOS233" s="173"/>
      <c r="MOT233" s="173"/>
      <c r="MOU233" s="125"/>
      <c r="MOV233" s="125"/>
      <c r="MOW233" s="134"/>
      <c r="MOX233" s="135"/>
      <c r="MOY233" s="135"/>
      <c r="MOZ233" s="135"/>
      <c r="MPA233" s="135"/>
      <c r="MPB233" s="173"/>
      <c r="MPC233" s="173"/>
      <c r="MPD233" s="173"/>
      <c r="MPE233" s="173"/>
      <c r="MPF233" s="173"/>
      <c r="MPG233" s="173"/>
      <c r="MPH233" s="173"/>
      <c r="MPI233" s="173"/>
      <c r="MPJ233" s="173"/>
      <c r="MPK233" s="173"/>
      <c r="MPL233" s="125"/>
      <c r="MPM233" s="125"/>
      <c r="MPN233" s="134"/>
      <c r="MPO233" s="135"/>
      <c r="MPP233" s="135"/>
      <c r="MPQ233" s="135"/>
      <c r="MPR233" s="135"/>
      <c r="MPS233" s="173"/>
      <c r="MPT233" s="173"/>
      <c r="MPU233" s="173"/>
      <c r="MPV233" s="173"/>
      <c r="MPW233" s="173"/>
      <c r="MPX233" s="173"/>
      <c r="MPY233" s="173"/>
      <c r="MPZ233" s="173"/>
      <c r="MQA233" s="173"/>
      <c r="MQB233" s="173"/>
      <c r="MQC233" s="125"/>
      <c r="MQD233" s="125"/>
      <c r="MQE233" s="134"/>
      <c r="MQF233" s="135"/>
      <c r="MQG233" s="135"/>
      <c r="MQH233" s="135"/>
      <c r="MQI233" s="135"/>
      <c r="MQJ233" s="173"/>
      <c r="MQK233" s="173"/>
      <c r="MQL233" s="173"/>
      <c r="MQM233" s="173"/>
      <c r="MQN233" s="173"/>
      <c r="MQO233" s="173"/>
      <c r="MQP233" s="173"/>
      <c r="MQQ233" s="173"/>
      <c r="MQR233" s="173"/>
      <c r="MQS233" s="173"/>
      <c r="MQT233" s="125"/>
      <c r="MQU233" s="125"/>
      <c r="MQV233" s="134"/>
      <c r="MQW233" s="135"/>
      <c r="MQX233" s="135"/>
      <c r="MQY233" s="135"/>
      <c r="MQZ233" s="135"/>
      <c r="MRA233" s="173"/>
      <c r="MRB233" s="173"/>
      <c r="MRC233" s="173"/>
      <c r="MRD233" s="173"/>
      <c r="MRE233" s="173"/>
      <c r="MRF233" s="173"/>
      <c r="MRG233" s="173"/>
      <c r="MRH233" s="173"/>
      <c r="MRI233" s="173"/>
      <c r="MRJ233" s="173"/>
      <c r="MRK233" s="125"/>
      <c r="MRL233" s="125"/>
      <c r="MRM233" s="134"/>
      <c r="MRN233" s="135"/>
      <c r="MRO233" s="135"/>
      <c r="MRP233" s="135"/>
      <c r="MRQ233" s="135"/>
      <c r="MRR233" s="173"/>
      <c r="MRS233" s="173"/>
      <c r="MRT233" s="173"/>
      <c r="MRU233" s="173"/>
      <c r="MRV233" s="173"/>
      <c r="MRW233" s="173"/>
      <c r="MRX233" s="173"/>
      <c r="MRY233" s="173"/>
      <c r="MRZ233" s="173"/>
      <c r="MSA233" s="173"/>
      <c r="MSB233" s="125"/>
      <c r="MSC233" s="125"/>
      <c r="MSD233" s="134"/>
      <c r="MSE233" s="135"/>
      <c r="MSF233" s="135"/>
      <c r="MSG233" s="135"/>
      <c r="MSH233" s="135"/>
      <c r="MSI233" s="173"/>
      <c r="MSJ233" s="173"/>
      <c r="MSK233" s="173"/>
      <c r="MSL233" s="173"/>
      <c r="MSM233" s="173"/>
      <c r="MSN233" s="173"/>
      <c r="MSO233" s="173"/>
      <c r="MSP233" s="173"/>
      <c r="MSQ233" s="173"/>
      <c r="MSR233" s="173"/>
      <c r="MSS233" s="125"/>
      <c r="MST233" s="125"/>
      <c r="MSU233" s="134"/>
      <c r="MSV233" s="135"/>
      <c r="MSW233" s="135"/>
      <c r="MSX233" s="135"/>
      <c r="MSY233" s="135"/>
      <c r="MSZ233" s="173"/>
      <c r="MTA233" s="173"/>
      <c r="MTB233" s="173"/>
      <c r="MTC233" s="173"/>
      <c r="MTD233" s="173"/>
      <c r="MTE233" s="173"/>
      <c r="MTF233" s="173"/>
      <c r="MTG233" s="173"/>
      <c r="MTH233" s="173"/>
      <c r="MTI233" s="173"/>
      <c r="MTJ233" s="125"/>
      <c r="MTK233" s="125"/>
      <c r="MTL233" s="134"/>
      <c r="MTM233" s="135"/>
      <c r="MTN233" s="135"/>
      <c r="MTO233" s="135"/>
      <c r="MTP233" s="135"/>
      <c r="MTQ233" s="173"/>
      <c r="MTR233" s="173"/>
      <c r="MTS233" s="173"/>
      <c r="MTT233" s="173"/>
      <c r="MTU233" s="173"/>
      <c r="MTV233" s="173"/>
      <c r="MTW233" s="173"/>
      <c r="MTX233" s="173"/>
      <c r="MTY233" s="173"/>
      <c r="MTZ233" s="173"/>
      <c r="MUA233" s="125"/>
      <c r="MUB233" s="125"/>
      <c r="MUC233" s="134"/>
      <c r="MUD233" s="135"/>
      <c r="MUE233" s="135"/>
      <c r="MUF233" s="135"/>
      <c r="MUG233" s="135"/>
      <c r="MUH233" s="173"/>
      <c r="MUI233" s="173"/>
      <c r="MUJ233" s="173"/>
      <c r="MUK233" s="173"/>
      <c r="MUL233" s="173"/>
      <c r="MUM233" s="173"/>
      <c r="MUN233" s="173"/>
      <c r="MUO233" s="173"/>
      <c r="MUP233" s="173"/>
      <c r="MUQ233" s="173"/>
      <c r="MUR233" s="125"/>
      <c r="MUS233" s="125"/>
      <c r="MUT233" s="134"/>
      <c r="MUU233" s="135"/>
      <c r="MUV233" s="135"/>
      <c r="MUW233" s="135"/>
      <c r="MUX233" s="135"/>
      <c r="MUY233" s="173"/>
      <c r="MUZ233" s="173"/>
      <c r="MVA233" s="173"/>
      <c r="MVB233" s="173"/>
      <c r="MVC233" s="173"/>
      <c r="MVD233" s="173"/>
      <c r="MVE233" s="173"/>
      <c r="MVF233" s="173"/>
      <c r="MVG233" s="173"/>
      <c r="MVH233" s="173"/>
      <c r="MVI233" s="125"/>
      <c r="MVJ233" s="125"/>
      <c r="MVK233" s="134"/>
      <c r="MVL233" s="135"/>
      <c r="MVM233" s="135"/>
      <c r="MVN233" s="135"/>
      <c r="MVO233" s="135"/>
      <c r="MVP233" s="173"/>
      <c r="MVQ233" s="173"/>
      <c r="MVR233" s="173"/>
      <c r="MVS233" s="173"/>
      <c r="MVT233" s="173"/>
      <c r="MVU233" s="173"/>
      <c r="MVV233" s="173"/>
      <c r="MVW233" s="173"/>
      <c r="MVX233" s="173"/>
      <c r="MVY233" s="173"/>
      <c r="MVZ233" s="125"/>
      <c r="MWA233" s="125"/>
      <c r="MWB233" s="134"/>
      <c r="MWC233" s="135"/>
      <c r="MWD233" s="135"/>
      <c r="MWE233" s="135"/>
      <c r="MWF233" s="135"/>
      <c r="MWG233" s="173"/>
      <c r="MWH233" s="173"/>
      <c r="MWI233" s="173"/>
      <c r="MWJ233" s="173"/>
      <c r="MWK233" s="173"/>
      <c r="MWL233" s="173"/>
      <c r="MWM233" s="173"/>
      <c r="MWN233" s="173"/>
      <c r="MWO233" s="173"/>
      <c r="MWP233" s="173"/>
      <c r="MWQ233" s="125"/>
      <c r="MWR233" s="125"/>
      <c r="MWS233" s="134"/>
      <c r="MWT233" s="135"/>
      <c r="MWU233" s="135"/>
      <c r="MWV233" s="135"/>
      <c r="MWW233" s="135"/>
      <c r="MWX233" s="173"/>
      <c r="MWY233" s="173"/>
      <c r="MWZ233" s="173"/>
      <c r="MXA233" s="173"/>
      <c r="MXB233" s="173"/>
      <c r="MXC233" s="173"/>
      <c r="MXD233" s="173"/>
      <c r="MXE233" s="173"/>
      <c r="MXF233" s="173"/>
      <c r="MXG233" s="173"/>
      <c r="MXH233" s="125"/>
      <c r="MXI233" s="125"/>
      <c r="MXJ233" s="134"/>
      <c r="MXK233" s="135"/>
      <c r="MXL233" s="135"/>
      <c r="MXM233" s="135"/>
      <c r="MXN233" s="135"/>
      <c r="MXO233" s="173"/>
      <c r="MXP233" s="173"/>
      <c r="MXQ233" s="173"/>
      <c r="MXR233" s="173"/>
      <c r="MXS233" s="173"/>
      <c r="MXT233" s="173"/>
      <c r="MXU233" s="173"/>
      <c r="MXV233" s="173"/>
      <c r="MXW233" s="173"/>
      <c r="MXX233" s="173"/>
      <c r="MXY233" s="125"/>
      <c r="MXZ233" s="125"/>
      <c r="MYA233" s="134"/>
      <c r="MYB233" s="135"/>
      <c r="MYC233" s="135"/>
      <c r="MYD233" s="135"/>
      <c r="MYE233" s="135"/>
      <c r="MYF233" s="173"/>
      <c r="MYG233" s="173"/>
      <c r="MYH233" s="173"/>
      <c r="MYI233" s="173"/>
      <c r="MYJ233" s="173"/>
      <c r="MYK233" s="173"/>
      <c r="MYL233" s="173"/>
      <c r="MYM233" s="173"/>
      <c r="MYN233" s="173"/>
      <c r="MYO233" s="173"/>
      <c r="MYP233" s="125"/>
      <c r="MYQ233" s="125"/>
      <c r="MYR233" s="134"/>
      <c r="MYS233" s="135"/>
      <c r="MYT233" s="135"/>
      <c r="MYU233" s="135"/>
      <c r="MYV233" s="135"/>
      <c r="MYW233" s="173"/>
      <c r="MYX233" s="173"/>
      <c r="MYY233" s="173"/>
      <c r="MYZ233" s="173"/>
      <c r="MZA233" s="173"/>
      <c r="MZB233" s="173"/>
      <c r="MZC233" s="173"/>
      <c r="MZD233" s="173"/>
      <c r="MZE233" s="173"/>
      <c r="MZF233" s="173"/>
      <c r="MZG233" s="125"/>
      <c r="MZH233" s="125"/>
      <c r="MZI233" s="134"/>
      <c r="MZJ233" s="135"/>
      <c r="MZK233" s="135"/>
      <c r="MZL233" s="135"/>
      <c r="MZM233" s="135"/>
      <c r="MZN233" s="173"/>
      <c r="MZO233" s="173"/>
      <c r="MZP233" s="173"/>
      <c r="MZQ233" s="173"/>
      <c r="MZR233" s="173"/>
      <c r="MZS233" s="173"/>
      <c r="MZT233" s="173"/>
      <c r="MZU233" s="173"/>
      <c r="MZV233" s="173"/>
      <c r="MZW233" s="173"/>
      <c r="MZX233" s="125"/>
      <c r="MZY233" s="125"/>
      <c r="MZZ233" s="134"/>
      <c r="NAA233" s="135"/>
      <c r="NAB233" s="135"/>
      <c r="NAC233" s="135"/>
      <c r="NAD233" s="135"/>
      <c r="NAE233" s="173"/>
      <c r="NAF233" s="173"/>
      <c r="NAG233" s="173"/>
      <c r="NAH233" s="173"/>
      <c r="NAI233" s="173"/>
      <c r="NAJ233" s="173"/>
      <c r="NAK233" s="173"/>
      <c r="NAL233" s="173"/>
      <c r="NAM233" s="173"/>
      <c r="NAN233" s="173"/>
      <c r="NAO233" s="125"/>
      <c r="NAP233" s="125"/>
      <c r="NAQ233" s="134"/>
      <c r="NAR233" s="135"/>
      <c r="NAS233" s="135"/>
      <c r="NAT233" s="135"/>
      <c r="NAU233" s="135"/>
      <c r="NAV233" s="173"/>
      <c r="NAW233" s="173"/>
      <c r="NAX233" s="173"/>
      <c r="NAY233" s="173"/>
      <c r="NAZ233" s="173"/>
      <c r="NBA233" s="173"/>
      <c r="NBB233" s="173"/>
      <c r="NBC233" s="173"/>
      <c r="NBD233" s="173"/>
      <c r="NBE233" s="173"/>
      <c r="NBF233" s="125"/>
      <c r="NBG233" s="125"/>
      <c r="NBH233" s="134"/>
      <c r="NBI233" s="135"/>
      <c r="NBJ233" s="135"/>
      <c r="NBK233" s="135"/>
      <c r="NBL233" s="135"/>
      <c r="NBM233" s="173"/>
      <c r="NBN233" s="173"/>
      <c r="NBO233" s="173"/>
      <c r="NBP233" s="173"/>
      <c r="NBQ233" s="173"/>
      <c r="NBR233" s="173"/>
      <c r="NBS233" s="173"/>
      <c r="NBT233" s="173"/>
      <c r="NBU233" s="173"/>
      <c r="NBV233" s="173"/>
      <c r="NBW233" s="125"/>
      <c r="NBX233" s="125"/>
      <c r="NBY233" s="134"/>
      <c r="NBZ233" s="135"/>
      <c r="NCA233" s="135"/>
      <c r="NCB233" s="135"/>
      <c r="NCC233" s="135"/>
      <c r="NCD233" s="173"/>
      <c r="NCE233" s="173"/>
      <c r="NCF233" s="173"/>
      <c r="NCG233" s="173"/>
      <c r="NCH233" s="173"/>
      <c r="NCI233" s="173"/>
      <c r="NCJ233" s="173"/>
      <c r="NCK233" s="173"/>
      <c r="NCL233" s="173"/>
      <c r="NCM233" s="173"/>
      <c r="NCN233" s="125"/>
      <c r="NCO233" s="125"/>
      <c r="NCP233" s="134"/>
      <c r="NCQ233" s="135"/>
      <c r="NCR233" s="135"/>
      <c r="NCS233" s="135"/>
      <c r="NCT233" s="135"/>
      <c r="NCU233" s="173"/>
      <c r="NCV233" s="173"/>
      <c r="NCW233" s="173"/>
      <c r="NCX233" s="173"/>
      <c r="NCY233" s="173"/>
      <c r="NCZ233" s="173"/>
      <c r="NDA233" s="173"/>
      <c r="NDB233" s="173"/>
      <c r="NDC233" s="173"/>
      <c r="NDD233" s="173"/>
      <c r="NDE233" s="125"/>
      <c r="NDF233" s="125"/>
      <c r="NDG233" s="134"/>
      <c r="NDH233" s="135"/>
      <c r="NDI233" s="135"/>
      <c r="NDJ233" s="135"/>
      <c r="NDK233" s="135"/>
      <c r="NDL233" s="173"/>
      <c r="NDM233" s="173"/>
      <c r="NDN233" s="173"/>
      <c r="NDO233" s="173"/>
      <c r="NDP233" s="173"/>
      <c r="NDQ233" s="173"/>
      <c r="NDR233" s="173"/>
      <c r="NDS233" s="173"/>
      <c r="NDT233" s="173"/>
      <c r="NDU233" s="173"/>
      <c r="NDV233" s="125"/>
      <c r="NDW233" s="125"/>
      <c r="NDX233" s="134"/>
      <c r="NDY233" s="135"/>
      <c r="NDZ233" s="135"/>
      <c r="NEA233" s="135"/>
      <c r="NEB233" s="135"/>
      <c r="NEC233" s="173"/>
      <c r="NED233" s="173"/>
      <c r="NEE233" s="173"/>
      <c r="NEF233" s="173"/>
      <c r="NEG233" s="173"/>
      <c r="NEH233" s="173"/>
      <c r="NEI233" s="173"/>
      <c r="NEJ233" s="173"/>
      <c r="NEK233" s="173"/>
      <c r="NEL233" s="173"/>
      <c r="NEM233" s="125"/>
      <c r="NEN233" s="125"/>
      <c r="NEO233" s="134"/>
      <c r="NEP233" s="135"/>
      <c r="NEQ233" s="135"/>
      <c r="NER233" s="135"/>
      <c r="NES233" s="135"/>
      <c r="NET233" s="173"/>
      <c r="NEU233" s="173"/>
      <c r="NEV233" s="173"/>
      <c r="NEW233" s="173"/>
      <c r="NEX233" s="173"/>
      <c r="NEY233" s="173"/>
      <c r="NEZ233" s="173"/>
      <c r="NFA233" s="173"/>
      <c r="NFB233" s="173"/>
      <c r="NFC233" s="173"/>
      <c r="NFD233" s="125"/>
      <c r="NFE233" s="125"/>
      <c r="NFF233" s="134"/>
      <c r="NFG233" s="135"/>
      <c r="NFH233" s="135"/>
      <c r="NFI233" s="135"/>
      <c r="NFJ233" s="135"/>
      <c r="NFK233" s="173"/>
      <c r="NFL233" s="173"/>
      <c r="NFM233" s="173"/>
      <c r="NFN233" s="173"/>
      <c r="NFO233" s="173"/>
      <c r="NFP233" s="173"/>
      <c r="NFQ233" s="173"/>
      <c r="NFR233" s="173"/>
      <c r="NFS233" s="173"/>
      <c r="NFT233" s="173"/>
      <c r="NFU233" s="125"/>
      <c r="NFV233" s="125"/>
      <c r="NFW233" s="134"/>
      <c r="NFX233" s="135"/>
      <c r="NFY233" s="135"/>
      <c r="NFZ233" s="135"/>
      <c r="NGA233" s="135"/>
      <c r="NGB233" s="173"/>
      <c r="NGC233" s="173"/>
      <c r="NGD233" s="173"/>
      <c r="NGE233" s="173"/>
      <c r="NGF233" s="173"/>
      <c r="NGG233" s="173"/>
      <c r="NGH233" s="173"/>
      <c r="NGI233" s="173"/>
      <c r="NGJ233" s="173"/>
      <c r="NGK233" s="173"/>
      <c r="NGL233" s="125"/>
      <c r="NGM233" s="125"/>
      <c r="NGN233" s="134"/>
      <c r="NGO233" s="135"/>
      <c r="NGP233" s="135"/>
      <c r="NGQ233" s="135"/>
      <c r="NGR233" s="135"/>
      <c r="NGS233" s="173"/>
      <c r="NGT233" s="173"/>
      <c r="NGU233" s="173"/>
      <c r="NGV233" s="173"/>
      <c r="NGW233" s="173"/>
      <c r="NGX233" s="173"/>
      <c r="NGY233" s="173"/>
      <c r="NGZ233" s="173"/>
      <c r="NHA233" s="173"/>
      <c r="NHB233" s="173"/>
      <c r="NHC233" s="125"/>
      <c r="NHD233" s="125"/>
      <c r="NHE233" s="134"/>
      <c r="NHF233" s="135"/>
      <c r="NHG233" s="135"/>
      <c r="NHH233" s="135"/>
      <c r="NHI233" s="135"/>
      <c r="NHJ233" s="173"/>
      <c r="NHK233" s="173"/>
      <c r="NHL233" s="173"/>
      <c r="NHM233" s="173"/>
      <c r="NHN233" s="173"/>
      <c r="NHO233" s="173"/>
      <c r="NHP233" s="173"/>
      <c r="NHQ233" s="173"/>
      <c r="NHR233" s="173"/>
      <c r="NHS233" s="173"/>
      <c r="NHT233" s="125"/>
      <c r="NHU233" s="125"/>
      <c r="NHV233" s="134"/>
      <c r="NHW233" s="135"/>
      <c r="NHX233" s="135"/>
      <c r="NHY233" s="135"/>
      <c r="NHZ233" s="135"/>
      <c r="NIA233" s="173"/>
      <c r="NIB233" s="173"/>
      <c r="NIC233" s="173"/>
      <c r="NID233" s="173"/>
      <c r="NIE233" s="173"/>
      <c r="NIF233" s="173"/>
      <c r="NIG233" s="173"/>
      <c r="NIH233" s="173"/>
      <c r="NII233" s="173"/>
      <c r="NIJ233" s="173"/>
      <c r="NIK233" s="125"/>
      <c r="NIL233" s="125"/>
      <c r="NIM233" s="134"/>
      <c r="NIN233" s="135"/>
      <c r="NIO233" s="135"/>
      <c r="NIP233" s="135"/>
      <c r="NIQ233" s="135"/>
      <c r="NIR233" s="173"/>
      <c r="NIS233" s="173"/>
      <c r="NIT233" s="173"/>
      <c r="NIU233" s="173"/>
      <c r="NIV233" s="173"/>
      <c r="NIW233" s="173"/>
      <c r="NIX233" s="173"/>
      <c r="NIY233" s="173"/>
      <c r="NIZ233" s="173"/>
      <c r="NJA233" s="173"/>
      <c r="NJB233" s="125"/>
      <c r="NJC233" s="125"/>
      <c r="NJD233" s="134"/>
      <c r="NJE233" s="135"/>
      <c r="NJF233" s="135"/>
      <c r="NJG233" s="135"/>
      <c r="NJH233" s="135"/>
      <c r="NJI233" s="173"/>
      <c r="NJJ233" s="173"/>
      <c r="NJK233" s="173"/>
      <c r="NJL233" s="173"/>
      <c r="NJM233" s="173"/>
      <c r="NJN233" s="173"/>
      <c r="NJO233" s="173"/>
      <c r="NJP233" s="173"/>
      <c r="NJQ233" s="173"/>
      <c r="NJR233" s="173"/>
      <c r="NJS233" s="125"/>
      <c r="NJT233" s="125"/>
      <c r="NJU233" s="134"/>
      <c r="NJV233" s="135"/>
      <c r="NJW233" s="135"/>
      <c r="NJX233" s="135"/>
      <c r="NJY233" s="135"/>
      <c r="NJZ233" s="173"/>
      <c r="NKA233" s="173"/>
      <c r="NKB233" s="173"/>
      <c r="NKC233" s="173"/>
      <c r="NKD233" s="173"/>
      <c r="NKE233" s="173"/>
      <c r="NKF233" s="173"/>
      <c r="NKG233" s="173"/>
      <c r="NKH233" s="173"/>
      <c r="NKI233" s="173"/>
      <c r="NKJ233" s="125"/>
      <c r="NKK233" s="125"/>
      <c r="NKL233" s="134"/>
      <c r="NKM233" s="135"/>
      <c r="NKN233" s="135"/>
      <c r="NKO233" s="135"/>
      <c r="NKP233" s="135"/>
      <c r="NKQ233" s="173"/>
      <c r="NKR233" s="173"/>
      <c r="NKS233" s="173"/>
      <c r="NKT233" s="173"/>
      <c r="NKU233" s="173"/>
      <c r="NKV233" s="173"/>
      <c r="NKW233" s="173"/>
      <c r="NKX233" s="173"/>
      <c r="NKY233" s="173"/>
      <c r="NKZ233" s="173"/>
      <c r="NLA233" s="125"/>
      <c r="NLB233" s="125"/>
      <c r="NLC233" s="134"/>
      <c r="NLD233" s="135"/>
      <c r="NLE233" s="135"/>
      <c r="NLF233" s="135"/>
      <c r="NLG233" s="135"/>
      <c r="NLH233" s="173"/>
      <c r="NLI233" s="173"/>
      <c r="NLJ233" s="173"/>
      <c r="NLK233" s="173"/>
      <c r="NLL233" s="173"/>
      <c r="NLM233" s="173"/>
      <c r="NLN233" s="173"/>
      <c r="NLO233" s="173"/>
      <c r="NLP233" s="173"/>
      <c r="NLQ233" s="173"/>
      <c r="NLR233" s="125"/>
      <c r="NLS233" s="125"/>
      <c r="NLT233" s="134"/>
      <c r="NLU233" s="135"/>
      <c r="NLV233" s="135"/>
      <c r="NLW233" s="135"/>
      <c r="NLX233" s="135"/>
      <c r="NLY233" s="173"/>
      <c r="NLZ233" s="173"/>
      <c r="NMA233" s="173"/>
      <c r="NMB233" s="173"/>
      <c r="NMC233" s="173"/>
      <c r="NMD233" s="173"/>
      <c r="NME233" s="173"/>
      <c r="NMF233" s="173"/>
      <c r="NMG233" s="173"/>
      <c r="NMH233" s="173"/>
      <c r="NMI233" s="125"/>
      <c r="NMJ233" s="125"/>
      <c r="NMK233" s="134"/>
      <c r="NML233" s="135"/>
      <c r="NMM233" s="135"/>
      <c r="NMN233" s="135"/>
      <c r="NMO233" s="135"/>
      <c r="NMP233" s="173"/>
      <c r="NMQ233" s="173"/>
      <c r="NMR233" s="173"/>
      <c r="NMS233" s="173"/>
      <c r="NMT233" s="173"/>
      <c r="NMU233" s="173"/>
      <c r="NMV233" s="173"/>
      <c r="NMW233" s="173"/>
      <c r="NMX233" s="173"/>
      <c r="NMY233" s="173"/>
      <c r="NMZ233" s="125"/>
      <c r="NNA233" s="125"/>
      <c r="NNB233" s="134"/>
      <c r="NNC233" s="135"/>
      <c r="NND233" s="135"/>
      <c r="NNE233" s="135"/>
      <c r="NNF233" s="135"/>
      <c r="NNG233" s="173"/>
      <c r="NNH233" s="173"/>
      <c r="NNI233" s="173"/>
      <c r="NNJ233" s="173"/>
      <c r="NNK233" s="173"/>
      <c r="NNL233" s="173"/>
      <c r="NNM233" s="173"/>
      <c r="NNN233" s="173"/>
      <c r="NNO233" s="173"/>
      <c r="NNP233" s="173"/>
      <c r="NNQ233" s="125"/>
      <c r="NNR233" s="125"/>
      <c r="NNS233" s="134"/>
      <c r="NNT233" s="135"/>
      <c r="NNU233" s="135"/>
      <c r="NNV233" s="135"/>
      <c r="NNW233" s="135"/>
      <c r="NNX233" s="173"/>
      <c r="NNY233" s="173"/>
      <c r="NNZ233" s="173"/>
      <c r="NOA233" s="173"/>
      <c r="NOB233" s="173"/>
      <c r="NOC233" s="173"/>
      <c r="NOD233" s="173"/>
      <c r="NOE233" s="173"/>
      <c r="NOF233" s="173"/>
      <c r="NOG233" s="173"/>
      <c r="NOH233" s="125"/>
      <c r="NOI233" s="125"/>
      <c r="NOJ233" s="134"/>
      <c r="NOK233" s="135"/>
      <c r="NOL233" s="135"/>
      <c r="NOM233" s="135"/>
      <c r="NON233" s="135"/>
      <c r="NOO233" s="173"/>
      <c r="NOP233" s="173"/>
      <c r="NOQ233" s="173"/>
      <c r="NOR233" s="173"/>
      <c r="NOS233" s="173"/>
      <c r="NOT233" s="173"/>
      <c r="NOU233" s="173"/>
      <c r="NOV233" s="173"/>
      <c r="NOW233" s="173"/>
      <c r="NOX233" s="173"/>
      <c r="NOY233" s="125"/>
      <c r="NOZ233" s="125"/>
      <c r="NPA233" s="134"/>
      <c r="NPB233" s="135"/>
      <c r="NPC233" s="135"/>
      <c r="NPD233" s="135"/>
      <c r="NPE233" s="135"/>
      <c r="NPF233" s="173"/>
      <c r="NPG233" s="173"/>
      <c r="NPH233" s="173"/>
      <c r="NPI233" s="173"/>
      <c r="NPJ233" s="173"/>
      <c r="NPK233" s="173"/>
      <c r="NPL233" s="173"/>
      <c r="NPM233" s="173"/>
      <c r="NPN233" s="173"/>
      <c r="NPO233" s="173"/>
      <c r="NPP233" s="125"/>
      <c r="NPQ233" s="125"/>
      <c r="NPR233" s="134"/>
      <c r="NPS233" s="135"/>
      <c r="NPT233" s="135"/>
      <c r="NPU233" s="135"/>
      <c r="NPV233" s="135"/>
      <c r="NPW233" s="173"/>
      <c r="NPX233" s="173"/>
      <c r="NPY233" s="173"/>
      <c r="NPZ233" s="173"/>
      <c r="NQA233" s="173"/>
      <c r="NQB233" s="173"/>
      <c r="NQC233" s="173"/>
      <c r="NQD233" s="173"/>
      <c r="NQE233" s="173"/>
      <c r="NQF233" s="173"/>
      <c r="NQG233" s="125"/>
      <c r="NQH233" s="125"/>
      <c r="NQI233" s="134"/>
      <c r="NQJ233" s="135"/>
      <c r="NQK233" s="135"/>
      <c r="NQL233" s="135"/>
      <c r="NQM233" s="135"/>
      <c r="NQN233" s="173"/>
      <c r="NQO233" s="173"/>
      <c r="NQP233" s="173"/>
      <c r="NQQ233" s="173"/>
      <c r="NQR233" s="173"/>
      <c r="NQS233" s="173"/>
      <c r="NQT233" s="173"/>
      <c r="NQU233" s="173"/>
      <c r="NQV233" s="173"/>
      <c r="NQW233" s="173"/>
      <c r="NQX233" s="125"/>
      <c r="NQY233" s="125"/>
      <c r="NQZ233" s="134"/>
      <c r="NRA233" s="135"/>
      <c r="NRB233" s="135"/>
      <c r="NRC233" s="135"/>
      <c r="NRD233" s="135"/>
      <c r="NRE233" s="173"/>
      <c r="NRF233" s="173"/>
      <c r="NRG233" s="173"/>
      <c r="NRH233" s="173"/>
      <c r="NRI233" s="173"/>
      <c r="NRJ233" s="173"/>
      <c r="NRK233" s="173"/>
      <c r="NRL233" s="173"/>
      <c r="NRM233" s="173"/>
      <c r="NRN233" s="173"/>
      <c r="NRO233" s="125"/>
      <c r="NRP233" s="125"/>
      <c r="NRQ233" s="134"/>
      <c r="NRR233" s="135"/>
      <c r="NRS233" s="135"/>
      <c r="NRT233" s="135"/>
      <c r="NRU233" s="135"/>
      <c r="NRV233" s="173"/>
      <c r="NRW233" s="173"/>
      <c r="NRX233" s="173"/>
      <c r="NRY233" s="173"/>
      <c r="NRZ233" s="173"/>
      <c r="NSA233" s="173"/>
      <c r="NSB233" s="173"/>
      <c r="NSC233" s="173"/>
      <c r="NSD233" s="173"/>
      <c r="NSE233" s="173"/>
      <c r="NSF233" s="125"/>
      <c r="NSG233" s="125"/>
      <c r="NSH233" s="134"/>
      <c r="NSI233" s="135"/>
      <c r="NSJ233" s="135"/>
      <c r="NSK233" s="135"/>
      <c r="NSL233" s="135"/>
      <c r="NSM233" s="173"/>
      <c r="NSN233" s="173"/>
      <c r="NSO233" s="173"/>
      <c r="NSP233" s="173"/>
      <c r="NSQ233" s="173"/>
      <c r="NSR233" s="173"/>
      <c r="NSS233" s="173"/>
      <c r="NST233" s="173"/>
      <c r="NSU233" s="173"/>
      <c r="NSV233" s="173"/>
      <c r="NSW233" s="125"/>
      <c r="NSX233" s="125"/>
      <c r="NSY233" s="134"/>
      <c r="NSZ233" s="135"/>
      <c r="NTA233" s="135"/>
      <c r="NTB233" s="135"/>
      <c r="NTC233" s="135"/>
      <c r="NTD233" s="173"/>
      <c r="NTE233" s="173"/>
      <c r="NTF233" s="173"/>
      <c r="NTG233" s="173"/>
      <c r="NTH233" s="173"/>
      <c r="NTI233" s="173"/>
      <c r="NTJ233" s="173"/>
      <c r="NTK233" s="173"/>
      <c r="NTL233" s="173"/>
      <c r="NTM233" s="173"/>
      <c r="NTN233" s="125"/>
      <c r="NTO233" s="125"/>
      <c r="NTP233" s="134"/>
      <c r="NTQ233" s="135"/>
      <c r="NTR233" s="135"/>
      <c r="NTS233" s="135"/>
      <c r="NTT233" s="135"/>
      <c r="NTU233" s="173"/>
      <c r="NTV233" s="173"/>
      <c r="NTW233" s="173"/>
      <c r="NTX233" s="173"/>
      <c r="NTY233" s="173"/>
      <c r="NTZ233" s="173"/>
      <c r="NUA233" s="173"/>
      <c r="NUB233" s="173"/>
      <c r="NUC233" s="173"/>
      <c r="NUD233" s="173"/>
      <c r="NUE233" s="125"/>
      <c r="NUF233" s="125"/>
      <c r="NUG233" s="134"/>
      <c r="NUH233" s="135"/>
      <c r="NUI233" s="135"/>
      <c r="NUJ233" s="135"/>
      <c r="NUK233" s="135"/>
      <c r="NUL233" s="173"/>
      <c r="NUM233" s="173"/>
      <c r="NUN233" s="173"/>
      <c r="NUO233" s="173"/>
      <c r="NUP233" s="173"/>
      <c r="NUQ233" s="173"/>
      <c r="NUR233" s="173"/>
      <c r="NUS233" s="173"/>
      <c r="NUT233" s="173"/>
      <c r="NUU233" s="173"/>
      <c r="NUV233" s="125"/>
      <c r="NUW233" s="125"/>
      <c r="NUX233" s="134"/>
      <c r="NUY233" s="135"/>
      <c r="NUZ233" s="135"/>
      <c r="NVA233" s="135"/>
      <c r="NVB233" s="135"/>
      <c r="NVC233" s="173"/>
      <c r="NVD233" s="173"/>
      <c r="NVE233" s="173"/>
      <c r="NVF233" s="173"/>
      <c r="NVG233" s="173"/>
      <c r="NVH233" s="173"/>
      <c r="NVI233" s="173"/>
      <c r="NVJ233" s="173"/>
      <c r="NVK233" s="173"/>
      <c r="NVL233" s="173"/>
      <c r="NVM233" s="125"/>
      <c r="NVN233" s="125"/>
      <c r="NVO233" s="134"/>
      <c r="NVP233" s="135"/>
      <c r="NVQ233" s="135"/>
      <c r="NVR233" s="135"/>
      <c r="NVS233" s="135"/>
      <c r="NVT233" s="173"/>
      <c r="NVU233" s="173"/>
      <c r="NVV233" s="173"/>
      <c r="NVW233" s="173"/>
      <c r="NVX233" s="173"/>
      <c r="NVY233" s="173"/>
      <c r="NVZ233" s="173"/>
      <c r="NWA233" s="173"/>
      <c r="NWB233" s="173"/>
      <c r="NWC233" s="173"/>
      <c r="NWD233" s="125"/>
      <c r="NWE233" s="125"/>
      <c r="NWF233" s="134"/>
      <c r="NWG233" s="135"/>
      <c r="NWH233" s="135"/>
      <c r="NWI233" s="135"/>
      <c r="NWJ233" s="135"/>
      <c r="NWK233" s="173"/>
      <c r="NWL233" s="173"/>
      <c r="NWM233" s="173"/>
      <c r="NWN233" s="173"/>
      <c r="NWO233" s="173"/>
      <c r="NWP233" s="173"/>
      <c r="NWQ233" s="173"/>
      <c r="NWR233" s="173"/>
      <c r="NWS233" s="173"/>
      <c r="NWT233" s="173"/>
      <c r="NWU233" s="125"/>
      <c r="NWV233" s="125"/>
      <c r="NWW233" s="134"/>
      <c r="NWX233" s="135"/>
      <c r="NWY233" s="135"/>
      <c r="NWZ233" s="135"/>
      <c r="NXA233" s="135"/>
      <c r="NXB233" s="173"/>
      <c r="NXC233" s="173"/>
      <c r="NXD233" s="173"/>
      <c r="NXE233" s="173"/>
      <c r="NXF233" s="173"/>
      <c r="NXG233" s="173"/>
      <c r="NXH233" s="173"/>
      <c r="NXI233" s="173"/>
      <c r="NXJ233" s="173"/>
      <c r="NXK233" s="173"/>
      <c r="NXL233" s="125"/>
      <c r="NXM233" s="125"/>
      <c r="NXN233" s="134"/>
      <c r="NXO233" s="135"/>
      <c r="NXP233" s="135"/>
      <c r="NXQ233" s="135"/>
      <c r="NXR233" s="135"/>
      <c r="NXS233" s="173"/>
      <c r="NXT233" s="173"/>
      <c r="NXU233" s="173"/>
      <c r="NXV233" s="173"/>
      <c r="NXW233" s="173"/>
      <c r="NXX233" s="173"/>
      <c r="NXY233" s="173"/>
      <c r="NXZ233" s="173"/>
      <c r="NYA233" s="173"/>
      <c r="NYB233" s="173"/>
      <c r="NYC233" s="125"/>
      <c r="NYD233" s="125"/>
      <c r="NYE233" s="134"/>
      <c r="NYF233" s="135"/>
      <c r="NYG233" s="135"/>
      <c r="NYH233" s="135"/>
      <c r="NYI233" s="135"/>
      <c r="NYJ233" s="173"/>
      <c r="NYK233" s="173"/>
      <c r="NYL233" s="173"/>
      <c r="NYM233" s="173"/>
      <c r="NYN233" s="173"/>
      <c r="NYO233" s="173"/>
      <c r="NYP233" s="173"/>
      <c r="NYQ233" s="173"/>
      <c r="NYR233" s="173"/>
      <c r="NYS233" s="173"/>
      <c r="NYT233" s="125"/>
      <c r="NYU233" s="125"/>
      <c r="NYV233" s="134"/>
      <c r="NYW233" s="135"/>
      <c r="NYX233" s="135"/>
      <c r="NYY233" s="135"/>
      <c r="NYZ233" s="135"/>
      <c r="NZA233" s="173"/>
      <c r="NZB233" s="173"/>
      <c r="NZC233" s="173"/>
      <c r="NZD233" s="173"/>
      <c r="NZE233" s="173"/>
      <c r="NZF233" s="173"/>
      <c r="NZG233" s="173"/>
      <c r="NZH233" s="173"/>
      <c r="NZI233" s="173"/>
      <c r="NZJ233" s="173"/>
      <c r="NZK233" s="125"/>
      <c r="NZL233" s="125"/>
      <c r="NZM233" s="134"/>
      <c r="NZN233" s="135"/>
      <c r="NZO233" s="135"/>
      <c r="NZP233" s="135"/>
      <c r="NZQ233" s="135"/>
      <c r="NZR233" s="173"/>
      <c r="NZS233" s="173"/>
      <c r="NZT233" s="173"/>
      <c r="NZU233" s="173"/>
      <c r="NZV233" s="173"/>
      <c r="NZW233" s="173"/>
      <c r="NZX233" s="173"/>
      <c r="NZY233" s="173"/>
      <c r="NZZ233" s="173"/>
      <c r="OAA233" s="173"/>
      <c r="OAB233" s="125"/>
      <c r="OAC233" s="125"/>
      <c r="OAD233" s="134"/>
      <c r="OAE233" s="135"/>
      <c r="OAF233" s="135"/>
      <c r="OAG233" s="135"/>
      <c r="OAH233" s="135"/>
      <c r="OAI233" s="173"/>
      <c r="OAJ233" s="173"/>
      <c r="OAK233" s="173"/>
      <c r="OAL233" s="173"/>
      <c r="OAM233" s="173"/>
      <c r="OAN233" s="173"/>
      <c r="OAO233" s="173"/>
      <c r="OAP233" s="173"/>
      <c r="OAQ233" s="173"/>
      <c r="OAR233" s="173"/>
      <c r="OAS233" s="125"/>
      <c r="OAT233" s="125"/>
      <c r="OAU233" s="134"/>
      <c r="OAV233" s="135"/>
      <c r="OAW233" s="135"/>
      <c r="OAX233" s="135"/>
      <c r="OAY233" s="135"/>
      <c r="OAZ233" s="173"/>
      <c r="OBA233" s="173"/>
      <c r="OBB233" s="173"/>
      <c r="OBC233" s="173"/>
      <c r="OBD233" s="173"/>
      <c r="OBE233" s="173"/>
      <c r="OBF233" s="173"/>
      <c r="OBG233" s="173"/>
      <c r="OBH233" s="173"/>
      <c r="OBI233" s="173"/>
      <c r="OBJ233" s="125"/>
      <c r="OBK233" s="125"/>
      <c r="OBL233" s="134"/>
      <c r="OBM233" s="135"/>
      <c r="OBN233" s="135"/>
      <c r="OBO233" s="135"/>
      <c r="OBP233" s="135"/>
      <c r="OBQ233" s="173"/>
      <c r="OBR233" s="173"/>
      <c r="OBS233" s="173"/>
      <c r="OBT233" s="173"/>
      <c r="OBU233" s="173"/>
      <c r="OBV233" s="173"/>
      <c r="OBW233" s="173"/>
      <c r="OBX233" s="173"/>
      <c r="OBY233" s="173"/>
      <c r="OBZ233" s="173"/>
      <c r="OCA233" s="125"/>
      <c r="OCB233" s="125"/>
      <c r="OCC233" s="134"/>
      <c r="OCD233" s="135"/>
      <c r="OCE233" s="135"/>
      <c r="OCF233" s="135"/>
      <c r="OCG233" s="135"/>
      <c r="OCH233" s="173"/>
      <c r="OCI233" s="173"/>
      <c r="OCJ233" s="173"/>
      <c r="OCK233" s="173"/>
      <c r="OCL233" s="173"/>
      <c r="OCM233" s="173"/>
      <c r="OCN233" s="173"/>
      <c r="OCO233" s="173"/>
      <c r="OCP233" s="173"/>
      <c r="OCQ233" s="173"/>
      <c r="OCR233" s="125"/>
      <c r="OCS233" s="125"/>
      <c r="OCT233" s="134"/>
      <c r="OCU233" s="135"/>
      <c r="OCV233" s="135"/>
      <c r="OCW233" s="135"/>
      <c r="OCX233" s="135"/>
      <c r="OCY233" s="173"/>
      <c r="OCZ233" s="173"/>
      <c r="ODA233" s="173"/>
      <c r="ODB233" s="173"/>
      <c r="ODC233" s="173"/>
      <c r="ODD233" s="173"/>
      <c r="ODE233" s="173"/>
      <c r="ODF233" s="173"/>
      <c r="ODG233" s="173"/>
      <c r="ODH233" s="173"/>
      <c r="ODI233" s="125"/>
      <c r="ODJ233" s="125"/>
      <c r="ODK233" s="134"/>
      <c r="ODL233" s="135"/>
      <c r="ODM233" s="135"/>
      <c r="ODN233" s="135"/>
      <c r="ODO233" s="135"/>
      <c r="ODP233" s="173"/>
      <c r="ODQ233" s="173"/>
      <c r="ODR233" s="173"/>
      <c r="ODS233" s="173"/>
      <c r="ODT233" s="173"/>
      <c r="ODU233" s="173"/>
      <c r="ODV233" s="173"/>
      <c r="ODW233" s="173"/>
      <c r="ODX233" s="173"/>
      <c r="ODY233" s="173"/>
      <c r="ODZ233" s="125"/>
      <c r="OEA233" s="125"/>
      <c r="OEB233" s="134"/>
      <c r="OEC233" s="135"/>
      <c r="OED233" s="135"/>
      <c r="OEE233" s="135"/>
      <c r="OEF233" s="135"/>
      <c r="OEG233" s="173"/>
      <c r="OEH233" s="173"/>
      <c r="OEI233" s="173"/>
      <c r="OEJ233" s="173"/>
      <c r="OEK233" s="173"/>
      <c r="OEL233" s="173"/>
      <c r="OEM233" s="173"/>
      <c r="OEN233" s="173"/>
      <c r="OEO233" s="173"/>
      <c r="OEP233" s="173"/>
      <c r="OEQ233" s="125"/>
      <c r="OER233" s="125"/>
      <c r="OES233" s="134"/>
      <c r="OET233" s="135"/>
      <c r="OEU233" s="135"/>
      <c r="OEV233" s="135"/>
      <c r="OEW233" s="135"/>
      <c r="OEX233" s="173"/>
      <c r="OEY233" s="173"/>
      <c r="OEZ233" s="173"/>
      <c r="OFA233" s="173"/>
      <c r="OFB233" s="173"/>
      <c r="OFC233" s="173"/>
      <c r="OFD233" s="173"/>
      <c r="OFE233" s="173"/>
      <c r="OFF233" s="173"/>
      <c r="OFG233" s="173"/>
      <c r="OFH233" s="125"/>
      <c r="OFI233" s="125"/>
      <c r="OFJ233" s="134"/>
      <c r="OFK233" s="135"/>
      <c r="OFL233" s="135"/>
      <c r="OFM233" s="135"/>
      <c r="OFN233" s="135"/>
      <c r="OFO233" s="173"/>
      <c r="OFP233" s="173"/>
      <c r="OFQ233" s="173"/>
      <c r="OFR233" s="173"/>
      <c r="OFS233" s="173"/>
      <c r="OFT233" s="173"/>
      <c r="OFU233" s="173"/>
      <c r="OFV233" s="173"/>
      <c r="OFW233" s="173"/>
      <c r="OFX233" s="173"/>
      <c r="OFY233" s="125"/>
      <c r="OFZ233" s="125"/>
      <c r="OGA233" s="134"/>
      <c r="OGB233" s="135"/>
      <c r="OGC233" s="135"/>
      <c r="OGD233" s="135"/>
      <c r="OGE233" s="135"/>
      <c r="OGF233" s="173"/>
      <c r="OGG233" s="173"/>
      <c r="OGH233" s="173"/>
      <c r="OGI233" s="173"/>
      <c r="OGJ233" s="173"/>
      <c r="OGK233" s="173"/>
      <c r="OGL233" s="173"/>
      <c r="OGM233" s="173"/>
      <c r="OGN233" s="173"/>
      <c r="OGO233" s="173"/>
      <c r="OGP233" s="125"/>
      <c r="OGQ233" s="125"/>
      <c r="OGR233" s="134"/>
      <c r="OGS233" s="135"/>
      <c r="OGT233" s="135"/>
      <c r="OGU233" s="135"/>
      <c r="OGV233" s="135"/>
      <c r="OGW233" s="173"/>
      <c r="OGX233" s="173"/>
      <c r="OGY233" s="173"/>
      <c r="OGZ233" s="173"/>
      <c r="OHA233" s="173"/>
      <c r="OHB233" s="173"/>
      <c r="OHC233" s="173"/>
      <c r="OHD233" s="173"/>
      <c r="OHE233" s="173"/>
      <c r="OHF233" s="173"/>
      <c r="OHG233" s="125"/>
      <c r="OHH233" s="125"/>
      <c r="OHI233" s="134"/>
      <c r="OHJ233" s="135"/>
      <c r="OHK233" s="135"/>
      <c r="OHL233" s="135"/>
      <c r="OHM233" s="135"/>
      <c r="OHN233" s="173"/>
      <c r="OHO233" s="173"/>
      <c r="OHP233" s="173"/>
      <c r="OHQ233" s="173"/>
      <c r="OHR233" s="173"/>
      <c r="OHS233" s="173"/>
      <c r="OHT233" s="173"/>
      <c r="OHU233" s="173"/>
      <c r="OHV233" s="173"/>
      <c r="OHW233" s="173"/>
      <c r="OHX233" s="125"/>
      <c r="OHY233" s="125"/>
      <c r="OHZ233" s="134"/>
      <c r="OIA233" s="135"/>
      <c r="OIB233" s="135"/>
      <c r="OIC233" s="135"/>
      <c r="OID233" s="135"/>
      <c r="OIE233" s="173"/>
      <c r="OIF233" s="173"/>
      <c r="OIG233" s="173"/>
      <c r="OIH233" s="173"/>
      <c r="OII233" s="173"/>
      <c r="OIJ233" s="173"/>
      <c r="OIK233" s="173"/>
      <c r="OIL233" s="173"/>
      <c r="OIM233" s="173"/>
      <c r="OIN233" s="173"/>
      <c r="OIO233" s="125"/>
      <c r="OIP233" s="125"/>
      <c r="OIQ233" s="134"/>
      <c r="OIR233" s="135"/>
      <c r="OIS233" s="135"/>
      <c r="OIT233" s="135"/>
      <c r="OIU233" s="135"/>
      <c r="OIV233" s="173"/>
      <c r="OIW233" s="173"/>
      <c r="OIX233" s="173"/>
      <c r="OIY233" s="173"/>
      <c r="OIZ233" s="173"/>
      <c r="OJA233" s="173"/>
      <c r="OJB233" s="173"/>
      <c r="OJC233" s="173"/>
      <c r="OJD233" s="173"/>
      <c r="OJE233" s="173"/>
      <c r="OJF233" s="125"/>
      <c r="OJG233" s="125"/>
      <c r="OJH233" s="134"/>
      <c r="OJI233" s="135"/>
      <c r="OJJ233" s="135"/>
      <c r="OJK233" s="135"/>
      <c r="OJL233" s="135"/>
      <c r="OJM233" s="173"/>
      <c r="OJN233" s="173"/>
      <c r="OJO233" s="173"/>
      <c r="OJP233" s="173"/>
      <c r="OJQ233" s="173"/>
      <c r="OJR233" s="173"/>
      <c r="OJS233" s="173"/>
      <c r="OJT233" s="173"/>
      <c r="OJU233" s="173"/>
      <c r="OJV233" s="173"/>
      <c r="OJW233" s="125"/>
      <c r="OJX233" s="125"/>
      <c r="OJY233" s="134"/>
      <c r="OJZ233" s="135"/>
      <c r="OKA233" s="135"/>
      <c r="OKB233" s="135"/>
      <c r="OKC233" s="135"/>
      <c r="OKD233" s="173"/>
      <c r="OKE233" s="173"/>
      <c r="OKF233" s="173"/>
      <c r="OKG233" s="173"/>
      <c r="OKH233" s="173"/>
      <c r="OKI233" s="173"/>
      <c r="OKJ233" s="173"/>
      <c r="OKK233" s="173"/>
      <c r="OKL233" s="173"/>
      <c r="OKM233" s="173"/>
      <c r="OKN233" s="125"/>
      <c r="OKO233" s="125"/>
      <c r="OKP233" s="134"/>
      <c r="OKQ233" s="135"/>
      <c r="OKR233" s="135"/>
      <c r="OKS233" s="135"/>
      <c r="OKT233" s="135"/>
      <c r="OKU233" s="173"/>
      <c r="OKV233" s="173"/>
      <c r="OKW233" s="173"/>
      <c r="OKX233" s="173"/>
      <c r="OKY233" s="173"/>
      <c r="OKZ233" s="173"/>
      <c r="OLA233" s="173"/>
      <c r="OLB233" s="173"/>
      <c r="OLC233" s="173"/>
      <c r="OLD233" s="173"/>
      <c r="OLE233" s="125"/>
      <c r="OLF233" s="125"/>
      <c r="OLG233" s="134"/>
      <c r="OLH233" s="135"/>
      <c r="OLI233" s="135"/>
      <c r="OLJ233" s="135"/>
      <c r="OLK233" s="135"/>
      <c r="OLL233" s="173"/>
      <c r="OLM233" s="173"/>
      <c r="OLN233" s="173"/>
      <c r="OLO233" s="173"/>
      <c r="OLP233" s="173"/>
      <c r="OLQ233" s="173"/>
      <c r="OLR233" s="173"/>
      <c r="OLS233" s="173"/>
      <c r="OLT233" s="173"/>
      <c r="OLU233" s="173"/>
      <c r="OLV233" s="125"/>
      <c r="OLW233" s="125"/>
      <c r="OLX233" s="134"/>
      <c r="OLY233" s="135"/>
      <c r="OLZ233" s="135"/>
      <c r="OMA233" s="135"/>
      <c r="OMB233" s="135"/>
      <c r="OMC233" s="173"/>
      <c r="OMD233" s="173"/>
      <c r="OME233" s="173"/>
      <c r="OMF233" s="173"/>
      <c r="OMG233" s="173"/>
      <c r="OMH233" s="173"/>
      <c r="OMI233" s="173"/>
      <c r="OMJ233" s="173"/>
      <c r="OMK233" s="173"/>
      <c r="OML233" s="173"/>
      <c r="OMM233" s="125"/>
      <c r="OMN233" s="125"/>
      <c r="OMO233" s="134"/>
      <c r="OMP233" s="135"/>
      <c r="OMQ233" s="135"/>
      <c r="OMR233" s="135"/>
      <c r="OMS233" s="135"/>
      <c r="OMT233" s="173"/>
      <c r="OMU233" s="173"/>
      <c r="OMV233" s="173"/>
      <c r="OMW233" s="173"/>
      <c r="OMX233" s="173"/>
      <c r="OMY233" s="173"/>
      <c r="OMZ233" s="173"/>
      <c r="ONA233" s="173"/>
      <c r="ONB233" s="173"/>
      <c r="ONC233" s="173"/>
      <c r="OND233" s="125"/>
      <c r="ONE233" s="125"/>
      <c r="ONF233" s="134"/>
      <c r="ONG233" s="135"/>
      <c r="ONH233" s="135"/>
      <c r="ONI233" s="135"/>
      <c r="ONJ233" s="135"/>
      <c r="ONK233" s="173"/>
      <c r="ONL233" s="173"/>
      <c r="ONM233" s="173"/>
      <c r="ONN233" s="173"/>
      <c r="ONO233" s="173"/>
      <c r="ONP233" s="173"/>
      <c r="ONQ233" s="173"/>
      <c r="ONR233" s="173"/>
      <c r="ONS233" s="173"/>
      <c r="ONT233" s="173"/>
      <c r="ONU233" s="125"/>
      <c r="ONV233" s="125"/>
      <c r="ONW233" s="134"/>
      <c r="ONX233" s="135"/>
      <c r="ONY233" s="135"/>
      <c r="ONZ233" s="135"/>
      <c r="OOA233" s="135"/>
      <c r="OOB233" s="173"/>
      <c r="OOC233" s="173"/>
      <c r="OOD233" s="173"/>
      <c r="OOE233" s="173"/>
      <c r="OOF233" s="173"/>
      <c r="OOG233" s="173"/>
      <c r="OOH233" s="173"/>
      <c r="OOI233" s="173"/>
      <c r="OOJ233" s="173"/>
      <c r="OOK233" s="173"/>
      <c r="OOL233" s="125"/>
      <c r="OOM233" s="125"/>
      <c r="OON233" s="134"/>
      <c r="OOO233" s="135"/>
      <c r="OOP233" s="135"/>
      <c r="OOQ233" s="135"/>
      <c r="OOR233" s="135"/>
      <c r="OOS233" s="173"/>
      <c r="OOT233" s="173"/>
      <c r="OOU233" s="173"/>
      <c r="OOV233" s="173"/>
      <c r="OOW233" s="173"/>
      <c r="OOX233" s="173"/>
      <c r="OOY233" s="173"/>
      <c r="OOZ233" s="173"/>
      <c r="OPA233" s="173"/>
      <c r="OPB233" s="173"/>
      <c r="OPC233" s="125"/>
      <c r="OPD233" s="125"/>
      <c r="OPE233" s="134"/>
      <c r="OPF233" s="135"/>
      <c r="OPG233" s="135"/>
      <c r="OPH233" s="135"/>
      <c r="OPI233" s="135"/>
      <c r="OPJ233" s="173"/>
      <c r="OPK233" s="173"/>
      <c r="OPL233" s="173"/>
      <c r="OPM233" s="173"/>
      <c r="OPN233" s="173"/>
      <c r="OPO233" s="173"/>
      <c r="OPP233" s="173"/>
      <c r="OPQ233" s="173"/>
      <c r="OPR233" s="173"/>
      <c r="OPS233" s="173"/>
      <c r="OPT233" s="125"/>
      <c r="OPU233" s="125"/>
      <c r="OPV233" s="134"/>
      <c r="OPW233" s="135"/>
      <c r="OPX233" s="135"/>
      <c r="OPY233" s="135"/>
      <c r="OPZ233" s="135"/>
      <c r="OQA233" s="173"/>
      <c r="OQB233" s="173"/>
      <c r="OQC233" s="173"/>
      <c r="OQD233" s="173"/>
      <c r="OQE233" s="173"/>
      <c r="OQF233" s="173"/>
      <c r="OQG233" s="173"/>
      <c r="OQH233" s="173"/>
      <c r="OQI233" s="173"/>
      <c r="OQJ233" s="173"/>
      <c r="OQK233" s="125"/>
      <c r="OQL233" s="125"/>
      <c r="OQM233" s="134"/>
      <c r="OQN233" s="135"/>
      <c r="OQO233" s="135"/>
      <c r="OQP233" s="135"/>
      <c r="OQQ233" s="135"/>
      <c r="OQR233" s="173"/>
      <c r="OQS233" s="173"/>
      <c r="OQT233" s="173"/>
      <c r="OQU233" s="173"/>
      <c r="OQV233" s="173"/>
      <c r="OQW233" s="173"/>
      <c r="OQX233" s="173"/>
      <c r="OQY233" s="173"/>
      <c r="OQZ233" s="173"/>
      <c r="ORA233" s="173"/>
      <c r="ORB233" s="125"/>
      <c r="ORC233" s="125"/>
      <c r="ORD233" s="134"/>
      <c r="ORE233" s="135"/>
      <c r="ORF233" s="135"/>
      <c r="ORG233" s="135"/>
      <c r="ORH233" s="135"/>
      <c r="ORI233" s="173"/>
      <c r="ORJ233" s="173"/>
      <c r="ORK233" s="173"/>
      <c r="ORL233" s="173"/>
      <c r="ORM233" s="173"/>
      <c r="ORN233" s="173"/>
      <c r="ORO233" s="173"/>
      <c r="ORP233" s="173"/>
      <c r="ORQ233" s="173"/>
      <c r="ORR233" s="173"/>
      <c r="ORS233" s="125"/>
      <c r="ORT233" s="125"/>
      <c r="ORU233" s="134"/>
      <c r="ORV233" s="135"/>
      <c r="ORW233" s="135"/>
      <c r="ORX233" s="135"/>
      <c r="ORY233" s="135"/>
      <c r="ORZ233" s="173"/>
      <c r="OSA233" s="173"/>
      <c r="OSB233" s="173"/>
      <c r="OSC233" s="173"/>
      <c r="OSD233" s="173"/>
      <c r="OSE233" s="173"/>
      <c r="OSF233" s="173"/>
      <c r="OSG233" s="173"/>
      <c r="OSH233" s="173"/>
      <c r="OSI233" s="173"/>
      <c r="OSJ233" s="125"/>
      <c r="OSK233" s="125"/>
      <c r="OSL233" s="134"/>
      <c r="OSM233" s="135"/>
      <c r="OSN233" s="135"/>
      <c r="OSO233" s="135"/>
      <c r="OSP233" s="135"/>
      <c r="OSQ233" s="173"/>
      <c r="OSR233" s="173"/>
      <c r="OSS233" s="173"/>
      <c r="OST233" s="173"/>
      <c r="OSU233" s="173"/>
      <c r="OSV233" s="173"/>
      <c r="OSW233" s="173"/>
      <c r="OSX233" s="173"/>
      <c r="OSY233" s="173"/>
      <c r="OSZ233" s="173"/>
      <c r="OTA233" s="125"/>
      <c r="OTB233" s="125"/>
      <c r="OTC233" s="134"/>
      <c r="OTD233" s="135"/>
      <c r="OTE233" s="135"/>
      <c r="OTF233" s="135"/>
      <c r="OTG233" s="135"/>
      <c r="OTH233" s="173"/>
      <c r="OTI233" s="173"/>
      <c r="OTJ233" s="173"/>
      <c r="OTK233" s="173"/>
      <c r="OTL233" s="173"/>
      <c r="OTM233" s="173"/>
      <c r="OTN233" s="173"/>
      <c r="OTO233" s="173"/>
      <c r="OTP233" s="173"/>
      <c r="OTQ233" s="173"/>
      <c r="OTR233" s="125"/>
      <c r="OTS233" s="125"/>
      <c r="OTT233" s="134"/>
      <c r="OTU233" s="135"/>
      <c r="OTV233" s="135"/>
      <c r="OTW233" s="135"/>
      <c r="OTX233" s="135"/>
      <c r="OTY233" s="173"/>
      <c r="OTZ233" s="173"/>
      <c r="OUA233" s="173"/>
      <c r="OUB233" s="173"/>
      <c r="OUC233" s="173"/>
      <c r="OUD233" s="173"/>
      <c r="OUE233" s="173"/>
      <c r="OUF233" s="173"/>
      <c r="OUG233" s="173"/>
      <c r="OUH233" s="173"/>
      <c r="OUI233" s="125"/>
      <c r="OUJ233" s="125"/>
      <c r="OUK233" s="134"/>
      <c r="OUL233" s="135"/>
      <c r="OUM233" s="135"/>
      <c r="OUN233" s="135"/>
      <c r="OUO233" s="135"/>
      <c r="OUP233" s="173"/>
      <c r="OUQ233" s="173"/>
      <c r="OUR233" s="173"/>
      <c r="OUS233" s="173"/>
      <c r="OUT233" s="173"/>
      <c r="OUU233" s="173"/>
      <c r="OUV233" s="173"/>
      <c r="OUW233" s="173"/>
      <c r="OUX233" s="173"/>
      <c r="OUY233" s="173"/>
      <c r="OUZ233" s="125"/>
      <c r="OVA233" s="125"/>
      <c r="OVB233" s="134"/>
      <c r="OVC233" s="135"/>
      <c r="OVD233" s="135"/>
      <c r="OVE233" s="135"/>
      <c r="OVF233" s="135"/>
      <c r="OVG233" s="173"/>
      <c r="OVH233" s="173"/>
      <c r="OVI233" s="173"/>
      <c r="OVJ233" s="173"/>
      <c r="OVK233" s="173"/>
      <c r="OVL233" s="173"/>
      <c r="OVM233" s="173"/>
      <c r="OVN233" s="173"/>
      <c r="OVO233" s="173"/>
      <c r="OVP233" s="173"/>
      <c r="OVQ233" s="125"/>
      <c r="OVR233" s="125"/>
      <c r="OVS233" s="134"/>
      <c r="OVT233" s="135"/>
      <c r="OVU233" s="135"/>
      <c r="OVV233" s="135"/>
      <c r="OVW233" s="135"/>
      <c r="OVX233" s="173"/>
      <c r="OVY233" s="173"/>
      <c r="OVZ233" s="173"/>
      <c r="OWA233" s="173"/>
      <c r="OWB233" s="173"/>
      <c r="OWC233" s="173"/>
      <c r="OWD233" s="173"/>
      <c r="OWE233" s="173"/>
      <c r="OWF233" s="173"/>
      <c r="OWG233" s="173"/>
      <c r="OWH233" s="125"/>
      <c r="OWI233" s="125"/>
      <c r="OWJ233" s="134"/>
      <c r="OWK233" s="135"/>
      <c r="OWL233" s="135"/>
      <c r="OWM233" s="135"/>
      <c r="OWN233" s="135"/>
      <c r="OWO233" s="173"/>
      <c r="OWP233" s="173"/>
      <c r="OWQ233" s="173"/>
      <c r="OWR233" s="173"/>
      <c r="OWS233" s="173"/>
      <c r="OWT233" s="173"/>
      <c r="OWU233" s="173"/>
      <c r="OWV233" s="173"/>
      <c r="OWW233" s="173"/>
      <c r="OWX233" s="173"/>
      <c r="OWY233" s="125"/>
      <c r="OWZ233" s="125"/>
      <c r="OXA233" s="134"/>
      <c r="OXB233" s="135"/>
      <c r="OXC233" s="135"/>
      <c r="OXD233" s="135"/>
      <c r="OXE233" s="135"/>
      <c r="OXF233" s="173"/>
      <c r="OXG233" s="173"/>
      <c r="OXH233" s="173"/>
      <c r="OXI233" s="173"/>
      <c r="OXJ233" s="173"/>
      <c r="OXK233" s="173"/>
      <c r="OXL233" s="173"/>
      <c r="OXM233" s="173"/>
      <c r="OXN233" s="173"/>
      <c r="OXO233" s="173"/>
      <c r="OXP233" s="125"/>
      <c r="OXQ233" s="125"/>
      <c r="OXR233" s="134"/>
      <c r="OXS233" s="135"/>
      <c r="OXT233" s="135"/>
      <c r="OXU233" s="135"/>
      <c r="OXV233" s="135"/>
      <c r="OXW233" s="173"/>
      <c r="OXX233" s="173"/>
      <c r="OXY233" s="173"/>
      <c r="OXZ233" s="173"/>
      <c r="OYA233" s="173"/>
      <c r="OYB233" s="173"/>
      <c r="OYC233" s="173"/>
      <c r="OYD233" s="173"/>
      <c r="OYE233" s="173"/>
      <c r="OYF233" s="173"/>
      <c r="OYG233" s="125"/>
      <c r="OYH233" s="125"/>
      <c r="OYI233" s="134"/>
      <c r="OYJ233" s="135"/>
      <c r="OYK233" s="135"/>
      <c r="OYL233" s="135"/>
      <c r="OYM233" s="135"/>
      <c r="OYN233" s="173"/>
      <c r="OYO233" s="173"/>
      <c r="OYP233" s="173"/>
      <c r="OYQ233" s="173"/>
      <c r="OYR233" s="173"/>
      <c r="OYS233" s="173"/>
      <c r="OYT233" s="173"/>
      <c r="OYU233" s="173"/>
      <c r="OYV233" s="173"/>
      <c r="OYW233" s="173"/>
      <c r="OYX233" s="125"/>
      <c r="OYY233" s="125"/>
      <c r="OYZ233" s="134"/>
      <c r="OZA233" s="135"/>
      <c r="OZB233" s="135"/>
      <c r="OZC233" s="135"/>
      <c r="OZD233" s="135"/>
      <c r="OZE233" s="173"/>
      <c r="OZF233" s="173"/>
      <c r="OZG233" s="173"/>
      <c r="OZH233" s="173"/>
      <c r="OZI233" s="173"/>
      <c r="OZJ233" s="173"/>
      <c r="OZK233" s="173"/>
      <c r="OZL233" s="173"/>
      <c r="OZM233" s="173"/>
      <c r="OZN233" s="173"/>
      <c r="OZO233" s="125"/>
      <c r="OZP233" s="125"/>
      <c r="OZQ233" s="134"/>
      <c r="OZR233" s="135"/>
      <c r="OZS233" s="135"/>
      <c r="OZT233" s="135"/>
      <c r="OZU233" s="135"/>
      <c r="OZV233" s="173"/>
      <c r="OZW233" s="173"/>
      <c r="OZX233" s="173"/>
      <c r="OZY233" s="173"/>
      <c r="OZZ233" s="173"/>
      <c r="PAA233" s="173"/>
      <c r="PAB233" s="173"/>
      <c r="PAC233" s="173"/>
      <c r="PAD233" s="173"/>
      <c r="PAE233" s="173"/>
      <c r="PAF233" s="125"/>
      <c r="PAG233" s="125"/>
      <c r="PAH233" s="134"/>
      <c r="PAI233" s="135"/>
      <c r="PAJ233" s="135"/>
      <c r="PAK233" s="135"/>
      <c r="PAL233" s="135"/>
      <c r="PAM233" s="173"/>
      <c r="PAN233" s="173"/>
      <c r="PAO233" s="173"/>
      <c r="PAP233" s="173"/>
      <c r="PAQ233" s="173"/>
      <c r="PAR233" s="173"/>
      <c r="PAS233" s="173"/>
      <c r="PAT233" s="173"/>
      <c r="PAU233" s="173"/>
      <c r="PAV233" s="173"/>
      <c r="PAW233" s="125"/>
      <c r="PAX233" s="125"/>
      <c r="PAY233" s="134"/>
      <c r="PAZ233" s="135"/>
      <c r="PBA233" s="135"/>
      <c r="PBB233" s="135"/>
      <c r="PBC233" s="135"/>
      <c r="PBD233" s="173"/>
      <c r="PBE233" s="173"/>
      <c r="PBF233" s="173"/>
      <c r="PBG233" s="173"/>
      <c r="PBH233" s="173"/>
      <c r="PBI233" s="173"/>
      <c r="PBJ233" s="173"/>
      <c r="PBK233" s="173"/>
      <c r="PBL233" s="173"/>
      <c r="PBM233" s="173"/>
      <c r="PBN233" s="125"/>
      <c r="PBO233" s="125"/>
      <c r="PBP233" s="134"/>
      <c r="PBQ233" s="135"/>
      <c r="PBR233" s="135"/>
      <c r="PBS233" s="135"/>
      <c r="PBT233" s="135"/>
      <c r="PBU233" s="173"/>
      <c r="PBV233" s="173"/>
      <c r="PBW233" s="173"/>
      <c r="PBX233" s="173"/>
      <c r="PBY233" s="173"/>
      <c r="PBZ233" s="173"/>
      <c r="PCA233" s="173"/>
      <c r="PCB233" s="173"/>
      <c r="PCC233" s="173"/>
      <c r="PCD233" s="173"/>
      <c r="PCE233" s="125"/>
      <c r="PCF233" s="125"/>
      <c r="PCG233" s="134"/>
      <c r="PCH233" s="135"/>
      <c r="PCI233" s="135"/>
      <c r="PCJ233" s="135"/>
      <c r="PCK233" s="135"/>
      <c r="PCL233" s="173"/>
      <c r="PCM233" s="173"/>
      <c r="PCN233" s="173"/>
      <c r="PCO233" s="173"/>
      <c r="PCP233" s="173"/>
      <c r="PCQ233" s="173"/>
      <c r="PCR233" s="173"/>
      <c r="PCS233" s="173"/>
      <c r="PCT233" s="173"/>
      <c r="PCU233" s="173"/>
      <c r="PCV233" s="125"/>
      <c r="PCW233" s="125"/>
      <c r="PCX233" s="134"/>
      <c r="PCY233" s="135"/>
      <c r="PCZ233" s="135"/>
      <c r="PDA233" s="135"/>
      <c r="PDB233" s="135"/>
      <c r="PDC233" s="173"/>
      <c r="PDD233" s="173"/>
      <c r="PDE233" s="173"/>
      <c r="PDF233" s="173"/>
      <c r="PDG233" s="173"/>
      <c r="PDH233" s="173"/>
      <c r="PDI233" s="173"/>
      <c r="PDJ233" s="173"/>
      <c r="PDK233" s="173"/>
      <c r="PDL233" s="173"/>
      <c r="PDM233" s="125"/>
      <c r="PDN233" s="125"/>
      <c r="PDO233" s="134"/>
      <c r="PDP233" s="135"/>
      <c r="PDQ233" s="135"/>
      <c r="PDR233" s="135"/>
      <c r="PDS233" s="135"/>
      <c r="PDT233" s="173"/>
      <c r="PDU233" s="173"/>
      <c r="PDV233" s="173"/>
      <c r="PDW233" s="173"/>
      <c r="PDX233" s="173"/>
      <c r="PDY233" s="173"/>
      <c r="PDZ233" s="173"/>
      <c r="PEA233" s="173"/>
      <c r="PEB233" s="173"/>
      <c r="PEC233" s="173"/>
      <c r="PED233" s="125"/>
      <c r="PEE233" s="125"/>
      <c r="PEF233" s="134"/>
      <c r="PEG233" s="135"/>
      <c r="PEH233" s="135"/>
      <c r="PEI233" s="135"/>
      <c r="PEJ233" s="135"/>
      <c r="PEK233" s="173"/>
      <c r="PEL233" s="173"/>
      <c r="PEM233" s="173"/>
      <c r="PEN233" s="173"/>
      <c r="PEO233" s="173"/>
      <c r="PEP233" s="173"/>
      <c r="PEQ233" s="173"/>
      <c r="PER233" s="173"/>
      <c r="PES233" s="173"/>
      <c r="PET233" s="173"/>
      <c r="PEU233" s="125"/>
      <c r="PEV233" s="125"/>
      <c r="PEW233" s="134"/>
      <c r="PEX233" s="135"/>
      <c r="PEY233" s="135"/>
      <c r="PEZ233" s="135"/>
      <c r="PFA233" s="135"/>
      <c r="PFB233" s="173"/>
      <c r="PFC233" s="173"/>
      <c r="PFD233" s="173"/>
      <c r="PFE233" s="173"/>
      <c r="PFF233" s="173"/>
      <c r="PFG233" s="173"/>
      <c r="PFH233" s="173"/>
      <c r="PFI233" s="173"/>
      <c r="PFJ233" s="173"/>
      <c r="PFK233" s="173"/>
      <c r="PFL233" s="125"/>
      <c r="PFM233" s="125"/>
      <c r="PFN233" s="134"/>
      <c r="PFO233" s="135"/>
      <c r="PFP233" s="135"/>
      <c r="PFQ233" s="135"/>
      <c r="PFR233" s="135"/>
      <c r="PFS233" s="173"/>
      <c r="PFT233" s="173"/>
      <c r="PFU233" s="173"/>
      <c r="PFV233" s="173"/>
      <c r="PFW233" s="173"/>
      <c r="PFX233" s="173"/>
      <c r="PFY233" s="173"/>
      <c r="PFZ233" s="173"/>
      <c r="PGA233" s="173"/>
      <c r="PGB233" s="173"/>
      <c r="PGC233" s="125"/>
      <c r="PGD233" s="125"/>
      <c r="PGE233" s="134"/>
      <c r="PGF233" s="135"/>
      <c r="PGG233" s="135"/>
      <c r="PGH233" s="135"/>
      <c r="PGI233" s="135"/>
      <c r="PGJ233" s="173"/>
      <c r="PGK233" s="173"/>
      <c r="PGL233" s="173"/>
      <c r="PGM233" s="173"/>
      <c r="PGN233" s="173"/>
      <c r="PGO233" s="173"/>
      <c r="PGP233" s="173"/>
      <c r="PGQ233" s="173"/>
      <c r="PGR233" s="173"/>
      <c r="PGS233" s="173"/>
      <c r="PGT233" s="125"/>
      <c r="PGU233" s="125"/>
      <c r="PGV233" s="134"/>
      <c r="PGW233" s="135"/>
      <c r="PGX233" s="135"/>
      <c r="PGY233" s="135"/>
      <c r="PGZ233" s="135"/>
      <c r="PHA233" s="173"/>
      <c r="PHB233" s="173"/>
      <c r="PHC233" s="173"/>
      <c r="PHD233" s="173"/>
      <c r="PHE233" s="173"/>
      <c r="PHF233" s="173"/>
      <c r="PHG233" s="173"/>
      <c r="PHH233" s="173"/>
      <c r="PHI233" s="173"/>
      <c r="PHJ233" s="173"/>
      <c r="PHK233" s="125"/>
      <c r="PHL233" s="125"/>
      <c r="PHM233" s="134"/>
      <c r="PHN233" s="135"/>
      <c r="PHO233" s="135"/>
      <c r="PHP233" s="135"/>
      <c r="PHQ233" s="135"/>
      <c r="PHR233" s="173"/>
      <c r="PHS233" s="173"/>
      <c r="PHT233" s="173"/>
      <c r="PHU233" s="173"/>
      <c r="PHV233" s="173"/>
      <c r="PHW233" s="173"/>
      <c r="PHX233" s="173"/>
      <c r="PHY233" s="173"/>
      <c r="PHZ233" s="173"/>
      <c r="PIA233" s="173"/>
      <c r="PIB233" s="125"/>
      <c r="PIC233" s="125"/>
      <c r="PID233" s="134"/>
      <c r="PIE233" s="135"/>
      <c r="PIF233" s="135"/>
      <c r="PIG233" s="135"/>
      <c r="PIH233" s="135"/>
      <c r="PII233" s="173"/>
      <c r="PIJ233" s="173"/>
      <c r="PIK233" s="173"/>
      <c r="PIL233" s="173"/>
      <c r="PIM233" s="173"/>
      <c r="PIN233" s="173"/>
      <c r="PIO233" s="173"/>
      <c r="PIP233" s="173"/>
      <c r="PIQ233" s="173"/>
      <c r="PIR233" s="173"/>
      <c r="PIS233" s="125"/>
      <c r="PIT233" s="125"/>
      <c r="PIU233" s="134"/>
      <c r="PIV233" s="135"/>
      <c r="PIW233" s="135"/>
      <c r="PIX233" s="135"/>
      <c r="PIY233" s="135"/>
      <c r="PIZ233" s="173"/>
      <c r="PJA233" s="173"/>
      <c r="PJB233" s="173"/>
      <c r="PJC233" s="173"/>
      <c r="PJD233" s="173"/>
      <c r="PJE233" s="173"/>
      <c r="PJF233" s="173"/>
      <c r="PJG233" s="173"/>
      <c r="PJH233" s="173"/>
      <c r="PJI233" s="173"/>
      <c r="PJJ233" s="125"/>
      <c r="PJK233" s="125"/>
      <c r="PJL233" s="134"/>
      <c r="PJM233" s="135"/>
      <c r="PJN233" s="135"/>
      <c r="PJO233" s="135"/>
      <c r="PJP233" s="135"/>
      <c r="PJQ233" s="173"/>
      <c r="PJR233" s="173"/>
      <c r="PJS233" s="173"/>
      <c r="PJT233" s="173"/>
      <c r="PJU233" s="173"/>
      <c r="PJV233" s="173"/>
      <c r="PJW233" s="173"/>
      <c r="PJX233" s="173"/>
      <c r="PJY233" s="173"/>
      <c r="PJZ233" s="173"/>
      <c r="PKA233" s="125"/>
      <c r="PKB233" s="125"/>
      <c r="PKC233" s="134"/>
      <c r="PKD233" s="135"/>
      <c r="PKE233" s="135"/>
      <c r="PKF233" s="135"/>
      <c r="PKG233" s="135"/>
      <c r="PKH233" s="173"/>
      <c r="PKI233" s="173"/>
      <c r="PKJ233" s="173"/>
      <c r="PKK233" s="173"/>
      <c r="PKL233" s="173"/>
      <c r="PKM233" s="173"/>
      <c r="PKN233" s="173"/>
      <c r="PKO233" s="173"/>
      <c r="PKP233" s="173"/>
      <c r="PKQ233" s="173"/>
      <c r="PKR233" s="125"/>
      <c r="PKS233" s="125"/>
      <c r="PKT233" s="134"/>
      <c r="PKU233" s="135"/>
      <c r="PKV233" s="135"/>
      <c r="PKW233" s="135"/>
      <c r="PKX233" s="135"/>
      <c r="PKY233" s="173"/>
      <c r="PKZ233" s="173"/>
      <c r="PLA233" s="173"/>
      <c r="PLB233" s="173"/>
      <c r="PLC233" s="173"/>
      <c r="PLD233" s="173"/>
      <c r="PLE233" s="173"/>
      <c r="PLF233" s="173"/>
      <c r="PLG233" s="173"/>
      <c r="PLH233" s="173"/>
      <c r="PLI233" s="125"/>
      <c r="PLJ233" s="125"/>
      <c r="PLK233" s="134"/>
      <c r="PLL233" s="135"/>
      <c r="PLM233" s="135"/>
      <c r="PLN233" s="135"/>
      <c r="PLO233" s="135"/>
      <c r="PLP233" s="173"/>
      <c r="PLQ233" s="173"/>
      <c r="PLR233" s="173"/>
      <c r="PLS233" s="173"/>
      <c r="PLT233" s="173"/>
      <c r="PLU233" s="173"/>
      <c r="PLV233" s="173"/>
      <c r="PLW233" s="173"/>
      <c r="PLX233" s="173"/>
      <c r="PLY233" s="173"/>
      <c r="PLZ233" s="125"/>
      <c r="PMA233" s="125"/>
      <c r="PMB233" s="134"/>
      <c r="PMC233" s="135"/>
      <c r="PMD233" s="135"/>
      <c r="PME233" s="135"/>
      <c r="PMF233" s="135"/>
      <c r="PMG233" s="173"/>
      <c r="PMH233" s="173"/>
      <c r="PMI233" s="173"/>
      <c r="PMJ233" s="173"/>
      <c r="PMK233" s="173"/>
      <c r="PML233" s="173"/>
      <c r="PMM233" s="173"/>
      <c r="PMN233" s="173"/>
      <c r="PMO233" s="173"/>
      <c r="PMP233" s="173"/>
      <c r="PMQ233" s="125"/>
      <c r="PMR233" s="125"/>
      <c r="PMS233" s="134"/>
      <c r="PMT233" s="135"/>
      <c r="PMU233" s="135"/>
      <c r="PMV233" s="135"/>
      <c r="PMW233" s="135"/>
      <c r="PMX233" s="173"/>
      <c r="PMY233" s="173"/>
      <c r="PMZ233" s="173"/>
      <c r="PNA233" s="173"/>
      <c r="PNB233" s="173"/>
      <c r="PNC233" s="173"/>
      <c r="PND233" s="173"/>
      <c r="PNE233" s="173"/>
      <c r="PNF233" s="173"/>
      <c r="PNG233" s="173"/>
      <c r="PNH233" s="125"/>
      <c r="PNI233" s="125"/>
      <c r="PNJ233" s="134"/>
      <c r="PNK233" s="135"/>
      <c r="PNL233" s="135"/>
      <c r="PNM233" s="135"/>
      <c r="PNN233" s="135"/>
      <c r="PNO233" s="173"/>
      <c r="PNP233" s="173"/>
      <c r="PNQ233" s="173"/>
      <c r="PNR233" s="173"/>
      <c r="PNS233" s="173"/>
      <c r="PNT233" s="173"/>
      <c r="PNU233" s="173"/>
      <c r="PNV233" s="173"/>
      <c r="PNW233" s="173"/>
      <c r="PNX233" s="173"/>
      <c r="PNY233" s="125"/>
      <c r="PNZ233" s="125"/>
      <c r="POA233" s="134"/>
      <c r="POB233" s="135"/>
      <c r="POC233" s="135"/>
      <c r="POD233" s="135"/>
      <c r="POE233" s="135"/>
      <c r="POF233" s="173"/>
      <c r="POG233" s="173"/>
      <c r="POH233" s="173"/>
      <c r="POI233" s="173"/>
      <c r="POJ233" s="173"/>
      <c r="POK233" s="173"/>
      <c r="POL233" s="173"/>
      <c r="POM233" s="173"/>
      <c r="PON233" s="173"/>
      <c r="POO233" s="173"/>
      <c r="POP233" s="125"/>
      <c r="POQ233" s="125"/>
      <c r="POR233" s="134"/>
      <c r="POS233" s="135"/>
      <c r="POT233" s="135"/>
      <c r="POU233" s="135"/>
      <c r="POV233" s="135"/>
      <c r="POW233" s="173"/>
      <c r="POX233" s="173"/>
      <c r="POY233" s="173"/>
      <c r="POZ233" s="173"/>
      <c r="PPA233" s="173"/>
      <c r="PPB233" s="173"/>
      <c r="PPC233" s="173"/>
      <c r="PPD233" s="173"/>
      <c r="PPE233" s="173"/>
      <c r="PPF233" s="173"/>
      <c r="PPG233" s="125"/>
      <c r="PPH233" s="125"/>
      <c r="PPI233" s="134"/>
      <c r="PPJ233" s="135"/>
      <c r="PPK233" s="135"/>
      <c r="PPL233" s="135"/>
      <c r="PPM233" s="135"/>
      <c r="PPN233" s="173"/>
      <c r="PPO233" s="173"/>
      <c r="PPP233" s="173"/>
      <c r="PPQ233" s="173"/>
      <c r="PPR233" s="173"/>
      <c r="PPS233" s="173"/>
      <c r="PPT233" s="173"/>
      <c r="PPU233" s="173"/>
      <c r="PPV233" s="173"/>
      <c r="PPW233" s="173"/>
      <c r="PPX233" s="125"/>
      <c r="PPY233" s="125"/>
      <c r="PPZ233" s="134"/>
      <c r="PQA233" s="135"/>
      <c r="PQB233" s="135"/>
      <c r="PQC233" s="135"/>
      <c r="PQD233" s="135"/>
      <c r="PQE233" s="173"/>
      <c r="PQF233" s="173"/>
      <c r="PQG233" s="173"/>
      <c r="PQH233" s="173"/>
      <c r="PQI233" s="173"/>
      <c r="PQJ233" s="173"/>
      <c r="PQK233" s="173"/>
      <c r="PQL233" s="173"/>
      <c r="PQM233" s="173"/>
      <c r="PQN233" s="173"/>
      <c r="PQO233" s="125"/>
      <c r="PQP233" s="125"/>
      <c r="PQQ233" s="134"/>
      <c r="PQR233" s="135"/>
      <c r="PQS233" s="135"/>
      <c r="PQT233" s="135"/>
      <c r="PQU233" s="135"/>
      <c r="PQV233" s="173"/>
      <c r="PQW233" s="173"/>
      <c r="PQX233" s="173"/>
      <c r="PQY233" s="173"/>
      <c r="PQZ233" s="173"/>
      <c r="PRA233" s="173"/>
      <c r="PRB233" s="173"/>
      <c r="PRC233" s="173"/>
      <c r="PRD233" s="173"/>
      <c r="PRE233" s="173"/>
      <c r="PRF233" s="125"/>
      <c r="PRG233" s="125"/>
      <c r="PRH233" s="134"/>
      <c r="PRI233" s="135"/>
      <c r="PRJ233" s="135"/>
      <c r="PRK233" s="135"/>
      <c r="PRL233" s="135"/>
      <c r="PRM233" s="173"/>
      <c r="PRN233" s="173"/>
      <c r="PRO233" s="173"/>
      <c r="PRP233" s="173"/>
      <c r="PRQ233" s="173"/>
      <c r="PRR233" s="173"/>
      <c r="PRS233" s="173"/>
      <c r="PRT233" s="173"/>
      <c r="PRU233" s="173"/>
      <c r="PRV233" s="173"/>
      <c r="PRW233" s="125"/>
      <c r="PRX233" s="125"/>
      <c r="PRY233" s="134"/>
      <c r="PRZ233" s="135"/>
      <c r="PSA233" s="135"/>
      <c r="PSB233" s="135"/>
      <c r="PSC233" s="135"/>
      <c r="PSD233" s="173"/>
      <c r="PSE233" s="173"/>
      <c r="PSF233" s="173"/>
      <c r="PSG233" s="173"/>
      <c r="PSH233" s="173"/>
      <c r="PSI233" s="173"/>
      <c r="PSJ233" s="173"/>
      <c r="PSK233" s="173"/>
      <c r="PSL233" s="173"/>
      <c r="PSM233" s="173"/>
      <c r="PSN233" s="125"/>
      <c r="PSO233" s="125"/>
      <c r="PSP233" s="134"/>
      <c r="PSQ233" s="135"/>
      <c r="PSR233" s="135"/>
      <c r="PSS233" s="135"/>
      <c r="PST233" s="135"/>
      <c r="PSU233" s="173"/>
      <c r="PSV233" s="173"/>
      <c r="PSW233" s="173"/>
      <c r="PSX233" s="173"/>
      <c r="PSY233" s="173"/>
      <c r="PSZ233" s="173"/>
      <c r="PTA233" s="173"/>
      <c r="PTB233" s="173"/>
      <c r="PTC233" s="173"/>
      <c r="PTD233" s="173"/>
      <c r="PTE233" s="125"/>
      <c r="PTF233" s="125"/>
      <c r="PTG233" s="134"/>
      <c r="PTH233" s="135"/>
      <c r="PTI233" s="135"/>
      <c r="PTJ233" s="135"/>
      <c r="PTK233" s="135"/>
      <c r="PTL233" s="173"/>
      <c r="PTM233" s="173"/>
      <c r="PTN233" s="173"/>
      <c r="PTO233" s="173"/>
      <c r="PTP233" s="173"/>
      <c r="PTQ233" s="173"/>
      <c r="PTR233" s="173"/>
      <c r="PTS233" s="173"/>
      <c r="PTT233" s="173"/>
      <c r="PTU233" s="173"/>
      <c r="PTV233" s="125"/>
      <c r="PTW233" s="125"/>
      <c r="PTX233" s="134"/>
      <c r="PTY233" s="135"/>
      <c r="PTZ233" s="135"/>
      <c r="PUA233" s="135"/>
      <c r="PUB233" s="135"/>
      <c r="PUC233" s="173"/>
      <c r="PUD233" s="173"/>
      <c r="PUE233" s="173"/>
      <c r="PUF233" s="173"/>
      <c r="PUG233" s="173"/>
      <c r="PUH233" s="173"/>
      <c r="PUI233" s="173"/>
      <c r="PUJ233" s="173"/>
      <c r="PUK233" s="173"/>
      <c r="PUL233" s="173"/>
      <c r="PUM233" s="125"/>
      <c r="PUN233" s="125"/>
      <c r="PUO233" s="134"/>
      <c r="PUP233" s="135"/>
      <c r="PUQ233" s="135"/>
      <c r="PUR233" s="135"/>
      <c r="PUS233" s="135"/>
      <c r="PUT233" s="173"/>
      <c r="PUU233" s="173"/>
      <c r="PUV233" s="173"/>
      <c r="PUW233" s="173"/>
      <c r="PUX233" s="173"/>
      <c r="PUY233" s="173"/>
      <c r="PUZ233" s="173"/>
      <c r="PVA233" s="173"/>
      <c r="PVB233" s="173"/>
      <c r="PVC233" s="173"/>
      <c r="PVD233" s="125"/>
      <c r="PVE233" s="125"/>
      <c r="PVF233" s="134"/>
      <c r="PVG233" s="135"/>
      <c r="PVH233" s="135"/>
      <c r="PVI233" s="135"/>
      <c r="PVJ233" s="135"/>
      <c r="PVK233" s="173"/>
      <c r="PVL233" s="173"/>
      <c r="PVM233" s="173"/>
      <c r="PVN233" s="173"/>
      <c r="PVO233" s="173"/>
      <c r="PVP233" s="173"/>
      <c r="PVQ233" s="173"/>
      <c r="PVR233" s="173"/>
      <c r="PVS233" s="173"/>
      <c r="PVT233" s="173"/>
      <c r="PVU233" s="125"/>
      <c r="PVV233" s="125"/>
      <c r="PVW233" s="134"/>
      <c r="PVX233" s="135"/>
      <c r="PVY233" s="135"/>
      <c r="PVZ233" s="135"/>
      <c r="PWA233" s="135"/>
      <c r="PWB233" s="173"/>
      <c r="PWC233" s="173"/>
      <c r="PWD233" s="173"/>
      <c r="PWE233" s="173"/>
      <c r="PWF233" s="173"/>
      <c r="PWG233" s="173"/>
      <c r="PWH233" s="173"/>
      <c r="PWI233" s="173"/>
      <c r="PWJ233" s="173"/>
      <c r="PWK233" s="173"/>
      <c r="PWL233" s="125"/>
      <c r="PWM233" s="125"/>
      <c r="PWN233" s="134"/>
      <c r="PWO233" s="135"/>
      <c r="PWP233" s="135"/>
      <c r="PWQ233" s="135"/>
      <c r="PWR233" s="135"/>
      <c r="PWS233" s="173"/>
      <c r="PWT233" s="173"/>
      <c r="PWU233" s="173"/>
      <c r="PWV233" s="173"/>
      <c r="PWW233" s="173"/>
      <c r="PWX233" s="173"/>
      <c r="PWY233" s="173"/>
      <c r="PWZ233" s="173"/>
      <c r="PXA233" s="173"/>
      <c r="PXB233" s="173"/>
      <c r="PXC233" s="125"/>
      <c r="PXD233" s="125"/>
      <c r="PXE233" s="134"/>
      <c r="PXF233" s="135"/>
      <c r="PXG233" s="135"/>
      <c r="PXH233" s="135"/>
      <c r="PXI233" s="135"/>
      <c r="PXJ233" s="173"/>
      <c r="PXK233" s="173"/>
      <c r="PXL233" s="173"/>
      <c r="PXM233" s="173"/>
      <c r="PXN233" s="173"/>
      <c r="PXO233" s="173"/>
      <c r="PXP233" s="173"/>
      <c r="PXQ233" s="173"/>
      <c r="PXR233" s="173"/>
      <c r="PXS233" s="173"/>
      <c r="PXT233" s="125"/>
      <c r="PXU233" s="125"/>
      <c r="PXV233" s="134"/>
      <c r="PXW233" s="135"/>
      <c r="PXX233" s="135"/>
      <c r="PXY233" s="135"/>
      <c r="PXZ233" s="135"/>
      <c r="PYA233" s="173"/>
      <c r="PYB233" s="173"/>
      <c r="PYC233" s="173"/>
      <c r="PYD233" s="173"/>
      <c r="PYE233" s="173"/>
      <c r="PYF233" s="173"/>
      <c r="PYG233" s="173"/>
      <c r="PYH233" s="173"/>
      <c r="PYI233" s="173"/>
      <c r="PYJ233" s="173"/>
      <c r="PYK233" s="125"/>
      <c r="PYL233" s="125"/>
      <c r="PYM233" s="134"/>
      <c r="PYN233" s="135"/>
      <c r="PYO233" s="135"/>
      <c r="PYP233" s="135"/>
      <c r="PYQ233" s="135"/>
      <c r="PYR233" s="173"/>
      <c r="PYS233" s="173"/>
      <c r="PYT233" s="173"/>
      <c r="PYU233" s="173"/>
      <c r="PYV233" s="173"/>
      <c r="PYW233" s="173"/>
      <c r="PYX233" s="173"/>
      <c r="PYY233" s="173"/>
      <c r="PYZ233" s="173"/>
      <c r="PZA233" s="173"/>
      <c r="PZB233" s="125"/>
      <c r="PZC233" s="125"/>
      <c r="PZD233" s="134"/>
      <c r="PZE233" s="135"/>
      <c r="PZF233" s="135"/>
      <c r="PZG233" s="135"/>
      <c r="PZH233" s="135"/>
      <c r="PZI233" s="173"/>
      <c r="PZJ233" s="173"/>
      <c r="PZK233" s="173"/>
      <c r="PZL233" s="173"/>
      <c r="PZM233" s="173"/>
      <c r="PZN233" s="173"/>
      <c r="PZO233" s="173"/>
      <c r="PZP233" s="173"/>
      <c r="PZQ233" s="173"/>
      <c r="PZR233" s="173"/>
      <c r="PZS233" s="125"/>
      <c r="PZT233" s="125"/>
      <c r="PZU233" s="134"/>
      <c r="PZV233" s="135"/>
      <c r="PZW233" s="135"/>
      <c r="PZX233" s="135"/>
      <c r="PZY233" s="135"/>
      <c r="PZZ233" s="173"/>
      <c r="QAA233" s="173"/>
      <c r="QAB233" s="173"/>
      <c r="QAC233" s="173"/>
      <c r="QAD233" s="173"/>
      <c r="QAE233" s="173"/>
      <c r="QAF233" s="173"/>
      <c r="QAG233" s="173"/>
      <c r="QAH233" s="173"/>
      <c r="QAI233" s="173"/>
      <c r="QAJ233" s="125"/>
      <c r="QAK233" s="125"/>
      <c r="QAL233" s="134"/>
      <c r="QAM233" s="135"/>
      <c r="QAN233" s="135"/>
      <c r="QAO233" s="135"/>
      <c r="QAP233" s="135"/>
      <c r="QAQ233" s="173"/>
      <c r="QAR233" s="173"/>
      <c r="QAS233" s="173"/>
      <c r="QAT233" s="173"/>
      <c r="QAU233" s="173"/>
      <c r="QAV233" s="173"/>
      <c r="QAW233" s="173"/>
      <c r="QAX233" s="173"/>
      <c r="QAY233" s="173"/>
      <c r="QAZ233" s="173"/>
      <c r="QBA233" s="125"/>
      <c r="QBB233" s="125"/>
      <c r="QBC233" s="134"/>
      <c r="QBD233" s="135"/>
      <c r="QBE233" s="135"/>
      <c r="QBF233" s="135"/>
      <c r="QBG233" s="135"/>
      <c r="QBH233" s="173"/>
      <c r="QBI233" s="173"/>
      <c r="QBJ233" s="173"/>
      <c r="QBK233" s="173"/>
      <c r="QBL233" s="173"/>
      <c r="QBM233" s="173"/>
      <c r="QBN233" s="173"/>
      <c r="QBO233" s="173"/>
      <c r="QBP233" s="173"/>
      <c r="QBQ233" s="173"/>
      <c r="QBR233" s="125"/>
      <c r="QBS233" s="125"/>
      <c r="QBT233" s="134"/>
      <c r="QBU233" s="135"/>
      <c r="QBV233" s="135"/>
      <c r="QBW233" s="135"/>
      <c r="QBX233" s="135"/>
      <c r="QBY233" s="173"/>
      <c r="QBZ233" s="173"/>
      <c r="QCA233" s="173"/>
      <c r="QCB233" s="173"/>
      <c r="QCC233" s="173"/>
      <c r="QCD233" s="173"/>
      <c r="QCE233" s="173"/>
      <c r="QCF233" s="173"/>
      <c r="QCG233" s="173"/>
      <c r="QCH233" s="173"/>
      <c r="QCI233" s="125"/>
      <c r="QCJ233" s="125"/>
      <c r="QCK233" s="134"/>
      <c r="QCL233" s="135"/>
      <c r="QCM233" s="135"/>
      <c r="QCN233" s="135"/>
      <c r="QCO233" s="135"/>
      <c r="QCP233" s="173"/>
      <c r="QCQ233" s="173"/>
      <c r="QCR233" s="173"/>
      <c r="QCS233" s="173"/>
      <c r="QCT233" s="173"/>
      <c r="QCU233" s="173"/>
      <c r="QCV233" s="173"/>
      <c r="QCW233" s="173"/>
      <c r="QCX233" s="173"/>
      <c r="QCY233" s="173"/>
      <c r="QCZ233" s="125"/>
      <c r="QDA233" s="125"/>
      <c r="QDB233" s="134"/>
      <c r="QDC233" s="135"/>
      <c r="QDD233" s="135"/>
      <c r="QDE233" s="135"/>
      <c r="QDF233" s="135"/>
      <c r="QDG233" s="173"/>
      <c r="QDH233" s="173"/>
      <c r="QDI233" s="173"/>
      <c r="QDJ233" s="173"/>
      <c r="QDK233" s="173"/>
      <c r="QDL233" s="173"/>
      <c r="QDM233" s="173"/>
      <c r="QDN233" s="173"/>
      <c r="QDO233" s="173"/>
      <c r="QDP233" s="173"/>
      <c r="QDQ233" s="125"/>
      <c r="QDR233" s="125"/>
      <c r="QDS233" s="134"/>
      <c r="QDT233" s="135"/>
      <c r="QDU233" s="135"/>
      <c r="QDV233" s="135"/>
      <c r="QDW233" s="135"/>
      <c r="QDX233" s="173"/>
      <c r="QDY233" s="173"/>
      <c r="QDZ233" s="173"/>
      <c r="QEA233" s="173"/>
      <c r="QEB233" s="173"/>
      <c r="QEC233" s="173"/>
      <c r="QED233" s="173"/>
      <c r="QEE233" s="173"/>
      <c r="QEF233" s="173"/>
      <c r="QEG233" s="173"/>
      <c r="QEH233" s="125"/>
      <c r="QEI233" s="125"/>
      <c r="QEJ233" s="134"/>
      <c r="QEK233" s="135"/>
      <c r="QEL233" s="135"/>
      <c r="QEM233" s="135"/>
      <c r="QEN233" s="135"/>
      <c r="QEO233" s="173"/>
      <c r="QEP233" s="173"/>
      <c r="QEQ233" s="173"/>
      <c r="QER233" s="173"/>
      <c r="QES233" s="173"/>
      <c r="QET233" s="173"/>
      <c r="QEU233" s="173"/>
      <c r="QEV233" s="173"/>
      <c r="QEW233" s="173"/>
      <c r="QEX233" s="173"/>
      <c r="QEY233" s="125"/>
      <c r="QEZ233" s="125"/>
      <c r="QFA233" s="134"/>
      <c r="QFB233" s="135"/>
      <c r="QFC233" s="135"/>
      <c r="QFD233" s="135"/>
      <c r="QFE233" s="135"/>
      <c r="QFF233" s="173"/>
      <c r="QFG233" s="173"/>
      <c r="QFH233" s="173"/>
      <c r="QFI233" s="173"/>
      <c r="QFJ233" s="173"/>
      <c r="QFK233" s="173"/>
      <c r="QFL233" s="173"/>
      <c r="QFM233" s="173"/>
      <c r="QFN233" s="173"/>
      <c r="QFO233" s="173"/>
      <c r="QFP233" s="125"/>
      <c r="QFQ233" s="125"/>
      <c r="QFR233" s="134"/>
      <c r="QFS233" s="135"/>
      <c r="QFT233" s="135"/>
      <c r="QFU233" s="135"/>
      <c r="QFV233" s="135"/>
      <c r="QFW233" s="173"/>
      <c r="QFX233" s="173"/>
      <c r="QFY233" s="173"/>
      <c r="QFZ233" s="173"/>
      <c r="QGA233" s="173"/>
      <c r="QGB233" s="173"/>
      <c r="QGC233" s="173"/>
      <c r="QGD233" s="173"/>
      <c r="QGE233" s="173"/>
      <c r="QGF233" s="173"/>
      <c r="QGG233" s="125"/>
      <c r="QGH233" s="125"/>
      <c r="QGI233" s="134"/>
      <c r="QGJ233" s="135"/>
      <c r="QGK233" s="135"/>
      <c r="QGL233" s="135"/>
      <c r="QGM233" s="135"/>
      <c r="QGN233" s="173"/>
      <c r="QGO233" s="173"/>
      <c r="QGP233" s="173"/>
      <c r="QGQ233" s="173"/>
      <c r="QGR233" s="173"/>
      <c r="QGS233" s="173"/>
      <c r="QGT233" s="173"/>
      <c r="QGU233" s="173"/>
      <c r="QGV233" s="173"/>
      <c r="QGW233" s="173"/>
      <c r="QGX233" s="125"/>
      <c r="QGY233" s="125"/>
      <c r="QGZ233" s="134"/>
      <c r="QHA233" s="135"/>
      <c r="QHB233" s="135"/>
      <c r="QHC233" s="135"/>
      <c r="QHD233" s="135"/>
      <c r="QHE233" s="173"/>
      <c r="QHF233" s="173"/>
      <c r="QHG233" s="173"/>
      <c r="QHH233" s="173"/>
      <c r="QHI233" s="173"/>
      <c r="QHJ233" s="173"/>
      <c r="QHK233" s="173"/>
      <c r="QHL233" s="173"/>
      <c r="QHM233" s="173"/>
      <c r="QHN233" s="173"/>
      <c r="QHO233" s="125"/>
      <c r="QHP233" s="125"/>
      <c r="QHQ233" s="134"/>
      <c r="QHR233" s="135"/>
      <c r="QHS233" s="135"/>
      <c r="QHT233" s="135"/>
      <c r="QHU233" s="135"/>
      <c r="QHV233" s="173"/>
      <c r="QHW233" s="173"/>
      <c r="QHX233" s="173"/>
      <c r="QHY233" s="173"/>
      <c r="QHZ233" s="173"/>
      <c r="QIA233" s="173"/>
      <c r="QIB233" s="173"/>
      <c r="QIC233" s="173"/>
      <c r="QID233" s="173"/>
      <c r="QIE233" s="173"/>
      <c r="QIF233" s="125"/>
      <c r="QIG233" s="125"/>
      <c r="QIH233" s="134"/>
      <c r="QII233" s="135"/>
      <c r="QIJ233" s="135"/>
      <c r="QIK233" s="135"/>
      <c r="QIL233" s="135"/>
      <c r="QIM233" s="173"/>
      <c r="QIN233" s="173"/>
      <c r="QIO233" s="173"/>
      <c r="QIP233" s="173"/>
      <c r="QIQ233" s="173"/>
      <c r="QIR233" s="173"/>
      <c r="QIS233" s="173"/>
      <c r="QIT233" s="173"/>
      <c r="QIU233" s="173"/>
      <c r="QIV233" s="173"/>
      <c r="QIW233" s="125"/>
      <c r="QIX233" s="125"/>
      <c r="QIY233" s="134"/>
      <c r="QIZ233" s="135"/>
      <c r="QJA233" s="135"/>
      <c r="QJB233" s="135"/>
      <c r="QJC233" s="135"/>
      <c r="QJD233" s="173"/>
      <c r="QJE233" s="173"/>
      <c r="QJF233" s="173"/>
      <c r="QJG233" s="173"/>
      <c r="QJH233" s="173"/>
      <c r="QJI233" s="173"/>
      <c r="QJJ233" s="173"/>
      <c r="QJK233" s="173"/>
      <c r="QJL233" s="173"/>
      <c r="QJM233" s="173"/>
      <c r="QJN233" s="125"/>
      <c r="QJO233" s="125"/>
      <c r="QJP233" s="134"/>
      <c r="QJQ233" s="135"/>
      <c r="QJR233" s="135"/>
      <c r="QJS233" s="135"/>
      <c r="QJT233" s="135"/>
      <c r="QJU233" s="173"/>
      <c r="QJV233" s="173"/>
      <c r="QJW233" s="173"/>
      <c r="QJX233" s="173"/>
      <c r="QJY233" s="173"/>
      <c r="QJZ233" s="173"/>
      <c r="QKA233" s="173"/>
      <c r="QKB233" s="173"/>
      <c r="QKC233" s="173"/>
      <c r="QKD233" s="173"/>
      <c r="QKE233" s="125"/>
      <c r="QKF233" s="125"/>
      <c r="QKG233" s="134"/>
      <c r="QKH233" s="135"/>
      <c r="QKI233" s="135"/>
      <c r="QKJ233" s="135"/>
      <c r="QKK233" s="135"/>
      <c r="QKL233" s="173"/>
      <c r="QKM233" s="173"/>
      <c r="QKN233" s="173"/>
      <c r="QKO233" s="173"/>
      <c r="QKP233" s="173"/>
      <c r="QKQ233" s="173"/>
      <c r="QKR233" s="173"/>
      <c r="QKS233" s="173"/>
      <c r="QKT233" s="173"/>
      <c r="QKU233" s="173"/>
      <c r="QKV233" s="125"/>
      <c r="QKW233" s="125"/>
      <c r="QKX233" s="134"/>
      <c r="QKY233" s="135"/>
      <c r="QKZ233" s="135"/>
      <c r="QLA233" s="135"/>
      <c r="QLB233" s="135"/>
      <c r="QLC233" s="173"/>
      <c r="QLD233" s="173"/>
      <c r="QLE233" s="173"/>
      <c r="QLF233" s="173"/>
      <c r="QLG233" s="173"/>
      <c r="QLH233" s="173"/>
      <c r="QLI233" s="173"/>
      <c r="QLJ233" s="173"/>
      <c r="QLK233" s="173"/>
      <c r="QLL233" s="173"/>
      <c r="QLM233" s="125"/>
      <c r="QLN233" s="125"/>
      <c r="QLO233" s="134"/>
      <c r="QLP233" s="135"/>
      <c r="QLQ233" s="135"/>
      <c r="QLR233" s="135"/>
      <c r="QLS233" s="135"/>
      <c r="QLT233" s="173"/>
      <c r="QLU233" s="173"/>
      <c r="QLV233" s="173"/>
      <c r="QLW233" s="173"/>
      <c r="QLX233" s="173"/>
      <c r="QLY233" s="173"/>
      <c r="QLZ233" s="173"/>
      <c r="QMA233" s="173"/>
      <c r="QMB233" s="173"/>
      <c r="QMC233" s="173"/>
      <c r="QMD233" s="125"/>
      <c r="QME233" s="125"/>
      <c r="QMF233" s="134"/>
      <c r="QMG233" s="135"/>
      <c r="QMH233" s="135"/>
      <c r="QMI233" s="135"/>
      <c r="QMJ233" s="135"/>
      <c r="QMK233" s="173"/>
      <c r="QML233" s="173"/>
      <c r="QMM233" s="173"/>
      <c r="QMN233" s="173"/>
      <c r="QMO233" s="173"/>
      <c r="QMP233" s="173"/>
      <c r="QMQ233" s="173"/>
      <c r="QMR233" s="173"/>
      <c r="QMS233" s="173"/>
      <c r="QMT233" s="173"/>
      <c r="QMU233" s="125"/>
      <c r="QMV233" s="125"/>
      <c r="QMW233" s="134"/>
      <c r="QMX233" s="135"/>
      <c r="QMY233" s="135"/>
      <c r="QMZ233" s="135"/>
      <c r="QNA233" s="135"/>
      <c r="QNB233" s="173"/>
      <c r="QNC233" s="173"/>
      <c r="QND233" s="173"/>
      <c r="QNE233" s="173"/>
      <c r="QNF233" s="173"/>
      <c r="QNG233" s="173"/>
      <c r="QNH233" s="173"/>
      <c r="QNI233" s="173"/>
      <c r="QNJ233" s="173"/>
      <c r="QNK233" s="173"/>
      <c r="QNL233" s="125"/>
      <c r="QNM233" s="125"/>
      <c r="QNN233" s="134"/>
      <c r="QNO233" s="135"/>
      <c r="QNP233" s="135"/>
      <c r="QNQ233" s="135"/>
      <c r="QNR233" s="135"/>
      <c r="QNS233" s="173"/>
      <c r="QNT233" s="173"/>
      <c r="QNU233" s="173"/>
      <c r="QNV233" s="173"/>
      <c r="QNW233" s="173"/>
      <c r="QNX233" s="173"/>
      <c r="QNY233" s="173"/>
      <c r="QNZ233" s="173"/>
      <c r="QOA233" s="173"/>
      <c r="QOB233" s="173"/>
      <c r="QOC233" s="125"/>
      <c r="QOD233" s="125"/>
      <c r="QOE233" s="134"/>
      <c r="QOF233" s="135"/>
      <c r="QOG233" s="135"/>
      <c r="QOH233" s="135"/>
      <c r="QOI233" s="135"/>
      <c r="QOJ233" s="173"/>
      <c r="QOK233" s="173"/>
      <c r="QOL233" s="173"/>
      <c r="QOM233" s="173"/>
      <c r="QON233" s="173"/>
      <c r="QOO233" s="173"/>
      <c r="QOP233" s="173"/>
      <c r="QOQ233" s="173"/>
      <c r="QOR233" s="173"/>
      <c r="QOS233" s="173"/>
      <c r="QOT233" s="125"/>
      <c r="QOU233" s="125"/>
      <c r="QOV233" s="134"/>
      <c r="QOW233" s="135"/>
      <c r="QOX233" s="135"/>
      <c r="QOY233" s="135"/>
      <c r="QOZ233" s="135"/>
      <c r="QPA233" s="173"/>
      <c r="QPB233" s="173"/>
      <c r="QPC233" s="173"/>
      <c r="QPD233" s="173"/>
      <c r="QPE233" s="173"/>
      <c r="QPF233" s="173"/>
      <c r="QPG233" s="173"/>
      <c r="QPH233" s="173"/>
      <c r="QPI233" s="173"/>
      <c r="QPJ233" s="173"/>
      <c r="QPK233" s="125"/>
      <c r="QPL233" s="125"/>
      <c r="QPM233" s="134"/>
      <c r="QPN233" s="135"/>
      <c r="QPO233" s="135"/>
      <c r="QPP233" s="135"/>
      <c r="QPQ233" s="135"/>
      <c r="QPR233" s="173"/>
      <c r="QPS233" s="173"/>
      <c r="QPT233" s="173"/>
      <c r="QPU233" s="173"/>
      <c r="QPV233" s="173"/>
      <c r="QPW233" s="173"/>
      <c r="QPX233" s="173"/>
      <c r="QPY233" s="173"/>
      <c r="QPZ233" s="173"/>
      <c r="QQA233" s="173"/>
      <c r="QQB233" s="125"/>
      <c r="QQC233" s="125"/>
      <c r="QQD233" s="134"/>
      <c r="QQE233" s="135"/>
      <c r="QQF233" s="135"/>
      <c r="QQG233" s="135"/>
      <c r="QQH233" s="135"/>
      <c r="QQI233" s="173"/>
      <c r="QQJ233" s="173"/>
      <c r="QQK233" s="173"/>
      <c r="QQL233" s="173"/>
      <c r="QQM233" s="173"/>
      <c r="QQN233" s="173"/>
      <c r="QQO233" s="173"/>
      <c r="QQP233" s="173"/>
      <c r="QQQ233" s="173"/>
      <c r="QQR233" s="173"/>
      <c r="QQS233" s="125"/>
      <c r="QQT233" s="125"/>
      <c r="QQU233" s="134"/>
      <c r="QQV233" s="135"/>
      <c r="QQW233" s="135"/>
      <c r="QQX233" s="135"/>
      <c r="QQY233" s="135"/>
      <c r="QQZ233" s="173"/>
      <c r="QRA233" s="173"/>
      <c r="QRB233" s="173"/>
      <c r="QRC233" s="173"/>
      <c r="QRD233" s="173"/>
      <c r="QRE233" s="173"/>
      <c r="QRF233" s="173"/>
      <c r="QRG233" s="173"/>
      <c r="QRH233" s="173"/>
      <c r="QRI233" s="173"/>
      <c r="QRJ233" s="125"/>
      <c r="QRK233" s="125"/>
      <c r="QRL233" s="134"/>
      <c r="QRM233" s="135"/>
      <c r="QRN233" s="135"/>
      <c r="QRO233" s="135"/>
      <c r="QRP233" s="135"/>
      <c r="QRQ233" s="173"/>
      <c r="QRR233" s="173"/>
      <c r="QRS233" s="173"/>
      <c r="QRT233" s="173"/>
      <c r="QRU233" s="173"/>
      <c r="QRV233" s="173"/>
      <c r="QRW233" s="173"/>
      <c r="QRX233" s="173"/>
      <c r="QRY233" s="173"/>
      <c r="QRZ233" s="173"/>
      <c r="QSA233" s="125"/>
      <c r="QSB233" s="125"/>
      <c r="QSC233" s="134"/>
      <c r="QSD233" s="135"/>
      <c r="QSE233" s="135"/>
      <c r="QSF233" s="135"/>
      <c r="QSG233" s="135"/>
      <c r="QSH233" s="173"/>
      <c r="QSI233" s="173"/>
      <c r="QSJ233" s="173"/>
      <c r="QSK233" s="173"/>
      <c r="QSL233" s="173"/>
      <c r="QSM233" s="173"/>
      <c r="QSN233" s="173"/>
      <c r="QSO233" s="173"/>
      <c r="QSP233" s="173"/>
      <c r="QSQ233" s="173"/>
      <c r="QSR233" s="125"/>
      <c r="QSS233" s="125"/>
      <c r="QST233" s="134"/>
      <c r="QSU233" s="135"/>
      <c r="QSV233" s="135"/>
      <c r="QSW233" s="135"/>
      <c r="QSX233" s="135"/>
      <c r="QSY233" s="173"/>
      <c r="QSZ233" s="173"/>
      <c r="QTA233" s="173"/>
      <c r="QTB233" s="173"/>
      <c r="QTC233" s="173"/>
      <c r="QTD233" s="173"/>
      <c r="QTE233" s="173"/>
      <c r="QTF233" s="173"/>
      <c r="QTG233" s="173"/>
      <c r="QTH233" s="173"/>
      <c r="QTI233" s="125"/>
      <c r="QTJ233" s="125"/>
      <c r="QTK233" s="134"/>
      <c r="QTL233" s="135"/>
      <c r="QTM233" s="135"/>
      <c r="QTN233" s="135"/>
      <c r="QTO233" s="135"/>
      <c r="QTP233" s="173"/>
      <c r="QTQ233" s="173"/>
      <c r="QTR233" s="173"/>
      <c r="QTS233" s="173"/>
      <c r="QTT233" s="173"/>
      <c r="QTU233" s="173"/>
      <c r="QTV233" s="173"/>
      <c r="QTW233" s="173"/>
      <c r="QTX233" s="173"/>
      <c r="QTY233" s="173"/>
      <c r="QTZ233" s="125"/>
      <c r="QUA233" s="125"/>
      <c r="QUB233" s="134"/>
      <c r="QUC233" s="135"/>
      <c r="QUD233" s="135"/>
      <c r="QUE233" s="135"/>
      <c r="QUF233" s="135"/>
      <c r="QUG233" s="173"/>
      <c r="QUH233" s="173"/>
      <c r="QUI233" s="173"/>
      <c r="QUJ233" s="173"/>
      <c r="QUK233" s="173"/>
      <c r="QUL233" s="173"/>
      <c r="QUM233" s="173"/>
      <c r="QUN233" s="173"/>
      <c r="QUO233" s="173"/>
      <c r="QUP233" s="173"/>
      <c r="QUQ233" s="125"/>
      <c r="QUR233" s="125"/>
      <c r="QUS233" s="134"/>
      <c r="QUT233" s="135"/>
      <c r="QUU233" s="135"/>
      <c r="QUV233" s="135"/>
      <c r="QUW233" s="135"/>
      <c r="QUX233" s="173"/>
      <c r="QUY233" s="173"/>
      <c r="QUZ233" s="173"/>
      <c r="QVA233" s="173"/>
      <c r="QVB233" s="173"/>
      <c r="QVC233" s="173"/>
      <c r="QVD233" s="173"/>
      <c r="QVE233" s="173"/>
      <c r="QVF233" s="173"/>
      <c r="QVG233" s="173"/>
      <c r="QVH233" s="125"/>
      <c r="QVI233" s="125"/>
      <c r="QVJ233" s="134"/>
      <c r="QVK233" s="135"/>
      <c r="QVL233" s="135"/>
      <c r="QVM233" s="135"/>
      <c r="QVN233" s="135"/>
      <c r="QVO233" s="173"/>
      <c r="QVP233" s="173"/>
      <c r="QVQ233" s="173"/>
      <c r="QVR233" s="173"/>
      <c r="QVS233" s="173"/>
      <c r="QVT233" s="173"/>
      <c r="QVU233" s="173"/>
      <c r="QVV233" s="173"/>
      <c r="QVW233" s="173"/>
      <c r="QVX233" s="173"/>
      <c r="QVY233" s="125"/>
      <c r="QVZ233" s="125"/>
      <c r="QWA233" s="134"/>
      <c r="QWB233" s="135"/>
      <c r="QWC233" s="135"/>
      <c r="QWD233" s="135"/>
      <c r="QWE233" s="135"/>
      <c r="QWF233" s="173"/>
      <c r="QWG233" s="173"/>
      <c r="QWH233" s="173"/>
      <c r="QWI233" s="173"/>
      <c r="QWJ233" s="173"/>
      <c r="QWK233" s="173"/>
      <c r="QWL233" s="173"/>
      <c r="QWM233" s="173"/>
      <c r="QWN233" s="173"/>
      <c r="QWO233" s="173"/>
      <c r="QWP233" s="125"/>
      <c r="QWQ233" s="125"/>
      <c r="QWR233" s="134"/>
      <c r="QWS233" s="135"/>
      <c r="QWT233" s="135"/>
      <c r="QWU233" s="135"/>
      <c r="QWV233" s="135"/>
      <c r="QWW233" s="173"/>
      <c r="QWX233" s="173"/>
      <c r="QWY233" s="173"/>
      <c r="QWZ233" s="173"/>
      <c r="QXA233" s="173"/>
      <c r="QXB233" s="173"/>
      <c r="QXC233" s="173"/>
      <c r="QXD233" s="173"/>
      <c r="QXE233" s="173"/>
      <c r="QXF233" s="173"/>
      <c r="QXG233" s="125"/>
      <c r="QXH233" s="125"/>
      <c r="QXI233" s="134"/>
      <c r="QXJ233" s="135"/>
      <c r="QXK233" s="135"/>
      <c r="QXL233" s="135"/>
      <c r="QXM233" s="135"/>
      <c r="QXN233" s="173"/>
      <c r="QXO233" s="173"/>
      <c r="QXP233" s="173"/>
      <c r="QXQ233" s="173"/>
      <c r="QXR233" s="173"/>
      <c r="QXS233" s="173"/>
      <c r="QXT233" s="173"/>
      <c r="QXU233" s="173"/>
      <c r="QXV233" s="173"/>
      <c r="QXW233" s="173"/>
      <c r="QXX233" s="125"/>
      <c r="QXY233" s="125"/>
      <c r="QXZ233" s="134"/>
      <c r="QYA233" s="135"/>
      <c r="QYB233" s="135"/>
      <c r="QYC233" s="135"/>
      <c r="QYD233" s="135"/>
      <c r="QYE233" s="173"/>
      <c r="QYF233" s="173"/>
      <c r="QYG233" s="173"/>
      <c r="QYH233" s="173"/>
      <c r="QYI233" s="173"/>
      <c r="QYJ233" s="173"/>
      <c r="QYK233" s="173"/>
      <c r="QYL233" s="173"/>
      <c r="QYM233" s="173"/>
      <c r="QYN233" s="173"/>
      <c r="QYO233" s="125"/>
      <c r="QYP233" s="125"/>
      <c r="QYQ233" s="134"/>
      <c r="QYR233" s="135"/>
      <c r="QYS233" s="135"/>
      <c r="QYT233" s="135"/>
      <c r="QYU233" s="135"/>
      <c r="QYV233" s="173"/>
      <c r="QYW233" s="173"/>
      <c r="QYX233" s="173"/>
      <c r="QYY233" s="173"/>
      <c r="QYZ233" s="173"/>
      <c r="QZA233" s="173"/>
      <c r="QZB233" s="173"/>
      <c r="QZC233" s="173"/>
      <c r="QZD233" s="173"/>
      <c r="QZE233" s="173"/>
      <c r="QZF233" s="125"/>
      <c r="QZG233" s="125"/>
      <c r="QZH233" s="134"/>
      <c r="QZI233" s="135"/>
      <c r="QZJ233" s="135"/>
      <c r="QZK233" s="135"/>
      <c r="QZL233" s="135"/>
      <c r="QZM233" s="173"/>
      <c r="QZN233" s="173"/>
      <c r="QZO233" s="173"/>
      <c r="QZP233" s="173"/>
      <c r="QZQ233" s="173"/>
      <c r="QZR233" s="173"/>
      <c r="QZS233" s="173"/>
      <c r="QZT233" s="173"/>
      <c r="QZU233" s="173"/>
      <c r="QZV233" s="173"/>
      <c r="QZW233" s="125"/>
      <c r="QZX233" s="125"/>
      <c r="QZY233" s="134"/>
      <c r="QZZ233" s="135"/>
      <c r="RAA233" s="135"/>
      <c r="RAB233" s="135"/>
      <c r="RAC233" s="135"/>
      <c r="RAD233" s="173"/>
      <c r="RAE233" s="173"/>
      <c r="RAF233" s="173"/>
      <c r="RAG233" s="173"/>
      <c r="RAH233" s="173"/>
      <c r="RAI233" s="173"/>
      <c r="RAJ233" s="173"/>
      <c r="RAK233" s="173"/>
      <c r="RAL233" s="173"/>
      <c r="RAM233" s="173"/>
      <c r="RAN233" s="125"/>
      <c r="RAO233" s="125"/>
      <c r="RAP233" s="134"/>
      <c r="RAQ233" s="135"/>
      <c r="RAR233" s="135"/>
      <c r="RAS233" s="135"/>
      <c r="RAT233" s="135"/>
      <c r="RAU233" s="173"/>
      <c r="RAV233" s="173"/>
      <c r="RAW233" s="173"/>
      <c r="RAX233" s="173"/>
      <c r="RAY233" s="173"/>
      <c r="RAZ233" s="173"/>
      <c r="RBA233" s="173"/>
      <c r="RBB233" s="173"/>
      <c r="RBC233" s="173"/>
      <c r="RBD233" s="173"/>
      <c r="RBE233" s="125"/>
      <c r="RBF233" s="125"/>
      <c r="RBG233" s="134"/>
      <c r="RBH233" s="135"/>
      <c r="RBI233" s="135"/>
      <c r="RBJ233" s="135"/>
      <c r="RBK233" s="135"/>
      <c r="RBL233" s="173"/>
      <c r="RBM233" s="173"/>
      <c r="RBN233" s="173"/>
      <c r="RBO233" s="173"/>
      <c r="RBP233" s="173"/>
      <c r="RBQ233" s="173"/>
      <c r="RBR233" s="173"/>
      <c r="RBS233" s="173"/>
      <c r="RBT233" s="173"/>
      <c r="RBU233" s="173"/>
      <c r="RBV233" s="125"/>
      <c r="RBW233" s="125"/>
      <c r="RBX233" s="134"/>
      <c r="RBY233" s="135"/>
      <c r="RBZ233" s="135"/>
      <c r="RCA233" s="135"/>
      <c r="RCB233" s="135"/>
      <c r="RCC233" s="173"/>
      <c r="RCD233" s="173"/>
      <c r="RCE233" s="173"/>
      <c r="RCF233" s="173"/>
      <c r="RCG233" s="173"/>
      <c r="RCH233" s="173"/>
      <c r="RCI233" s="173"/>
      <c r="RCJ233" s="173"/>
      <c r="RCK233" s="173"/>
      <c r="RCL233" s="173"/>
      <c r="RCM233" s="125"/>
      <c r="RCN233" s="125"/>
      <c r="RCO233" s="134"/>
      <c r="RCP233" s="135"/>
      <c r="RCQ233" s="135"/>
      <c r="RCR233" s="135"/>
      <c r="RCS233" s="135"/>
      <c r="RCT233" s="173"/>
      <c r="RCU233" s="173"/>
      <c r="RCV233" s="173"/>
      <c r="RCW233" s="173"/>
      <c r="RCX233" s="173"/>
      <c r="RCY233" s="173"/>
      <c r="RCZ233" s="173"/>
      <c r="RDA233" s="173"/>
      <c r="RDB233" s="173"/>
      <c r="RDC233" s="173"/>
      <c r="RDD233" s="125"/>
      <c r="RDE233" s="125"/>
      <c r="RDF233" s="134"/>
      <c r="RDG233" s="135"/>
      <c r="RDH233" s="135"/>
      <c r="RDI233" s="135"/>
      <c r="RDJ233" s="135"/>
      <c r="RDK233" s="173"/>
      <c r="RDL233" s="173"/>
      <c r="RDM233" s="173"/>
      <c r="RDN233" s="173"/>
      <c r="RDO233" s="173"/>
      <c r="RDP233" s="173"/>
      <c r="RDQ233" s="173"/>
      <c r="RDR233" s="173"/>
      <c r="RDS233" s="173"/>
      <c r="RDT233" s="173"/>
      <c r="RDU233" s="125"/>
      <c r="RDV233" s="125"/>
      <c r="RDW233" s="134"/>
      <c r="RDX233" s="135"/>
      <c r="RDY233" s="135"/>
      <c r="RDZ233" s="135"/>
      <c r="REA233" s="135"/>
      <c r="REB233" s="173"/>
      <c r="REC233" s="173"/>
      <c r="RED233" s="173"/>
      <c r="REE233" s="173"/>
      <c r="REF233" s="173"/>
      <c r="REG233" s="173"/>
      <c r="REH233" s="173"/>
      <c r="REI233" s="173"/>
      <c r="REJ233" s="173"/>
      <c r="REK233" s="173"/>
      <c r="REL233" s="125"/>
      <c r="REM233" s="125"/>
      <c r="REN233" s="134"/>
      <c r="REO233" s="135"/>
      <c r="REP233" s="135"/>
      <c r="REQ233" s="135"/>
      <c r="RER233" s="135"/>
      <c r="RES233" s="173"/>
      <c r="RET233" s="173"/>
      <c r="REU233" s="173"/>
      <c r="REV233" s="173"/>
      <c r="REW233" s="173"/>
      <c r="REX233" s="173"/>
      <c r="REY233" s="173"/>
      <c r="REZ233" s="173"/>
      <c r="RFA233" s="173"/>
      <c r="RFB233" s="173"/>
      <c r="RFC233" s="125"/>
      <c r="RFD233" s="125"/>
      <c r="RFE233" s="134"/>
      <c r="RFF233" s="135"/>
      <c r="RFG233" s="135"/>
      <c r="RFH233" s="135"/>
      <c r="RFI233" s="135"/>
      <c r="RFJ233" s="173"/>
      <c r="RFK233" s="173"/>
      <c r="RFL233" s="173"/>
      <c r="RFM233" s="173"/>
      <c r="RFN233" s="173"/>
      <c r="RFO233" s="173"/>
      <c r="RFP233" s="173"/>
      <c r="RFQ233" s="173"/>
      <c r="RFR233" s="173"/>
      <c r="RFS233" s="173"/>
      <c r="RFT233" s="125"/>
      <c r="RFU233" s="125"/>
      <c r="RFV233" s="134"/>
      <c r="RFW233" s="135"/>
      <c r="RFX233" s="135"/>
      <c r="RFY233" s="135"/>
      <c r="RFZ233" s="135"/>
      <c r="RGA233" s="173"/>
      <c r="RGB233" s="173"/>
      <c r="RGC233" s="173"/>
      <c r="RGD233" s="173"/>
      <c r="RGE233" s="173"/>
      <c r="RGF233" s="173"/>
      <c r="RGG233" s="173"/>
      <c r="RGH233" s="173"/>
      <c r="RGI233" s="173"/>
      <c r="RGJ233" s="173"/>
      <c r="RGK233" s="125"/>
      <c r="RGL233" s="125"/>
      <c r="RGM233" s="134"/>
      <c r="RGN233" s="135"/>
      <c r="RGO233" s="135"/>
      <c r="RGP233" s="135"/>
      <c r="RGQ233" s="135"/>
      <c r="RGR233" s="173"/>
      <c r="RGS233" s="173"/>
      <c r="RGT233" s="173"/>
      <c r="RGU233" s="173"/>
      <c r="RGV233" s="173"/>
      <c r="RGW233" s="173"/>
      <c r="RGX233" s="173"/>
      <c r="RGY233" s="173"/>
      <c r="RGZ233" s="173"/>
      <c r="RHA233" s="173"/>
      <c r="RHB233" s="125"/>
      <c r="RHC233" s="125"/>
      <c r="RHD233" s="134"/>
      <c r="RHE233" s="135"/>
      <c r="RHF233" s="135"/>
      <c r="RHG233" s="135"/>
      <c r="RHH233" s="135"/>
      <c r="RHI233" s="173"/>
      <c r="RHJ233" s="173"/>
      <c r="RHK233" s="173"/>
      <c r="RHL233" s="173"/>
      <c r="RHM233" s="173"/>
      <c r="RHN233" s="173"/>
      <c r="RHO233" s="173"/>
      <c r="RHP233" s="173"/>
      <c r="RHQ233" s="173"/>
      <c r="RHR233" s="173"/>
      <c r="RHS233" s="125"/>
      <c r="RHT233" s="125"/>
      <c r="RHU233" s="134"/>
      <c r="RHV233" s="135"/>
      <c r="RHW233" s="135"/>
      <c r="RHX233" s="135"/>
      <c r="RHY233" s="135"/>
      <c r="RHZ233" s="173"/>
      <c r="RIA233" s="173"/>
      <c r="RIB233" s="173"/>
      <c r="RIC233" s="173"/>
      <c r="RID233" s="173"/>
      <c r="RIE233" s="173"/>
      <c r="RIF233" s="173"/>
      <c r="RIG233" s="173"/>
      <c r="RIH233" s="173"/>
      <c r="RII233" s="173"/>
      <c r="RIJ233" s="125"/>
      <c r="RIK233" s="125"/>
      <c r="RIL233" s="134"/>
      <c r="RIM233" s="135"/>
      <c r="RIN233" s="135"/>
      <c r="RIO233" s="135"/>
      <c r="RIP233" s="135"/>
      <c r="RIQ233" s="173"/>
      <c r="RIR233" s="173"/>
      <c r="RIS233" s="173"/>
      <c r="RIT233" s="173"/>
      <c r="RIU233" s="173"/>
      <c r="RIV233" s="173"/>
      <c r="RIW233" s="173"/>
      <c r="RIX233" s="173"/>
      <c r="RIY233" s="173"/>
      <c r="RIZ233" s="173"/>
      <c r="RJA233" s="125"/>
      <c r="RJB233" s="125"/>
      <c r="RJC233" s="134"/>
      <c r="RJD233" s="135"/>
      <c r="RJE233" s="135"/>
      <c r="RJF233" s="135"/>
      <c r="RJG233" s="135"/>
      <c r="RJH233" s="173"/>
      <c r="RJI233" s="173"/>
      <c r="RJJ233" s="173"/>
      <c r="RJK233" s="173"/>
      <c r="RJL233" s="173"/>
      <c r="RJM233" s="173"/>
      <c r="RJN233" s="173"/>
      <c r="RJO233" s="173"/>
      <c r="RJP233" s="173"/>
      <c r="RJQ233" s="173"/>
      <c r="RJR233" s="125"/>
      <c r="RJS233" s="125"/>
      <c r="RJT233" s="134"/>
      <c r="RJU233" s="135"/>
      <c r="RJV233" s="135"/>
      <c r="RJW233" s="135"/>
      <c r="RJX233" s="135"/>
      <c r="RJY233" s="173"/>
      <c r="RJZ233" s="173"/>
      <c r="RKA233" s="173"/>
      <c r="RKB233" s="173"/>
      <c r="RKC233" s="173"/>
      <c r="RKD233" s="173"/>
      <c r="RKE233" s="173"/>
      <c r="RKF233" s="173"/>
      <c r="RKG233" s="173"/>
      <c r="RKH233" s="173"/>
      <c r="RKI233" s="125"/>
      <c r="RKJ233" s="125"/>
      <c r="RKK233" s="134"/>
      <c r="RKL233" s="135"/>
      <c r="RKM233" s="135"/>
      <c r="RKN233" s="135"/>
      <c r="RKO233" s="135"/>
      <c r="RKP233" s="173"/>
      <c r="RKQ233" s="173"/>
      <c r="RKR233" s="173"/>
      <c r="RKS233" s="173"/>
      <c r="RKT233" s="173"/>
      <c r="RKU233" s="173"/>
      <c r="RKV233" s="173"/>
      <c r="RKW233" s="173"/>
      <c r="RKX233" s="173"/>
      <c r="RKY233" s="173"/>
      <c r="RKZ233" s="125"/>
      <c r="RLA233" s="125"/>
      <c r="RLB233" s="134"/>
      <c r="RLC233" s="135"/>
      <c r="RLD233" s="135"/>
      <c r="RLE233" s="135"/>
      <c r="RLF233" s="135"/>
      <c r="RLG233" s="173"/>
      <c r="RLH233" s="173"/>
      <c r="RLI233" s="173"/>
      <c r="RLJ233" s="173"/>
      <c r="RLK233" s="173"/>
      <c r="RLL233" s="173"/>
      <c r="RLM233" s="173"/>
      <c r="RLN233" s="173"/>
      <c r="RLO233" s="173"/>
      <c r="RLP233" s="173"/>
      <c r="RLQ233" s="125"/>
      <c r="RLR233" s="125"/>
      <c r="RLS233" s="134"/>
      <c r="RLT233" s="135"/>
      <c r="RLU233" s="135"/>
      <c r="RLV233" s="135"/>
      <c r="RLW233" s="135"/>
      <c r="RLX233" s="173"/>
      <c r="RLY233" s="173"/>
      <c r="RLZ233" s="173"/>
      <c r="RMA233" s="173"/>
      <c r="RMB233" s="173"/>
      <c r="RMC233" s="173"/>
      <c r="RMD233" s="173"/>
      <c r="RME233" s="173"/>
      <c r="RMF233" s="173"/>
      <c r="RMG233" s="173"/>
      <c r="RMH233" s="125"/>
      <c r="RMI233" s="125"/>
      <c r="RMJ233" s="134"/>
      <c r="RMK233" s="135"/>
      <c r="RML233" s="135"/>
      <c r="RMM233" s="135"/>
      <c r="RMN233" s="135"/>
      <c r="RMO233" s="173"/>
      <c r="RMP233" s="173"/>
      <c r="RMQ233" s="173"/>
      <c r="RMR233" s="173"/>
      <c r="RMS233" s="173"/>
      <c r="RMT233" s="173"/>
      <c r="RMU233" s="173"/>
      <c r="RMV233" s="173"/>
      <c r="RMW233" s="173"/>
      <c r="RMX233" s="173"/>
      <c r="RMY233" s="125"/>
      <c r="RMZ233" s="125"/>
      <c r="RNA233" s="134"/>
      <c r="RNB233" s="135"/>
      <c r="RNC233" s="135"/>
      <c r="RND233" s="135"/>
      <c r="RNE233" s="135"/>
      <c r="RNF233" s="173"/>
      <c r="RNG233" s="173"/>
      <c r="RNH233" s="173"/>
      <c r="RNI233" s="173"/>
      <c r="RNJ233" s="173"/>
      <c r="RNK233" s="173"/>
      <c r="RNL233" s="173"/>
      <c r="RNM233" s="173"/>
      <c r="RNN233" s="173"/>
      <c r="RNO233" s="173"/>
      <c r="RNP233" s="125"/>
      <c r="RNQ233" s="125"/>
      <c r="RNR233" s="134"/>
      <c r="RNS233" s="135"/>
      <c r="RNT233" s="135"/>
      <c r="RNU233" s="135"/>
      <c r="RNV233" s="135"/>
      <c r="RNW233" s="173"/>
      <c r="RNX233" s="173"/>
      <c r="RNY233" s="173"/>
      <c r="RNZ233" s="173"/>
      <c r="ROA233" s="173"/>
      <c r="ROB233" s="173"/>
      <c r="ROC233" s="173"/>
      <c r="ROD233" s="173"/>
      <c r="ROE233" s="173"/>
      <c r="ROF233" s="173"/>
      <c r="ROG233" s="125"/>
      <c r="ROH233" s="125"/>
      <c r="ROI233" s="134"/>
      <c r="ROJ233" s="135"/>
      <c r="ROK233" s="135"/>
      <c r="ROL233" s="135"/>
      <c r="ROM233" s="135"/>
      <c r="RON233" s="173"/>
      <c r="ROO233" s="173"/>
      <c r="ROP233" s="173"/>
      <c r="ROQ233" s="173"/>
      <c r="ROR233" s="173"/>
      <c r="ROS233" s="173"/>
      <c r="ROT233" s="173"/>
      <c r="ROU233" s="173"/>
      <c r="ROV233" s="173"/>
      <c r="ROW233" s="173"/>
      <c r="ROX233" s="125"/>
      <c r="ROY233" s="125"/>
      <c r="ROZ233" s="134"/>
      <c r="RPA233" s="135"/>
      <c r="RPB233" s="135"/>
      <c r="RPC233" s="135"/>
      <c r="RPD233" s="135"/>
      <c r="RPE233" s="173"/>
      <c r="RPF233" s="173"/>
      <c r="RPG233" s="173"/>
      <c r="RPH233" s="173"/>
      <c r="RPI233" s="173"/>
      <c r="RPJ233" s="173"/>
      <c r="RPK233" s="173"/>
      <c r="RPL233" s="173"/>
      <c r="RPM233" s="173"/>
      <c r="RPN233" s="173"/>
      <c r="RPO233" s="125"/>
      <c r="RPP233" s="125"/>
      <c r="RPQ233" s="134"/>
      <c r="RPR233" s="135"/>
      <c r="RPS233" s="135"/>
      <c r="RPT233" s="135"/>
      <c r="RPU233" s="135"/>
      <c r="RPV233" s="173"/>
      <c r="RPW233" s="173"/>
      <c r="RPX233" s="173"/>
      <c r="RPY233" s="173"/>
      <c r="RPZ233" s="173"/>
      <c r="RQA233" s="173"/>
      <c r="RQB233" s="173"/>
      <c r="RQC233" s="173"/>
      <c r="RQD233" s="173"/>
      <c r="RQE233" s="173"/>
      <c r="RQF233" s="125"/>
      <c r="RQG233" s="125"/>
      <c r="RQH233" s="134"/>
      <c r="RQI233" s="135"/>
      <c r="RQJ233" s="135"/>
      <c r="RQK233" s="135"/>
      <c r="RQL233" s="135"/>
      <c r="RQM233" s="173"/>
      <c r="RQN233" s="173"/>
      <c r="RQO233" s="173"/>
      <c r="RQP233" s="173"/>
      <c r="RQQ233" s="173"/>
      <c r="RQR233" s="173"/>
      <c r="RQS233" s="173"/>
      <c r="RQT233" s="173"/>
      <c r="RQU233" s="173"/>
      <c r="RQV233" s="173"/>
      <c r="RQW233" s="125"/>
      <c r="RQX233" s="125"/>
      <c r="RQY233" s="134"/>
      <c r="RQZ233" s="135"/>
      <c r="RRA233" s="135"/>
      <c r="RRB233" s="135"/>
      <c r="RRC233" s="135"/>
      <c r="RRD233" s="173"/>
      <c r="RRE233" s="173"/>
      <c r="RRF233" s="173"/>
      <c r="RRG233" s="173"/>
      <c r="RRH233" s="173"/>
      <c r="RRI233" s="173"/>
      <c r="RRJ233" s="173"/>
      <c r="RRK233" s="173"/>
      <c r="RRL233" s="173"/>
      <c r="RRM233" s="173"/>
      <c r="RRN233" s="125"/>
      <c r="RRO233" s="125"/>
      <c r="RRP233" s="134"/>
      <c r="RRQ233" s="135"/>
      <c r="RRR233" s="135"/>
      <c r="RRS233" s="135"/>
      <c r="RRT233" s="135"/>
      <c r="RRU233" s="173"/>
      <c r="RRV233" s="173"/>
      <c r="RRW233" s="173"/>
      <c r="RRX233" s="173"/>
      <c r="RRY233" s="173"/>
      <c r="RRZ233" s="173"/>
      <c r="RSA233" s="173"/>
      <c r="RSB233" s="173"/>
      <c r="RSC233" s="173"/>
      <c r="RSD233" s="173"/>
      <c r="RSE233" s="125"/>
      <c r="RSF233" s="125"/>
      <c r="RSG233" s="134"/>
      <c r="RSH233" s="135"/>
      <c r="RSI233" s="135"/>
      <c r="RSJ233" s="135"/>
      <c r="RSK233" s="135"/>
      <c r="RSL233" s="173"/>
      <c r="RSM233" s="173"/>
      <c r="RSN233" s="173"/>
      <c r="RSO233" s="173"/>
      <c r="RSP233" s="173"/>
      <c r="RSQ233" s="173"/>
      <c r="RSR233" s="173"/>
      <c r="RSS233" s="173"/>
      <c r="RST233" s="173"/>
      <c r="RSU233" s="173"/>
      <c r="RSV233" s="125"/>
      <c r="RSW233" s="125"/>
      <c r="RSX233" s="134"/>
      <c r="RSY233" s="135"/>
      <c r="RSZ233" s="135"/>
      <c r="RTA233" s="135"/>
      <c r="RTB233" s="135"/>
      <c r="RTC233" s="173"/>
      <c r="RTD233" s="173"/>
      <c r="RTE233" s="173"/>
      <c r="RTF233" s="173"/>
      <c r="RTG233" s="173"/>
      <c r="RTH233" s="173"/>
      <c r="RTI233" s="173"/>
      <c r="RTJ233" s="173"/>
      <c r="RTK233" s="173"/>
      <c r="RTL233" s="173"/>
      <c r="RTM233" s="125"/>
      <c r="RTN233" s="125"/>
      <c r="RTO233" s="134"/>
      <c r="RTP233" s="135"/>
      <c r="RTQ233" s="135"/>
      <c r="RTR233" s="135"/>
      <c r="RTS233" s="135"/>
      <c r="RTT233" s="173"/>
      <c r="RTU233" s="173"/>
      <c r="RTV233" s="173"/>
      <c r="RTW233" s="173"/>
      <c r="RTX233" s="173"/>
      <c r="RTY233" s="173"/>
      <c r="RTZ233" s="173"/>
      <c r="RUA233" s="173"/>
      <c r="RUB233" s="173"/>
      <c r="RUC233" s="173"/>
      <c r="RUD233" s="125"/>
      <c r="RUE233" s="125"/>
      <c r="RUF233" s="134"/>
      <c r="RUG233" s="135"/>
      <c r="RUH233" s="135"/>
      <c r="RUI233" s="135"/>
      <c r="RUJ233" s="135"/>
      <c r="RUK233" s="173"/>
      <c r="RUL233" s="173"/>
      <c r="RUM233" s="173"/>
      <c r="RUN233" s="173"/>
      <c r="RUO233" s="173"/>
      <c r="RUP233" s="173"/>
      <c r="RUQ233" s="173"/>
      <c r="RUR233" s="173"/>
      <c r="RUS233" s="173"/>
      <c r="RUT233" s="173"/>
      <c r="RUU233" s="125"/>
      <c r="RUV233" s="125"/>
      <c r="RUW233" s="134"/>
      <c r="RUX233" s="135"/>
      <c r="RUY233" s="135"/>
      <c r="RUZ233" s="135"/>
      <c r="RVA233" s="135"/>
      <c r="RVB233" s="173"/>
      <c r="RVC233" s="173"/>
      <c r="RVD233" s="173"/>
      <c r="RVE233" s="173"/>
      <c r="RVF233" s="173"/>
      <c r="RVG233" s="173"/>
      <c r="RVH233" s="173"/>
      <c r="RVI233" s="173"/>
      <c r="RVJ233" s="173"/>
      <c r="RVK233" s="173"/>
      <c r="RVL233" s="125"/>
      <c r="RVM233" s="125"/>
      <c r="RVN233" s="134"/>
      <c r="RVO233" s="135"/>
      <c r="RVP233" s="135"/>
      <c r="RVQ233" s="135"/>
      <c r="RVR233" s="135"/>
      <c r="RVS233" s="173"/>
      <c r="RVT233" s="173"/>
      <c r="RVU233" s="173"/>
      <c r="RVV233" s="173"/>
      <c r="RVW233" s="173"/>
      <c r="RVX233" s="173"/>
      <c r="RVY233" s="173"/>
      <c r="RVZ233" s="173"/>
      <c r="RWA233" s="173"/>
      <c r="RWB233" s="173"/>
      <c r="RWC233" s="125"/>
      <c r="RWD233" s="125"/>
      <c r="RWE233" s="134"/>
      <c r="RWF233" s="135"/>
      <c r="RWG233" s="135"/>
      <c r="RWH233" s="135"/>
      <c r="RWI233" s="135"/>
      <c r="RWJ233" s="173"/>
      <c r="RWK233" s="173"/>
      <c r="RWL233" s="173"/>
      <c r="RWM233" s="173"/>
      <c r="RWN233" s="173"/>
      <c r="RWO233" s="173"/>
      <c r="RWP233" s="173"/>
      <c r="RWQ233" s="173"/>
      <c r="RWR233" s="173"/>
      <c r="RWS233" s="173"/>
      <c r="RWT233" s="125"/>
      <c r="RWU233" s="125"/>
      <c r="RWV233" s="134"/>
      <c r="RWW233" s="135"/>
      <c r="RWX233" s="135"/>
      <c r="RWY233" s="135"/>
      <c r="RWZ233" s="135"/>
      <c r="RXA233" s="173"/>
      <c r="RXB233" s="173"/>
      <c r="RXC233" s="173"/>
      <c r="RXD233" s="173"/>
      <c r="RXE233" s="173"/>
      <c r="RXF233" s="173"/>
      <c r="RXG233" s="173"/>
      <c r="RXH233" s="173"/>
      <c r="RXI233" s="173"/>
      <c r="RXJ233" s="173"/>
      <c r="RXK233" s="125"/>
      <c r="RXL233" s="125"/>
      <c r="RXM233" s="134"/>
      <c r="RXN233" s="135"/>
      <c r="RXO233" s="135"/>
      <c r="RXP233" s="135"/>
      <c r="RXQ233" s="135"/>
      <c r="RXR233" s="173"/>
      <c r="RXS233" s="173"/>
      <c r="RXT233" s="173"/>
      <c r="RXU233" s="173"/>
      <c r="RXV233" s="173"/>
      <c r="RXW233" s="173"/>
      <c r="RXX233" s="173"/>
      <c r="RXY233" s="173"/>
      <c r="RXZ233" s="173"/>
      <c r="RYA233" s="173"/>
      <c r="RYB233" s="125"/>
      <c r="RYC233" s="125"/>
      <c r="RYD233" s="134"/>
      <c r="RYE233" s="135"/>
      <c r="RYF233" s="135"/>
      <c r="RYG233" s="135"/>
      <c r="RYH233" s="135"/>
      <c r="RYI233" s="173"/>
      <c r="RYJ233" s="173"/>
      <c r="RYK233" s="173"/>
      <c r="RYL233" s="173"/>
      <c r="RYM233" s="173"/>
      <c r="RYN233" s="173"/>
      <c r="RYO233" s="173"/>
      <c r="RYP233" s="173"/>
      <c r="RYQ233" s="173"/>
      <c r="RYR233" s="173"/>
      <c r="RYS233" s="125"/>
      <c r="RYT233" s="125"/>
      <c r="RYU233" s="134"/>
      <c r="RYV233" s="135"/>
      <c r="RYW233" s="135"/>
      <c r="RYX233" s="135"/>
      <c r="RYY233" s="135"/>
      <c r="RYZ233" s="173"/>
      <c r="RZA233" s="173"/>
      <c r="RZB233" s="173"/>
      <c r="RZC233" s="173"/>
      <c r="RZD233" s="173"/>
      <c r="RZE233" s="173"/>
      <c r="RZF233" s="173"/>
      <c r="RZG233" s="173"/>
      <c r="RZH233" s="173"/>
      <c r="RZI233" s="173"/>
      <c r="RZJ233" s="125"/>
      <c r="RZK233" s="125"/>
      <c r="RZL233" s="134"/>
      <c r="RZM233" s="135"/>
      <c r="RZN233" s="135"/>
      <c r="RZO233" s="135"/>
      <c r="RZP233" s="135"/>
      <c r="RZQ233" s="173"/>
      <c r="RZR233" s="173"/>
      <c r="RZS233" s="173"/>
      <c r="RZT233" s="173"/>
      <c r="RZU233" s="173"/>
      <c r="RZV233" s="173"/>
      <c r="RZW233" s="173"/>
      <c r="RZX233" s="173"/>
      <c r="RZY233" s="173"/>
      <c r="RZZ233" s="173"/>
      <c r="SAA233" s="125"/>
      <c r="SAB233" s="125"/>
      <c r="SAC233" s="134"/>
      <c r="SAD233" s="135"/>
      <c r="SAE233" s="135"/>
      <c r="SAF233" s="135"/>
      <c r="SAG233" s="135"/>
      <c r="SAH233" s="173"/>
      <c r="SAI233" s="173"/>
      <c r="SAJ233" s="173"/>
      <c r="SAK233" s="173"/>
      <c r="SAL233" s="173"/>
      <c r="SAM233" s="173"/>
      <c r="SAN233" s="173"/>
      <c r="SAO233" s="173"/>
      <c r="SAP233" s="173"/>
      <c r="SAQ233" s="173"/>
      <c r="SAR233" s="125"/>
      <c r="SAS233" s="125"/>
      <c r="SAT233" s="134"/>
      <c r="SAU233" s="135"/>
      <c r="SAV233" s="135"/>
      <c r="SAW233" s="135"/>
      <c r="SAX233" s="135"/>
      <c r="SAY233" s="173"/>
      <c r="SAZ233" s="173"/>
      <c r="SBA233" s="173"/>
      <c r="SBB233" s="173"/>
      <c r="SBC233" s="173"/>
      <c r="SBD233" s="173"/>
      <c r="SBE233" s="173"/>
      <c r="SBF233" s="173"/>
      <c r="SBG233" s="173"/>
      <c r="SBH233" s="173"/>
      <c r="SBI233" s="125"/>
      <c r="SBJ233" s="125"/>
      <c r="SBK233" s="134"/>
      <c r="SBL233" s="135"/>
      <c r="SBM233" s="135"/>
      <c r="SBN233" s="135"/>
      <c r="SBO233" s="135"/>
      <c r="SBP233" s="173"/>
      <c r="SBQ233" s="173"/>
      <c r="SBR233" s="173"/>
      <c r="SBS233" s="173"/>
      <c r="SBT233" s="173"/>
      <c r="SBU233" s="173"/>
      <c r="SBV233" s="173"/>
      <c r="SBW233" s="173"/>
      <c r="SBX233" s="173"/>
      <c r="SBY233" s="173"/>
      <c r="SBZ233" s="125"/>
      <c r="SCA233" s="125"/>
      <c r="SCB233" s="134"/>
      <c r="SCC233" s="135"/>
      <c r="SCD233" s="135"/>
      <c r="SCE233" s="135"/>
      <c r="SCF233" s="135"/>
      <c r="SCG233" s="173"/>
      <c r="SCH233" s="173"/>
      <c r="SCI233" s="173"/>
      <c r="SCJ233" s="173"/>
      <c r="SCK233" s="173"/>
      <c r="SCL233" s="173"/>
      <c r="SCM233" s="173"/>
      <c r="SCN233" s="173"/>
      <c r="SCO233" s="173"/>
      <c r="SCP233" s="173"/>
      <c r="SCQ233" s="125"/>
      <c r="SCR233" s="125"/>
      <c r="SCS233" s="134"/>
      <c r="SCT233" s="135"/>
      <c r="SCU233" s="135"/>
      <c r="SCV233" s="135"/>
      <c r="SCW233" s="135"/>
      <c r="SCX233" s="173"/>
      <c r="SCY233" s="173"/>
      <c r="SCZ233" s="173"/>
      <c r="SDA233" s="173"/>
      <c r="SDB233" s="173"/>
      <c r="SDC233" s="173"/>
      <c r="SDD233" s="173"/>
      <c r="SDE233" s="173"/>
      <c r="SDF233" s="173"/>
      <c r="SDG233" s="173"/>
      <c r="SDH233" s="125"/>
      <c r="SDI233" s="125"/>
      <c r="SDJ233" s="134"/>
      <c r="SDK233" s="135"/>
      <c r="SDL233" s="135"/>
      <c r="SDM233" s="135"/>
      <c r="SDN233" s="135"/>
      <c r="SDO233" s="173"/>
      <c r="SDP233" s="173"/>
      <c r="SDQ233" s="173"/>
      <c r="SDR233" s="173"/>
      <c r="SDS233" s="173"/>
      <c r="SDT233" s="173"/>
      <c r="SDU233" s="173"/>
      <c r="SDV233" s="173"/>
      <c r="SDW233" s="173"/>
      <c r="SDX233" s="173"/>
      <c r="SDY233" s="125"/>
      <c r="SDZ233" s="125"/>
      <c r="SEA233" s="134"/>
      <c r="SEB233" s="135"/>
      <c r="SEC233" s="135"/>
      <c r="SED233" s="135"/>
      <c r="SEE233" s="135"/>
      <c r="SEF233" s="173"/>
      <c r="SEG233" s="173"/>
      <c r="SEH233" s="173"/>
      <c r="SEI233" s="173"/>
      <c r="SEJ233" s="173"/>
      <c r="SEK233" s="173"/>
      <c r="SEL233" s="173"/>
      <c r="SEM233" s="173"/>
      <c r="SEN233" s="173"/>
      <c r="SEO233" s="173"/>
      <c r="SEP233" s="125"/>
      <c r="SEQ233" s="125"/>
      <c r="SER233" s="134"/>
      <c r="SES233" s="135"/>
      <c r="SET233" s="135"/>
      <c r="SEU233" s="135"/>
      <c r="SEV233" s="135"/>
      <c r="SEW233" s="173"/>
      <c r="SEX233" s="173"/>
      <c r="SEY233" s="173"/>
      <c r="SEZ233" s="173"/>
      <c r="SFA233" s="173"/>
      <c r="SFB233" s="173"/>
      <c r="SFC233" s="173"/>
      <c r="SFD233" s="173"/>
      <c r="SFE233" s="173"/>
      <c r="SFF233" s="173"/>
      <c r="SFG233" s="125"/>
      <c r="SFH233" s="125"/>
      <c r="SFI233" s="134"/>
      <c r="SFJ233" s="135"/>
      <c r="SFK233" s="135"/>
      <c r="SFL233" s="135"/>
      <c r="SFM233" s="135"/>
      <c r="SFN233" s="173"/>
      <c r="SFO233" s="173"/>
      <c r="SFP233" s="173"/>
      <c r="SFQ233" s="173"/>
      <c r="SFR233" s="173"/>
      <c r="SFS233" s="173"/>
      <c r="SFT233" s="173"/>
      <c r="SFU233" s="173"/>
      <c r="SFV233" s="173"/>
      <c r="SFW233" s="173"/>
      <c r="SFX233" s="125"/>
      <c r="SFY233" s="125"/>
      <c r="SFZ233" s="134"/>
      <c r="SGA233" s="135"/>
      <c r="SGB233" s="135"/>
      <c r="SGC233" s="135"/>
      <c r="SGD233" s="135"/>
      <c r="SGE233" s="173"/>
      <c r="SGF233" s="173"/>
      <c r="SGG233" s="173"/>
      <c r="SGH233" s="173"/>
      <c r="SGI233" s="173"/>
      <c r="SGJ233" s="173"/>
      <c r="SGK233" s="173"/>
      <c r="SGL233" s="173"/>
      <c r="SGM233" s="173"/>
      <c r="SGN233" s="173"/>
      <c r="SGO233" s="125"/>
      <c r="SGP233" s="125"/>
      <c r="SGQ233" s="134"/>
      <c r="SGR233" s="135"/>
      <c r="SGS233" s="135"/>
      <c r="SGT233" s="135"/>
      <c r="SGU233" s="135"/>
      <c r="SGV233" s="173"/>
      <c r="SGW233" s="173"/>
      <c r="SGX233" s="173"/>
      <c r="SGY233" s="173"/>
      <c r="SGZ233" s="173"/>
      <c r="SHA233" s="173"/>
      <c r="SHB233" s="173"/>
      <c r="SHC233" s="173"/>
      <c r="SHD233" s="173"/>
      <c r="SHE233" s="173"/>
      <c r="SHF233" s="125"/>
      <c r="SHG233" s="125"/>
      <c r="SHH233" s="134"/>
      <c r="SHI233" s="135"/>
      <c r="SHJ233" s="135"/>
      <c r="SHK233" s="135"/>
      <c r="SHL233" s="135"/>
      <c r="SHM233" s="173"/>
      <c r="SHN233" s="173"/>
      <c r="SHO233" s="173"/>
      <c r="SHP233" s="173"/>
      <c r="SHQ233" s="173"/>
      <c r="SHR233" s="173"/>
      <c r="SHS233" s="173"/>
      <c r="SHT233" s="173"/>
      <c r="SHU233" s="173"/>
      <c r="SHV233" s="173"/>
      <c r="SHW233" s="125"/>
      <c r="SHX233" s="125"/>
      <c r="SHY233" s="134"/>
      <c r="SHZ233" s="135"/>
      <c r="SIA233" s="135"/>
      <c r="SIB233" s="135"/>
      <c r="SIC233" s="135"/>
      <c r="SID233" s="173"/>
      <c r="SIE233" s="173"/>
      <c r="SIF233" s="173"/>
      <c r="SIG233" s="173"/>
      <c r="SIH233" s="173"/>
      <c r="SII233" s="173"/>
      <c r="SIJ233" s="173"/>
      <c r="SIK233" s="173"/>
      <c r="SIL233" s="173"/>
      <c r="SIM233" s="173"/>
      <c r="SIN233" s="125"/>
      <c r="SIO233" s="125"/>
      <c r="SIP233" s="134"/>
      <c r="SIQ233" s="135"/>
      <c r="SIR233" s="135"/>
      <c r="SIS233" s="135"/>
      <c r="SIT233" s="135"/>
      <c r="SIU233" s="173"/>
      <c r="SIV233" s="173"/>
      <c r="SIW233" s="173"/>
      <c r="SIX233" s="173"/>
      <c r="SIY233" s="173"/>
      <c r="SIZ233" s="173"/>
      <c r="SJA233" s="173"/>
      <c r="SJB233" s="173"/>
      <c r="SJC233" s="173"/>
      <c r="SJD233" s="173"/>
      <c r="SJE233" s="125"/>
      <c r="SJF233" s="125"/>
      <c r="SJG233" s="134"/>
      <c r="SJH233" s="135"/>
      <c r="SJI233" s="135"/>
      <c r="SJJ233" s="135"/>
      <c r="SJK233" s="135"/>
      <c r="SJL233" s="173"/>
      <c r="SJM233" s="173"/>
      <c r="SJN233" s="173"/>
      <c r="SJO233" s="173"/>
      <c r="SJP233" s="173"/>
      <c r="SJQ233" s="173"/>
      <c r="SJR233" s="173"/>
      <c r="SJS233" s="173"/>
      <c r="SJT233" s="173"/>
      <c r="SJU233" s="173"/>
      <c r="SJV233" s="125"/>
      <c r="SJW233" s="125"/>
      <c r="SJX233" s="134"/>
      <c r="SJY233" s="135"/>
      <c r="SJZ233" s="135"/>
      <c r="SKA233" s="135"/>
      <c r="SKB233" s="135"/>
      <c r="SKC233" s="173"/>
      <c r="SKD233" s="173"/>
      <c r="SKE233" s="173"/>
      <c r="SKF233" s="173"/>
      <c r="SKG233" s="173"/>
      <c r="SKH233" s="173"/>
      <c r="SKI233" s="173"/>
      <c r="SKJ233" s="173"/>
      <c r="SKK233" s="173"/>
      <c r="SKL233" s="173"/>
      <c r="SKM233" s="125"/>
      <c r="SKN233" s="125"/>
      <c r="SKO233" s="134"/>
      <c r="SKP233" s="135"/>
      <c r="SKQ233" s="135"/>
      <c r="SKR233" s="135"/>
      <c r="SKS233" s="135"/>
      <c r="SKT233" s="173"/>
      <c r="SKU233" s="173"/>
      <c r="SKV233" s="173"/>
      <c r="SKW233" s="173"/>
      <c r="SKX233" s="173"/>
      <c r="SKY233" s="173"/>
      <c r="SKZ233" s="173"/>
      <c r="SLA233" s="173"/>
      <c r="SLB233" s="173"/>
      <c r="SLC233" s="173"/>
      <c r="SLD233" s="125"/>
      <c r="SLE233" s="125"/>
      <c r="SLF233" s="134"/>
      <c r="SLG233" s="135"/>
      <c r="SLH233" s="135"/>
      <c r="SLI233" s="135"/>
      <c r="SLJ233" s="135"/>
      <c r="SLK233" s="173"/>
      <c r="SLL233" s="173"/>
      <c r="SLM233" s="173"/>
      <c r="SLN233" s="173"/>
      <c r="SLO233" s="173"/>
      <c r="SLP233" s="173"/>
      <c r="SLQ233" s="173"/>
      <c r="SLR233" s="173"/>
      <c r="SLS233" s="173"/>
      <c r="SLT233" s="173"/>
      <c r="SLU233" s="125"/>
      <c r="SLV233" s="125"/>
      <c r="SLW233" s="134"/>
      <c r="SLX233" s="135"/>
      <c r="SLY233" s="135"/>
      <c r="SLZ233" s="135"/>
      <c r="SMA233" s="135"/>
      <c r="SMB233" s="173"/>
      <c r="SMC233" s="173"/>
      <c r="SMD233" s="173"/>
      <c r="SME233" s="173"/>
      <c r="SMF233" s="173"/>
      <c r="SMG233" s="173"/>
      <c r="SMH233" s="173"/>
      <c r="SMI233" s="173"/>
      <c r="SMJ233" s="173"/>
      <c r="SMK233" s="173"/>
      <c r="SML233" s="125"/>
      <c r="SMM233" s="125"/>
      <c r="SMN233" s="134"/>
      <c r="SMO233" s="135"/>
      <c r="SMP233" s="135"/>
      <c r="SMQ233" s="135"/>
      <c r="SMR233" s="135"/>
      <c r="SMS233" s="173"/>
      <c r="SMT233" s="173"/>
      <c r="SMU233" s="173"/>
      <c r="SMV233" s="173"/>
      <c r="SMW233" s="173"/>
      <c r="SMX233" s="173"/>
      <c r="SMY233" s="173"/>
      <c r="SMZ233" s="173"/>
      <c r="SNA233" s="173"/>
      <c r="SNB233" s="173"/>
      <c r="SNC233" s="125"/>
      <c r="SND233" s="125"/>
      <c r="SNE233" s="134"/>
      <c r="SNF233" s="135"/>
      <c r="SNG233" s="135"/>
      <c r="SNH233" s="135"/>
      <c r="SNI233" s="135"/>
      <c r="SNJ233" s="173"/>
      <c r="SNK233" s="173"/>
      <c r="SNL233" s="173"/>
      <c r="SNM233" s="173"/>
      <c r="SNN233" s="173"/>
      <c r="SNO233" s="173"/>
      <c r="SNP233" s="173"/>
      <c r="SNQ233" s="173"/>
      <c r="SNR233" s="173"/>
      <c r="SNS233" s="173"/>
      <c r="SNT233" s="125"/>
      <c r="SNU233" s="125"/>
      <c r="SNV233" s="134"/>
      <c r="SNW233" s="135"/>
      <c r="SNX233" s="135"/>
      <c r="SNY233" s="135"/>
      <c r="SNZ233" s="135"/>
      <c r="SOA233" s="173"/>
      <c r="SOB233" s="173"/>
      <c r="SOC233" s="173"/>
      <c r="SOD233" s="173"/>
      <c r="SOE233" s="173"/>
      <c r="SOF233" s="173"/>
      <c r="SOG233" s="173"/>
      <c r="SOH233" s="173"/>
      <c r="SOI233" s="173"/>
      <c r="SOJ233" s="173"/>
      <c r="SOK233" s="125"/>
      <c r="SOL233" s="125"/>
      <c r="SOM233" s="134"/>
      <c r="SON233" s="135"/>
      <c r="SOO233" s="135"/>
      <c r="SOP233" s="135"/>
      <c r="SOQ233" s="135"/>
      <c r="SOR233" s="173"/>
      <c r="SOS233" s="173"/>
      <c r="SOT233" s="173"/>
      <c r="SOU233" s="173"/>
      <c r="SOV233" s="173"/>
      <c r="SOW233" s="173"/>
      <c r="SOX233" s="173"/>
      <c r="SOY233" s="173"/>
      <c r="SOZ233" s="173"/>
      <c r="SPA233" s="173"/>
      <c r="SPB233" s="125"/>
      <c r="SPC233" s="125"/>
      <c r="SPD233" s="134"/>
      <c r="SPE233" s="135"/>
      <c r="SPF233" s="135"/>
      <c r="SPG233" s="135"/>
      <c r="SPH233" s="135"/>
      <c r="SPI233" s="173"/>
      <c r="SPJ233" s="173"/>
      <c r="SPK233" s="173"/>
      <c r="SPL233" s="173"/>
      <c r="SPM233" s="173"/>
      <c r="SPN233" s="173"/>
      <c r="SPO233" s="173"/>
      <c r="SPP233" s="173"/>
      <c r="SPQ233" s="173"/>
      <c r="SPR233" s="173"/>
      <c r="SPS233" s="125"/>
      <c r="SPT233" s="125"/>
      <c r="SPU233" s="134"/>
      <c r="SPV233" s="135"/>
      <c r="SPW233" s="135"/>
      <c r="SPX233" s="135"/>
      <c r="SPY233" s="135"/>
      <c r="SPZ233" s="173"/>
      <c r="SQA233" s="173"/>
      <c r="SQB233" s="173"/>
      <c r="SQC233" s="173"/>
      <c r="SQD233" s="173"/>
      <c r="SQE233" s="173"/>
      <c r="SQF233" s="173"/>
      <c r="SQG233" s="173"/>
      <c r="SQH233" s="173"/>
      <c r="SQI233" s="173"/>
      <c r="SQJ233" s="125"/>
      <c r="SQK233" s="125"/>
      <c r="SQL233" s="134"/>
      <c r="SQM233" s="135"/>
      <c r="SQN233" s="135"/>
      <c r="SQO233" s="135"/>
      <c r="SQP233" s="135"/>
      <c r="SQQ233" s="173"/>
      <c r="SQR233" s="173"/>
      <c r="SQS233" s="173"/>
      <c r="SQT233" s="173"/>
      <c r="SQU233" s="173"/>
      <c r="SQV233" s="173"/>
      <c r="SQW233" s="173"/>
      <c r="SQX233" s="173"/>
      <c r="SQY233" s="173"/>
      <c r="SQZ233" s="173"/>
      <c r="SRA233" s="125"/>
      <c r="SRB233" s="125"/>
      <c r="SRC233" s="134"/>
      <c r="SRD233" s="135"/>
      <c r="SRE233" s="135"/>
      <c r="SRF233" s="135"/>
      <c r="SRG233" s="135"/>
      <c r="SRH233" s="173"/>
      <c r="SRI233" s="173"/>
      <c r="SRJ233" s="173"/>
      <c r="SRK233" s="173"/>
      <c r="SRL233" s="173"/>
      <c r="SRM233" s="173"/>
      <c r="SRN233" s="173"/>
      <c r="SRO233" s="173"/>
      <c r="SRP233" s="173"/>
      <c r="SRQ233" s="173"/>
      <c r="SRR233" s="125"/>
      <c r="SRS233" s="125"/>
      <c r="SRT233" s="134"/>
      <c r="SRU233" s="135"/>
      <c r="SRV233" s="135"/>
      <c r="SRW233" s="135"/>
      <c r="SRX233" s="135"/>
      <c r="SRY233" s="173"/>
      <c r="SRZ233" s="173"/>
      <c r="SSA233" s="173"/>
      <c r="SSB233" s="173"/>
      <c r="SSC233" s="173"/>
      <c r="SSD233" s="173"/>
      <c r="SSE233" s="173"/>
      <c r="SSF233" s="173"/>
      <c r="SSG233" s="173"/>
      <c r="SSH233" s="173"/>
      <c r="SSI233" s="125"/>
      <c r="SSJ233" s="125"/>
      <c r="SSK233" s="134"/>
      <c r="SSL233" s="135"/>
      <c r="SSM233" s="135"/>
      <c r="SSN233" s="135"/>
      <c r="SSO233" s="135"/>
      <c r="SSP233" s="173"/>
      <c r="SSQ233" s="173"/>
      <c r="SSR233" s="173"/>
      <c r="SSS233" s="173"/>
      <c r="SST233" s="173"/>
      <c r="SSU233" s="173"/>
      <c r="SSV233" s="173"/>
      <c r="SSW233" s="173"/>
      <c r="SSX233" s="173"/>
      <c r="SSY233" s="173"/>
      <c r="SSZ233" s="125"/>
      <c r="STA233" s="125"/>
      <c r="STB233" s="134"/>
      <c r="STC233" s="135"/>
      <c r="STD233" s="135"/>
      <c r="STE233" s="135"/>
      <c r="STF233" s="135"/>
      <c r="STG233" s="173"/>
      <c r="STH233" s="173"/>
      <c r="STI233" s="173"/>
      <c r="STJ233" s="173"/>
      <c r="STK233" s="173"/>
      <c r="STL233" s="173"/>
      <c r="STM233" s="173"/>
      <c r="STN233" s="173"/>
      <c r="STO233" s="173"/>
      <c r="STP233" s="173"/>
      <c r="STQ233" s="125"/>
      <c r="STR233" s="125"/>
      <c r="STS233" s="134"/>
      <c r="STT233" s="135"/>
      <c r="STU233" s="135"/>
      <c r="STV233" s="135"/>
      <c r="STW233" s="135"/>
      <c r="STX233" s="173"/>
      <c r="STY233" s="173"/>
      <c r="STZ233" s="173"/>
      <c r="SUA233" s="173"/>
      <c r="SUB233" s="173"/>
      <c r="SUC233" s="173"/>
      <c r="SUD233" s="173"/>
      <c r="SUE233" s="173"/>
      <c r="SUF233" s="173"/>
      <c r="SUG233" s="173"/>
      <c r="SUH233" s="125"/>
      <c r="SUI233" s="125"/>
      <c r="SUJ233" s="134"/>
      <c r="SUK233" s="135"/>
      <c r="SUL233" s="135"/>
      <c r="SUM233" s="135"/>
      <c r="SUN233" s="135"/>
      <c r="SUO233" s="173"/>
      <c r="SUP233" s="173"/>
      <c r="SUQ233" s="173"/>
      <c r="SUR233" s="173"/>
      <c r="SUS233" s="173"/>
      <c r="SUT233" s="173"/>
      <c r="SUU233" s="173"/>
      <c r="SUV233" s="173"/>
      <c r="SUW233" s="173"/>
      <c r="SUX233" s="173"/>
      <c r="SUY233" s="125"/>
      <c r="SUZ233" s="125"/>
      <c r="SVA233" s="134"/>
      <c r="SVB233" s="135"/>
      <c r="SVC233" s="135"/>
      <c r="SVD233" s="135"/>
      <c r="SVE233" s="135"/>
      <c r="SVF233" s="173"/>
      <c r="SVG233" s="173"/>
      <c r="SVH233" s="173"/>
      <c r="SVI233" s="173"/>
      <c r="SVJ233" s="173"/>
      <c r="SVK233" s="173"/>
      <c r="SVL233" s="173"/>
      <c r="SVM233" s="173"/>
      <c r="SVN233" s="173"/>
      <c r="SVO233" s="173"/>
      <c r="SVP233" s="125"/>
      <c r="SVQ233" s="125"/>
      <c r="SVR233" s="134"/>
      <c r="SVS233" s="135"/>
      <c r="SVT233" s="135"/>
      <c r="SVU233" s="135"/>
      <c r="SVV233" s="135"/>
      <c r="SVW233" s="173"/>
      <c r="SVX233" s="173"/>
      <c r="SVY233" s="173"/>
      <c r="SVZ233" s="173"/>
      <c r="SWA233" s="173"/>
      <c r="SWB233" s="173"/>
      <c r="SWC233" s="173"/>
      <c r="SWD233" s="173"/>
      <c r="SWE233" s="173"/>
      <c r="SWF233" s="173"/>
      <c r="SWG233" s="125"/>
      <c r="SWH233" s="125"/>
      <c r="SWI233" s="134"/>
      <c r="SWJ233" s="135"/>
      <c r="SWK233" s="135"/>
      <c r="SWL233" s="135"/>
      <c r="SWM233" s="135"/>
      <c r="SWN233" s="173"/>
      <c r="SWO233" s="173"/>
      <c r="SWP233" s="173"/>
      <c r="SWQ233" s="173"/>
      <c r="SWR233" s="173"/>
      <c r="SWS233" s="173"/>
      <c r="SWT233" s="173"/>
      <c r="SWU233" s="173"/>
      <c r="SWV233" s="173"/>
      <c r="SWW233" s="173"/>
      <c r="SWX233" s="125"/>
      <c r="SWY233" s="125"/>
      <c r="SWZ233" s="134"/>
      <c r="SXA233" s="135"/>
      <c r="SXB233" s="135"/>
      <c r="SXC233" s="135"/>
      <c r="SXD233" s="135"/>
      <c r="SXE233" s="173"/>
      <c r="SXF233" s="173"/>
      <c r="SXG233" s="173"/>
      <c r="SXH233" s="173"/>
      <c r="SXI233" s="173"/>
      <c r="SXJ233" s="173"/>
      <c r="SXK233" s="173"/>
      <c r="SXL233" s="173"/>
      <c r="SXM233" s="173"/>
      <c r="SXN233" s="173"/>
      <c r="SXO233" s="125"/>
      <c r="SXP233" s="125"/>
      <c r="SXQ233" s="134"/>
      <c r="SXR233" s="135"/>
      <c r="SXS233" s="135"/>
      <c r="SXT233" s="135"/>
      <c r="SXU233" s="135"/>
      <c r="SXV233" s="173"/>
      <c r="SXW233" s="173"/>
      <c r="SXX233" s="173"/>
      <c r="SXY233" s="173"/>
      <c r="SXZ233" s="173"/>
      <c r="SYA233" s="173"/>
      <c r="SYB233" s="173"/>
      <c r="SYC233" s="173"/>
      <c r="SYD233" s="173"/>
      <c r="SYE233" s="173"/>
      <c r="SYF233" s="125"/>
      <c r="SYG233" s="125"/>
      <c r="SYH233" s="134"/>
      <c r="SYI233" s="135"/>
      <c r="SYJ233" s="135"/>
      <c r="SYK233" s="135"/>
      <c r="SYL233" s="135"/>
      <c r="SYM233" s="173"/>
      <c r="SYN233" s="173"/>
      <c r="SYO233" s="173"/>
      <c r="SYP233" s="173"/>
      <c r="SYQ233" s="173"/>
      <c r="SYR233" s="173"/>
      <c r="SYS233" s="173"/>
      <c r="SYT233" s="173"/>
      <c r="SYU233" s="173"/>
      <c r="SYV233" s="173"/>
      <c r="SYW233" s="125"/>
      <c r="SYX233" s="125"/>
      <c r="SYY233" s="134"/>
      <c r="SYZ233" s="135"/>
      <c r="SZA233" s="135"/>
      <c r="SZB233" s="135"/>
      <c r="SZC233" s="135"/>
      <c r="SZD233" s="173"/>
      <c r="SZE233" s="173"/>
      <c r="SZF233" s="173"/>
      <c r="SZG233" s="173"/>
      <c r="SZH233" s="173"/>
      <c r="SZI233" s="173"/>
      <c r="SZJ233" s="173"/>
      <c r="SZK233" s="173"/>
      <c r="SZL233" s="173"/>
      <c r="SZM233" s="173"/>
      <c r="SZN233" s="125"/>
      <c r="SZO233" s="125"/>
      <c r="SZP233" s="134"/>
      <c r="SZQ233" s="135"/>
      <c r="SZR233" s="135"/>
      <c r="SZS233" s="135"/>
      <c r="SZT233" s="135"/>
      <c r="SZU233" s="173"/>
      <c r="SZV233" s="173"/>
      <c r="SZW233" s="173"/>
      <c r="SZX233" s="173"/>
      <c r="SZY233" s="173"/>
      <c r="SZZ233" s="173"/>
      <c r="TAA233" s="173"/>
      <c r="TAB233" s="173"/>
      <c r="TAC233" s="173"/>
      <c r="TAD233" s="173"/>
      <c r="TAE233" s="125"/>
      <c r="TAF233" s="125"/>
      <c r="TAG233" s="134"/>
      <c r="TAH233" s="135"/>
      <c r="TAI233" s="135"/>
      <c r="TAJ233" s="135"/>
      <c r="TAK233" s="135"/>
      <c r="TAL233" s="173"/>
      <c r="TAM233" s="173"/>
      <c r="TAN233" s="173"/>
      <c r="TAO233" s="173"/>
      <c r="TAP233" s="173"/>
      <c r="TAQ233" s="173"/>
      <c r="TAR233" s="173"/>
      <c r="TAS233" s="173"/>
      <c r="TAT233" s="173"/>
      <c r="TAU233" s="173"/>
      <c r="TAV233" s="125"/>
      <c r="TAW233" s="125"/>
      <c r="TAX233" s="134"/>
      <c r="TAY233" s="135"/>
      <c r="TAZ233" s="135"/>
      <c r="TBA233" s="135"/>
      <c r="TBB233" s="135"/>
      <c r="TBC233" s="173"/>
      <c r="TBD233" s="173"/>
      <c r="TBE233" s="173"/>
      <c r="TBF233" s="173"/>
      <c r="TBG233" s="173"/>
      <c r="TBH233" s="173"/>
      <c r="TBI233" s="173"/>
      <c r="TBJ233" s="173"/>
      <c r="TBK233" s="173"/>
      <c r="TBL233" s="173"/>
      <c r="TBM233" s="125"/>
      <c r="TBN233" s="125"/>
      <c r="TBO233" s="134"/>
      <c r="TBP233" s="135"/>
      <c r="TBQ233" s="135"/>
      <c r="TBR233" s="135"/>
      <c r="TBS233" s="135"/>
      <c r="TBT233" s="173"/>
      <c r="TBU233" s="173"/>
      <c r="TBV233" s="173"/>
      <c r="TBW233" s="173"/>
      <c r="TBX233" s="173"/>
      <c r="TBY233" s="173"/>
      <c r="TBZ233" s="173"/>
      <c r="TCA233" s="173"/>
      <c r="TCB233" s="173"/>
      <c r="TCC233" s="173"/>
      <c r="TCD233" s="125"/>
      <c r="TCE233" s="125"/>
      <c r="TCF233" s="134"/>
      <c r="TCG233" s="135"/>
      <c r="TCH233" s="135"/>
      <c r="TCI233" s="135"/>
      <c r="TCJ233" s="135"/>
      <c r="TCK233" s="173"/>
      <c r="TCL233" s="173"/>
      <c r="TCM233" s="173"/>
      <c r="TCN233" s="173"/>
      <c r="TCO233" s="173"/>
      <c r="TCP233" s="173"/>
      <c r="TCQ233" s="173"/>
      <c r="TCR233" s="173"/>
      <c r="TCS233" s="173"/>
      <c r="TCT233" s="173"/>
      <c r="TCU233" s="125"/>
      <c r="TCV233" s="125"/>
      <c r="TCW233" s="134"/>
      <c r="TCX233" s="135"/>
      <c r="TCY233" s="135"/>
      <c r="TCZ233" s="135"/>
      <c r="TDA233" s="135"/>
      <c r="TDB233" s="173"/>
      <c r="TDC233" s="173"/>
      <c r="TDD233" s="173"/>
      <c r="TDE233" s="173"/>
      <c r="TDF233" s="173"/>
      <c r="TDG233" s="173"/>
      <c r="TDH233" s="173"/>
      <c r="TDI233" s="173"/>
      <c r="TDJ233" s="173"/>
      <c r="TDK233" s="173"/>
      <c r="TDL233" s="125"/>
      <c r="TDM233" s="125"/>
      <c r="TDN233" s="134"/>
      <c r="TDO233" s="135"/>
      <c r="TDP233" s="135"/>
      <c r="TDQ233" s="135"/>
      <c r="TDR233" s="135"/>
      <c r="TDS233" s="173"/>
      <c r="TDT233" s="173"/>
      <c r="TDU233" s="173"/>
      <c r="TDV233" s="173"/>
      <c r="TDW233" s="173"/>
      <c r="TDX233" s="173"/>
      <c r="TDY233" s="173"/>
      <c r="TDZ233" s="173"/>
      <c r="TEA233" s="173"/>
      <c r="TEB233" s="173"/>
      <c r="TEC233" s="125"/>
      <c r="TED233" s="125"/>
      <c r="TEE233" s="134"/>
      <c r="TEF233" s="135"/>
      <c r="TEG233" s="135"/>
      <c r="TEH233" s="135"/>
      <c r="TEI233" s="135"/>
      <c r="TEJ233" s="173"/>
      <c r="TEK233" s="173"/>
      <c r="TEL233" s="173"/>
      <c r="TEM233" s="173"/>
      <c r="TEN233" s="173"/>
      <c r="TEO233" s="173"/>
      <c r="TEP233" s="173"/>
      <c r="TEQ233" s="173"/>
      <c r="TER233" s="173"/>
      <c r="TES233" s="173"/>
      <c r="TET233" s="125"/>
      <c r="TEU233" s="125"/>
      <c r="TEV233" s="134"/>
      <c r="TEW233" s="135"/>
      <c r="TEX233" s="135"/>
      <c r="TEY233" s="135"/>
      <c r="TEZ233" s="135"/>
      <c r="TFA233" s="173"/>
      <c r="TFB233" s="173"/>
      <c r="TFC233" s="173"/>
      <c r="TFD233" s="173"/>
      <c r="TFE233" s="173"/>
      <c r="TFF233" s="173"/>
      <c r="TFG233" s="173"/>
      <c r="TFH233" s="173"/>
      <c r="TFI233" s="173"/>
      <c r="TFJ233" s="173"/>
      <c r="TFK233" s="125"/>
      <c r="TFL233" s="125"/>
      <c r="TFM233" s="134"/>
      <c r="TFN233" s="135"/>
      <c r="TFO233" s="135"/>
      <c r="TFP233" s="135"/>
      <c r="TFQ233" s="135"/>
      <c r="TFR233" s="173"/>
      <c r="TFS233" s="173"/>
      <c r="TFT233" s="173"/>
      <c r="TFU233" s="173"/>
      <c r="TFV233" s="173"/>
      <c r="TFW233" s="173"/>
      <c r="TFX233" s="173"/>
      <c r="TFY233" s="173"/>
      <c r="TFZ233" s="173"/>
      <c r="TGA233" s="173"/>
      <c r="TGB233" s="125"/>
      <c r="TGC233" s="125"/>
      <c r="TGD233" s="134"/>
      <c r="TGE233" s="135"/>
      <c r="TGF233" s="135"/>
      <c r="TGG233" s="135"/>
      <c r="TGH233" s="135"/>
      <c r="TGI233" s="173"/>
      <c r="TGJ233" s="173"/>
      <c r="TGK233" s="173"/>
      <c r="TGL233" s="173"/>
      <c r="TGM233" s="173"/>
      <c r="TGN233" s="173"/>
      <c r="TGO233" s="173"/>
      <c r="TGP233" s="173"/>
      <c r="TGQ233" s="173"/>
      <c r="TGR233" s="173"/>
      <c r="TGS233" s="125"/>
      <c r="TGT233" s="125"/>
      <c r="TGU233" s="134"/>
      <c r="TGV233" s="135"/>
      <c r="TGW233" s="135"/>
      <c r="TGX233" s="135"/>
      <c r="TGY233" s="135"/>
      <c r="TGZ233" s="173"/>
      <c r="THA233" s="173"/>
      <c r="THB233" s="173"/>
      <c r="THC233" s="173"/>
      <c r="THD233" s="173"/>
      <c r="THE233" s="173"/>
      <c r="THF233" s="173"/>
      <c r="THG233" s="173"/>
      <c r="THH233" s="173"/>
      <c r="THI233" s="173"/>
      <c r="THJ233" s="125"/>
      <c r="THK233" s="125"/>
      <c r="THL233" s="134"/>
      <c r="THM233" s="135"/>
      <c r="THN233" s="135"/>
      <c r="THO233" s="135"/>
      <c r="THP233" s="135"/>
      <c r="THQ233" s="173"/>
      <c r="THR233" s="173"/>
      <c r="THS233" s="173"/>
      <c r="THT233" s="173"/>
      <c r="THU233" s="173"/>
      <c r="THV233" s="173"/>
      <c r="THW233" s="173"/>
      <c r="THX233" s="173"/>
      <c r="THY233" s="173"/>
      <c r="THZ233" s="173"/>
      <c r="TIA233" s="125"/>
      <c r="TIB233" s="125"/>
      <c r="TIC233" s="134"/>
      <c r="TID233" s="135"/>
      <c r="TIE233" s="135"/>
      <c r="TIF233" s="135"/>
      <c r="TIG233" s="135"/>
      <c r="TIH233" s="173"/>
      <c r="TII233" s="173"/>
      <c r="TIJ233" s="173"/>
      <c r="TIK233" s="173"/>
      <c r="TIL233" s="173"/>
      <c r="TIM233" s="173"/>
      <c r="TIN233" s="173"/>
      <c r="TIO233" s="173"/>
      <c r="TIP233" s="173"/>
      <c r="TIQ233" s="173"/>
      <c r="TIR233" s="125"/>
      <c r="TIS233" s="125"/>
      <c r="TIT233" s="134"/>
      <c r="TIU233" s="135"/>
      <c r="TIV233" s="135"/>
      <c r="TIW233" s="135"/>
      <c r="TIX233" s="135"/>
      <c r="TIY233" s="173"/>
      <c r="TIZ233" s="173"/>
      <c r="TJA233" s="173"/>
      <c r="TJB233" s="173"/>
      <c r="TJC233" s="173"/>
      <c r="TJD233" s="173"/>
      <c r="TJE233" s="173"/>
      <c r="TJF233" s="173"/>
      <c r="TJG233" s="173"/>
      <c r="TJH233" s="173"/>
      <c r="TJI233" s="125"/>
      <c r="TJJ233" s="125"/>
      <c r="TJK233" s="134"/>
      <c r="TJL233" s="135"/>
      <c r="TJM233" s="135"/>
      <c r="TJN233" s="135"/>
      <c r="TJO233" s="135"/>
      <c r="TJP233" s="173"/>
      <c r="TJQ233" s="173"/>
      <c r="TJR233" s="173"/>
      <c r="TJS233" s="173"/>
      <c r="TJT233" s="173"/>
      <c r="TJU233" s="173"/>
      <c r="TJV233" s="173"/>
      <c r="TJW233" s="173"/>
      <c r="TJX233" s="173"/>
      <c r="TJY233" s="173"/>
      <c r="TJZ233" s="125"/>
      <c r="TKA233" s="125"/>
      <c r="TKB233" s="134"/>
      <c r="TKC233" s="135"/>
      <c r="TKD233" s="135"/>
      <c r="TKE233" s="135"/>
      <c r="TKF233" s="135"/>
      <c r="TKG233" s="173"/>
      <c r="TKH233" s="173"/>
      <c r="TKI233" s="173"/>
      <c r="TKJ233" s="173"/>
      <c r="TKK233" s="173"/>
      <c r="TKL233" s="173"/>
      <c r="TKM233" s="173"/>
      <c r="TKN233" s="173"/>
      <c r="TKO233" s="173"/>
      <c r="TKP233" s="173"/>
      <c r="TKQ233" s="125"/>
      <c r="TKR233" s="125"/>
      <c r="TKS233" s="134"/>
      <c r="TKT233" s="135"/>
      <c r="TKU233" s="135"/>
      <c r="TKV233" s="135"/>
      <c r="TKW233" s="135"/>
      <c r="TKX233" s="173"/>
      <c r="TKY233" s="173"/>
      <c r="TKZ233" s="173"/>
      <c r="TLA233" s="173"/>
      <c r="TLB233" s="173"/>
      <c r="TLC233" s="173"/>
      <c r="TLD233" s="173"/>
      <c r="TLE233" s="173"/>
      <c r="TLF233" s="173"/>
      <c r="TLG233" s="173"/>
      <c r="TLH233" s="125"/>
      <c r="TLI233" s="125"/>
      <c r="TLJ233" s="134"/>
      <c r="TLK233" s="135"/>
      <c r="TLL233" s="135"/>
      <c r="TLM233" s="135"/>
      <c r="TLN233" s="135"/>
      <c r="TLO233" s="173"/>
      <c r="TLP233" s="173"/>
      <c r="TLQ233" s="173"/>
      <c r="TLR233" s="173"/>
      <c r="TLS233" s="173"/>
      <c r="TLT233" s="173"/>
      <c r="TLU233" s="173"/>
      <c r="TLV233" s="173"/>
      <c r="TLW233" s="173"/>
      <c r="TLX233" s="173"/>
      <c r="TLY233" s="125"/>
      <c r="TLZ233" s="125"/>
      <c r="TMA233" s="134"/>
      <c r="TMB233" s="135"/>
      <c r="TMC233" s="135"/>
      <c r="TMD233" s="135"/>
      <c r="TME233" s="135"/>
      <c r="TMF233" s="173"/>
      <c r="TMG233" s="173"/>
      <c r="TMH233" s="173"/>
      <c r="TMI233" s="173"/>
      <c r="TMJ233" s="173"/>
      <c r="TMK233" s="173"/>
      <c r="TML233" s="173"/>
      <c r="TMM233" s="173"/>
      <c r="TMN233" s="173"/>
      <c r="TMO233" s="173"/>
      <c r="TMP233" s="125"/>
      <c r="TMQ233" s="125"/>
      <c r="TMR233" s="134"/>
      <c r="TMS233" s="135"/>
      <c r="TMT233" s="135"/>
      <c r="TMU233" s="135"/>
      <c r="TMV233" s="135"/>
      <c r="TMW233" s="173"/>
      <c r="TMX233" s="173"/>
      <c r="TMY233" s="173"/>
      <c r="TMZ233" s="173"/>
      <c r="TNA233" s="173"/>
      <c r="TNB233" s="173"/>
      <c r="TNC233" s="173"/>
      <c r="TND233" s="173"/>
      <c r="TNE233" s="173"/>
      <c r="TNF233" s="173"/>
      <c r="TNG233" s="125"/>
      <c r="TNH233" s="125"/>
      <c r="TNI233" s="134"/>
      <c r="TNJ233" s="135"/>
      <c r="TNK233" s="135"/>
      <c r="TNL233" s="135"/>
      <c r="TNM233" s="135"/>
      <c r="TNN233" s="173"/>
      <c r="TNO233" s="173"/>
      <c r="TNP233" s="173"/>
      <c r="TNQ233" s="173"/>
      <c r="TNR233" s="173"/>
      <c r="TNS233" s="173"/>
      <c r="TNT233" s="173"/>
      <c r="TNU233" s="173"/>
      <c r="TNV233" s="173"/>
      <c r="TNW233" s="173"/>
      <c r="TNX233" s="125"/>
      <c r="TNY233" s="125"/>
      <c r="TNZ233" s="134"/>
      <c r="TOA233" s="135"/>
      <c r="TOB233" s="135"/>
      <c r="TOC233" s="135"/>
      <c r="TOD233" s="135"/>
      <c r="TOE233" s="173"/>
      <c r="TOF233" s="173"/>
      <c r="TOG233" s="173"/>
      <c r="TOH233" s="173"/>
      <c r="TOI233" s="173"/>
      <c r="TOJ233" s="173"/>
      <c r="TOK233" s="173"/>
      <c r="TOL233" s="173"/>
      <c r="TOM233" s="173"/>
      <c r="TON233" s="173"/>
      <c r="TOO233" s="125"/>
      <c r="TOP233" s="125"/>
      <c r="TOQ233" s="134"/>
      <c r="TOR233" s="135"/>
      <c r="TOS233" s="135"/>
      <c r="TOT233" s="135"/>
      <c r="TOU233" s="135"/>
      <c r="TOV233" s="173"/>
      <c r="TOW233" s="173"/>
      <c r="TOX233" s="173"/>
      <c r="TOY233" s="173"/>
      <c r="TOZ233" s="173"/>
      <c r="TPA233" s="173"/>
      <c r="TPB233" s="173"/>
      <c r="TPC233" s="173"/>
      <c r="TPD233" s="173"/>
      <c r="TPE233" s="173"/>
      <c r="TPF233" s="125"/>
      <c r="TPG233" s="125"/>
      <c r="TPH233" s="134"/>
      <c r="TPI233" s="135"/>
      <c r="TPJ233" s="135"/>
      <c r="TPK233" s="135"/>
      <c r="TPL233" s="135"/>
      <c r="TPM233" s="173"/>
      <c r="TPN233" s="173"/>
      <c r="TPO233" s="173"/>
      <c r="TPP233" s="173"/>
      <c r="TPQ233" s="173"/>
      <c r="TPR233" s="173"/>
      <c r="TPS233" s="173"/>
      <c r="TPT233" s="173"/>
      <c r="TPU233" s="173"/>
      <c r="TPV233" s="173"/>
      <c r="TPW233" s="125"/>
      <c r="TPX233" s="125"/>
      <c r="TPY233" s="134"/>
      <c r="TPZ233" s="135"/>
      <c r="TQA233" s="135"/>
      <c r="TQB233" s="135"/>
      <c r="TQC233" s="135"/>
      <c r="TQD233" s="173"/>
      <c r="TQE233" s="173"/>
      <c r="TQF233" s="173"/>
      <c r="TQG233" s="173"/>
      <c r="TQH233" s="173"/>
      <c r="TQI233" s="173"/>
      <c r="TQJ233" s="173"/>
      <c r="TQK233" s="173"/>
      <c r="TQL233" s="173"/>
      <c r="TQM233" s="173"/>
      <c r="TQN233" s="125"/>
      <c r="TQO233" s="125"/>
      <c r="TQP233" s="134"/>
      <c r="TQQ233" s="135"/>
      <c r="TQR233" s="135"/>
      <c r="TQS233" s="135"/>
      <c r="TQT233" s="135"/>
      <c r="TQU233" s="173"/>
      <c r="TQV233" s="173"/>
      <c r="TQW233" s="173"/>
      <c r="TQX233" s="173"/>
      <c r="TQY233" s="173"/>
      <c r="TQZ233" s="173"/>
      <c r="TRA233" s="173"/>
      <c r="TRB233" s="173"/>
      <c r="TRC233" s="173"/>
      <c r="TRD233" s="173"/>
      <c r="TRE233" s="125"/>
      <c r="TRF233" s="125"/>
      <c r="TRG233" s="134"/>
      <c r="TRH233" s="135"/>
      <c r="TRI233" s="135"/>
      <c r="TRJ233" s="135"/>
      <c r="TRK233" s="135"/>
      <c r="TRL233" s="173"/>
      <c r="TRM233" s="173"/>
      <c r="TRN233" s="173"/>
      <c r="TRO233" s="173"/>
      <c r="TRP233" s="173"/>
      <c r="TRQ233" s="173"/>
      <c r="TRR233" s="173"/>
      <c r="TRS233" s="173"/>
      <c r="TRT233" s="173"/>
      <c r="TRU233" s="173"/>
      <c r="TRV233" s="125"/>
      <c r="TRW233" s="125"/>
      <c r="TRX233" s="134"/>
      <c r="TRY233" s="135"/>
      <c r="TRZ233" s="135"/>
      <c r="TSA233" s="135"/>
      <c r="TSB233" s="135"/>
      <c r="TSC233" s="173"/>
      <c r="TSD233" s="173"/>
      <c r="TSE233" s="173"/>
      <c r="TSF233" s="173"/>
      <c r="TSG233" s="173"/>
      <c r="TSH233" s="173"/>
      <c r="TSI233" s="173"/>
      <c r="TSJ233" s="173"/>
      <c r="TSK233" s="173"/>
      <c r="TSL233" s="173"/>
      <c r="TSM233" s="125"/>
      <c r="TSN233" s="125"/>
      <c r="TSO233" s="134"/>
      <c r="TSP233" s="135"/>
      <c r="TSQ233" s="135"/>
      <c r="TSR233" s="135"/>
      <c r="TSS233" s="135"/>
      <c r="TST233" s="173"/>
      <c r="TSU233" s="173"/>
      <c r="TSV233" s="173"/>
      <c r="TSW233" s="173"/>
      <c r="TSX233" s="173"/>
      <c r="TSY233" s="173"/>
      <c r="TSZ233" s="173"/>
      <c r="TTA233" s="173"/>
      <c r="TTB233" s="173"/>
      <c r="TTC233" s="173"/>
      <c r="TTD233" s="125"/>
      <c r="TTE233" s="125"/>
      <c r="TTF233" s="134"/>
      <c r="TTG233" s="135"/>
      <c r="TTH233" s="135"/>
      <c r="TTI233" s="135"/>
      <c r="TTJ233" s="135"/>
      <c r="TTK233" s="173"/>
      <c r="TTL233" s="173"/>
      <c r="TTM233" s="173"/>
      <c r="TTN233" s="173"/>
      <c r="TTO233" s="173"/>
      <c r="TTP233" s="173"/>
      <c r="TTQ233" s="173"/>
      <c r="TTR233" s="173"/>
      <c r="TTS233" s="173"/>
      <c r="TTT233" s="173"/>
      <c r="TTU233" s="125"/>
      <c r="TTV233" s="125"/>
      <c r="TTW233" s="134"/>
      <c r="TTX233" s="135"/>
      <c r="TTY233" s="135"/>
      <c r="TTZ233" s="135"/>
      <c r="TUA233" s="135"/>
      <c r="TUB233" s="173"/>
      <c r="TUC233" s="173"/>
      <c r="TUD233" s="173"/>
      <c r="TUE233" s="173"/>
      <c r="TUF233" s="173"/>
      <c r="TUG233" s="173"/>
      <c r="TUH233" s="173"/>
      <c r="TUI233" s="173"/>
      <c r="TUJ233" s="173"/>
      <c r="TUK233" s="173"/>
      <c r="TUL233" s="125"/>
      <c r="TUM233" s="125"/>
      <c r="TUN233" s="134"/>
      <c r="TUO233" s="135"/>
      <c r="TUP233" s="135"/>
      <c r="TUQ233" s="135"/>
      <c r="TUR233" s="135"/>
      <c r="TUS233" s="173"/>
      <c r="TUT233" s="173"/>
      <c r="TUU233" s="173"/>
      <c r="TUV233" s="173"/>
      <c r="TUW233" s="173"/>
      <c r="TUX233" s="173"/>
      <c r="TUY233" s="173"/>
      <c r="TUZ233" s="173"/>
      <c r="TVA233" s="173"/>
      <c r="TVB233" s="173"/>
      <c r="TVC233" s="125"/>
      <c r="TVD233" s="125"/>
      <c r="TVE233" s="134"/>
      <c r="TVF233" s="135"/>
      <c r="TVG233" s="135"/>
      <c r="TVH233" s="135"/>
      <c r="TVI233" s="135"/>
      <c r="TVJ233" s="173"/>
      <c r="TVK233" s="173"/>
      <c r="TVL233" s="173"/>
      <c r="TVM233" s="173"/>
      <c r="TVN233" s="173"/>
      <c r="TVO233" s="173"/>
      <c r="TVP233" s="173"/>
      <c r="TVQ233" s="173"/>
      <c r="TVR233" s="173"/>
      <c r="TVS233" s="173"/>
      <c r="TVT233" s="125"/>
      <c r="TVU233" s="125"/>
      <c r="TVV233" s="134"/>
      <c r="TVW233" s="135"/>
      <c r="TVX233" s="135"/>
      <c r="TVY233" s="135"/>
      <c r="TVZ233" s="135"/>
      <c r="TWA233" s="173"/>
      <c r="TWB233" s="173"/>
      <c r="TWC233" s="173"/>
      <c r="TWD233" s="173"/>
      <c r="TWE233" s="173"/>
      <c r="TWF233" s="173"/>
      <c r="TWG233" s="173"/>
      <c r="TWH233" s="173"/>
      <c r="TWI233" s="173"/>
      <c r="TWJ233" s="173"/>
      <c r="TWK233" s="125"/>
      <c r="TWL233" s="125"/>
      <c r="TWM233" s="134"/>
      <c r="TWN233" s="135"/>
      <c r="TWO233" s="135"/>
      <c r="TWP233" s="135"/>
      <c r="TWQ233" s="135"/>
      <c r="TWR233" s="173"/>
      <c r="TWS233" s="173"/>
      <c r="TWT233" s="173"/>
      <c r="TWU233" s="173"/>
      <c r="TWV233" s="173"/>
      <c r="TWW233" s="173"/>
      <c r="TWX233" s="173"/>
      <c r="TWY233" s="173"/>
      <c r="TWZ233" s="173"/>
      <c r="TXA233" s="173"/>
      <c r="TXB233" s="125"/>
      <c r="TXC233" s="125"/>
      <c r="TXD233" s="134"/>
      <c r="TXE233" s="135"/>
      <c r="TXF233" s="135"/>
      <c r="TXG233" s="135"/>
      <c r="TXH233" s="135"/>
      <c r="TXI233" s="173"/>
      <c r="TXJ233" s="173"/>
      <c r="TXK233" s="173"/>
      <c r="TXL233" s="173"/>
      <c r="TXM233" s="173"/>
      <c r="TXN233" s="173"/>
      <c r="TXO233" s="173"/>
      <c r="TXP233" s="173"/>
      <c r="TXQ233" s="173"/>
      <c r="TXR233" s="173"/>
      <c r="TXS233" s="125"/>
      <c r="TXT233" s="125"/>
      <c r="TXU233" s="134"/>
      <c r="TXV233" s="135"/>
      <c r="TXW233" s="135"/>
      <c r="TXX233" s="135"/>
      <c r="TXY233" s="135"/>
      <c r="TXZ233" s="173"/>
      <c r="TYA233" s="173"/>
      <c r="TYB233" s="173"/>
      <c r="TYC233" s="173"/>
      <c r="TYD233" s="173"/>
      <c r="TYE233" s="173"/>
      <c r="TYF233" s="173"/>
      <c r="TYG233" s="173"/>
      <c r="TYH233" s="173"/>
      <c r="TYI233" s="173"/>
      <c r="TYJ233" s="125"/>
      <c r="TYK233" s="125"/>
      <c r="TYL233" s="134"/>
      <c r="TYM233" s="135"/>
      <c r="TYN233" s="135"/>
      <c r="TYO233" s="135"/>
      <c r="TYP233" s="135"/>
      <c r="TYQ233" s="173"/>
      <c r="TYR233" s="173"/>
      <c r="TYS233" s="173"/>
      <c r="TYT233" s="173"/>
      <c r="TYU233" s="173"/>
      <c r="TYV233" s="173"/>
      <c r="TYW233" s="173"/>
      <c r="TYX233" s="173"/>
      <c r="TYY233" s="173"/>
      <c r="TYZ233" s="173"/>
      <c r="TZA233" s="125"/>
      <c r="TZB233" s="125"/>
      <c r="TZC233" s="134"/>
      <c r="TZD233" s="135"/>
      <c r="TZE233" s="135"/>
      <c r="TZF233" s="135"/>
      <c r="TZG233" s="135"/>
      <c r="TZH233" s="173"/>
      <c r="TZI233" s="173"/>
      <c r="TZJ233" s="173"/>
      <c r="TZK233" s="173"/>
      <c r="TZL233" s="173"/>
      <c r="TZM233" s="173"/>
      <c r="TZN233" s="173"/>
      <c r="TZO233" s="173"/>
      <c r="TZP233" s="173"/>
      <c r="TZQ233" s="173"/>
      <c r="TZR233" s="125"/>
      <c r="TZS233" s="125"/>
      <c r="TZT233" s="134"/>
      <c r="TZU233" s="135"/>
      <c r="TZV233" s="135"/>
      <c r="TZW233" s="135"/>
      <c r="TZX233" s="135"/>
      <c r="TZY233" s="173"/>
      <c r="TZZ233" s="173"/>
      <c r="UAA233" s="173"/>
      <c r="UAB233" s="173"/>
      <c r="UAC233" s="173"/>
      <c r="UAD233" s="173"/>
      <c r="UAE233" s="173"/>
      <c r="UAF233" s="173"/>
      <c r="UAG233" s="173"/>
      <c r="UAH233" s="173"/>
      <c r="UAI233" s="125"/>
      <c r="UAJ233" s="125"/>
      <c r="UAK233" s="134"/>
      <c r="UAL233" s="135"/>
      <c r="UAM233" s="135"/>
      <c r="UAN233" s="135"/>
      <c r="UAO233" s="135"/>
      <c r="UAP233" s="173"/>
      <c r="UAQ233" s="173"/>
      <c r="UAR233" s="173"/>
      <c r="UAS233" s="173"/>
      <c r="UAT233" s="173"/>
      <c r="UAU233" s="173"/>
      <c r="UAV233" s="173"/>
      <c r="UAW233" s="173"/>
      <c r="UAX233" s="173"/>
      <c r="UAY233" s="173"/>
      <c r="UAZ233" s="125"/>
      <c r="UBA233" s="125"/>
      <c r="UBB233" s="134"/>
      <c r="UBC233" s="135"/>
      <c r="UBD233" s="135"/>
      <c r="UBE233" s="135"/>
      <c r="UBF233" s="135"/>
      <c r="UBG233" s="173"/>
      <c r="UBH233" s="173"/>
      <c r="UBI233" s="173"/>
      <c r="UBJ233" s="173"/>
      <c r="UBK233" s="173"/>
      <c r="UBL233" s="173"/>
      <c r="UBM233" s="173"/>
      <c r="UBN233" s="173"/>
      <c r="UBO233" s="173"/>
      <c r="UBP233" s="173"/>
      <c r="UBQ233" s="125"/>
      <c r="UBR233" s="125"/>
      <c r="UBS233" s="134"/>
      <c r="UBT233" s="135"/>
      <c r="UBU233" s="135"/>
      <c r="UBV233" s="135"/>
      <c r="UBW233" s="135"/>
      <c r="UBX233" s="173"/>
      <c r="UBY233" s="173"/>
      <c r="UBZ233" s="173"/>
      <c r="UCA233" s="173"/>
      <c r="UCB233" s="173"/>
      <c r="UCC233" s="173"/>
      <c r="UCD233" s="173"/>
      <c r="UCE233" s="173"/>
      <c r="UCF233" s="173"/>
      <c r="UCG233" s="173"/>
      <c r="UCH233" s="125"/>
      <c r="UCI233" s="125"/>
      <c r="UCJ233" s="134"/>
      <c r="UCK233" s="135"/>
      <c r="UCL233" s="135"/>
      <c r="UCM233" s="135"/>
      <c r="UCN233" s="135"/>
      <c r="UCO233" s="173"/>
      <c r="UCP233" s="173"/>
      <c r="UCQ233" s="173"/>
      <c r="UCR233" s="173"/>
      <c r="UCS233" s="173"/>
      <c r="UCT233" s="173"/>
      <c r="UCU233" s="173"/>
      <c r="UCV233" s="173"/>
      <c r="UCW233" s="173"/>
      <c r="UCX233" s="173"/>
      <c r="UCY233" s="125"/>
      <c r="UCZ233" s="125"/>
      <c r="UDA233" s="134"/>
      <c r="UDB233" s="135"/>
      <c r="UDC233" s="135"/>
      <c r="UDD233" s="135"/>
      <c r="UDE233" s="135"/>
      <c r="UDF233" s="173"/>
      <c r="UDG233" s="173"/>
      <c r="UDH233" s="173"/>
      <c r="UDI233" s="173"/>
      <c r="UDJ233" s="173"/>
      <c r="UDK233" s="173"/>
      <c r="UDL233" s="173"/>
      <c r="UDM233" s="173"/>
      <c r="UDN233" s="173"/>
      <c r="UDO233" s="173"/>
      <c r="UDP233" s="125"/>
      <c r="UDQ233" s="125"/>
      <c r="UDR233" s="134"/>
      <c r="UDS233" s="135"/>
      <c r="UDT233" s="135"/>
      <c r="UDU233" s="135"/>
      <c r="UDV233" s="135"/>
      <c r="UDW233" s="173"/>
      <c r="UDX233" s="173"/>
      <c r="UDY233" s="173"/>
      <c r="UDZ233" s="173"/>
      <c r="UEA233" s="173"/>
      <c r="UEB233" s="173"/>
      <c r="UEC233" s="173"/>
      <c r="UED233" s="173"/>
      <c r="UEE233" s="173"/>
      <c r="UEF233" s="173"/>
      <c r="UEG233" s="125"/>
      <c r="UEH233" s="125"/>
      <c r="UEI233" s="134"/>
      <c r="UEJ233" s="135"/>
      <c r="UEK233" s="135"/>
      <c r="UEL233" s="135"/>
      <c r="UEM233" s="135"/>
      <c r="UEN233" s="173"/>
      <c r="UEO233" s="173"/>
      <c r="UEP233" s="173"/>
      <c r="UEQ233" s="173"/>
      <c r="UER233" s="173"/>
      <c r="UES233" s="173"/>
      <c r="UET233" s="173"/>
      <c r="UEU233" s="173"/>
      <c r="UEV233" s="173"/>
      <c r="UEW233" s="173"/>
      <c r="UEX233" s="125"/>
      <c r="UEY233" s="125"/>
      <c r="UEZ233" s="134"/>
      <c r="UFA233" s="135"/>
      <c r="UFB233" s="135"/>
      <c r="UFC233" s="135"/>
      <c r="UFD233" s="135"/>
      <c r="UFE233" s="173"/>
      <c r="UFF233" s="173"/>
      <c r="UFG233" s="173"/>
      <c r="UFH233" s="173"/>
      <c r="UFI233" s="173"/>
      <c r="UFJ233" s="173"/>
      <c r="UFK233" s="173"/>
      <c r="UFL233" s="173"/>
      <c r="UFM233" s="173"/>
      <c r="UFN233" s="173"/>
      <c r="UFO233" s="125"/>
      <c r="UFP233" s="125"/>
      <c r="UFQ233" s="134"/>
      <c r="UFR233" s="135"/>
      <c r="UFS233" s="135"/>
      <c r="UFT233" s="135"/>
      <c r="UFU233" s="135"/>
      <c r="UFV233" s="173"/>
      <c r="UFW233" s="173"/>
      <c r="UFX233" s="173"/>
      <c r="UFY233" s="173"/>
      <c r="UFZ233" s="173"/>
      <c r="UGA233" s="173"/>
      <c r="UGB233" s="173"/>
      <c r="UGC233" s="173"/>
      <c r="UGD233" s="173"/>
      <c r="UGE233" s="173"/>
      <c r="UGF233" s="125"/>
      <c r="UGG233" s="125"/>
      <c r="UGH233" s="134"/>
      <c r="UGI233" s="135"/>
      <c r="UGJ233" s="135"/>
      <c r="UGK233" s="135"/>
      <c r="UGL233" s="135"/>
      <c r="UGM233" s="173"/>
      <c r="UGN233" s="173"/>
      <c r="UGO233" s="173"/>
      <c r="UGP233" s="173"/>
      <c r="UGQ233" s="173"/>
      <c r="UGR233" s="173"/>
      <c r="UGS233" s="173"/>
      <c r="UGT233" s="173"/>
      <c r="UGU233" s="173"/>
      <c r="UGV233" s="173"/>
      <c r="UGW233" s="125"/>
      <c r="UGX233" s="125"/>
      <c r="UGY233" s="134"/>
      <c r="UGZ233" s="135"/>
      <c r="UHA233" s="135"/>
      <c r="UHB233" s="135"/>
      <c r="UHC233" s="135"/>
      <c r="UHD233" s="173"/>
      <c r="UHE233" s="173"/>
      <c r="UHF233" s="173"/>
      <c r="UHG233" s="173"/>
      <c r="UHH233" s="173"/>
      <c r="UHI233" s="173"/>
      <c r="UHJ233" s="173"/>
      <c r="UHK233" s="173"/>
      <c r="UHL233" s="173"/>
      <c r="UHM233" s="173"/>
      <c r="UHN233" s="125"/>
      <c r="UHO233" s="125"/>
      <c r="UHP233" s="134"/>
      <c r="UHQ233" s="135"/>
      <c r="UHR233" s="135"/>
      <c r="UHS233" s="135"/>
      <c r="UHT233" s="135"/>
      <c r="UHU233" s="173"/>
      <c r="UHV233" s="173"/>
      <c r="UHW233" s="173"/>
      <c r="UHX233" s="173"/>
      <c r="UHY233" s="173"/>
      <c r="UHZ233" s="173"/>
      <c r="UIA233" s="173"/>
      <c r="UIB233" s="173"/>
      <c r="UIC233" s="173"/>
      <c r="UID233" s="173"/>
      <c r="UIE233" s="125"/>
      <c r="UIF233" s="125"/>
      <c r="UIG233" s="134"/>
      <c r="UIH233" s="135"/>
      <c r="UII233" s="135"/>
      <c r="UIJ233" s="135"/>
      <c r="UIK233" s="135"/>
      <c r="UIL233" s="173"/>
      <c r="UIM233" s="173"/>
      <c r="UIN233" s="173"/>
      <c r="UIO233" s="173"/>
      <c r="UIP233" s="173"/>
      <c r="UIQ233" s="173"/>
      <c r="UIR233" s="173"/>
      <c r="UIS233" s="173"/>
      <c r="UIT233" s="173"/>
      <c r="UIU233" s="173"/>
      <c r="UIV233" s="125"/>
      <c r="UIW233" s="125"/>
      <c r="UIX233" s="134"/>
      <c r="UIY233" s="135"/>
      <c r="UIZ233" s="135"/>
      <c r="UJA233" s="135"/>
      <c r="UJB233" s="135"/>
      <c r="UJC233" s="173"/>
      <c r="UJD233" s="173"/>
      <c r="UJE233" s="173"/>
      <c r="UJF233" s="173"/>
      <c r="UJG233" s="173"/>
      <c r="UJH233" s="173"/>
      <c r="UJI233" s="173"/>
      <c r="UJJ233" s="173"/>
      <c r="UJK233" s="173"/>
      <c r="UJL233" s="173"/>
      <c r="UJM233" s="125"/>
      <c r="UJN233" s="125"/>
      <c r="UJO233" s="134"/>
      <c r="UJP233" s="135"/>
      <c r="UJQ233" s="135"/>
      <c r="UJR233" s="135"/>
      <c r="UJS233" s="135"/>
      <c r="UJT233" s="173"/>
      <c r="UJU233" s="173"/>
      <c r="UJV233" s="173"/>
      <c r="UJW233" s="173"/>
      <c r="UJX233" s="173"/>
      <c r="UJY233" s="173"/>
      <c r="UJZ233" s="173"/>
      <c r="UKA233" s="173"/>
      <c r="UKB233" s="173"/>
      <c r="UKC233" s="173"/>
      <c r="UKD233" s="125"/>
      <c r="UKE233" s="125"/>
      <c r="UKF233" s="134"/>
      <c r="UKG233" s="135"/>
      <c r="UKH233" s="135"/>
      <c r="UKI233" s="135"/>
      <c r="UKJ233" s="135"/>
      <c r="UKK233" s="173"/>
      <c r="UKL233" s="173"/>
      <c r="UKM233" s="173"/>
      <c r="UKN233" s="173"/>
      <c r="UKO233" s="173"/>
      <c r="UKP233" s="173"/>
      <c r="UKQ233" s="173"/>
      <c r="UKR233" s="173"/>
      <c r="UKS233" s="173"/>
      <c r="UKT233" s="173"/>
      <c r="UKU233" s="125"/>
      <c r="UKV233" s="125"/>
      <c r="UKW233" s="134"/>
      <c r="UKX233" s="135"/>
      <c r="UKY233" s="135"/>
      <c r="UKZ233" s="135"/>
      <c r="ULA233" s="135"/>
      <c r="ULB233" s="173"/>
      <c r="ULC233" s="173"/>
      <c r="ULD233" s="173"/>
      <c r="ULE233" s="173"/>
      <c r="ULF233" s="173"/>
      <c r="ULG233" s="173"/>
      <c r="ULH233" s="173"/>
      <c r="ULI233" s="173"/>
      <c r="ULJ233" s="173"/>
      <c r="ULK233" s="173"/>
      <c r="ULL233" s="125"/>
      <c r="ULM233" s="125"/>
      <c r="ULN233" s="134"/>
      <c r="ULO233" s="135"/>
      <c r="ULP233" s="135"/>
      <c r="ULQ233" s="135"/>
      <c r="ULR233" s="135"/>
      <c r="ULS233" s="173"/>
      <c r="ULT233" s="173"/>
      <c r="ULU233" s="173"/>
      <c r="ULV233" s="173"/>
      <c r="ULW233" s="173"/>
      <c r="ULX233" s="173"/>
      <c r="ULY233" s="173"/>
      <c r="ULZ233" s="173"/>
      <c r="UMA233" s="173"/>
      <c r="UMB233" s="173"/>
      <c r="UMC233" s="125"/>
      <c r="UMD233" s="125"/>
      <c r="UME233" s="134"/>
      <c r="UMF233" s="135"/>
      <c r="UMG233" s="135"/>
      <c r="UMH233" s="135"/>
      <c r="UMI233" s="135"/>
      <c r="UMJ233" s="173"/>
      <c r="UMK233" s="173"/>
      <c r="UML233" s="173"/>
      <c r="UMM233" s="173"/>
      <c r="UMN233" s="173"/>
      <c r="UMO233" s="173"/>
      <c r="UMP233" s="173"/>
      <c r="UMQ233" s="173"/>
      <c r="UMR233" s="173"/>
      <c r="UMS233" s="173"/>
      <c r="UMT233" s="125"/>
      <c r="UMU233" s="125"/>
      <c r="UMV233" s="134"/>
      <c r="UMW233" s="135"/>
      <c r="UMX233" s="135"/>
      <c r="UMY233" s="135"/>
      <c r="UMZ233" s="135"/>
      <c r="UNA233" s="173"/>
      <c r="UNB233" s="173"/>
      <c r="UNC233" s="173"/>
      <c r="UND233" s="173"/>
      <c r="UNE233" s="173"/>
      <c r="UNF233" s="173"/>
      <c r="UNG233" s="173"/>
      <c r="UNH233" s="173"/>
      <c r="UNI233" s="173"/>
      <c r="UNJ233" s="173"/>
      <c r="UNK233" s="125"/>
      <c r="UNL233" s="125"/>
      <c r="UNM233" s="134"/>
      <c r="UNN233" s="135"/>
      <c r="UNO233" s="135"/>
      <c r="UNP233" s="135"/>
      <c r="UNQ233" s="135"/>
      <c r="UNR233" s="173"/>
      <c r="UNS233" s="173"/>
      <c r="UNT233" s="173"/>
      <c r="UNU233" s="173"/>
      <c r="UNV233" s="173"/>
      <c r="UNW233" s="173"/>
      <c r="UNX233" s="173"/>
      <c r="UNY233" s="173"/>
      <c r="UNZ233" s="173"/>
      <c r="UOA233" s="173"/>
      <c r="UOB233" s="125"/>
      <c r="UOC233" s="125"/>
      <c r="UOD233" s="134"/>
      <c r="UOE233" s="135"/>
      <c r="UOF233" s="135"/>
      <c r="UOG233" s="135"/>
      <c r="UOH233" s="135"/>
      <c r="UOI233" s="173"/>
      <c r="UOJ233" s="173"/>
      <c r="UOK233" s="173"/>
      <c r="UOL233" s="173"/>
      <c r="UOM233" s="173"/>
      <c r="UON233" s="173"/>
      <c r="UOO233" s="173"/>
      <c r="UOP233" s="173"/>
      <c r="UOQ233" s="173"/>
      <c r="UOR233" s="173"/>
      <c r="UOS233" s="125"/>
      <c r="UOT233" s="125"/>
      <c r="UOU233" s="134"/>
      <c r="UOV233" s="135"/>
      <c r="UOW233" s="135"/>
      <c r="UOX233" s="135"/>
      <c r="UOY233" s="135"/>
      <c r="UOZ233" s="173"/>
      <c r="UPA233" s="173"/>
      <c r="UPB233" s="173"/>
      <c r="UPC233" s="173"/>
      <c r="UPD233" s="173"/>
      <c r="UPE233" s="173"/>
      <c r="UPF233" s="173"/>
      <c r="UPG233" s="173"/>
      <c r="UPH233" s="173"/>
      <c r="UPI233" s="173"/>
      <c r="UPJ233" s="125"/>
      <c r="UPK233" s="125"/>
      <c r="UPL233" s="134"/>
      <c r="UPM233" s="135"/>
      <c r="UPN233" s="135"/>
      <c r="UPO233" s="135"/>
      <c r="UPP233" s="135"/>
      <c r="UPQ233" s="173"/>
      <c r="UPR233" s="173"/>
      <c r="UPS233" s="173"/>
      <c r="UPT233" s="173"/>
      <c r="UPU233" s="173"/>
      <c r="UPV233" s="173"/>
      <c r="UPW233" s="173"/>
      <c r="UPX233" s="173"/>
      <c r="UPY233" s="173"/>
      <c r="UPZ233" s="173"/>
      <c r="UQA233" s="125"/>
      <c r="UQB233" s="125"/>
      <c r="UQC233" s="134"/>
      <c r="UQD233" s="135"/>
      <c r="UQE233" s="135"/>
      <c r="UQF233" s="135"/>
      <c r="UQG233" s="135"/>
      <c r="UQH233" s="173"/>
      <c r="UQI233" s="173"/>
      <c r="UQJ233" s="173"/>
      <c r="UQK233" s="173"/>
      <c r="UQL233" s="173"/>
      <c r="UQM233" s="173"/>
      <c r="UQN233" s="173"/>
      <c r="UQO233" s="173"/>
      <c r="UQP233" s="173"/>
      <c r="UQQ233" s="173"/>
      <c r="UQR233" s="125"/>
      <c r="UQS233" s="125"/>
      <c r="UQT233" s="134"/>
      <c r="UQU233" s="135"/>
      <c r="UQV233" s="135"/>
      <c r="UQW233" s="135"/>
      <c r="UQX233" s="135"/>
      <c r="UQY233" s="173"/>
      <c r="UQZ233" s="173"/>
      <c r="URA233" s="173"/>
      <c r="URB233" s="173"/>
      <c r="URC233" s="173"/>
      <c r="URD233" s="173"/>
      <c r="URE233" s="173"/>
      <c r="URF233" s="173"/>
      <c r="URG233" s="173"/>
      <c r="URH233" s="173"/>
      <c r="URI233" s="125"/>
      <c r="URJ233" s="125"/>
      <c r="URK233" s="134"/>
      <c r="URL233" s="135"/>
      <c r="URM233" s="135"/>
      <c r="URN233" s="135"/>
      <c r="URO233" s="135"/>
      <c r="URP233" s="173"/>
      <c r="URQ233" s="173"/>
      <c r="URR233" s="173"/>
      <c r="URS233" s="173"/>
      <c r="URT233" s="173"/>
      <c r="URU233" s="173"/>
      <c r="URV233" s="173"/>
      <c r="URW233" s="173"/>
      <c r="URX233" s="173"/>
      <c r="URY233" s="173"/>
      <c r="URZ233" s="125"/>
      <c r="USA233" s="125"/>
      <c r="USB233" s="134"/>
      <c r="USC233" s="135"/>
      <c r="USD233" s="135"/>
      <c r="USE233" s="135"/>
      <c r="USF233" s="135"/>
      <c r="USG233" s="173"/>
      <c r="USH233" s="173"/>
      <c r="USI233" s="173"/>
      <c r="USJ233" s="173"/>
      <c r="USK233" s="173"/>
      <c r="USL233" s="173"/>
      <c r="USM233" s="173"/>
      <c r="USN233" s="173"/>
      <c r="USO233" s="173"/>
      <c r="USP233" s="173"/>
      <c r="USQ233" s="125"/>
      <c r="USR233" s="125"/>
      <c r="USS233" s="134"/>
      <c r="UST233" s="135"/>
      <c r="USU233" s="135"/>
      <c r="USV233" s="135"/>
      <c r="USW233" s="135"/>
      <c r="USX233" s="173"/>
      <c r="USY233" s="173"/>
      <c r="USZ233" s="173"/>
      <c r="UTA233" s="173"/>
      <c r="UTB233" s="173"/>
      <c r="UTC233" s="173"/>
      <c r="UTD233" s="173"/>
      <c r="UTE233" s="173"/>
      <c r="UTF233" s="173"/>
      <c r="UTG233" s="173"/>
      <c r="UTH233" s="125"/>
      <c r="UTI233" s="125"/>
      <c r="UTJ233" s="134"/>
      <c r="UTK233" s="135"/>
      <c r="UTL233" s="135"/>
      <c r="UTM233" s="135"/>
      <c r="UTN233" s="135"/>
      <c r="UTO233" s="173"/>
      <c r="UTP233" s="173"/>
      <c r="UTQ233" s="173"/>
      <c r="UTR233" s="173"/>
      <c r="UTS233" s="173"/>
      <c r="UTT233" s="173"/>
      <c r="UTU233" s="173"/>
      <c r="UTV233" s="173"/>
      <c r="UTW233" s="173"/>
      <c r="UTX233" s="173"/>
      <c r="UTY233" s="125"/>
      <c r="UTZ233" s="125"/>
      <c r="UUA233" s="134"/>
      <c r="UUB233" s="135"/>
      <c r="UUC233" s="135"/>
      <c r="UUD233" s="135"/>
      <c r="UUE233" s="135"/>
      <c r="UUF233" s="173"/>
      <c r="UUG233" s="173"/>
      <c r="UUH233" s="173"/>
      <c r="UUI233" s="173"/>
      <c r="UUJ233" s="173"/>
      <c r="UUK233" s="173"/>
      <c r="UUL233" s="173"/>
      <c r="UUM233" s="173"/>
      <c r="UUN233" s="173"/>
      <c r="UUO233" s="173"/>
      <c r="UUP233" s="125"/>
      <c r="UUQ233" s="125"/>
      <c r="UUR233" s="134"/>
      <c r="UUS233" s="135"/>
      <c r="UUT233" s="135"/>
      <c r="UUU233" s="135"/>
      <c r="UUV233" s="135"/>
      <c r="UUW233" s="173"/>
      <c r="UUX233" s="173"/>
      <c r="UUY233" s="173"/>
      <c r="UUZ233" s="173"/>
      <c r="UVA233" s="173"/>
      <c r="UVB233" s="173"/>
      <c r="UVC233" s="173"/>
      <c r="UVD233" s="173"/>
      <c r="UVE233" s="173"/>
      <c r="UVF233" s="173"/>
      <c r="UVG233" s="125"/>
      <c r="UVH233" s="125"/>
      <c r="UVI233" s="134"/>
      <c r="UVJ233" s="135"/>
      <c r="UVK233" s="135"/>
      <c r="UVL233" s="135"/>
      <c r="UVM233" s="135"/>
      <c r="UVN233" s="173"/>
      <c r="UVO233" s="173"/>
      <c r="UVP233" s="173"/>
      <c r="UVQ233" s="173"/>
      <c r="UVR233" s="173"/>
      <c r="UVS233" s="173"/>
      <c r="UVT233" s="173"/>
      <c r="UVU233" s="173"/>
      <c r="UVV233" s="173"/>
      <c r="UVW233" s="173"/>
      <c r="UVX233" s="125"/>
      <c r="UVY233" s="125"/>
      <c r="UVZ233" s="134"/>
      <c r="UWA233" s="135"/>
      <c r="UWB233" s="135"/>
      <c r="UWC233" s="135"/>
      <c r="UWD233" s="135"/>
      <c r="UWE233" s="173"/>
      <c r="UWF233" s="173"/>
      <c r="UWG233" s="173"/>
      <c r="UWH233" s="173"/>
      <c r="UWI233" s="173"/>
      <c r="UWJ233" s="173"/>
      <c r="UWK233" s="173"/>
      <c r="UWL233" s="173"/>
      <c r="UWM233" s="173"/>
      <c r="UWN233" s="173"/>
      <c r="UWO233" s="125"/>
      <c r="UWP233" s="125"/>
      <c r="UWQ233" s="134"/>
      <c r="UWR233" s="135"/>
      <c r="UWS233" s="135"/>
      <c r="UWT233" s="135"/>
      <c r="UWU233" s="135"/>
      <c r="UWV233" s="173"/>
      <c r="UWW233" s="173"/>
      <c r="UWX233" s="173"/>
      <c r="UWY233" s="173"/>
      <c r="UWZ233" s="173"/>
      <c r="UXA233" s="173"/>
      <c r="UXB233" s="173"/>
      <c r="UXC233" s="173"/>
      <c r="UXD233" s="173"/>
      <c r="UXE233" s="173"/>
      <c r="UXF233" s="125"/>
      <c r="UXG233" s="125"/>
      <c r="UXH233" s="134"/>
      <c r="UXI233" s="135"/>
      <c r="UXJ233" s="135"/>
      <c r="UXK233" s="135"/>
      <c r="UXL233" s="135"/>
      <c r="UXM233" s="173"/>
      <c r="UXN233" s="173"/>
      <c r="UXO233" s="173"/>
      <c r="UXP233" s="173"/>
      <c r="UXQ233" s="173"/>
      <c r="UXR233" s="173"/>
      <c r="UXS233" s="173"/>
      <c r="UXT233" s="173"/>
      <c r="UXU233" s="173"/>
      <c r="UXV233" s="173"/>
      <c r="UXW233" s="125"/>
      <c r="UXX233" s="125"/>
      <c r="UXY233" s="134"/>
      <c r="UXZ233" s="135"/>
      <c r="UYA233" s="135"/>
      <c r="UYB233" s="135"/>
      <c r="UYC233" s="135"/>
      <c r="UYD233" s="173"/>
      <c r="UYE233" s="173"/>
      <c r="UYF233" s="173"/>
      <c r="UYG233" s="173"/>
      <c r="UYH233" s="173"/>
      <c r="UYI233" s="173"/>
      <c r="UYJ233" s="173"/>
      <c r="UYK233" s="173"/>
      <c r="UYL233" s="173"/>
      <c r="UYM233" s="173"/>
      <c r="UYN233" s="125"/>
      <c r="UYO233" s="125"/>
      <c r="UYP233" s="134"/>
      <c r="UYQ233" s="135"/>
      <c r="UYR233" s="135"/>
      <c r="UYS233" s="135"/>
      <c r="UYT233" s="135"/>
      <c r="UYU233" s="173"/>
      <c r="UYV233" s="173"/>
      <c r="UYW233" s="173"/>
      <c r="UYX233" s="173"/>
      <c r="UYY233" s="173"/>
      <c r="UYZ233" s="173"/>
      <c r="UZA233" s="173"/>
      <c r="UZB233" s="173"/>
      <c r="UZC233" s="173"/>
      <c r="UZD233" s="173"/>
      <c r="UZE233" s="125"/>
      <c r="UZF233" s="125"/>
      <c r="UZG233" s="134"/>
      <c r="UZH233" s="135"/>
      <c r="UZI233" s="135"/>
      <c r="UZJ233" s="135"/>
      <c r="UZK233" s="135"/>
      <c r="UZL233" s="173"/>
      <c r="UZM233" s="173"/>
      <c r="UZN233" s="173"/>
      <c r="UZO233" s="173"/>
      <c r="UZP233" s="173"/>
      <c r="UZQ233" s="173"/>
      <c r="UZR233" s="173"/>
      <c r="UZS233" s="173"/>
      <c r="UZT233" s="173"/>
      <c r="UZU233" s="173"/>
      <c r="UZV233" s="125"/>
      <c r="UZW233" s="125"/>
      <c r="UZX233" s="134"/>
      <c r="UZY233" s="135"/>
      <c r="UZZ233" s="135"/>
      <c r="VAA233" s="135"/>
      <c r="VAB233" s="135"/>
      <c r="VAC233" s="173"/>
      <c r="VAD233" s="173"/>
      <c r="VAE233" s="173"/>
      <c r="VAF233" s="173"/>
      <c r="VAG233" s="173"/>
      <c r="VAH233" s="173"/>
      <c r="VAI233" s="173"/>
      <c r="VAJ233" s="173"/>
      <c r="VAK233" s="173"/>
      <c r="VAL233" s="173"/>
      <c r="VAM233" s="125"/>
      <c r="VAN233" s="125"/>
      <c r="VAO233" s="134"/>
      <c r="VAP233" s="135"/>
      <c r="VAQ233" s="135"/>
      <c r="VAR233" s="135"/>
      <c r="VAS233" s="135"/>
      <c r="VAT233" s="173"/>
      <c r="VAU233" s="173"/>
      <c r="VAV233" s="173"/>
      <c r="VAW233" s="173"/>
      <c r="VAX233" s="173"/>
      <c r="VAY233" s="173"/>
      <c r="VAZ233" s="173"/>
      <c r="VBA233" s="173"/>
      <c r="VBB233" s="173"/>
      <c r="VBC233" s="173"/>
      <c r="VBD233" s="125"/>
      <c r="VBE233" s="125"/>
      <c r="VBF233" s="134"/>
      <c r="VBG233" s="135"/>
      <c r="VBH233" s="135"/>
      <c r="VBI233" s="135"/>
      <c r="VBJ233" s="135"/>
      <c r="VBK233" s="173"/>
      <c r="VBL233" s="173"/>
      <c r="VBM233" s="173"/>
      <c r="VBN233" s="173"/>
      <c r="VBO233" s="173"/>
      <c r="VBP233" s="173"/>
      <c r="VBQ233" s="173"/>
      <c r="VBR233" s="173"/>
      <c r="VBS233" s="173"/>
      <c r="VBT233" s="173"/>
      <c r="VBU233" s="125"/>
      <c r="VBV233" s="125"/>
      <c r="VBW233" s="134"/>
      <c r="VBX233" s="135"/>
      <c r="VBY233" s="135"/>
      <c r="VBZ233" s="135"/>
      <c r="VCA233" s="135"/>
      <c r="VCB233" s="173"/>
      <c r="VCC233" s="173"/>
      <c r="VCD233" s="173"/>
      <c r="VCE233" s="173"/>
      <c r="VCF233" s="173"/>
      <c r="VCG233" s="173"/>
      <c r="VCH233" s="173"/>
      <c r="VCI233" s="173"/>
      <c r="VCJ233" s="173"/>
      <c r="VCK233" s="173"/>
      <c r="VCL233" s="125"/>
      <c r="VCM233" s="125"/>
      <c r="VCN233" s="134"/>
      <c r="VCO233" s="135"/>
      <c r="VCP233" s="135"/>
      <c r="VCQ233" s="135"/>
      <c r="VCR233" s="135"/>
      <c r="VCS233" s="173"/>
      <c r="VCT233" s="173"/>
      <c r="VCU233" s="173"/>
      <c r="VCV233" s="173"/>
      <c r="VCW233" s="173"/>
      <c r="VCX233" s="173"/>
      <c r="VCY233" s="173"/>
      <c r="VCZ233" s="173"/>
      <c r="VDA233" s="173"/>
      <c r="VDB233" s="173"/>
      <c r="VDC233" s="125"/>
      <c r="VDD233" s="125"/>
      <c r="VDE233" s="134"/>
      <c r="VDF233" s="135"/>
      <c r="VDG233" s="135"/>
      <c r="VDH233" s="135"/>
      <c r="VDI233" s="135"/>
      <c r="VDJ233" s="173"/>
      <c r="VDK233" s="173"/>
      <c r="VDL233" s="173"/>
      <c r="VDM233" s="173"/>
      <c r="VDN233" s="173"/>
      <c r="VDO233" s="173"/>
      <c r="VDP233" s="173"/>
      <c r="VDQ233" s="173"/>
      <c r="VDR233" s="173"/>
      <c r="VDS233" s="173"/>
      <c r="VDT233" s="125"/>
      <c r="VDU233" s="125"/>
      <c r="VDV233" s="134"/>
      <c r="VDW233" s="135"/>
      <c r="VDX233" s="135"/>
      <c r="VDY233" s="135"/>
      <c r="VDZ233" s="135"/>
      <c r="VEA233" s="173"/>
      <c r="VEB233" s="173"/>
      <c r="VEC233" s="173"/>
      <c r="VED233" s="173"/>
      <c r="VEE233" s="173"/>
      <c r="VEF233" s="173"/>
      <c r="VEG233" s="173"/>
      <c r="VEH233" s="173"/>
      <c r="VEI233" s="173"/>
      <c r="VEJ233" s="173"/>
      <c r="VEK233" s="125"/>
      <c r="VEL233" s="125"/>
      <c r="VEM233" s="134"/>
      <c r="VEN233" s="135"/>
      <c r="VEO233" s="135"/>
      <c r="VEP233" s="135"/>
      <c r="VEQ233" s="135"/>
      <c r="VER233" s="173"/>
      <c r="VES233" s="173"/>
      <c r="VET233" s="173"/>
      <c r="VEU233" s="173"/>
      <c r="VEV233" s="173"/>
      <c r="VEW233" s="173"/>
      <c r="VEX233" s="173"/>
      <c r="VEY233" s="173"/>
      <c r="VEZ233" s="173"/>
      <c r="VFA233" s="173"/>
      <c r="VFB233" s="125"/>
      <c r="VFC233" s="125"/>
      <c r="VFD233" s="134"/>
      <c r="VFE233" s="135"/>
      <c r="VFF233" s="135"/>
      <c r="VFG233" s="135"/>
      <c r="VFH233" s="135"/>
      <c r="VFI233" s="173"/>
      <c r="VFJ233" s="173"/>
      <c r="VFK233" s="173"/>
      <c r="VFL233" s="173"/>
      <c r="VFM233" s="173"/>
      <c r="VFN233" s="173"/>
      <c r="VFO233" s="173"/>
      <c r="VFP233" s="173"/>
      <c r="VFQ233" s="173"/>
      <c r="VFR233" s="173"/>
      <c r="VFS233" s="125"/>
      <c r="VFT233" s="125"/>
      <c r="VFU233" s="134"/>
      <c r="VFV233" s="135"/>
      <c r="VFW233" s="135"/>
      <c r="VFX233" s="135"/>
      <c r="VFY233" s="135"/>
      <c r="VFZ233" s="173"/>
      <c r="VGA233" s="173"/>
      <c r="VGB233" s="173"/>
      <c r="VGC233" s="173"/>
      <c r="VGD233" s="173"/>
      <c r="VGE233" s="173"/>
      <c r="VGF233" s="173"/>
      <c r="VGG233" s="173"/>
      <c r="VGH233" s="173"/>
      <c r="VGI233" s="173"/>
      <c r="VGJ233" s="125"/>
      <c r="VGK233" s="125"/>
      <c r="VGL233" s="134"/>
      <c r="VGM233" s="135"/>
      <c r="VGN233" s="135"/>
      <c r="VGO233" s="135"/>
      <c r="VGP233" s="135"/>
      <c r="VGQ233" s="173"/>
      <c r="VGR233" s="173"/>
      <c r="VGS233" s="173"/>
      <c r="VGT233" s="173"/>
      <c r="VGU233" s="173"/>
      <c r="VGV233" s="173"/>
      <c r="VGW233" s="173"/>
      <c r="VGX233" s="173"/>
      <c r="VGY233" s="173"/>
      <c r="VGZ233" s="173"/>
      <c r="VHA233" s="125"/>
      <c r="VHB233" s="125"/>
      <c r="VHC233" s="134"/>
      <c r="VHD233" s="135"/>
      <c r="VHE233" s="135"/>
      <c r="VHF233" s="135"/>
      <c r="VHG233" s="135"/>
      <c r="VHH233" s="173"/>
      <c r="VHI233" s="173"/>
      <c r="VHJ233" s="173"/>
      <c r="VHK233" s="173"/>
      <c r="VHL233" s="173"/>
      <c r="VHM233" s="173"/>
      <c r="VHN233" s="173"/>
      <c r="VHO233" s="173"/>
      <c r="VHP233" s="173"/>
      <c r="VHQ233" s="173"/>
      <c r="VHR233" s="125"/>
      <c r="VHS233" s="125"/>
      <c r="VHT233" s="134"/>
      <c r="VHU233" s="135"/>
      <c r="VHV233" s="135"/>
      <c r="VHW233" s="135"/>
      <c r="VHX233" s="135"/>
      <c r="VHY233" s="173"/>
      <c r="VHZ233" s="173"/>
      <c r="VIA233" s="173"/>
      <c r="VIB233" s="173"/>
      <c r="VIC233" s="173"/>
      <c r="VID233" s="173"/>
      <c r="VIE233" s="173"/>
      <c r="VIF233" s="173"/>
      <c r="VIG233" s="173"/>
      <c r="VIH233" s="173"/>
      <c r="VII233" s="125"/>
      <c r="VIJ233" s="125"/>
      <c r="VIK233" s="134"/>
      <c r="VIL233" s="135"/>
      <c r="VIM233" s="135"/>
      <c r="VIN233" s="135"/>
      <c r="VIO233" s="135"/>
      <c r="VIP233" s="173"/>
      <c r="VIQ233" s="173"/>
      <c r="VIR233" s="173"/>
      <c r="VIS233" s="173"/>
      <c r="VIT233" s="173"/>
      <c r="VIU233" s="173"/>
      <c r="VIV233" s="173"/>
      <c r="VIW233" s="173"/>
      <c r="VIX233" s="173"/>
      <c r="VIY233" s="173"/>
      <c r="VIZ233" s="125"/>
      <c r="VJA233" s="125"/>
      <c r="VJB233" s="134"/>
      <c r="VJC233" s="135"/>
      <c r="VJD233" s="135"/>
      <c r="VJE233" s="135"/>
      <c r="VJF233" s="135"/>
      <c r="VJG233" s="173"/>
      <c r="VJH233" s="173"/>
      <c r="VJI233" s="173"/>
      <c r="VJJ233" s="173"/>
      <c r="VJK233" s="173"/>
      <c r="VJL233" s="173"/>
      <c r="VJM233" s="173"/>
      <c r="VJN233" s="173"/>
      <c r="VJO233" s="173"/>
      <c r="VJP233" s="173"/>
      <c r="VJQ233" s="125"/>
      <c r="VJR233" s="125"/>
      <c r="VJS233" s="134"/>
      <c r="VJT233" s="135"/>
      <c r="VJU233" s="135"/>
      <c r="VJV233" s="135"/>
      <c r="VJW233" s="135"/>
      <c r="VJX233" s="173"/>
      <c r="VJY233" s="173"/>
      <c r="VJZ233" s="173"/>
      <c r="VKA233" s="173"/>
      <c r="VKB233" s="173"/>
      <c r="VKC233" s="173"/>
      <c r="VKD233" s="173"/>
      <c r="VKE233" s="173"/>
      <c r="VKF233" s="173"/>
      <c r="VKG233" s="173"/>
      <c r="VKH233" s="125"/>
      <c r="VKI233" s="125"/>
      <c r="VKJ233" s="134"/>
      <c r="VKK233" s="135"/>
      <c r="VKL233" s="135"/>
      <c r="VKM233" s="135"/>
      <c r="VKN233" s="135"/>
      <c r="VKO233" s="173"/>
      <c r="VKP233" s="173"/>
      <c r="VKQ233" s="173"/>
      <c r="VKR233" s="173"/>
      <c r="VKS233" s="173"/>
      <c r="VKT233" s="173"/>
      <c r="VKU233" s="173"/>
      <c r="VKV233" s="173"/>
      <c r="VKW233" s="173"/>
      <c r="VKX233" s="173"/>
      <c r="VKY233" s="125"/>
      <c r="VKZ233" s="125"/>
      <c r="VLA233" s="134"/>
      <c r="VLB233" s="135"/>
      <c r="VLC233" s="135"/>
      <c r="VLD233" s="135"/>
      <c r="VLE233" s="135"/>
      <c r="VLF233" s="173"/>
      <c r="VLG233" s="173"/>
      <c r="VLH233" s="173"/>
      <c r="VLI233" s="173"/>
      <c r="VLJ233" s="173"/>
      <c r="VLK233" s="173"/>
      <c r="VLL233" s="173"/>
      <c r="VLM233" s="173"/>
      <c r="VLN233" s="173"/>
      <c r="VLO233" s="173"/>
      <c r="VLP233" s="125"/>
      <c r="VLQ233" s="125"/>
      <c r="VLR233" s="134"/>
      <c r="VLS233" s="135"/>
      <c r="VLT233" s="135"/>
      <c r="VLU233" s="135"/>
      <c r="VLV233" s="135"/>
      <c r="VLW233" s="173"/>
      <c r="VLX233" s="173"/>
      <c r="VLY233" s="173"/>
      <c r="VLZ233" s="173"/>
      <c r="VMA233" s="173"/>
      <c r="VMB233" s="173"/>
      <c r="VMC233" s="173"/>
      <c r="VMD233" s="173"/>
      <c r="VME233" s="173"/>
      <c r="VMF233" s="173"/>
      <c r="VMG233" s="125"/>
      <c r="VMH233" s="125"/>
      <c r="VMI233" s="134"/>
      <c r="VMJ233" s="135"/>
      <c r="VMK233" s="135"/>
      <c r="VML233" s="135"/>
      <c r="VMM233" s="135"/>
      <c r="VMN233" s="173"/>
      <c r="VMO233" s="173"/>
      <c r="VMP233" s="173"/>
      <c r="VMQ233" s="173"/>
      <c r="VMR233" s="173"/>
      <c r="VMS233" s="173"/>
      <c r="VMT233" s="173"/>
      <c r="VMU233" s="173"/>
      <c r="VMV233" s="173"/>
      <c r="VMW233" s="173"/>
      <c r="VMX233" s="125"/>
      <c r="VMY233" s="125"/>
      <c r="VMZ233" s="134"/>
      <c r="VNA233" s="135"/>
      <c r="VNB233" s="135"/>
      <c r="VNC233" s="135"/>
      <c r="VND233" s="135"/>
      <c r="VNE233" s="173"/>
      <c r="VNF233" s="173"/>
      <c r="VNG233" s="173"/>
      <c r="VNH233" s="173"/>
      <c r="VNI233" s="173"/>
      <c r="VNJ233" s="173"/>
      <c r="VNK233" s="173"/>
      <c r="VNL233" s="173"/>
      <c r="VNM233" s="173"/>
      <c r="VNN233" s="173"/>
      <c r="VNO233" s="125"/>
      <c r="VNP233" s="125"/>
      <c r="VNQ233" s="134"/>
      <c r="VNR233" s="135"/>
      <c r="VNS233" s="135"/>
      <c r="VNT233" s="135"/>
      <c r="VNU233" s="135"/>
      <c r="VNV233" s="173"/>
      <c r="VNW233" s="173"/>
      <c r="VNX233" s="173"/>
      <c r="VNY233" s="173"/>
      <c r="VNZ233" s="173"/>
      <c r="VOA233" s="173"/>
      <c r="VOB233" s="173"/>
      <c r="VOC233" s="173"/>
      <c r="VOD233" s="173"/>
      <c r="VOE233" s="173"/>
      <c r="VOF233" s="125"/>
      <c r="VOG233" s="125"/>
      <c r="VOH233" s="134"/>
      <c r="VOI233" s="135"/>
      <c r="VOJ233" s="135"/>
      <c r="VOK233" s="135"/>
      <c r="VOL233" s="135"/>
      <c r="VOM233" s="173"/>
      <c r="VON233" s="173"/>
      <c r="VOO233" s="173"/>
      <c r="VOP233" s="173"/>
      <c r="VOQ233" s="173"/>
      <c r="VOR233" s="173"/>
      <c r="VOS233" s="173"/>
      <c r="VOT233" s="173"/>
      <c r="VOU233" s="173"/>
      <c r="VOV233" s="173"/>
      <c r="VOW233" s="125"/>
      <c r="VOX233" s="125"/>
      <c r="VOY233" s="134"/>
      <c r="VOZ233" s="135"/>
      <c r="VPA233" s="135"/>
      <c r="VPB233" s="135"/>
      <c r="VPC233" s="135"/>
      <c r="VPD233" s="173"/>
      <c r="VPE233" s="173"/>
      <c r="VPF233" s="173"/>
      <c r="VPG233" s="173"/>
      <c r="VPH233" s="173"/>
      <c r="VPI233" s="173"/>
      <c r="VPJ233" s="173"/>
      <c r="VPK233" s="173"/>
      <c r="VPL233" s="173"/>
      <c r="VPM233" s="173"/>
      <c r="VPN233" s="125"/>
      <c r="VPO233" s="125"/>
      <c r="VPP233" s="134"/>
      <c r="VPQ233" s="135"/>
      <c r="VPR233" s="135"/>
      <c r="VPS233" s="135"/>
      <c r="VPT233" s="135"/>
      <c r="VPU233" s="173"/>
      <c r="VPV233" s="173"/>
      <c r="VPW233" s="173"/>
      <c r="VPX233" s="173"/>
      <c r="VPY233" s="173"/>
      <c r="VPZ233" s="173"/>
      <c r="VQA233" s="173"/>
      <c r="VQB233" s="173"/>
      <c r="VQC233" s="173"/>
      <c r="VQD233" s="173"/>
      <c r="VQE233" s="125"/>
      <c r="VQF233" s="125"/>
      <c r="VQG233" s="134"/>
      <c r="VQH233" s="135"/>
      <c r="VQI233" s="135"/>
      <c r="VQJ233" s="135"/>
      <c r="VQK233" s="135"/>
      <c r="VQL233" s="173"/>
      <c r="VQM233" s="173"/>
      <c r="VQN233" s="173"/>
      <c r="VQO233" s="173"/>
      <c r="VQP233" s="173"/>
      <c r="VQQ233" s="173"/>
      <c r="VQR233" s="173"/>
      <c r="VQS233" s="173"/>
      <c r="VQT233" s="173"/>
      <c r="VQU233" s="173"/>
      <c r="VQV233" s="125"/>
      <c r="VQW233" s="125"/>
      <c r="VQX233" s="134"/>
      <c r="VQY233" s="135"/>
      <c r="VQZ233" s="135"/>
      <c r="VRA233" s="135"/>
      <c r="VRB233" s="135"/>
      <c r="VRC233" s="173"/>
      <c r="VRD233" s="173"/>
      <c r="VRE233" s="173"/>
      <c r="VRF233" s="173"/>
      <c r="VRG233" s="173"/>
      <c r="VRH233" s="173"/>
      <c r="VRI233" s="173"/>
      <c r="VRJ233" s="173"/>
      <c r="VRK233" s="173"/>
      <c r="VRL233" s="173"/>
      <c r="VRM233" s="125"/>
      <c r="VRN233" s="125"/>
      <c r="VRO233" s="134"/>
      <c r="VRP233" s="135"/>
      <c r="VRQ233" s="135"/>
      <c r="VRR233" s="135"/>
      <c r="VRS233" s="135"/>
      <c r="VRT233" s="173"/>
      <c r="VRU233" s="173"/>
      <c r="VRV233" s="173"/>
      <c r="VRW233" s="173"/>
      <c r="VRX233" s="173"/>
      <c r="VRY233" s="173"/>
      <c r="VRZ233" s="173"/>
      <c r="VSA233" s="173"/>
      <c r="VSB233" s="173"/>
      <c r="VSC233" s="173"/>
      <c r="VSD233" s="125"/>
      <c r="VSE233" s="125"/>
      <c r="VSF233" s="134"/>
      <c r="VSG233" s="135"/>
      <c r="VSH233" s="135"/>
      <c r="VSI233" s="135"/>
      <c r="VSJ233" s="135"/>
      <c r="VSK233" s="173"/>
      <c r="VSL233" s="173"/>
      <c r="VSM233" s="173"/>
      <c r="VSN233" s="173"/>
      <c r="VSO233" s="173"/>
      <c r="VSP233" s="173"/>
      <c r="VSQ233" s="173"/>
      <c r="VSR233" s="173"/>
      <c r="VSS233" s="173"/>
      <c r="VST233" s="173"/>
      <c r="VSU233" s="125"/>
      <c r="VSV233" s="125"/>
      <c r="VSW233" s="134"/>
      <c r="VSX233" s="135"/>
      <c r="VSY233" s="135"/>
      <c r="VSZ233" s="135"/>
      <c r="VTA233" s="135"/>
      <c r="VTB233" s="173"/>
      <c r="VTC233" s="173"/>
      <c r="VTD233" s="173"/>
      <c r="VTE233" s="173"/>
      <c r="VTF233" s="173"/>
      <c r="VTG233" s="173"/>
      <c r="VTH233" s="173"/>
      <c r="VTI233" s="173"/>
      <c r="VTJ233" s="173"/>
      <c r="VTK233" s="173"/>
      <c r="VTL233" s="125"/>
      <c r="VTM233" s="125"/>
      <c r="VTN233" s="134"/>
      <c r="VTO233" s="135"/>
      <c r="VTP233" s="135"/>
      <c r="VTQ233" s="135"/>
      <c r="VTR233" s="135"/>
      <c r="VTS233" s="173"/>
      <c r="VTT233" s="173"/>
      <c r="VTU233" s="173"/>
      <c r="VTV233" s="173"/>
      <c r="VTW233" s="173"/>
      <c r="VTX233" s="173"/>
      <c r="VTY233" s="173"/>
      <c r="VTZ233" s="173"/>
      <c r="VUA233" s="173"/>
      <c r="VUB233" s="173"/>
      <c r="VUC233" s="125"/>
      <c r="VUD233" s="125"/>
      <c r="VUE233" s="134"/>
      <c r="VUF233" s="135"/>
      <c r="VUG233" s="135"/>
      <c r="VUH233" s="135"/>
      <c r="VUI233" s="135"/>
      <c r="VUJ233" s="173"/>
      <c r="VUK233" s="173"/>
      <c r="VUL233" s="173"/>
      <c r="VUM233" s="173"/>
      <c r="VUN233" s="173"/>
      <c r="VUO233" s="173"/>
      <c r="VUP233" s="173"/>
      <c r="VUQ233" s="173"/>
      <c r="VUR233" s="173"/>
      <c r="VUS233" s="173"/>
      <c r="VUT233" s="125"/>
      <c r="VUU233" s="125"/>
      <c r="VUV233" s="134"/>
      <c r="VUW233" s="135"/>
      <c r="VUX233" s="135"/>
      <c r="VUY233" s="135"/>
      <c r="VUZ233" s="135"/>
      <c r="VVA233" s="173"/>
      <c r="VVB233" s="173"/>
      <c r="VVC233" s="173"/>
      <c r="VVD233" s="173"/>
      <c r="VVE233" s="173"/>
      <c r="VVF233" s="173"/>
      <c r="VVG233" s="173"/>
      <c r="VVH233" s="173"/>
      <c r="VVI233" s="173"/>
      <c r="VVJ233" s="173"/>
      <c r="VVK233" s="125"/>
      <c r="VVL233" s="125"/>
      <c r="VVM233" s="134"/>
      <c r="VVN233" s="135"/>
      <c r="VVO233" s="135"/>
      <c r="VVP233" s="135"/>
      <c r="VVQ233" s="135"/>
      <c r="VVR233" s="173"/>
      <c r="VVS233" s="173"/>
      <c r="VVT233" s="173"/>
      <c r="VVU233" s="173"/>
      <c r="VVV233" s="173"/>
      <c r="VVW233" s="173"/>
      <c r="VVX233" s="173"/>
      <c r="VVY233" s="173"/>
      <c r="VVZ233" s="173"/>
      <c r="VWA233" s="173"/>
      <c r="VWB233" s="125"/>
      <c r="VWC233" s="125"/>
      <c r="VWD233" s="134"/>
      <c r="VWE233" s="135"/>
      <c r="VWF233" s="135"/>
      <c r="VWG233" s="135"/>
      <c r="VWH233" s="135"/>
      <c r="VWI233" s="173"/>
      <c r="VWJ233" s="173"/>
      <c r="VWK233" s="173"/>
      <c r="VWL233" s="173"/>
      <c r="VWM233" s="173"/>
      <c r="VWN233" s="173"/>
      <c r="VWO233" s="173"/>
      <c r="VWP233" s="173"/>
      <c r="VWQ233" s="173"/>
      <c r="VWR233" s="173"/>
      <c r="VWS233" s="125"/>
      <c r="VWT233" s="125"/>
      <c r="VWU233" s="134"/>
      <c r="VWV233" s="135"/>
      <c r="VWW233" s="135"/>
      <c r="VWX233" s="135"/>
      <c r="VWY233" s="135"/>
      <c r="VWZ233" s="173"/>
      <c r="VXA233" s="173"/>
      <c r="VXB233" s="173"/>
      <c r="VXC233" s="173"/>
      <c r="VXD233" s="173"/>
      <c r="VXE233" s="173"/>
      <c r="VXF233" s="173"/>
      <c r="VXG233" s="173"/>
      <c r="VXH233" s="173"/>
      <c r="VXI233" s="173"/>
      <c r="VXJ233" s="125"/>
      <c r="VXK233" s="125"/>
      <c r="VXL233" s="134"/>
      <c r="VXM233" s="135"/>
      <c r="VXN233" s="135"/>
      <c r="VXO233" s="135"/>
      <c r="VXP233" s="135"/>
      <c r="VXQ233" s="173"/>
      <c r="VXR233" s="173"/>
      <c r="VXS233" s="173"/>
      <c r="VXT233" s="173"/>
      <c r="VXU233" s="173"/>
      <c r="VXV233" s="173"/>
      <c r="VXW233" s="173"/>
      <c r="VXX233" s="173"/>
      <c r="VXY233" s="173"/>
      <c r="VXZ233" s="173"/>
      <c r="VYA233" s="125"/>
      <c r="VYB233" s="125"/>
      <c r="VYC233" s="134"/>
      <c r="VYD233" s="135"/>
      <c r="VYE233" s="135"/>
      <c r="VYF233" s="135"/>
      <c r="VYG233" s="135"/>
      <c r="VYH233" s="173"/>
      <c r="VYI233" s="173"/>
      <c r="VYJ233" s="173"/>
      <c r="VYK233" s="173"/>
      <c r="VYL233" s="173"/>
      <c r="VYM233" s="173"/>
      <c r="VYN233" s="173"/>
      <c r="VYO233" s="173"/>
      <c r="VYP233" s="173"/>
      <c r="VYQ233" s="173"/>
      <c r="VYR233" s="125"/>
      <c r="VYS233" s="125"/>
      <c r="VYT233" s="134"/>
      <c r="VYU233" s="135"/>
      <c r="VYV233" s="135"/>
      <c r="VYW233" s="135"/>
      <c r="VYX233" s="135"/>
      <c r="VYY233" s="173"/>
      <c r="VYZ233" s="173"/>
      <c r="VZA233" s="173"/>
      <c r="VZB233" s="173"/>
      <c r="VZC233" s="173"/>
      <c r="VZD233" s="173"/>
      <c r="VZE233" s="173"/>
      <c r="VZF233" s="173"/>
      <c r="VZG233" s="173"/>
      <c r="VZH233" s="173"/>
      <c r="VZI233" s="125"/>
      <c r="VZJ233" s="125"/>
      <c r="VZK233" s="134"/>
      <c r="VZL233" s="135"/>
      <c r="VZM233" s="135"/>
      <c r="VZN233" s="135"/>
      <c r="VZO233" s="135"/>
      <c r="VZP233" s="173"/>
      <c r="VZQ233" s="173"/>
      <c r="VZR233" s="173"/>
      <c r="VZS233" s="173"/>
      <c r="VZT233" s="173"/>
      <c r="VZU233" s="173"/>
      <c r="VZV233" s="173"/>
      <c r="VZW233" s="173"/>
      <c r="VZX233" s="173"/>
      <c r="VZY233" s="173"/>
      <c r="VZZ233" s="125"/>
      <c r="WAA233" s="125"/>
      <c r="WAB233" s="134"/>
      <c r="WAC233" s="135"/>
      <c r="WAD233" s="135"/>
      <c r="WAE233" s="135"/>
      <c r="WAF233" s="135"/>
      <c r="WAG233" s="173"/>
      <c r="WAH233" s="173"/>
      <c r="WAI233" s="173"/>
      <c r="WAJ233" s="173"/>
      <c r="WAK233" s="173"/>
      <c r="WAL233" s="173"/>
      <c r="WAM233" s="173"/>
      <c r="WAN233" s="173"/>
      <c r="WAO233" s="173"/>
      <c r="WAP233" s="173"/>
      <c r="WAQ233" s="125"/>
      <c r="WAR233" s="125"/>
      <c r="WAS233" s="134"/>
      <c r="WAT233" s="135"/>
      <c r="WAU233" s="135"/>
      <c r="WAV233" s="135"/>
      <c r="WAW233" s="135"/>
      <c r="WAX233" s="173"/>
      <c r="WAY233" s="173"/>
      <c r="WAZ233" s="173"/>
      <c r="WBA233" s="173"/>
      <c r="WBB233" s="173"/>
      <c r="WBC233" s="173"/>
      <c r="WBD233" s="173"/>
      <c r="WBE233" s="173"/>
      <c r="WBF233" s="173"/>
      <c r="WBG233" s="173"/>
      <c r="WBH233" s="125"/>
      <c r="WBI233" s="125"/>
      <c r="WBJ233" s="134"/>
      <c r="WBK233" s="135"/>
      <c r="WBL233" s="135"/>
      <c r="WBM233" s="135"/>
      <c r="WBN233" s="135"/>
      <c r="WBO233" s="173"/>
      <c r="WBP233" s="173"/>
      <c r="WBQ233" s="173"/>
      <c r="WBR233" s="173"/>
      <c r="WBS233" s="173"/>
      <c r="WBT233" s="173"/>
      <c r="WBU233" s="173"/>
      <c r="WBV233" s="173"/>
      <c r="WBW233" s="173"/>
      <c r="WBX233" s="173"/>
      <c r="WBY233" s="125"/>
      <c r="WBZ233" s="125"/>
      <c r="WCA233" s="134"/>
      <c r="WCB233" s="135"/>
      <c r="WCC233" s="135"/>
      <c r="WCD233" s="135"/>
      <c r="WCE233" s="135"/>
      <c r="WCF233" s="173"/>
      <c r="WCG233" s="173"/>
      <c r="WCH233" s="173"/>
      <c r="WCI233" s="173"/>
      <c r="WCJ233" s="173"/>
      <c r="WCK233" s="173"/>
      <c r="WCL233" s="173"/>
      <c r="WCM233" s="173"/>
      <c r="WCN233" s="173"/>
      <c r="WCO233" s="173"/>
      <c r="WCP233" s="125"/>
      <c r="WCQ233" s="125"/>
      <c r="WCR233" s="134"/>
      <c r="WCS233" s="135"/>
      <c r="WCT233" s="135"/>
      <c r="WCU233" s="135"/>
      <c r="WCV233" s="135"/>
      <c r="WCW233" s="173"/>
      <c r="WCX233" s="173"/>
      <c r="WCY233" s="173"/>
      <c r="WCZ233" s="173"/>
      <c r="WDA233" s="173"/>
      <c r="WDB233" s="173"/>
      <c r="WDC233" s="173"/>
      <c r="WDD233" s="173"/>
      <c r="WDE233" s="173"/>
      <c r="WDF233" s="173"/>
      <c r="WDG233" s="125"/>
      <c r="WDH233" s="125"/>
      <c r="WDI233" s="134"/>
      <c r="WDJ233" s="135"/>
      <c r="WDK233" s="135"/>
      <c r="WDL233" s="135"/>
      <c r="WDM233" s="135"/>
      <c r="WDN233" s="173"/>
      <c r="WDO233" s="173"/>
      <c r="WDP233" s="173"/>
      <c r="WDQ233" s="173"/>
      <c r="WDR233" s="173"/>
      <c r="WDS233" s="173"/>
      <c r="WDT233" s="173"/>
      <c r="WDU233" s="173"/>
      <c r="WDV233" s="173"/>
      <c r="WDW233" s="173"/>
      <c r="WDX233" s="125"/>
      <c r="WDY233" s="125"/>
      <c r="WDZ233" s="134"/>
      <c r="WEA233" s="135"/>
      <c r="WEB233" s="135"/>
      <c r="WEC233" s="135"/>
      <c r="WED233" s="135"/>
      <c r="WEE233" s="173"/>
      <c r="WEF233" s="173"/>
      <c r="WEG233" s="173"/>
      <c r="WEH233" s="173"/>
      <c r="WEI233" s="173"/>
      <c r="WEJ233" s="173"/>
      <c r="WEK233" s="173"/>
      <c r="WEL233" s="173"/>
      <c r="WEM233" s="173"/>
      <c r="WEN233" s="173"/>
      <c r="WEO233" s="125"/>
      <c r="WEP233" s="125"/>
      <c r="WEQ233" s="134"/>
      <c r="WER233" s="135"/>
      <c r="WES233" s="135"/>
      <c r="WET233" s="135"/>
      <c r="WEU233" s="135"/>
      <c r="WEV233" s="173"/>
      <c r="WEW233" s="173"/>
      <c r="WEX233" s="173"/>
      <c r="WEY233" s="173"/>
      <c r="WEZ233" s="173"/>
      <c r="WFA233" s="173"/>
      <c r="WFB233" s="173"/>
      <c r="WFC233" s="173"/>
      <c r="WFD233" s="173"/>
      <c r="WFE233" s="173"/>
      <c r="WFF233" s="125"/>
      <c r="WFG233" s="125"/>
      <c r="WFH233" s="134"/>
      <c r="WFI233" s="135"/>
      <c r="WFJ233" s="135"/>
      <c r="WFK233" s="135"/>
      <c r="WFL233" s="135"/>
      <c r="WFM233" s="173"/>
      <c r="WFN233" s="173"/>
      <c r="WFO233" s="173"/>
      <c r="WFP233" s="173"/>
      <c r="WFQ233" s="173"/>
      <c r="WFR233" s="173"/>
      <c r="WFS233" s="173"/>
      <c r="WFT233" s="173"/>
      <c r="WFU233" s="173"/>
      <c r="WFV233" s="173"/>
      <c r="WFW233" s="125"/>
      <c r="WFX233" s="125"/>
      <c r="WFY233" s="134"/>
      <c r="WFZ233" s="135"/>
      <c r="WGA233" s="135"/>
      <c r="WGB233" s="135"/>
      <c r="WGC233" s="135"/>
      <c r="WGD233" s="173"/>
      <c r="WGE233" s="173"/>
      <c r="WGF233" s="173"/>
      <c r="WGG233" s="173"/>
      <c r="WGH233" s="173"/>
      <c r="WGI233" s="173"/>
      <c r="WGJ233" s="173"/>
      <c r="WGK233" s="173"/>
      <c r="WGL233" s="173"/>
      <c r="WGM233" s="173"/>
      <c r="WGN233" s="125"/>
      <c r="WGO233" s="125"/>
      <c r="WGP233" s="134"/>
      <c r="WGQ233" s="135"/>
      <c r="WGR233" s="135"/>
      <c r="WGS233" s="135"/>
      <c r="WGT233" s="135"/>
      <c r="WGU233" s="173"/>
      <c r="WGV233" s="173"/>
      <c r="WGW233" s="173"/>
      <c r="WGX233" s="173"/>
      <c r="WGY233" s="173"/>
      <c r="WGZ233" s="173"/>
      <c r="WHA233" s="173"/>
      <c r="WHB233" s="173"/>
      <c r="WHC233" s="173"/>
      <c r="WHD233" s="173"/>
      <c r="WHE233" s="125"/>
      <c r="WHF233" s="125"/>
      <c r="WHG233" s="134"/>
      <c r="WHH233" s="135"/>
      <c r="WHI233" s="135"/>
      <c r="WHJ233" s="135"/>
      <c r="WHK233" s="135"/>
      <c r="WHL233" s="173"/>
      <c r="WHM233" s="173"/>
      <c r="WHN233" s="173"/>
      <c r="WHO233" s="173"/>
      <c r="WHP233" s="173"/>
      <c r="WHQ233" s="173"/>
      <c r="WHR233" s="173"/>
      <c r="WHS233" s="173"/>
      <c r="WHT233" s="173"/>
      <c r="WHU233" s="173"/>
      <c r="WHV233" s="125"/>
      <c r="WHW233" s="125"/>
      <c r="WHX233" s="134"/>
      <c r="WHY233" s="135"/>
      <c r="WHZ233" s="135"/>
      <c r="WIA233" s="135"/>
      <c r="WIB233" s="135"/>
      <c r="WIC233" s="173"/>
      <c r="WID233" s="173"/>
      <c r="WIE233" s="173"/>
      <c r="WIF233" s="173"/>
      <c r="WIG233" s="173"/>
      <c r="WIH233" s="173"/>
      <c r="WII233" s="173"/>
      <c r="WIJ233" s="173"/>
      <c r="WIK233" s="173"/>
      <c r="WIL233" s="173"/>
      <c r="WIM233" s="125"/>
      <c r="WIN233" s="125"/>
      <c r="WIO233" s="134"/>
      <c r="WIP233" s="135"/>
      <c r="WIQ233" s="135"/>
      <c r="WIR233" s="135"/>
      <c r="WIS233" s="135"/>
      <c r="WIT233" s="173"/>
      <c r="WIU233" s="173"/>
      <c r="WIV233" s="173"/>
      <c r="WIW233" s="173"/>
      <c r="WIX233" s="173"/>
      <c r="WIY233" s="173"/>
      <c r="WIZ233" s="173"/>
      <c r="WJA233" s="173"/>
      <c r="WJB233" s="173"/>
      <c r="WJC233" s="173"/>
      <c r="WJD233" s="125"/>
      <c r="WJE233" s="125"/>
      <c r="WJF233" s="134"/>
      <c r="WJG233" s="135"/>
      <c r="WJH233" s="135"/>
      <c r="WJI233" s="135"/>
      <c r="WJJ233" s="135"/>
      <c r="WJK233" s="173"/>
      <c r="WJL233" s="173"/>
      <c r="WJM233" s="173"/>
      <c r="WJN233" s="173"/>
      <c r="WJO233" s="173"/>
      <c r="WJP233" s="173"/>
      <c r="WJQ233" s="173"/>
      <c r="WJR233" s="173"/>
      <c r="WJS233" s="173"/>
      <c r="WJT233" s="173"/>
      <c r="WJU233" s="125"/>
      <c r="WJV233" s="125"/>
      <c r="WJW233" s="134"/>
      <c r="WJX233" s="135"/>
      <c r="WJY233" s="135"/>
      <c r="WJZ233" s="135"/>
      <c r="WKA233" s="135"/>
      <c r="WKB233" s="173"/>
      <c r="WKC233" s="173"/>
      <c r="WKD233" s="173"/>
      <c r="WKE233" s="173"/>
      <c r="WKF233" s="173"/>
      <c r="WKG233" s="173"/>
      <c r="WKH233" s="173"/>
      <c r="WKI233" s="173"/>
      <c r="WKJ233" s="173"/>
      <c r="WKK233" s="173"/>
      <c r="WKL233" s="125"/>
      <c r="WKM233" s="125"/>
      <c r="WKN233" s="134"/>
      <c r="WKO233" s="135"/>
      <c r="WKP233" s="135"/>
      <c r="WKQ233" s="135"/>
      <c r="WKR233" s="135"/>
      <c r="WKS233" s="173"/>
      <c r="WKT233" s="173"/>
      <c r="WKU233" s="173"/>
      <c r="WKV233" s="173"/>
      <c r="WKW233" s="173"/>
      <c r="WKX233" s="173"/>
      <c r="WKY233" s="173"/>
      <c r="WKZ233" s="173"/>
      <c r="WLA233" s="173"/>
      <c r="WLB233" s="173"/>
      <c r="WLC233" s="125"/>
      <c r="WLD233" s="125"/>
      <c r="WLE233" s="134"/>
      <c r="WLF233" s="135"/>
      <c r="WLG233" s="135"/>
      <c r="WLH233" s="135"/>
      <c r="WLI233" s="135"/>
      <c r="WLJ233" s="173"/>
      <c r="WLK233" s="173"/>
      <c r="WLL233" s="173"/>
      <c r="WLM233" s="173"/>
      <c r="WLN233" s="173"/>
      <c r="WLO233" s="173"/>
      <c r="WLP233" s="173"/>
      <c r="WLQ233" s="173"/>
      <c r="WLR233" s="173"/>
      <c r="WLS233" s="173"/>
      <c r="WLT233" s="125"/>
      <c r="WLU233" s="125"/>
      <c r="WLV233" s="134"/>
      <c r="WLW233" s="135"/>
      <c r="WLX233" s="135"/>
      <c r="WLY233" s="135"/>
      <c r="WLZ233" s="135"/>
      <c r="WMA233" s="173"/>
      <c r="WMB233" s="173"/>
      <c r="WMC233" s="173"/>
      <c r="WMD233" s="173"/>
      <c r="WME233" s="173"/>
      <c r="WMF233" s="173"/>
      <c r="WMG233" s="173"/>
      <c r="WMH233" s="173"/>
      <c r="WMI233" s="173"/>
      <c r="WMJ233" s="173"/>
      <c r="WMK233" s="125"/>
      <c r="WML233" s="125"/>
      <c r="WMM233" s="134"/>
      <c r="WMN233" s="135"/>
      <c r="WMO233" s="135"/>
      <c r="WMP233" s="135"/>
      <c r="WMQ233" s="135"/>
      <c r="WMR233" s="173"/>
      <c r="WMS233" s="173"/>
      <c r="WMT233" s="173"/>
      <c r="WMU233" s="173"/>
      <c r="WMV233" s="173"/>
      <c r="WMW233" s="173"/>
      <c r="WMX233" s="173"/>
      <c r="WMY233" s="173"/>
      <c r="WMZ233" s="173"/>
      <c r="WNA233" s="173"/>
      <c r="WNB233" s="125"/>
      <c r="WNC233" s="125"/>
      <c r="WND233" s="134"/>
      <c r="WNE233" s="135"/>
      <c r="WNF233" s="135"/>
      <c r="WNG233" s="135"/>
      <c r="WNH233" s="135"/>
      <c r="WNI233" s="173"/>
      <c r="WNJ233" s="173"/>
      <c r="WNK233" s="173"/>
      <c r="WNL233" s="173"/>
      <c r="WNM233" s="173"/>
      <c r="WNN233" s="173"/>
      <c r="WNO233" s="173"/>
      <c r="WNP233" s="173"/>
      <c r="WNQ233" s="173"/>
      <c r="WNR233" s="173"/>
      <c r="WNS233" s="125"/>
      <c r="WNT233" s="125"/>
      <c r="WNU233" s="134"/>
      <c r="WNV233" s="135"/>
      <c r="WNW233" s="135"/>
      <c r="WNX233" s="135"/>
      <c r="WNY233" s="135"/>
      <c r="WNZ233" s="173"/>
      <c r="WOA233" s="173"/>
      <c r="WOB233" s="173"/>
      <c r="WOC233" s="173"/>
      <c r="WOD233" s="173"/>
      <c r="WOE233" s="173"/>
      <c r="WOF233" s="173"/>
      <c r="WOG233" s="173"/>
      <c r="WOH233" s="173"/>
      <c r="WOI233" s="173"/>
      <c r="WOJ233" s="125"/>
      <c r="WOK233" s="125"/>
      <c r="WOL233" s="134"/>
      <c r="WOM233" s="135"/>
      <c r="WON233" s="135"/>
      <c r="WOO233" s="135"/>
      <c r="WOP233" s="135"/>
      <c r="WOQ233" s="173"/>
      <c r="WOR233" s="173"/>
      <c r="WOS233" s="173"/>
      <c r="WOT233" s="173"/>
      <c r="WOU233" s="173"/>
      <c r="WOV233" s="173"/>
      <c r="WOW233" s="173"/>
      <c r="WOX233" s="173"/>
      <c r="WOY233" s="173"/>
      <c r="WOZ233" s="173"/>
      <c r="WPA233" s="125"/>
      <c r="WPB233" s="125"/>
      <c r="WPC233" s="134"/>
      <c r="WPD233" s="135"/>
      <c r="WPE233" s="135"/>
      <c r="WPF233" s="135"/>
      <c r="WPG233" s="135"/>
      <c r="WPH233" s="173"/>
      <c r="WPI233" s="173"/>
      <c r="WPJ233" s="173"/>
      <c r="WPK233" s="173"/>
      <c r="WPL233" s="173"/>
      <c r="WPM233" s="173"/>
      <c r="WPN233" s="173"/>
      <c r="WPO233" s="173"/>
      <c r="WPP233" s="173"/>
      <c r="WPQ233" s="173"/>
      <c r="WPR233" s="125"/>
      <c r="WPS233" s="125"/>
      <c r="WPT233" s="134"/>
      <c r="WPU233" s="135"/>
      <c r="WPV233" s="135"/>
      <c r="WPW233" s="135"/>
      <c r="WPX233" s="135"/>
      <c r="WPY233" s="173"/>
      <c r="WPZ233" s="173"/>
      <c r="WQA233" s="173"/>
      <c r="WQB233" s="173"/>
      <c r="WQC233" s="173"/>
      <c r="WQD233" s="173"/>
      <c r="WQE233" s="173"/>
      <c r="WQF233" s="173"/>
      <c r="WQG233" s="173"/>
      <c r="WQH233" s="173"/>
      <c r="WQI233" s="125"/>
      <c r="WQJ233" s="125"/>
      <c r="WQK233" s="134"/>
      <c r="WQL233" s="135"/>
      <c r="WQM233" s="135"/>
      <c r="WQN233" s="135"/>
      <c r="WQO233" s="135"/>
      <c r="WQP233" s="173"/>
      <c r="WQQ233" s="173"/>
      <c r="WQR233" s="173"/>
      <c r="WQS233" s="173"/>
      <c r="WQT233" s="173"/>
      <c r="WQU233" s="173"/>
      <c r="WQV233" s="173"/>
      <c r="WQW233" s="173"/>
      <c r="WQX233" s="173"/>
      <c r="WQY233" s="173"/>
      <c r="WQZ233" s="125"/>
      <c r="WRA233" s="125"/>
      <c r="WRB233" s="134"/>
      <c r="WRC233" s="135"/>
      <c r="WRD233" s="135"/>
      <c r="WRE233" s="135"/>
      <c r="WRF233" s="135"/>
      <c r="WRG233" s="173"/>
      <c r="WRH233" s="173"/>
      <c r="WRI233" s="173"/>
      <c r="WRJ233" s="173"/>
      <c r="WRK233" s="173"/>
      <c r="WRL233" s="173"/>
      <c r="WRM233" s="173"/>
      <c r="WRN233" s="173"/>
      <c r="WRO233" s="173"/>
      <c r="WRP233" s="173"/>
      <c r="WRQ233" s="125"/>
      <c r="WRR233" s="125"/>
      <c r="WRS233" s="134"/>
      <c r="WRT233" s="135"/>
      <c r="WRU233" s="135"/>
      <c r="WRV233" s="135"/>
      <c r="WRW233" s="135"/>
      <c r="WRX233" s="173"/>
      <c r="WRY233" s="173"/>
      <c r="WRZ233" s="173"/>
      <c r="WSA233" s="173"/>
      <c r="WSB233" s="173"/>
      <c r="WSC233" s="173"/>
      <c r="WSD233" s="173"/>
      <c r="WSE233" s="173"/>
      <c r="WSF233" s="173"/>
      <c r="WSG233" s="173"/>
      <c r="WSH233" s="125"/>
      <c r="WSI233" s="125"/>
      <c r="WSJ233" s="134"/>
      <c r="WSK233" s="135"/>
      <c r="WSL233" s="135"/>
      <c r="WSM233" s="135"/>
      <c r="WSN233" s="135"/>
      <c r="WSO233" s="173"/>
      <c r="WSP233" s="173"/>
      <c r="WSQ233" s="173"/>
      <c r="WSR233" s="173"/>
      <c r="WSS233" s="173"/>
      <c r="WST233" s="173"/>
      <c r="WSU233" s="173"/>
      <c r="WSV233" s="173"/>
      <c r="WSW233" s="173"/>
      <c r="WSX233" s="173"/>
      <c r="WSY233" s="125"/>
      <c r="WSZ233" s="125"/>
      <c r="WTA233" s="134"/>
      <c r="WTB233" s="135"/>
      <c r="WTC233" s="135"/>
      <c r="WTD233" s="135"/>
      <c r="WTE233" s="135"/>
      <c r="WTF233" s="173"/>
      <c r="WTG233" s="173"/>
      <c r="WTH233" s="173"/>
      <c r="WTI233" s="173"/>
      <c r="WTJ233" s="173"/>
      <c r="WTK233" s="173"/>
      <c r="WTL233" s="173"/>
      <c r="WTM233" s="173"/>
      <c r="WTN233" s="173"/>
      <c r="WTO233" s="173"/>
      <c r="WTP233" s="125"/>
      <c r="WTQ233" s="125"/>
      <c r="WTR233" s="134"/>
      <c r="WTS233" s="135"/>
      <c r="WTT233" s="135"/>
      <c r="WTU233" s="135"/>
      <c r="WTV233" s="135"/>
      <c r="WTW233" s="173"/>
      <c r="WTX233" s="173"/>
      <c r="WTY233" s="173"/>
      <c r="WTZ233" s="173"/>
      <c r="WUA233" s="173"/>
      <c r="WUB233" s="173"/>
      <c r="WUC233" s="173"/>
      <c r="WUD233" s="173"/>
      <c r="WUE233" s="173"/>
      <c r="WUF233" s="173"/>
      <c r="WUG233" s="125"/>
      <c r="WUH233" s="125"/>
      <c r="WUI233" s="134"/>
      <c r="WUJ233" s="135"/>
      <c r="WUK233" s="135"/>
      <c r="WUL233" s="135"/>
      <c r="WUM233" s="135"/>
      <c r="WUN233" s="173"/>
      <c r="WUO233" s="173"/>
      <c r="WUP233" s="173"/>
      <c r="WUQ233" s="173"/>
      <c r="WUR233" s="173"/>
      <c r="WUS233" s="173"/>
      <c r="WUT233" s="173"/>
      <c r="WUU233" s="173"/>
      <c r="WUV233" s="173"/>
      <c r="WUW233" s="173"/>
      <c r="WUX233" s="125"/>
      <c r="WUY233" s="125"/>
      <c r="WUZ233" s="134"/>
      <c r="WVA233" s="135"/>
      <c r="WVB233" s="135"/>
      <c r="WVC233" s="135"/>
      <c r="WVD233" s="135"/>
      <c r="WVE233" s="173"/>
      <c r="WVF233" s="173"/>
      <c r="WVG233" s="173"/>
      <c r="WVH233" s="173"/>
      <c r="WVI233" s="173"/>
      <c r="WVJ233" s="173"/>
      <c r="WVK233" s="173"/>
      <c r="WVL233" s="173"/>
      <c r="WVM233" s="173"/>
      <c r="WVN233" s="173"/>
      <c r="WVO233" s="125"/>
      <c r="WVP233" s="125"/>
      <c r="WVQ233" s="134"/>
      <c r="WVR233" s="135"/>
      <c r="WVS233" s="135"/>
      <c r="WVT233" s="135"/>
      <c r="WVU233" s="135"/>
      <c r="WVV233" s="173"/>
      <c r="WVW233" s="173"/>
      <c r="WVX233" s="173"/>
      <c r="WVY233" s="173"/>
      <c r="WVZ233" s="173"/>
      <c r="WWA233" s="173"/>
      <c r="WWB233" s="173"/>
      <c r="WWC233" s="173"/>
      <c r="WWD233" s="173"/>
      <c r="WWE233" s="173"/>
      <c r="WWF233" s="125"/>
      <c r="WWG233" s="125"/>
      <c r="WWH233" s="134"/>
      <c r="WWI233" s="135"/>
      <c r="WWJ233" s="135"/>
      <c r="WWK233" s="135"/>
      <c r="WWL233" s="135"/>
      <c r="WWM233" s="173"/>
      <c r="WWN233" s="173"/>
      <c r="WWO233" s="173"/>
      <c r="WWP233" s="173"/>
      <c r="WWQ233" s="173"/>
      <c r="WWR233" s="173"/>
      <c r="WWS233" s="173"/>
      <c r="WWT233" s="173"/>
      <c r="WWU233" s="173"/>
      <c r="WWV233" s="173"/>
      <c r="WWW233" s="125"/>
      <c r="WWX233" s="125"/>
      <c r="WWY233" s="134"/>
      <c r="WWZ233" s="135"/>
      <c r="WXA233" s="135"/>
      <c r="WXB233" s="135"/>
      <c r="WXC233" s="135"/>
      <c r="WXD233" s="173"/>
      <c r="WXE233" s="173"/>
      <c r="WXF233" s="173"/>
      <c r="WXG233" s="173"/>
      <c r="WXH233" s="173"/>
      <c r="WXI233" s="173"/>
      <c r="WXJ233" s="173"/>
      <c r="WXK233" s="173"/>
      <c r="WXL233" s="173"/>
      <c r="WXM233" s="173"/>
      <c r="WXN233" s="125"/>
      <c r="WXO233" s="125"/>
      <c r="WXP233" s="134"/>
      <c r="WXQ233" s="135"/>
      <c r="WXR233" s="135"/>
      <c r="WXS233" s="135"/>
      <c r="WXT233" s="135"/>
      <c r="WXU233" s="173"/>
      <c r="WXV233" s="173"/>
      <c r="WXW233" s="173"/>
      <c r="WXX233" s="173"/>
      <c r="WXY233" s="173"/>
      <c r="WXZ233" s="173"/>
      <c r="WYA233" s="173"/>
      <c r="WYB233" s="173"/>
      <c r="WYC233" s="173"/>
      <c r="WYD233" s="173"/>
      <c r="WYE233" s="125"/>
      <c r="WYF233" s="125"/>
      <c r="WYG233" s="134"/>
      <c r="WYH233" s="135"/>
      <c r="WYI233" s="135"/>
      <c r="WYJ233" s="135"/>
      <c r="WYK233" s="135"/>
      <c r="WYL233" s="173"/>
      <c r="WYM233" s="173"/>
      <c r="WYN233" s="173"/>
      <c r="WYO233" s="173"/>
      <c r="WYP233" s="173"/>
      <c r="WYQ233" s="173"/>
      <c r="WYR233" s="173"/>
      <c r="WYS233" s="173"/>
      <c r="WYT233" s="173"/>
      <c r="WYU233" s="173"/>
      <c r="WYV233" s="125"/>
      <c r="WYW233" s="125"/>
      <c r="WYX233" s="134"/>
      <c r="WYY233" s="135"/>
      <c r="WYZ233" s="135"/>
      <c r="WZA233" s="135"/>
      <c r="WZB233" s="135"/>
      <c r="WZC233" s="173"/>
      <c r="WZD233" s="173"/>
      <c r="WZE233" s="173"/>
      <c r="WZF233" s="173"/>
      <c r="WZG233" s="173"/>
      <c r="WZH233" s="173"/>
      <c r="WZI233" s="173"/>
      <c r="WZJ233" s="173"/>
      <c r="WZK233" s="173"/>
      <c r="WZL233" s="173"/>
      <c r="WZM233" s="125"/>
      <c r="WZN233" s="125"/>
      <c r="WZO233" s="134"/>
      <c r="WZP233" s="135"/>
      <c r="WZQ233" s="135"/>
      <c r="WZR233" s="135"/>
      <c r="WZS233" s="135"/>
      <c r="WZT233" s="173"/>
      <c r="WZU233" s="173"/>
      <c r="WZV233" s="173"/>
      <c r="WZW233" s="173"/>
      <c r="WZX233" s="173"/>
      <c r="WZY233" s="173"/>
      <c r="WZZ233" s="173"/>
      <c r="XAA233" s="173"/>
      <c r="XAB233" s="173"/>
      <c r="XAC233" s="173"/>
      <c r="XAD233" s="125"/>
      <c r="XAE233" s="125"/>
      <c r="XAF233" s="134"/>
      <c r="XAG233" s="135"/>
      <c r="XAH233" s="135"/>
      <c r="XAI233" s="135"/>
      <c r="XAJ233" s="135"/>
      <c r="XAK233" s="173"/>
      <c r="XAL233" s="173"/>
      <c r="XAM233" s="173"/>
      <c r="XAN233" s="173"/>
      <c r="XAO233" s="173"/>
      <c r="XAP233" s="173"/>
      <c r="XAQ233" s="173"/>
      <c r="XAR233" s="173"/>
      <c r="XAS233" s="173"/>
      <c r="XAT233" s="173"/>
      <c r="XAU233" s="125"/>
      <c r="XAV233" s="125"/>
      <c r="XAW233" s="134"/>
      <c r="XAX233" s="135"/>
      <c r="XAY233" s="135"/>
      <c r="XAZ233" s="135"/>
      <c r="XBA233" s="135"/>
      <c r="XBB233" s="173"/>
      <c r="XBC233" s="173"/>
      <c r="XBD233" s="173"/>
      <c r="XBE233" s="173"/>
      <c r="XBF233" s="173"/>
      <c r="XBG233" s="173"/>
      <c r="XBH233" s="173"/>
      <c r="XBI233" s="173"/>
      <c r="XBJ233" s="173"/>
      <c r="XBK233" s="173"/>
      <c r="XBL233" s="125"/>
      <c r="XBM233" s="125"/>
      <c r="XBN233" s="134"/>
      <c r="XBO233" s="135"/>
      <c r="XBP233" s="135"/>
      <c r="XBQ233" s="135"/>
      <c r="XBR233" s="135"/>
      <c r="XBS233" s="173"/>
      <c r="XBT233" s="173"/>
      <c r="XBU233" s="173"/>
      <c r="XBV233" s="173"/>
      <c r="XBW233" s="173"/>
      <c r="XBX233" s="173"/>
      <c r="XBY233" s="173"/>
      <c r="XBZ233" s="173"/>
      <c r="XCA233" s="173"/>
      <c r="XCB233" s="173"/>
      <c r="XCC233" s="125"/>
      <c r="XCD233" s="125"/>
      <c r="XCE233" s="134"/>
      <c r="XCF233" s="135"/>
      <c r="XCG233" s="135"/>
      <c r="XCH233" s="135"/>
      <c r="XCI233" s="135"/>
      <c r="XCJ233" s="173"/>
      <c r="XCK233" s="173"/>
      <c r="XCL233" s="173"/>
      <c r="XCM233" s="173"/>
      <c r="XCN233" s="173"/>
      <c r="XCO233" s="173"/>
      <c r="XCP233" s="173"/>
      <c r="XCQ233" s="173"/>
      <c r="XCR233" s="173"/>
      <c r="XCS233" s="173"/>
      <c r="XCT233" s="125"/>
      <c r="XCU233" s="125"/>
      <c r="XCV233" s="134"/>
      <c r="XCW233" s="135"/>
      <c r="XCX233" s="135"/>
      <c r="XCY233" s="135"/>
      <c r="XCZ233" s="135"/>
      <c r="XDA233" s="173"/>
      <c r="XDB233" s="173"/>
      <c r="XDC233" s="173"/>
      <c r="XDD233" s="173"/>
      <c r="XDE233" s="173"/>
      <c r="XDF233" s="173"/>
      <c r="XDG233" s="173"/>
      <c r="XDH233" s="173"/>
      <c r="XDI233" s="173"/>
      <c r="XDJ233" s="173"/>
      <c r="XDK233" s="125"/>
      <c r="XDL233" s="125"/>
      <c r="XDM233" s="134"/>
      <c r="XDN233" s="135"/>
      <c r="XDO233" s="135"/>
      <c r="XDP233" s="135"/>
      <c r="XDQ233" s="135"/>
      <c r="XDR233" s="173"/>
      <c r="XDS233" s="173"/>
      <c r="XDT233" s="173"/>
      <c r="XDU233" s="173"/>
      <c r="XDV233" s="173"/>
      <c r="XDW233" s="173"/>
      <c r="XDX233" s="173"/>
      <c r="XDY233" s="173"/>
      <c r="XDZ233" s="173"/>
      <c r="XEA233" s="173"/>
      <c r="XEB233" s="125"/>
      <c r="XEC233" s="125"/>
      <c r="XED233" s="134"/>
      <c r="XEE233" s="135"/>
      <c r="XEF233" s="135"/>
      <c r="XEG233" s="135"/>
      <c r="XEH233" s="135"/>
      <c r="XEI233" s="173"/>
      <c r="XEJ233" s="173"/>
      <c r="XEK233" s="173"/>
      <c r="XEL233" s="173"/>
      <c r="XEM233" s="173"/>
      <c r="XEN233" s="173"/>
      <c r="XEO233" s="173"/>
      <c r="XEP233" s="173"/>
      <c r="XEQ233" s="173"/>
      <c r="XER233" s="173"/>
      <c r="XES233" s="125"/>
      <c r="XET233" s="125"/>
      <c r="XEU233" s="134"/>
      <c r="XEV233" s="135"/>
      <c r="XEW233" s="135"/>
      <c r="XEX233" s="135"/>
      <c r="XEY233" s="135"/>
      <c r="XEZ233" s="173"/>
      <c r="XFA233" s="173"/>
      <c r="XFB233" s="173"/>
    </row>
    <row r="234" spans="1:16382" hidden="1">
      <c r="C234" s="164" t="s">
        <v>184</v>
      </c>
      <c r="G234" s="164" t="s">
        <v>176</v>
      </c>
      <c r="J234" s="170" t="e">
        <f t="shared" ref="J234:R234" si="162">J233/I233-1</f>
        <v>#DIV/0!</v>
      </c>
      <c r="K234" s="170" t="e">
        <f t="shared" si="162"/>
        <v>#DIV/0!</v>
      </c>
      <c r="L234" s="170" t="e">
        <f t="shared" si="162"/>
        <v>#DIV/0!</v>
      </c>
      <c r="M234" s="170" t="e">
        <f t="shared" si="162"/>
        <v>#DIV/0!</v>
      </c>
      <c r="N234" s="170" t="e">
        <f t="shared" si="162"/>
        <v>#DIV/0!</v>
      </c>
      <c r="O234" s="170" t="e">
        <f t="shared" si="162"/>
        <v>#DIV/0!</v>
      </c>
      <c r="P234" s="170" t="e">
        <f t="shared" si="162"/>
        <v>#DIV/0!</v>
      </c>
      <c r="Q234" s="170" t="e">
        <f t="shared" si="162"/>
        <v>#DIV/0!</v>
      </c>
      <c r="R234" s="170" t="e">
        <f t="shared" si="162"/>
        <v>#DIV/0!</v>
      </c>
      <c r="S234"/>
      <c r="T234"/>
      <c r="U234"/>
      <c r="V234"/>
      <c r="W234"/>
      <c r="X234"/>
      <c r="Y234"/>
      <c r="AA234"/>
      <c r="AB234"/>
      <c r="AC234"/>
      <c r="AD234"/>
    </row>
    <row r="235" spans="1:16382" hidden="1">
      <c r="A235" s="4" t="str">
        <f>'[7]Input sheet'!A97</f>
        <v>Turkey</v>
      </c>
      <c r="B235" s="129" t="str">
        <f>'[7]Input sheet'!B97</f>
        <v>Employment</v>
      </c>
      <c r="C235" s="4" t="str">
        <f>'[7]Input sheet'!C97</f>
        <v>Total Tourism Employment as a Percentage of Total Employment</v>
      </c>
      <c r="D235" s="2" t="str">
        <f>'[7]Input sheet'!D97</f>
        <v>Accommodation</v>
      </c>
      <c r="G235" s="1" t="str">
        <f>'[7]Input sheet'!G97</f>
        <v>%</v>
      </c>
      <c r="H235" s="187" t="e">
        <f>H211/H$508</f>
        <v>#DIV/0!</v>
      </c>
      <c r="I235" s="187" t="e">
        <f>I211/I$508</f>
        <v>#DIV/0!</v>
      </c>
      <c r="J235" s="187" t="e">
        <f t="shared" ref="J235:R247" si="163">J211/J$508</f>
        <v>#DIV/0!</v>
      </c>
      <c r="K235" s="187" t="e">
        <f t="shared" si="163"/>
        <v>#DIV/0!</v>
      </c>
      <c r="L235" s="187" t="e">
        <f t="shared" si="163"/>
        <v>#DIV/0!</v>
      </c>
      <c r="M235" s="187" t="e">
        <f t="shared" si="163"/>
        <v>#DIV/0!</v>
      </c>
      <c r="N235" s="187" t="e">
        <f t="shared" si="163"/>
        <v>#DIV/0!</v>
      </c>
      <c r="O235" s="187" t="e">
        <f t="shared" si="163"/>
        <v>#DIV/0!</v>
      </c>
      <c r="P235" s="187" t="e">
        <f t="shared" si="163"/>
        <v>#DIV/0!</v>
      </c>
      <c r="Q235" s="187" t="e">
        <f t="shared" si="163"/>
        <v>#DIV/0!</v>
      </c>
      <c r="R235" s="187" t="e">
        <f t="shared" si="163"/>
        <v>#DIV/0!</v>
      </c>
      <c r="S235"/>
      <c r="T235"/>
      <c r="U235"/>
      <c r="V235"/>
      <c r="W235"/>
      <c r="X235"/>
      <c r="Y235"/>
      <c r="AA235"/>
      <c r="AB235"/>
      <c r="AC235"/>
      <c r="AD235"/>
    </row>
    <row r="236" spans="1:16382" hidden="1">
      <c r="C236" s="164" t="s">
        <v>184</v>
      </c>
      <c r="G236" s="164" t="s">
        <v>176</v>
      </c>
      <c r="J236" s="170" t="e">
        <f t="shared" ref="J236:R236" si="164">J235/I235-1</f>
        <v>#DIV/0!</v>
      </c>
      <c r="K236" s="170" t="e">
        <f t="shared" si="164"/>
        <v>#DIV/0!</v>
      </c>
      <c r="L236" s="170" t="e">
        <f t="shared" si="164"/>
        <v>#DIV/0!</v>
      </c>
      <c r="M236" s="170" t="e">
        <f t="shared" si="164"/>
        <v>#DIV/0!</v>
      </c>
      <c r="N236" s="170" t="e">
        <f t="shared" si="164"/>
        <v>#DIV/0!</v>
      </c>
      <c r="O236" s="170" t="e">
        <f t="shared" si="164"/>
        <v>#DIV/0!</v>
      </c>
      <c r="P236" s="170" t="e">
        <f t="shared" si="164"/>
        <v>#DIV/0!</v>
      </c>
      <c r="Q236" s="170" t="e">
        <f t="shared" si="164"/>
        <v>#DIV/0!</v>
      </c>
      <c r="R236" s="170" t="e">
        <f t="shared" si="164"/>
        <v>#DIV/0!</v>
      </c>
      <c r="S236"/>
      <c r="T236"/>
      <c r="U236"/>
      <c r="V236"/>
      <c r="W236"/>
      <c r="X236"/>
      <c r="Y236"/>
      <c r="AA236"/>
      <c r="AB236"/>
      <c r="AC236"/>
      <c r="AD236"/>
    </row>
    <row r="237" spans="1:16382" hidden="1">
      <c r="A237" s="4" t="str">
        <f>'[7]Input sheet'!A98</f>
        <v>Turkey</v>
      </c>
      <c r="B237" s="129" t="str">
        <f>'[7]Input sheet'!B98</f>
        <v>Employment</v>
      </c>
      <c r="C237" s="4" t="str">
        <f>'[7]Input sheet'!C98</f>
        <v>Total Tourism Employment as a Percentage of Total Employment</v>
      </c>
      <c r="D237" s="2" t="str">
        <f>'[7]Input sheet'!D98</f>
        <v>Entertainment &amp; Sightseeing</v>
      </c>
      <c r="G237" s="1" t="str">
        <f>'[7]Input sheet'!G98</f>
        <v>%</v>
      </c>
      <c r="H237" s="187" t="e">
        <f>H213/H$508</f>
        <v>#DIV/0!</v>
      </c>
      <c r="I237" s="187" t="e">
        <f>I213/I$508</f>
        <v>#DIV/0!</v>
      </c>
      <c r="J237" s="187" t="e">
        <f t="shared" si="163"/>
        <v>#DIV/0!</v>
      </c>
      <c r="K237" s="187" t="e">
        <f t="shared" si="163"/>
        <v>#DIV/0!</v>
      </c>
      <c r="L237" s="187" t="e">
        <f t="shared" si="163"/>
        <v>#DIV/0!</v>
      </c>
      <c r="M237" s="187" t="e">
        <f t="shared" si="163"/>
        <v>#DIV/0!</v>
      </c>
      <c r="N237" s="187" t="e">
        <f t="shared" si="163"/>
        <v>#DIV/0!</v>
      </c>
      <c r="O237" s="187" t="e">
        <f t="shared" si="163"/>
        <v>#DIV/0!</v>
      </c>
      <c r="P237" s="187" t="e">
        <f t="shared" si="163"/>
        <v>#DIV/0!</v>
      </c>
      <c r="Q237" s="187" t="e">
        <f t="shared" si="163"/>
        <v>#DIV/0!</v>
      </c>
      <c r="R237" s="187" t="e">
        <f t="shared" si="163"/>
        <v>#DIV/0!</v>
      </c>
      <c r="S237"/>
      <c r="T237"/>
      <c r="U237"/>
      <c r="V237"/>
      <c r="W237"/>
      <c r="X237"/>
      <c r="Y237"/>
      <c r="AA237"/>
      <c r="AB237"/>
      <c r="AC237"/>
      <c r="AD237"/>
    </row>
    <row r="238" spans="1:16382" hidden="1">
      <c r="C238" s="164" t="s">
        <v>184</v>
      </c>
      <c r="G238" s="164" t="s">
        <v>176</v>
      </c>
      <c r="J238" s="170" t="e">
        <f t="shared" ref="J238:R238" si="165">J237/I237-1</f>
        <v>#DIV/0!</v>
      </c>
      <c r="K238" s="170" t="e">
        <f t="shared" si="165"/>
        <v>#DIV/0!</v>
      </c>
      <c r="L238" s="170" t="e">
        <f t="shared" si="165"/>
        <v>#DIV/0!</v>
      </c>
      <c r="M238" s="170" t="e">
        <f t="shared" si="165"/>
        <v>#DIV/0!</v>
      </c>
      <c r="N238" s="170" t="e">
        <f t="shared" si="165"/>
        <v>#DIV/0!</v>
      </c>
      <c r="O238" s="170" t="e">
        <f t="shared" si="165"/>
        <v>#DIV/0!</v>
      </c>
      <c r="P238" s="170" t="e">
        <f t="shared" si="165"/>
        <v>#DIV/0!</v>
      </c>
      <c r="Q238" s="170" t="e">
        <f t="shared" si="165"/>
        <v>#DIV/0!</v>
      </c>
      <c r="R238" s="170" t="e">
        <f t="shared" si="165"/>
        <v>#DIV/0!</v>
      </c>
      <c r="S238"/>
      <c r="T238"/>
      <c r="U238"/>
      <c r="V238"/>
      <c r="W238"/>
      <c r="X238"/>
      <c r="Y238"/>
      <c r="AA238"/>
      <c r="AB238"/>
      <c r="AC238"/>
      <c r="AD238"/>
    </row>
    <row r="239" spans="1:16382" hidden="1">
      <c r="A239" s="4" t="str">
        <f>'[7]Input sheet'!A99</f>
        <v>Turkey</v>
      </c>
      <c r="B239" s="129" t="str">
        <f>'[7]Input sheet'!B99</f>
        <v>Employment</v>
      </c>
      <c r="C239" s="4" t="str">
        <f>'[7]Input sheet'!C99</f>
        <v>Total Tourism Employment as a Percentage of Total Employment</v>
      </c>
      <c r="D239" s="2" t="str">
        <f>'[7]Input sheet'!D99</f>
        <v>Foodservice</v>
      </c>
      <c r="G239" s="1" t="str">
        <f>'[7]Input sheet'!G99</f>
        <v>%</v>
      </c>
      <c r="H239" s="187" t="e">
        <f>H215/H$508</f>
        <v>#DIV/0!</v>
      </c>
      <c r="I239" s="187" t="e">
        <f>I215/I$508</f>
        <v>#DIV/0!</v>
      </c>
      <c r="J239" s="187" t="e">
        <f t="shared" si="163"/>
        <v>#DIV/0!</v>
      </c>
      <c r="K239" s="187" t="e">
        <f t="shared" si="163"/>
        <v>#DIV/0!</v>
      </c>
      <c r="L239" s="187" t="e">
        <f t="shared" si="163"/>
        <v>#DIV/0!</v>
      </c>
      <c r="M239" s="187" t="e">
        <f t="shared" si="163"/>
        <v>#DIV/0!</v>
      </c>
      <c r="N239" s="187" t="e">
        <f t="shared" si="163"/>
        <v>#DIV/0!</v>
      </c>
      <c r="O239" s="187" t="e">
        <f t="shared" si="163"/>
        <v>#DIV/0!</v>
      </c>
      <c r="P239" s="187" t="e">
        <f t="shared" si="163"/>
        <v>#DIV/0!</v>
      </c>
      <c r="Q239" s="187" t="e">
        <f t="shared" si="163"/>
        <v>#DIV/0!</v>
      </c>
      <c r="R239" s="187" t="e">
        <f t="shared" si="163"/>
        <v>#DIV/0!</v>
      </c>
      <c r="S239"/>
      <c r="T239"/>
      <c r="U239"/>
      <c r="V239"/>
      <c r="W239"/>
      <c r="X239"/>
      <c r="Y239"/>
      <c r="AA239"/>
      <c r="AB239"/>
      <c r="AC239"/>
      <c r="AD239"/>
    </row>
    <row r="240" spans="1:16382" hidden="1">
      <c r="C240" s="164" t="s">
        <v>184</v>
      </c>
      <c r="G240" s="164" t="s">
        <v>176</v>
      </c>
      <c r="J240" s="170" t="e">
        <f t="shared" ref="J240:R240" si="166">J239/I239-1</f>
        <v>#DIV/0!</v>
      </c>
      <c r="K240" s="170" t="e">
        <f t="shared" si="166"/>
        <v>#DIV/0!</v>
      </c>
      <c r="L240" s="170" t="e">
        <f t="shared" si="166"/>
        <v>#DIV/0!</v>
      </c>
      <c r="M240" s="170" t="e">
        <f t="shared" si="166"/>
        <v>#DIV/0!</v>
      </c>
      <c r="N240" s="170" t="e">
        <f t="shared" si="166"/>
        <v>#DIV/0!</v>
      </c>
      <c r="O240" s="170" t="e">
        <f t="shared" si="166"/>
        <v>#DIV/0!</v>
      </c>
      <c r="P240" s="170" t="e">
        <f t="shared" si="166"/>
        <v>#DIV/0!</v>
      </c>
      <c r="Q240" s="170" t="e">
        <f t="shared" si="166"/>
        <v>#DIV/0!</v>
      </c>
      <c r="R240" s="170" t="e">
        <f t="shared" si="166"/>
        <v>#DIV/0!</v>
      </c>
      <c r="S240"/>
      <c r="T240"/>
      <c r="U240"/>
      <c r="V240"/>
      <c r="W240"/>
      <c r="X240"/>
      <c r="Y240"/>
      <c r="AA240"/>
      <c r="AB240"/>
      <c r="AC240"/>
      <c r="AD240"/>
    </row>
    <row r="241" spans="1:16382" hidden="1">
      <c r="A241" s="4" t="str">
        <f>'[7]Input sheet'!A100</f>
        <v>Turkey</v>
      </c>
      <c r="B241" s="129" t="str">
        <f>'[7]Input sheet'!B100</f>
        <v>Employment</v>
      </c>
      <c r="C241" s="4" t="str">
        <f>'[7]Input sheet'!C100</f>
        <v>Total Tourism Employment as a Percentage of Total Employment</v>
      </c>
      <c r="D241" s="2" t="str">
        <f>'[7]Input sheet'!D100</f>
        <v>Retail</v>
      </c>
      <c r="G241" s="1" t="str">
        <f>'[7]Input sheet'!G100</f>
        <v>%</v>
      </c>
      <c r="H241" s="187" t="e">
        <f>H217/H$508</f>
        <v>#DIV/0!</v>
      </c>
      <c r="I241" s="187" t="e">
        <f>I217/I$508</f>
        <v>#DIV/0!</v>
      </c>
      <c r="J241" s="187" t="e">
        <f t="shared" si="163"/>
        <v>#DIV/0!</v>
      </c>
      <c r="K241" s="187" t="e">
        <f t="shared" si="163"/>
        <v>#DIV/0!</v>
      </c>
      <c r="L241" s="187" t="e">
        <f t="shared" si="163"/>
        <v>#DIV/0!</v>
      </c>
      <c r="M241" s="187" t="e">
        <f t="shared" si="163"/>
        <v>#DIV/0!</v>
      </c>
      <c r="N241" s="187" t="e">
        <f t="shared" si="163"/>
        <v>#DIV/0!</v>
      </c>
      <c r="O241" s="187" t="e">
        <f t="shared" si="163"/>
        <v>#DIV/0!</v>
      </c>
      <c r="P241" s="187" t="e">
        <f t="shared" si="163"/>
        <v>#DIV/0!</v>
      </c>
      <c r="Q241" s="187" t="e">
        <f t="shared" si="163"/>
        <v>#DIV/0!</v>
      </c>
      <c r="R241" s="187" t="e">
        <f t="shared" si="163"/>
        <v>#DIV/0!</v>
      </c>
      <c r="S241"/>
      <c r="T241"/>
      <c r="U241"/>
      <c r="V241"/>
      <c r="W241"/>
      <c r="X241"/>
      <c r="Y241"/>
      <c r="AA241"/>
      <c r="AB241"/>
      <c r="AC241"/>
      <c r="AD241"/>
    </row>
    <row r="242" spans="1:16382" hidden="1">
      <c r="C242" s="164" t="s">
        <v>184</v>
      </c>
      <c r="G242" s="164" t="s">
        <v>176</v>
      </c>
      <c r="J242" s="170" t="e">
        <f t="shared" ref="J242:R242" si="167">J241/I241-1</f>
        <v>#DIV/0!</v>
      </c>
      <c r="K242" s="170" t="e">
        <f t="shared" si="167"/>
        <v>#DIV/0!</v>
      </c>
      <c r="L242" s="170" t="e">
        <f t="shared" si="167"/>
        <v>#DIV/0!</v>
      </c>
      <c r="M242" s="170" t="e">
        <f t="shared" si="167"/>
        <v>#DIV/0!</v>
      </c>
      <c r="N242" s="170" t="e">
        <f t="shared" si="167"/>
        <v>#DIV/0!</v>
      </c>
      <c r="O242" s="170" t="e">
        <f t="shared" si="167"/>
        <v>#DIV/0!</v>
      </c>
      <c r="P242" s="170" t="e">
        <f t="shared" si="167"/>
        <v>#DIV/0!</v>
      </c>
      <c r="Q242" s="170" t="e">
        <f t="shared" si="167"/>
        <v>#DIV/0!</v>
      </c>
      <c r="R242" s="170" t="e">
        <f t="shared" si="167"/>
        <v>#DIV/0!</v>
      </c>
      <c r="S242"/>
      <c r="T242"/>
      <c r="U242"/>
      <c r="V242"/>
      <c r="W242"/>
      <c r="X242"/>
      <c r="Y242"/>
      <c r="AA242"/>
      <c r="AB242"/>
      <c r="AC242"/>
      <c r="AD242"/>
    </row>
    <row r="243" spans="1:16382" hidden="1">
      <c r="A243" s="4" t="str">
        <f>'[7]Input sheet'!A101</f>
        <v>Turkey</v>
      </c>
      <c r="B243" s="129" t="str">
        <f>'[7]Input sheet'!B101</f>
        <v>Employment</v>
      </c>
      <c r="C243" s="4" t="str">
        <f>'[7]Input sheet'!C101</f>
        <v>Total Tourism Employment as a Percentage of Total Employment</v>
      </c>
      <c r="D243" s="2" t="str">
        <f>'[7]Input sheet'!D101</f>
        <v>Transportation</v>
      </c>
      <c r="G243" s="1" t="str">
        <f>'[7]Input sheet'!G101</f>
        <v>%</v>
      </c>
      <c r="H243" s="187" t="e">
        <f>H219/H$508</f>
        <v>#DIV/0!</v>
      </c>
      <c r="I243" s="187" t="e">
        <f>I219/I$508</f>
        <v>#DIV/0!</v>
      </c>
      <c r="J243" s="187" t="e">
        <f t="shared" si="163"/>
        <v>#DIV/0!</v>
      </c>
      <c r="K243" s="187" t="e">
        <f t="shared" si="163"/>
        <v>#DIV/0!</v>
      </c>
      <c r="L243" s="187" t="e">
        <f t="shared" si="163"/>
        <v>#DIV/0!</v>
      </c>
      <c r="M243" s="187" t="e">
        <f t="shared" si="163"/>
        <v>#DIV/0!</v>
      </c>
      <c r="N243" s="187" t="e">
        <f t="shared" si="163"/>
        <v>#DIV/0!</v>
      </c>
      <c r="O243" s="187" t="e">
        <f t="shared" si="163"/>
        <v>#DIV/0!</v>
      </c>
      <c r="P243" s="187" t="e">
        <f t="shared" si="163"/>
        <v>#DIV/0!</v>
      </c>
      <c r="Q243" s="187" t="e">
        <f t="shared" si="163"/>
        <v>#DIV/0!</v>
      </c>
      <c r="R243" s="187" t="e">
        <f t="shared" si="163"/>
        <v>#DIV/0!</v>
      </c>
      <c r="S243"/>
      <c r="T243"/>
      <c r="U243"/>
      <c r="V243"/>
      <c r="W243"/>
      <c r="X243"/>
      <c r="Y243"/>
      <c r="AA243"/>
      <c r="AB243"/>
      <c r="AC243"/>
      <c r="AD243"/>
    </row>
    <row r="244" spans="1:16382" hidden="1">
      <c r="C244" s="164" t="s">
        <v>184</v>
      </c>
      <c r="G244" s="164" t="s">
        <v>176</v>
      </c>
      <c r="J244" s="170" t="e">
        <f t="shared" ref="J244:R244" si="168">J243/I243-1</f>
        <v>#DIV/0!</v>
      </c>
      <c r="K244" s="170" t="e">
        <f t="shared" si="168"/>
        <v>#DIV/0!</v>
      </c>
      <c r="L244" s="170" t="e">
        <f t="shared" si="168"/>
        <v>#DIV/0!</v>
      </c>
      <c r="M244" s="170" t="e">
        <f t="shared" si="168"/>
        <v>#DIV/0!</v>
      </c>
      <c r="N244" s="170" t="e">
        <f t="shared" si="168"/>
        <v>#DIV/0!</v>
      </c>
      <c r="O244" s="170" t="e">
        <f t="shared" si="168"/>
        <v>#DIV/0!</v>
      </c>
      <c r="P244" s="170" t="e">
        <f t="shared" si="168"/>
        <v>#DIV/0!</v>
      </c>
      <c r="Q244" s="170" t="e">
        <f t="shared" si="168"/>
        <v>#DIV/0!</v>
      </c>
      <c r="R244" s="170" t="e">
        <f t="shared" si="168"/>
        <v>#DIV/0!</v>
      </c>
      <c r="S244"/>
      <c r="T244"/>
      <c r="U244"/>
      <c r="V244"/>
      <c r="W244"/>
      <c r="X244"/>
      <c r="Y244"/>
      <c r="AA244"/>
      <c r="AB244"/>
      <c r="AC244"/>
      <c r="AD244"/>
    </row>
    <row r="245" spans="1:16382" hidden="1">
      <c r="A245" s="4" t="str">
        <f>'[7]Input sheet'!A102</f>
        <v>Turkey</v>
      </c>
      <c r="B245" s="129" t="str">
        <f>'[7]Input sheet'!B102</f>
        <v>Employment</v>
      </c>
      <c r="C245" s="4" t="str">
        <f>'[7]Input sheet'!C102</f>
        <v>Total Tourism Employment as a Percentage of Total Employment</v>
      </c>
      <c r="D245" s="2" t="str">
        <f>'[7]Input sheet'!D102</f>
        <v>Travel Intermediation</v>
      </c>
      <c r="G245" s="1" t="str">
        <f>'[7]Input sheet'!G102</f>
        <v>%</v>
      </c>
      <c r="H245" s="187" t="e">
        <f>H221/H$508</f>
        <v>#DIV/0!</v>
      </c>
      <c r="I245" s="187" t="e">
        <f>I221/I$508</f>
        <v>#DIV/0!</v>
      </c>
      <c r="J245" s="187" t="e">
        <f t="shared" si="163"/>
        <v>#DIV/0!</v>
      </c>
      <c r="K245" s="187" t="e">
        <f t="shared" si="163"/>
        <v>#DIV/0!</v>
      </c>
      <c r="L245" s="187" t="e">
        <f t="shared" si="163"/>
        <v>#DIV/0!</v>
      </c>
      <c r="M245" s="187" t="e">
        <f t="shared" si="163"/>
        <v>#DIV/0!</v>
      </c>
      <c r="N245" s="187" t="e">
        <f t="shared" si="163"/>
        <v>#DIV/0!</v>
      </c>
      <c r="O245" s="187" t="e">
        <f t="shared" si="163"/>
        <v>#DIV/0!</v>
      </c>
      <c r="P245" s="187" t="e">
        <f t="shared" si="163"/>
        <v>#DIV/0!</v>
      </c>
      <c r="Q245" s="187" t="e">
        <f t="shared" si="163"/>
        <v>#DIV/0!</v>
      </c>
      <c r="R245" s="187" t="e">
        <f t="shared" si="163"/>
        <v>#DIV/0!</v>
      </c>
      <c r="S245"/>
      <c r="T245"/>
      <c r="U245"/>
      <c r="V245"/>
      <c r="W245"/>
      <c r="X245"/>
      <c r="Y245"/>
      <c r="AA245"/>
      <c r="AB245"/>
      <c r="AC245"/>
      <c r="AD245"/>
    </row>
    <row r="246" spans="1:16382" hidden="1">
      <c r="C246" s="164" t="s">
        <v>184</v>
      </c>
      <c r="G246" s="164" t="s">
        <v>176</v>
      </c>
      <c r="J246" s="170" t="e">
        <f t="shared" ref="J246:R246" si="169">J245/I245-1</f>
        <v>#DIV/0!</v>
      </c>
      <c r="K246" s="170" t="e">
        <f t="shared" si="169"/>
        <v>#DIV/0!</v>
      </c>
      <c r="L246" s="170" t="e">
        <f t="shared" si="169"/>
        <v>#DIV/0!</v>
      </c>
      <c r="M246" s="170" t="e">
        <f t="shared" si="169"/>
        <v>#DIV/0!</v>
      </c>
      <c r="N246" s="170" t="e">
        <f t="shared" si="169"/>
        <v>#DIV/0!</v>
      </c>
      <c r="O246" s="170" t="e">
        <f t="shared" si="169"/>
        <v>#DIV/0!</v>
      </c>
      <c r="P246" s="170" t="e">
        <f t="shared" si="169"/>
        <v>#DIV/0!</v>
      </c>
      <c r="Q246" s="170" t="e">
        <f t="shared" si="169"/>
        <v>#DIV/0!</v>
      </c>
      <c r="R246" s="170" t="e">
        <f t="shared" si="169"/>
        <v>#DIV/0!</v>
      </c>
      <c r="S246"/>
      <c r="T246"/>
      <c r="U246"/>
      <c r="V246"/>
      <c r="W246"/>
      <c r="X246"/>
      <c r="Y246"/>
      <c r="AA246"/>
      <c r="AB246"/>
      <c r="AC246"/>
      <c r="AD246"/>
    </row>
    <row r="247" spans="1:16382" hidden="1">
      <c r="A247" s="4" t="str">
        <f>'[7]Input sheet'!A103</f>
        <v>Turkey</v>
      </c>
      <c r="B247" s="129" t="str">
        <f>'[7]Input sheet'!B103</f>
        <v>Employment</v>
      </c>
      <c r="C247" s="4" t="str">
        <f>'[7]Input sheet'!C103</f>
        <v>Total Tourism Employment as a Percentage of Total Employment</v>
      </c>
      <c r="D247" s="2" t="str">
        <f>'[7]Input sheet'!D103</f>
        <v>Other Sectors</v>
      </c>
      <c r="G247" s="1" t="str">
        <f>'[7]Input sheet'!G103</f>
        <v>%</v>
      </c>
      <c r="H247" s="187" t="e">
        <f>H223/H$508</f>
        <v>#DIV/0!</v>
      </c>
      <c r="I247" s="187" t="e">
        <f>I223/I$508</f>
        <v>#DIV/0!</v>
      </c>
      <c r="J247" s="187" t="e">
        <f t="shared" si="163"/>
        <v>#DIV/0!</v>
      </c>
      <c r="K247" s="187" t="e">
        <f t="shared" si="163"/>
        <v>#DIV/0!</v>
      </c>
      <c r="L247" s="187" t="e">
        <f t="shared" si="163"/>
        <v>#DIV/0!</v>
      </c>
      <c r="M247" s="187" t="e">
        <f t="shared" si="163"/>
        <v>#DIV/0!</v>
      </c>
      <c r="N247" s="187" t="e">
        <f t="shared" si="163"/>
        <v>#DIV/0!</v>
      </c>
      <c r="O247" s="187" t="e">
        <f t="shared" si="163"/>
        <v>#DIV/0!</v>
      </c>
      <c r="P247" s="187" t="e">
        <f t="shared" si="163"/>
        <v>#DIV/0!</v>
      </c>
      <c r="Q247" s="187" t="e">
        <f t="shared" si="163"/>
        <v>#DIV/0!</v>
      </c>
      <c r="R247" s="187" t="e">
        <f t="shared" si="163"/>
        <v>#DIV/0!</v>
      </c>
      <c r="S247"/>
      <c r="T247"/>
      <c r="U247"/>
      <c r="V247"/>
      <c r="W247"/>
      <c r="X247"/>
      <c r="Y247"/>
      <c r="AA247"/>
      <c r="AB247"/>
      <c r="AC247"/>
      <c r="AD247"/>
    </row>
    <row r="248" spans="1:16382" hidden="1">
      <c r="C248" s="164" t="s">
        <v>184</v>
      </c>
      <c r="G248" s="164" t="s">
        <v>176</v>
      </c>
      <c r="J248" s="170" t="e">
        <f t="shared" ref="J248:R248" si="170">J247/I247-1</f>
        <v>#DIV/0!</v>
      </c>
      <c r="K248" s="170" t="e">
        <f t="shared" si="170"/>
        <v>#DIV/0!</v>
      </c>
      <c r="L248" s="170" t="e">
        <f t="shared" si="170"/>
        <v>#DIV/0!</v>
      </c>
      <c r="M248" s="170" t="e">
        <f t="shared" si="170"/>
        <v>#DIV/0!</v>
      </c>
      <c r="N248" s="170" t="e">
        <f t="shared" si="170"/>
        <v>#DIV/0!</v>
      </c>
      <c r="O248" s="170" t="e">
        <f t="shared" si="170"/>
        <v>#DIV/0!</v>
      </c>
      <c r="P248" s="170" t="e">
        <f t="shared" si="170"/>
        <v>#DIV/0!</v>
      </c>
      <c r="Q248" s="170" t="e">
        <f t="shared" si="170"/>
        <v>#DIV/0!</v>
      </c>
      <c r="R248" s="170" t="e">
        <f t="shared" si="170"/>
        <v>#DIV/0!</v>
      </c>
      <c r="S248"/>
      <c r="T248"/>
      <c r="U248"/>
      <c r="V248"/>
      <c r="W248"/>
      <c r="X248"/>
      <c r="Y248"/>
      <c r="AA248"/>
      <c r="AB248"/>
      <c r="AC248"/>
      <c r="AD248"/>
    </row>
    <row r="249" spans="1:16382" hidden="1">
      <c r="A249" s="122" t="str">
        <f>'[7]Input sheet'!A104</f>
        <v>Turkey</v>
      </c>
      <c r="B249" s="122" t="str">
        <f>'[7]Input sheet'!B104</f>
        <v>Salaries</v>
      </c>
      <c r="C249" s="123"/>
      <c r="D249" s="123"/>
      <c r="E249" s="123"/>
      <c r="F249" s="123"/>
      <c r="G249" s="123"/>
      <c r="H249" s="124"/>
      <c r="I249" s="124"/>
      <c r="J249" s="124"/>
      <c r="K249" s="124"/>
      <c r="L249" s="124"/>
      <c r="M249" s="124"/>
      <c r="N249" s="124"/>
      <c r="O249" s="124"/>
      <c r="P249" s="124"/>
      <c r="Q249" s="124"/>
      <c r="R249" s="124"/>
      <c r="S249"/>
      <c r="T249"/>
      <c r="U249"/>
      <c r="V249"/>
      <c r="W249"/>
      <c r="X249"/>
      <c r="Y249"/>
      <c r="AA249"/>
      <c r="AB249"/>
      <c r="AC249"/>
      <c r="AD249"/>
    </row>
    <row r="250" spans="1:16382" hidden="1">
      <c r="C250" s="164" t="s">
        <v>184</v>
      </c>
      <c r="G250" s="164"/>
      <c r="J250" s="182"/>
      <c r="K250" s="182"/>
      <c r="L250" s="182"/>
      <c r="M250" s="182"/>
      <c r="S250"/>
      <c r="T250"/>
      <c r="U250"/>
      <c r="V250"/>
      <c r="W250"/>
      <c r="X250"/>
      <c r="Y250"/>
      <c r="AA250"/>
      <c r="AB250"/>
      <c r="AC250"/>
      <c r="AD250"/>
    </row>
    <row r="251" spans="1:16382" customFormat="1" hidden="1">
      <c r="A251" s="125" t="str">
        <f>'[7]Input sheet'!A105</f>
        <v>Turkey</v>
      </c>
      <c r="B251" s="125" t="str">
        <f>'[7]Input sheet'!B105</f>
        <v>Salaries</v>
      </c>
      <c r="C251" s="134" t="str">
        <f>'[7]Input sheet'!C105</f>
        <v>Average Salary by Sector</v>
      </c>
      <c r="D251" s="134" t="s">
        <v>349</v>
      </c>
      <c r="E251" s="135"/>
      <c r="F251" s="135"/>
      <c r="G251" s="193" t="str">
        <f>Home!$B$2</f>
        <v>Foriant</v>
      </c>
      <c r="H251" s="167" t="e">
        <f t="shared" ref="H251" si="171">(H282*1000)/H209</f>
        <v>#DIV/0!</v>
      </c>
      <c r="I251" s="167" t="e">
        <f t="shared" ref="I251:K251" si="172">(I282*1000)/I209</f>
        <v>#DIV/0!</v>
      </c>
      <c r="J251" s="167" t="e">
        <f t="shared" si="172"/>
        <v>#DIV/0!</v>
      </c>
      <c r="K251" s="167" t="e">
        <f t="shared" si="172"/>
        <v>#DIV/0!</v>
      </c>
      <c r="L251" s="167" t="e">
        <f>(L282*1000)/L209</f>
        <v>#DIV/0!</v>
      </c>
      <c r="M251" s="167" t="e">
        <f>(M282*1000)/M209</f>
        <v>#DIV/0!</v>
      </c>
      <c r="N251" s="173" t="e">
        <f>M251*(1+N252)</f>
        <v>#DIV/0!</v>
      </c>
      <c r="O251" s="173" t="e">
        <f>N251*(1+O252)</f>
        <v>#DIV/0!</v>
      </c>
      <c r="P251" s="173" t="e">
        <f>O251*(1+P252)</f>
        <v>#DIV/0!</v>
      </c>
      <c r="Q251" s="173" t="e">
        <f>P251*(1+Q252)</f>
        <v>#DIV/0!</v>
      </c>
      <c r="R251" s="173" t="e">
        <f>Q251*(1+R252)</f>
        <v>#DIV/0!</v>
      </c>
      <c r="AE251" s="173"/>
      <c r="AF251" s="173"/>
      <c r="AG251" s="173"/>
      <c r="AH251" s="173"/>
      <c r="AI251" s="173"/>
      <c r="AJ251" s="125"/>
      <c r="AK251" s="125"/>
      <c r="AL251" s="134"/>
      <c r="AM251" s="135"/>
      <c r="AN251" s="135"/>
      <c r="AO251" s="135"/>
      <c r="AP251" s="135"/>
      <c r="AQ251" s="173"/>
      <c r="AR251" s="173"/>
      <c r="AS251" s="173"/>
      <c r="AT251" s="173"/>
      <c r="AU251" s="173"/>
      <c r="AV251" s="173"/>
      <c r="AW251" s="173"/>
      <c r="AX251" s="173"/>
      <c r="AY251" s="173"/>
      <c r="AZ251" s="173"/>
      <c r="BA251" s="125"/>
      <c r="BB251" s="125"/>
      <c r="BC251" s="134"/>
      <c r="BD251" s="135"/>
      <c r="BE251" s="135"/>
      <c r="BF251" s="135"/>
      <c r="BG251" s="135"/>
      <c r="BH251" s="173"/>
      <c r="BI251" s="173"/>
      <c r="BJ251" s="173"/>
      <c r="BK251" s="173"/>
      <c r="BL251" s="173"/>
      <c r="BM251" s="173"/>
      <c r="BN251" s="173"/>
      <c r="BO251" s="173"/>
      <c r="BP251" s="173"/>
      <c r="BQ251" s="173"/>
      <c r="BR251" s="125"/>
      <c r="BS251" s="125"/>
      <c r="BT251" s="134"/>
      <c r="BU251" s="135"/>
      <c r="BV251" s="135"/>
      <c r="BW251" s="135"/>
      <c r="BX251" s="135"/>
      <c r="BY251" s="173"/>
      <c r="BZ251" s="173"/>
      <c r="CA251" s="173"/>
      <c r="CB251" s="173"/>
      <c r="CC251" s="173"/>
      <c r="CD251" s="173"/>
      <c r="CE251" s="173"/>
      <c r="CF251" s="173"/>
      <c r="CG251" s="173"/>
      <c r="CH251" s="173"/>
      <c r="CI251" s="125"/>
      <c r="CJ251" s="125"/>
      <c r="CK251" s="134"/>
      <c r="CL251" s="135"/>
      <c r="CM251" s="135"/>
      <c r="CN251" s="135"/>
      <c r="CO251" s="135"/>
      <c r="CP251" s="173"/>
      <c r="CQ251" s="173"/>
      <c r="CR251" s="173"/>
      <c r="CS251" s="173"/>
      <c r="CT251" s="173"/>
      <c r="CU251" s="173"/>
      <c r="CV251" s="173"/>
      <c r="CW251" s="173"/>
      <c r="CX251" s="173"/>
      <c r="CY251" s="173"/>
      <c r="CZ251" s="125"/>
      <c r="DA251" s="125"/>
      <c r="DB251" s="134"/>
      <c r="DC251" s="135"/>
      <c r="DD251" s="135"/>
      <c r="DE251" s="135"/>
      <c r="DF251" s="135"/>
      <c r="DG251" s="173"/>
      <c r="DH251" s="173"/>
      <c r="DI251" s="173"/>
      <c r="DJ251" s="173"/>
      <c r="DK251" s="173"/>
      <c r="DL251" s="173"/>
      <c r="DM251" s="173"/>
      <c r="DN251" s="173"/>
      <c r="DO251" s="173"/>
      <c r="DP251" s="173"/>
      <c r="DQ251" s="125"/>
      <c r="DR251" s="125"/>
      <c r="DS251" s="134"/>
      <c r="DT251" s="135"/>
      <c r="DU251" s="135"/>
      <c r="DV251" s="135"/>
      <c r="DW251" s="135"/>
      <c r="DX251" s="173"/>
      <c r="DY251" s="173"/>
      <c r="DZ251" s="173"/>
      <c r="EA251" s="173"/>
      <c r="EB251" s="173"/>
      <c r="EC251" s="173"/>
      <c r="ED251" s="173"/>
      <c r="EE251" s="173"/>
      <c r="EF251" s="173"/>
      <c r="EG251" s="173"/>
      <c r="EH251" s="125"/>
      <c r="EI251" s="125"/>
      <c r="EJ251" s="134"/>
      <c r="EK251" s="135"/>
      <c r="EL251" s="135"/>
      <c r="EM251" s="135"/>
      <c r="EN251" s="135"/>
      <c r="EO251" s="173"/>
      <c r="EP251" s="173"/>
      <c r="EQ251" s="173"/>
      <c r="ER251" s="173"/>
      <c r="ES251" s="173"/>
      <c r="ET251" s="173"/>
      <c r="EU251" s="173"/>
      <c r="EV251" s="173"/>
      <c r="EW251" s="173"/>
      <c r="EX251" s="173"/>
      <c r="EY251" s="125"/>
      <c r="EZ251" s="125"/>
      <c r="FA251" s="134"/>
      <c r="FB251" s="135"/>
      <c r="FC251" s="135"/>
      <c r="FD251" s="135"/>
      <c r="FE251" s="135"/>
      <c r="FF251" s="173"/>
      <c r="FG251" s="173"/>
      <c r="FH251" s="173"/>
      <c r="FI251" s="173"/>
      <c r="FJ251" s="173"/>
      <c r="FK251" s="173"/>
      <c r="FL251" s="173"/>
      <c r="FM251" s="173"/>
      <c r="FN251" s="173"/>
      <c r="FO251" s="173"/>
      <c r="FP251" s="125"/>
      <c r="FQ251" s="125"/>
      <c r="FR251" s="134"/>
      <c r="FS251" s="135"/>
      <c r="FT251" s="135"/>
      <c r="FU251" s="135"/>
      <c r="FV251" s="135"/>
      <c r="FW251" s="173"/>
      <c r="FX251" s="173"/>
      <c r="FY251" s="173"/>
      <c r="FZ251" s="173"/>
      <c r="GA251" s="173"/>
      <c r="GB251" s="173"/>
      <c r="GC251" s="173"/>
      <c r="GD251" s="173"/>
      <c r="GE251" s="173"/>
      <c r="GF251" s="173"/>
      <c r="GG251" s="125"/>
      <c r="GH251" s="125"/>
      <c r="GI251" s="134"/>
      <c r="GJ251" s="135"/>
      <c r="GK251" s="135"/>
      <c r="GL251" s="135"/>
      <c r="GM251" s="135"/>
      <c r="GN251" s="173"/>
      <c r="GO251" s="173"/>
      <c r="GP251" s="173"/>
      <c r="GQ251" s="173"/>
      <c r="GR251" s="173"/>
      <c r="GS251" s="173"/>
      <c r="GT251" s="173"/>
      <c r="GU251" s="173"/>
      <c r="GV251" s="173"/>
      <c r="GW251" s="173"/>
      <c r="GX251" s="125"/>
      <c r="GY251" s="125"/>
      <c r="GZ251" s="134"/>
      <c r="HA251" s="135"/>
      <c r="HB251" s="135"/>
      <c r="HC251" s="135"/>
      <c r="HD251" s="135"/>
      <c r="HE251" s="173"/>
      <c r="HF251" s="173"/>
      <c r="HG251" s="173"/>
      <c r="HH251" s="173"/>
      <c r="HI251" s="173"/>
      <c r="HJ251" s="173"/>
      <c r="HK251" s="173"/>
      <c r="HL251" s="173"/>
      <c r="HM251" s="173"/>
      <c r="HN251" s="173"/>
      <c r="HO251" s="125"/>
      <c r="HP251" s="125"/>
      <c r="HQ251" s="134"/>
      <c r="HR251" s="135"/>
      <c r="HS251" s="135"/>
      <c r="HT251" s="135"/>
      <c r="HU251" s="135"/>
      <c r="HV251" s="173"/>
      <c r="HW251" s="173"/>
      <c r="HX251" s="173"/>
      <c r="HY251" s="173"/>
      <c r="HZ251" s="173"/>
      <c r="IA251" s="173"/>
      <c r="IB251" s="173"/>
      <c r="IC251" s="173"/>
      <c r="ID251" s="173"/>
      <c r="IE251" s="173"/>
      <c r="IF251" s="125"/>
      <c r="IG251" s="125"/>
      <c r="IH251" s="134"/>
      <c r="II251" s="135"/>
      <c r="IJ251" s="135"/>
      <c r="IK251" s="135"/>
      <c r="IL251" s="135"/>
      <c r="IM251" s="173"/>
      <c r="IN251" s="173"/>
      <c r="IO251" s="173"/>
      <c r="IP251" s="173"/>
      <c r="IQ251" s="173"/>
      <c r="IR251" s="173"/>
      <c r="IS251" s="173"/>
      <c r="IT251" s="173"/>
      <c r="IU251" s="173"/>
      <c r="IV251" s="173"/>
      <c r="IW251" s="125"/>
      <c r="IX251" s="125"/>
      <c r="IY251" s="134"/>
      <c r="IZ251" s="135"/>
      <c r="JA251" s="135"/>
      <c r="JB251" s="135"/>
      <c r="JC251" s="135"/>
      <c r="JD251" s="173"/>
      <c r="JE251" s="173"/>
      <c r="JF251" s="173"/>
      <c r="JG251" s="173"/>
      <c r="JH251" s="173"/>
      <c r="JI251" s="173"/>
      <c r="JJ251" s="173"/>
      <c r="JK251" s="173"/>
      <c r="JL251" s="173"/>
      <c r="JM251" s="173"/>
      <c r="JN251" s="125"/>
      <c r="JO251" s="125"/>
      <c r="JP251" s="134"/>
      <c r="JQ251" s="135"/>
      <c r="JR251" s="135"/>
      <c r="JS251" s="135"/>
      <c r="JT251" s="135"/>
      <c r="JU251" s="173"/>
      <c r="JV251" s="173"/>
      <c r="JW251" s="173"/>
      <c r="JX251" s="173"/>
      <c r="JY251" s="173"/>
      <c r="JZ251" s="173"/>
      <c r="KA251" s="173"/>
      <c r="KB251" s="173"/>
      <c r="KC251" s="173"/>
      <c r="KD251" s="173"/>
      <c r="KE251" s="125"/>
      <c r="KF251" s="125"/>
      <c r="KG251" s="134"/>
      <c r="KH251" s="135"/>
      <c r="KI251" s="135"/>
      <c r="KJ251" s="135"/>
      <c r="KK251" s="135"/>
      <c r="KL251" s="173"/>
      <c r="KM251" s="173"/>
      <c r="KN251" s="173"/>
      <c r="KO251" s="173"/>
      <c r="KP251" s="173"/>
      <c r="KQ251" s="173"/>
      <c r="KR251" s="173"/>
      <c r="KS251" s="173"/>
      <c r="KT251" s="173"/>
      <c r="KU251" s="173"/>
      <c r="KV251" s="125"/>
      <c r="KW251" s="125"/>
      <c r="KX251" s="134"/>
      <c r="KY251" s="135"/>
      <c r="KZ251" s="135"/>
      <c r="LA251" s="135"/>
      <c r="LB251" s="135"/>
      <c r="LC251" s="173"/>
      <c r="LD251" s="173"/>
      <c r="LE251" s="173"/>
      <c r="LF251" s="173"/>
      <c r="LG251" s="173"/>
      <c r="LH251" s="173"/>
      <c r="LI251" s="173"/>
      <c r="LJ251" s="173"/>
      <c r="LK251" s="173"/>
      <c r="LL251" s="173"/>
      <c r="LM251" s="125"/>
      <c r="LN251" s="125"/>
      <c r="LO251" s="134"/>
      <c r="LP251" s="135"/>
      <c r="LQ251" s="135"/>
      <c r="LR251" s="135"/>
      <c r="LS251" s="135"/>
      <c r="LT251" s="173"/>
      <c r="LU251" s="173"/>
      <c r="LV251" s="173"/>
      <c r="LW251" s="173"/>
      <c r="LX251" s="173"/>
      <c r="LY251" s="173"/>
      <c r="LZ251" s="173"/>
      <c r="MA251" s="173"/>
      <c r="MB251" s="173"/>
      <c r="MC251" s="173"/>
      <c r="MD251" s="125"/>
      <c r="ME251" s="125"/>
      <c r="MF251" s="134"/>
      <c r="MG251" s="135"/>
      <c r="MH251" s="135"/>
      <c r="MI251" s="135"/>
      <c r="MJ251" s="135"/>
      <c r="MK251" s="173"/>
      <c r="ML251" s="173"/>
      <c r="MM251" s="173"/>
      <c r="MN251" s="173"/>
      <c r="MO251" s="173"/>
      <c r="MP251" s="173"/>
      <c r="MQ251" s="173"/>
      <c r="MR251" s="173"/>
      <c r="MS251" s="173"/>
      <c r="MT251" s="173"/>
      <c r="MU251" s="125"/>
      <c r="MV251" s="125"/>
      <c r="MW251" s="134"/>
      <c r="MX251" s="135"/>
      <c r="MY251" s="135"/>
      <c r="MZ251" s="135"/>
      <c r="NA251" s="135"/>
      <c r="NB251" s="173"/>
      <c r="NC251" s="173"/>
      <c r="ND251" s="173"/>
      <c r="NE251" s="173"/>
      <c r="NF251" s="173"/>
      <c r="NG251" s="173"/>
      <c r="NH251" s="173"/>
      <c r="NI251" s="173"/>
      <c r="NJ251" s="173"/>
      <c r="NK251" s="173"/>
      <c r="NL251" s="125"/>
      <c r="NM251" s="125"/>
      <c r="NN251" s="134"/>
      <c r="NO251" s="135"/>
      <c r="NP251" s="135"/>
      <c r="NQ251" s="135"/>
      <c r="NR251" s="135"/>
      <c r="NS251" s="173"/>
      <c r="NT251" s="173"/>
      <c r="NU251" s="173"/>
      <c r="NV251" s="173"/>
      <c r="NW251" s="173"/>
      <c r="NX251" s="173"/>
      <c r="NY251" s="173"/>
      <c r="NZ251" s="173"/>
      <c r="OA251" s="173"/>
      <c r="OB251" s="173"/>
      <c r="OC251" s="125"/>
      <c r="OD251" s="125"/>
      <c r="OE251" s="134"/>
      <c r="OF251" s="135"/>
      <c r="OG251" s="135"/>
      <c r="OH251" s="135"/>
      <c r="OI251" s="135"/>
      <c r="OJ251" s="173"/>
      <c r="OK251" s="173"/>
      <c r="OL251" s="173"/>
      <c r="OM251" s="173"/>
      <c r="ON251" s="173"/>
      <c r="OO251" s="173"/>
      <c r="OP251" s="173"/>
      <c r="OQ251" s="173"/>
      <c r="OR251" s="173"/>
      <c r="OS251" s="173"/>
      <c r="OT251" s="125"/>
      <c r="OU251" s="125"/>
      <c r="OV251" s="134"/>
      <c r="OW251" s="135"/>
      <c r="OX251" s="135"/>
      <c r="OY251" s="135"/>
      <c r="OZ251" s="135"/>
      <c r="PA251" s="173"/>
      <c r="PB251" s="173"/>
      <c r="PC251" s="173"/>
      <c r="PD251" s="173"/>
      <c r="PE251" s="173"/>
      <c r="PF251" s="173"/>
      <c r="PG251" s="173"/>
      <c r="PH251" s="173"/>
      <c r="PI251" s="173"/>
      <c r="PJ251" s="173"/>
      <c r="PK251" s="125"/>
      <c r="PL251" s="125"/>
      <c r="PM251" s="134"/>
      <c r="PN251" s="135"/>
      <c r="PO251" s="135"/>
      <c r="PP251" s="135"/>
      <c r="PQ251" s="135"/>
      <c r="PR251" s="173"/>
      <c r="PS251" s="173"/>
      <c r="PT251" s="173"/>
      <c r="PU251" s="173"/>
      <c r="PV251" s="173"/>
      <c r="PW251" s="173"/>
      <c r="PX251" s="173"/>
      <c r="PY251" s="173"/>
      <c r="PZ251" s="173"/>
      <c r="QA251" s="173"/>
      <c r="QB251" s="125"/>
      <c r="QC251" s="125"/>
      <c r="QD251" s="134"/>
      <c r="QE251" s="135"/>
      <c r="QF251" s="135"/>
      <c r="QG251" s="135"/>
      <c r="QH251" s="135"/>
      <c r="QI251" s="173"/>
      <c r="QJ251" s="173"/>
      <c r="QK251" s="173"/>
      <c r="QL251" s="173"/>
      <c r="QM251" s="173"/>
      <c r="QN251" s="173"/>
      <c r="QO251" s="173"/>
      <c r="QP251" s="173"/>
      <c r="QQ251" s="173"/>
      <c r="QR251" s="173"/>
      <c r="QS251" s="125"/>
      <c r="QT251" s="125"/>
      <c r="QU251" s="134"/>
      <c r="QV251" s="135"/>
      <c r="QW251" s="135"/>
      <c r="QX251" s="135"/>
      <c r="QY251" s="135"/>
      <c r="QZ251" s="173"/>
      <c r="RA251" s="173"/>
      <c r="RB251" s="173"/>
      <c r="RC251" s="173"/>
      <c r="RD251" s="173"/>
      <c r="RE251" s="173"/>
      <c r="RF251" s="173"/>
      <c r="RG251" s="173"/>
      <c r="RH251" s="173"/>
      <c r="RI251" s="173"/>
      <c r="RJ251" s="125"/>
      <c r="RK251" s="125"/>
      <c r="RL251" s="134"/>
      <c r="RM251" s="135"/>
      <c r="RN251" s="135"/>
      <c r="RO251" s="135"/>
      <c r="RP251" s="135"/>
      <c r="RQ251" s="173"/>
      <c r="RR251" s="173"/>
      <c r="RS251" s="173"/>
      <c r="RT251" s="173"/>
      <c r="RU251" s="173"/>
      <c r="RV251" s="173"/>
      <c r="RW251" s="173"/>
      <c r="RX251" s="173"/>
      <c r="RY251" s="173"/>
      <c r="RZ251" s="173"/>
      <c r="SA251" s="125"/>
      <c r="SB251" s="125"/>
      <c r="SC251" s="134"/>
      <c r="SD251" s="135"/>
      <c r="SE251" s="135"/>
      <c r="SF251" s="135"/>
      <c r="SG251" s="135"/>
      <c r="SH251" s="173"/>
      <c r="SI251" s="173"/>
      <c r="SJ251" s="173"/>
      <c r="SK251" s="173"/>
      <c r="SL251" s="173"/>
      <c r="SM251" s="173"/>
      <c r="SN251" s="173"/>
      <c r="SO251" s="173"/>
      <c r="SP251" s="173"/>
      <c r="SQ251" s="173"/>
      <c r="SR251" s="125"/>
      <c r="SS251" s="125"/>
      <c r="ST251" s="134"/>
      <c r="SU251" s="135"/>
      <c r="SV251" s="135"/>
      <c r="SW251" s="135"/>
      <c r="SX251" s="135"/>
      <c r="SY251" s="173"/>
      <c r="SZ251" s="173"/>
      <c r="TA251" s="173"/>
      <c r="TB251" s="173"/>
      <c r="TC251" s="173"/>
      <c r="TD251" s="173"/>
      <c r="TE251" s="173"/>
      <c r="TF251" s="173"/>
      <c r="TG251" s="173"/>
      <c r="TH251" s="173"/>
      <c r="TI251" s="125"/>
      <c r="TJ251" s="125"/>
      <c r="TK251" s="134"/>
      <c r="TL251" s="135"/>
      <c r="TM251" s="135"/>
      <c r="TN251" s="135"/>
      <c r="TO251" s="135"/>
      <c r="TP251" s="173"/>
      <c r="TQ251" s="173"/>
      <c r="TR251" s="173"/>
      <c r="TS251" s="173"/>
      <c r="TT251" s="173"/>
      <c r="TU251" s="173"/>
      <c r="TV251" s="173"/>
      <c r="TW251" s="173"/>
      <c r="TX251" s="173"/>
      <c r="TY251" s="173"/>
      <c r="TZ251" s="125"/>
      <c r="UA251" s="125"/>
      <c r="UB251" s="134"/>
      <c r="UC251" s="135"/>
      <c r="UD251" s="135"/>
      <c r="UE251" s="135"/>
      <c r="UF251" s="135"/>
      <c r="UG251" s="173"/>
      <c r="UH251" s="173"/>
      <c r="UI251" s="173"/>
      <c r="UJ251" s="173"/>
      <c r="UK251" s="173"/>
      <c r="UL251" s="173"/>
      <c r="UM251" s="173"/>
      <c r="UN251" s="173"/>
      <c r="UO251" s="173"/>
      <c r="UP251" s="173"/>
      <c r="UQ251" s="125"/>
      <c r="UR251" s="125"/>
      <c r="US251" s="134"/>
      <c r="UT251" s="135"/>
      <c r="UU251" s="135"/>
      <c r="UV251" s="135"/>
      <c r="UW251" s="135"/>
      <c r="UX251" s="173"/>
      <c r="UY251" s="173"/>
      <c r="UZ251" s="173"/>
      <c r="VA251" s="173"/>
      <c r="VB251" s="173"/>
      <c r="VC251" s="173"/>
      <c r="VD251" s="173"/>
      <c r="VE251" s="173"/>
      <c r="VF251" s="173"/>
      <c r="VG251" s="173"/>
      <c r="VH251" s="125"/>
      <c r="VI251" s="125"/>
      <c r="VJ251" s="134"/>
      <c r="VK251" s="135"/>
      <c r="VL251" s="135"/>
      <c r="VM251" s="135"/>
      <c r="VN251" s="135"/>
      <c r="VO251" s="173"/>
      <c r="VP251" s="173"/>
      <c r="VQ251" s="173"/>
      <c r="VR251" s="173"/>
      <c r="VS251" s="173"/>
      <c r="VT251" s="173"/>
      <c r="VU251" s="173"/>
      <c r="VV251" s="173"/>
      <c r="VW251" s="173"/>
      <c r="VX251" s="173"/>
      <c r="VY251" s="125"/>
      <c r="VZ251" s="125"/>
      <c r="WA251" s="134"/>
      <c r="WB251" s="135"/>
      <c r="WC251" s="135"/>
      <c r="WD251" s="135"/>
      <c r="WE251" s="135"/>
      <c r="WF251" s="173"/>
      <c r="WG251" s="173"/>
      <c r="WH251" s="173"/>
      <c r="WI251" s="173"/>
      <c r="WJ251" s="173"/>
      <c r="WK251" s="173"/>
      <c r="WL251" s="173"/>
      <c r="WM251" s="173"/>
      <c r="WN251" s="173"/>
      <c r="WO251" s="173"/>
      <c r="WP251" s="125"/>
      <c r="WQ251" s="125"/>
      <c r="WR251" s="134"/>
      <c r="WS251" s="135"/>
      <c r="WT251" s="135"/>
      <c r="WU251" s="135"/>
      <c r="WV251" s="135"/>
      <c r="WW251" s="173"/>
      <c r="WX251" s="173"/>
      <c r="WY251" s="173"/>
      <c r="WZ251" s="173"/>
      <c r="XA251" s="173"/>
      <c r="XB251" s="173"/>
      <c r="XC251" s="173"/>
      <c r="XD251" s="173"/>
      <c r="XE251" s="173"/>
      <c r="XF251" s="173"/>
      <c r="XG251" s="125"/>
      <c r="XH251" s="125"/>
      <c r="XI251" s="134"/>
      <c r="XJ251" s="135"/>
      <c r="XK251" s="135"/>
      <c r="XL251" s="135"/>
      <c r="XM251" s="135"/>
      <c r="XN251" s="173"/>
      <c r="XO251" s="173"/>
      <c r="XP251" s="173"/>
      <c r="XQ251" s="173"/>
      <c r="XR251" s="173"/>
      <c r="XS251" s="173"/>
      <c r="XT251" s="173"/>
      <c r="XU251" s="173"/>
      <c r="XV251" s="173"/>
      <c r="XW251" s="173"/>
      <c r="XX251" s="125"/>
      <c r="XY251" s="125"/>
      <c r="XZ251" s="134"/>
      <c r="YA251" s="135"/>
      <c r="YB251" s="135"/>
      <c r="YC251" s="135"/>
      <c r="YD251" s="135"/>
      <c r="YE251" s="173"/>
      <c r="YF251" s="173"/>
      <c r="YG251" s="173"/>
      <c r="YH251" s="173"/>
      <c r="YI251" s="173"/>
      <c r="YJ251" s="173"/>
      <c r="YK251" s="173"/>
      <c r="YL251" s="173"/>
      <c r="YM251" s="173"/>
      <c r="YN251" s="173"/>
      <c r="YO251" s="125"/>
      <c r="YP251" s="125"/>
      <c r="YQ251" s="134"/>
      <c r="YR251" s="135"/>
      <c r="YS251" s="135"/>
      <c r="YT251" s="135"/>
      <c r="YU251" s="135"/>
      <c r="YV251" s="173"/>
      <c r="YW251" s="173"/>
      <c r="YX251" s="173"/>
      <c r="YY251" s="173"/>
      <c r="YZ251" s="173"/>
      <c r="ZA251" s="173"/>
      <c r="ZB251" s="173"/>
      <c r="ZC251" s="173"/>
      <c r="ZD251" s="173"/>
      <c r="ZE251" s="173"/>
      <c r="ZF251" s="125"/>
      <c r="ZG251" s="125"/>
      <c r="ZH251" s="134"/>
      <c r="ZI251" s="135"/>
      <c r="ZJ251" s="135"/>
      <c r="ZK251" s="135"/>
      <c r="ZL251" s="135"/>
      <c r="ZM251" s="173"/>
      <c r="ZN251" s="173"/>
      <c r="ZO251" s="173"/>
      <c r="ZP251" s="173"/>
      <c r="ZQ251" s="173"/>
      <c r="ZR251" s="173"/>
      <c r="ZS251" s="173"/>
      <c r="ZT251" s="173"/>
      <c r="ZU251" s="173"/>
      <c r="ZV251" s="173"/>
      <c r="ZW251" s="125"/>
      <c r="ZX251" s="125"/>
      <c r="ZY251" s="134"/>
      <c r="ZZ251" s="135"/>
      <c r="AAA251" s="135"/>
      <c r="AAB251" s="135"/>
      <c r="AAC251" s="135"/>
      <c r="AAD251" s="173"/>
      <c r="AAE251" s="173"/>
      <c r="AAF251" s="173"/>
      <c r="AAG251" s="173"/>
      <c r="AAH251" s="173"/>
      <c r="AAI251" s="173"/>
      <c r="AAJ251" s="173"/>
      <c r="AAK251" s="173"/>
      <c r="AAL251" s="173"/>
      <c r="AAM251" s="173"/>
      <c r="AAN251" s="125"/>
      <c r="AAO251" s="125"/>
      <c r="AAP251" s="134"/>
      <c r="AAQ251" s="135"/>
      <c r="AAR251" s="135"/>
      <c r="AAS251" s="135"/>
      <c r="AAT251" s="135"/>
      <c r="AAU251" s="173"/>
      <c r="AAV251" s="173"/>
      <c r="AAW251" s="173"/>
      <c r="AAX251" s="173"/>
      <c r="AAY251" s="173"/>
      <c r="AAZ251" s="173"/>
      <c r="ABA251" s="173"/>
      <c r="ABB251" s="173"/>
      <c r="ABC251" s="173"/>
      <c r="ABD251" s="173"/>
      <c r="ABE251" s="125"/>
      <c r="ABF251" s="125"/>
      <c r="ABG251" s="134"/>
      <c r="ABH251" s="135"/>
      <c r="ABI251" s="135"/>
      <c r="ABJ251" s="135"/>
      <c r="ABK251" s="135"/>
      <c r="ABL251" s="173"/>
      <c r="ABM251" s="173"/>
      <c r="ABN251" s="173"/>
      <c r="ABO251" s="173"/>
      <c r="ABP251" s="173"/>
      <c r="ABQ251" s="173"/>
      <c r="ABR251" s="173"/>
      <c r="ABS251" s="173"/>
      <c r="ABT251" s="173"/>
      <c r="ABU251" s="173"/>
      <c r="ABV251" s="125"/>
      <c r="ABW251" s="125"/>
      <c r="ABX251" s="134"/>
      <c r="ABY251" s="135"/>
      <c r="ABZ251" s="135"/>
      <c r="ACA251" s="135"/>
      <c r="ACB251" s="135"/>
      <c r="ACC251" s="173"/>
      <c r="ACD251" s="173"/>
      <c r="ACE251" s="173"/>
      <c r="ACF251" s="173"/>
      <c r="ACG251" s="173"/>
      <c r="ACH251" s="173"/>
      <c r="ACI251" s="173"/>
      <c r="ACJ251" s="173"/>
      <c r="ACK251" s="173"/>
      <c r="ACL251" s="173"/>
      <c r="ACM251" s="125"/>
      <c r="ACN251" s="125"/>
      <c r="ACO251" s="134"/>
      <c r="ACP251" s="135"/>
      <c r="ACQ251" s="135"/>
      <c r="ACR251" s="135"/>
      <c r="ACS251" s="135"/>
      <c r="ACT251" s="173"/>
      <c r="ACU251" s="173"/>
      <c r="ACV251" s="173"/>
      <c r="ACW251" s="173"/>
      <c r="ACX251" s="173"/>
      <c r="ACY251" s="173"/>
      <c r="ACZ251" s="173"/>
      <c r="ADA251" s="173"/>
      <c r="ADB251" s="173"/>
      <c r="ADC251" s="173"/>
      <c r="ADD251" s="125"/>
      <c r="ADE251" s="125"/>
      <c r="ADF251" s="134"/>
      <c r="ADG251" s="135"/>
      <c r="ADH251" s="135"/>
      <c r="ADI251" s="135"/>
      <c r="ADJ251" s="135"/>
      <c r="ADK251" s="173"/>
      <c r="ADL251" s="173"/>
      <c r="ADM251" s="173"/>
      <c r="ADN251" s="173"/>
      <c r="ADO251" s="173"/>
      <c r="ADP251" s="173"/>
      <c r="ADQ251" s="173"/>
      <c r="ADR251" s="173"/>
      <c r="ADS251" s="173"/>
      <c r="ADT251" s="173"/>
      <c r="ADU251" s="125"/>
      <c r="ADV251" s="125"/>
      <c r="ADW251" s="134"/>
      <c r="ADX251" s="135"/>
      <c r="ADY251" s="135"/>
      <c r="ADZ251" s="135"/>
      <c r="AEA251" s="135"/>
      <c r="AEB251" s="173"/>
      <c r="AEC251" s="173"/>
      <c r="AED251" s="173"/>
      <c r="AEE251" s="173"/>
      <c r="AEF251" s="173"/>
      <c r="AEG251" s="173"/>
      <c r="AEH251" s="173"/>
      <c r="AEI251" s="173"/>
      <c r="AEJ251" s="173"/>
      <c r="AEK251" s="173"/>
      <c r="AEL251" s="125"/>
      <c r="AEM251" s="125"/>
      <c r="AEN251" s="134"/>
      <c r="AEO251" s="135"/>
      <c r="AEP251" s="135"/>
      <c r="AEQ251" s="135"/>
      <c r="AER251" s="135"/>
      <c r="AES251" s="173"/>
      <c r="AET251" s="173"/>
      <c r="AEU251" s="173"/>
      <c r="AEV251" s="173"/>
      <c r="AEW251" s="173"/>
      <c r="AEX251" s="173"/>
      <c r="AEY251" s="173"/>
      <c r="AEZ251" s="173"/>
      <c r="AFA251" s="173"/>
      <c r="AFB251" s="173"/>
      <c r="AFC251" s="125"/>
      <c r="AFD251" s="125"/>
      <c r="AFE251" s="134"/>
      <c r="AFF251" s="135"/>
      <c r="AFG251" s="135"/>
      <c r="AFH251" s="135"/>
      <c r="AFI251" s="135"/>
      <c r="AFJ251" s="173"/>
      <c r="AFK251" s="173"/>
      <c r="AFL251" s="173"/>
      <c r="AFM251" s="173"/>
      <c r="AFN251" s="173"/>
      <c r="AFO251" s="173"/>
      <c r="AFP251" s="173"/>
      <c r="AFQ251" s="173"/>
      <c r="AFR251" s="173"/>
      <c r="AFS251" s="173"/>
      <c r="AFT251" s="125"/>
      <c r="AFU251" s="125"/>
      <c r="AFV251" s="134"/>
      <c r="AFW251" s="135"/>
      <c r="AFX251" s="135"/>
      <c r="AFY251" s="135"/>
      <c r="AFZ251" s="135"/>
      <c r="AGA251" s="173"/>
      <c r="AGB251" s="173"/>
      <c r="AGC251" s="173"/>
      <c r="AGD251" s="173"/>
      <c r="AGE251" s="173"/>
      <c r="AGF251" s="173"/>
      <c r="AGG251" s="173"/>
      <c r="AGH251" s="173"/>
      <c r="AGI251" s="173"/>
      <c r="AGJ251" s="173"/>
      <c r="AGK251" s="125"/>
      <c r="AGL251" s="125"/>
      <c r="AGM251" s="134"/>
      <c r="AGN251" s="135"/>
      <c r="AGO251" s="135"/>
      <c r="AGP251" s="135"/>
      <c r="AGQ251" s="135"/>
      <c r="AGR251" s="173"/>
      <c r="AGS251" s="173"/>
      <c r="AGT251" s="173"/>
      <c r="AGU251" s="173"/>
      <c r="AGV251" s="173"/>
      <c r="AGW251" s="173"/>
      <c r="AGX251" s="173"/>
      <c r="AGY251" s="173"/>
      <c r="AGZ251" s="173"/>
      <c r="AHA251" s="173"/>
      <c r="AHB251" s="125"/>
      <c r="AHC251" s="125"/>
      <c r="AHD251" s="134"/>
      <c r="AHE251" s="135"/>
      <c r="AHF251" s="135"/>
      <c r="AHG251" s="135"/>
      <c r="AHH251" s="135"/>
      <c r="AHI251" s="173"/>
      <c r="AHJ251" s="173"/>
      <c r="AHK251" s="173"/>
      <c r="AHL251" s="173"/>
      <c r="AHM251" s="173"/>
      <c r="AHN251" s="173"/>
      <c r="AHO251" s="173"/>
      <c r="AHP251" s="173"/>
      <c r="AHQ251" s="173"/>
      <c r="AHR251" s="173"/>
      <c r="AHS251" s="125"/>
      <c r="AHT251" s="125"/>
      <c r="AHU251" s="134"/>
      <c r="AHV251" s="135"/>
      <c r="AHW251" s="135"/>
      <c r="AHX251" s="135"/>
      <c r="AHY251" s="135"/>
      <c r="AHZ251" s="173"/>
      <c r="AIA251" s="173"/>
      <c r="AIB251" s="173"/>
      <c r="AIC251" s="173"/>
      <c r="AID251" s="173"/>
      <c r="AIE251" s="173"/>
      <c r="AIF251" s="173"/>
      <c r="AIG251" s="173"/>
      <c r="AIH251" s="173"/>
      <c r="AII251" s="173"/>
      <c r="AIJ251" s="125"/>
      <c r="AIK251" s="125"/>
      <c r="AIL251" s="134"/>
      <c r="AIM251" s="135"/>
      <c r="AIN251" s="135"/>
      <c r="AIO251" s="135"/>
      <c r="AIP251" s="135"/>
      <c r="AIQ251" s="173"/>
      <c r="AIR251" s="173"/>
      <c r="AIS251" s="173"/>
      <c r="AIT251" s="173"/>
      <c r="AIU251" s="173"/>
      <c r="AIV251" s="173"/>
      <c r="AIW251" s="173"/>
      <c r="AIX251" s="173"/>
      <c r="AIY251" s="173"/>
      <c r="AIZ251" s="173"/>
      <c r="AJA251" s="125"/>
      <c r="AJB251" s="125"/>
      <c r="AJC251" s="134"/>
      <c r="AJD251" s="135"/>
      <c r="AJE251" s="135"/>
      <c r="AJF251" s="135"/>
      <c r="AJG251" s="135"/>
      <c r="AJH251" s="173"/>
      <c r="AJI251" s="173"/>
      <c r="AJJ251" s="173"/>
      <c r="AJK251" s="173"/>
      <c r="AJL251" s="173"/>
      <c r="AJM251" s="173"/>
      <c r="AJN251" s="173"/>
      <c r="AJO251" s="173"/>
      <c r="AJP251" s="173"/>
      <c r="AJQ251" s="173"/>
      <c r="AJR251" s="125"/>
      <c r="AJS251" s="125"/>
      <c r="AJT251" s="134"/>
      <c r="AJU251" s="135"/>
      <c r="AJV251" s="135"/>
      <c r="AJW251" s="135"/>
      <c r="AJX251" s="135"/>
      <c r="AJY251" s="173"/>
      <c r="AJZ251" s="173"/>
      <c r="AKA251" s="173"/>
      <c r="AKB251" s="173"/>
      <c r="AKC251" s="173"/>
      <c r="AKD251" s="173"/>
      <c r="AKE251" s="173"/>
      <c r="AKF251" s="173"/>
      <c r="AKG251" s="173"/>
      <c r="AKH251" s="173"/>
      <c r="AKI251" s="125"/>
      <c r="AKJ251" s="125"/>
      <c r="AKK251" s="134"/>
      <c r="AKL251" s="135"/>
      <c r="AKM251" s="135"/>
      <c r="AKN251" s="135"/>
      <c r="AKO251" s="135"/>
      <c r="AKP251" s="173"/>
      <c r="AKQ251" s="173"/>
      <c r="AKR251" s="173"/>
      <c r="AKS251" s="173"/>
      <c r="AKT251" s="173"/>
      <c r="AKU251" s="173"/>
      <c r="AKV251" s="173"/>
      <c r="AKW251" s="173"/>
      <c r="AKX251" s="173"/>
      <c r="AKY251" s="173"/>
      <c r="AKZ251" s="125"/>
      <c r="ALA251" s="125"/>
      <c r="ALB251" s="134"/>
      <c r="ALC251" s="135"/>
      <c r="ALD251" s="135"/>
      <c r="ALE251" s="135"/>
      <c r="ALF251" s="135"/>
      <c r="ALG251" s="173"/>
      <c r="ALH251" s="173"/>
      <c r="ALI251" s="173"/>
      <c r="ALJ251" s="173"/>
      <c r="ALK251" s="173"/>
      <c r="ALL251" s="173"/>
      <c r="ALM251" s="173"/>
      <c r="ALN251" s="173"/>
      <c r="ALO251" s="173"/>
      <c r="ALP251" s="173"/>
      <c r="ALQ251" s="125"/>
      <c r="ALR251" s="125"/>
      <c r="ALS251" s="134"/>
      <c r="ALT251" s="135"/>
      <c r="ALU251" s="135"/>
      <c r="ALV251" s="135"/>
      <c r="ALW251" s="135"/>
      <c r="ALX251" s="173"/>
      <c r="ALY251" s="173"/>
      <c r="ALZ251" s="173"/>
      <c r="AMA251" s="173"/>
      <c r="AMB251" s="173"/>
      <c r="AMC251" s="173"/>
      <c r="AMD251" s="173"/>
      <c r="AME251" s="173"/>
      <c r="AMF251" s="173"/>
      <c r="AMG251" s="173"/>
      <c r="AMH251" s="125"/>
      <c r="AMI251" s="125"/>
      <c r="AMJ251" s="134"/>
      <c r="AMK251" s="135"/>
      <c r="AML251" s="135"/>
      <c r="AMM251" s="135"/>
      <c r="AMN251" s="135"/>
      <c r="AMO251" s="173"/>
      <c r="AMP251" s="173"/>
      <c r="AMQ251" s="173"/>
      <c r="AMR251" s="173"/>
      <c r="AMS251" s="173"/>
      <c r="AMT251" s="173"/>
      <c r="AMU251" s="173"/>
      <c r="AMV251" s="173"/>
      <c r="AMW251" s="173"/>
      <c r="AMX251" s="173"/>
      <c r="AMY251" s="125"/>
      <c r="AMZ251" s="125"/>
      <c r="ANA251" s="134"/>
      <c r="ANB251" s="135"/>
      <c r="ANC251" s="135"/>
      <c r="AND251" s="135"/>
      <c r="ANE251" s="135"/>
      <c r="ANF251" s="173"/>
      <c r="ANG251" s="173"/>
      <c r="ANH251" s="173"/>
      <c r="ANI251" s="173"/>
      <c r="ANJ251" s="173"/>
      <c r="ANK251" s="173"/>
      <c r="ANL251" s="173"/>
      <c r="ANM251" s="173"/>
      <c r="ANN251" s="173"/>
      <c r="ANO251" s="173"/>
      <c r="ANP251" s="125"/>
      <c r="ANQ251" s="125"/>
      <c r="ANR251" s="134"/>
      <c r="ANS251" s="135"/>
      <c r="ANT251" s="135"/>
      <c r="ANU251" s="135"/>
      <c r="ANV251" s="135"/>
      <c r="ANW251" s="173"/>
      <c r="ANX251" s="173"/>
      <c r="ANY251" s="173"/>
      <c r="ANZ251" s="173"/>
      <c r="AOA251" s="173"/>
      <c r="AOB251" s="173"/>
      <c r="AOC251" s="173"/>
      <c r="AOD251" s="173"/>
      <c r="AOE251" s="173"/>
      <c r="AOF251" s="173"/>
      <c r="AOG251" s="125"/>
      <c r="AOH251" s="125"/>
      <c r="AOI251" s="134"/>
      <c r="AOJ251" s="135"/>
      <c r="AOK251" s="135"/>
      <c r="AOL251" s="135"/>
      <c r="AOM251" s="135"/>
      <c r="AON251" s="173"/>
      <c r="AOO251" s="173"/>
      <c r="AOP251" s="173"/>
      <c r="AOQ251" s="173"/>
      <c r="AOR251" s="173"/>
      <c r="AOS251" s="173"/>
      <c r="AOT251" s="173"/>
      <c r="AOU251" s="173"/>
      <c r="AOV251" s="173"/>
      <c r="AOW251" s="173"/>
      <c r="AOX251" s="125"/>
      <c r="AOY251" s="125"/>
      <c r="AOZ251" s="134"/>
      <c r="APA251" s="135"/>
      <c r="APB251" s="135"/>
      <c r="APC251" s="135"/>
      <c r="APD251" s="135"/>
      <c r="APE251" s="173"/>
      <c r="APF251" s="173"/>
      <c r="APG251" s="173"/>
      <c r="APH251" s="173"/>
      <c r="API251" s="173"/>
      <c r="APJ251" s="173"/>
      <c r="APK251" s="173"/>
      <c r="APL251" s="173"/>
      <c r="APM251" s="173"/>
      <c r="APN251" s="173"/>
      <c r="APO251" s="125"/>
      <c r="APP251" s="125"/>
      <c r="APQ251" s="134"/>
      <c r="APR251" s="135"/>
      <c r="APS251" s="135"/>
      <c r="APT251" s="135"/>
      <c r="APU251" s="135"/>
      <c r="APV251" s="173"/>
      <c r="APW251" s="173"/>
      <c r="APX251" s="173"/>
      <c r="APY251" s="173"/>
      <c r="APZ251" s="173"/>
      <c r="AQA251" s="173"/>
      <c r="AQB251" s="173"/>
      <c r="AQC251" s="173"/>
      <c r="AQD251" s="173"/>
      <c r="AQE251" s="173"/>
      <c r="AQF251" s="125"/>
      <c r="AQG251" s="125"/>
      <c r="AQH251" s="134"/>
      <c r="AQI251" s="135"/>
      <c r="AQJ251" s="135"/>
      <c r="AQK251" s="135"/>
      <c r="AQL251" s="135"/>
      <c r="AQM251" s="173"/>
      <c r="AQN251" s="173"/>
      <c r="AQO251" s="173"/>
      <c r="AQP251" s="173"/>
      <c r="AQQ251" s="173"/>
      <c r="AQR251" s="173"/>
      <c r="AQS251" s="173"/>
      <c r="AQT251" s="173"/>
      <c r="AQU251" s="173"/>
      <c r="AQV251" s="173"/>
      <c r="AQW251" s="125"/>
      <c r="AQX251" s="125"/>
      <c r="AQY251" s="134"/>
      <c r="AQZ251" s="135"/>
      <c r="ARA251" s="135"/>
      <c r="ARB251" s="135"/>
      <c r="ARC251" s="135"/>
      <c r="ARD251" s="173"/>
      <c r="ARE251" s="173"/>
      <c r="ARF251" s="173"/>
      <c r="ARG251" s="173"/>
      <c r="ARH251" s="173"/>
      <c r="ARI251" s="173"/>
      <c r="ARJ251" s="173"/>
      <c r="ARK251" s="173"/>
      <c r="ARL251" s="173"/>
      <c r="ARM251" s="173"/>
      <c r="ARN251" s="125"/>
      <c r="ARO251" s="125"/>
      <c r="ARP251" s="134"/>
      <c r="ARQ251" s="135"/>
      <c r="ARR251" s="135"/>
      <c r="ARS251" s="135"/>
      <c r="ART251" s="135"/>
      <c r="ARU251" s="173"/>
      <c r="ARV251" s="173"/>
      <c r="ARW251" s="173"/>
      <c r="ARX251" s="173"/>
      <c r="ARY251" s="173"/>
      <c r="ARZ251" s="173"/>
      <c r="ASA251" s="173"/>
      <c r="ASB251" s="173"/>
      <c r="ASC251" s="173"/>
      <c r="ASD251" s="173"/>
      <c r="ASE251" s="125"/>
      <c r="ASF251" s="125"/>
      <c r="ASG251" s="134"/>
      <c r="ASH251" s="135"/>
      <c r="ASI251" s="135"/>
      <c r="ASJ251" s="135"/>
      <c r="ASK251" s="135"/>
      <c r="ASL251" s="173"/>
      <c r="ASM251" s="173"/>
      <c r="ASN251" s="173"/>
      <c r="ASO251" s="173"/>
      <c r="ASP251" s="173"/>
      <c r="ASQ251" s="173"/>
      <c r="ASR251" s="173"/>
      <c r="ASS251" s="173"/>
      <c r="AST251" s="173"/>
      <c r="ASU251" s="173"/>
      <c r="ASV251" s="125"/>
      <c r="ASW251" s="125"/>
      <c r="ASX251" s="134"/>
      <c r="ASY251" s="135"/>
      <c r="ASZ251" s="135"/>
      <c r="ATA251" s="135"/>
      <c r="ATB251" s="135"/>
      <c r="ATC251" s="173"/>
      <c r="ATD251" s="173"/>
      <c r="ATE251" s="173"/>
      <c r="ATF251" s="173"/>
      <c r="ATG251" s="173"/>
      <c r="ATH251" s="173"/>
      <c r="ATI251" s="173"/>
      <c r="ATJ251" s="173"/>
      <c r="ATK251" s="173"/>
      <c r="ATL251" s="173"/>
      <c r="ATM251" s="125"/>
      <c r="ATN251" s="125"/>
      <c r="ATO251" s="134"/>
      <c r="ATP251" s="135"/>
      <c r="ATQ251" s="135"/>
      <c r="ATR251" s="135"/>
      <c r="ATS251" s="135"/>
      <c r="ATT251" s="173"/>
      <c r="ATU251" s="173"/>
      <c r="ATV251" s="173"/>
      <c r="ATW251" s="173"/>
      <c r="ATX251" s="173"/>
      <c r="ATY251" s="173"/>
      <c r="ATZ251" s="173"/>
      <c r="AUA251" s="173"/>
      <c r="AUB251" s="173"/>
      <c r="AUC251" s="173"/>
      <c r="AUD251" s="125"/>
      <c r="AUE251" s="125"/>
      <c r="AUF251" s="134"/>
      <c r="AUG251" s="135"/>
      <c r="AUH251" s="135"/>
      <c r="AUI251" s="135"/>
      <c r="AUJ251" s="135"/>
      <c r="AUK251" s="173"/>
      <c r="AUL251" s="173"/>
      <c r="AUM251" s="173"/>
      <c r="AUN251" s="173"/>
      <c r="AUO251" s="173"/>
      <c r="AUP251" s="173"/>
      <c r="AUQ251" s="173"/>
      <c r="AUR251" s="173"/>
      <c r="AUS251" s="173"/>
      <c r="AUT251" s="173"/>
      <c r="AUU251" s="125"/>
      <c r="AUV251" s="125"/>
      <c r="AUW251" s="134"/>
      <c r="AUX251" s="135"/>
      <c r="AUY251" s="135"/>
      <c r="AUZ251" s="135"/>
      <c r="AVA251" s="135"/>
      <c r="AVB251" s="173"/>
      <c r="AVC251" s="173"/>
      <c r="AVD251" s="173"/>
      <c r="AVE251" s="173"/>
      <c r="AVF251" s="173"/>
      <c r="AVG251" s="173"/>
      <c r="AVH251" s="173"/>
      <c r="AVI251" s="173"/>
      <c r="AVJ251" s="173"/>
      <c r="AVK251" s="173"/>
      <c r="AVL251" s="125"/>
      <c r="AVM251" s="125"/>
      <c r="AVN251" s="134"/>
      <c r="AVO251" s="135"/>
      <c r="AVP251" s="135"/>
      <c r="AVQ251" s="135"/>
      <c r="AVR251" s="135"/>
      <c r="AVS251" s="173"/>
      <c r="AVT251" s="173"/>
      <c r="AVU251" s="173"/>
      <c r="AVV251" s="173"/>
      <c r="AVW251" s="173"/>
      <c r="AVX251" s="173"/>
      <c r="AVY251" s="173"/>
      <c r="AVZ251" s="173"/>
      <c r="AWA251" s="173"/>
      <c r="AWB251" s="173"/>
      <c r="AWC251" s="125"/>
      <c r="AWD251" s="125"/>
      <c r="AWE251" s="134"/>
      <c r="AWF251" s="135"/>
      <c r="AWG251" s="135"/>
      <c r="AWH251" s="135"/>
      <c r="AWI251" s="135"/>
      <c r="AWJ251" s="173"/>
      <c r="AWK251" s="173"/>
      <c r="AWL251" s="173"/>
      <c r="AWM251" s="173"/>
      <c r="AWN251" s="173"/>
      <c r="AWO251" s="173"/>
      <c r="AWP251" s="173"/>
      <c r="AWQ251" s="173"/>
      <c r="AWR251" s="173"/>
      <c r="AWS251" s="173"/>
      <c r="AWT251" s="125"/>
      <c r="AWU251" s="125"/>
      <c r="AWV251" s="134"/>
      <c r="AWW251" s="135"/>
      <c r="AWX251" s="135"/>
      <c r="AWY251" s="135"/>
      <c r="AWZ251" s="135"/>
      <c r="AXA251" s="173"/>
      <c r="AXB251" s="173"/>
      <c r="AXC251" s="173"/>
      <c r="AXD251" s="173"/>
      <c r="AXE251" s="173"/>
      <c r="AXF251" s="173"/>
      <c r="AXG251" s="173"/>
      <c r="AXH251" s="173"/>
      <c r="AXI251" s="173"/>
      <c r="AXJ251" s="173"/>
      <c r="AXK251" s="125"/>
      <c r="AXL251" s="125"/>
      <c r="AXM251" s="134"/>
      <c r="AXN251" s="135"/>
      <c r="AXO251" s="135"/>
      <c r="AXP251" s="135"/>
      <c r="AXQ251" s="135"/>
      <c r="AXR251" s="173"/>
      <c r="AXS251" s="173"/>
      <c r="AXT251" s="173"/>
      <c r="AXU251" s="173"/>
      <c r="AXV251" s="173"/>
      <c r="AXW251" s="173"/>
      <c r="AXX251" s="173"/>
      <c r="AXY251" s="173"/>
      <c r="AXZ251" s="173"/>
      <c r="AYA251" s="173"/>
      <c r="AYB251" s="125"/>
      <c r="AYC251" s="125"/>
      <c r="AYD251" s="134"/>
      <c r="AYE251" s="135"/>
      <c r="AYF251" s="135"/>
      <c r="AYG251" s="135"/>
      <c r="AYH251" s="135"/>
      <c r="AYI251" s="173"/>
      <c r="AYJ251" s="173"/>
      <c r="AYK251" s="173"/>
      <c r="AYL251" s="173"/>
      <c r="AYM251" s="173"/>
      <c r="AYN251" s="173"/>
      <c r="AYO251" s="173"/>
      <c r="AYP251" s="173"/>
      <c r="AYQ251" s="173"/>
      <c r="AYR251" s="173"/>
      <c r="AYS251" s="125"/>
      <c r="AYT251" s="125"/>
      <c r="AYU251" s="134"/>
      <c r="AYV251" s="135"/>
      <c r="AYW251" s="135"/>
      <c r="AYX251" s="135"/>
      <c r="AYY251" s="135"/>
      <c r="AYZ251" s="173"/>
      <c r="AZA251" s="173"/>
      <c r="AZB251" s="173"/>
      <c r="AZC251" s="173"/>
      <c r="AZD251" s="173"/>
      <c r="AZE251" s="173"/>
      <c r="AZF251" s="173"/>
      <c r="AZG251" s="173"/>
      <c r="AZH251" s="173"/>
      <c r="AZI251" s="173"/>
      <c r="AZJ251" s="125"/>
      <c r="AZK251" s="125"/>
      <c r="AZL251" s="134"/>
      <c r="AZM251" s="135"/>
      <c r="AZN251" s="135"/>
      <c r="AZO251" s="135"/>
      <c r="AZP251" s="135"/>
      <c r="AZQ251" s="173"/>
      <c r="AZR251" s="173"/>
      <c r="AZS251" s="173"/>
      <c r="AZT251" s="173"/>
      <c r="AZU251" s="173"/>
      <c r="AZV251" s="173"/>
      <c r="AZW251" s="173"/>
      <c r="AZX251" s="173"/>
      <c r="AZY251" s="173"/>
      <c r="AZZ251" s="173"/>
      <c r="BAA251" s="125"/>
      <c r="BAB251" s="125"/>
      <c r="BAC251" s="134"/>
      <c r="BAD251" s="135"/>
      <c r="BAE251" s="135"/>
      <c r="BAF251" s="135"/>
      <c r="BAG251" s="135"/>
      <c r="BAH251" s="173"/>
      <c r="BAI251" s="173"/>
      <c r="BAJ251" s="173"/>
      <c r="BAK251" s="173"/>
      <c r="BAL251" s="173"/>
      <c r="BAM251" s="173"/>
      <c r="BAN251" s="173"/>
      <c r="BAO251" s="173"/>
      <c r="BAP251" s="173"/>
      <c r="BAQ251" s="173"/>
      <c r="BAR251" s="125"/>
      <c r="BAS251" s="125"/>
      <c r="BAT251" s="134"/>
      <c r="BAU251" s="135"/>
      <c r="BAV251" s="135"/>
      <c r="BAW251" s="135"/>
      <c r="BAX251" s="135"/>
      <c r="BAY251" s="173"/>
      <c r="BAZ251" s="173"/>
      <c r="BBA251" s="173"/>
      <c r="BBB251" s="173"/>
      <c r="BBC251" s="173"/>
      <c r="BBD251" s="173"/>
      <c r="BBE251" s="173"/>
      <c r="BBF251" s="173"/>
      <c r="BBG251" s="173"/>
      <c r="BBH251" s="173"/>
      <c r="BBI251" s="125"/>
      <c r="BBJ251" s="125"/>
      <c r="BBK251" s="134"/>
      <c r="BBL251" s="135"/>
      <c r="BBM251" s="135"/>
      <c r="BBN251" s="135"/>
      <c r="BBO251" s="135"/>
      <c r="BBP251" s="173"/>
      <c r="BBQ251" s="173"/>
      <c r="BBR251" s="173"/>
      <c r="BBS251" s="173"/>
      <c r="BBT251" s="173"/>
      <c r="BBU251" s="173"/>
      <c r="BBV251" s="173"/>
      <c r="BBW251" s="173"/>
      <c r="BBX251" s="173"/>
      <c r="BBY251" s="173"/>
      <c r="BBZ251" s="125"/>
      <c r="BCA251" s="125"/>
      <c r="BCB251" s="134"/>
      <c r="BCC251" s="135"/>
      <c r="BCD251" s="135"/>
      <c r="BCE251" s="135"/>
      <c r="BCF251" s="135"/>
      <c r="BCG251" s="173"/>
      <c r="BCH251" s="173"/>
      <c r="BCI251" s="173"/>
      <c r="BCJ251" s="173"/>
      <c r="BCK251" s="173"/>
      <c r="BCL251" s="173"/>
      <c r="BCM251" s="173"/>
      <c r="BCN251" s="173"/>
      <c r="BCO251" s="173"/>
      <c r="BCP251" s="173"/>
      <c r="BCQ251" s="125"/>
      <c r="BCR251" s="125"/>
      <c r="BCS251" s="134"/>
      <c r="BCT251" s="135"/>
      <c r="BCU251" s="135"/>
      <c r="BCV251" s="135"/>
      <c r="BCW251" s="135"/>
      <c r="BCX251" s="173"/>
      <c r="BCY251" s="173"/>
      <c r="BCZ251" s="173"/>
      <c r="BDA251" s="173"/>
      <c r="BDB251" s="173"/>
      <c r="BDC251" s="173"/>
      <c r="BDD251" s="173"/>
      <c r="BDE251" s="173"/>
      <c r="BDF251" s="173"/>
      <c r="BDG251" s="173"/>
      <c r="BDH251" s="125"/>
      <c r="BDI251" s="125"/>
      <c r="BDJ251" s="134"/>
      <c r="BDK251" s="135"/>
      <c r="BDL251" s="135"/>
      <c r="BDM251" s="135"/>
      <c r="BDN251" s="135"/>
      <c r="BDO251" s="173"/>
      <c r="BDP251" s="173"/>
      <c r="BDQ251" s="173"/>
      <c r="BDR251" s="173"/>
      <c r="BDS251" s="173"/>
      <c r="BDT251" s="173"/>
      <c r="BDU251" s="173"/>
      <c r="BDV251" s="173"/>
      <c r="BDW251" s="173"/>
      <c r="BDX251" s="173"/>
      <c r="BDY251" s="125"/>
      <c r="BDZ251" s="125"/>
      <c r="BEA251" s="134"/>
      <c r="BEB251" s="135"/>
      <c r="BEC251" s="135"/>
      <c r="BED251" s="135"/>
      <c r="BEE251" s="135"/>
      <c r="BEF251" s="173"/>
      <c r="BEG251" s="173"/>
      <c r="BEH251" s="173"/>
      <c r="BEI251" s="173"/>
      <c r="BEJ251" s="173"/>
      <c r="BEK251" s="173"/>
      <c r="BEL251" s="173"/>
      <c r="BEM251" s="173"/>
      <c r="BEN251" s="173"/>
      <c r="BEO251" s="173"/>
      <c r="BEP251" s="125"/>
      <c r="BEQ251" s="125"/>
      <c r="BER251" s="134"/>
      <c r="BES251" s="135"/>
      <c r="BET251" s="135"/>
      <c r="BEU251" s="135"/>
      <c r="BEV251" s="135"/>
      <c r="BEW251" s="173"/>
      <c r="BEX251" s="173"/>
      <c r="BEY251" s="173"/>
      <c r="BEZ251" s="173"/>
      <c r="BFA251" s="173"/>
      <c r="BFB251" s="173"/>
      <c r="BFC251" s="173"/>
      <c r="BFD251" s="173"/>
      <c r="BFE251" s="173"/>
      <c r="BFF251" s="173"/>
      <c r="BFG251" s="125"/>
      <c r="BFH251" s="125"/>
      <c r="BFI251" s="134"/>
      <c r="BFJ251" s="135"/>
      <c r="BFK251" s="135"/>
      <c r="BFL251" s="135"/>
      <c r="BFM251" s="135"/>
      <c r="BFN251" s="173"/>
      <c r="BFO251" s="173"/>
      <c r="BFP251" s="173"/>
      <c r="BFQ251" s="173"/>
      <c r="BFR251" s="173"/>
      <c r="BFS251" s="173"/>
      <c r="BFT251" s="173"/>
      <c r="BFU251" s="173"/>
      <c r="BFV251" s="173"/>
      <c r="BFW251" s="173"/>
      <c r="BFX251" s="125"/>
      <c r="BFY251" s="125"/>
      <c r="BFZ251" s="134"/>
      <c r="BGA251" s="135"/>
      <c r="BGB251" s="135"/>
      <c r="BGC251" s="135"/>
      <c r="BGD251" s="135"/>
      <c r="BGE251" s="173"/>
      <c r="BGF251" s="173"/>
      <c r="BGG251" s="173"/>
      <c r="BGH251" s="173"/>
      <c r="BGI251" s="173"/>
      <c r="BGJ251" s="173"/>
      <c r="BGK251" s="173"/>
      <c r="BGL251" s="173"/>
      <c r="BGM251" s="173"/>
      <c r="BGN251" s="173"/>
      <c r="BGO251" s="125"/>
      <c r="BGP251" s="125"/>
      <c r="BGQ251" s="134"/>
      <c r="BGR251" s="135"/>
      <c r="BGS251" s="135"/>
      <c r="BGT251" s="135"/>
      <c r="BGU251" s="135"/>
      <c r="BGV251" s="173"/>
      <c r="BGW251" s="173"/>
      <c r="BGX251" s="173"/>
      <c r="BGY251" s="173"/>
      <c r="BGZ251" s="173"/>
      <c r="BHA251" s="173"/>
      <c r="BHB251" s="173"/>
      <c r="BHC251" s="173"/>
      <c r="BHD251" s="173"/>
      <c r="BHE251" s="173"/>
      <c r="BHF251" s="125"/>
      <c r="BHG251" s="125"/>
      <c r="BHH251" s="134"/>
      <c r="BHI251" s="135"/>
      <c r="BHJ251" s="135"/>
      <c r="BHK251" s="135"/>
      <c r="BHL251" s="135"/>
      <c r="BHM251" s="173"/>
      <c r="BHN251" s="173"/>
      <c r="BHO251" s="173"/>
      <c r="BHP251" s="173"/>
      <c r="BHQ251" s="173"/>
      <c r="BHR251" s="173"/>
      <c r="BHS251" s="173"/>
      <c r="BHT251" s="173"/>
      <c r="BHU251" s="173"/>
      <c r="BHV251" s="173"/>
      <c r="BHW251" s="125"/>
      <c r="BHX251" s="125"/>
      <c r="BHY251" s="134"/>
      <c r="BHZ251" s="135"/>
      <c r="BIA251" s="135"/>
      <c r="BIB251" s="135"/>
      <c r="BIC251" s="135"/>
      <c r="BID251" s="173"/>
      <c r="BIE251" s="173"/>
      <c r="BIF251" s="173"/>
      <c r="BIG251" s="173"/>
      <c r="BIH251" s="173"/>
      <c r="BII251" s="173"/>
      <c r="BIJ251" s="173"/>
      <c r="BIK251" s="173"/>
      <c r="BIL251" s="173"/>
      <c r="BIM251" s="173"/>
      <c r="BIN251" s="125"/>
      <c r="BIO251" s="125"/>
      <c r="BIP251" s="134"/>
      <c r="BIQ251" s="135"/>
      <c r="BIR251" s="135"/>
      <c r="BIS251" s="135"/>
      <c r="BIT251" s="135"/>
      <c r="BIU251" s="173"/>
      <c r="BIV251" s="173"/>
      <c r="BIW251" s="173"/>
      <c r="BIX251" s="173"/>
      <c r="BIY251" s="173"/>
      <c r="BIZ251" s="173"/>
      <c r="BJA251" s="173"/>
      <c r="BJB251" s="173"/>
      <c r="BJC251" s="173"/>
      <c r="BJD251" s="173"/>
      <c r="BJE251" s="125"/>
      <c r="BJF251" s="125"/>
      <c r="BJG251" s="134"/>
      <c r="BJH251" s="135"/>
      <c r="BJI251" s="135"/>
      <c r="BJJ251" s="135"/>
      <c r="BJK251" s="135"/>
      <c r="BJL251" s="173"/>
      <c r="BJM251" s="173"/>
      <c r="BJN251" s="173"/>
      <c r="BJO251" s="173"/>
      <c r="BJP251" s="173"/>
      <c r="BJQ251" s="173"/>
      <c r="BJR251" s="173"/>
      <c r="BJS251" s="173"/>
      <c r="BJT251" s="173"/>
      <c r="BJU251" s="173"/>
      <c r="BJV251" s="125"/>
      <c r="BJW251" s="125"/>
      <c r="BJX251" s="134"/>
      <c r="BJY251" s="135"/>
      <c r="BJZ251" s="135"/>
      <c r="BKA251" s="135"/>
      <c r="BKB251" s="135"/>
      <c r="BKC251" s="173"/>
      <c r="BKD251" s="173"/>
      <c r="BKE251" s="173"/>
      <c r="BKF251" s="173"/>
      <c r="BKG251" s="173"/>
      <c r="BKH251" s="173"/>
      <c r="BKI251" s="173"/>
      <c r="BKJ251" s="173"/>
      <c r="BKK251" s="173"/>
      <c r="BKL251" s="173"/>
      <c r="BKM251" s="125"/>
      <c r="BKN251" s="125"/>
      <c r="BKO251" s="134"/>
      <c r="BKP251" s="135"/>
      <c r="BKQ251" s="135"/>
      <c r="BKR251" s="135"/>
      <c r="BKS251" s="135"/>
      <c r="BKT251" s="173"/>
      <c r="BKU251" s="173"/>
      <c r="BKV251" s="173"/>
      <c r="BKW251" s="173"/>
      <c r="BKX251" s="173"/>
      <c r="BKY251" s="173"/>
      <c r="BKZ251" s="173"/>
      <c r="BLA251" s="173"/>
      <c r="BLB251" s="173"/>
      <c r="BLC251" s="173"/>
      <c r="BLD251" s="125"/>
      <c r="BLE251" s="125"/>
      <c r="BLF251" s="134"/>
      <c r="BLG251" s="135"/>
      <c r="BLH251" s="135"/>
      <c r="BLI251" s="135"/>
      <c r="BLJ251" s="135"/>
      <c r="BLK251" s="173"/>
      <c r="BLL251" s="173"/>
      <c r="BLM251" s="173"/>
      <c r="BLN251" s="173"/>
      <c r="BLO251" s="173"/>
      <c r="BLP251" s="173"/>
      <c r="BLQ251" s="173"/>
      <c r="BLR251" s="173"/>
      <c r="BLS251" s="173"/>
      <c r="BLT251" s="173"/>
      <c r="BLU251" s="125"/>
      <c r="BLV251" s="125"/>
      <c r="BLW251" s="134"/>
      <c r="BLX251" s="135"/>
      <c r="BLY251" s="135"/>
      <c r="BLZ251" s="135"/>
      <c r="BMA251" s="135"/>
      <c r="BMB251" s="173"/>
      <c r="BMC251" s="173"/>
      <c r="BMD251" s="173"/>
      <c r="BME251" s="173"/>
      <c r="BMF251" s="173"/>
      <c r="BMG251" s="173"/>
      <c r="BMH251" s="173"/>
      <c r="BMI251" s="173"/>
      <c r="BMJ251" s="173"/>
      <c r="BMK251" s="173"/>
      <c r="BML251" s="125"/>
      <c r="BMM251" s="125"/>
      <c r="BMN251" s="134"/>
      <c r="BMO251" s="135"/>
      <c r="BMP251" s="135"/>
      <c r="BMQ251" s="135"/>
      <c r="BMR251" s="135"/>
      <c r="BMS251" s="173"/>
      <c r="BMT251" s="173"/>
      <c r="BMU251" s="173"/>
      <c r="BMV251" s="173"/>
      <c r="BMW251" s="173"/>
      <c r="BMX251" s="173"/>
      <c r="BMY251" s="173"/>
      <c r="BMZ251" s="173"/>
      <c r="BNA251" s="173"/>
      <c r="BNB251" s="173"/>
      <c r="BNC251" s="125"/>
      <c r="BND251" s="125"/>
      <c r="BNE251" s="134"/>
      <c r="BNF251" s="135"/>
      <c r="BNG251" s="135"/>
      <c r="BNH251" s="135"/>
      <c r="BNI251" s="135"/>
      <c r="BNJ251" s="173"/>
      <c r="BNK251" s="173"/>
      <c r="BNL251" s="173"/>
      <c r="BNM251" s="173"/>
      <c r="BNN251" s="173"/>
      <c r="BNO251" s="173"/>
      <c r="BNP251" s="173"/>
      <c r="BNQ251" s="173"/>
      <c r="BNR251" s="173"/>
      <c r="BNS251" s="173"/>
      <c r="BNT251" s="125"/>
      <c r="BNU251" s="125"/>
      <c r="BNV251" s="134"/>
      <c r="BNW251" s="135"/>
      <c r="BNX251" s="135"/>
      <c r="BNY251" s="135"/>
      <c r="BNZ251" s="135"/>
      <c r="BOA251" s="173"/>
      <c r="BOB251" s="173"/>
      <c r="BOC251" s="173"/>
      <c r="BOD251" s="173"/>
      <c r="BOE251" s="173"/>
      <c r="BOF251" s="173"/>
      <c r="BOG251" s="173"/>
      <c r="BOH251" s="173"/>
      <c r="BOI251" s="173"/>
      <c r="BOJ251" s="173"/>
      <c r="BOK251" s="125"/>
      <c r="BOL251" s="125"/>
      <c r="BOM251" s="134"/>
      <c r="BON251" s="135"/>
      <c r="BOO251" s="135"/>
      <c r="BOP251" s="135"/>
      <c r="BOQ251" s="135"/>
      <c r="BOR251" s="173"/>
      <c r="BOS251" s="173"/>
      <c r="BOT251" s="173"/>
      <c r="BOU251" s="173"/>
      <c r="BOV251" s="173"/>
      <c r="BOW251" s="173"/>
      <c r="BOX251" s="173"/>
      <c r="BOY251" s="173"/>
      <c r="BOZ251" s="173"/>
      <c r="BPA251" s="173"/>
      <c r="BPB251" s="125"/>
      <c r="BPC251" s="125"/>
      <c r="BPD251" s="134"/>
      <c r="BPE251" s="135"/>
      <c r="BPF251" s="135"/>
      <c r="BPG251" s="135"/>
      <c r="BPH251" s="135"/>
      <c r="BPI251" s="173"/>
      <c r="BPJ251" s="173"/>
      <c r="BPK251" s="173"/>
      <c r="BPL251" s="173"/>
      <c r="BPM251" s="173"/>
      <c r="BPN251" s="173"/>
      <c r="BPO251" s="173"/>
      <c r="BPP251" s="173"/>
      <c r="BPQ251" s="173"/>
      <c r="BPR251" s="173"/>
      <c r="BPS251" s="125"/>
      <c r="BPT251" s="125"/>
      <c r="BPU251" s="134"/>
      <c r="BPV251" s="135"/>
      <c r="BPW251" s="135"/>
      <c r="BPX251" s="135"/>
      <c r="BPY251" s="135"/>
      <c r="BPZ251" s="173"/>
      <c r="BQA251" s="173"/>
      <c r="BQB251" s="173"/>
      <c r="BQC251" s="173"/>
      <c r="BQD251" s="173"/>
      <c r="BQE251" s="173"/>
      <c r="BQF251" s="173"/>
      <c r="BQG251" s="173"/>
      <c r="BQH251" s="173"/>
      <c r="BQI251" s="173"/>
      <c r="BQJ251" s="125"/>
      <c r="BQK251" s="125"/>
      <c r="BQL251" s="134"/>
      <c r="BQM251" s="135"/>
      <c r="BQN251" s="135"/>
      <c r="BQO251" s="135"/>
      <c r="BQP251" s="135"/>
      <c r="BQQ251" s="173"/>
      <c r="BQR251" s="173"/>
      <c r="BQS251" s="173"/>
      <c r="BQT251" s="173"/>
      <c r="BQU251" s="173"/>
      <c r="BQV251" s="173"/>
      <c r="BQW251" s="173"/>
      <c r="BQX251" s="173"/>
      <c r="BQY251" s="173"/>
      <c r="BQZ251" s="173"/>
      <c r="BRA251" s="125"/>
      <c r="BRB251" s="125"/>
      <c r="BRC251" s="134"/>
      <c r="BRD251" s="135"/>
      <c r="BRE251" s="135"/>
      <c r="BRF251" s="135"/>
      <c r="BRG251" s="135"/>
      <c r="BRH251" s="173"/>
      <c r="BRI251" s="173"/>
      <c r="BRJ251" s="173"/>
      <c r="BRK251" s="173"/>
      <c r="BRL251" s="173"/>
      <c r="BRM251" s="173"/>
      <c r="BRN251" s="173"/>
      <c r="BRO251" s="173"/>
      <c r="BRP251" s="173"/>
      <c r="BRQ251" s="173"/>
      <c r="BRR251" s="125"/>
      <c r="BRS251" s="125"/>
      <c r="BRT251" s="134"/>
      <c r="BRU251" s="135"/>
      <c r="BRV251" s="135"/>
      <c r="BRW251" s="135"/>
      <c r="BRX251" s="135"/>
      <c r="BRY251" s="173"/>
      <c r="BRZ251" s="173"/>
      <c r="BSA251" s="173"/>
      <c r="BSB251" s="173"/>
      <c r="BSC251" s="173"/>
      <c r="BSD251" s="173"/>
      <c r="BSE251" s="173"/>
      <c r="BSF251" s="173"/>
      <c r="BSG251" s="173"/>
      <c r="BSH251" s="173"/>
      <c r="BSI251" s="125"/>
      <c r="BSJ251" s="125"/>
      <c r="BSK251" s="134"/>
      <c r="BSL251" s="135"/>
      <c r="BSM251" s="135"/>
      <c r="BSN251" s="135"/>
      <c r="BSO251" s="135"/>
      <c r="BSP251" s="173"/>
      <c r="BSQ251" s="173"/>
      <c r="BSR251" s="173"/>
      <c r="BSS251" s="173"/>
      <c r="BST251" s="173"/>
      <c r="BSU251" s="173"/>
      <c r="BSV251" s="173"/>
      <c r="BSW251" s="173"/>
      <c r="BSX251" s="173"/>
      <c r="BSY251" s="173"/>
      <c r="BSZ251" s="125"/>
      <c r="BTA251" s="125"/>
      <c r="BTB251" s="134"/>
      <c r="BTC251" s="135"/>
      <c r="BTD251" s="135"/>
      <c r="BTE251" s="135"/>
      <c r="BTF251" s="135"/>
      <c r="BTG251" s="173"/>
      <c r="BTH251" s="173"/>
      <c r="BTI251" s="173"/>
      <c r="BTJ251" s="173"/>
      <c r="BTK251" s="173"/>
      <c r="BTL251" s="173"/>
      <c r="BTM251" s="173"/>
      <c r="BTN251" s="173"/>
      <c r="BTO251" s="173"/>
      <c r="BTP251" s="173"/>
      <c r="BTQ251" s="125"/>
      <c r="BTR251" s="125"/>
      <c r="BTS251" s="134"/>
      <c r="BTT251" s="135"/>
      <c r="BTU251" s="135"/>
      <c r="BTV251" s="135"/>
      <c r="BTW251" s="135"/>
      <c r="BTX251" s="173"/>
      <c r="BTY251" s="173"/>
      <c r="BTZ251" s="173"/>
      <c r="BUA251" s="173"/>
      <c r="BUB251" s="173"/>
      <c r="BUC251" s="173"/>
      <c r="BUD251" s="173"/>
      <c r="BUE251" s="173"/>
      <c r="BUF251" s="173"/>
      <c r="BUG251" s="173"/>
      <c r="BUH251" s="125"/>
      <c r="BUI251" s="125"/>
      <c r="BUJ251" s="134"/>
      <c r="BUK251" s="135"/>
      <c r="BUL251" s="135"/>
      <c r="BUM251" s="135"/>
      <c r="BUN251" s="135"/>
      <c r="BUO251" s="173"/>
      <c r="BUP251" s="173"/>
      <c r="BUQ251" s="173"/>
      <c r="BUR251" s="173"/>
      <c r="BUS251" s="173"/>
      <c r="BUT251" s="173"/>
      <c r="BUU251" s="173"/>
      <c r="BUV251" s="173"/>
      <c r="BUW251" s="173"/>
      <c r="BUX251" s="173"/>
      <c r="BUY251" s="125"/>
      <c r="BUZ251" s="125"/>
      <c r="BVA251" s="134"/>
      <c r="BVB251" s="135"/>
      <c r="BVC251" s="135"/>
      <c r="BVD251" s="135"/>
      <c r="BVE251" s="135"/>
      <c r="BVF251" s="173"/>
      <c r="BVG251" s="173"/>
      <c r="BVH251" s="173"/>
      <c r="BVI251" s="173"/>
      <c r="BVJ251" s="173"/>
      <c r="BVK251" s="173"/>
      <c r="BVL251" s="173"/>
      <c r="BVM251" s="173"/>
      <c r="BVN251" s="173"/>
      <c r="BVO251" s="173"/>
      <c r="BVP251" s="125"/>
      <c r="BVQ251" s="125"/>
      <c r="BVR251" s="134"/>
      <c r="BVS251" s="135"/>
      <c r="BVT251" s="135"/>
      <c r="BVU251" s="135"/>
      <c r="BVV251" s="135"/>
      <c r="BVW251" s="173"/>
      <c r="BVX251" s="173"/>
      <c r="BVY251" s="173"/>
      <c r="BVZ251" s="173"/>
      <c r="BWA251" s="173"/>
      <c r="BWB251" s="173"/>
      <c r="BWC251" s="173"/>
      <c r="BWD251" s="173"/>
      <c r="BWE251" s="173"/>
      <c r="BWF251" s="173"/>
      <c r="BWG251" s="125"/>
      <c r="BWH251" s="125"/>
      <c r="BWI251" s="134"/>
      <c r="BWJ251" s="135"/>
      <c r="BWK251" s="135"/>
      <c r="BWL251" s="135"/>
      <c r="BWM251" s="135"/>
      <c r="BWN251" s="173"/>
      <c r="BWO251" s="173"/>
      <c r="BWP251" s="173"/>
      <c r="BWQ251" s="173"/>
      <c r="BWR251" s="173"/>
      <c r="BWS251" s="173"/>
      <c r="BWT251" s="173"/>
      <c r="BWU251" s="173"/>
      <c r="BWV251" s="173"/>
      <c r="BWW251" s="173"/>
      <c r="BWX251" s="125"/>
      <c r="BWY251" s="125"/>
      <c r="BWZ251" s="134"/>
      <c r="BXA251" s="135"/>
      <c r="BXB251" s="135"/>
      <c r="BXC251" s="135"/>
      <c r="BXD251" s="135"/>
      <c r="BXE251" s="173"/>
      <c r="BXF251" s="173"/>
      <c r="BXG251" s="173"/>
      <c r="BXH251" s="173"/>
      <c r="BXI251" s="173"/>
      <c r="BXJ251" s="173"/>
      <c r="BXK251" s="173"/>
      <c r="BXL251" s="173"/>
      <c r="BXM251" s="173"/>
      <c r="BXN251" s="173"/>
      <c r="BXO251" s="125"/>
      <c r="BXP251" s="125"/>
      <c r="BXQ251" s="134"/>
      <c r="BXR251" s="135"/>
      <c r="BXS251" s="135"/>
      <c r="BXT251" s="135"/>
      <c r="BXU251" s="135"/>
      <c r="BXV251" s="173"/>
      <c r="BXW251" s="173"/>
      <c r="BXX251" s="173"/>
      <c r="BXY251" s="173"/>
      <c r="BXZ251" s="173"/>
      <c r="BYA251" s="173"/>
      <c r="BYB251" s="173"/>
      <c r="BYC251" s="173"/>
      <c r="BYD251" s="173"/>
      <c r="BYE251" s="173"/>
      <c r="BYF251" s="125"/>
      <c r="BYG251" s="125"/>
      <c r="BYH251" s="134"/>
      <c r="BYI251" s="135"/>
      <c r="BYJ251" s="135"/>
      <c r="BYK251" s="135"/>
      <c r="BYL251" s="135"/>
      <c r="BYM251" s="173"/>
      <c r="BYN251" s="173"/>
      <c r="BYO251" s="173"/>
      <c r="BYP251" s="173"/>
      <c r="BYQ251" s="173"/>
      <c r="BYR251" s="173"/>
      <c r="BYS251" s="173"/>
      <c r="BYT251" s="173"/>
      <c r="BYU251" s="173"/>
      <c r="BYV251" s="173"/>
      <c r="BYW251" s="125"/>
      <c r="BYX251" s="125"/>
      <c r="BYY251" s="134"/>
      <c r="BYZ251" s="135"/>
      <c r="BZA251" s="135"/>
      <c r="BZB251" s="135"/>
      <c r="BZC251" s="135"/>
      <c r="BZD251" s="173"/>
      <c r="BZE251" s="173"/>
      <c r="BZF251" s="173"/>
      <c r="BZG251" s="173"/>
      <c r="BZH251" s="173"/>
      <c r="BZI251" s="173"/>
      <c r="BZJ251" s="173"/>
      <c r="BZK251" s="173"/>
      <c r="BZL251" s="173"/>
      <c r="BZM251" s="173"/>
      <c r="BZN251" s="125"/>
      <c r="BZO251" s="125"/>
      <c r="BZP251" s="134"/>
      <c r="BZQ251" s="135"/>
      <c r="BZR251" s="135"/>
      <c r="BZS251" s="135"/>
      <c r="BZT251" s="135"/>
      <c r="BZU251" s="173"/>
      <c r="BZV251" s="173"/>
      <c r="BZW251" s="173"/>
      <c r="BZX251" s="173"/>
      <c r="BZY251" s="173"/>
      <c r="BZZ251" s="173"/>
      <c r="CAA251" s="173"/>
      <c r="CAB251" s="173"/>
      <c r="CAC251" s="173"/>
      <c r="CAD251" s="173"/>
      <c r="CAE251" s="125"/>
      <c r="CAF251" s="125"/>
      <c r="CAG251" s="134"/>
      <c r="CAH251" s="135"/>
      <c r="CAI251" s="135"/>
      <c r="CAJ251" s="135"/>
      <c r="CAK251" s="135"/>
      <c r="CAL251" s="173"/>
      <c r="CAM251" s="173"/>
      <c r="CAN251" s="173"/>
      <c r="CAO251" s="173"/>
      <c r="CAP251" s="173"/>
      <c r="CAQ251" s="173"/>
      <c r="CAR251" s="173"/>
      <c r="CAS251" s="173"/>
      <c r="CAT251" s="173"/>
      <c r="CAU251" s="173"/>
      <c r="CAV251" s="125"/>
      <c r="CAW251" s="125"/>
      <c r="CAX251" s="134"/>
      <c r="CAY251" s="135"/>
      <c r="CAZ251" s="135"/>
      <c r="CBA251" s="135"/>
      <c r="CBB251" s="135"/>
      <c r="CBC251" s="173"/>
      <c r="CBD251" s="173"/>
      <c r="CBE251" s="173"/>
      <c r="CBF251" s="173"/>
      <c r="CBG251" s="173"/>
      <c r="CBH251" s="173"/>
      <c r="CBI251" s="173"/>
      <c r="CBJ251" s="173"/>
      <c r="CBK251" s="173"/>
      <c r="CBL251" s="173"/>
      <c r="CBM251" s="125"/>
      <c r="CBN251" s="125"/>
      <c r="CBO251" s="134"/>
      <c r="CBP251" s="135"/>
      <c r="CBQ251" s="135"/>
      <c r="CBR251" s="135"/>
      <c r="CBS251" s="135"/>
      <c r="CBT251" s="173"/>
      <c r="CBU251" s="173"/>
      <c r="CBV251" s="173"/>
      <c r="CBW251" s="173"/>
      <c r="CBX251" s="173"/>
      <c r="CBY251" s="173"/>
      <c r="CBZ251" s="173"/>
      <c r="CCA251" s="173"/>
      <c r="CCB251" s="173"/>
      <c r="CCC251" s="173"/>
      <c r="CCD251" s="125"/>
      <c r="CCE251" s="125"/>
      <c r="CCF251" s="134"/>
      <c r="CCG251" s="135"/>
      <c r="CCH251" s="135"/>
      <c r="CCI251" s="135"/>
      <c r="CCJ251" s="135"/>
      <c r="CCK251" s="173"/>
      <c r="CCL251" s="173"/>
      <c r="CCM251" s="173"/>
      <c r="CCN251" s="173"/>
      <c r="CCO251" s="173"/>
      <c r="CCP251" s="173"/>
      <c r="CCQ251" s="173"/>
      <c r="CCR251" s="173"/>
      <c r="CCS251" s="173"/>
      <c r="CCT251" s="173"/>
      <c r="CCU251" s="125"/>
      <c r="CCV251" s="125"/>
      <c r="CCW251" s="134"/>
      <c r="CCX251" s="135"/>
      <c r="CCY251" s="135"/>
      <c r="CCZ251" s="135"/>
      <c r="CDA251" s="135"/>
      <c r="CDB251" s="173"/>
      <c r="CDC251" s="173"/>
      <c r="CDD251" s="173"/>
      <c r="CDE251" s="173"/>
      <c r="CDF251" s="173"/>
      <c r="CDG251" s="173"/>
      <c r="CDH251" s="173"/>
      <c r="CDI251" s="173"/>
      <c r="CDJ251" s="173"/>
      <c r="CDK251" s="173"/>
      <c r="CDL251" s="125"/>
      <c r="CDM251" s="125"/>
      <c r="CDN251" s="134"/>
      <c r="CDO251" s="135"/>
      <c r="CDP251" s="135"/>
      <c r="CDQ251" s="135"/>
      <c r="CDR251" s="135"/>
      <c r="CDS251" s="173"/>
      <c r="CDT251" s="173"/>
      <c r="CDU251" s="173"/>
      <c r="CDV251" s="173"/>
      <c r="CDW251" s="173"/>
      <c r="CDX251" s="173"/>
      <c r="CDY251" s="173"/>
      <c r="CDZ251" s="173"/>
      <c r="CEA251" s="173"/>
      <c r="CEB251" s="173"/>
      <c r="CEC251" s="125"/>
      <c r="CED251" s="125"/>
      <c r="CEE251" s="134"/>
      <c r="CEF251" s="135"/>
      <c r="CEG251" s="135"/>
      <c r="CEH251" s="135"/>
      <c r="CEI251" s="135"/>
      <c r="CEJ251" s="173"/>
      <c r="CEK251" s="173"/>
      <c r="CEL251" s="173"/>
      <c r="CEM251" s="173"/>
      <c r="CEN251" s="173"/>
      <c r="CEO251" s="173"/>
      <c r="CEP251" s="173"/>
      <c r="CEQ251" s="173"/>
      <c r="CER251" s="173"/>
      <c r="CES251" s="173"/>
      <c r="CET251" s="125"/>
      <c r="CEU251" s="125"/>
      <c r="CEV251" s="134"/>
      <c r="CEW251" s="135"/>
      <c r="CEX251" s="135"/>
      <c r="CEY251" s="135"/>
      <c r="CEZ251" s="135"/>
      <c r="CFA251" s="173"/>
      <c r="CFB251" s="173"/>
      <c r="CFC251" s="173"/>
      <c r="CFD251" s="173"/>
      <c r="CFE251" s="173"/>
      <c r="CFF251" s="173"/>
      <c r="CFG251" s="173"/>
      <c r="CFH251" s="173"/>
      <c r="CFI251" s="173"/>
      <c r="CFJ251" s="173"/>
      <c r="CFK251" s="125"/>
      <c r="CFL251" s="125"/>
      <c r="CFM251" s="134"/>
      <c r="CFN251" s="135"/>
      <c r="CFO251" s="135"/>
      <c r="CFP251" s="135"/>
      <c r="CFQ251" s="135"/>
      <c r="CFR251" s="173"/>
      <c r="CFS251" s="173"/>
      <c r="CFT251" s="173"/>
      <c r="CFU251" s="173"/>
      <c r="CFV251" s="173"/>
      <c r="CFW251" s="173"/>
      <c r="CFX251" s="173"/>
      <c r="CFY251" s="173"/>
      <c r="CFZ251" s="173"/>
      <c r="CGA251" s="173"/>
      <c r="CGB251" s="125"/>
      <c r="CGC251" s="125"/>
      <c r="CGD251" s="134"/>
      <c r="CGE251" s="135"/>
      <c r="CGF251" s="135"/>
      <c r="CGG251" s="135"/>
      <c r="CGH251" s="135"/>
      <c r="CGI251" s="173"/>
      <c r="CGJ251" s="173"/>
      <c r="CGK251" s="173"/>
      <c r="CGL251" s="173"/>
      <c r="CGM251" s="173"/>
      <c r="CGN251" s="173"/>
      <c r="CGO251" s="173"/>
      <c r="CGP251" s="173"/>
      <c r="CGQ251" s="173"/>
      <c r="CGR251" s="173"/>
      <c r="CGS251" s="125"/>
      <c r="CGT251" s="125"/>
      <c r="CGU251" s="134"/>
      <c r="CGV251" s="135"/>
      <c r="CGW251" s="135"/>
      <c r="CGX251" s="135"/>
      <c r="CGY251" s="135"/>
      <c r="CGZ251" s="173"/>
      <c r="CHA251" s="173"/>
      <c r="CHB251" s="173"/>
      <c r="CHC251" s="173"/>
      <c r="CHD251" s="173"/>
      <c r="CHE251" s="173"/>
      <c r="CHF251" s="173"/>
      <c r="CHG251" s="173"/>
      <c r="CHH251" s="173"/>
      <c r="CHI251" s="173"/>
      <c r="CHJ251" s="125"/>
      <c r="CHK251" s="125"/>
      <c r="CHL251" s="134"/>
      <c r="CHM251" s="135"/>
      <c r="CHN251" s="135"/>
      <c r="CHO251" s="135"/>
      <c r="CHP251" s="135"/>
      <c r="CHQ251" s="173"/>
      <c r="CHR251" s="173"/>
      <c r="CHS251" s="173"/>
      <c r="CHT251" s="173"/>
      <c r="CHU251" s="173"/>
      <c r="CHV251" s="173"/>
      <c r="CHW251" s="173"/>
      <c r="CHX251" s="173"/>
      <c r="CHY251" s="173"/>
      <c r="CHZ251" s="173"/>
      <c r="CIA251" s="125"/>
      <c r="CIB251" s="125"/>
      <c r="CIC251" s="134"/>
      <c r="CID251" s="135"/>
      <c r="CIE251" s="135"/>
      <c r="CIF251" s="135"/>
      <c r="CIG251" s="135"/>
      <c r="CIH251" s="173"/>
      <c r="CII251" s="173"/>
      <c r="CIJ251" s="173"/>
      <c r="CIK251" s="173"/>
      <c r="CIL251" s="173"/>
      <c r="CIM251" s="173"/>
      <c r="CIN251" s="173"/>
      <c r="CIO251" s="173"/>
      <c r="CIP251" s="173"/>
      <c r="CIQ251" s="173"/>
      <c r="CIR251" s="125"/>
      <c r="CIS251" s="125"/>
      <c r="CIT251" s="134"/>
      <c r="CIU251" s="135"/>
      <c r="CIV251" s="135"/>
      <c r="CIW251" s="135"/>
      <c r="CIX251" s="135"/>
      <c r="CIY251" s="173"/>
      <c r="CIZ251" s="173"/>
      <c r="CJA251" s="173"/>
      <c r="CJB251" s="173"/>
      <c r="CJC251" s="173"/>
      <c r="CJD251" s="173"/>
      <c r="CJE251" s="173"/>
      <c r="CJF251" s="173"/>
      <c r="CJG251" s="173"/>
      <c r="CJH251" s="173"/>
      <c r="CJI251" s="125"/>
      <c r="CJJ251" s="125"/>
      <c r="CJK251" s="134"/>
      <c r="CJL251" s="135"/>
      <c r="CJM251" s="135"/>
      <c r="CJN251" s="135"/>
      <c r="CJO251" s="135"/>
      <c r="CJP251" s="173"/>
      <c r="CJQ251" s="173"/>
      <c r="CJR251" s="173"/>
      <c r="CJS251" s="173"/>
      <c r="CJT251" s="173"/>
      <c r="CJU251" s="173"/>
      <c r="CJV251" s="173"/>
      <c r="CJW251" s="173"/>
      <c r="CJX251" s="173"/>
      <c r="CJY251" s="173"/>
      <c r="CJZ251" s="125"/>
      <c r="CKA251" s="125"/>
      <c r="CKB251" s="134"/>
      <c r="CKC251" s="135"/>
      <c r="CKD251" s="135"/>
      <c r="CKE251" s="135"/>
      <c r="CKF251" s="135"/>
      <c r="CKG251" s="173"/>
      <c r="CKH251" s="173"/>
      <c r="CKI251" s="173"/>
      <c r="CKJ251" s="173"/>
      <c r="CKK251" s="173"/>
      <c r="CKL251" s="173"/>
      <c r="CKM251" s="173"/>
      <c r="CKN251" s="173"/>
      <c r="CKO251" s="173"/>
      <c r="CKP251" s="173"/>
      <c r="CKQ251" s="125"/>
      <c r="CKR251" s="125"/>
      <c r="CKS251" s="134"/>
      <c r="CKT251" s="135"/>
      <c r="CKU251" s="135"/>
      <c r="CKV251" s="135"/>
      <c r="CKW251" s="135"/>
      <c r="CKX251" s="173"/>
      <c r="CKY251" s="173"/>
      <c r="CKZ251" s="173"/>
      <c r="CLA251" s="173"/>
      <c r="CLB251" s="173"/>
      <c r="CLC251" s="173"/>
      <c r="CLD251" s="173"/>
      <c r="CLE251" s="173"/>
      <c r="CLF251" s="173"/>
      <c r="CLG251" s="173"/>
      <c r="CLH251" s="125"/>
      <c r="CLI251" s="125"/>
      <c r="CLJ251" s="134"/>
      <c r="CLK251" s="135"/>
      <c r="CLL251" s="135"/>
      <c r="CLM251" s="135"/>
      <c r="CLN251" s="135"/>
      <c r="CLO251" s="173"/>
      <c r="CLP251" s="173"/>
      <c r="CLQ251" s="173"/>
      <c r="CLR251" s="173"/>
      <c r="CLS251" s="173"/>
      <c r="CLT251" s="173"/>
      <c r="CLU251" s="173"/>
      <c r="CLV251" s="173"/>
      <c r="CLW251" s="173"/>
      <c r="CLX251" s="173"/>
      <c r="CLY251" s="125"/>
      <c r="CLZ251" s="125"/>
      <c r="CMA251" s="134"/>
      <c r="CMB251" s="135"/>
      <c r="CMC251" s="135"/>
      <c r="CMD251" s="135"/>
      <c r="CME251" s="135"/>
      <c r="CMF251" s="173"/>
      <c r="CMG251" s="173"/>
      <c r="CMH251" s="173"/>
      <c r="CMI251" s="173"/>
      <c r="CMJ251" s="173"/>
      <c r="CMK251" s="173"/>
      <c r="CML251" s="173"/>
      <c r="CMM251" s="173"/>
      <c r="CMN251" s="173"/>
      <c r="CMO251" s="173"/>
      <c r="CMP251" s="125"/>
      <c r="CMQ251" s="125"/>
      <c r="CMR251" s="134"/>
      <c r="CMS251" s="135"/>
      <c r="CMT251" s="135"/>
      <c r="CMU251" s="135"/>
      <c r="CMV251" s="135"/>
      <c r="CMW251" s="173"/>
      <c r="CMX251" s="173"/>
      <c r="CMY251" s="173"/>
      <c r="CMZ251" s="173"/>
      <c r="CNA251" s="173"/>
      <c r="CNB251" s="173"/>
      <c r="CNC251" s="173"/>
      <c r="CND251" s="173"/>
      <c r="CNE251" s="173"/>
      <c r="CNF251" s="173"/>
      <c r="CNG251" s="125"/>
      <c r="CNH251" s="125"/>
      <c r="CNI251" s="134"/>
      <c r="CNJ251" s="135"/>
      <c r="CNK251" s="135"/>
      <c r="CNL251" s="135"/>
      <c r="CNM251" s="135"/>
      <c r="CNN251" s="173"/>
      <c r="CNO251" s="173"/>
      <c r="CNP251" s="173"/>
      <c r="CNQ251" s="173"/>
      <c r="CNR251" s="173"/>
      <c r="CNS251" s="173"/>
      <c r="CNT251" s="173"/>
      <c r="CNU251" s="173"/>
      <c r="CNV251" s="173"/>
      <c r="CNW251" s="173"/>
      <c r="CNX251" s="125"/>
      <c r="CNY251" s="125"/>
      <c r="CNZ251" s="134"/>
      <c r="COA251" s="135"/>
      <c r="COB251" s="135"/>
      <c r="COC251" s="135"/>
      <c r="COD251" s="135"/>
      <c r="COE251" s="173"/>
      <c r="COF251" s="173"/>
      <c r="COG251" s="173"/>
      <c r="COH251" s="173"/>
      <c r="COI251" s="173"/>
      <c r="COJ251" s="173"/>
      <c r="COK251" s="173"/>
      <c r="COL251" s="173"/>
      <c r="COM251" s="173"/>
      <c r="CON251" s="173"/>
      <c r="COO251" s="125"/>
      <c r="COP251" s="125"/>
      <c r="COQ251" s="134"/>
      <c r="COR251" s="135"/>
      <c r="COS251" s="135"/>
      <c r="COT251" s="135"/>
      <c r="COU251" s="135"/>
      <c r="COV251" s="173"/>
      <c r="COW251" s="173"/>
      <c r="COX251" s="173"/>
      <c r="COY251" s="173"/>
      <c r="COZ251" s="173"/>
      <c r="CPA251" s="173"/>
      <c r="CPB251" s="173"/>
      <c r="CPC251" s="173"/>
      <c r="CPD251" s="173"/>
      <c r="CPE251" s="173"/>
      <c r="CPF251" s="125"/>
      <c r="CPG251" s="125"/>
      <c r="CPH251" s="134"/>
      <c r="CPI251" s="135"/>
      <c r="CPJ251" s="135"/>
      <c r="CPK251" s="135"/>
      <c r="CPL251" s="135"/>
      <c r="CPM251" s="173"/>
      <c r="CPN251" s="173"/>
      <c r="CPO251" s="173"/>
      <c r="CPP251" s="173"/>
      <c r="CPQ251" s="173"/>
      <c r="CPR251" s="173"/>
      <c r="CPS251" s="173"/>
      <c r="CPT251" s="173"/>
      <c r="CPU251" s="173"/>
      <c r="CPV251" s="173"/>
      <c r="CPW251" s="125"/>
      <c r="CPX251" s="125"/>
      <c r="CPY251" s="134"/>
      <c r="CPZ251" s="135"/>
      <c r="CQA251" s="135"/>
      <c r="CQB251" s="135"/>
      <c r="CQC251" s="135"/>
      <c r="CQD251" s="173"/>
      <c r="CQE251" s="173"/>
      <c r="CQF251" s="173"/>
      <c r="CQG251" s="173"/>
      <c r="CQH251" s="173"/>
      <c r="CQI251" s="173"/>
      <c r="CQJ251" s="173"/>
      <c r="CQK251" s="173"/>
      <c r="CQL251" s="173"/>
      <c r="CQM251" s="173"/>
      <c r="CQN251" s="125"/>
      <c r="CQO251" s="125"/>
      <c r="CQP251" s="134"/>
      <c r="CQQ251" s="135"/>
      <c r="CQR251" s="135"/>
      <c r="CQS251" s="135"/>
      <c r="CQT251" s="135"/>
      <c r="CQU251" s="173"/>
      <c r="CQV251" s="173"/>
      <c r="CQW251" s="173"/>
      <c r="CQX251" s="173"/>
      <c r="CQY251" s="173"/>
      <c r="CQZ251" s="173"/>
      <c r="CRA251" s="173"/>
      <c r="CRB251" s="173"/>
      <c r="CRC251" s="173"/>
      <c r="CRD251" s="173"/>
      <c r="CRE251" s="125"/>
      <c r="CRF251" s="125"/>
      <c r="CRG251" s="134"/>
      <c r="CRH251" s="135"/>
      <c r="CRI251" s="135"/>
      <c r="CRJ251" s="135"/>
      <c r="CRK251" s="135"/>
      <c r="CRL251" s="173"/>
      <c r="CRM251" s="173"/>
      <c r="CRN251" s="173"/>
      <c r="CRO251" s="173"/>
      <c r="CRP251" s="173"/>
      <c r="CRQ251" s="173"/>
      <c r="CRR251" s="173"/>
      <c r="CRS251" s="173"/>
      <c r="CRT251" s="173"/>
      <c r="CRU251" s="173"/>
      <c r="CRV251" s="125"/>
      <c r="CRW251" s="125"/>
      <c r="CRX251" s="134"/>
      <c r="CRY251" s="135"/>
      <c r="CRZ251" s="135"/>
      <c r="CSA251" s="135"/>
      <c r="CSB251" s="135"/>
      <c r="CSC251" s="173"/>
      <c r="CSD251" s="173"/>
      <c r="CSE251" s="173"/>
      <c r="CSF251" s="173"/>
      <c r="CSG251" s="173"/>
      <c r="CSH251" s="173"/>
      <c r="CSI251" s="173"/>
      <c r="CSJ251" s="173"/>
      <c r="CSK251" s="173"/>
      <c r="CSL251" s="173"/>
      <c r="CSM251" s="125"/>
      <c r="CSN251" s="125"/>
      <c r="CSO251" s="134"/>
      <c r="CSP251" s="135"/>
      <c r="CSQ251" s="135"/>
      <c r="CSR251" s="135"/>
      <c r="CSS251" s="135"/>
      <c r="CST251" s="173"/>
      <c r="CSU251" s="173"/>
      <c r="CSV251" s="173"/>
      <c r="CSW251" s="173"/>
      <c r="CSX251" s="173"/>
      <c r="CSY251" s="173"/>
      <c r="CSZ251" s="173"/>
      <c r="CTA251" s="173"/>
      <c r="CTB251" s="173"/>
      <c r="CTC251" s="173"/>
      <c r="CTD251" s="125"/>
      <c r="CTE251" s="125"/>
      <c r="CTF251" s="134"/>
      <c r="CTG251" s="135"/>
      <c r="CTH251" s="135"/>
      <c r="CTI251" s="135"/>
      <c r="CTJ251" s="135"/>
      <c r="CTK251" s="173"/>
      <c r="CTL251" s="173"/>
      <c r="CTM251" s="173"/>
      <c r="CTN251" s="173"/>
      <c r="CTO251" s="173"/>
      <c r="CTP251" s="173"/>
      <c r="CTQ251" s="173"/>
      <c r="CTR251" s="173"/>
      <c r="CTS251" s="173"/>
      <c r="CTT251" s="173"/>
      <c r="CTU251" s="125"/>
      <c r="CTV251" s="125"/>
      <c r="CTW251" s="134"/>
      <c r="CTX251" s="135"/>
      <c r="CTY251" s="135"/>
      <c r="CTZ251" s="135"/>
      <c r="CUA251" s="135"/>
      <c r="CUB251" s="173"/>
      <c r="CUC251" s="173"/>
      <c r="CUD251" s="173"/>
      <c r="CUE251" s="173"/>
      <c r="CUF251" s="173"/>
      <c r="CUG251" s="173"/>
      <c r="CUH251" s="173"/>
      <c r="CUI251" s="173"/>
      <c r="CUJ251" s="173"/>
      <c r="CUK251" s="173"/>
      <c r="CUL251" s="125"/>
      <c r="CUM251" s="125"/>
      <c r="CUN251" s="134"/>
      <c r="CUO251" s="135"/>
      <c r="CUP251" s="135"/>
      <c r="CUQ251" s="135"/>
      <c r="CUR251" s="135"/>
      <c r="CUS251" s="173"/>
      <c r="CUT251" s="173"/>
      <c r="CUU251" s="173"/>
      <c r="CUV251" s="173"/>
      <c r="CUW251" s="173"/>
      <c r="CUX251" s="173"/>
      <c r="CUY251" s="173"/>
      <c r="CUZ251" s="173"/>
      <c r="CVA251" s="173"/>
      <c r="CVB251" s="173"/>
      <c r="CVC251" s="125"/>
      <c r="CVD251" s="125"/>
      <c r="CVE251" s="134"/>
      <c r="CVF251" s="135"/>
      <c r="CVG251" s="135"/>
      <c r="CVH251" s="135"/>
      <c r="CVI251" s="135"/>
      <c r="CVJ251" s="173"/>
      <c r="CVK251" s="173"/>
      <c r="CVL251" s="173"/>
      <c r="CVM251" s="173"/>
      <c r="CVN251" s="173"/>
      <c r="CVO251" s="173"/>
      <c r="CVP251" s="173"/>
      <c r="CVQ251" s="173"/>
      <c r="CVR251" s="173"/>
      <c r="CVS251" s="173"/>
      <c r="CVT251" s="125"/>
      <c r="CVU251" s="125"/>
      <c r="CVV251" s="134"/>
      <c r="CVW251" s="135"/>
      <c r="CVX251" s="135"/>
      <c r="CVY251" s="135"/>
      <c r="CVZ251" s="135"/>
      <c r="CWA251" s="173"/>
      <c r="CWB251" s="173"/>
      <c r="CWC251" s="173"/>
      <c r="CWD251" s="173"/>
      <c r="CWE251" s="173"/>
      <c r="CWF251" s="173"/>
      <c r="CWG251" s="173"/>
      <c r="CWH251" s="173"/>
      <c r="CWI251" s="173"/>
      <c r="CWJ251" s="173"/>
      <c r="CWK251" s="125"/>
      <c r="CWL251" s="125"/>
      <c r="CWM251" s="134"/>
      <c r="CWN251" s="135"/>
      <c r="CWO251" s="135"/>
      <c r="CWP251" s="135"/>
      <c r="CWQ251" s="135"/>
      <c r="CWR251" s="173"/>
      <c r="CWS251" s="173"/>
      <c r="CWT251" s="173"/>
      <c r="CWU251" s="173"/>
      <c r="CWV251" s="173"/>
      <c r="CWW251" s="173"/>
      <c r="CWX251" s="173"/>
      <c r="CWY251" s="173"/>
      <c r="CWZ251" s="173"/>
      <c r="CXA251" s="173"/>
      <c r="CXB251" s="125"/>
      <c r="CXC251" s="125"/>
      <c r="CXD251" s="134"/>
      <c r="CXE251" s="135"/>
      <c r="CXF251" s="135"/>
      <c r="CXG251" s="135"/>
      <c r="CXH251" s="135"/>
      <c r="CXI251" s="173"/>
      <c r="CXJ251" s="173"/>
      <c r="CXK251" s="173"/>
      <c r="CXL251" s="173"/>
      <c r="CXM251" s="173"/>
      <c r="CXN251" s="173"/>
      <c r="CXO251" s="173"/>
      <c r="CXP251" s="173"/>
      <c r="CXQ251" s="173"/>
      <c r="CXR251" s="173"/>
      <c r="CXS251" s="125"/>
      <c r="CXT251" s="125"/>
      <c r="CXU251" s="134"/>
      <c r="CXV251" s="135"/>
      <c r="CXW251" s="135"/>
      <c r="CXX251" s="135"/>
      <c r="CXY251" s="135"/>
      <c r="CXZ251" s="173"/>
      <c r="CYA251" s="173"/>
      <c r="CYB251" s="173"/>
      <c r="CYC251" s="173"/>
      <c r="CYD251" s="173"/>
      <c r="CYE251" s="173"/>
      <c r="CYF251" s="173"/>
      <c r="CYG251" s="173"/>
      <c r="CYH251" s="173"/>
      <c r="CYI251" s="173"/>
      <c r="CYJ251" s="125"/>
      <c r="CYK251" s="125"/>
      <c r="CYL251" s="134"/>
      <c r="CYM251" s="135"/>
      <c r="CYN251" s="135"/>
      <c r="CYO251" s="135"/>
      <c r="CYP251" s="135"/>
      <c r="CYQ251" s="173"/>
      <c r="CYR251" s="173"/>
      <c r="CYS251" s="173"/>
      <c r="CYT251" s="173"/>
      <c r="CYU251" s="173"/>
      <c r="CYV251" s="173"/>
      <c r="CYW251" s="173"/>
      <c r="CYX251" s="173"/>
      <c r="CYY251" s="173"/>
      <c r="CYZ251" s="173"/>
      <c r="CZA251" s="125"/>
      <c r="CZB251" s="125"/>
      <c r="CZC251" s="134"/>
      <c r="CZD251" s="135"/>
      <c r="CZE251" s="135"/>
      <c r="CZF251" s="135"/>
      <c r="CZG251" s="135"/>
      <c r="CZH251" s="173"/>
      <c r="CZI251" s="173"/>
      <c r="CZJ251" s="173"/>
      <c r="CZK251" s="173"/>
      <c r="CZL251" s="173"/>
      <c r="CZM251" s="173"/>
      <c r="CZN251" s="173"/>
      <c r="CZO251" s="173"/>
      <c r="CZP251" s="173"/>
      <c r="CZQ251" s="173"/>
      <c r="CZR251" s="125"/>
      <c r="CZS251" s="125"/>
      <c r="CZT251" s="134"/>
      <c r="CZU251" s="135"/>
      <c r="CZV251" s="135"/>
      <c r="CZW251" s="135"/>
      <c r="CZX251" s="135"/>
      <c r="CZY251" s="173"/>
      <c r="CZZ251" s="173"/>
      <c r="DAA251" s="173"/>
      <c r="DAB251" s="173"/>
      <c r="DAC251" s="173"/>
      <c r="DAD251" s="173"/>
      <c r="DAE251" s="173"/>
      <c r="DAF251" s="173"/>
      <c r="DAG251" s="173"/>
      <c r="DAH251" s="173"/>
      <c r="DAI251" s="125"/>
      <c r="DAJ251" s="125"/>
      <c r="DAK251" s="134"/>
      <c r="DAL251" s="135"/>
      <c r="DAM251" s="135"/>
      <c r="DAN251" s="135"/>
      <c r="DAO251" s="135"/>
      <c r="DAP251" s="173"/>
      <c r="DAQ251" s="173"/>
      <c r="DAR251" s="173"/>
      <c r="DAS251" s="173"/>
      <c r="DAT251" s="173"/>
      <c r="DAU251" s="173"/>
      <c r="DAV251" s="173"/>
      <c r="DAW251" s="173"/>
      <c r="DAX251" s="173"/>
      <c r="DAY251" s="173"/>
      <c r="DAZ251" s="125"/>
      <c r="DBA251" s="125"/>
      <c r="DBB251" s="134"/>
      <c r="DBC251" s="135"/>
      <c r="DBD251" s="135"/>
      <c r="DBE251" s="135"/>
      <c r="DBF251" s="135"/>
      <c r="DBG251" s="173"/>
      <c r="DBH251" s="173"/>
      <c r="DBI251" s="173"/>
      <c r="DBJ251" s="173"/>
      <c r="DBK251" s="173"/>
      <c r="DBL251" s="173"/>
      <c r="DBM251" s="173"/>
      <c r="DBN251" s="173"/>
      <c r="DBO251" s="173"/>
      <c r="DBP251" s="173"/>
      <c r="DBQ251" s="125"/>
      <c r="DBR251" s="125"/>
      <c r="DBS251" s="134"/>
      <c r="DBT251" s="135"/>
      <c r="DBU251" s="135"/>
      <c r="DBV251" s="135"/>
      <c r="DBW251" s="135"/>
      <c r="DBX251" s="173"/>
      <c r="DBY251" s="173"/>
      <c r="DBZ251" s="173"/>
      <c r="DCA251" s="173"/>
      <c r="DCB251" s="173"/>
      <c r="DCC251" s="173"/>
      <c r="DCD251" s="173"/>
      <c r="DCE251" s="173"/>
      <c r="DCF251" s="173"/>
      <c r="DCG251" s="173"/>
      <c r="DCH251" s="125"/>
      <c r="DCI251" s="125"/>
      <c r="DCJ251" s="134"/>
      <c r="DCK251" s="135"/>
      <c r="DCL251" s="135"/>
      <c r="DCM251" s="135"/>
      <c r="DCN251" s="135"/>
      <c r="DCO251" s="173"/>
      <c r="DCP251" s="173"/>
      <c r="DCQ251" s="173"/>
      <c r="DCR251" s="173"/>
      <c r="DCS251" s="173"/>
      <c r="DCT251" s="173"/>
      <c r="DCU251" s="173"/>
      <c r="DCV251" s="173"/>
      <c r="DCW251" s="173"/>
      <c r="DCX251" s="173"/>
      <c r="DCY251" s="125"/>
      <c r="DCZ251" s="125"/>
      <c r="DDA251" s="134"/>
      <c r="DDB251" s="135"/>
      <c r="DDC251" s="135"/>
      <c r="DDD251" s="135"/>
      <c r="DDE251" s="135"/>
      <c r="DDF251" s="173"/>
      <c r="DDG251" s="173"/>
      <c r="DDH251" s="173"/>
      <c r="DDI251" s="173"/>
      <c r="DDJ251" s="173"/>
      <c r="DDK251" s="173"/>
      <c r="DDL251" s="173"/>
      <c r="DDM251" s="173"/>
      <c r="DDN251" s="173"/>
      <c r="DDO251" s="173"/>
      <c r="DDP251" s="125"/>
      <c r="DDQ251" s="125"/>
      <c r="DDR251" s="134"/>
      <c r="DDS251" s="135"/>
      <c r="DDT251" s="135"/>
      <c r="DDU251" s="135"/>
      <c r="DDV251" s="135"/>
      <c r="DDW251" s="173"/>
      <c r="DDX251" s="173"/>
      <c r="DDY251" s="173"/>
      <c r="DDZ251" s="173"/>
      <c r="DEA251" s="173"/>
      <c r="DEB251" s="173"/>
      <c r="DEC251" s="173"/>
      <c r="DED251" s="173"/>
      <c r="DEE251" s="173"/>
      <c r="DEF251" s="173"/>
      <c r="DEG251" s="125"/>
      <c r="DEH251" s="125"/>
      <c r="DEI251" s="134"/>
      <c r="DEJ251" s="135"/>
      <c r="DEK251" s="135"/>
      <c r="DEL251" s="135"/>
      <c r="DEM251" s="135"/>
      <c r="DEN251" s="173"/>
      <c r="DEO251" s="173"/>
      <c r="DEP251" s="173"/>
      <c r="DEQ251" s="173"/>
      <c r="DER251" s="173"/>
      <c r="DES251" s="173"/>
      <c r="DET251" s="173"/>
      <c r="DEU251" s="173"/>
      <c r="DEV251" s="173"/>
      <c r="DEW251" s="173"/>
      <c r="DEX251" s="125"/>
      <c r="DEY251" s="125"/>
      <c r="DEZ251" s="134"/>
      <c r="DFA251" s="135"/>
      <c r="DFB251" s="135"/>
      <c r="DFC251" s="135"/>
      <c r="DFD251" s="135"/>
      <c r="DFE251" s="173"/>
      <c r="DFF251" s="173"/>
      <c r="DFG251" s="173"/>
      <c r="DFH251" s="173"/>
      <c r="DFI251" s="173"/>
      <c r="DFJ251" s="173"/>
      <c r="DFK251" s="173"/>
      <c r="DFL251" s="173"/>
      <c r="DFM251" s="173"/>
      <c r="DFN251" s="173"/>
      <c r="DFO251" s="125"/>
      <c r="DFP251" s="125"/>
      <c r="DFQ251" s="134"/>
      <c r="DFR251" s="135"/>
      <c r="DFS251" s="135"/>
      <c r="DFT251" s="135"/>
      <c r="DFU251" s="135"/>
      <c r="DFV251" s="173"/>
      <c r="DFW251" s="173"/>
      <c r="DFX251" s="173"/>
      <c r="DFY251" s="173"/>
      <c r="DFZ251" s="173"/>
      <c r="DGA251" s="173"/>
      <c r="DGB251" s="173"/>
      <c r="DGC251" s="173"/>
      <c r="DGD251" s="173"/>
      <c r="DGE251" s="173"/>
      <c r="DGF251" s="125"/>
      <c r="DGG251" s="125"/>
      <c r="DGH251" s="134"/>
      <c r="DGI251" s="135"/>
      <c r="DGJ251" s="135"/>
      <c r="DGK251" s="135"/>
      <c r="DGL251" s="135"/>
      <c r="DGM251" s="173"/>
      <c r="DGN251" s="173"/>
      <c r="DGO251" s="173"/>
      <c r="DGP251" s="173"/>
      <c r="DGQ251" s="173"/>
      <c r="DGR251" s="173"/>
      <c r="DGS251" s="173"/>
      <c r="DGT251" s="173"/>
      <c r="DGU251" s="173"/>
      <c r="DGV251" s="173"/>
      <c r="DGW251" s="125"/>
      <c r="DGX251" s="125"/>
      <c r="DGY251" s="134"/>
      <c r="DGZ251" s="135"/>
      <c r="DHA251" s="135"/>
      <c r="DHB251" s="135"/>
      <c r="DHC251" s="135"/>
      <c r="DHD251" s="173"/>
      <c r="DHE251" s="173"/>
      <c r="DHF251" s="173"/>
      <c r="DHG251" s="173"/>
      <c r="DHH251" s="173"/>
      <c r="DHI251" s="173"/>
      <c r="DHJ251" s="173"/>
      <c r="DHK251" s="173"/>
      <c r="DHL251" s="173"/>
      <c r="DHM251" s="173"/>
      <c r="DHN251" s="125"/>
      <c r="DHO251" s="125"/>
      <c r="DHP251" s="134"/>
      <c r="DHQ251" s="135"/>
      <c r="DHR251" s="135"/>
      <c r="DHS251" s="135"/>
      <c r="DHT251" s="135"/>
      <c r="DHU251" s="173"/>
      <c r="DHV251" s="173"/>
      <c r="DHW251" s="173"/>
      <c r="DHX251" s="173"/>
      <c r="DHY251" s="173"/>
      <c r="DHZ251" s="173"/>
      <c r="DIA251" s="173"/>
      <c r="DIB251" s="173"/>
      <c r="DIC251" s="173"/>
      <c r="DID251" s="173"/>
      <c r="DIE251" s="125"/>
      <c r="DIF251" s="125"/>
      <c r="DIG251" s="134"/>
      <c r="DIH251" s="135"/>
      <c r="DII251" s="135"/>
      <c r="DIJ251" s="135"/>
      <c r="DIK251" s="135"/>
      <c r="DIL251" s="173"/>
      <c r="DIM251" s="173"/>
      <c r="DIN251" s="173"/>
      <c r="DIO251" s="173"/>
      <c r="DIP251" s="173"/>
      <c r="DIQ251" s="173"/>
      <c r="DIR251" s="173"/>
      <c r="DIS251" s="173"/>
      <c r="DIT251" s="173"/>
      <c r="DIU251" s="173"/>
      <c r="DIV251" s="125"/>
      <c r="DIW251" s="125"/>
      <c r="DIX251" s="134"/>
      <c r="DIY251" s="135"/>
      <c r="DIZ251" s="135"/>
      <c r="DJA251" s="135"/>
      <c r="DJB251" s="135"/>
      <c r="DJC251" s="173"/>
      <c r="DJD251" s="173"/>
      <c r="DJE251" s="173"/>
      <c r="DJF251" s="173"/>
      <c r="DJG251" s="173"/>
      <c r="DJH251" s="173"/>
      <c r="DJI251" s="173"/>
      <c r="DJJ251" s="173"/>
      <c r="DJK251" s="173"/>
      <c r="DJL251" s="173"/>
      <c r="DJM251" s="125"/>
      <c r="DJN251" s="125"/>
      <c r="DJO251" s="134"/>
      <c r="DJP251" s="135"/>
      <c r="DJQ251" s="135"/>
      <c r="DJR251" s="135"/>
      <c r="DJS251" s="135"/>
      <c r="DJT251" s="173"/>
      <c r="DJU251" s="173"/>
      <c r="DJV251" s="173"/>
      <c r="DJW251" s="173"/>
      <c r="DJX251" s="173"/>
      <c r="DJY251" s="173"/>
      <c r="DJZ251" s="173"/>
      <c r="DKA251" s="173"/>
      <c r="DKB251" s="173"/>
      <c r="DKC251" s="173"/>
      <c r="DKD251" s="125"/>
      <c r="DKE251" s="125"/>
      <c r="DKF251" s="134"/>
      <c r="DKG251" s="135"/>
      <c r="DKH251" s="135"/>
      <c r="DKI251" s="135"/>
      <c r="DKJ251" s="135"/>
      <c r="DKK251" s="173"/>
      <c r="DKL251" s="173"/>
      <c r="DKM251" s="173"/>
      <c r="DKN251" s="173"/>
      <c r="DKO251" s="173"/>
      <c r="DKP251" s="173"/>
      <c r="DKQ251" s="173"/>
      <c r="DKR251" s="173"/>
      <c r="DKS251" s="173"/>
      <c r="DKT251" s="173"/>
      <c r="DKU251" s="125"/>
      <c r="DKV251" s="125"/>
      <c r="DKW251" s="134"/>
      <c r="DKX251" s="135"/>
      <c r="DKY251" s="135"/>
      <c r="DKZ251" s="135"/>
      <c r="DLA251" s="135"/>
      <c r="DLB251" s="173"/>
      <c r="DLC251" s="173"/>
      <c r="DLD251" s="173"/>
      <c r="DLE251" s="173"/>
      <c r="DLF251" s="173"/>
      <c r="DLG251" s="173"/>
      <c r="DLH251" s="173"/>
      <c r="DLI251" s="173"/>
      <c r="DLJ251" s="173"/>
      <c r="DLK251" s="173"/>
      <c r="DLL251" s="125"/>
      <c r="DLM251" s="125"/>
      <c r="DLN251" s="134"/>
      <c r="DLO251" s="135"/>
      <c r="DLP251" s="135"/>
      <c r="DLQ251" s="135"/>
      <c r="DLR251" s="135"/>
      <c r="DLS251" s="173"/>
      <c r="DLT251" s="173"/>
      <c r="DLU251" s="173"/>
      <c r="DLV251" s="173"/>
      <c r="DLW251" s="173"/>
      <c r="DLX251" s="173"/>
      <c r="DLY251" s="173"/>
      <c r="DLZ251" s="173"/>
      <c r="DMA251" s="173"/>
      <c r="DMB251" s="173"/>
      <c r="DMC251" s="125"/>
      <c r="DMD251" s="125"/>
      <c r="DME251" s="134"/>
      <c r="DMF251" s="135"/>
      <c r="DMG251" s="135"/>
      <c r="DMH251" s="135"/>
      <c r="DMI251" s="135"/>
      <c r="DMJ251" s="173"/>
      <c r="DMK251" s="173"/>
      <c r="DML251" s="173"/>
      <c r="DMM251" s="173"/>
      <c r="DMN251" s="173"/>
      <c r="DMO251" s="173"/>
      <c r="DMP251" s="173"/>
      <c r="DMQ251" s="173"/>
      <c r="DMR251" s="173"/>
      <c r="DMS251" s="173"/>
      <c r="DMT251" s="125"/>
      <c r="DMU251" s="125"/>
      <c r="DMV251" s="134"/>
      <c r="DMW251" s="135"/>
      <c r="DMX251" s="135"/>
      <c r="DMY251" s="135"/>
      <c r="DMZ251" s="135"/>
      <c r="DNA251" s="173"/>
      <c r="DNB251" s="173"/>
      <c r="DNC251" s="173"/>
      <c r="DND251" s="173"/>
      <c r="DNE251" s="173"/>
      <c r="DNF251" s="173"/>
      <c r="DNG251" s="173"/>
      <c r="DNH251" s="173"/>
      <c r="DNI251" s="173"/>
      <c r="DNJ251" s="173"/>
      <c r="DNK251" s="125"/>
      <c r="DNL251" s="125"/>
      <c r="DNM251" s="134"/>
      <c r="DNN251" s="135"/>
      <c r="DNO251" s="135"/>
      <c r="DNP251" s="135"/>
      <c r="DNQ251" s="135"/>
      <c r="DNR251" s="173"/>
      <c r="DNS251" s="173"/>
      <c r="DNT251" s="173"/>
      <c r="DNU251" s="173"/>
      <c r="DNV251" s="173"/>
      <c r="DNW251" s="173"/>
      <c r="DNX251" s="173"/>
      <c r="DNY251" s="173"/>
      <c r="DNZ251" s="173"/>
      <c r="DOA251" s="173"/>
      <c r="DOB251" s="125"/>
      <c r="DOC251" s="125"/>
      <c r="DOD251" s="134"/>
      <c r="DOE251" s="135"/>
      <c r="DOF251" s="135"/>
      <c r="DOG251" s="135"/>
      <c r="DOH251" s="135"/>
      <c r="DOI251" s="173"/>
      <c r="DOJ251" s="173"/>
      <c r="DOK251" s="173"/>
      <c r="DOL251" s="173"/>
      <c r="DOM251" s="173"/>
      <c r="DON251" s="173"/>
      <c r="DOO251" s="173"/>
      <c r="DOP251" s="173"/>
      <c r="DOQ251" s="173"/>
      <c r="DOR251" s="173"/>
      <c r="DOS251" s="125"/>
      <c r="DOT251" s="125"/>
      <c r="DOU251" s="134"/>
      <c r="DOV251" s="135"/>
      <c r="DOW251" s="135"/>
      <c r="DOX251" s="135"/>
      <c r="DOY251" s="135"/>
      <c r="DOZ251" s="173"/>
      <c r="DPA251" s="173"/>
      <c r="DPB251" s="173"/>
      <c r="DPC251" s="173"/>
      <c r="DPD251" s="173"/>
      <c r="DPE251" s="173"/>
      <c r="DPF251" s="173"/>
      <c r="DPG251" s="173"/>
      <c r="DPH251" s="173"/>
      <c r="DPI251" s="173"/>
      <c r="DPJ251" s="125"/>
      <c r="DPK251" s="125"/>
      <c r="DPL251" s="134"/>
      <c r="DPM251" s="135"/>
      <c r="DPN251" s="135"/>
      <c r="DPO251" s="135"/>
      <c r="DPP251" s="135"/>
      <c r="DPQ251" s="173"/>
      <c r="DPR251" s="173"/>
      <c r="DPS251" s="173"/>
      <c r="DPT251" s="173"/>
      <c r="DPU251" s="173"/>
      <c r="DPV251" s="173"/>
      <c r="DPW251" s="173"/>
      <c r="DPX251" s="173"/>
      <c r="DPY251" s="173"/>
      <c r="DPZ251" s="173"/>
      <c r="DQA251" s="125"/>
      <c r="DQB251" s="125"/>
      <c r="DQC251" s="134"/>
      <c r="DQD251" s="135"/>
      <c r="DQE251" s="135"/>
      <c r="DQF251" s="135"/>
      <c r="DQG251" s="135"/>
      <c r="DQH251" s="173"/>
      <c r="DQI251" s="173"/>
      <c r="DQJ251" s="173"/>
      <c r="DQK251" s="173"/>
      <c r="DQL251" s="173"/>
      <c r="DQM251" s="173"/>
      <c r="DQN251" s="173"/>
      <c r="DQO251" s="173"/>
      <c r="DQP251" s="173"/>
      <c r="DQQ251" s="173"/>
      <c r="DQR251" s="125"/>
      <c r="DQS251" s="125"/>
      <c r="DQT251" s="134"/>
      <c r="DQU251" s="135"/>
      <c r="DQV251" s="135"/>
      <c r="DQW251" s="135"/>
      <c r="DQX251" s="135"/>
      <c r="DQY251" s="173"/>
      <c r="DQZ251" s="173"/>
      <c r="DRA251" s="173"/>
      <c r="DRB251" s="173"/>
      <c r="DRC251" s="173"/>
      <c r="DRD251" s="173"/>
      <c r="DRE251" s="173"/>
      <c r="DRF251" s="173"/>
      <c r="DRG251" s="173"/>
      <c r="DRH251" s="173"/>
      <c r="DRI251" s="125"/>
      <c r="DRJ251" s="125"/>
      <c r="DRK251" s="134"/>
      <c r="DRL251" s="135"/>
      <c r="DRM251" s="135"/>
      <c r="DRN251" s="135"/>
      <c r="DRO251" s="135"/>
      <c r="DRP251" s="173"/>
      <c r="DRQ251" s="173"/>
      <c r="DRR251" s="173"/>
      <c r="DRS251" s="173"/>
      <c r="DRT251" s="173"/>
      <c r="DRU251" s="173"/>
      <c r="DRV251" s="173"/>
      <c r="DRW251" s="173"/>
      <c r="DRX251" s="173"/>
      <c r="DRY251" s="173"/>
      <c r="DRZ251" s="125"/>
      <c r="DSA251" s="125"/>
      <c r="DSB251" s="134"/>
      <c r="DSC251" s="135"/>
      <c r="DSD251" s="135"/>
      <c r="DSE251" s="135"/>
      <c r="DSF251" s="135"/>
      <c r="DSG251" s="173"/>
      <c r="DSH251" s="173"/>
      <c r="DSI251" s="173"/>
      <c r="DSJ251" s="173"/>
      <c r="DSK251" s="173"/>
      <c r="DSL251" s="173"/>
      <c r="DSM251" s="173"/>
      <c r="DSN251" s="173"/>
      <c r="DSO251" s="173"/>
      <c r="DSP251" s="173"/>
      <c r="DSQ251" s="125"/>
      <c r="DSR251" s="125"/>
      <c r="DSS251" s="134"/>
      <c r="DST251" s="135"/>
      <c r="DSU251" s="135"/>
      <c r="DSV251" s="135"/>
      <c r="DSW251" s="135"/>
      <c r="DSX251" s="173"/>
      <c r="DSY251" s="173"/>
      <c r="DSZ251" s="173"/>
      <c r="DTA251" s="173"/>
      <c r="DTB251" s="173"/>
      <c r="DTC251" s="173"/>
      <c r="DTD251" s="173"/>
      <c r="DTE251" s="173"/>
      <c r="DTF251" s="173"/>
      <c r="DTG251" s="173"/>
      <c r="DTH251" s="125"/>
      <c r="DTI251" s="125"/>
      <c r="DTJ251" s="134"/>
      <c r="DTK251" s="135"/>
      <c r="DTL251" s="135"/>
      <c r="DTM251" s="135"/>
      <c r="DTN251" s="135"/>
      <c r="DTO251" s="173"/>
      <c r="DTP251" s="173"/>
      <c r="DTQ251" s="173"/>
      <c r="DTR251" s="173"/>
      <c r="DTS251" s="173"/>
      <c r="DTT251" s="173"/>
      <c r="DTU251" s="173"/>
      <c r="DTV251" s="173"/>
      <c r="DTW251" s="173"/>
      <c r="DTX251" s="173"/>
      <c r="DTY251" s="125"/>
      <c r="DTZ251" s="125"/>
      <c r="DUA251" s="134"/>
      <c r="DUB251" s="135"/>
      <c r="DUC251" s="135"/>
      <c r="DUD251" s="135"/>
      <c r="DUE251" s="135"/>
      <c r="DUF251" s="173"/>
      <c r="DUG251" s="173"/>
      <c r="DUH251" s="173"/>
      <c r="DUI251" s="173"/>
      <c r="DUJ251" s="173"/>
      <c r="DUK251" s="173"/>
      <c r="DUL251" s="173"/>
      <c r="DUM251" s="173"/>
      <c r="DUN251" s="173"/>
      <c r="DUO251" s="173"/>
      <c r="DUP251" s="125"/>
      <c r="DUQ251" s="125"/>
      <c r="DUR251" s="134"/>
      <c r="DUS251" s="135"/>
      <c r="DUT251" s="135"/>
      <c r="DUU251" s="135"/>
      <c r="DUV251" s="135"/>
      <c r="DUW251" s="173"/>
      <c r="DUX251" s="173"/>
      <c r="DUY251" s="173"/>
      <c r="DUZ251" s="173"/>
      <c r="DVA251" s="173"/>
      <c r="DVB251" s="173"/>
      <c r="DVC251" s="173"/>
      <c r="DVD251" s="173"/>
      <c r="DVE251" s="173"/>
      <c r="DVF251" s="173"/>
      <c r="DVG251" s="125"/>
      <c r="DVH251" s="125"/>
      <c r="DVI251" s="134"/>
      <c r="DVJ251" s="135"/>
      <c r="DVK251" s="135"/>
      <c r="DVL251" s="135"/>
      <c r="DVM251" s="135"/>
      <c r="DVN251" s="173"/>
      <c r="DVO251" s="173"/>
      <c r="DVP251" s="173"/>
      <c r="DVQ251" s="173"/>
      <c r="DVR251" s="173"/>
      <c r="DVS251" s="173"/>
      <c r="DVT251" s="173"/>
      <c r="DVU251" s="173"/>
      <c r="DVV251" s="173"/>
      <c r="DVW251" s="173"/>
      <c r="DVX251" s="125"/>
      <c r="DVY251" s="125"/>
      <c r="DVZ251" s="134"/>
      <c r="DWA251" s="135"/>
      <c r="DWB251" s="135"/>
      <c r="DWC251" s="135"/>
      <c r="DWD251" s="135"/>
      <c r="DWE251" s="173"/>
      <c r="DWF251" s="173"/>
      <c r="DWG251" s="173"/>
      <c r="DWH251" s="173"/>
      <c r="DWI251" s="173"/>
      <c r="DWJ251" s="173"/>
      <c r="DWK251" s="173"/>
      <c r="DWL251" s="173"/>
      <c r="DWM251" s="173"/>
      <c r="DWN251" s="173"/>
      <c r="DWO251" s="125"/>
      <c r="DWP251" s="125"/>
      <c r="DWQ251" s="134"/>
      <c r="DWR251" s="135"/>
      <c r="DWS251" s="135"/>
      <c r="DWT251" s="135"/>
      <c r="DWU251" s="135"/>
      <c r="DWV251" s="173"/>
      <c r="DWW251" s="173"/>
      <c r="DWX251" s="173"/>
      <c r="DWY251" s="173"/>
      <c r="DWZ251" s="173"/>
      <c r="DXA251" s="173"/>
      <c r="DXB251" s="173"/>
      <c r="DXC251" s="173"/>
      <c r="DXD251" s="173"/>
      <c r="DXE251" s="173"/>
      <c r="DXF251" s="125"/>
      <c r="DXG251" s="125"/>
      <c r="DXH251" s="134"/>
      <c r="DXI251" s="135"/>
      <c r="DXJ251" s="135"/>
      <c r="DXK251" s="135"/>
      <c r="DXL251" s="135"/>
      <c r="DXM251" s="173"/>
      <c r="DXN251" s="173"/>
      <c r="DXO251" s="173"/>
      <c r="DXP251" s="173"/>
      <c r="DXQ251" s="173"/>
      <c r="DXR251" s="173"/>
      <c r="DXS251" s="173"/>
      <c r="DXT251" s="173"/>
      <c r="DXU251" s="173"/>
      <c r="DXV251" s="173"/>
      <c r="DXW251" s="125"/>
      <c r="DXX251" s="125"/>
      <c r="DXY251" s="134"/>
      <c r="DXZ251" s="135"/>
      <c r="DYA251" s="135"/>
      <c r="DYB251" s="135"/>
      <c r="DYC251" s="135"/>
      <c r="DYD251" s="173"/>
      <c r="DYE251" s="173"/>
      <c r="DYF251" s="173"/>
      <c r="DYG251" s="173"/>
      <c r="DYH251" s="173"/>
      <c r="DYI251" s="173"/>
      <c r="DYJ251" s="173"/>
      <c r="DYK251" s="173"/>
      <c r="DYL251" s="173"/>
      <c r="DYM251" s="173"/>
      <c r="DYN251" s="125"/>
      <c r="DYO251" s="125"/>
      <c r="DYP251" s="134"/>
      <c r="DYQ251" s="135"/>
      <c r="DYR251" s="135"/>
      <c r="DYS251" s="135"/>
      <c r="DYT251" s="135"/>
      <c r="DYU251" s="173"/>
      <c r="DYV251" s="173"/>
      <c r="DYW251" s="173"/>
      <c r="DYX251" s="173"/>
      <c r="DYY251" s="173"/>
      <c r="DYZ251" s="173"/>
      <c r="DZA251" s="173"/>
      <c r="DZB251" s="173"/>
      <c r="DZC251" s="173"/>
      <c r="DZD251" s="173"/>
      <c r="DZE251" s="125"/>
      <c r="DZF251" s="125"/>
      <c r="DZG251" s="134"/>
      <c r="DZH251" s="135"/>
      <c r="DZI251" s="135"/>
      <c r="DZJ251" s="135"/>
      <c r="DZK251" s="135"/>
      <c r="DZL251" s="173"/>
      <c r="DZM251" s="173"/>
      <c r="DZN251" s="173"/>
      <c r="DZO251" s="173"/>
      <c r="DZP251" s="173"/>
      <c r="DZQ251" s="173"/>
      <c r="DZR251" s="173"/>
      <c r="DZS251" s="173"/>
      <c r="DZT251" s="173"/>
      <c r="DZU251" s="173"/>
      <c r="DZV251" s="125"/>
      <c r="DZW251" s="125"/>
      <c r="DZX251" s="134"/>
      <c r="DZY251" s="135"/>
      <c r="DZZ251" s="135"/>
      <c r="EAA251" s="135"/>
      <c r="EAB251" s="135"/>
      <c r="EAC251" s="173"/>
      <c r="EAD251" s="173"/>
      <c r="EAE251" s="173"/>
      <c r="EAF251" s="173"/>
      <c r="EAG251" s="173"/>
      <c r="EAH251" s="173"/>
      <c r="EAI251" s="173"/>
      <c r="EAJ251" s="173"/>
      <c r="EAK251" s="173"/>
      <c r="EAL251" s="173"/>
      <c r="EAM251" s="125"/>
      <c r="EAN251" s="125"/>
      <c r="EAO251" s="134"/>
      <c r="EAP251" s="135"/>
      <c r="EAQ251" s="135"/>
      <c r="EAR251" s="135"/>
      <c r="EAS251" s="135"/>
      <c r="EAT251" s="173"/>
      <c r="EAU251" s="173"/>
      <c r="EAV251" s="173"/>
      <c r="EAW251" s="173"/>
      <c r="EAX251" s="173"/>
      <c r="EAY251" s="173"/>
      <c r="EAZ251" s="173"/>
      <c r="EBA251" s="173"/>
      <c r="EBB251" s="173"/>
      <c r="EBC251" s="173"/>
      <c r="EBD251" s="125"/>
      <c r="EBE251" s="125"/>
      <c r="EBF251" s="134"/>
      <c r="EBG251" s="135"/>
      <c r="EBH251" s="135"/>
      <c r="EBI251" s="135"/>
      <c r="EBJ251" s="135"/>
      <c r="EBK251" s="173"/>
      <c r="EBL251" s="173"/>
      <c r="EBM251" s="173"/>
      <c r="EBN251" s="173"/>
      <c r="EBO251" s="173"/>
      <c r="EBP251" s="173"/>
      <c r="EBQ251" s="173"/>
      <c r="EBR251" s="173"/>
      <c r="EBS251" s="173"/>
      <c r="EBT251" s="173"/>
      <c r="EBU251" s="125"/>
      <c r="EBV251" s="125"/>
      <c r="EBW251" s="134"/>
      <c r="EBX251" s="135"/>
      <c r="EBY251" s="135"/>
      <c r="EBZ251" s="135"/>
      <c r="ECA251" s="135"/>
      <c r="ECB251" s="173"/>
      <c r="ECC251" s="173"/>
      <c r="ECD251" s="173"/>
      <c r="ECE251" s="173"/>
      <c r="ECF251" s="173"/>
      <c r="ECG251" s="173"/>
      <c r="ECH251" s="173"/>
      <c r="ECI251" s="173"/>
      <c r="ECJ251" s="173"/>
      <c r="ECK251" s="173"/>
      <c r="ECL251" s="125"/>
      <c r="ECM251" s="125"/>
      <c r="ECN251" s="134"/>
      <c r="ECO251" s="135"/>
      <c r="ECP251" s="135"/>
      <c r="ECQ251" s="135"/>
      <c r="ECR251" s="135"/>
      <c r="ECS251" s="173"/>
      <c r="ECT251" s="173"/>
      <c r="ECU251" s="173"/>
      <c r="ECV251" s="173"/>
      <c r="ECW251" s="173"/>
      <c r="ECX251" s="173"/>
      <c r="ECY251" s="173"/>
      <c r="ECZ251" s="173"/>
      <c r="EDA251" s="173"/>
      <c r="EDB251" s="173"/>
      <c r="EDC251" s="125"/>
      <c r="EDD251" s="125"/>
      <c r="EDE251" s="134"/>
      <c r="EDF251" s="135"/>
      <c r="EDG251" s="135"/>
      <c r="EDH251" s="135"/>
      <c r="EDI251" s="135"/>
      <c r="EDJ251" s="173"/>
      <c r="EDK251" s="173"/>
      <c r="EDL251" s="173"/>
      <c r="EDM251" s="173"/>
      <c r="EDN251" s="173"/>
      <c r="EDO251" s="173"/>
      <c r="EDP251" s="173"/>
      <c r="EDQ251" s="173"/>
      <c r="EDR251" s="173"/>
      <c r="EDS251" s="173"/>
      <c r="EDT251" s="125"/>
      <c r="EDU251" s="125"/>
      <c r="EDV251" s="134"/>
      <c r="EDW251" s="135"/>
      <c r="EDX251" s="135"/>
      <c r="EDY251" s="135"/>
      <c r="EDZ251" s="135"/>
      <c r="EEA251" s="173"/>
      <c r="EEB251" s="173"/>
      <c r="EEC251" s="173"/>
      <c r="EED251" s="173"/>
      <c r="EEE251" s="173"/>
      <c r="EEF251" s="173"/>
      <c r="EEG251" s="173"/>
      <c r="EEH251" s="173"/>
      <c r="EEI251" s="173"/>
      <c r="EEJ251" s="173"/>
      <c r="EEK251" s="125"/>
      <c r="EEL251" s="125"/>
      <c r="EEM251" s="134"/>
      <c r="EEN251" s="135"/>
      <c r="EEO251" s="135"/>
      <c r="EEP251" s="135"/>
      <c r="EEQ251" s="135"/>
      <c r="EER251" s="173"/>
      <c r="EES251" s="173"/>
      <c r="EET251" s="173"/>
      <c r="EEU251" s="173"/>
      <c r="EEV251" s="173"/>
      <c r="EEW251" s="173"/>
      <c r="EEX251" s="173"/>
      <c r="EEY251" s="173"/>
      <c r="EEZ251" s="173"/>
      <c r="EFA251" s="173"/>
      <c r="EFB251" s="125"/>
      <c r="EFC251" s="125"/>
      <c r="EFD251" s="134"/>
      <c r="EFE251" s="135"/>
      <c r="EFF251" s="135"/>
      <c r="EFG251" s="135"/>
      <c r="EFH251" s="135"/>
      <c r="EFI251" s="173"/>
      <c r="EFJ251" s="173"/>
      <c r="EFK251" s="173"/>
      <c r="EFL251" s="173"/>
      <c r="EFM251" s="173"/>
      <c r="EFN251" s="173"/>
      <c r="EFO251" s="173"/>
      <c r="EFP251" s="173"/>
      <c r="EFQ251" s="173"/>
      <c r="EFR251" s="173"/>
      <c r="EFS251" s="125"/>
      <c r="EFT251" s="125"/>
      <c r="EFU251" s="134"/>
      <c r="EFV251" s="135"/>
      <c r="EFW251" s="135"/>
      <c r="EFX251" s="135"/>
      <c r="EFY251" s="135"/>
      <c r="EFZ251" s="173"/>
      <c r="EGA251" s="173"/>
      <c r="EGB251" s="173"/>
      <c r="EGC251" s="173"/>
      <c r="EGD251" s="173"/>
      <c r="EGE251" s="173"/>
      <c r="EGF251" s="173"/>
      <c r="EGG251" s="173"/>
      <c r="EGH251" s="173"/>
      <c r="EGI251" s="173"/>
      <c r="EGJ251" s="125"/>
      <c r="EGK251" s="125"/>
      <c r="EGL251" s="134"/>
      <c r="EGM251" s="135"/>
      <c r="EGN251" s="135"/>
      <c r="EGO251" s="135"/>
      <c r="EGP251" s="135"/>
      <c r="EGQ251" s="173"/>
      <c r="EGR251" s="173"/>
      <c r="EGS251" s="173"/>
      <c r="EGT251" s="173"/>
      <c r="EGU251" s="173"/>
      <c r="EGV251" s="173"/>
      <c r="EGW251" s="173"/>
      <c r="EGX251" s="173"/>
      <c r="EGY251" s="173"/>
      <c r="EGZ251" s="173"/>
      <c r="EHA251" s="125"/>
      <c r="EHB251" s="125"/>
      <c r="EHC251" s="134"/>
      <c r="EHD251" s="135"/>
      <c r="EHE251" s="135"/>
      <c r="EHF251" s="135"/>
      <c r="EHG251" s="135"/>
      <c r="EHH251" s="173"/>
      <c r="EHI251" s="173"/>
      <c r="EHJ251" s="173"/>
      <c r="EHK251" s="173"/>
      <c r="EHL251" s="173"/>
      <c r="EHM251" s="173"/>
      <c r="EHN251" s="173"/>
      <c r="EHO251" s="173"/>
      <c r="EHP251" s="173"/>
      <c r="EHQ251" s="173"/>
      <c r="EHR251" s="125"/>
      <c r="EHS251" s="125"/>
      <c r="EHT251" s="134"/>
      <c r="EHU251" s="135"/>
      <c r="EHV251" s="135"/>
      <c r="EHW251" s="135"/>
      <c r="EHX251" s="135"/>
      <c r="EHY251" s="173"/>
      <c r="EHZ251" s="173"/>
      <c r="EIA251" s="173"/>
      <c r="EIB251" s="173"/>
      <c r="EIC251" s="173"/>
      <c r="EID251" s="173"/>
      <c r="EIE251" s="173"/>
      <c r="EIF251" s="173"/>
      <c r="EIG251" s="173"/>
      <c r="EIH251" s="173"/>
      <c r="EII251" s="125"/>
      <c r="EIJ251" s="125"/>
      <c r="EIK251" s="134"/>
      <c r="EIL251" s="135"/>
      <c r="EIM251" s="135"/>
      <c r="EIN251" s="135"/>
      <c r="EIO251" s="135"/>
      <c r="EIP251" s="173"/>
      <c r="EIQ251" s="173"/>
      <c r="EIR251" s="173"/>
      <c r="EIS251" s="173"/>
      <c r="EIT251" s="173"/>
      <c r="EIU251" s="173"/>
      <c r="EIV251" s="173"/>
      <c r="EIW251" s="173"/>
      <c r="EIX251" s="173"/>
      <c r="EIY251" s="173"/>
      <c r="EIZ251" s="125"/>
      <c r="EJA251" s="125"/>
      <c r="EJB251" s="134"/>
      <c r="EJC251" s="135"/>
      <c r="EJD251" s="135"/>
      <c r="EJE251" s="135"/>
      <c r="EJF251" s="135"/>
      <c r="EJG251" s="173"/>
      <c r="EJH251" s="173"/>
      <c r="EJI251" s="173"/>
      <c r="EJJ251" s="173"/>
      <c r="EJK251" s="173"/>
      <c r="EJL251" s="173"/>
      <c r="EJM251" s="173"/>
      <c r="EJN251" s="173"/>
      <c r="EJO251" s="173"/>
      <c r="EJP251" s="173"/>
      <c r="EJQ251" s="125"/>
      <c r="EJR251" s="125"/>
      <c r="EJS251" s="134"/>
      <c r="EJT251" s="135"/>
      <c r="EJU251" s="135"/>
      <c r="EJV251" s="135"/>
      <c r="EJW251" s="135"/>
      <c r="EJX251" s="173"/>
      <c r="EJY251" s="173"/>
      <c r="EJZ251" s="173"/>
      <c r="EKA251" s="173"/>
      <c r="EKB251" s="173"/>
      <c r="EKC251" s="173"/>
      <c r="EKD251" s="173"/>
      <c r="EKE251" s="173"/>
      <c r="EKF251" s="173"/>
      <c r="EKG251" s="173"/>
      <c r="EKH251" s="125"/>
      <c r="EKI251" s="125"/>
      <c r="EKJ251" s="134"/>
      <c r="EKK251" s="135"/>
      <c r="EKL251" s="135"/>
      <c r="EKM251" s="135"/>
      <c r="EKN251" s="135"/>
      <c r="EKO251" s="173"/>
      <c r="EKP251" s="173"/>
      <c r="EKQ251" s="173"/>
      <c r="EKR251" s="173"/>
      <c r="EKS251" s="173"/>
      <c r="EKT251" s="173"/>
      <c r="EKU251" s="173"/>
      <c r="EKV251" s="173"/>
      <c r="EKW251" s="173"/>
      <c r="EKX251" s="173"/>
      <c r="EKY251" s="125"/>
      <c r="EKZ251" s="125"/>
      <c r="ELA251" s="134"/>
      <c r="ELB251" s="135"/>
      <c r="ELC251" s="135"/>
      <c r="ELD251" s="135"/>
      <c r="ELE251" s="135"/>
      <c r="ELF251" s="173"/>
      <c r="ELG251" s="173"/>
      <c r="ELH251" s="173"/>
      <c r="ELI251" s="173"/>
      <c r="ELJ251" s="173"/>
      <c r="ELK251" s="173"/>
      <c r="ELL251" s="173"/>
      <c r="ELM251" s="173"/>
      <c r="ELN251" s="173"/>
      <c r="ELO251" s="173"/>
      <c r="ELP251" s="125"/>
      <c r="ELQ251" s="125"/>
      <c r="ELR251" s="134"/>
      <c r="ELS251" s="135"/>
      <c r="ELT251" s="135"/>
      <c r="ELU251" s="135"/>
      <c r="ELV251" s="135"/>
      <c r="ELW251" s="173"/>
      <c r="ELX251" s="173"/>
      <c r="ELY251" s="173"/>
      <c r="ELZ251" s="173"/>
      <c r="EMA251" s="173"/>
      <c r="EMB251" s="173"/>
      <c r="EMC251" s="173"/>
      <c r="EMD251" s="173"/>
      <c r="EME251" s="173"/>
      <c r="EMF251" s="173"/>
      <c r="EMG251" s="125"/>
      <c r="EMH251" s="125"/>
      <c r="EMI251" s="134"/>
      <c r="EMJ251" s="135"/>
      <c r="EMK251" s="135"/>
      <c r="EML251" s="135"/>
      <c r="EMM251" s="135"/>
      <c r="EMN251" s="173"/>
      <c r="EMO251" s="173"/>
      <c r="EMP251" s="173"/>
      <c r="EMQ251" s="173"/>
      <c r="EMR251" s="173"/>
      <c r="EMS251" s="173"/>
      <c r="EMT251" s="173"/>
      <c r="EMU251" s="173"/>
      <c r="EMV251" s="173"/>
      <c r="EMW251" s="173"/>
      <c r="EMX251" s="125"/>
      <c r="EMY251" s="125"/>
      <c r="EMZ251" s="134"/>
      <c r="ENA251" s="135"/>
      <c r="ENB251" s="135"/>
      <c r="ENC251" s="135"/>
      <c r="END251" s="135"/>
      <c r="ENE251" s="173"/>
      <c r="ENF251" s="173"/>
      <c r="ENG251" s="173"/>
      <c r="ENH251" s="173"/>
      <c r="ENI251" s="173"/>
      <c r="ENJ251" s="173"/>
      <c r="ENK251" s="173"/>
      <c r="ENL251" s="173"/>
      <c r="ENM251" s="173"/>
      <c r="ENN251" s="173"/>
      <c r="ENO251" s="125"/>
      <c r="ENP251" s="125"/>
      <c r="ENQ251" s="134"/>
      <c r="ENR251" s="135"/>
      <c r="ENS251" s="135"/>
      <c r="ENT251" s="135"/>
      <c r="ENU251" s="135"/>
      <c r="ENV251" s="173"/>
      <c r="ENW251" s="173"/>
      <c r="ENX251" s="173"/>
      <c r="ENY251" s="173"/>
      <c r="ENZ251" s="173"/>
      <c r="EOA251" s="173"/>
      <c r="EOB251" s="173"/>
      <c r="EOC251" s="173"/>
      <c r="EOD251" s="173"/>
      <c r="EOE251" s="173"/>
      <c r="EOF251" s="125"/>
      <c r="EOG251" s="125"/>
      <c r="EOH251" s="134"/>
      <c r="EOI251" s="135"/>
      <c r="EOJ251" s="135"/>
      <c r="EOK251" s="135"/>
      <c r="EOL251" s="135"/>
      <c r="EOM251" s="173"/>
      <c r="EON251" s="173"/>
      <c r="EOO251" s="173"/>
      <c r="EOP251" s="173"/>
      <c r="EOQ251" s="173"/>
      <c r="EOR251" s="173"/>
      <c r="EOS251" s="173"/>
      <c r="EOT251" s="173"/>
      <c r="EOU251" s="173"/>
      <c r="EOV251" s="173"/>
      <c r="EOW251" s="125"/>
      <c r="EOX251" s="125"/>
      <c r="EOY251" s="134"/>
      <c r="EOZ251" s="135"/>
      <c r="EPA251" s="135"/>
      <c r="EPB251" s="135"/>
      <c r="EPC251" s="135"/>
      <c r="EPD251" s="173"/>
      <c r="EPE251" s="173"/>
      <c r="EPF251" s="173"/>
      <c r="EPG251" s="173"/>
      <c r="EPH251" s="173"/>
      <c r="EPI251" s="173"/>
      <c r="EPJ251" s="173"/>
      <c r="EPK251" s="173"/>
      <c r="EPL251" s="173"/>
      <c r="EPM251" s="173"/>
      <c r="EPN251" s="125"/>
      <c r="EPO251" s="125"/>
      <c r="EPP251" s="134"/>
      <c r="EPQ251" s="135"/>
      <c r="EPR251" s="135"/>
      <c r="EPS251" s="135"/>
      <c r="EPT251" s="135"/>
      <c r="EPU251" s="173"/>
      <c r="EPV251" s="173"/>
      <c r="EPW251" s="173"/>
      <c r="EPX251" s="173"/>
      <c r="EPY251" s="173"/>
      <c r="EPZ251" s="173"/>
      <c r="EQA251" s="173"/>
      <c r="EQB251" s="173"/>
      <c r="EQC251" s="173"/>
      <c r="EQD251" s="173"/>
      <c r="EQE251" s="125"/>
      <c r="EQF251" s="125"/>
      <c r="EQG251" s="134"/>
      <c r="EQH251" s="135"/>
      <c r="EQI251" s="135"/>
      <c r="EQJ251" s="135"/>
      <c r="EQK251" s="135"/>
      <c r="EQL251" s="173"/>
      <c r="EQM251" s="173"/>
      <c r="EQN251" s="173"/>
      <c r="EQO251" s="173"/>
      <c r="EQP251" s="173"/>
      <c r="EQQ251" s="173"/>
      <c r="EQR251" s="173"/>
      <c r="EQS251" s="173"/>
      <c r="EQT251" s="173"/>
      <c r="EQU251" s="173"/>
      <c r="EQV251" s="125"/>
      <c r="EQW251" s="125"/>
      <c r="EQX251" s="134"/>
      <c r="EQY251" s="135"/>
      <c r="EQZ251" s="135"/>
      <c r="ERA251" s="135"/>
      <c r="ERB251" s="135"/>
      <c r="ERC251" s="173"/>
      <c r="ERD251" s="173"/>
      <c r="ERE251" s="173"/>
      <c r="ERF251" s="173"/>
      <c r="ERG251" s="173"/>
      <c r="ERH251" s="173"/>
      <c r="ERI251" s="173"/>
      <c r="ERJ251" s="173"/>
      <c r="ERK251" s="173"/>
      <c r="ERL251" s="173"/>
      <c r="ERM251" s="125"/>
      <c r="ERN251" s="125"/>
      <c r="ERO251" s="134"/>
      <c r="ERP251" s="135"/>
      <c r="ERQ251" s="135"/>
      <c r="ERR251" s="135"/>
      <c r="ERS251" s="135"/>
      <c r="ERT251" s="173"/>
      <c r="ERU251" s="173"/>
      <c r="ERV251" s="173"/>
      <c r="ERW251" s="173"/>
      <c r="ERX251" s="173"/>
      <c r="ERY251" s="173"/>
      <c r="ERZ251" s="173"/>
      <c r="ESA251" s="173"/>
      <c r="ESB251" s="173"/>
      <c r="ESC251" s="173"/>
      <c r="ESD251" s="125"/>
      <c r="ESE251" s="125"/>
      <c r="ESF251" s="134"/>
      <c r="ESG251" s="135"/>
      <c r="ESH251" s="135"/>
      <c r="ESI251" s="135"/>
      <c r="ESJ251" s="135"/>
      <c r="ESK251" s="173"/>
      <c r="ESL251" s="173"/>
      <c r="ESM251" s="173"/>
      <c r="ESN251" s="173"/>
      <c r="ESO251" s="173"/>
      <c r="ESP251" s="173"/>
      <c r="ESQ251" s="173"/>
      <c r="ESR251" s="173"/>
      <c r="ESS251" s="173"/>
      <c r="EST251" s="173"/>
      <c r="ESU251" s="125"/>
      <c r="ESV251" s="125"/>
      <c r="ESW251" s="134"/>
      <c r="ESX251" s="135"/>
      <c r="ESY251" s="135"/>
      <c r="ESZ251" s="135"/>
      <c r="ETA251" s="135"/>
      <c r="ETB251" s="173"/>
      <c r="ETC251" s="173"/>
      <c r="ETD251" s="173"/>
      <c r="ETE251" s="173"/>
      <c r="ETF251" s="173"/>
      <c r="ETG251" s="173"/>
      <c r="ETH251" s="173"/>
      <c r="ETI251" s="173"/>
      <c r="ETJ251" s="173"/>
      <c r="ETK251" s="173"/>
      <c r="ETL251" s="125"/>
      <c r="ETM251" s="125"/>
      <c r="ETN251" s="134"/>
      <c r="ETO251" s="135"/>
      <c r="ETP251" s="135"/>
      <c r="ETQ251" s="135"/>
      <c r="ETR251" s="135"/>
      <c r="ETS251" s="173"/>
      <c r="ETT251" s="173"/>
      <c r="ETU251" s="173"/>
      <c r="ETV251" s="173"/>
      <c r="ETW251" s="173"/>
      <c r="ETX251" s="173"/>
      <c r="ETY251" s="173"/>
      <c r="ETZ251" s="173"/>
      <c r="EUA251" s="173"/>
      <c r="EUB251" s="173"/>
      <c r="EUC251" s="125"/>
      <c r="EUD251" s="125"/>
      <c r="EUE251" s="134"/>
      <c r="EUF251" s="135"/>
      <c r="EUG251" s="135"/>
      <c r="EUH251" s="135"/>
      <c r="EUI251" s="135"/>
      <c r="EUJ251" s="173"/>
      <c r="EUK251" s="173"/>
      <c r="EUL251" s="173"/>
      <c r="EUM251" s="173"/>
      <c r="EUN251" s="173"/>
      <c r="EUO251" s="173"/>
      <c r="EUP251" s="173"/>
      <c r="EUQ251" s="173"/>
      <c r="EUR251" s="173"/>
      <c r="EUS251" s="173"/>
      <c r="EUT251" s="125"/>
      <c r="EUU251" s="125"/>
      <c r="EUV251" s="134"/>
      <c r="EUW251" s="135"/>
      <c r="EUX251" s="135"/>
      <c r="EUY251" s="135"/>
      <c r="EUZ251" s="135"/>
      <c r="EVA251" s="173"/>
      <c r="EVB251" s="173"/>
      <c r="EVC251" s="173"/>
      <c r="EVD251" s="173"/>
      <c r="EVE251" s="173"/>
      <c r="EVF251" s="173"/>
      <c r="EVG251" s="173"/>
      <c r="EVH251" s="173"/>
      <c r="EVI251" s="173"/>
      <c r="EVJ251" s="173"/>
      <c r="EVK251" s="125"/>
      <c r="EVL251" s="125"/>
      <c r="EVM251" s="134"/>
      <c r="EVN251" s="135"/>
      <c r="EVO251" s="135"/>
      <c r="EVP251" s="135"/>
      <c r="EVQ251" s="135"/>
      <c r="EVR251" s="173"/>
      <c r="EVS251" s="173"/>
      <c r="EVT251" s="173"/>
      <c r="EVU251" s="173"/>
      <c r="EVV251" s="173"/>
      <c r="EVW251" s="173"/>
      <c r="EVX251" s="173"/>
      <c r="EVY251" s="173"/>
      <c r="EVZ251" s="173"/>
      <c r="EWA251" s="173"/>
      <c r="EWB251" s="125"/>
      <c r="EWC251" s="125"/>
      <c r="EWD251" s="134"/>
      <c r="EWE251" s="135"/>
      <c r="EWF251" s="135"/>
      <c r="EWG251" s="135"/>
      <c r="EWH251" s="135"/>
      <c r="EWI251" s="173"/>
      <c r="EWJ251" s="173"/>
      <c r="EWK251" s="173"/>
      <c r="EWL251" s="173"/>
      <c r="EWM251" s="173"/>
      <c r="EWN251" s="173"/>
      <c r="EWO251" s="173"/>
      <c r="EWP251" s="173"/>
      <c r="EWQ251" s="173"/>
      <c r="EWR251" s="173"/>
      <c r="EWS251" s="125"/>
      <c r="EWT251" s="125"/>
      <c r="EWU251" s="134"/>
      <c r="EWV251" s="135"/>
      <c r="EWW251" s="135"/>
      <c r="EWX251" s="135"/>
      <c r="EWY251" s="135"/>
      <c r="EWZ251" s="173"/>
      <c r="EXA251" s="173"/>
      <c r="EXB251" s="173"/>
      <c r="EXC251" s="173"/>
      <c r="EXD251" s="173"/>
      <c r="EXE251" s="173"/>
      <c r="EXF251" s="173"/>
      <c r="EXG251" s="173"/>
      <c r="EXH251" s="173"/>
      <c r="EXI251" s="173"/>
      <c r="EXJ251" s="125"/>
      <c r="EXK251" s="125"/>
      <c r="EXL251" s="134"/>
      <c r="EXM251" s="135"/>
      <c r="EXN251" s="135"/>
      <c r="EXO251" s="135"/>
      <c r="EXP251" s="135"/>
      <c r="EXQ251" s="173"/>
      <c r="EXR251" s="173"/>
      <c r="EXS251" s="173"/>
      <c r="EXT251" s="173"/>
      <c r="EXU251" s="173"/>
      <c r="EXV251" s="173"/>
      <c r="EXW251" s="173"/>
      <c r="EXX251" s="173"/>
      <c r="EXY251" s="173"/>
      <c r="EXZ251" s="173"/>
      <c r="EYA251" s="125"/>
      <c r="EYB251" s="125"/>
      <c r="EYC251" s="134"/>
      <c r="EYD251" s="135"/>
      <c r="EYE251" s="135"/>
      <c r="EYF251" s="135"/>
      <c r="EYG251" s="135"/>
      <c r="EYH251" s="173"/>
      <c r="EYI251" s="173"/>
      <c r="EYJ251" s="173"/>
      <c r="EYK251" s="173"/>
      <c r="EYL251" s="173"/>
      <c r="EYM251" s="173"/>
      <c r="EYN251" s="173"/>
      <c r="EYO251" s="173"/>
      <c r="EYP251" s="173"/>
      <c r="EYQ251" s="173"/>
      <c r="EYR251" s="125"/>
      <c r="EYS251" s="125"/>
      <c r="EYT251" s="134"/>
      <c r="EYU251" s="135"/>
      <c r="EYV251" s="135"/>
      <c r="EYW251" s="135"/>
      <c r="EYX251" s="135"/>
      <c r="EYY251" s="173"/>
      <c r="EYZ251" s="173"/>
      <c r="EZA251" s="173"/>
      <c r="EZB251" s="173"/>
      <c r="EZC251" s="173"/>
      <c r="EZD251" s="173"/>
      <c r="EZE251" s="173"/>
      <c r="EZF251" s="173"/>
      <c r="EZG251" s="173"/>
      <c r="EZH251" s="173"/>
      <c r="EZI251" s="125"/>
      <c r="EZJ251" s="125"/>
      <c r="EZK251" s="134"/>
      <c r="EZL251" s="135"/>
      <c r="EZM251" s="135"/>
      <c r="EZN251" s="135"/>
      <c r="EZO251" s="135"/>
      <c r="EZP251" s="173"/>
      <c r="EZQ251" s="173"/>
      <c r="EZR251" s="173"/>
      <c r="EZS251" s="173"/>
      <c r="EZT251" s="173"/>
      <c r="EZU251" s="173"/>
      <c r="EZV251" s="173"/>
      <c r="EZW251" s="173"/>
      <c r="EZX251" s="173"/>
      <c r="EZY251" s="173"/>
      <c r="EZZ251" s="125"/>
      <c r="FAA251" s="125"/>
      <c r="FAB251" s="134"/>
      <c r="FAC251" s="135"/>
      <c r="FAD251" s="135"/>
      <c r="FAE251" s="135"/>
      <c r="FAF251" s="135"/>
      <c r="FAG251" s="173"/>
      <c r="FAH251" s="173"/>
      <c r="FAI251" s="173"/>
      <c r="FAJ251" s="173"/>
      <c r="FAK251" s="173"/>
      <c r="FAL251" s="173"/>
      <c r="FAM251" s="173"/>
      <c r="FAN251" s="173"/>
      <c r="FAO251" s="173"/>
      <c r="FAP251" s="173"/>
      <c r="FAQ251" s="125"/>
      <c r="FAR251" s="125"/>
      <c r="FAS251" s="134"/>
      <c r="FAT251" s="135"/>
      <c r="FAU251" s="135"/>
      <c r="FAV251" s="135"/>
      <c r="FAW251" s="135"/>
      <c r="FAX251" s="173"/>
      <c r="FAY251" s="173"/>
      <c r="FAZ251" s="173"/>
      <c r="FBA251" s="173"/>
      <c r="FBB251" s="173"/>
      <c r="FBC251" s="173"/>
      <c r="FBD251" s="173"/>
      <c r="FBE251" s="173"/>
      <c r="FBF251" s="173"/>
      <c r="FBG251" s="173"/>
      <c r="FBH251" s="125"/>
      <c r="FBI251" s="125"/>
      <c r="FBJ251" s="134"/>
      <c r="FBK251" s="135"/>
      <c r="FBL251" s="135"/>
      <c r="FBM251" s="135"/>
      <c r="FBN251" s="135"/>
      <c r="FBO251" s="173"/>
      <c r="FBP251" s="173"/>
      <c r="FBQ251" s="173"/>
      <c r="FBR251" s="173"/>
      <c r="FBS251" s="173"/>
      <c r="FBT251" s="173"/>
      <c r="FBU251" s="173"/>
      <c r="FBV251" s="173"/>
      <c r="FBW251" s="173"/>
      <c r="FBX251" s="173"/>
      <c r="FBY251" s="125"/>
      <c r="FBZ251" s="125"/>
      <c r="FCA251" s="134"/>
      <c r="FCB251" s="135"/>
      <c r="FCC251" s="135"/>
      <c r="FCD251" s="135"/>
      <c r="FCE251" s="135"/>
      <c r="FCF251" s="173"/>
      <c r="FCG251" s="173"/>
      <c r="FCH251" s="173"/>
      <c r="FCI251" s="173"/>
      <c r="FCJ251" s="173"/>
      <c r="FCK251" s="173"/>
      <c r="FCL251" s="173"/>
      <c r="FCM251" s="173"/>
      <c r="FCN251" s="173"/>
      <c r="FCO251" s="173"/>
      <c r="FCP251" s="125"/>
      <c r="FCQ251" s="125"/>
      <c r="FCR251" s="134"/>
      <c r="FCS251" s="135"/>
      <c r="FCT251" s="135"/>
      <c r="FCU251" s="135"/>
      <c r="FCV251" s="135"/>
      <c r="FCW251" s="173"/>
      <c r="FCX251" s="173"/>
      <c r="FCY251" s="173"/>
      <c r="FCZ251" s="173"/>
      <c r="FDA251" s="173"/>
      <c r="FDB251" s="173"/>
      <c r="FDC251" s="173"/>
      <c r="FDD251" s="173"/>
      <c r="FDE251" s="173"/>
      <c r="FDF251" s="173"/>
      <c r="FDG251" s="125"/>
      <c r="FDH251" s="125"/>
      <c r="FDI251" s="134"/>
      <c r="FDJ251" s="135"/>
      <c r="FDK251" s="135"/>
      <c r="FDL251" s="135"/>
      <c r="FDM251" s="135"/>
      <c r="FDN251" s="173"/>
      <c r="FDO251" s="173"/>
      <c r="FDP251" s="173"/>
      <c r="FDQ251" s="173"/>
      <c r="FDR251" s="173"/>
      <c r="FDS251" s="173"/>
      <c r="FDT251" s="173"/>
      <c r="FDU251" s="173"/>
      <c r="FDV251" s="173"/>
      <c r="FDW251" s="173"/>
      <c r="FDX251" s="125"/>
      <c r="FDY251" s="125"/>
      <c r="FDZ251" s="134"/>
      <c r="FEA251" s="135"/>
      <c r="FEB251" s="135"/>
      <c r="FEC251" s="135"/>
      <c r="FED251" s="135"/>
      <c r="FEE251" s="173"/>
      <c r="FEF251" s="173"/>
      <c r="FEG251" s="173"/>
      <c r="FEH251" s="173"/>
      <c r="FEI251" s="173"/>
      <c r="FEJ251" s="173"/>
      <c r="FEK251" s="173"/>
      <c r="FEL251" s="173"/>
      <c r="FEM251" s="173"/>
      <c r="FEN251" s="173"/>
      <c r="FEO251" s="125"/>
      <c r="FEP251" s="125"/>
      <c r="FEQ251" s="134"/>
      <c r="FER251" s="135"/>
      <c r="FES251" s="135"/>
      <c r="FET251" s="135"/>
      <c r="FEU251" s="135"/>
      <c r="FEV251" s="173"/>
      <c r="FEW251" s="173"/>
      <c r="FEX251" s="173"/>
      <c r="FEY251" s="173"/>
      <c r="FEZ251" s="173"/>
      <c r="FFA251" s="173"/>
      <c r="FFB251" s="173"/>
      <c r="FFC251" s="173"/>
      <c r="FFD251" s="173"/>
      <c r="FFE251" s="173"/>
      <c r="FFF251" s="125"/>
      <c r="FFG251" s="125"/>
      <c r="FFH251" s="134"/>
      <c r="FFI251" s="135"/>
      <c r="FFJ251" s="135"/>
      <c r="FFK251" s="135"/>
      <c r="FFL251" s="135"/>
      <c r="FFM251" s="173"/>
      <c r="FFN251" s="173"/>
      <c r="FFO251" s="173"/>
      <c r="FFP251" s="173"/>
      <c r="FFQ251" s="173"/>
      <c r="FFR251" s="173"/>
      <c r="FFS251" s="173"/>
      <c r="FFT251" s="173"/>
      <c r="FFU251" s="173"/>
      <c r="FFV251" s="173"/>
      <c r="FFW251" s="125"/>
      <c r="FFX251" s="125"/>
      <c r="FFY251" s="134"/>
      <c r="FFZ251" s="135"/>
      <c r="FGA251" s="135"/>
      <c r="FGB251" s="135"/>
      <c r="FGC251" s="135"/>
      <c r="FGD251" s="173"/>
      <c r="FGE251" s="173"/>
      <c r="FGF251" s="173"/>
      <c r="FGG251" s="173"/>
      <c r="FGH251" s="173"/>
      <c r="FGI251" s="173"/>
      <c r="FGJ251" s="173"/>
      <c r="FGK251" s="173"/>
      <c r="FGL251" s="173"/>
      <c r="FGM251" s="173"/>
      <c r="FGN251" s="125"/>
      <c r="FGO251" s="125"/>
      <c r="FGP251" s="134"/>
      <c r="FGQ251" s="135"/>
      <c r="FGR251" s="135"/>
      <c r="FGS251" s="135"/>
      <c r="FGT251" s="135"/>
      <c r="FGU251" s="173"/>
      <c r="FGV251" s="173"/>
      <c r="FGW251" s="173"/>
      <c r="FGX251" s="173"/>
      <c r="FGY251" s="173"/>
      <c r="FGZ251" s="173"/>
      <c r="FHA251" s="173"/>
      <c r="FHB251" s="173"/>
      <c r="FHC251" s="173"/>
      <c r="FHD251" s="173"/>
      <c r="FHE251" s="125"/>
      <c r="FHF251" s="125"/>
      <c r="FHG251" s="134"/>
      <c r="FHH251" s="135"/>
      <c r="FHI251" s="135"/>
      <c r="FHJ251" s="135"/>
      <c r="FHK251" s="135"/>
      <c r="FHL251" s="173"/>
      <c r="FHM251" s="173"/>
      <c r="FHN251" s="173"/>
      <c r="FHO251" s="173"/>
      <c r="FHP251" s="173"/>
      <c r="FHQ251" s="173"/>
      <c r="FHR251" s="173"/>
      <c r="FHS251" s="173"/>
      <c r="FHT251" s="173"/>
      <c r="FHU251" s="173"/>
      <c r="FHV251" s="125"/>
      <c r="FHW251" s="125"/>
      <c r="FHX251" s="134"/>
      <c r="FHY251" s="135"/>
      <c r="FHZ251" s="135"/>
      <c r="FIA251" s="135"/>
      <c r="FIB251" s="135"/>
      <c r="FIC251" s="173"/>
      <c r="FID251" s="173"/>
      <c r="FIE251" s="173"/>
      <c r="FIF251" s="173"/>
      <c r="FIG251" s="173"/>
      <c r="FIH251" s="173"/>
      <c r="FII251" s="173"/>
      <c r="FIJ251" s="173"/>
      <c r="FIK251" s="173"/>
      <c r="FIL251" s="173"/>
      <c r="FIM251" s="125"/>
      <c r="FIN251" s="125"/>
      <c r="FIO251" s="134"/>
      <c r="FIP251" s="135"/>
      <c r="FIQ251" s="135"/>
      <c r="FIR251" s="135"/>
      <c r="FIS251" s="135"/>
      <c r="FIT251" s="173"/>
      <c r="FIU251" s="173"/>
      <c r="FIV251" s="173"/>
      <c r="FIW251" s="173"/>
      <c r="FIX251" s="173"/>
      <c r="FIY251" s="173"/>
      <c r="FIZ251" s="173"/>
      <c r="FJA251" s="173"/>
      <c r="FJB251" s="173"/>
      <c r="FJC251" s="173"/>
      <c r="FJD251" s="125"/>
      <c r="FJE251" s="125"/>
      <c r="FJF251" s="134"/>
      <c r="FJG251" s="135"/>
      <c r="FJH251" s="135"/>
      <c r="FJI251" s="135"/>
      <c r="FJJ251" s="135"/>
      <c r="FJK251" s="173"/>
      <c r="FJL251" s="173"/>
      <c r="FJM251" s="173"/>
      <c r="FJN251" s="173"/>
      <c r="FJO251" s="173"/>
      <c r="FJP251" s="173"/>
      <c r="FJQ251" s="173"/>
      <c r="FJR251" s="173"/>
      <c r="FJS251" s="173"/>
      <c r="FJT251" s="173"/>
      <c r="FJU251" s="125"/>
      <c r="FJV251" s="125"/>
      <c r="FJW251" s="134"/>
      <c r="FJX251" s="135"/>
      <c r="FJY251" s="135"/>
      <c r="FJZ251" s="135"/>
      <c r="FKA251" s="135"/>
      <c r="FKB251" s="173"/>
      <c r="FKC251" s="173"/>
      <c r="FKD251" s="173"/>
      <c r="FKE251" s="173"/>
      <c r="FKF251" s="173"/>
      <c r="FKG251" s="173"/>
      <c r="FKH251" s="173"/>
      <c r="FKI251" s="173"/>
      <c r="FKJ251" s="173"/>
      <c r="FKK251" s="173"/>
      <c r="FKL251" s="125"/>
      <c r="FKM251" s="125"/>
      <c r="FKN251" s="134"/>
      <c r="FKO251" s="135"/>
      <c r="FKP251" s="135"/>
      <c r="FKQ251" s="135"/>
      <c r="FKR251" s="135"/>
      <c r="FKS251" s="173"/>
      <c r="FKT251" s="173"/>
      <c r="FKU251" s="173"/>
      <c r="FKV251" s="173"/>
      <c r="FKW251" s="173"/>
      <c r="FKX251" s="173"/>
      <c r="FKY251" s="173"/>
      <c r="FKZ251" s="173"/>
      <c r="FLA251" s="173"/>
      <c r="FLB251" s="173"/>
      <c r="FLC251" s="125"/>
      <c r="FLD251" s="125"/>
      <c r="FLE251" s="134"/>
      <c r="FLF251" s="135"/>
      <c r="FLG251" s="135"/>
      <c r="FLH251" s="135"/>
      <c r="FLI251" s="135"/>
      <c r="FLJ251" s="173"/>
      <c r="FLK251" s="173"/>
      <c r="FLL251" s="173"/>
      <c r="FLM251" s="173"/>
      <c r="FLN251" s="173"/>
      <c r="FLO251" s="173"/>
      <c r="FLP251" s="173"/>
      <c r="FLQ251" s="173"/>
      <c r="FLR251" s="173"/>
      <c r="FLS251" s="173"/>
      <c r="FLT251" s="125"/>
      <c r="FLU251" s="125"/>
      <c r="FLV251" s="134"/>
      <c r="FLW251" s="135"/>
      <c r="FLX251" s="135"/>
      <c r="FLY251" s="135"/>
      <c r="FLZ251" s="135"/>
      <c r="FMA251" s="173"/>
      <c r="FMB251" s="173"/>
      <c r="FMC251" s="173"/>
      <c r="FMD251" s="173"/>
      <c r="FME251" s="173"/>
      <c r="FMF251" s="173"/>
      <c r="FMG251" s="173"/>
      <c r="FMH251" s="173"/>
      <c r="FMI251" s="173"/>
      <c r="FMJ251" s="173"/>
      <c r="FMK251" s="125"/>
      <c r="FML251" s="125"/>
      <c r="FMM251" s="134"/>
      <c r="FMN251" s="135"/>
      <c r="FMO251" s="135"/>
      <c r="FMP251" s="135"/>
      <c r="FMQ251" s="135"/>
      <c r="FMR251" s="173"/>
      <c r="FMS251" s="173"/>
      <c r="FMT251" s="173"/>
      <c r="FMU251" s="173"/>
      <c r="FMV251" s="173"/>
      <c r="FMW251" s="173"/>
      <c r="FMX251" s="173"/>
      <c r="FMY251" s="173"/>
      <c r="FMZ251" s="173"/>
      <c r="FNA251" s="173"/>
      <c r="FNB251" s="125"/>
      <c r="FNC251" s="125"/>
      <c r="FND251" s="134"/>
      <c r="FNE251" s="135"/>
      <c r="FNF251" s="135"/>
      <c r="FNG251" s="135"/>
      <c r="FNH251" s="135"/>
      <c r="FNI251" s="173"/>
      <c r="FNJ251" s="173"/>
      <c r="FNK251" s="173"/>
      <c r="FNL251" s="173"/>
      <c r="FNM251" s="173"/>
      <c r="FNN251" s="173"/>
      <c r="FNO251" s="173"/>
      <c r="FNP251" s="173"/>
      <c r="FNQ251" s="173"/>
      <c r="FNR251" s="173"/>
      <c r="FNS251" s="125"/>
      <c r="FNT251" s="125"/>
      <c r="FNU251" s="134"/>
      <c r="FNV251" s="135"/>
      <c r="FNW251" s="135"/>
      <c r="FNX251" s="135"/>
      <c r="FNY251" s="135"/>
      <c r="FNZ251" s="173"/>
      <c r="FOA251" s="173"/>
      <c r="FOB251" s="173"/>
      <c r="FOC251" s="173"/>
      <c r="FOD251" s="173"/>
      <c r="FOE251" s="173"/>
      <c r="FOF251" s="173"/>
      <c r="FOG251" s="173"/>
      <c r="FOH251" s="173"/>
      <c r="FOI251" s="173"/>
      <c r="FOJ251" s="125"/>
      <c r="FOK251" s="125"/>
      <c r="FOL251" s="134"/>
      <c r="FOM251" s="135"/>
      <c r="FON251" s="135"/>
      <c r="FOO251" s="135"/>
      <c r="FOP251" s="135"/>
      <c r="FOQ251" s="173"/>
      <c r="FOR251" s="173"/>
      <c r="FOS251" s="173"/>
      <c r="FOT251" s="173"/>
      <c r="FOU251" s="173"/>
      <c r="FOV251" s="173"/>
      <c r="FOW251" s="173"/>
      <c r="FOX251" s="173"/>
      <c r="FOY251" s="173"/>
      <c r="FOZ251" s="173"/>
      <c r="FPA251" s="125"/>
      <c r="FPB251" s="125"/>
      <c r="FPC251" s="134"/>
      <c r="FPD251" s="135"/>
      <c r="FPE251" s="135"/>
      <c r="FPF251" s="135"/>
      <c r="FPG251" s="135"/>
      <c r="FPH251" s="173"/>
      <c r="FPI251" s="173"/>
      <c r="FPJ251" s="173"/>
      <c r="FPK251" s="173"/>
      <c r="FPL251" s="173"/>
      <c r="FPM251" s="173"/>
      <c r="FPN251" s="173"/>
      <c r="FPO251" s="173"/>
      <c r="FPP251" s="173"/>
      <c r="FPQ251" s="173"/>
      <c r="FPR251" s="125"/>
      <c r="FPS251" s="125"/>
      <c r="FPT251" s="134"/>
      <c r="FPU251" s="135"/>
      <c r="FPV251" s="135"/>
      <c r="FPW251" s="135"/>
      <c r="FPX251" s="135"/>
      <c r="FPY251" s="173"/>
      <c r="FPZ251" s="173"/>
      <c r="FQA251" s="173"/>
      <c r="FQB251" s="173"/>
      <c r="FQC251" s="173"/>
      <c r="FQD251" s="173"/>
      <c r="FQE251" s="173"/>
      <c r="FQF251" s="173"/>
      <c r="FQG251" s="173"/>
      <c r="FQH251" s="173"/>
      <c r="FQI251" s="125"/>
      <c r="FQJ251" s="125"/>
      <c r="FQK251" s="134"/>
      <c r="FQL251" s="135"/>
      <c r="FQM251" s="135"/>
      <c r="FQN251" s="135"/>
      <c r="FQO251" s="135"/>
      <c r="FQP251" s="173"/>
      <c r="FQQ251" s="173"/>
      <c r="FQR251" s="173"/>
      <c r="FQS251" s="173"/>
      <c r="FQT251" s="173"/>
      <c r="FQU251" s="173"/>
      <c r="FQV251" s="173"/>
      <c r="FQW251" s="173"/>
      <c r="FQX251" s="173"/>
      <c r="FQY251" s="173"/>
      <c r="FQZ251" s="125"/>
      <c r="FRA251" s="125"/>
      <c r="FRB251" s="134"/>
      <c r="FRC251" s="135"/>
      <c r="FRD251" s="135"/>
      <c r="FRE251" s="135"/>
      <c r="FRF251" s="135"/>
      <c r="FRG251" s="173"/>
      <c r="FRH251" s="173"/>
      <c r="FRI251" s="173"/>
      <c r="FRJ251" s="173"/>
      <c r="FRK251" s="173"/>
      <c r="FRL251" s="173"/>
      <c r="FRM251" s="173"/>
      <c r="FRN251" s="173"/>
      <c r="FRO251" s="173"/>
      <c r="FRP251" s="173"/>
      <c r="FRQ251" s="125"/>
      <c r="FRR251" s="125"/>
      <c r="FRS251" s="134"/>
      <c r="FRT251" s="135"/>
      <c r="FRU251" s="135"/>
      <c r="FRV251" s="135"/>
      <c r="FRW251" s="135"/>
      <c r="FRX251" s="173"/>
      <c r="FRY251" s="173"/>
      <c r="FRZ251" s="173"/>
      <c r="FSA251" s="173"/>
      <c r="FSB251" s="173"/>
      <c r="FSC251" s="173"/>
      <c r="FSD251" s="173"/>
      <c r="FSE251" s="173"/>
      <c r="FSF251" s="173"/>
      <c r="FSG251" s="173"/>
      <c r="FSH251" s="125"/>
      <c r="FSI251" s="125"/>
      <c r="FSJ251" s="134"/>
      <c r="FSK251" s="135"/>
      <c r="FSL251" s="135"/>
      <c r="FSM251" s="135"/>
      <c r="FSN251" s="135"/>
      <c r="FSO251" s="173"/>
      <c r="FSP251" s="173"/>
      <c r="FSQ251" s="173"/>
      <c r="FSR251" s="173"/>
      <c r="FSS251" s="173"/>
      <c r="FST251" s="173"/>
      <c r="FSU251" s="173"/>
      <c r="FSV251" s="173"/>
      <c r="FSW251" s="173"/>
      <c r="FSX251" s="173"/>
      <c r="FSY251" s="125"/>
      <c r="FSZ251" s="125"/>
      <c r="FTA251" s="134"/>
      <c r="FTB251" s="135"/>
      <c r="FTC251" s="135"/>
      <c r="FTD251" s="135"/>
      <c r="FTE251" s="135"/>
      <c r="FTF251" s="173"/>
      <c r="FTG251" s="173"/>
      <c r="FTH251" s="173"/>
      <c r="FTI251" s="173"/>
      <c r="FTJ251" s="173"/>
      <c r="FTK251" s="173"/>
      <c r="FTL251" s="173"/>
      <c r="FTM251" s="173"/>
      <c r="FTN251" s="173"/>
      <c r="FTO251" s="173"/>
      <c r="FTP251" s="125"/>
      <c r="FTQ251" s="125"/>
      <c r="FTR251" s="134"/>
      <c r="FTS251" s="135"/>
      <c r="FTT251" s="135"/>
      <c r="FTU251" s="135"/>
      <c r="FTV251" s="135"/>
      <c r="FTW251" s="173"/>
      <c r="FTX251" s="173"/>
      <c r="FTY251" s="173"/>
      <c r="FTZ251" s="173"/>
      <c r="FUA251" s="173"/>
      <c r="FUB251" s="173"/>
      <c r="FUC251" s="173"/>
      <c r="FUD251" s="173"/>
      <c r="FUE251" s="173"/>
      <c r="FUF251" s="173"/>
      <c r="FUG251" s="125"/>
      <c r="FUH251" s="125"/>
      <c r="FUI251" s="134"/>
      <c r="FUJ251" s="135"/>
      <c r="FUK251" s="135"/>
      <c r="FUL251" s="135"/>
      <c r="FUM251" s="135"/>
      <c r="FUN251" s="173"/>
      <c r="FUO251" s="173"/>
      <c r="FUP251" s="173"/>
      <c r="FUQ251" s="173"/>
      <c r="FUR251" s="173"/>
      <c r="FUS251" s="173"/>
      <c r="FUT251" s="173"/>
      <c r="FUU251" s="173"/>
      <c r="FUV251" s="173"/>
      <c r="FUW251" s="173"/>
      <c r="FUX251" s="125"/>
      <c r="FUY251" s="125"/>
      <c r="FUZ251" s="134"/>
      <c r="FVA251" s="135"/>
      <c r="FVB251" s="135"/>
      <c r="FVC251" s="135"/>
      <c r="FVD251" s="135"/>
      <c r="FVE251" s="173"/>
      <c r="FVF251" s="173"/>
      <c r="FVG251" s="173"/>
      <c r="FVH251" s="173"/>
      <c r="FVI251" s="173"/>
      <c r="FVJ251" s="173"/>
      <c r="FVK251" s="173"/>
      <c r="FVL251" s="173"/>
      <c r="FVM251" s="173"/>
      <c r="FVN251" s="173"/>
      <c r="FVO251" s="125"/>
      <c r="FVP251" s="125"/>
      <c r="FVQ251" s="134"/>
      <c r="FVR251" s="135"/>
      <c r="FVS251" s="135"/>
      <c r="FVT251" s="135"/>
      <c r="FVU251" s="135"/>
      <c r="FVV251" s="173"/>
      <c r="FVW251" s="173"/>
      <c r="FVX251" s="173"/>
      <c r="FVY251" s="173"/>
      <c r="FVZ251" s="173"/>
      <c r="FWA251" s="173"/>
      <c r="FWB251" s="173"/>
      <c r="FWC251" s="173"/>
      <c r="FWD251" s="173"/>
      <c r="FWE251" s="173"/>
      <c r="FWF251" s="125"/>
      <c r="FWG251" s="125"/>
      <c r="FWH251" s="134"/>
      <c r="FWI251" s="135"/>
      <c r="FWJ251" s="135"/>
      <c r="FWK251" s="135"/>
      <c r="FWL251" s="135"/>
      <c r="FWM251" s="173"/>
      <c r="FWN251" s="173"/>
      <c r="FWO251" s="173"/>
      <c r="FWP251" s="173"/>
      <c r="FWQ251" s="173"/>
      <c r="FWR251" s="173"/>
      <c r="FWS251" s="173"/>
      <c r="FWT251" s="173"/>
      <c r="FWU251" s="173"/>
      <c r="FWV251" s="173"/>
      <c r="FWW251" s="125"/>
      <c r="FWX251" s="125"/>
      <c r="FWY251" s="134"/>
      <c r="FWZ251" s="135"/>
      <c r="FXA251" s="135"/>
      <c r="FXB251" s="135"/>
      <c r="FXC251" s="135"/>
      <c r="FXD251" s="173"/>
      <c r="FXE251" s="173"/>
      <c r="FXF251" s="173"/>
      <c r="FXG251" s="173"/>
      <c r="FXH251" s="173"/>
      <c r="FXI251" s="173"/>
      <c r="FXJ251" s="173"/>
      <c r="FXK251" s="173"/>
      <c r="FXL251" s="173"/>
      <c r="FXM251" s="173"/>
      <c r="FXN251" s="125"/>
      <c r="FXO251" s="125"/>
      <c r="FXP251" s="134"/>
      <c r="FXQ251" s="135"/>
      <c r="FXR251" s="135"/>
      <c r="FXS251" s="135"/>
      <c r="FXT251" s="135"/>
      <c r="FXU251" s="173"/>
      <c r="FXV251" s="173"/>
      <c r="FXW251" s="173"/>
      <c r="FXX251" s="173"/>
      <c r="FXY251" s="173"/>
      <c r="FXZ251" s="173"/>
      <c r="FYA251" s="173"/>
      <c r="FYB251" s="173"/>
      <c r="FYC251" s="173"/>
      <c r="FYD251" s="173"/>
      <c r="FYE251" s="125"/>
      <c r="FYF251" s="125"/>
      <c r="FYG251" s="134"/>
      <c r="FYH251" s="135"/>
      <c r="FYI251" s="135"/>
      <c r="FYJ251" s="135"/>
      <c r="FYK251" s="135"/>
      <c r="FYL251" s="173"/>
      <c r="FYM251" s="173"/>
      <c r="FYN251" s="173"/>
      <c r="FYO251" s="173"/>
      <c r="FYP251" s="173"/>
      <c r="FYQ251" s="173"/>
      <c r="FYR251" s="173"/>
      <c r="FYS251" s="173"/>
      <c r="FYT251" s="173"/>
      <c r="FYU251" s="173"/>
      <c r="FYV251" s="125"/>
      <c r="FYW251" s="125"/>
      <c r="FYX251" s="134"/>
      <c r="FYY251" s="135"/>
      <c r="FYZ251" s="135"/>
      <c r="FZA251" s="135"/>
      <c r="FZB251" s="135"/>
      <c r="FZC251" s="173"/>
      <c r="FZD251" s="173"/>
      <c r="FZE251" s="173"/>
      <c r="FZF251" s="173"/>
      <c r="FZG251" s="173"/>
      <c r="FZH251" s="173"/>
      <c r="FZI251" s="173"/>
      <c r="FZJ251" s="173"/>
      <c r="FZK251" s="173"/>
      <c r="FZL251" s="173"/>
      <c r="FZM251" s="125"/>
      <c r="FZN251" s="125"/>
      <c r="FZO251" s="134"/>
      <c r="FZP251" s="135"/>
      <c r="FZQ251" s="135"/>
      <c r="FZR251" s="135"/>
      <c r="FZS251" s="135"/>
      <c r="FZT251" s="173"/>
      <c r="FZU251" s="173"/>
      <c r="FZV251" s="173"/>
      <c r="FZW251" s="173"/>
      <c r="FZX251" s="173"/>
      <c r="FZY251" s="173"/>
      <c r="FZZ251" s="173"/>
      <c r="GAA251" s="173"/>
      <c r="GAB251" s="173"/>
      <c r="GAC251" s="173"/>
      <c r="GAD251" s="125"/>
      <c r="GAE251" s="125"/>
      <c r="GAF251" s="134"/>
      <c r="GAG251" s="135"/>
      <c r="GAH251" s="135"/>
      <c r="GAI251" s="135"/>
      <c r="GAJ251" s="135"/>
      <c r="GAK251" s="173"/>
      <c r="GAL251" s="173"/>
      <c r="GAM251" s="173"/>
      <c r="GAN251" s="173"/>
      <c r="GAO251" s="173"/>
      <c r="GAP251" s="173"/>
      <c r="GAQ251" s="173"/>
      <c r="GAR251" s="173"/>
      <c r="GAS251" s="173"/>
      <c r="GAT251" s="173"/>
      <c r="GAU251" s="125"/>
      <c r="GAV251" s="125"/>
      <c r="GAW251" s="134"/>
      <c r="GAX251" s="135"/>
      <c r="GAY251" s="135"/>
      <c r="GAZ251" s="135"/>
      <c r="GBA251" s="135"/>
      <c r="GBB251" s="173"/>
      <c r="GBC251" s="173"/>
      <c r="GBD251" s="173"/>
      <c r="GBE251" s="173"/>
      <c r="GBF251" s="173"/>
      <c r="GBG251" s="173"/>
      <c r="GBH251" s="173"/>
      <c r="GBI251" s="173"/>
      <c r="GBJ251" s="173"/>
      <c r="GBK251" s="173"/>
      <c r="GBL251" s="125"/>
      <c r="GBM251" s="125"/>
      <c r="GBN251" s="134"/>
      <c r="GBO251" s="135"/>
      <c r="GBP251" s="135"/>
      <c r="GBQ251" s="135"/>
      <c r="GBR251" s="135"/>
      <c r="GBS251" s="173"/>
      <c r="GBT251" s="173"/>
      <c r="GBU251" s="173"/>
      <c r="GBV251" s="173"/>
      <c r="GBW251" s="173"/>
      <c r="GBX251" s="173"/>
      <c r="GBY251" s="173"/>
      <c r="GBZ251" s="173"/>
      <c r="GCA251" s="173"/>
      <c r="GCB251" s="173"/>
      <c r="GCC251" s="125"/>
      <c r="GCD251" s="125"/>
      <c r="GCE251" s="134"/>
      <c r="GCF251" s="135"/>
      <c r="GCG251" s="135"/>
      <c r="GCH251" s="135"/>
      <c r="GCI251" s="135"/>
      <c r="GCJ251" s="173"/>
      <c r="GCK251" s="173"/>
      <c r="GCL251" s="173"/>
      <c r="GCM251" s="173"/>
      <c r="GCN251" s="173"/>
      <c r="GCO251" s="173"/>
      <c r="GCP251" s="173"/>
      <c r="GCQ251" s="173"/>
      <c r="GCR251" s="173"/>
      <c r="GCS251" s="173"/>
      <c r="GCT251" s="125"/>
      <c r="GCU251" s="125"/>
      <c r="GCV251" s="134"/>
      <c r="GCW251" s="135"/>
      <c r="GCX251" s="135"/>
      <c r="GCY251" s="135"/>
      <c r="GCZ251" s="135"/>
      <c r="GDA251" s="173"/>
      <c r="GDB251" s="173"/>
      <c r="GDC251" s="173"/>
      <c r="GDD251" s="173"/>
      <c r="GDE251" s="173"/>
      <c r="GDF251" s="173"/>
      <c r="GDG251" s="173"/>
      <c r="GDH251" s="173"/>
      <c r="GDI251" s="173"/>
      <c r="GDJ251" s="173"/>
      <c r="GDK251" s="125"/>
      <c r="GDL251" s="125"/>
      <c r="GDM251" s="134"/>
      <c r="GDN251" s="135"/>
      <c r="GDO251" s="135"/>
      <c r="GDP251" s="135"/>
      <c r="GDQ251" s="135"/>
      <c r="GDR251" s="173"/>
      <c r="GDS251" s="173"/>
      <c r="GDT251" s="173"/>
      <c r="GDU251" s="173"/>
      <c r="GDV251" s="173"/>
      <c r="GDW251" s="173"/>
      <c r="GDX251" s="173"/>
      <c r="GDY251" s="173"/>
      <c r="GDZ251" s="173"/>
      <c r="GEA251" s="173"/>
      <c r="GEB251" s="125"/>
      <c r="GEC251" s="125"/>
      <c r="GED251" s="134"/>
      <c r="GEE251" s="135"/>
      <c r="GEF251" s="135"/>
      <c r="GEG251" s="135"/>
      <c r="GEH251" s="135"/>
      <c r="GEI251" s="173"/>
      <c r="GEJ251" s="173"/>
      <c r="GEK251" s="173"/>
      <c r="GEL251" s="173"/>
      <c r="GEM251" s="173"/>
      <c r="GEN251" s="173"/>
      <c r="GEO251" s="173"/>
      <c r="GEP251" s="173"/>
      <c r="GEQ251" s="173"/>
      <c r="GER251" s="173"/>
      <c r="GES251" s="125"/>
      <c r="GET251" s="125"/>
      <c r="GEU251" s="134"/>
      <c r="GEV251" s="135"/>
      <c r="GEW251" s="135"/>
      <c r="GEX251" s="135"/>
      <c r="GEY251" s="135"/>
      <c r="GEZ251" s="173"/>
      <c r="GFA251" s="173"/>
      <c r="GFB251" s="173"/>
      <c r="GFC251" s="173"/>
      <c r="GFD251" s="173"/>
      <c r="GFE251" s="173"/>
      <c r="GFF251" s="173"/>
      <c r="GFG251" s="173"/>
      <c r="GFH251" s="173"/>
      <c r="GFI251" s="173"/>
      <c r="GFJ251" s="125"/>
      <c r="GFK251" s="125"/>
      <c r="GFL251" s="134"/>
      <c r="GFM251" s="135"/>
      <c r="GFN251" s="135"/>
      <c r="GFO251" s="135"/>
      <c r="GFP251" s="135"/>
      <c r="GFQ251" s="173"/>
      <c r="GFR251" s="173"/>
      <c r="GFS251" s="173"/>
      <c r="GFT251" s="173"/>
      <c r="GFU251" s="173"/>
      <c r="GFV251" s="173"/>
      <c r="GFW251" s="173"/>
      <c r="GFX251" s="173"/>
      <c r="GFY251" s="173"/>
      <c r="GFZ251" s="173"/>
      <c r="GGA251" s="125"/>
      <c r="GGB251" s="125"/>
      <c r="GGC251" s="134"/>
      <c r="GGD251" s="135"/>
      <c r="GGE251" s="135"/>
      <c r="GGF251" s="135"/>
      <c r="GGG251" s="135"/>
      <c r="GGH251" s="173"/>
      <c r="GGI251" s="173"/>
      <c r="GGJ251" s="173"/>
      <c r="GGK251" s="173"/>
      <c r="GGL251" s="173"/>
      <c r="GGM251" s="173"/>
      <c r="GGN251" s="173"/>
      <c r="GGO251" s="173"/>
      <c r="GGP251" s="173"/>
      <c r="GGQ251" s="173"/>
      <c r="GGR251" s="125"/>
      <c r="GGS251" s="125"/>
      <c r="GGT251" s="134"/>
      <c r="GGU251" s="135"/>
      <c r="GGV251" s="135"/>
      <c r="GGW251" s="135"/>
      <c r="GGX251" s="135"/>
      <c r="GGY251" s="173"/>
      <c r="GGZ251" s="173"/>
      <c r="GHA251" s="173"/>
      <c r="GHB251" s="173"/>
      <c r="GHC251" s="173"/>
      <c r="GHD251" s="173"/>
      <c r="GHE251" s="173"/>
      <c r="GHF251" s="173"/>
      <c r="GHG251" s="173"/>
      <c r="GHH251" s="173"/>
      <c r="GHI251" s="125"/>
      <c r="GHJ251" s="125"/>
      <c r="GHK251" s="134"/>
      <c r="GHL251" s="135"/>
      <c r="GHM251" s="135"/>
      <c r="GHN251" s="135"/>
      <c r="GHO251" s="135"/>
      <c r="GHP251" s="173"/>
      <c r="GHQ251" s="173"/>
      <c r="GHR251" s="173"/>
      <c r="GHS251" s="173"/>
      <c r="GHT251" s="173"/>
      <c r="GHU251" s="173"/>
      <c r="GHV251" s="173"/>
      <c r="GHW251" s="173"/>
      <c r="GHX251" s="173"/>
      <c r="GHY251" s="173"/>
      <c r="GHZ251" s="125"/>
      <c r="GIA251" s="125"/>
      <c r="GIB251" s="134"/>
      <c r="GIC251" s="135"/>
      <c r="GID251" s="135"/>
      <c r="GIE251" s="135"/>
      <c r="GIF251" s="135"/>
      <c r="GIG251" s="173"/>
      <c r="GIH251" s="173"/>
      <c r="GII251" s="173"/>
      <c r="GIJ251" s="173"/>
      <c r="GIK251" s="173"/>
      <c r="GIL251" s="173"/>
      <c r="GIM251" s="173"/>
      <c r="GIN251" s="173"/>
      <c r="GIO251" s="173"/>
      <c r="GIP251" s="173"/>
      <c r="GIQ251" s="125"/>
      <c r="GIR251" s="125"/>
      <c r="GIS251" s="134"/>
      <c r="GIT251" s="135"/>
      <c r="GIU251" s="135"/>
      <c r="GIV251" s="135"/>
      <c r="GIW251" s="135"/>
      <c r="GIX251" s="173"/>
      <c r="GIY251" s="173"/>
      <c r="GIZ251" s="173"/>
      <c r="GJA251" s="173"/>
      <c r="GJB251" s="173"/>
      <c r="GJC251" s="173"/>
      <c r="GJD251" s="173"/>
      <c r="GJE251" s="173"/>
      <c r="GJF251" s="173"/>
      <c r="GJG251" s="173"/>
      <c r="GJH251" s="125"/>
      <c r="GJI251" s="125"/>
      <c r="GJJ251" s="134"/>
      <c r="GJK251" s="135"/>
      <c r="GJL251" s="135"/>
      <c r="GJM251" s="135"/>
      <c r="GJN251" s="135"/>
      <c r="GJO251" s="173"/>
      <c r="GJP251" s="173"/>
      <c r="GJQ251" s="173"/>
      <c r="GJR251" s="173"/>
      <c r="GJS251" s="173"/>
      <c r="GJT251" s="173"/>
      <c r="GJU251" s="173"/>
      <c r="GJV251" s="173"/>
      <c r="GJW251" s="173"/>
      <c r="GJX251" s="173"/>
      <c r="GJY251" s="125"/>
      <c r="GJZ251" s="125"/>
      <c r="GKA251" s="134"/>
      <c r="GKB251" s="135"/>
      <c r="GKC251" s="135"/>
      <c r="GKD251" s="135"/>
      <c r="GKE251" s="135"/>
      <c r="GKF251" s="173"/>
      <c r="GKG251" s="173"/>
      <c r="GKH251" s="173"/>
      <c r="GKI251" s="173"/>
      <c r="GKJ251" s="173"/>
      <c r="GKK251" s="173"/>
      <c r="GKL251" s="173"/>
      <c r="GKM251" s="173"/>
      <c r="GKN251" s="173"/>
      <c r="GKO251" s="173"/>
      <c r="GKP251" s="125"/>
      <c r="GKQ251" s="125"/>
      <c r="GKR251" s="134"/>
      <c r="GKS251" s="135"/>
      <c r="GKT251" s="135"/>
      <c r="GKU251" s="135"/>
      <c r="GKV251" s="135"/>
      <c r="GKW251" s="173"/>
      <c r="GKX251" s="173"/>
      <c r="GKY251" s="173"/>
      <c r="GKZ251" s="173"/>
      <c r="GLA251" s="173"/>
      <c r="GLB251" s="173"/>
      <c r="GLC251" s="173"/>
      <c r="GLD251" s="173"/>
      <c r="GLE251" s="173"/>
      <c r="GLF251" s="173"/>
      <c r="GLG251" s="125"/>
      <c r="GLH251" s="125"/>
      <c r="GLI251" s="134"/>
      <c r="GLJ251" s="135"/>
      <c r="GLK251" s="135"/>
      <c r="GLL251" s="135"/>
      <c r="GLM251" s="135"/>
      <c r="GLN251" s="173"/>
      <c r="GLO251" s="173"/>
      <c r="GLP251" s="173"/>
      <c r="GLQ251" s="173"/>
      <c r="GLR251" s="173"/>
      <c r="GLS251" s="173"/>
      <c r="GLT251" s="173"/>
      <c r="GLU251" s="173"/>
      <c r="GLV251" s="173"/>
      <c r="GLW251" s="173"/>
      <c r="GLX251" s="125"/>
      <c r="GLY251" s="125"/>
      <c r="GLZ251" s="134"/>
      <c r="GMA251" s="135"/>
      <c r="GMB251" s="135"/>
      <c r="GMC251" s="135"/>
      <c r="GMD251" s="135"/>
      <c r="GME251" s="173"/>
      <c r="GMF251" s="173"/>
      <c r="GMG251" s="173"/>
      <c r="GMH251" s="173"/>
      <c r="GMI251" s="173"/>
      <c r="GMJ251" s="173"/>
      <c r="GMK251" s="173"/>
      <c r="GML251" s="173"/>
      <c r="GMM251" s="173"/>
      <c r="GMN251" s="173"/>
      <c r="GMO251" s="125"/>
      <c r="GMP251" s="125"/>
      <c r="GMQ251" s="134"/>
      <c r="GMR251" s="135"/>
      <c r="GMS251" s="135"/>
      <c r="GMT251" s="135"/>
      <c r="GMU251" s="135"/>
      <c r="GMV251" s="173"/>
      <c r="GMW251" s="173"/>
      <c r="GMX251" s="173"/>
      <c r="GMY251" s="173"/>
      <c r="GMZ251" s="173"/>
      <c r="GNA251" s="173"/>
      <c r="GNB251" s="173"/>
      <c r="GNC251" s="173"/>
      <c r="GND251" s="173"/>
      <c r="GNE251" s="173"/>
      <c r="GNF251" s="125"/>
      <c r="GNG251" s="125"/>
      <c r="GNH251" s="134"/>
      <c r="GNI251" s="135"/>
      <c r="GNJ251" s="135"/>
      <c r="GNK251" s="135"/>
      <c r="GNL251" s="135"/>
      <c r="GNM251" s="173"/>
      <c r="GNN251" s="173"/>
      <c r="GNO251" s="173"/>
      <c r="GNP251" s="173"/>
      <c r="GNQ251" s="173"/>
      <c r="GNR251" s="173"/>
      <c r="GNS251" s="173"/>
      <c r="GNT251" s="173"/>
      <c r="GNU251" s="173"/>
      <c r="GNV251" s="173"/>
      <c r="GNW251" s="125"/>
      <c r="GNX251" s="125"/>
      <c r="GNY251" s="134"/>
      <c r="GNZ251" s="135"/>
      <c r="GOA251" s="135"/>
      <c r="GOB251" s="135"/>
      <c r="GOC251" s="135"/>
      <c r="GOD251" s="173"/>
      <c r="GOE251" s="173"/>
      <c r="GOF251" s="173"/>
      <c r="GOG251" s="173"/>
      <c r="GOH251" s="173"/>
      <c r="GOI251" s="173"/>
      <c r="GOJ251" s="173"/>
      <c r="GOK251" s="173"/>
      <c r="GOL251" s="173"/>
      <c r="GOM251" s="173"/>
      <c r="GON251" s="125"/>
      <c r="GOO251" s="125"/>
      <c r="GOP251" s="134"/>
      <c r="GOQ251" s="135"/>
      <c r="GOR251" s="135"/>
      <c r="GOS251" s="135"/>
      <c r="GOT251" s="135"/>
      <c r="GOU251" s="173"/>
      <c r="GOV251" s="173"/>
      <c r="GOW251" s="173"/>
      <c r="GOX251" s="173"/>
      <c r="GOY251" s="173"/>
      <c r="GOZ251" s="173"/>
      <c r="GPA251" s="173"/>
      <c r="GPB251" s="173"/>
      <c r="GPC251" s="173"/>
      <c r="GPD251" s="173"/>
      <c r="GPE251" s="125"/>
      <c r="GPF251" s="125"/>
      <c r="GPG251" s="134"/>
      <c r="GPH251" s="135"/>
      <c r="GPI251" s="135"/>
      <c r="GPJ251" s="135"/>
      <c r="GPK251" s="135"/>
      <c r="GPL251" s="173"/>
      <c r="GPM251" s="173"/>
      <c r="GPN251" s="173"/>
      <c r="GPO251" s="173"/>
      <c r="GPP251" s="173"/>
      <c r="GPQ251" s="173"/>
      <c r="GPR251" s="173"/>
      <c r="GPS251" s="173"/>
      <c r="GPT251" s="173"/>
      <c r="GPU251" s="173"/>
      <c r="GPV251" s="125"/>
      <c r="GPW251" s="125"/>
      <c r="GPX251" s="134"/>
      <c r="GPY251" s="135"/>
      <c r="GPZ251" s="135"/>
      <c r="GQA251" s="135"/>
      <c r="GQB251" s="135"/>
      <c r="GQC251" s="173"/>
      <c r="GQD251" s="173"/>
      <c r="GQE251" s="173"/>
      <c r="GQF251" s="173"/>
      <c r="GQG251" s="173"/>
      <c r="GQH251" s="173"/>
      <c r="GQI251" s="173"/>
      <c r="GQJ251" s="173"/>
      <c r="GQK251" s="173"/>
      <c r="GQL251" s="173"/>
      <c r="GQM251" s="125"/>
      <c r="GQN251" s="125"/>
      <c r="GQO251" s="134"/>
      <c r="GQP251" s="135"/>
      <c r="GQQ251" s="135"/>
      <c r="GQR251" s="135"/>
      <c r="GQS251" s="135"/>
      <c r="GQT251" s="173"/>
      <c r="GQU251" s="173"/>
      <c r="GQV251" s="173"/>
      <c r="GQW251" s="173"/>
      <c r="GQX251" s="173"/>
      <c r="GQY251" s="173"/>
      <c r="GQZ251" s="173"/>
      <c r="GRA251" s="173"/>
      <c r="GRB251" s="173"/>
      <c r="GRC251" s="173"/>
      <c r="GRD251" s="125"/>
      <c r="GRE251" s="125"/>
      <c r="GRF251" s="134"/>
      <c r="GRG251" s="135"/>
      <c r="GRH251" s="135"/>
      <c r="GRI251" s="135"/>
      <c r="GRJ251" s="135"/>
      <c r="GRK251" s="173"/>
      <c r="GRL251" s="173"/>
      <c r="GRM251" s="173"/>
      <c r="GRN251" s="173"/>
      <c r="GRO251" s="173"/>
      <c r="GRP251" s="173"/>
      <c r="GRQ251" s="173"/>
      <c r="GRR251" s="173"/>
      <c r="GRS251" s="173"/>
      <c r="GRT251" s="173"/>
      <c r="GRU251" s="125"/>
      <c r="GRV251" s="125"/>
      <c r="GRW251" s="134"/>
      <c r="GRX251" s="135"/>
      <c r="GRY251" s="135"/>
      <c r="GRZ251" s="135"/>
      <c r="GSA251" s="135"/>
      <c r="GSB251" s="173"/>
      <c r="GSC251" s="173"/>
      <c r="GSD251" s="173"/>
      <c r="GSE251" s="173"/>
      <c r="GSF251" s="173"/>
      <c r="GSG251" s="173"/>
      <c r="GSH251" s="173"/>
      <c r="GSI251" s="173"/>
      <c r="GSJ251" s="173"/>
      <c r="GSK251" s="173"/>
      <c r="GSL251" s="125"/>
      <c r="GSM251" s="125"/>
      <c r="GSN251" s="134"/>
      <c r="GSO251" s="135"/>
      <c r="GSP251" s="135"/>
      <c r="GSQ251" s="135"/>
      <c r="GSR251" s="135"/>
      <c r="GSS251" s="173"/>
      <c r="GST251" s="173"/>
      <c r="GSU251" s="173"/>
      <c r="GSV251" s="173"/>
      <c r="GSW251" s="173"/>
      <c r="GSX251" s="173"/>
      <c r="GSY251" s="173"/>
      <c r="GSZ251" s="173"/>
      <c r="GTA251" s="173"/>
      <c r="GTB251" s="173"/>
      <c r="GTC251" s="125"/>
      <c r="GTD251" s="125"/>
      <c r="GTE251" s="134"/>
      <c r="GTF251" s="135"/>
      <c r="GTG251" s="135"/>
      <c r="GTH251" s="135"/>
      <c r="GTI251" s="135"/>
      <c r="GTJ251" s="173"/>
      <c r="GTK251" s="173"/>
      <c r="GTL251" s="173"/>
      <c r="GTM251" s="173"/>
      <c r="GTN251" s="173"/>
      <c r="GTO251" s="173"/>
      <c r="GTP251" s="173"/>
      <c r="GTQ251" s="173"/>
      <c r="GTR251" s="173"/>
      <c r="GTS251" s="173"/>
      <c r="GTT251" s="125"/>
      <c r="GTU251" s="125"/>
      <c r="GTV251" s="134"/>
      <c r="GTW251" s="135"/>
      <c r="GTX251" s="135"/>
      <c r="GTY251" s="135"/>
      <c r="GTZ251" s="135"/>
      <c r="GUA251" s="173"/>
      <c r="GUB251" s="173"/>
      <c r="GUC251" s="173"/>
      <c r="GUD251" s="173"/>
      <c r="GUE251" s="173"/>
      <c r="GUF251" s="173"/>
      <c r="GUG251" s="173"/>
      <c r="GUH251" s="173"/>
      <c r="GUI251" s="173"/>
      <c r="GUJ251" s="173"/>
      <c r="GUK251" s="125"/>
      <c r="GUL251" s="125"/>
      <c r="GUM251" s="134"/>
      <c r="GUN251" s="135"/>
      <c r="GUO251" s="135"/>
      <c r="GUP251" s="135"/>
      <c r="GUQ251" s="135"/>
      <c r="GUR251" s="173"/>
      <c r="GUS251" s="173"/>
      <c r="GUT251" s="173"/>
      <c r="GUU251" s="173"/>
      <c r="GUV251" s="173"/>
      <c r="GUW251" s="173"/>
      <c r="GUX251" s="173"/>
      <c r="GUY251" s="173"/>
      <c r="GUZ251" s="173"/>
      <c r="GVA251" s="173"/>
      <c r="GVB251" s="125"/>
      <c r="GVC251" s="125"/>
      <c r="GVD251" s="134"/>
      <c r="GVE251" s="135"/>
      <c r="GVF251" s="135"/>
      <c r="GVG251" s="135"/>
      <c r="GVH251" s="135"/>
      <c r="GVI251" s="173"/>
      <c r="GVJ251" s="173"/>
      <c r="GVK251" s="173"/>
      <c r="GVL251" s="173"/>
      <c r="GVM251" s="173"/>
      <c r="GVN251" s="173"/>
      <c r="GVO251" s="173"/>
      <c r="GVP251" s="173"/>
      <c r="GVQ251" s="173"/>
      <c r="GVR251" s="173"/>
      <c r="GVS251" s="125"/>
      <c r="GVT251" s="125"/>
      <c r="GVU251" s="134"/>
      <c r="GVV251" s="135"/>
      <c r="GVW251" s="135"/>
      <c r="GVX251" s="135"/>
      <c r="GVY251" s="135"/>
      <c r="GVZ251" s="173"/>
      <c r="GWA251" s="173"/>
      <c r="GWB251" s="173"/>
      <c r="GWC251" s="173"/>
      <c r="GWD251" s="173"/>
      <c r="GWE251" s="173"/>
      <c r="GWF251" s="173"/>
      <c r="GWG251" s="173"/>
      <c r="GWH251" s="173"/>
      <c r="GWI251" s="173"/>
      <c r="GWJ251" s="125"/>
      <c r="GWK251" s="125"/>
      <c r="GWL251" s="134"/>
      <c r="GWM251" s="135"/>
      <c r="GWN251" s="135"/>
      <c r="GWO251" s="135"/>
      <c r="GWP251" s="135"/>
      <c r="GWQ251" s="173"/>
      <c r="GWR251" s="173"/>
      <c r="GWS251" s="173"/>
      <c r="GWT251" s="173"/>
      <c r="GWU251" s="173"/>
      <c r="GWV251" s="173"/>
      <c r="GWW251" s="173"/>
      <c r="GWX251" s="173"/>
      <c r="GWY251" s="173"/>
      <c r="GWZ251" s="173"/>
      <c r="GXA251" s="125"/>
      <c r="GXB251" s="125"/>
      <c r="GXC251" s="134"/>
      <c r="GXD251" s="135"/>
      <c r="GXE251" s="135"/>
      <c r="GXF251" s="135"/>
      <c r="GXG251" s="135"/>
      <c r="GXH251" s="173"/>
      <c r="GXI251" s="173"/>
      <c r="GXJ251" s="173"/>
      <c r="GXK251" s="173"/>
      <c r="GXL251" s="173"/>
      <c r="GXM251" s="173"/>
      <c r="GXN251" s="173"/>
      <c r="GXO251" s="173"/>
      <c r="GXP251" s="173"/>
      <c r="GXQ251" s="173"/>
      <c r="GXR251" s="125"/>
      <c r="GXS251" s="125"/>
      <c r="GXT251" s="134"/>
      <c r="GXU251" s="135"/>
      <c r="GXV251" s="135"/>
      <c r="GXW251" s="135"/>
      <c r="GXX251" s="135"/>
      <c r="GXY251" s="173"/>
      <c r="GXZ251" s="173"/>
      <c r="GYA251" s="173"/>
      <c r="GYB251" s="173"/>
      <c r="GYC251" s="173"/>
      <c r="GYD251" s="173"/>
      <c r="GYE251" s="173"/>
      <c r="GYF251" s="173"/>
      <c r="GYG251" s="173"/>
      <c r="GYH251" s="173"/>
      <c r="GYI251" s="125"/>
      <c r="GYJ251" s="125"/>
      <c r="GYK251" s="134"/>
      <c r="GYL251" s="135"/>
      <c r="GYM251" s="135"/>
      <c r="GYN251" s="135"/>
      <c r="GYO251" s="135"/>
      <c r="GYP251" s="173"/>
      <c r="GYQ251" s="173"/>
      <c r="GYR251" s="173"/>
      <c r="GYS251" s="173"/>
      <c r="GYT251" s="173"/>
      <c r="GYU251" s="173"/>
      <c r="GYV251" s="173"/>
      <c r="GYW251" s="173"/>
      <c r="GYX251" s="173"/>
      <c r="GYY251" s="173"/>
      <c r="GYZ251" s="125"/>
      <c r="GZA251" s="125"/>
      <c r="GZB251" s="134"/>
      <c r="GZC251" s="135"/>
      <c r="GZD251" s="135"/>
      <c r="GZE251" s="135"/>
      <c r="GZF251" s="135"/>
      <c r="GZG251" s="173"/>
      <c r="GZH251" s="173"/>
      <c r="GZI251" s="173"/>
      <c r="GZJ251" s="173"/>
      <c r="GZK251" s="173"/>
      <c r="GZL251" s="173"/>
      <c r="GZM251" s="173"/>
      <c r="GZN251" s="173"/>
      <c r="GZO251" s="173"/>
      <c r="GZP251" s="173"/>
      <c r="GZQ251" s="125"/>
      <c r="GZR251" s="125"/>
      <c r="GZS251" s="134"/>
      <c r="GZT251" s="135"/>
      <c r="GZU251" s="135"/>
      <c r="GZV251" s="135"/>
      <c r="GZW251" s="135"/>
      <c r="GZX251" s="173"/>
      <c r="GZY251" s="173"/>
      <c r="GZZ251" s="173"/>
      <c r="HAA251" s="173"/>
      <c r="HAB251" s="173"/>
      <c r="HAC251" s="173"/>
      <c r="HAD251" s="173"/>
      <c r="HAE251" s="173"/>
      <c r="HAF251" s="173"/>
      <c r="HAG251" s="173"/>
      <c r="HAH251" s="125"/>
      <c r="HAI251" s="125"/>
      <c r="HAJ251" s="134"/>
      <c r="HAK251" s="135"/>
      <c r="HAL251" s="135"/>
      <c r="HAM251" s="135"/>
      <c r="HAN251" s="135"/>
      <c r="HAO251" s="173"/>
      <c r="HAP251" s="173"/>
      <c r="HAQ251" s="173"/>
      <c r="HAR251" s="173"/>
      <c r="HAS251" s="173"/>
      <c r="HAT251" s="173"/>
      <c r="HAU251" s="173"/>
      <c r="HAV251" s="173"/>
      <c r="HAW251" s="173"/>
      <c r="HAX251" s="173"/>
      <c r="HAY251" s="125"/>
      <c r="HAZ251" s="125"/>
      <c r="HBA251" s="134"/>
      <c r="HBB251" s="135"/>
      <c r="HBC251" s="135"/>
      <c r="HBD251" s="135"/>
      <c r="HBE251" s="135"/>
      <c r="HBF251" s="173"/>
      <c r="HBG251" s="173"/>
      <c r="HBH251" s="173"/>
      <c r="HBI251" s="173"/>
      <c r="HBJ251" s="173"/>
      <c r="HBK251" s="173"/>
      <c r="HBL251" s="173"/>
      <c r="HBM251" s="173"/>
      <c r="HBN251" s="173"/>
      <c r="HBO251" s="173"/>
      <c r="HBP251" s="125"/>
      <c r="HBQ251" s="125"/>
      <c r="HBR251" s="134"/>
      <c r="HBS251" s="135"/>
      <c r="HBT251" s="135"/>
      <c r="HBU251" s="135"/>
      <c r="HBV251" s="135"/>
      <c r="HBW251" s="173"/>
      <c r="HBX251" s="173"/>
      <c r="HBY251" s="173"/>
      <c r="HBZ251" s="173"/>
      <c r="HCA251" s="173"/>
      <c r="HCB251" s="173"/>
      <c r="HCC251" s="173"/>
      <c r="HCD251" s="173"/>
      <c r="HCE251" s="173"/>
      <c r="HCF251" s="173"/>
      <c r="HCG251" s="125"/>
      <c r="HCH251" s="125"/>
      <c r="HCI251" s="134"/>
      <c r="HCJ251" s="135"/>
      <c r="HCK251" s="135"/>
      <c r="HCL251" s="135"/>
      <c r="HCM251" s="135"/>
      <c r="HCN251" s="173"/>
      <c r="HCO251" s="173"/>
      <c r="HCP251" s="173"/>
      <c r="HCQ251" s="173"/>
      <c r="HCR251" s="173"/>
      <c r="HCS251" s="173"/>
      <c r="HCT251" s="173"/>
      <c r="HCU251" s="173"/>
      <c r="HCV251" s="173"/>
      <c r="HCW251" s="173"/>
      <c r="HCX251" s="125"/>
      <c r="HCY251" s="125"/>
      <c r="HCZ251" s="134"/>
      <c r="HDA251" s="135"/>
      <c r="HDB251" s="135"/>
      <c r="HDC251" s="135"/>
      <c r="HDD251" s="135"/>
      <c r="HDE251" s="173"/>
      <c r="HDF251" s="173"/>
      <c r="HDG251" s="173"/>
      <c r="HDH251" s="173"/>
      <c r="HDI251" s="173"/>
      <c r="HDJ251" s="173"/>
      <c r="HDK251" s="173"/>
      <c r="HDL251" s="173"/>
      <c r="HDM251" s="173"/>
      <c r="HDN251" s="173"/>
      <c r="HDO251" s="125"/>
      <c r="HDP251" s="125"/>
      <c r="HDQ251" s="134"/>
      <c r="HDR251" s="135"/>
      <c r="HDS251" s="135"/>
      <c r="HDT251" s="135"/>
      <c r="HDU251" s="135"/>
      <c r="HDV251" s="173"/>
      <c r="HDW251" s="173"/>
      <c r="HDX251" s="173"/>
      <c r="HDY251" s="173"/>
      <c r="HDZ251" s="173"/>
      <c r="HEA251" s="173"/>
      <c r="HEB251" s="173"/>
      <c r="HEC251" s="173"/>
      <c r="HED251" s="173"/>
      <c r="HEE251" s="173"/>
      <c r="HEF251" s="125"/>
      <c r="HEG251" s="125"/>
      <c r="HEH251" s="134"/>
      <c r="HEI251" s="135"/>
      <c r="HEJ251" s="135"/>
      <c r="HEK251" s="135"/>
      <c r="HEL251" s="135"/>
      <c r="HEM251" s="173"/>
      <c r="HEN251" s="173"/>
      <c r="HEO251" s="173"/>
      <c r="HEP251" s="173"/>
      <c r="HEQ251" s="173"/>
      <c r="HER251" s="173"/>
      <c r="HES251" s="173"/>
      <c r="HET251" s="173"/>
      <c r="HEU251" s="173"/>
      <c r="HEV251" s="173"/>
      <c r="HEW251" s="125"/>
      <c r="HEX251" s="125"/>
      <c r="HEY251" s="134"/>
      <c r="HEZ251" s="135"/>
      <c r="HFA251" s="135"/>
      <c r="HFB251" s="135"/>
      <c r="HFC251" s="135"/>
      <c r="HFD251" s="173"/>
      <c r="HFE251" s="173"/>
      <c r="HFF251" s="173"/>
      <c r="HFG251" s="173"/>
      <c r="HFH251" s="173"/>
      <c r="HFI251" s="173"/>
      <c r="HFJ251" s="173"/>
      <c r="HFK251" s="173"/>
      <c r="HFL251" s="173"/>
      <c r="HFM251" s="173"/>
      <c r="HFN251" s="125"/>
      <c r="HFO251" s="125"/>
      <c r="HFP251" s="134"/>
      <c r="HFQ251" s="135"/>
      <c r="HFR251" s="135"/>
      <c r="HFS251" s="135"/>
      <c r="HFT251" s="135"/>
      <c r="HFU251" s="173"/>
      <c r="HFV251" s="173"/>
      <c r="HFW251" s="173"/>
      <c r="HFX251" s="173"/>
      <c r="HFY251" s="173"/>
      <c r="HFZ251" s="173"/>
      <c r="HGA251" s="173"/>
      <c r="HGB251" s="173"/>
      <c r="HGC251" s="173"/>
      <c r="HGD251" s="173"/>
      <c r="HGE251" s="125"/>
      <c r="HGF251" s="125"/>
      <c r="HGG251" s="134"/>
      <c r="HGH251" s="135"/>
      <c r="HGI251" s="135"/>
      <c r="HGJ251" s="135"/>
      <c r="HGK251" s="135"/>
      <c r="HGL251" s="173"/>
      <c r="HGM251" s="173"/>
      <c r="HGN251" s="173"/>
      <c r="HGO251" s="173"/>
      <c r="HGP251" s="173"/>
      <c r="HGQ251" s="173"/>
      <c r="HGR251" s="173"/>
      <c r="HGS251" s="173"/>
      <c r="HGT251" s="173"/>
      <c r="HGU251" s="173"/>
      <c r="HGV251" s="125"/>
      <c r="HGW251" s="125"/>
      <c r="HGX251" s="134"/>
      <c r="HGY251" s="135"/>
      <c r="HGZ251" s="135"/>
      <c r="HHA251" s="135"/>
      <c r="HHB251" s="135"/>
      <c r="HHC251" s="173"/>
      <c r="HHD251" s="173"/>
      <c r="HHE251" s="173"/>
      <c r="HHF251" s="173"/>
      <c r="HHG251" s="173"/>
      <c r="HHH251" s="173"/>
      <c r="HHI251" s="173"/>
      <c r="HHJ251" s="173"/>
      <c r="HHK251" s="173"/>
      <c r="HHL251" s="173"/>
      <c r="HHM251" s="125"/>
      <c r="HHN251" s="125"/>
      <c r="HHO251" s="134"/>
      <c r="HHP251" s="135"/>
      <c r="HHQ251" s="135"/>
      <c r="HHR251" s="135"/>
      <c r="HHS251" s="135"/>
      <c r="HHT251" s="173"/>
      <c r="HHU251" s="173"/>
      <c r="HHV251" s="173"/>
      <c r="HHW251" s="173"/>
      <c r="HHX251" s="173"/>
      <c r="HHY251" s="173"/>
      <c r="HHZ251" s="173"/>
      <c r="HIA251" s="173"/>
      <c r="HIB251" s="173"/>
      <c r="HIC251" s="173"/>
      <c r="HID251" s="125"/>
      <c r="HIE251" s="125"/>
      <c r="HIF251" s="134"/>
      <c r="HIG251" s="135"/>
      <c r="HIH251" s="135"/>
      <c r="HII251" s="135"/>
      <c r="HIJ251" s="135"/>
      <c r="HIK251" s="173"/>
      <c r="HIL251" s="173"/>
      <c r="HIM251" s="173"/>
      <c r="HIN251" s="173"/>
      <c r="HIO251" s="173"/>
      <c r="HIP251" s="173"/>
      <c r="HIQ251" s="173"/>
      <c r="HIR251" s="173"/>
      <c r="HIS251" s="173"/>
      <c r="HIT251" s="173"/>
      <c r="HIU251" s="125"/>
      <c r="HIV251" s="125"/>
      <c r="HIW251" s="134"/>
      <c r="HIX251" s="135"/>
      <c r="HIY251" s="135"/>
      <c r="HIZ251" s="135"/>
      <c r="HJA251" s="135"/>
      <c r="HJB251" s="173"/>
      <c r="HJC251" s="173"/>
      <c r="HJD251" s="173"/>
      <c r="HJE251" s="173"/>
      <c r="HJF251" s="173"/>
      <c r="HJG251" s="173"/>
      <c r="HJH251" s="173"/>
      <c r="HJI251" s="173"/>
      <c r="HJJ251" s="173"/>
      <c r="HJK251" s="173"/>
      <c r="HJL251" s="125"/>
      <c r="HJM251" s="125"/>
      <c r="HJN251" s="134"/>
      <c r="HJO251" s="135"/>
      <c r="HJP251" s="135"/>
      <c r="HJQ251" s="135"/>
      <c r="HJR251" s="135"/>
      <c r="HJS251" s="173"/>
      <c r="HJT251" s="173"/>
      <c r="HJU251" s="173"/>
      <c r="HJV251" s="173"/>
      <c r="HJW251" s="173"/>
      <c r="HJX251" s="173"/>
      <c r="HJY251" s="173"/>
      <c r="HJZ251" s="173"/>
      <c r="HKA251" s="173"/>
      <c r="HKB251" s="173"/>
      <c r="HKC251" s="125"/>
      <c r="HKD251" s="125"/>
      <c r="HKE251" s="134"/>
      <c r="HKF251" s="135"/>
      <c r="HKG251" s="135"/>
      <c r="HKH251" s="135"/>
      <c r="HKI251" s="135"/>
      <c r="HKJ251" s="173"/>
      <c r="HKK251" s="173"/>
      <c r="HKL251" s="173"/>
      <c r="HKM251" s="173"/>
      <c r="HKN251" s="173"/>
      <c r="HKO251" s="173"/>
      <c r="HKP251" s="173"/>
      <c r="HKQ251" s="173"/>
      <c r="HKR251" s="173"/>
      <c r="HKS251" s="173"/>
      <c r="HKT251" s="125"/>
      <c r="HKU251" s="125"/>
      <c r="HKV251" s="134"/>
      <c r="HKW251" s="135"/>
      <c r="HKX251" s="135"/>
      <c r="HKY251" s="135"/>
      <c r="HKZ251" s="135"/>
      <c r="HLA251" s="173"/>
      <c r="HLB251" s="173"/>
      <c r="HLC251" s="173"/>
      <c r="HLD251" s="173"/>
      <c r="HLE251" s="173"/>
      <c r="HLF251" s="173"/>
      <c r="HLG251" s="173"/>
      <c r="HLH251" s="173"/>
      <c r="HLI251" s="173"/>
      <c r="HLJ251" s="173"/>
      <c r="HLK251" s="125"/>
      <c r="HLL251" s="125"/>
      <c r="HLM251" s="134"/>
      <c r="HLN251" s="135"/>
      <c r="HLO251" s="135"/>
      <c r="HLP251" s="135"/>
      <c r="HLQ251" s="135"/>
      <c r="HLR251" s="173"/>
      <c r="HLS251" s="173"/>
      <c r="HLT251" s="173"/>
      <c r="HLU251" s="173"/>
      <c r="HLV251" s="173"/>
      <c r="HLW251" s="173"/>
      <c r="HLX251" s="173"/>
      <c r="HLY251" s="173"/>
      <c r="HLZ251" s="173"/>
      <c r="HMA251" s="173"/>
      <c r="HMB251" s="125"/>
      <c r="HMC251" s="125"/>
      <c r="HMD251" s="134"/>
      <c r="HME251" s="135"/>
      <c r="HMF251" s="135"/>
      <c r="HMG251" s="135"/>
      <c r="HMH251" s="135"/>
      <c r="HMI251" s="173"/>
      <c r="HMJ251" s="173"/>
      <c r="HMK251" s="173"/>
      <c r="HML251" s="173"/>
      <c r="HMM251" s="173"/>
      <c r="HMN251" s="173"/>
      <c r="HMO251" s="173"/>
      <c r="HMP251" s="173"/>
      <c r="HMQ251" s="173"/>
      <c r="HMR251" s="173"/>
      <c r="HMS251" s="125"/>
      <c r="HMT251" s="125"/>
      <c r="HMU251" s="134"/>
      <c r="HMV251" s="135"/>
      <c r="HMW251" s="135"/>
      <c r="HMX251" s="135"/>
      <c r="HMY251" s="135"/>
      <c r="HMZ251" s="173"/>
      <c r="HNA251" s="173"/>
      <c r="HNB251" s="173"/>
      <c r="HNC251" s="173"/>
      <c r="HND251" s="173"/>
      <c r="HNE251" s="173"/>
      <c r="HNF251" s="173"/>
      <c r="HNG251" s="173"/>
      <c r="HNH251" s="173"/>
      <c r="HNI251" s="173"/>
      <c r="HNJ251" s="125"/>
      <c r="HNK251" s="125"/>
      <c r="HNL251" s="134"/>
      <c r="HNM251" s="135"/>
      <c r="HNN251" s="135"/>
      <c r="HNO251" s="135"/>
      <c r="HNP251" s="135"/>
      <c r="HNQ251" s="173"/>
      <c r="HNR251" s="173"/>
      <c r="HNS251" s="173"/>
      <c r="HNT251" s="173"/>
      <c r="HNU251" s="173"/>
      <c r="HNV251" s="173"/>
      <c r="HNW251" s="173"/>
      <c r="HNX251" s="173"/>
      <c r="HNY251" s="173"/>
      <c r="HNZ251" s="173"/>
      <c r="HOA251" s="125"/>
      <c r="HOB251" s="125"/>
      <c r="HOC251" s="134"/>
      <c r="HOD251" s="135"/>
      <c r="HOE251" s="135"/>
      <c r="HOF251" s="135"/>
      <c r="HOG251" s="135"/>
      <c r="HOH251" s="173"/>
      <c r="HOI251" s="173"/>
      <c r="HOJ251" s="173"/>
      <c r="HOK251" s="173"/>
      <c r="HOL251" s="173"/>
      <c r="HOM251" s="173"/>
      <c r="HON251" s="173"/>
      <c r="HOO251" s="173"/>
      <c r="HOP251" s="173"/>
      <c r="HOQ251" s="173"/>
      <c r="HOR251" s="125"/>
      <c r="HOS251" s="125"/>
      <c r="HOT251" s="134"/>
      <c r="HOU251" s="135"/>
      <c r="HOV251" s="135"/>
      <c r="HOW251" s="135"/>
      <c r="HOX251" s="135"/>
      <c r="HOY251" s="173"/>
      <c r="HOZ251" s="173"/>
      <c r="HPA251" s="173"/>
      <c r="HPB251" s="173"/>
      <c r="HPC251" s="173"/>
      <c r="HPD251" s="173"/>
      <c r="HPE251" s="173"/>
      <c r="HPF251" s="173"/>
      <c r="HPG251" s="173"/>
      <c r="HPH251" s="173"/>
      <c r="HPI251" s="125"/>
      <c r="HPJ251" s="125"/>
      <c r="HPK251" s="134"/>
      <c r="HPL251" s="135"/>
      <c r="HPM251" s="135"/>
      <c r="HPN251" s="135"/>
      <c r="HPO251" s="135"/>
      <c r="HPP251" s="173"/>
      <c r="HPQ251" s="173"/>
      <c r="HPR251" s="173"/>
      <c r="HPS251" s="173"/>
      <c r="HPT251" s="173"/>
      <c r="HPU251" s="173"/>
      <c r="HPV251" s="173"/>
      <c r="HPW251" s="173"/>
      <c r="HPX251" s="173"/>
      <c r="HPY251" s="173"/>
      <c r="HPZ251" s="125"/>
      <c r="HQA251" s="125"/>
      <c r="HQB251" s="134"/>
      <c r="HQC251" s="135"/>
      <c r="HQD251" s="135"/>
      <c r="HQE251" s="135"/>
      <c r="HQF251" s="135"/>
      <c r="HQG251" s="173"/>
      <c r="HQH251" s="173"/>
      <c r="HQI251" s="173"/>
      <c r="HQJ251" s="173"/>
      <c r="HQK251" s="173"/>
      <c r="HQL251" s="173"/>
      <c r="HQM251" s="173"/>
      <c r="HQN251" s="173"/>
      <c r="HQO251" s="173"/>
      <c r="HQP251" s="173"/>
      <c r="HQQ251" s="125"/>
      <c r="HQR251" s="125"/>
      <c r="HQS251" s="134"/>
      <c r="HQT251" s="135"/>
      <c r="HQU251" s="135"/>
      <c r="HQV251" s="135"/>
      <c r="HQW251" s="135"/>
      <c r="HQX251" s="173"/>
      <c r="HQY251" s="173"/>
      <c r="HQZ251" s="173"/>
      <c r="HRA251" s="173"/>
      <c r="HRB251" s="173"/>
      <c r="HRC251" s="173"/>
      <c r="HRD251" s="173"/>
      <c r="HRE251" s="173"/>
      <c r="HRF251" s="173"/>
      <c r="HRG251" s="173"/>
      <c r="HRH251" s="125"/>
      <c r="HRI251" s="125"/>
      <c r="HRJ251" s="134"/>
      <c r="HRK251" s="135"/>
      <c r="HRL251" s="135"/>
      <c r="HRM251" s="135"/>
      <c r="HRN251" s="135"/>
      <c r="HRO251" s="173"/>
      <c r="HRP251" s="173"/>
      <c r="HRQ251" s="173"/>
      <c r="HRR251" s="173"/>
      <c r="HRS251" s="173"/>
      <c r="HRT251" s="173"/>
      <c r="HRU251" s="173"/>
      <c r="HRV251" s="173"/>
      <c r="HRW251" s="173"/>
      <c r="HRX251" s="173"/>
      <c r="HRY251" s="125"/>
      <c r="HRZ251" s="125"/>
      <c r="HSA251" s="134"/>
      <c r="HSB251" s="135"/>
      <c r="HSC251" s="135"/>
      <c r="HSD251" s="135"/>
      <c r="HSE251" s="135"/>
      <c r="HSF251" s="173"/>
      <c r="HSG251" s="173"/>
      <c r="HSH251" s="173"/>
      <c r="HSI251" s="173"/>
      <c r="HSJ251" s="173"/>
      <c r="HSK251" s="173"/>
      <c r="HSL251" s="173"/>
      <c r="HSM251" s="173"/>
      <c r="HSN251" s="173"/>
      <c r="HSO251" s="173"/>
      <c r="HSP251" s="125"/>
      <c r="HSQ251" s="125"/>
      <c r="HSR251" s="134"/>
      <c r="HSS251" s="135"/>
      <c r="HST251" s="135"/>
      <c r="HSU251" s="135"/>
      <c r="HSV251" s="135"/>
      <c r="HSW251" s="173"/>
      <c r="HSX251" s="173"/>
      <c r="HSY251" s="173"/>
      <c r="HSZ251" s="173"/>
      <c r="HTA251" s="173"/>
      <c r="HTB251" s="173"/>
      <c r="HTC251" s="173"/>
      <c r="HTD251" s="173"/>
      <c r="HTE251" s="173"/>
      <c r="HTF251" s="173"/>
      <c r="HTG251" s="125"/>
      <c r="HTH251" s="125"/>
      <c r="HTI251" s="134"/>
      <c r="HTJ251" s="135"/>
      <c r="HTK251" s="135"/>
      <c r="HTL251" s="135"/>
      <c r="HTM251" s="135"/>
      <c r="HTN251" s="173"/>
      <c r="HTO251" s="173"/>
      <c r="HTP251" s="173"/>
      <c r="HTQ251" s="173"/>
      <c r="HTR251" s="173"/>
      <c r="HTS251" s="173"/>
      <c r="HTT251" s="173"/>
      <c r="HTU251" s="173"/>
      <c r="HTV251" s="173"/>
      <c r="HTW251" s="173"/>
      <c r="HTX251" s="125"/>
      <c r="HTY251" s="125"/>
      <c r="HTZ251" s="134"/>
      <c r="HUA251" s="135"/>
      <c r="HUB251" s="135"/>
      <c r="HUC251" s="135"/>
      <c r="HUD251" s="135"/>
      <c r="HUE251" s="173"/>
      <c r="HUF251" s="173"/>
      <c r="HUG251" s="173"/>
      <c r="HUH251" s="173"/>
      <c r="HUI251" s="173"/>
      <c r="HUJ251" s="173"/>
      <c r="HUK251" s="173"/>
      <c r="HUL251" s="173"/>
      <c r="HUM251" s="173"/>
      <c r="HUN251" s="173"/>
      <c r="HUO251" s="125"/>
      <c r="HUP251" s="125"/>
      <c r="HUQ251" s="134"/>
      <c r="HUR251" s="135"/>
      <c r="HUS251" s="135"/>
      <c r="HUT251" s="135"/>
      <c r="HUU251" s="135"/>
      <c r="HUV251" s="173"/>
      <c r="HUW251" s="173"/>
      <c r="HUX251" s="173"/>
      <c r="HUY251" s="173"/>
      <c r="HUZ251" s="173"/>
      <c r="HVA251" s="173"/>
      <c r="HVB251" s="173"/>
      <c r="HVC251" s="173"/>
      <c r="HVD251" s="173"/>
      <c r="HVE251" s="173"/>
      <c r="HVF251" s="125"/>
      <c r="HVG251" s="125"/>
      <c r="HVH251" s="134"/>
      <c r="HVI251" s="135"/>
      <c r="HVJ251" s="135"/>
      <c r="HVK251" s="135"/>
      <c r="HVL251" s="135"/>
      <c r="HVM251" s="173"/>
      <c r="HVN251" s="173"/>
      <c r="HVO251" s="173"/>
      <c r="HVP251" s="173"/>
      <c r="HVQ251" s="173"/>
      <c r="HVR251" s="173"/>
      <c r="HVS251" s="173"/>
      <c r="HVT251" s="173"/>
      <c r="HVU251" s="173"/>
      <c r="HVV251" s="173"/>
      <c r="HVW251" s="125"/>
      <c r="HVX251" s="125"/>
      <c r="HVY251" s="134"/>
      <c r="HVZ251" s="135"/>
      <c r="HWA251" s="135"/>
      <c r="HWB251" s="135"/>
      <c r="HWC251" s="135"/>
      <c r="HWD251" s="173"/>
      <c r="HWE251" s="173"/>
      <c r="HWF251" s="173"/>
      <c r="HWG251" s="173"/>
      <c r="HWH251" s="173"/>
      <c r="HWI251" s="173"/>
      <c r="HWJ251" s="173"/>
      <c r="HWK251" s="173"/>
      <c r="HWL251" s="173"/>
      <c r="HWM251" s="173"/>
      <c r="HWN251" s="125"/>
      <c r="HWO251" s="125"/>
      <c r="HWP251" s="134"/>
      <c r="HWQ251" s="135"/>
      <c r="HWR251" s="135"/>
      <c r="HWS251" s="135"/>
      <c r="HWT251" s="135"/>
      <c r="HWU251" s="173"/>
      <c r="HWV251" s="173"/>
      <c r="HWW251" s="173"/>
      <c r="HWX251" s="173"/>
      <c r="HWY251" s="173"/>
      <c r="HWZ251" s="173"/>
      <c r="HXA251" s="173"/>
      <c r="HXB251" s="173"/>
      <c r="HXC251" s="173"/>
      <c r="HXD251" s="173"/>
      <c r="HXE251" s="125"/>
      <c r="HXF251" s="125"/>
      <c r="HXG251" s="134"/>
      <c r="HXH251" s="135"/>
      <c r="HXI251" s="135"/>
      <c r="HXJ251" s="135"/>
      <c r="HXK251" s="135"/>
      <c r="HXL251" s="173"/>
      <c r="HXM251" s="173"/>
      <c r="HXN251" s="173"/>
      <c r="HXO251" s="173"/>
      <c r="HXP251" s="173"/>
      <c r="HXQ251" s="173"/>
      <c r="HXR251" s="173"/>
      <c r="HXS251" s="173"/>
      <c r="HXT251" s="173"/>
      <c r="HXU251" s="173"/>
      <c r="HXV251" s="125"/>
      <c r="HXW251" s="125"/>
      <c r="HXX251" s="134"/>
      <c r="HXY251" s="135"/>
      <c r="HXZ251" s="135"/>
      <c r="HYA251" s="135"/>
      <c r="HYB251" s="135"/>
      <c r="HYC251" s="173"/>
      <c r="HYD251" s="173"/>
      <c r="HYE251" s="173"/>
      <c r="HYF251" s="173"/>
      <c r="HYG251" s="173"/>
      <c r="HYH251" s="173"/>
      <c r="HYI251" s="173"/>
      <c r="HYJ251" s="173"/>
      <c r="HYK251" s="173"/>
      <c r="HYL251" s="173"/>
      <c r="HYM251" s="125"/>
      <c r="HYN251" s="125"/>
      <c r="HYO251" s="134"/>
      <c r="HYP251" s="135"/>
      <c r="HYQ251" s="135"/>
      <c r="HYR251" s="135"/>
      <c r="HYS251" s="135"/>
      <c r="HYT251" s="173"/>
      <c r="HYU251" s="173"/>
      <c r="HYV251" s="173"/>
      <c r="HYW251" s="173"/>
      <c r="HYX251" s="173"/>
      <c r="HYY251" s="173"/>
      <c r="HYZ251" s="173"/>
      <c r="HZA251" s="173"/>
      <c r="HZB251" s="173"/>
      <c r="HZC251" s="173"/>
      <c r="HZD251" s="125"/>
      <c r="HZE251" s="125"/>
      <c r="HZF251" s="134"/>
      <c r="HZG251" s="135"/>
      <c r="HZH251" s="135"/>
      <c r="HZI251" s="135"/>
      <c r="HZJ251" s="135"/>
      <c r="HZK251" s="173"/>
      <c r="HZL251" s="173"/>
      <c r="HZM251" s="173"/>
      <c r="HZN251" s="173"/>
      <c r="HZO251" s="173"/>
      <c r="HZP251" s="173"/>
      <c r="HZQ251" s="173"/>
      <c r="HZR251" s="173"/>
      <c r="HZS251" s="173"/>
      <c r="HZT251" s="173"/>
      <c r="HZU251" s="125"/>
      <c r="HZV251" s="125"/>
      <c r="HZW251" s="134"/>
      <c r="HZX251" s="135"/>
      <c r="HZY251" s="135"/>
      <c r="HZZ251" s="135"/>
      <c r="IAA251" s="135"/>
      <c r="IAB251" s="173"/>
      <c r="IAC251" s="173"/>
      <c r="IAD251" s="173"/>
      <c r="IAE251" s="173"/>
      <c r="IAF251" s="173"/>
      <c r="IAG251" s="173"/>
      <c r="IAH251" s="173"/>
      <c r="IAI251" s="173"/>
      <c r="IAJ251" s="173"/>
      <c r="IAK251" s="173"/>
      <c r="IAL251" s="125"/>
      <c r="IAM251" s="125"/>
      <c r="IAN251" s="134"/>
      <c r="IAO251" s="135"/>
      <c r="IAP251" s="135"/>
      <c r="IAQ251" s="135"/>
      <c r="IAR251" s="135"/>
      <c r="IAS251" s="173"/>
      <c r="IAT251" s="173"/>
      <c r="IAU251" s="173"/>
      <c r="IAV251" s="173"/>
      <c r="IAW251" s="173"/>
      <c r="IAX251" s="173"/>
      <c r="IAY251" s="173"/>
      <c r="IAZ251" s="173"/>
      <c r="IBA251" s="173"/>
      <c r="IBB251" s="173"/>
      <c r="IBC251" s="125"/>
      <c r="IBD251" s="125"/>
      <c r="IBE251" s="134"/>
      <c r="IBF251" s="135"/>
      <c r="IBG251" s="135"/>
      <c r="IBH251" s="135"/>
      <c r="IBI251" s="135"/>
      <c r="IBJ251" s="173"/>
      <c r="IBK251" s="173"/>
      <c r="IBL251" s="173"/>
      <c r="IBM251" s="173"/>
      <c r="IBN251" s="173"/>
      <c r="IBO251" s="173"/>
      <c r="IBP251" s="173"/>
      <c r="IBQ251" s="173"/>
      <c r="IBR251" s="173"/>
      <c r="IBS251" s="173"/>
      <c r="IBT251" s="125"/>
      <c r="IBU251" s="125"/>
      <c r="IBV251" s="134"/>
      <c r="IBW251" s="135"/>
      <c r="IBX251" s="135"/>
      <c r="IBY251" s="135"/>
      <c r="IBZ251" s="135"/>
      <c r="ICA251" s="173"/>
      <c r="ICB251" s="173"/>
      <c r="ICC251" s="173"/>
      <c r="ICD251" s="173"/>
      <c r="ICE251" s="173"/>
      <c r="ICF251" s="173"/>
      <c r="ICG251" s="173"/>
      <c r="ICH251" s="173"/>
      <c r="ICI251" s="173"/>
      <c r="ICJ251" s="173"/>
      <c r="ICK251" s="125"/>
      <c r="ICL251" s="125"/>
      <c r="ICM251" s="134"/>
      <c r="ICN251" s="135"/>
      <c r="ICO251" s="135"/>
      <c r="ICP251" s="135"/>
      <c r="ICQ251" s="135"/>
      <c r="ICR251" s="173"/>
      <c r="ICS251" s="173"/>
      <c r="ICT251" s="173"/>
      <c r="ICU251" s="173"/>
      <c r="ICV251" s="173"/>
      <c r="ICW251" s="173"/>
      <c r="ICX251" s="173"/>
      <c r="ICY251" s="173"/>
      <c r="ICZ251" s="173"/>
      <c r="IDA251" s="173"/>
      <c r="IDB251" s="125"/>
      <c r="IDC251" s="125"/>
      <c r="IDD251" s="134"/>
      <c r="IDE251" s="135"/>
      <c r="IDF251" s="135"/>
      <c r="IDG251" s="135"/>
      <c r="IDH251" s="135"/>
      <c r="IDI251" s="173"/>
      <c r="IDJ251" s="173"/>
      <c r="IDK251" s="173"/>
      <c r="IDL251" s="173"/>
      <c r="IDM251" s="173"/>
      <c r="IDN251" s="173"/>
      <c r="IDO251" s="173"/>
      <c r="IDP251" s="173"/>
      <c r="IDQ251" s="173"/>
      <c r="IDR251" s="173"/>
      <c r="IDS251" s="125"/>
      <c r="IDT251" s="125"/>
      <c r="IDU251" s="134"/>
      <c r="IDV251" s="135"/>
      <c r="IDW251" s="135"/>
      <c r="IDX251" s="135"/>
      <c r="IDY251" s="135"/>
      <c r="IDZ251" s="173"/>
      <c r="IEA251" s="173"/>
      <c r="IEB251" s="173"/>
      <c r="IEC251" s="173"/>
      <c r="IED251" s="173"/>
      <c r="IEE251" s="173"/>
      <c r="IEF251" s="173"/>
      <c r="IEG251" s="173"/>
      <c r="IEH251" s="173"/>
      <c r="IEI251" s="173"/>
      <c r="IEJ251" s="125"/>
      <c r="IEK251" s="125"/>
      <c r="IEL251" s="134"/>
      <c r="IEM251" s="135"/>
      <c r="IEN251" s="135"/>
      <c r="IEO251" s="135"/>
      <c r="IEP251" s="135"/>
      <c r="IEQ251" s="173"/>
      <c r="IER251" s="173"/>
      <c r="IES251" s="173"/>
      <c r="IET251" s="173"/>
      <c r="IEU251" s="173"/>
      <c r="IEV251" s="173"/>
      <c r="IEW251" s="173"/>
      <c r="IEX251" s="173"/>
      <c r="IEY251" s="173"/>
      <c r="IEZ251" s="173"/>
      <c r="IFA251" s="125"/>
      <c r="IFB251" s="125"/>
      <c r="IFC251" s="134"/>
      <c r="IFD251" s="135"/>
      <c r="IFE251" s="135"/>
      <c r="IFF251" s="135"/>
      <c r="IFG251" s="135"/>
      <c r="IFH251" s="173"/>
      <c r="IFI251" s="173"/>
      <c r="IFJ251" s="173"/>
      <c r="IFK251" s="173"/>
      <c r="IFL251" s="173"/>
      <c r="IFM251" s="173"/>
      <c r="IFN251" s="173"/>
      <c r="IFO251" s="173"/>
      <c r="IFP251" s="173"/>
      <c r="IFQ251" s="173"/>
      <c r="IFR251" s="125"/>
      <c r="IFS251" s="125"/>
      <c r="IFT251" s="134"/>
      <c r="IFU251" s="135"/>
      <c r="IFV251" s="135"/>
      <c r="IFW251" s="135"/>
      <c r="IFX251" s="135"/>
      <c r="IFY251" s="173"/>
      <c r="IFZ251" s="173"/>
      <c r="IGA251" s="173"/>
      <c r="IGB251" s="173"/>
      <c r="IGC251" s="173"/>
      <c r="IGD251" s="173"/>
      <c r="IGE251" s="173"/>
      <c r="IGF251" s="173"/>
      <c r="IGG251" s="173"/>
      <c r="IGH251" s="173"/>
      <c r="IGI251" s="125"/>
      <c r="IGJ251" s="125"/>
      <c r="IGK251" s="134"/>
      <c r="IGL251" s="135"/>
      <c r="IGM251" s="135"/>
      <c r="IGN251" s="135"/>
      <c r="IGO251" s="135"/>
      <c r="IGP251" s="173"/>
      <c r="IGQ251" s="173"/>
      <c r="IGR251" s="173"/>
      <c r="IGS251" s="173"/>
      <c r="IGT251" s="173"/>
      <c r="IGU251" s="173"/>
      <c r="IGV251" s="173"/>
      <c r="IGW251" s="173"/>
      <c r="IGX251" s="173"/>
      <c r="IGY251" s="173"/>
      <c r="IGZ251" s="125"/>
      <c r="IHA251" s="125"/>
      <c r="IHB251" s="134"/>
      <c r="IHC251" s="135"/>
      <c r="IHD251" s="135"/>
      <c r="IHE251" s="135"/>
      <c r="IHF251" s="135"/>
      <c r="IHG251" s="173"/>
      <c r="IHH251" s="173"/>
      <c r="IHI251" s="173"/>
      <c r="IHJ251" s="173"/>
      <c r="IHK251" s="173"/>
      <c r="IHL251" s="173"/>
      <c r="IHM251" s="173"/>
      <c r="IHN251" s="173"/>
      <c r="IHO251" s="173"/>
      <c r="IHP251" s="173"/>
      <c r="IHQ251" s="125"/>
      <c r="IHR251" s="125"/>
      <c r="IHS251" s="134"/>
      <c r="IHT251" s="135"/>
      <c r="IHU251" s="135"/>
      <c r="IHV251" s="135"/>
      <c r="IHW251" s="135"/>
      <c r="IHX251" s="173"/>
      <c r="IHY251" s="173"/>
      <c r="IHZ251" s="173"/>
      <c r="IIA251" s="173"/>
      <c r="IIB251" s="173"/>
      <c r="IIC251" s="173"/>
      <c r="IID251" s="173"/>
      <c r="IIE251" s="173"/>
      <c r="IIF251" s="173"/>
      <c r="IIG251" s="173"/>
      <c r="IIH251" s="125"/>
      <c r="III251" s="125"/>
      <c r="IIJ251" s="134"/>
      <c r="IIK251" s="135"/>
      <c r="IIL251" s="135"/>
      <c r="IIM251" s="135"/>
      <c r="IIN251" s="135"/>
      <c r="IIO251" s="173"/>
      <c r="IIP251" s="173"/>
      <c r="IIQ251" s="173"/>
      <c r="IIR251" s="173"/>
      <c r="IIS251" s="173"/>
      <c r="IIT251" s="173"/>
      <c r="IIU251" s="173"/>
      <c r="IIV251" s="173"/>
      <c r="IIW251" s="173"/>
      <c r="IIX251" s="173"/>
      <c r="IIY251" s="125"/>
      <c r="IIZ251" s="125"/>
      <c r="IJA251" s="134"/>
      <c r="IJB251" s="135"/>
      <c r="IJC251" s="135"/>
      <c r="IJD251" s="135"/>
      <c r="IJE251" s="135"/>
      <c r="IJF251" s="173"/>
      <c r="IJG251" s="173"/>
      <c r="IJH251" s="173"/>
      <c r="IJI251" s="173"/>
      <c r="IJJ251" s="173"/>
      <c r="IJK251" s="173"/>
      <c r="IJL251" s="173"/>
      <c r="IJM251" s="173"/>
      <c r="IJN251" s="173"/>
      <c r="IJO251" s="173"/>
      <c r="IJP251" s="125"/>
      <c r="IJQ251" s="125"/>
      <c r="IJR251" s="134"/>
      <c r="IJS251" s="135"/>
      <c r="IJT251" s="135"/>
      <c r="IJU251" s="135"/>
      <c r="IJV251" s="135"/>
      <c r="IJW251" s="173"/>
      <c r="IJX251" s="173"/>
      <c r="IJY251" s="173"/>
      <c r="IJZ251" s="173"/>
      <c r="IKA251" s="173"/>
      <c r="IKB251" s="173"/>
      <c r="IKC251" s="173"/>
      <c r="IKD251" s="173"/>
      <c r="IKE251" s="173"/>
      <c r="IKF251" s="173"/>
      <c r="IKG251" s="125"/>
      <c r="IKH251" s="125"/>
      <c r="IKI251" s="134"/>
      <c r="IKJ251" s="135"/>
      <c r="IKK251" s="135"/>
      <c r="IKL251" s="135"/>
      <c r="IKM251" s="135"/>
      <c r="IKN251" s="173"/>
      <c r="IKO251" s="173"/>
      <c r="IKP251" s="173"/>
      <c r="IKQ251" s="173"/>
      <c r="IKR251" s="173"/>
      <c r="IKS251" s="173"/>
      <c r="IKT251" s="173"/>
      <c r="IKU251" s="173"/>
      <c r="IKV251" s="173"/>
      <c r="IKW251" s="173"/>
      <c r="IKX251" s="125"/>
      <c r="IKY251" s="125"/>
      <c r="IKZ251" s="134"/>
      <c r="ILA251" s="135"/>
      <c r="ILB251" s="135"/>
      <c r="ILC251" s="135"/>
      <c r="ILD251" s="135"/>
      <c r="ILE251" s="173"/>
      <c r="ILF251" s="173"/>
      <c r="ILG251" s="173"/>
      <c r="ILH251" s="173"/>
      <c r="ILI251" s="173"/>
      <c r="ILJ251" s="173"/>
      <c r="ILK251" s="173"/>
      <c r="ILL251" s="173"/>
      <c r="ILM251" s="173"/>
      <c r="ILN251" s="173"/>
      <c r="ILO251" s="125"/>
      <c r="ILP251" s="125"/>
      <c r="ILQ251" s="134"/>
      <c r="ILR251" s="135"/>
      <c r="ILS251" s="135"/>
      <c r="ILT251" s="135"/>
      <c r="ILU251" s="135"/>
      <c r="ILV251" s="173"/>
      <c r="ILW251" s="173"/>
      <c r="ILX251" s="173"/>
      <c r="ILY251" s="173"/>
      <c r="ILZ251" s="173"/>
      <c r="IMA251" s="173"/>
      <c r="IMB251" s="173"/>
      <c r="IMC251" s="173"/>
      <c r="IMD251" s="173"/>
      <c r="IME251" s="173"/>
      <c r="IMF251" s="125"/>
      <c r="IMG251" s="125"/>
      <c r="IMH251" s="134"/>
      <c r="IMI251" s="135"/>
      <c r="IMJ251" s="135"/>
      <c r="IMK251" s="135"/>
      <c r="IML251" s="135"/>
      <c r="IMM251" s="173"/>
      <c r="IMN251" s="173"/>
      <c r="IMO251" s="173"/>
      <c r="IMP251" s="173"/>
      <c r="IMQ251" s="173"/>
      <c r="IMR251" s="173"/>
      <c r="IMS251" s="173"/>
      <c r="IMT251" s="173"/>
      <c r="IMU251" s="173"/>
      <c r="IMV251" s="173"/>
      <c r="IMW251" s="125"/>
      <c r="IMX251" s="125"/>
      <c r="IMY251" s="134"/>
      <c r="IMZ251" s="135"/>
      <c r="INA251" s="135"/>
      <c r="INB251" s="135"/>
      <c r="INC251" s="135"/>
      <c r="IND251" s="173"/>
      <c r="INE251" s="173"/>
      <c r="INF251" s="173"/>
      <c r="ING251" s="173"/>
      <c r="INH251" s="173"/>
      <c r="INI251" s="173"/>
      <c r="INJ251" s="173"/>
      <c r="INK251" s="173"/>
      <c r="INL251" s="173"/>
      <c r="INM251" s="173"/>
      <c r="INN251" s="125"/>
      <c r="INO251" s="125"/>
      <c r="INP251" s="134"/>
      <c r="INQ251" s="135"/>
      <c r="INR251" s="135"/>
      <c r="INS251" s="135"/>
      <c r="INT251" s="135"/>
      <c r="INU251" s="173"/>
      <c r="INV251" s="173"/>
      <c r="INW251" s="173"/>
      <c r="INX251" s="173"/>
      <c r="INY251" s="173"/>
      <c r="INZ251" s="173"/>
      <c r="IOA251" s="173"/>
      <c r="IOB251" s="173"/>
      <c r="IOC251" s="173"/>
      <c r="IOD251" s="173"/>
      <c r="IOE251" s="125"/>
      <c r="IOF251" s="125"/>
      <c r="IOG251" s="134"/>
      <c r="IOH251" s="135"/>
      <c r="IOI251" s="135"/>
      <c r="IOJ251" s="135"/>
      <c r="IOK251" s="135"/>
      <c r="IOL251" s="173"/>
      <c r="IOM251" s="173"/>
      <c r="ION251" s="173"/>
      <c r="IOO251" s="173"/>
      <c r="IOP251" s="173"/>
      <c r="IOQ251" s="173"/>
      <c r="IOR251" s="173"/>
      <c r="IOS251" s="173"/>
      <c r="IOT251" s="173"/>
      <c r="IOU251" s="173"/>
      <c r="IOV251" s="125"/>
      <c r="IOW251" s="125"/>
      <c r="IOX251" s="134"/>
      <c r="IOY251" s="135"/>
      <c r="IOZ251" s="135"/>
      <c r="IPA251" s="135"/>
      <c r="IPB251" s="135"/>
      <c r="IPC251" s="173"/>
      <c r="IPD251" s="173"/>
      <c r="IPE251" s="173"/>
      <c r="IPF251" s="173"/>
      <c r="IPG251" s="173"/>
      <c r="IPH251" s="173"/>
      <c r="IPI251" s="173"/>
      <c r="IPJ251" s="173"/>
      <c r="IPK251" s="173"/>
      <c r="IPL251" s="173"/>
      <c r="IPM251" s="125"/>
      <c r="IPN251" s="125"/>
      <c r="IPO251" s="134"/>
      <c r="IPP251" s="135"/>
      <c r="IPQ251" s="135"/>
      <c r="IPR251" s="135"/>
      <c r="IPS251" s="135"/>
      <c r="IPT251" s="173"/>
      <c r="IPU251" s="173"/>
      <c r="IPV251" s="173"/>
      <c r="IPW251" s="173"/>
      <c r="IPX251" s="173"/>
      <c r="IPY251" s="173"/>
      <c r="IPZ251" s="173"/>
      <c r="IQA251" s="173"/>
      <c r="IQB251" s="173"/>
      <c r="IQC251" s="173"/>
      <c r="IQD251" s="125"/>
      <c r="IQE251" s="125"/>
      <c r="IQF251" s="134"/>
      <c r="IQG251" s="135"/>
      <c r="IQH251" s="135"/>
      <c r="IQI251" s="135"/>
      <c r="IQJ251" s="135"/>
      <c r="IQK251" s="173"/>
      <c r="IQL251" s="173"/>
      <c r="IQM251" s="173"/>
      <c r="IQN251" s="173"/>
      <c r="IQO251" s="173"/>
      <c r="IQP251" s="173"/>
      <c r="IQQ251" s="173"/>
      <c r="IQR251" s="173"/>
      <c r="IQS251" s="173"/>
      <c r="IQT251" s="173"/>
      <c r="IQU251" s="125"/>
      <c r="IQV251" s="125"/>
      <c r="IQW251" s="134"/>
      <c r="IQX251" s="135"/>
      <c r="IQY251" s="135"/>
      <c r="IQZ251" s="135"/>
      <c r="IRA251" s="135"/>
      <c r="IRB251" s="173"/>
      <c r="IRC251" s="173"/>
      <c r="IRD251" s="173"/>
      <c r="IRE251" s="173"/>
      <c r="IRF251" s="173"/>
      <c r="IRG251" s="173"/>
      <c r="IRH251" s="173"/>
      <c r="IRI251" s="173"/>
      <c r="IRJ251" s="173"/>
      <c r="IRK251" s="173"/>
      <c r="IRL251" s="125"/>
      <c r="IRM251" s="125"/>
      <c r="IRN251" s="134"/>
      <c r="IRO251" s="135"/>
      <c r="IRP251" s="135"/>
      <c r="IRQ251" s="135"/>
      <c r="IRR251" s="135"/>
      <c r="IRS251" s="173"/>
      <c r="IRT251" s="173"/>
      <c r="IRU251" s="173"/>
      <c r="IRV251" s="173"/>
      <c r="IRW251" s="173"/>
      <c r="IRX251" s="173"/>
      <c r="IRY251" s="173"/>
      <c r="IRZ251" s="173"/>
      <c r="ISA251" s="173"/>
      <c r="ISB251" s="173"/>
      <c r="ISC251" s="125"/>
      <c r="ISD251" s="125"/>
      <c r="ISE251" s="134"/>
      <c r="ISF251" s="135"/>
      <c r="ISG251" s="135"/>
      <c r="ISH251" s="135"/>
      <c r="ISI251" s="135"/>
      <c r="ISJ251" s="173"/>
      <c r="ISK251" s="173"/>
      <c r="ISL251" s="173"/>
      <c r="ISM251" s="173"/>
      <c r="ISN251" s="173"/>
      <c r="ISO251" s="173"/>
      <c r="ISP251" s="173"/>
      <c r="ISQ251" s="173"/>
      <c r="ISR251" s="173"/>
      <c r="ISS251" s="173"/>
      <c r="IST251" s="125"/>
      <c r="ISU251" s="125"/>
      <c r="ISV251" s="134"/>
      <c r="ISW251" s="135"/>
      <c r="ISX251" s="135"/>
      <c r="ISY251" s="135"/>
      <c r="ISZ251" s="135"/>
      <c r="ITA251" s="173"/>
      <c r="ITB251" s="173"/>
      <c r="ITC251" s="173"/>
      <c r="ITD251" s="173"/>
      <c r="ITE251" s="173"/>
      <c r="ITF251" s="173"/>
      <c r="ITG251" s="173"/>
      <c r="ITH251" s="173"/>
      <c r="ITI251" s="173"/>
      <c r="ITJ251" s="173"/>
      <c r="ITK251" s="125"/>
      <c r="ITL251" s="125"/>
      <c r="ITM251" s="134"/>
      <c r="ITN251" s="135"/>
      <c r="ITO251" s="135"/>
      <c r="ITP251" s="135"/>
      <c r="ITQ251" s="135"/>
      <c r="ITR251" s="173"/>
      <c r="ITS251" s="173"/>
      <c r="ITT251" s="173"/>
      <c r="ITU251" s="173"/>
      <c r="ITV251" s="173"/>
      <c r="ITW251" s="173"/>
      <c r="ITX251" s="173"/>
      <c r="ITY251" s="173"/>
      <c r="ITZ251" s="173"/>
      <c r="IUA251" s="173"/>
      <c r="IUB251" s="125"/>
      <c r="IUC251" s="125"/>
      <c r="IUD251" s="134"/>
      <c r="IUE251" s="135"/>
      <c r="IUF251" s="135"/>
      <c r="IUG251" s="135"/>
      <c r="IUH251" s="135"/>
      <c r="IUI251" s="173"/>
      <c r="IUJ251" s="173"/>
      <c r="IUK251" s="173"/>
      <c r="IUL251" s="173"/>
      <c r="IUM251" s="173"/>
      <c r="IUN251" s="173"/>
      <c r="IUO251" s="173"/>
      <c r="IUP251" s="173"/>
      <c r="IUQ251" s="173"/>
      <c r="IUR251" s="173"/>
      <c r="IUS251" s="125"/>
      <c r="IUT251" s="125"/>
      <c r="IUU251" s="134"/>
      <c r="IUV251" s="135"/>
      <c r="IUW251" s="135"/>
      <c r="IUX251" s="135"/>
      <c r="IUY251" s="135"/>
      <c r="IUZ251" s="173"/>
      <c r="IVA251" s="173"/>
      <c r="IVB251" s="173"/>
      <c r="IVC251" s="173"/>
      <c r="IVD251" s="173"/>
      <c r="IVE251" s="173"/>
      <c r="IVF251" s="173"/>
      <c r="IVG251" s="173"/>
      <c r="IVH251" s="173"/>
      <c r="IVI251" s="173"/>
      <c r="IVJ251" s="125"/>
      <c r="IVK251" s="125"/>
      <c r="IVL251" s="134"/>
      <c r="IVM251" s="135"/>
      <c r="IVN251" s="135"/>
      <c r="IVO251" s="135"/>
      <c r="IVP251" s="135"/>
      <c r="IVQ251" s="173"/>
      <c r="IVR251" s="173"/>
      <c r="IVS251" s="173"/>
      <c r="IVT251" s="173"/>
      <c r="IVU251" s="173"/>
      <c r="IVV251" s="173"/>
      <c r="IVW251" s="173"/>
      <c r="IVX251" s="173"/>
      <c r="IVY251" s="173"/>
      <c r="IVZ251" s="173"/>
      <c r="IWA251" s="125"/>
      <c r="IWB251" s="125"/>
      <c r="IWC251" s="134"/>
      <c r="IWD251" s="135"/>
      <c r="IWE251" s="135"/>
      <c r="IWF251" s="135"/>
      <c r="IWG251" s="135"/>
      <c r="IWH251" s="173"/>
      <c r="IWI251" s="173"/>
      <c r="IWJ251" s="173"/>
      <c r="IWK251" s="173"/>
      <c r="IWL251" s="173"/>
      <c r="IWM251" s="173"/>
      <c r="IWN251" s="173"/>
      <c r="IWO251" s="173"/>
      <c r="IWP251" s="173"/>
      <c r="IWQ251" s="173"/>
      <c r="IWR251" s="125"/>
      <c r="IWS251" s="125"/>
      <c r="IWT251" s="134"/>
      <c r="IWU251" s="135"/>
      <c r="IWV251" s="135"/>
      <c r="IWW251" s="135"/>
      <c r="IWX251" s="135"/>
      <c r="IWY251" s="173"/>
      <c r="IWZ251" s="173"/>
      <c r="IXA251" s="173"/>
      <c r="IXB251" s="173"/>
      <c r="IXC251" s="173"/>
      <c r="IXD251" s="173"/>
      <c r="IXE251" s="173"/>
      <c r="IXF251" s="173"/>
      <c r="IXG251" s="173"/>
      <c r="IXH251" s="173"/>
      <c r="IXI251" s="125"/>
      <c r="IXJ251" s="125"/>
      <c r="IXK251" s="134"/>
      <c r="IXL251" s="135"/>
      <c r="IXM251" s="135"/>
      <c r="IXN251" s="135"/>
      <c r="IXO251" s="135"/>
      <c r="IXP251" s="173"/>
      <c r="IXQ251" s="173"/>
      <c r="IXR251" s="173"/>
      <c r="IXS251" s="173"/>
      <c r="IXT251" s="173"/>
      <c r="IXU251" s="173"/>
      <c r="IXV251" s="173"/>
      <c r="IXW251" s="173"/>
      <c r="IXX251" s="173"/>
      <c r="IXY251" s="173"/>
      <c r="IXZ251" s="125"/>
      <c r="IYA251" s="125"/>
      <c r="IYB251" s="134"/>
      <c r="IYC251" s="135"/>
      <c r="IYD251" s="135"/>
      <c r="IYE251" s="135"/>
      <c r="IYF251" s="135"/>
      <c r="IYG251" s="173"/>
      <c r="IYH251" s="173"/>
      <c r="IYI251" s="173"/>
      <c r="IYJ251" s="173"/>
      <c r="IYK251" s="173"/>
      <c r="IYL251" s="173"/>
      <c r="IYM251" s="173"/>
      <c r="IYN251" s="173"/>
      <c r="IYO251" s="173"/>
      <c r="IYP251" s="173"/>
      <c r="IYQ251" s="125"/>
      <c r="IYR251" s="125"/>
      <c r="IYS251" s="134"/>
      <c r="IYT251" s="135"/>
      <c r="IYU251" s="135"/>
      <c r="IYV251" s="135"/>
      <c r="IYW251" s="135"/>
      <c r="IYX251" s="173"/>
      <c r="IYY251" s="173"/>
      <c r="IYZ251" s="173"/>
      <c r="IZA251" s="173"/>
      <c r="IZB251" s="173"/>
      <c r="IZC251" s="173"/>
      <c r="IZD251" s="173"/>
      <c r="IZE251" s="173"/>
      <c r="IZF251" s="173"/>
      <c r="IZG251" s="173"/>
      <c r="IZH251" s="125"/>
      <c r="IZI251" s="125"/>
      <c r="IZJ251" s="134"/>
      <c r="IZK251" s="135"/>
      <c r="IZL251" s="135"/>
      <c r="IZM251" s="135"/>
      <c r="IZN251" s="135"/>
      <c r="IZO251" s="173"/>
      <c r="IZP251" s="173"/>
      <c r="IZQ251" s="173"/>
      <c r="IZR251" s="173"/>
      <c r="IZS251" s="173"/>
      <c r="IZT251" s="173"/>
      <c r="IZU251" s="173"/>
      <c r="IZV251" s="173"/>
      <c r="IZW251" s="173"/>
      <c r="IZX251" s="173"/>
      <c r="IZY251" s="125"/>
      <c r="IZZ251" s="125"/>
      <c r="JAA251" s="134"/>
      <c r="JAB251" s="135"/>
      <c r="JAC251" s="135"/>
      <c r="JAD251" s="135"/>
      <c r="JAE251" s="135"/>
      <c r="JAF251" s="173"/>
      <c r="JAG251" s="173"/>
      <c r="JAH251" s="173"/>
      <c r="JAI251" s="173"/>
      <c r="JAJ251" s="173"/>
      <c r="JAK251" s="173"/>
      <c r="JAL251" s="173"/>
      <c r="JAM251" s="173"/>
      <c r="JAN251" s="173"/>
      <c r="JAO251" s="173"/>
      <c r="JAP251" s="125"/>
      <c r="JAQ251" s="125"/>
      <c r="JAR251" s="134"/>
      <c r="JAS251" s="135"/>
      <c r="JAT251" s="135"/>
      <c r="JAU251" s="135"/>
      <c r="JAV251" s="135"/>
      <c r="JAW251" s="173"/>
      <c r="JAX251" s="173"/>
      <c r="JAY251" s="173"/>
      <c r="JAZ251" s="173"/>
      <c r="JBA251" s="173"/>
      <c r="JBB251" s="173"/>
      <c r="JBC251" s="173"/>
      <c r="JBD251" s="173"/>
      <c r="JBE251" s="173"/>
      <c r="JBF251" s="173"/>
      <c r="JBG251" s="125"/>
      <c r="JBH251" s="125"/>
      <c r="JBI251" s="134"/>
      <c r="JBJ251" s="135"/>
      <c r="JBK251" s="135"/>
      <c r="JBL251" s="135"/>
      <c r="JBM251" s="135"/>
      <c r="JBN251" s="173"/>
      <c r="JBO251" s="173"/>
      <c r="JBP251" s="173"/>
      <c r="JBQ251" s="173"/>
      <c r="JBR251" s="173"/>
      <c r="JBS251" s="173"/>
      <c r="JBT251" s="173"/>
      <c r="JBU251" s="173"/>
      <c r="JBV251" s="173"/>
      <c r="JBW251" s="173"/>
      <c r="JBX251" s="125"/>
      <c r="JBY251" s="125"/>
      <c r="JBZ251" s="134"/>
      <c r="JCA251" s="135"/>
      <c r="JCB251" s="135"/>
      <c r="JCC251" s="135"/>
      <c r="JCD251" s="135"/>
      <c r="JCE251" s="173"/>
      <c r="JCF251" s="173"/>
      <c r="JCG251" s="173"/>
      <c r="JCH251" s="173"/>
      <c r="JCI251" s="173"/>
      <c r="JCJ251" s="173"/>
      <c r="JCK251" s="173"/>
      <c r="JCL251" s="173"/>
      <c r="JCM251" s="173"/>
      <c r="JCN251" s="173"/>
      <c r="JCO251" s="125"/>
      <c r="JCP251" s="125"/>
      <c r="JCQ251" s="134"/>
      <c r="JCR251" s="135"/>
      <c r="JCS251" s="135"/>
      <c r="JCT251" s="135"/>
      <c r="JCU251" s="135"/>
      <c r="JCV251" s="173"/>
      <c r="JCW251" s="173"/>
      <c r="JCX251" s="173"/>
      <c r="JCY251" s="173"/>
      <c r="JCZ251" s="173"/>
      <c r="JDA251" s="173"/>
      <c r="JDB251" s="173"/>
      <c r="JDC251" s="173"/>
      <c r="JDD251" s="173"/>
      <c r="JDE251" s="173"/>
      <c r="JDF251" s="125"/>
      <c r="JDG251" s="125"/>
      <c r="JDH251" s="134"/>
      <c r="JDI251" s="135"/>
      <c r="JDJ251" s="135"/>
      <c r="JDK251" s="135"/>
      <c r="JDL251" s="135"/>
      <c r="JDM251" s="173"/>
      <c r="JDN251" s="173"/>
      <c r="JDO251" s="173"/>
      <c r="JDP251" s="173"/>
      <c r="JDQ251" s="173"/>
      <c r="JDR251" s="173"/>
      <c r="JDS251" s="173"/>
      <c r="JDT251" s="173"/>
      <c r="JDU251" s="173"/>
      <c r="JDV251" s="173"/>
      <c r="JDW251" s="125"/>
      <c r="JDX251" s="125"/>
      <c r="JDY251" s="134"/>
      <c r="JDZ251" s="135"/>
      <c r="JEA251" s="135"/>
      <c r="JEB251" s="135"/>
      <c r="JEC251" s="135"/>
      <c r="JED251" s="173"/>
      <c r="JEE251" s="173"/>
      <c r="JEF251" s="173"/>
      <c r="JEG251" s="173"/>
      <c r="JEH251" s="173"/>
      <c r="JEI251" s="173"/>
      <c r="JEJ251" s="173"/>
      <c r="JEK251" s="173"/>
      <c r="JEL251" s="173"/>
      <c r="JEM251" s="173"/>
      <c r="JEN251" s="125"/>
      <c r="JEO251" s="125"/>
      <c r="JEP251" s="134"/>
      <c r="JEQ251" s="135"/>
      <c r="JER251" s="135"/>
      <c r="JES251" s="135"/>
      <c r="JET251" s="135"/>
      <c r="JEU251" s="173"/>
      <c r="JEV251" s="173"/>
      <c r="JEW251" s="173"/>
      <c r="JEX251" s="173"/>
      <c r="JEY251" s="173"/>
      <c r="JEZ251" s="173"/>
      <c r="JFA251" s="173"/>
      <c r="JFB251" s="173"/>
      <c r="JFC251" s="173"/>
      <c r="JFD251" s="173"/>
      <c r="JFE251" s="125"/>
      <c r="JFF251" s="125"/>
      <c r="JFG251" s="134"/>
      <c r="JFH251" s="135"/>
      <c r="JFI251" s="135"/>
      <c r="JFJ251" s="135"/>
      <c r="JFK251" s="135"/>
      <c r="JFL251" s="173"/>
      <c r="JFM251" s="173"/>
      <c r="JFN251" s="173"/>
      <c r="JFO251" s="173"/>
      <c r="JFP251" s="173"/>
      <c r="JFQ251" s="173"/>
      <c r="JFR251" s="173"/>
      <c r="JFS251" s="173"/>
      <c r="JFT251" s="173"/>
      <c r="JFU251" s="173"/>
      <c r="JFV251" s="125"/>
      <c r="JFW251" s="125"/>
      <c r="JFX251" s="134"/>
      <c r="JFY251" s="135"/>
      <c r="JFZ251" s="135"/>
      <c r="JGA251" s="135"/>
      <c r="JGB251" s="135"/>
      <c r="JGC251" s="173"/>
      <c r="JGD251" s="173"/>
      <c r="JGE251" s="173"/>
      <c r="JGF251" s="173"/>
      <c r="JGG251" s="173"/>
      <c r="JGH251" s="173"/>
      <c r="JGI251" s="173"/>
      <c r="JGJ251" s="173"/>
      <c r="JGK251" s="173"/>
      <c r="JGL251" s="173"/>
      <c r="JGM251" s="125"/>
      <c r="JGN251" s="125"/>
      <c r="JGO251" s="134"/>
      <c r="JGP251" s="135"/>
      <c r="JGQ251" s="135"/>
      <c r="JGR251" s="135"/>
      <c r="JGS251" s="135"/>
      <c r="JGT251" s="173"/>
      <c r="JGU251" s="173"/>
      <c r="JGV251" s="173"/>
      <c r="JGW251" s="173"/>
      <c r="JGX251" s="173"/>
      <c r="JGY251" s="173"/>
      <c r="JGZ251" s="173"/>
      <c r="JHA251" s="173"/>
      <c r="JHB251" s="173"/>
      <c r="JHC251" s="173"/>
      <c r="JHD251" s="125"/>
      <c r="JHE251" s="125"/>
      <c r="JHF251" s="134"/>
      <c r="JHG251" s="135"/>
      <c r="JHH251" s="135"/>
      <c r="JHI251" s="135"/>
      <c r="JHJ251" s="135"/>
      <c r="JHK251" s="173"/>
      <c r="JHL251" s="173"/>
      <c r="JHM251" s="173"/>
      <c r="JHN251" s="173"/>
      <c r="JHO251" s="173"/>
      <c r="JHP251" s="173"/>
      <c r="JHQ251" s="173"/>
      <c r="JHR251" s="173"/>
      <c r="JHS251" s="173"/>
      <c r="JHT251" s="173"/>
      <c r="JHU251" s="125"/>
      <c r="JHV251" s="125"/>
      <c r="JHW251" s="134"/>
      <c r="JHX251" s="135"/>
      <c r="JHY251" s="135"/>
      <c r="JHZ251" s="135"/>
      <c r="JIA251" s="135"/>
      <c r="JIB251" s="173"/>
      <c r="JIC251" s="173"/>
      <c r="JID251" s="173"/>
      <c r="JIE251" s="173"/>
      <c r="JIF251" s="173"/>
      <c r="JIG251" s="173"/>
      <c r="JIH251" s="173"/>
      <c r="JII251" s="173"/>
      <c r="JIJ251" s="173"/>
      <c r="JIK251" s="173"/>
      <c r="JIL251" s="125"/>
      <c r="JIM251" s="125"/>
      <c r="JIN251" s="134"/>
      <c r="JIO251" s="135"/>
      <c r="JIP251" s="135"/>
      <c r="JIQ251" s="135"/>
      <c r="JIR251" s="135"/>
      <c r="JIS251" s="173"/>
      <c r="JIT251" s="173"/>
      <c r="JIU251" s="173"/>
      <c r="JIV251" s="173"/>
      <c r="JIW251" s="173"/>
      <c r="JIX251" s="173"/>
      <c r="JIY251" s="173"/>
      <c r="JIZ251" s="173"/>
      <c r="JJA251" s="173"/>
      <c r="JJB251" s="173"/>
      <c r="JJC251" s="125"/>
      <c r="JJD251" s="125"/>
      <c r="JJE251" s="134"/>
      <c r="JJF251" s="135"/>
      <c r="JJG251" s="135"/>
      <c r="JJH251" s="135"/>
      <c r="JJI251" s="135"/>
      <c r="JJJ251" s="173"/>
      <c r="JJK251" s="173"/>
      <c r="JJL251" s="173"/>
      <c r="JJM251" s="173"/>
      <c r="JJN251" s="173"/>
      <c r="JJO251" s="173"/>
      <c r="JJP251" s="173"/>
      <c r="JJQ251" s="173"/>
      <c r="JJR251" s="173"/>
      <c r="JJS251" s="173"/>
      <c r="JJT251" s="125"/>
      <c r="JJU251" s="125"/>
      <c r="JJV251" s="134"/>
      <c r="JJW251" s="135"/>
      <c r="JJX251" s="135"/>
      <c r="JJY251" s="135"/>
      <c r="JJZ251" s="135"/>
      <c r="JKA251" s="173"/>
      <c r="JKB251" s="173"/>
      <c r="JKC251" s="173"/>
      <c r="JKD251" s="173"/>
      <c r="JKE251" s="173"/>
      <c r="JKF251" s="173"/>
      <c r="JKG251" s="173"/>
      <c r="JKH251" s="173"/>
      <c r="JKI251" s="173"/>
      <c r="JKJ251" s="173"/>
      <c r="JKK251" s="125"/>
      <c r="JKL251" s="125"/>
      <c r="JKM251" s="134"/>
      <c r="JKN251" s="135"/>
      <c r="JKO251" s="135"/>
      <c r="JKP251" s="135"/>
      <c r="JKQ251" s="135"/>
      <c r="JKR251" s="173"/>
      <c r="JKS251" s="173"/>
      <c r="JKT251" s="173"/>
      <c r="JKU251" s="173"/>
      <c r="JKV251" s="173"/>
      <c r="JKW251" s="173"/>
      <c r="JKX251" s="173"/>
      <c r="JKY251" s="173"/>
      <c r="JKZ251" s="173"/>
      <c r="JLA251" s="173"/>
      <c r="JLB251" s="125"/>
      <c r="JLC251" s="125"/>
      <c r="JLD251" s="134"/>
      <c r="JLE251" s="135"/>
      <c r="JLF251" s="135"/>
      <c r="JLG251" s="135"/>
      <c r="JLH251" s="135"/>
      <c r="JLI251" s="173"/>
      <c r="JLJ251" s="173"/>
      <c r="JLK251" s="173"/>
      <c r="JLL251" s="173"/>
      <c r="JLM251" s="173"/>
      <c r="JLN251" s="173"/>
      <c r="JLO251" s="173"/>
      <c r="JLP251" s="173"/>
      <c r="JLQ251" s="173"/>
      <c r="JLR251" s="173"/>
      <c r="JLS251" s="125"/>
      <c r="JLT251" s="125"/>
      <c r="JLU251" s="134"/>
      <c r="JLV251" s="135"/>
      <c r="JLW251" s="135"/>
      <c r="JLX251" s="135"/>
      <c r="JLY251" s="135"/>
      <c r="JLZ251" s="173"/>
      <c r="JMA251" s="173"/>
      <c r="JMB251" s="173"/>
      <c r="JMC251" s="173"/>
      <c r="JMD251" s="173"/>
      <c r="JME251" s="173"/>
      <c r="JMF251" s="173"/>
      <c r="JMG251" s="173"/>
      <c r="JMH251" s="173"/>
      <c r="JMI251" s="173"/>
      <c r="JMJ251" s="125"/>
      <c r="JMK251" s="125"/>
      <c r="JML251" s="134"/>
      <c r="JMM251" s="135"/>
      <c r="JMN251" s="135"/>
      <c r="JMO251" s="135"/>
      <c r="JMP251" s="135"/>
      <c r="JMQ251" s="173"/>
      <c r="JMR251" s="173"/>
      <c r="JMS251" s="173"/>
      <c r="JMT251" s="173"/>
      <c r="JMU251" s="173"/>
      <c r="JMV251" s="173"/>
      <c r="JMW251" s="173"/>
      <c r="JMX251" s="173"/>
      <c r="JMY251" s="173"/>
      <c r="JMZ251" s="173"/>
      <c r="JNA251" s="125"/>
      <c r="JNB251" s="125"/>
      <c r="JNC251" s="134"/>
      <c r="JND251" s="135"/>
      <c r="JNE251" s="135"/>
      <c r="JNF251" s="135"/>
      <c r="JNG251" s="135"/>
      <c r="JNH251" s="173"/>
      <c r="JNI251" s="173"/>
      <c r="JNJ251" s="173"/>
      <c r="JNK251" s="173"/>
      <c r="JNL251" s="173"/>
      <c r="JNM251" s="173"/>
      <c r="JNN251" s="173"/>
      <c r="JNO251" s="173"/>
      <c r="JNP251" s="173"/>
      <c r="JNQ251" s="173"/>
      <c r="JNR251" s="125"/>
      <c r="JNS251" s="125"/>
      <c r="JNT251" s="134"/>
      <c r="JNU251" s="135"/>
      <c r="JNV251" s="135"/>
      <c r="JNW251" s="135"/>
      <c r="JNX251" s="135"/>
      <c r="JNY251" s="173"/>
      <c r="JNZ251" s="173"/>
      <c r="JOA251" s="173"/>
      <c r="JOB251" s="173"/>
      <c r="JOC251" s="173"/>
      <c r="JOD251" s="173"/>
      <c r="JOE251" s="173"/>
      <c r="JOF251" s="173"/>
      <c r="JOG251" s="173"/>
      <c r="JOH251" s="173"/>
      <c r="JOI251" s="125"/>
      <c r="JOJ251" s="125"/>
      <c r="JOK251" s="134"/>
      <c r="JOL251" s="135"/>
      <c r="JOM251" s="135"/>
      <c r="JON251" s="135"/>
      <c r="JOO251" s="135"/>
      <c r="JOP251" s="173"/>
      <c r="JOQ251" s="173"/>
      <c r="JOR251" s="173"/>
      <c r="JOS251" s="173"/>
      <c r="JOT251" s="173"/>
      <c r="JOU251" s="173"/>
      <c r="JOV251" s="173"/>
      <c r="JOW251" s="173"/>
      <c r="JOX251" s="173"/>
      <c r="JOY251" s="173"/>
      <c r="JOZ251" s="125"/>
      <c r="JPA251" s="125"/>
      <c r="JPB251" s="134"/>
      <c r="JPC251" s="135"/>
      <c r="JPD251" s="135"/>
      <c r="JPE251" s="135"/>
      <c r="JPF251" s="135"/>
      <c r="JPG251" s="173"/>
      <c r="JPH251" s="173"/>
      <c r="JPI251" s="173"/>
      <c r="JPJ251" s="173"/>
      <c r="JPK251" s="173"/>
      <c r="JPL251" s="173"/>
      <c r="JPM251" s="173"/>
      <c r="JPN251" s="173"/>
      <c r="JPO251" s="173"/>
      <c r="JPP251" s="173"/>
      <c r="JPQ251" s="125"/>
      <c r="JPR251" s="125"/>
      <c r="JPS251" s="134"/>
      <c r="JPT251" s="135"/>
      <c r="JPU251" s="135"/>
      <c r="JPV251" s="135"/>
      <c r="JPW251" s="135"/>
      <c r="JPX251" s="173"/>
      <c r="JPY251" s="173"/>
      <c r="JPZ251" s="173"/>
      <c r="JQA251" s="173"/>
      <c r="JQB251" s="173"/>
      <c r="JQC251" s="173"/>
      <c r="JQD251" s="173"/>
      <c r="JQE251" s="173"/>
      <c r="JQF251" s="173"/>
      <c r="JQG251" s="173"/>
      <c r="JQH251" s="125"/>
      <c r="JQI251" s="125"/>
      <c r="JQJ251" s="134"/>
      <c r="JQK251" s="135"/>
      <c r="JQL251" s="135"/>
      <c r="JQM251" s="135"/>
      <c r="JQN251" s="135"/>
      <c r="JQO251" s="173"/>
      <c r="JQP251" s="173"/>
      <c r="JQQ251" s="173"/>
      <c r="JQR251" s="173"/>
      <c r="JQS251" s="173"/>
      <c r="JQT251" s="173"/>
      <c r="JQU251" s="173"/>
      <c r="JQV251" s="173"/>
      <c r="JQW251" s="173"/>
      <c r="JQX251" s="173"/>
      <c r="JQY251" s="125"/>
      <c r="JQZ251" s="125"/>
      <c r="JRA251" s="134"/>
      <c r="JRB251" s="135"/>
      <c r="JRC251" s="135"/>
      <c r="JRD251" s="135"/>
      <c r="JRE251" s="135"/>
      <c r="JRF251" s="173"/>
      <c r="JRG251" s="173"/>
      <c r="JRH251" s="173"/>
      <c r="JRI251" s="173"/>
      <c r="JRJ251" s="173"/>
      <c r="JRK251" s="173"/>
      <c r="JRL251" s="173"/>
      <c r="JRM251" s="173"/>
      <c r="JRN251" s="173"/>
      <c r="JRO251" s="173"/>
      <c r="JRP251" s="125"/>
      <c r="JRQ251" s="125"/>
      <c r="JRR251" s="134"/>
      <c r="JRS251" s="135"/>
      <c r="JRT251" s="135"/>
      <c r="JRU251" s="135"/>
      <c r="JRV251" s="135"/>
      <c r="JRW251" s="173"/>
      <c r="JRX251" s="173"/>
      <c r="JRY251" s="173"/>
      <c r="JRZ251" s="173"/>
      <c r="JSA251" s="173"/>
      <c r="JSB251" s="173"/>
      <c r="JSC251" s="173"/>
      <c r="JSD251" s="173"/>
      <c r="JSE251" s="173"/>
      <c r="JSF251" s="173"/>
      <c r="JSG251" s="125"/>
      <c r="JSH251" s="125"/>
      <c r="JSI251" s="134"/>
      <c r="JSJ251" s="135"/>
      <c r="JSK251" s="135"/>
      <c r="JSL251" s="135"/>
      <c r="JSM251" s="135"/>
      <c r="JSN251" s="173"/>
      <c r="JSO251" s="173"/>
      <c r="JSP251" s="173"/>
      <c r="JSQ251" s="173"/>
      <c r="JSR251" s="173"/>
      <c r="JSS251" s="173"/>
      <c r="JST251" s="173"/>
      <c r="JSU251" s="173"/>
      <c r="JSV251" s="173"/>
      <c r="JSW251" s="173"/>
      <c r="JSX251" s="125"/>
      <c r="JSY251" s="125"/>
      <c r="JSZ251" s="134"/>
      <c r="JTA251" s="135"/>
      <c r="JTB251" s="135"/>
      <c r="JTC251" s="135"/>
      <c r="JTD251" s="135"/>
      <c r="JTE251" s="173"/>
      <c r="JTF251" s="173"/>
      <c r="JTG251" s="173"/>
      <c r="JTH251" s="173"/>
      <c r="JTI251" s="173"/>
      <c r="JTJ251" s="173"/>
      <c r="JTK251" s="173"/>
      <c r="JTL251" s="173"/>
      <c r="JTM251" s="173"/>
      <c r="JTN251" s="173"/>
      <c r="JTO251" s="125"/>
      <c r="JTP251" s="125"/>
      <c r="JTQ251" s="134"/>
      <c r="JTR251" s="135"/>
      <c r="JTS251" s="135"/>
      <c r="JTT251" s="135"/>
      <c r="JTU251" s="135"/>
      <c r="JTV251" s="173"/>
      <c r="JTW251" s="173"/>
      <c r="JTX251" s="173"/>
      <c r="JTY251" s="173"/>
      <c r="JTZ251" s="173"/>
      <c r="JUA251" s="173"/>
      <c r="JUB251" s="173"/>
      <c r="JUC251" s="173"/>
      <c r="JUD251" s="173"/>
      <c r="JUE251" s="173"/>
      <c r="JUF251" s="125"/>
      <c r="JUG251" s="125"/>
      <c r="JUH251" s="134"/>
      <c r="JUI251" s="135"/>
      <c r="JUJ251" s="135"/>
      <c r="JUK251" s="135"/>
      <c r="JUL251" s="135"/>
      <c r="JUM251" s="173"/>
      <c r="JUN251" s="173"/>
      <c r="JUO251" s="173"/>
      <c r="JUP251" s="173"/>
      <c r="JUQ251" s="173"/>
      <c r="JUR251" s="173"/>
      <c r="JUS251" s="173"/>
      <c r="JUT251" s="173"/>
      <c r="JUU251" s="173"/>
      <c r="JUV251" s="173"/>
      <c r="JUW251" s="125"/>
      <c r="JUX251" s="125"/>
      <c r="JUY251" s="134"/>
      <c r="JUZ251" s="135"/>
      <c r="JVA251" s="135"/>
      <c r="JVB251" s="135"/>
      <c r="JVC251" s="135"/>
      <c r="JVD251" s="173"/>
      <c r="JVE251" s="173"/>
      <c r="JVF251" s="173"/>
      <c r="JVG251" s="173"/>
      <c r="JVH251" s="173"/>
      <c r="JVI251" s="173"/>
      <c r="JVJ251" s="173"/>
      <c r="JVK251" s="173"/>
      <c r="JVL251" s="173"/>
      <c r="JVM251" s="173"/>
      <c r="JVN251" s="125"/>
      <c r="JVO251" s="125"/>
      <c r="JVP251" s="134"/>
      <c r="JVQ251" s="135"/>
      <c r="JVR251" s="135"/>
      <c r="JVS251" s="135"/>
      <c r="JVT251" s="135"/>
      <c r="JVU251" s="173"/>
      <c r="JVV251" s="173"/>
      <c r="JVW251" s="173"/>
      <c r="JVX251" s="173"/>
      <c r="JVY251" s="173"/>
      <c r="JVZ251" s="173"/>
      <c r="JWA251" s="173"/>
      <c r="JWB251" s="173"/>
      <c r="JWC251" s="173"/>
      <c r="JWD251" s="173"/>
      <c r="JWE251" s="125"/>
      <c r="JWF251" s="125"/>
      <c r="JWG251" s="134"/>
      <c r="JWH251" s="135"/>
      <c r="JWI251" s="135"/>
      <c r="JWJ251" s="135"/>
      <c r="JWK251" s="135"/>
      <c r="JWL251" s="173"/>
      <c r="JWM251" s="173"/>
      <c r="JWN251" s="173"/>
      <c r="JWO251" s="173"/>
      <c r="JWP251" s="173"/>
      <c r="JWQ251" s="173"/>
      <c r="JWR251" s="173"/>
      <c r="JWS251" s="173"/>
      <c r="JWT251" s="173"/>
      <c r="JWU251" s="173"/>
      <c r="JWV251" s="125"/>
      <c r="JWW251" s="125"/>
      <c r="JWX251" s="134"/>
      <c r="JWY251" s="135"/>
      <c r="JWZ251" s="135"/>
      <c r="JXA251" s="135"/>
      <c r="JXB251" s="135"/>
      <c r="JXC251" s="173"/>
      <c r="JXD251" s="173"/>
      <c r="JXE251" s="173"/>
      <c r="JXF251" s="173"/>
      <c r="JXG251" s="173"/>
      <c r="JXH251" s="173"/>
      <c r="JXI251" s="173"/>
      <c r="JXJ251" s="173"/>
      <c r="JXK251" s="173"/>
      <c r="JXL251" s="173"/>
      <c r="JXM251" s="125"/>
      <c r="JXN251" s="125"/>
      <c r="JXO251" s="134"/>
      <c r="JXP251" s="135"/>
      <c r="JXQ251" s="135"/>
      <c r="JXR251" s="135"/>
      <c r="JXS251" s="135"/>
      <c r="JXT251" s="173"/>
      <c r="JXU251" s="173"/>
      <c r="JXV251" s="173"/>
      <c r="JXW251" s="173"/>
      <c r="JXX251" s="173"/>
      <c r="JXY251" s="173"/>
      <c r="JXZ251" s="173"/>
      <c r="JYA251" s="173"/>
      <c r="JYB251" s="173"/>
      <c r="JYC251" s="173"/>
      <c r="JYD251" s="125"/>
      <c r="JYE251" s="125"/>
      <c r="JYF251" s="134"/>
      <c r="JYG251" s="135"/>
      <c r="JYH251" s="135"/>
      <c r="JYI251" s="135"/>
      <c r="JYJ251" s="135"/>
      <c r="JYK251" s="173"/>
      <c r="JYL251" s="173"/>
      <c r="JYM251" s="173"/>
      <c r="JYN251" s="173"/>
      <c r="JYO251" s="173"/>
      <c r="JYP251" s="173"/>
      <c r="JYQ251" s="173"/>
      <c r="JYR251" s="173"/>
      <c r="JYS251" s="173"/>
      <c r="JYT251" s="173"/>
      <c r="JYU251" s="125"/>
      <c r="JYV251" s="125"/>
      <c r="JYW251" s="134"/>
      <c r="JYX251" s="135"/>
      <c r="JYY251" s="135"/>
      <c r="JYZ251" s="135"/>
      <c r="JZA251" s="135"/>
      <c r="JZB251" s="173"/>
      <c r="JZC251" s="173"/>
      <c r="JZD251" s="173"/>
      <c r="JZE251" s="173"/>
      <c r="JZF251" s="173"/>
      <c r="JZG251" s="173"/>
      <c r="JZH251" s="173"/>
      <c r="JZI251" s="173"/>
      <c r="JZJ251" s="173"/>
      <c r="JZK251" s="173"/>
      <c r="JZL251" s="125"/>
      <c r="JZM251" s="125"/>
      <c r="JZN251" s="134"/>
      <c r="JZO251" s="135"/>
      <c r="JZP251" s="135"/>
      <c r="JZQ251" s="135"/>
      <c r="JZR251" s="135"/>
      <c r="JZS251" s="173"/>
      <c r="JZT251" s="173"/>
      <c r="JZU251" s="173"/>
      <c r="JZV251" s="173"/>
      <c r="JZW251" s="173"/>
      <c r="JZX251" s="173"/>
      <c r="JZY251" s="173"/>
      <c r="JZZ251" s="173"/>
      <c r="KAA251" s="173"/>
      <c r="KAB251" s="173"/>
      <c r="KAC251" s="125"/>
      <c r="KAD251" s="125"/>
      <c r="KAE251" s="134"/>
      <c r="KAF251" s="135"/>
      <c r="KAG251" s="135"/>
      <c r="KAH251" s="135"/>
      <c r="KAI251" s="135"/>
      <c r="KAJ251" s="173"/>
      <c r="KAK251" s="173"/>
      <c r="KAL251" s="173"/>
      <c r="KAM251" s="173"/>
      <c r="KAN251" s="173"/>
      <c r="KAO251" s="173"/>
      <c r="KAP251" s="173"/>
      <c r="KAQ251" s="173"/>
      <c r="KAR251" s="173"/>
      <c r="KAS251" s="173"/>
      <c r="KAT251" s="125"/>
      <c r="KAU251" s="125"/>
      <c r="KAV251" s="134"/>
      <c r="KAW251" s="135"/>
      <c r="KAX251" s="135"/>
      <c r="KAY251" s="135"/>
      <c r="KAZ251" s="135"/>
      <c r="KBA251" s="173"/>
      <c r="KBB251" s="173"/>
      <c r="KBC251" s="173"/>
      <c r="KBD251" s="173"/>
      <c r="KBE251" s="173"/>
      <c r="KBF251" s="173"/>
      <c r="KBG251" s="173"/>
      <c r="KBH251" s="173"/>
      <c r="KBI251" s="173"/>
      <c r="KBJ251" s="173"/>
      <c r="KBK251" s="125"/>
      <c r="KBL251" s="125"/>
      <c r="KBM251" s="134"/>
      <c r="KBN251" s="135"/>
      <c r="KBO251" s="135"/>
      <c r="KBP251" s="135"/>
      <c r="KBQ251" s="135"/>
      <c r="KBR251" s="173"/>
      <c r="KBS251" s="173"/>
      <c r="KBT251" s="173"/>
      <c r="KBU251" s="173"/>
      <c r="KBV251" s="173"/>
      <c r="KBW251" s="173"/>
      <c r="KBX251" s="173"/>
      <c r="KBY251" s="173"/>
      <c r="KBZ251" s="173"/>
      <c r="KCA251" s="173"/>
      <c r="KCB251" s="125"/>
      <c r="KCC251" s="125"/>
      <c r="KCD251" s="134"/>
      <c r="KCE251" s="135"/>
      <c r="KCF251" s="135"/>
      <c r="KCG251" s="135"/>
      <c r="KCH251" s="135"/>
      <c r="KCI251" s="173"/>
      <c r="KCJ251" s="173"/>
      <c r="KCK251" s="173"/>
      <c r="KCL251" s="173"/>
      <c r="KCM251" s="173"/>
      <c r="KCN251" s="173"/>
      <c r="KCO251" s="173"/>
      <c r="KCP251" s="173"/>
      <c r="KCQ251" s="173"/>
      <c r="KCR251" s="173"/>
      <c r="KCS251" s="125"/>
      <c r="KCT251" s="125"/>
      <c r="KCU251" s="134"/>
      <c r="KCV251" s="135"/>
      <c r="KCW251" s="135"/>
      <c r="KCX251" s="135"/>
      <c r="KCY251" s="135"/>
      <c r="KCZ251" s="173"/>
      <c r="KDA251" s="173"/>
      <c r="KDB251" s="173"/>
      <c r="KDC251" s="173"/>
      <c r="KDD251" s="173"/>
      <c r="KDE251" s="173"/>
      <c r="KDF251" s="173"/>
      <c r="KDG251" s="173"/>
      <c r="KDH251" s="173"/>
      <c r="KDI251" s="173"/>
      <c r="KDJ251" s="125"/>
      <c r="KDK251" s="125"/>
      <c r="KDL251" s="134"/>
      <c r="KDM251" s="135"/>
      <c r="KDN251" s="135"/>
      <c r="KDO251" s="135"/>
      <c r="KDP251" s="135"/>
      <c r="KDQ251" s="173"/>
      <c r="KDR251" s="173"/>
      <c r="KDS251" s="173"/>
      <c r="KDT251" s="173"/>
      <c r="KDU251" s="173"/>
      <c r="KDV251" s="173"/>
      <c r="KDW251" s="173"/>
      <c r="KDX251" s="173"/>
      <c r="KDY251" s="173"/>
      <c r="KDZ251" s="173"/>
      <c r="KEA251" s="125"/>
      <c r="KEB251" s="125"/>
      <c r="KEC251" s="134"/>
      <c r="KED251" s="135"/>
      <c r="KEE251" s="135"/>
      <c r="KEF251" s="135"/>
      <c r="KEG251" s="135"/>
      <c r="KEH251" s="173"/>
      <c r="KEI251" s="173"/>
      <c r="KEJ251" s="173"/>
      <c r="KEK251" s="173"/>
      <c r="KEL251" s="173"/>
      <c r="KEM251" s="173"/>
      <c r="KEN251" s="173"/>
      <c r="KEO251" s="173"/>
      <c r="KEP251" s="173"/>
      <c r="KEQ251" s="173"/>
      <c r="KER251" s="125"/>
      <c r="KES251" s="125"/>
      <c r="KET251" s="134"/>
      <c r="KEU251" s="135"/>
      <c r="KEV251" s="135"/>
      <c r="KEW251" s="135"/>
      <c r="KEX251" s="135"/>
      <c r="KEY251" s="173"/>
      <c r="KEZ251" s="173"/>
      <c r="KFA251" s="173"/>
      <c r="KFB251" s="173"/>
      <c r="KFC251" s="173"/>
      <c r="KFD251" s="173"/>
      <c r="KFE251" s="173"/>
      <c r="KFF251" s="173"/>
      <c r="KFG251" s="173"/>
      <c r="KFH251" s="173"/>
      <c r="KFI251" s="125"/>
      <c r="KFJ251" s="125"/>
      <c r="KFK251" s="134"/>
      <c r="KFL251" s="135"/>
      <c r="KFM251" s="135"/>
      <c r="KFN251" s="135"/>
      <c r="KFO251" s="135"/>
      <c r="KFP251" s="173"/>
      <c r="KFQ251" s="173"/>
      <c r="KFR251" s="173"/>
      <c r="KFS251" s="173"/>
      <c r="KFT251" s="173"/>
      <c r="KFU251" s="173"/>
      <c r="KFV251" s="173"/>
      <c r="KFW251" s="173"/>
      <c r="KFX251" s="173"/>
      <c r="KFY251" s="173"/>
      <c r="KFZ251" s="125"/>
      <c r="KGA251" s="125"/>
      <c r="KGB251" s="134"/>
      <c r="KGC251" s="135"/>
      <c r="KGD251" s="135"/>
      <c r="KGE251" s="135"/>
      <c r="KGF251" s="135"/>
      <c r="KGG251" s="173"/>
      <c r="KGH251" s="173"/>
      <c r="KGI251" s="173"/>
      <c r="KGJ251" s="173"/>
      <c r="KGK251" s="173"/>
      <c r="KGL251" s="173"/>
      <c r="KGM251" s="173"/>
      <c r="KGN251" s="173"/>
      <c r="KGO251" s="173"/>
      <c r="KGP251" s="173"/>
      <c r="KGQ251" s="125"/>
      <c r="KGR251" s="125"/>
      <c r="KGS251" s="134"/>
      <c r="KGT251" s="135"/>
      <c r="KGU251" s="135"/>
      <c r="KGV251" s="135"/>
      <c r="KGW251" s="135"/>
      <c r="KGX251" s="173"/>
      <c r="KGY251" s="173"/>
      <c r="KGZ251" s="173"/>
      <c r="KHA251" s="173"/>
      <c r="KHB251" s="173"/>
      <c r="KHC251" s="173"/>
      <c r="KHD251" s="173"/>
      <c r="KHE251" s="173"/>
      <c r="KHF251" s="173"/>
      <c r="KHG251" s="173"/>
      <c r="KHH251" s="125"/>
      <c r="KHI251" s="125"/>
      <c r="KHJ251" s="134"/>
      <c r="KHK251" s="135"/>
      <c r="KHL251" s="135"/>
      <c r="KHM251" s="135"/>
      <c r="KHN251" s="135"/>
      <c r="KHO251" s="173"/>
      <c r="KHP251" s="173"/>
      <c r="KHQ251" s="173"/>
      <c r="KHR251" s="173"/>
      <c r="KHS251" s="173"/>
      <c r="KHT251" s="173"/>
      <c r="KHU251" s="173"/>
      <c r="KHV251" s="173"/>
      <c r="KHW251" s="173"/>
      <c r="KHX251" s="173"/>
      <c r="KHY251" s="125"/>
      <c r="KHZ251" s="125"/>
      <c r="KIA251" s="134"/>
      <c r="KIB251" s="135"/>
      <c r="KIC251" s="135"/>
      <c r="KID251" s="135"/>
      <c r="KIE251" s="135"/>
      <c r="KIF251" s="173"/>
      <c r="KIG251" s="173"/>
      <c r="KIH251" s="173"/>
      <c r="KII251" s="173"/>
      <c r="KIJ251" s="173"/>
      <c r="KIK251" s="173"/>
      <c r="KIL251" s="173"/>
      <c r="KIM251" s="173"/>
      <c r="KIN251" s="173"/>
      <c r="KIO251" s="173"/>
      <c r="KIP251" s="125"/>
      <c r="KIQ251" s="125"/>
      <c r="KIR251" s="134"/>
      <c r="KIS251" s="135"/>
      <c r="KIT251" s="135"/>
      <c r="KIU251" s="135"/>
      <c r="KIV251" s="135"/>
      <c r="KIW251" s="173"/>
      <c r="KIX251" s="173"/>
      <c r="KIY251" s="173"/>
      <c r="KIZ251" s="173"/>
      <c r="KJA251" s="173"/>
      <c r="KJB251" s="173"/>
      <c r="KJC251" s="173"/>
      <c r="KJD251" s="173"/>
      <c r="KJE251" s="173"/>
      <c r="KJF251" s="173"/>
      <c r="KJG251" s="125"/>
      <c r="KJH251" s="125"/>
      <c r="KJI251" s="134"/>
      <c r="KJJ251" s="135"/>
      <c r="KJK251" s="135"/>
      <c r="KJL251" s="135"/>
      <c r="KJM251" s="135"/>
      <c r="KJN251" s="173"/>
      <c r="KJO251" s="173"/>
      <c r="KJP251" s="173"/>
      <c r="KJQ251" s="173"/>
      <c r="KJR251" s="173"/>
      <c r="KJS251" s="173"/>
      <c r="KJT251" s="173"/>
      <c r="KJU251" s="173"/>
      <c r="KJV251" s="173"/>
      <c r="KJW251" s="173"/>
      <c r="KJX251" s="125"/>
      <c r="KJY251" s="125"/>
      <c r="KJZ251" s="134"/>
      <c r="KKA251" s="135"/>
      <c r="KKB251" s="135"/>
      <c r="KKC251" s="135"/>
      <c r="KKD251" s="135"/>
      <c r="KKE251" s="173"/>
      <c r="KKF251" s="173"/>
      <c r="KKG251" s="173"/>
      <c r="KKH251" s="173"/>
      <c r="KKI251" s="173"/>
      <c r="KKJ251" s="173"/>
      <c r="KKK251" s="173"/>
      <c r="KKL251" s="173"/>
      <c r="KKM251" s="173"/>
      <c r="KKN251" s="173"/>
      <c r="KKO251" s="125"/>
      <c r="KKP251" s="125"/>
      <c r="KKQ251" s="134"/>
      <c r="KKR251" s="135"/>
      <c r="KKS251" s="135"/>
      <c r="KKT251" s="135"/>
      <c r="KKU251" s="135"/>
      <c r="KKV251" s="173"/>
      <c r="KKW251" s="173"/>
      <c r="KKX251" s="173"/>
      <c r="KKY251" s="173"/>
      <c r="KKZ251" s="173"/>
      <c r="KLA251" s="173"/>
      <c r="KLB251" s="173"/>
      <c r="KLC251" s="173"/>
      <c r="KLD251" s="173"/>
      <c r="KLE251" s="173"/>
      <c r="KLF251" s="125"/>
      <c r="KLG251" s="125"/>
      <c r="KLH251" s="134"/>
      <c r="KLI251" s="135"/>
      <c r="KLJ251" s="135"/>
      <c r="KLK251" s="135"/>
      <c r="KLL251" s="135"/>
      <c r="KLM251" s="173"/>
      <c r="KLN251" s="173"/>
      <c r="KLO251" s="173"/>
      <c r="KLP251" s="173"/>
      <c r="KLQ251" s="173"/>
      <c r="KLR251" s="173"/>
      <c r="KLS251" s="173"/>
      <c r="KLT251" s="173"/>
      <c r="KLU251" s="173"/>
      <c r="KLV251" s="173"/>
      <c r="KLW251" s="125"/>
      <c r="KLX251" s="125"/>
      <c r="KLY251" s="134"/>
      <c r="KLZ251" s="135"/>
      <c r="KMA251" s="135"/>
      <c r="KMB251" s="135"/>
      <c r="KMC251" s="135"/>
      <c r="KMD251" s="173"/>
      <c r="KME251" s="173"/>
      <c r="KMF251" s="173"/>
      <c r="KMG251" s="173"/>
      <c r="KMH251" s="173"/>
      <c r="KMI251" s="173"/>
      <c r="KMJ251" s="173"/>
      <c r="KMK251" s="173"/>
      <c r="KML251" s="173"/>
      <c r="KMM251" s="173"/>
      <c r="KMN251" s="125"/>
      <c r="KMO251" s="125"/>
      <c r="KMP251" s="134"/>
      <c r="KMQ251" s="135"/>
      <c r="KMR251" s="135"/>
      <c r="KMS251" s="135"/>
      <c r="KMT251" s="135"/>
      <c r="KMU251" s="173"/>
      <c r="KMV251" s="173"/>
      <c r="KMW251" s="173"/>
      <c r="KMX251" s="173"/>
      <c r="KMY251" s="173"/>
      <c r="KMZ251" s="173"/>
      <c r="KNA251" s="173"/>
      <c r="KNB251" s="173"/>
      <c r="KNC251" s="173"/>
      <c r="KND251" s="173"/>
      <c r="KNE251" s="125"/>
      <c r="KNF251" s="125"/>
      <c r="KNG251" s="134"/>
      <c r="KNH251" s="135"/>
      <c r="KNI251" s="135"/>
      <c r="KNJ251" s="135"/>
      <c r="KNK251" s="135"/>
      <c r="KNL251" s="173"/>
      <c r="KNM251" s="173"/>
      <c r="KNN251" s="173"/>
      <c r="KNO251" s="173"/>
      <c r="KNP251" s="173"/>
      <c r="KNQ251" s="173"/>
      <c r="KNR251" s="173"/>
      <c r="KNS251" s="173"/>
      <c r="KNT251" s="173"/>
      <c r="KNU251" s="173"/>
      <c r="KNV251" s="125"/>
      <c r="KNW251" s="125"/>
      <c r="KNX251" s="134"/>
      <c r="KNY251" s="135"/>
      <c r="KNZ251" s="135"/>
      <c r="KOA251" s="135"/>
      <c r="KOB251" s="135"/>
      <c r="KOC251" s="173"/>
      <c r="KOD251" s="173"/>
      <c r="KOE251" s="173"/>
      <c r="KOF251" s="173"/>
      <c r="KOG251" s="173"/>
      <c r="KOH251" s="173"/>
      <c r="KOI251" s="173"/>
      <c r="KOJ251" s="173"/>
      <c r="KOK251" s="173"/>
      <c r="KOL251" s="173"/>
      <c r="KOM251" s="125"/>
      <c r="KON251" s="125"/>
      <c r="KOO251" s="134"/>
      <c r="KOP251" s="135"/>
      <c r="KOQ251" s="135"/>
      <c r="KOR251" s="135"/>
      <c r="KOS251" s="135"/>
      <c r="KOT251" s="173"/>
      <c r="KOU251" s="173"/>
      <c r="KOV251" s="173"/>
      <c r="KOW251" s="173"/>
      <c r="KOX251" s="173"/>
      <c r="KOY251" s="173"/>
      <c r="KOZ251" s="173"/>
      <c r="KPA251" s="173"/>
      <c r="KPB251" s="173"/>
      <c r="KPC251" s="173"/>
      <c r="KPD251" s="125"/>
      <c r="KPE251" s="125"/>
      <c r="KPF251" s="134"/>
      <c r="KPG251" s="135"/>
      <c r="KPH251" s="135"/>
      <c r="KPI251" s="135"/>
      <c r="KPJ251" s="135"/>
      <c r="KPK251" s="173"/>
      <c r="KPL251" s="173"/>
      <c r="KPM251" s="173"/>
      <c r="KPN251" s="173"/>
      <c r="KPO251" s="173"/>
      <c r="KPP251" s="173"/>
      <c r="KPQ251" s="173"/>
      <c r="KPR251" s="173"/>
      <c r="KPS251" s="173"/>
      <c r="KPT251" s="173"/>
      <c r="KPU251" s="125"/>
      <c r="KPV251" s="125"/>
      <c r="KPW251" s="134"/>
      <c r="KPX251" s="135"/>
      <c r="KPY251" s="135"/>
      <c r="KPZ251" s="135"/>
      <c r="KQA251" s="135"/>
      <c r="KQB251" s="173"/>
      <c r="KQC251" s="173"/>
      <c r="KQD251" s="173"/>
      <c r="KQE251" s="173"/>
      <c r="KQF251" s="173"/>
      <c r="KQG251" s="173"/>
      <c r="KQH251" s="173"/>
      <c r="KQI251" s="173"/>
      <c r="KQJ251" s="173"/>
      <c r="KQK251" s="173"/>
      <c r="KQL251" s="125"/>
      <c r="KQM251" s="125"/>
      <c r="KQN251" s="134"/>
      <c r="KQO251" s="135"/>
      <c r="KQP251" s="135"/>
      <c r="KQQ251" s="135"/>
      <c r="KQR251" s="135"/>
      <c r="KQS251" s="173"/>
      <c r="KQT251" s="173"/>
      <c r="KQU251" s="173"/>
      <c r="KQV251" s="173"/>
      <c r="KQW251" s="173"/>
      <c r="KQX251" s="173"/>
      <c r="KQY251" s="173"/>
      <c r="KQZ251" s="173"/>
      <c r="KRA251" s="173"/>
      <c r="KRB251" s="173"/>
      <c r="KRC251" s="125"/>
      <c r="KRD251" s="125"/>
      <c r="KRE251" s="134"/>
      <c r="KRF251" s="135"/>
      <c r="KRG251" s="135"/>
      <c r="KRH251" s="135"/>
      <c r="KRI251" s="135"/>
      <c r="KRJ251" s="173"/>
      <c r="KRK251" s="173"/>
      <c r="KRL251" s="173"/>
      <c r="KRM251" s="173"/>
      <c r="KRN251" s="173"/>
      <c r="KRO251" s="173"/>
      <c r="KRP251" s="173"/>
      <c r="KRQ251" s="173"/>
      <c r="KRR251" s="173"/>
      <c r="KRS251" s="173"/>
      <c r="KRT251" s="125"/>
      <c r="KRU251" s="125"/>
      <c r="KRV251" s="134"/>
      <c r="KRW251" s="135"/>
      <c r="KRX251" s="135"/>
      <c r="KRY251" s="135"/>
      <c r="KRZ251" s="135"/>
      <c r="KSA251" s="173"/>
      <c r="KSB251" s="173"/>
      <c r="KSC251" s="173"/>
      <c r="KSD251" s="173"/>
      <c r="KSE251" s="173"/>
      <c r="KSF251" s="173"/>
      <c r="KSG251" s="173"/>
      <c r="KSH251" s="173"/>
      <c r="KSI251" s="173"/>
      <c r="KSJ251" s="173"/>
      <c r="KSK251" s="125"/>
      <c r="KSL251" s="125"/>
      <c r="KSM251" s="134"/>
      <c r="KSN251" s="135"/>
      <c r="KSO251" s="135"/>
      <c r="KSP251" s="135"/>
      <c r="KSQ251" s="135"/>
      <c r="KSR251" s="173"/>
      <c r="KSS251" s="173"/>
      <c r="KST251" s="173"/>
      <c r="KSU251" s="173"/>
      <c r="KSV251" s="173"/>
      <c r="KSW251" s="173"/>
      <c r="KSX251" s="173"/>
      <c r="KSY251" s="173"/>
      <c r="KSZ251" s="173"/>
      <c r="KTA251" s="173"/>
      <c r="KTB251" s="125"/>
      <c r="KTC251" s="125"/>
      <c r="KTD251" s="134"/>
      <c r="KTE251" s="135"/>
      <c r="KTF251" s="135"/>
      <c r="KTG251" s="135"/>
      <c r="KTH251" s="135"/>
      <c r="KTI251" s="173"/>
      <c r="KTJ251" s="173"/>
      <c r="KTK251" s="173"/>
      <c r="KTL251" s="173"/>
      <c r="KTM251" s="173"/>
      <c r="KTN251" s="173"/>
      <c r="KTO251" s="173"/>
      <c r="KTP251" s="173"/>
      <c r="KTQ251" s="173"/>
      <c r="KTR251" s="173"/>
      <c r="KTS251" s="125"/>
      <c r="KTT251" s="125"/>
      <c r="KTU251" s="134"/>
      <c r="KTV251" s="135"/>
      <c r="KTW251" s="135"/>
      <c r="KTX251" s="135"/>
      <c r="KTY251" s="135"/>
      <c r="KTZ251" s="173"/>
      <c r="KUA251" s="173"/>
      <c r="KUB251" s="173"/>
      <c r="KUC251" s="173"/>
      <c r="KUD251" s="173"/>
      <c r="KUE251" s="173"/>
      <c r="KUF251" s="173"/>
      <c r="KUG251" s="173"/>
      <c r="KUH251" s="173"/>
      <c r="KUI251" s="173"/>
      <c r="KUJ251" s="125"/>
      <c r="KUK251" s="125"/>
      <c r="KUL251" s="134"/>
      <c r="KUM251" s="135"/>
      <c r="KUN251" s="135"/>
      <c r="KUO251" s="135"/>
      <c r="KUP251" s="135"/>
      <c r="KUQ251" s="173"/>
      <c r="KUR251" s="173"/>
      <c r="KUS251" s="173"/>
      <c r="KUT251" s="173"/>
      <c r="KUU251" s="173"/>
      <c r="KUV251" s="173"/>
      <c r="KUW251" s="173"/>
      <c r="KUX251" s="173"/>
      <c r="KUY251" s="173"/>
      <c r="KUZ251" s="173"/>
      <c r="KVA251" s="125"/>
      <c r="KVB251" s="125"/>
      <c r="KVC251" s="134"/>
      <c r="KVD251" s="135"/>
      <c r="KVE251" s="135"/>
      <c r="KVF251" s="135"/>
      <c r="KVG251" s="135"/>
      <c r="KVH251" s="173"/>
      <c r="KVI251" s="173"/>
      <c r="KVJ251" s="173"/>
      <c r="KVK251" s="173"/>
      <c r="KVL251" s="173"/>
      <c r="KVM251" s="173"/>
      <c r="KVN251" s="173"/>
      <c r="KVO251" s="173"/>
      <c r="KVP251" s="173"/>
      <c r="KVQ251" s="173"/>
      <c r="KVR251" s="125"/>
      <c r="KVS251" s="125"/>
      <c r="KVT251" s="134"/>
      <c r="KVU251" s="135"/>
      <c r="KVV251" s="135"/>
      <c r="KVW251" s="135"/>
      <c r="KVX251" s="135"/>
      <c r="KVY251" s="173"/>
      <c r="KVZ251" s="173"/>
      <c r="KWA251" s="173"/>
      <c r="KWB251" s="173"/>
      <c r="KWC251" s="173"/>
      <c r="KWD251" s="173"/>
      <c r="KWE251" s="173"/>
      <c r="KWF251" s="173"/>
      <c r="KWG251" s="173"/>
      <c r="KWH251" s="173"/>
      <c r="KWI251" s="125"/>
      <c r="KWJ251" s="125"/>
      <c r="KWK251" s="134"/>
      <c r="KWL251" s="135"/>
      <c r="KWM251" s="135"/>
      <c r="KWN251" s="135"/>
      <c r="KWO251" s="135"/>
      <c r="KWP251" s="173"/>
      <c r="KWQ251" s="173"/>
      <c r="KWR251" s="173"/>
      <c r="KWS251" s="173"/>
      <c r="KWT251" s="173"/>
      <c r="KWU251" s="173"/>
      <c r="KWV251" s="173"/>
      <c r="KWW251" s="173"/>
      <c r="KWX251" s="173"/>
      <c r="KWY251" s="173"/>
      <c r="KWZ251" s="125"/>
      <c r="KXA251" s="125"/>
      <c r="KXB251" s="134"/>
      <c r="KXC251" s="135"/>
      <c r="KXD251" s="135"/>
      <c r="KXE251" s="135"/>
      <c r="KXF251" s="135"/>
      <c r="KXG251" s="173"/>
      <c r="KXH251" s="173"/>
      <c r="KXI251" s="173"/>
      <c r="KXJ251" s="173"/>
      <c r="KXK251" s="173"/>
      <c r="KXL251" s="173"/>
      <c r="KXM251" s="173"/>
      <c r="KXN251" s="173"/>
      <c r="KXO251" s="173"/>
      <c r="KXP251" s="173"/>
      <c r="KXQ251" s="125"/>
      <c r="KXR251" s="125"/>
      <c r="KXS251" s="134"/>
      <c r="KXT251" s="135"/>
      <c r="KXU251" s="135"/>
      <c r="KXV251" s="135"/>
      <c r="KXW251" s="135"/>
      <c r="KXX251" s="173"/>
      <c r="KXY251" s="173"/>
      <c r="KXZ251" s="173"/>
      <c r="KYA251" s="173"/>
      <c r="KYB251" s="173"/>
      <c r="KYC251" s="173"/>
      <c r="KYD251" s="173"/>
      <c r="KYE251" s="173"/>
      <c r="KYF251" s="173"/>
      <c r="KYG251" s="173"/>
      <c r="KYH251" s="125"/>
      <c r="KYI251" s="125"/>
      <c r="KYJ251" s="134"/>
      <c r="KYK251" s="135"/>
      <c r="KYL251" s="135"/>
      <c r="KYM251" s="135"/>
      <c r="KYN251" s="135"/>
      <c r="KYO251" s="173"/>
      <c r="KYP251" s="173"/>
      <c r="KYQ251" s="173"/>
      <c r="KYR251" s="173"/>
      <c r="KYS251" s="173"/>
      <c r="KYT251" s="173"/>
      <c r="KYU251" s="173"/>
      <c r="KYV251" s="173"/>
      <c r="KYW251" s="173"/>
      <c r="KYX251" s="173"/>
      <c r="KYY251" s="125"/>
      <c r="KYZ251" s="125"/>
      <c r="KZA251" s="134"/>
      <c r="KZB251" s="135"/>
      <c r="KZC251" s="135"/>
      <c r="KZD251" s="135"/>
      <c r="KZE251" s="135"/>
      <c r="KZF251" s="173"/>
      <c r="KZG251" s="173"/>
      <c r="KZH251" s="173"/>
      <c r="KZI251" s="173"/>
      <c r="KZJ251" s="173"/>
      <c r="KZK251" s="173"/>
      <c r="KZL251" s="173"/>
      <c r="KZM251" s="173"/>
      <c r="KZN251" s="173"/>
      <c r="KZO251" s="173"/>
      <c r="KZP251" s="125"/>
      <c r="KZQ251" s="125"/>
      <c r="KZR251" s="134"/>
      <c r="KZS251" s="135"/>
      <c r="KZT251" s="135"/>
      <c r="KZU251" s="135"/>
      <c r="KZV251" s="135"/>
      <c r="KZW251" s="173"/>
      <c r="KZX251" s="173"/>
      <c r="KZY251" s="173"/>
      <c r="KZZ251" s="173"/>
      <c r="LAA251" s="173"/>
      <c r="LAB251" s="173"/>
      <c r="LAC251" s="173"/>
      <c r="LAD251" s="173"/>
      <c r="LAE251" s="173"/>
      <c r="LAF251" s="173"/>
      <c r="LAG251" s="125"/>
      <c r="LAH251" s="125"/>
      <c r="LAI251" s="134"/>
      <c r="LAJ251" s="135"/>
      <c r="LAK251" s="135"/>
      <c r="LAL251" s="135"/>
      <c r="LAM251" s="135"/>
      <c r="LAN251" s="173"/>
      <c r="LAO251" s="173"/>
      <c r="LAP251" s="173"/>
      <c r="LAQ251" s="173"/>
      <c r="LAR251" s="173"/>
      <c r="LAS251" s="173"/>
      <c r="LAT251" s="173"/>
      <c r="LAU251" s="173"/>
      <c r="LAV251" s="173"/>
      <c r="LAW251" s="173"/>
      <c r="LAX251" s="125"/>
      <c r="LAY251" s="125"/>
      <c r="LAZ251" s="134"/>
      <c r="LBA251" s="135"/>
      <c r="LBB251" s="135"/>
      <c r="LBC251" s="135"/>
      <c r="LBD251" s="135"/>
      <c r="LBE251" s="173"/>
      <c r="LBF251" s="173"/>
      <c r="LBG251" s="173"/>
      <c r="LBH251" s="173"/>
      <c r="LBI251" s="173"/>
      <c r="LBJ251" s="173"/>
      <c r="LBK251" s="173"/>
      <c r="LBL251" s="173"/>
      <c r="LBM251" s="173"/>
      <c r="LBN251" s="173"/>
      <c r="LBO251" s="125"/>
      <c r="LBP251" s="125"/>
      <c r="LBQ251" s="134"/>
      <c r="LBR251" s="135"/>
      <c r="LBS251" s="135"/>
      <c r="LBT251" s="135"/>
      <c r="LBU251" s="135"/>
      <c r="LBV251" s="173"/>
      <c r="LBW251" s="173"/>
      <c r="LBX251" s="173"/>
      <c r="LBY251" s="173"/>
      <c r="LBZ251" s="173"/>
      <c r="LCA251" s="173"/>
      <c r="LCB251" s="173"/>
      <c r="LCC251" s="173"/>
      <c r="LCD251" s="173"/>
      <c r="LCE251" s="173"/>
      <c r="LCF251" s="125"/>
      <c r="LCG251" s="125"/>
      <c r="LCH251" s="134"/>
      <c r="LCI251" s="135"/>
      <c r="LCJ251" s="135"/>
      <c r="LCK251" s="135"/>
      <c r="LCL251" s="135"/>
      <c r="LCM251" s="173"/>
      <c r="LCN251" s="173"/>
      <c r="LCO251" s="173"/>
      <c r="LCP251" s="173"/>
      <c r="LCQ251" s="173"/>
      <c r="LCR251" s="173"/>
      <c r="LCS251" s="173"/>
      <c r="LCT251" s="173"/>
      <c r="LCU251" s="173"/>
      <c r="LCV251" s="173"/>
      <c r="LCW251" s="125"/>
      <c r="LCX251" s="125"/>
      <c r="LCY251" s="134"/>
      <c r="LCZ251" s="135"/>
      <c r="LDA251" s="135"/>
      <c r="LDB251" s="135"/>
      <c r="LDC251" s="135"/>
      <c r="LDD251" s="173"/>
      <c r="LDE251" s="173"/>
      <c r="LDF251" s="173"/>
      <c r="LDG251" s="173"/>
      <c r="LDH251" s="173"/>
      <c r="LDI251" s="173"/>
      <c r="LDJ251" s="173"/>
      <c r="LDK251" s="173"/>
      <c r="LDL251" s="173"/>
      <c r="LDM251" s="173"/>
      <c r="LDN251" s="125"/>
      <c r="LDO251" s="125"/>
      <c r="LDP251" s="134"/>
      <c r="LDQ251" s="135"/>
      <c r="LDR251" s="135"/>
      <c r="LDS251" s="135"/>
      <c r="LDT251" s="135"/>
      <c r="LDU251" s="173"/>
      <c r="LDV251" s="173"/>
      <c r="LDW251" s="173"/>
      <c r="LDX251" s="173"/>
      <c r="LDY251" s="173"/>
      <c r="LDZ251" s="173"/>
      <c r="LEA251" s="173"/>
      <c r="LEB251" s="173"/>
      <c r="LEC251" s="173"/>
      <c r="LED251" s="173"/>
      <c r="LEE251" s="125"/>
      <c r="LEF251" s="125"/>
      <c r="LEG251" s="134"/>
      <c r="LEH251" s="135"/>
      <c r="LEI251" s="135"/>
      <c r="LEJ251" s="135"/>
      <c r="LEK251" s="135"/>
      <c r="LEL251" s="173"/>
      <c r="LEM251" s="173"/>
      <c r="LEN251" s="173"/>
      <c r="LEO251" s="173"/>
      <c r="LEP251" s="173"/>
      <c r="LEQ251" s="173"/>
      <c r="LER251" s="173"/>
      <c r="LES251" s="173"/>
      <c r="LET251" s="173"/>
      <c r="LEU251" s="173"/>
      <c r="LEV251" s="125"/>
      <c r="LEW251" s="125"/>
      <c r="LEX251" s="134"/>
      <c r="LEY251" s="135"/>
      <c r="LEZ251" s="135"/>
      <c r="LFA251" s="135"/>
      <c r="LFB251" s="135"/>
      <c r="LFC251" s="173"/>
      <c r="LFD251" s="173"/>
      <c r="LFE251" s="173"/>
      <c r="LFF251" s="173"/>
      <c r="LFG251" s="173"/>
      <c r="LFH251" s="173"/>
      <c r="LFI251" s="173"/>
      <c r="LFJ251" s="173"/>
      <c r="LFK251" s="173"/>
      <c r="LFL251" s="173"/>
      <c r="LFM251" s="125"/>
      <c r="LFN251" s="125"/>
      <c r="LFO251" s="134"/>
      <c r="LFP251" s="135"/>
      <c r="LFQ251" s="135"/>
      <c r="LFR251" s="135"/>
      <c r="LFS251" s="135"/>
      <c r="LFT251" s="173"/>
      <c r="LFU251" s="173"/>
      <c r="LFV251" s="173"/>
      <c r="LFW251" s="173"/>
      <c r="LFX251" s="173"/>
      <c r="LFY251" s="173"/>
      <c r="LFZ251" s="173"/>
      <c r="LGA251" s="173"/>
      <c r="LGB251" s="173"/>
      <c r="LGC251" s="173"/>
      <c r="LGD251" s="125"/>
      <c r="LGE251" s="125"/>
      <c r="LGF251" s="134"/>
      <c r="LGG251" s="135"/>
      <c r="LGH251" s="135"/>
      <c r="LGI251" s="135"/>
      <c r="LGJ251" s="135"/>
      <c r="LGK251" s="173"/>
      <c r="LGL251" s="173"/>
      <c r="LGM251" s="173"/>
      <c r="LGN251" s="173"/>
      <c r="LGO251" s="173"/>
      <c r="LGP251" s="173"/>
      <c r="LGQ251" s="173"/>
      <c r="LGR251" s="173"/>
      <c r="LGS251" s="173"/>
      <c r="LGT251" s="173"/>
      <c r="LGU251" s="125"/>
      <c r="LGV251" s="125"/>
      <c r="LGW251" s="134"/>
      <c r="LGX251" s="135"/>
      <c r="LGY251" s="135"/>
      <c r="LGZ251" s="135"/>
      <c r="LHA251" s="135"/>
      <c r="LHB251" s="173"/>
      <c r="LHC251" s="173"/>
      <c r="LHD251" s="173"/>
      <c r="LHE251" s="173"/>
      <c r="LHF251" s="173"/>
      <c r="LHG251" s="173"/>
      <c r="LHH251" s="173"/>
      <c r="LHI251" s="173"/>
      <c r="LHJ251" s="173"/>
      <c r="LHK251" s="173"/>
      <c r="LHL251" s="125"/>
      <c r="LHM251" s="125"/>
      <c r="LHN251" s="134"/>
      <c r="LHO251" s="135"/>
      <c r="LHP251" s="135"/>
      <c r="LHQ251" s="135"/>
      <c r="LHR251" s="135"/>
      <c r="LHS251" s="173"/>
      <c r="LHT251" s="173"/>
      <c r="LHU251" s="173"/>
      <c r="LHV251" s="173"/>
      <c r="LHW251" s="173"/>
      <c r="LHX251" s="173"/>
      <c r="LHY251" s="173"/>
      <c r="LHZ251" s="173"/>
      <c r="LIA251" s="173"/>
      <c r="LIB251" s="173"/>
      <c r="LIC251" s="125"/>
      <c r="LID251" s="125"/>
      <c r="LIE251" s="134"/>
      <c r="LIF251" s="135"/>
      <c r="LIG251" s="135"/>
      <c r="LIH251" s="135"/>
      <c r="LII251" s="135"/>
      <c r="LIJ251" s="173"/>
      <c r="LIK251" s="173"/>
      <c r="LIL251" s="173"/>
      <c r="LIM251" s="173"/>
      <c r="LIN251" s="173"/>
      <c r="LIO251" s="173"/>
      <c r="LIP251" s="173"/>
      <c r="LIQ251" s="173"/>
      <c r="LIR251" s="173"/>
      <c r="LIS251" s="173"/>
      <c r="LIT251" s="125"/>
      <c r="LIU251" s="125"/>
      <c r="LIV251" s="134"/>
      <c r="LIW251" s="135"/>
      <c r="LIX251" s="135"/>
      <c r="LIY251" s="135"/>
      <c r="LIZ251" s="135"/>
      <c r="LJA251" s="173"/>
      <c r="LJB251" s="173"/>
      <c r="LJC251" s="173"/>
      <c r="LJD251" s="173"/>
      <c r="LJE251" s="173"/>
      <c r="LJF251" s="173"/>
      <c r="LJG251" s="173"/>
      <c r="LJH251" s="173"/>
      <c r="LJI251" s="173"/>
      <c r="LJJ251" s="173"/>
      <c r="LJK251" s="125"/>
      <c r="LJL251" s="125"/>
      <c r="LJM251" s="134"/>
      <c r="LJN251" s="135"/>
      <c r="LJO251" s="135"/>
      <c r="LJP251" s="135"/>
      <c r="LJQ251" s="135"/>
      <c r="LJR251" s="173"/>
      <c r="LJS251" s="173"/>
      <c r="LJT251" s="173"/>
      <c r="LJU251" s="173"/>
      <c r="LJV251" s="173"/>
      <c r="LJW251" s="173"/>
      <c r="LJX251" s="173"/>
      <c r="LJY251" s="173"/>
      <c r="LJZ251" s="173"/>
      <c r="LKA251" s="173"/>
      <c r="LKB251" s="125"/>
      <c r="LKC251" s="125"/>
      <c r="LKD251" s="134"/>
      <c r="LKE251" s="135"/>
      <c r="LKF251" s="135"/>
      <c r="LKG251" s="135"/>
      <c r="LKH251" s="135"/>
      <c r="LKI251" s="173"/>
      <c r="LKJ251" s="173"/>
      <c r="LKK251" s="173"/>
      <c r="LKL251" s="173"/>
      <c r="LKM251" s="173"/>
      <c r="LKN251" s="173"/>
      <c r="LKO251" s="173"/>
      <c r="LKP251" s="173"/>
      <c r="LKQ251" s="173"/>
      <c r="LKR251" s="173"/>
      <c r="LKS251" s="125"/>
      <c r="LKT251" s="125"/>
      <c r="LKU251" s="134"/>
      <c r="LKV251" s="135"/>
      <c r="LKW251" s="135"/>
      <c r="LKX251" s="135"/>
      <c r="LKY251" s="135"/>
      <c r="LKZ251" s="173"/>
      <c r="LLA251" s="173"/>
      <c r="LLB251" s="173"/>
      <c r="LLC251" s="173"/>
      <c r="LLD251" s="173"/>
      <c r="LLE251" s="173"/>
      <c r="LLF251" s="173"/>
      <c r="LLG251" s="173"/>
      <c r="LLH251" s="173"/>
      <c r="LLI251" s="173"/>
      <c r="LLJ251" s="125"/>
      <c r="LLK251" s="125"/>
      <c r="LLL251" s="134"/>
      <c r="LLM251" s="135"/>
      <c r="LLN251" s="135"/>
      <c r="LLO251" s="135"/>
      <c r="LLP251" s="135"/>
      <c r="LLQ251" s="173"/>
      <c r="LLR251" s="173"/>
      <c r="LLS251" s="173"/>
      <c r="LLT251" s="173"/>
      <c r="LLU251" s="173"/>
      <c r="LLV251" s="173"/>
      <c r="LLW251" s="173"/>
      <c r="LLX251" s="173"/>
      <c r="LLY251" s="173"/>
      <c r="LLZ251" s="173"/>
      <c r="LMA251" s="125"/>
      <c r="LMB251" s="125"/>
      <c r="LMC251" s="134"/>
      <c r="LMD251" s="135"/>
      <c r="LME251" s="135"/>
      <c r="LMF251" s="135"/>
      <c r="LMG251" s="135"/>
      <c r="LMH251" s="173"/>
      <c r="LMI251" s="173"/>
      <c r="LMJ251" s="173"/>
      <c r="LMK251" s="173"/>
      <c r="LML251" s="173"/>
      <c r="LMM251" s="173"/>
      <c r="LMN251" s="173"/>
      <c r="LMO251" s="173"/>
      <c r="LMP251" s="173"/>
      <c r="LMQ251" s="173"/>
      <c r="LMR251" s="125"/>
      <c r="LMS251" s="125"/>
      <c r="LMT251" s="134"/>
      <c r="LMU251" s="135"/>
      <c r="LMV251" s="135"/>
      <c r="LMW251" s="135"/>
      <c r="LMX251" s="135"/>
      <c r="LMY251" s="173"/>
      <c r="LMZ251" s="173"/>
      <c r="LNA251" s="173"/>
      <c r="LNB251" s="173"/>
      <c r="LNC251" s="173"/>
      <c r="LND251" s="173"/>
      <c r="LNE251" s="173"/>
      <c r="LNF251" s="173"/>
      <c r="LNG251" s="173"/>
      <c r="LNH251" s="173"/>
      <c r="LNI251" s="125"/>
      <c r="LNJ251" s="125"/>
      <c r="LNK251" s="134"/>
      <c r="LNL251" s="135"/>
      <c r="LNM251" s="135"/>
      <c r="LNN251" s="135"/>
      <c r="LNO251" s="135"/>
      <c r="LNP251" s="173"/>
      <c r="LNQ251" s="173"/>
      <c r="LNR251" s="173"/>
      <c r="LNS251" s="173"/>
      <c r="LNT251" s="173"/>
      <c r="LNU251" s="173"/>
      <c r="LNV251" s="173"/>
      <c r="LNW251" s="173"/>
      <c r="LNX251" s="173"/>
      <c r="LNY251" s="173"/>
      <c r="LNZ251" s="125"/>
      <c r="LOA251" s="125"/>
      <c r="LOB251" s="134"/>
      <c r="LOC251" s="135"/>
      <c r="LOD251" s="135"/>
      <c r="LOE251" s="135"/>
      <c r="LOF251" s="135"/>
      <c r="LOG251" s="173"/>
      <c r="LOH251" s="173"/>
      <c r="LOI251" s="173"/>
      <c r="LOJ251" s="173"/>
      <c r="LOK251" s="173"/>
      <c r="LOL251" s="173"/>
      <c r="LOM251" s="173"/>
      <c r="LON251" s="173"/>
      <c r="LOO251" s="173"/>
      <c r="LOP251" s="173"/>
      <c r="LOQ251" s="125"/>
      <c r="LOR251" s="125"/>
      <c r="LOS251" s="134"/>
      <c r="LOT251" s="135"/>
      <c r="LOU251" s="135"/>
      <c r="LOV251" s="135"/>
      <c r="LOW251" s="135"/>
      <c r="LOX251" s="173"/>
      <c r="LOY251" s="173"/>
      <c r="LOZ251" s="173"/>
      <c r="LPA251" s="173"/>
      <c r="LPB251" s="173"/>
      <c r="LPC251" s="173"/>
      <c r="LPD251" s="173"/>
      <c r="LPE251" s="173"/>
      <c r="LPF251" s="173"/>
      <c r="LPG251" s="173"/>
      <c r="LPH251" s="125"/>
      <c r="LPI251" s="125"/>
      <c r="LPJ251" s="134"/>
      <c r="LPK251" s="135"/>
      <c r="LPL251" s="135"/>
      <c r="LPM251" s="135"/>
      <c r="LPN251" s="135"/>
      <c r="LPO251" s="173"/>
      <c r="LPP251" s="173"/>
      <c r="LPQ251" s="173"/>
      <c r="LPR251" s="173"/>
      <c r="LPS251" s="173"/>
      <c r="LPT251" s="173"/>
      <c r="LPU251" s="173"/>
      <c r="LPV251" s="173"/>
      <c r="LPW251" s="173"/>
      <c r="LPX251" s="173"/>
      <c r="LPY251" s="125"/>
      <c r="LPZ251" s="125"/>
      <c r="LQA251" s="134"/>
      <c r="LQB251" s="135"/>
      <c r="LQC251" s="135"/>
      <c r="LQD251" s="135"/>
      <c r="LQE251" s="135"/>
      <c r="LQF251" s="173"/>
      <c r="LQG251" s="173"/>
      <c r="LQH251" s="173"/>
      <c r="LQI251" s="173"/>
      <c r="LQJ251" s="173"/>
      <c r="LQK251" s="173"/>
      <c r="LQL251" s="173"/>
      <c r="LQM251" s="173"/>
      <c r="LQN251" s="173"/>
      <c r="LQO251" s="173"/>
      <c r="LQP251" s="125"/>
      <c r="LQQ251" s="125"/>
      <c r="LQR251" s="134"/>
      <c r="LQS251" s="135"/>
      <c r="LQT251" s="135"/>
      <c r="LQU251" s="135"/>
      <c r="LQV251" s="135"/>
      <c r="LQW251" s="173"/>
      <c r="LQX251" s="173"/>
      <c r="LQY251" s="173"/>
      <c r="LQZ251" s="173"/>
      <c r="LRA251" s="173"/>
      <c r="LRB251" s="173"/>
      <c r="LRC251" s="173"/>
      <c r="LRD251" s="173"/>
      <c r="LRE251" s="173"/>
      <c r="LRF251" s="173"/>
      <c r="LRG251" s="125"/>
      <c r="LRH251" s="125"/>
      <c r="LRI251" s="134"/>
      <c r="LRJ251" s="135"/>
      <c r="LRK251" s="135"/>
      <c r="LRL251" s="135"/>
      <c r="LRM251" s="135"/>
      <c r="LRN251" s="173"/>
      <c r="LRO251" s="173"/>
      <c r="LRP251" s="173"/>
      <c r="LRQ251" s="173"/>
      <c r="LRR251" s="173"/>
      <c r="LRS251" s="173"/>
      <c r="LRT251" s="173"/>
      <c r="LRU251" s="173"/>
      <c r="LRV251" s="173"/>
      <c r="LRW251" s="173"/>
      <c r="LRX251" s="125"/>
      <c r="LRY251" s="125"/>
      <c r="LRZ251" s="134"/>
      <c r="LSA251" s="135"/>
      <c r="LSB251" s="135"/>
      <c r="LSC251" s="135"/>
      <c r="LSD251" s="135"/>
      <c r="LSE251" s="173"/>
      <c r="LSF251" s="173"/>
      <c r="LSG251" s="173"/>
      <c r="LSH251" s="173"/>
      <c r="LSI251" s="173"/>
      <c r="LSJ251" s="173"/>
      <c r="LSK251" s="173"/>
      <c r="LSL251" s="173"/>
      <c r="LSM251" s="173"/>
      <c r="LSN251" s="173"/>
      <c r="LSO251" s="125"/>
      <c r="LSP251" s="125"/>
      <c r="LSQ251" s="134"/>
      <c r="LSR251" s="135"/>
      <c r="LSS251" s="135"/>
      <c r="LST251" s="135"/>
      <c r="LSU251" s="135"/>
      <c r="LSV251" s="173"/>
      <c r="LSW251" s="173"/>
      <c r="LSX251" s="173"/>
      <c r="LSY251" s="173"/>
      <c r="LSZ251" s="173"/>
      <c r="LTA251" s="173"/>
      <c r="LTB251" s="173"/>
      <c r="LTC251" s="173"/>
      <c r="LTD251" s="173"/>
      <c r="LTE251" s="173"/>
      <c r="LTF251" s="125"/>
      <c r="LTG251" s="125"/>
      <c r="LTH251" s="134"/>
      <c r="LTI251" s="135"/>
      <c r="LTJ251" s="135"/>
      <c r="LTK251" s="135"/>
      <c r="LTL251" s="135"/>
      <c r="LTM251" s="173"/>
      <c r="LTN251" s="173"/>
      <c r="LTO251" s="173"/>
      <c r="LTP251" s="173"/>
      <c r="LTQ251" s="173"/>
      <c r="LTR251" s="173"/>
      <c r="LTS251" s="173"/>
      <c r="LTT251" s="173"/>
      <c r="LTU251" s="173"/>
      <c r="LTV251" s="173"/>
      <c r="LTW251" s="125"/>
      <c r="LTX251" s="125"/>
      <c r="LTY251" s="134"/>
      <c r="LTZ251" s="135"/>
      <c r="LUA251" s="135"/>
      <c r="LUB251" s="135"/>
      <c r="LUC251" s="135"/>
      <c r="LUD251" s="173"/>
      <c r="LUE251" s="173"/>
      <c r="LUF251" s="173"/>
      <c r="LUG251" s="173"/>
      <c r="LUH251" s="173"/>
      <c r="LUI251" s="173"/>
      <c r="LUJ251" s="173"/>
      <c r="LUK251" s="173"/>
      <c r="LUL251" s="173"/>
      <c r="LUM251" s="173"/>
      <c r="LUN251" s="125"/>
      <c r="LUO251" s="125"/>
      <c r="LUP251" s="134"/>
      <c r="LUQ251" s="135"/>
      <c r="LUR251" s="135"/>
      <c r="LUS251" s="135"/>
      <c r="LUT251" s="135"/>
      <c r="LUU251" s="173"/>
      <c r="LUV251" s="173"/>
      <c r="LUW251" s="173"/>
      <c r="LUX251" s="173"/>
      <c r="LUY251" s="173"/>
      <c r="LUZ251" s="173"/>
      <c r="LVA251" s="173"/>
      <c r="LVB251" s="173"/>
      <c r="LVC251" s="173"/>
      <c r="LVD251" s="173"/>
      <c r="LVE251" s="125"/>
      <c r="LVF251" s="125"/>
      <c r="LVG251" s="134"/>
      <c r="LVH251" s="135"/>
      <c r="LVI251" s="135"/>
      <c r="LVJ251" s="135"/>
      <c r="LVK251" s="135"/>
      <c r="LVL251" s="173"/>
      <c r="LVM251" s="173"/>
      <c r="LVN251" s="173"/>
      <c r="LVO251" s="173"/>
      <c r="LVP251" s="173"/>
      <c r="LVQ251" s="173"/>
      <c r="LVR251" s="173"/>
      <c r="LVS251" s="173"/>
      <c r="LVT251" s="173"/>
      <c r="LVU251" s="173"/>
      <c r="LVV251" s="125"/>
      <c r="LVW251" s="125"/>
      <c r="LVX251" s="134"/>
      <c r="LVY251" s="135"/>
      <c r="LVZ251" s="135"/>
      <c r="LWA251" s="135"/>
      <c r="LWB251" s="135"/>
      <c r="LWC251" s="173"/>
      <c r="LWD251" s="173"/>
      <c r="LWE251" s="173"/>
      <c r="LWF251" s="173"/>
      <c r="LWG251" s="173"/>
      <c r="LWH251" s="173"/>
      <c r="LWI251" s="173"/>
      <c r="LWJ251" s="173"/>
      <c r="LWK251" s="173"/>
      <c r="LWL251" s="173"/>
      <c r="LWM251" s="125"/>
      <c r="LWN251" s="125"/>
      <c r="LWO251" s="134"/>
      <c r="LWP251" s="135"/>
      <c r="LWQ251" s="135"/>
      <c r="LWR251" s="135"/>
      <c r="LWS251" s="135"/>
      <c r="LWT251" s="173"/>
      <c r="LWU251" s="173"/>
      <c r="LWV251" s="173"/>
      <c r="LWW251" s="173"/>
      <c r="LWX251" s="173"/>
      <c r="LWY251" s="173"/>
      <c r="LWZ251" s="173"/>
      <c r="LXA251" s="173"/>
      <c r="LXB251" s="173"/>
      <c r="LXC251" s="173"/>
      <c r="LXD251" s="125"/>
      <c r="LXE251" s="125"/>
      <c r="LXF251" s="134"/>
      <c r="LXG251" s="135"/>
      <c r="LXH251" s="135"/>
      <c r="LXI251" s="135"/>
      <c r="LXJ251" s="135"/>
      <c r="LXK251" s="173"/>
      <c r="LXL251" s="173"/>
      <c r="LXM251" s="173"/>
      <c r="LXN251" s="173"/>
      <c r="LXO251" s="173"/>
      <c r="LXP251" s="173"/>
      <c r="LXQ251" s="173"/>
      <c r="LXR251" s="173"/>
      <c r="LXS251" s="173"/>
      <c r="LXT251" s="173"/>
      <c r="LXU251" s="125"/>
      <c r="LXV251" s="125"/>
      <c r="LXW251" s="134"/>
      <c r="LXX251" s="135"/>
      <c r="LXY251" s="135"/>
      <c r="LXZ251" s="135"/>
      <c r="LYA251" s="135"/>
      <c r="LYB251" s="173"/>
      <c r="LYC251" s="173"/>
      <c r="LYD251" s="173"/>
      <c r="LYE251" s="173"/>
      <c r="LYF251" s="173"/>
      <c r="LYG251" s="173"/>
      <c r="LYH251" s="173"/>
      <c r="LYI251" s="173"/>
      <c r="LYJ251" s="173"/>
      <c r="LYK251" s="173"/>
      <c r="LYL251" s="125"/>
      <c r="LYM251" s="125"/>
      <c r="LYN251" s="134"/>
      <c r="LYO251" s="135"/>
      <c r="LYP251" s="135"/>
      <c r="LYQ251" s="135"/>
      <c r="LYR251" s="135"/>
      <c r="LYS251" s="173"/>
      <c r="LYT251" s="173"/>
      <c r="LYU251" s="173"/>
      <c r="LYV251" s="173"/>
      <c r="LYW251" s="173"/>
      <c r="LYX251" s="173"/>
      <c r="LYY251" s="173"/>
      <c r="LYZ251" s="173"/>
      <c r="LZA251" s="173"/>
      <c r="LZB251" s="173"/>
      <c r="LZC251" s="125"/>
      <c r="LZD251" s="125"/>
      <c r="LZE251" s="134"/>
      <c r="LZF251" s="135"/>
      <c r="LZG251" s="135"/>
      <c r="LZH251" s="135"/>
      <c r="LZI251" s="135"/>
      <c r="LZJ251" s="173"/>
      <c r="LZK251" s="173"/>
      <c r="LZL251" s="173"/>
      <c r="LZM251" s="173"/>
      <c r="LZN251" s="173"/>
      <c r="LZO251" s="173"/>
      <c r="LZP251" s="173"/>
      <c r="LZQ251" s="173"/>
      <c r="LZR251" s="173"/>
      <c r="LZS251" s="173"/>
      <c r="LZT251" s="125"/>
      <c r="LZU251" s="125"/>
      <c r="LZV251" s="134"/>
      <c r="LZW251" s="135"/>
      <c r="LZX251" s="135"/>
      <c r="LZY251" s="135"/>
      <c r="LZZ251" s="135"/>
      <c r="MAA251" s="173"/>
      <c r="MAB251" s="173"/>
      <c r="MAC251" s="173"/>
      <c r="MAD251" s="173"/>
      <c r="MAE251" s="173"/>
      <c r="MAF251" s="173"/>
      <c r="MAG251" s="173"/>
      <c r="MAH251" s="173"/>
      <c r="MAI251" s="173"/>
      <c r="MAJ251" s="173"/>
      <c r="MAK251" s="125"/>
      <c r="MAL251" s="125"/>
      <c r="MAM251" s="134"/>
      <c r="MAN251" s="135"/>
      <c r="MAO251" s="135"/>
      <c r="MAP251" s="135"/>
      <c r="MAQ251" s="135"/>
      <c r="MAR251" s="173"/>
      <c r="MAS251" s="173"/>
      <c r="MAT251" s="173"/>
      <c r="MAU251" s="173"/>
      <c r="MAV251" s="173"/>
      <c r="MAW251" s="173"/>
      <c r="MAX251" s="173"/>
      <c r="MAY251" s="173"/>
      <c r="MAZ251" s="173"/>
      <c r="MBA251" s="173"/>
      <c r="MBB251" s="125"/>
      <c r="MBC251" s="125"/>
      <c r="MBD251" s="134"/>
      <c r="MBE251" s="135"/>
      <c r="MBF251" s="135"/>
      <c r="MBG251" s="135"/>
      <c r="MBH251" s="135"/>
      <c r="MBI251" s="173"/>
      <c r="MBJ251" s="173"/>
      <c r="MBK251" s="173"/>
      <c r="MBL251" s="173"/>
      <c r="MBM251" s="173"/>
      <c r="MBN251" s="173"/>
      <c r="MBO251" s="173"/>
      <c r="MBP251" s="173"/>
      <c r="MBQ251" s="173"/>
      <c r="MBR251" s="173"/>
      <c r="MBS251" s="125"/>
      <c r="MBT251" s="125"/>
      <c r="MBU251" s="134"/>
      <c r="MBV251" s="135"/>
      <c r="MBW251" s="135"/>
      <c r="MBX251" s="135"/>
      <c r="MBY251" s="135"/>
      <c r="MBZ251" s="173"/>
      <c r="MCA251" s="173"/>
      <c r="MCB251" s="173"/>
      <c r="MCC251" s="173"/>
      <c r="MCD251" s="173"/>
      <c r="MCE251" s="173"/>
      <c r="MCF251" s="173"/>
      <c r="MCG251" s="173"/>
      <c r="MCH251" s="173"/>
      <c r="MCI251" s="173"/>
      <c r="MCJ251" s="125"/>
      <c r="MCK251" s="125"/>
      <c r="MCL251" s="134"/>
      <c r="MCM251" s="135"/>
      <c r="MCN251" s="135"/>
      <c r="MCO251" s="135"/>
      <c r="MCP251" s="135"/>
      <c r="MCQ251" s="173"/>
      <c r="MCR251" s="173"/>
      <c r="MCS251" s="173"/>
      <c r="MCT251" s="173"/>
      <c r="MCU251" s="173"/>
      <c r="MCV251" s="173"/>
      <c r="MCW251" s="173"/>
      <c r="MCX251" s="173"/>
      <c r="MCY251" s="173"/>
      <c r="MCZ251" s="173"/>
      <c r="MDA251" s="125"/>
      <c r="MDB251" s="125"/>
      <c r="MDC251" s="134"/>
      <c r="MDD251" s="135"/>
      <c r="MDE251" s="135"/>
      <c r="MDF251" s="135"/>
      <c r="MDG251" s="135"/>
      <c r="MDH251" s="173"/>
      <c r="MDI251" s="173"/>
      <c r="MDJ251" s="173"/>
      <c r="MDK251" s="173"/>
      <c r="MDL251" s="173"/>
      <c r="MDM251" s="173"/>
      <c r="MDN251" s="173"/>
      <c r="MDO251" s="173"/>
      <c r="MDP251" s="173"/>
      <c r="MDQ251" s="173"/>
      <c r="MDR251" s="125"/>
      <c r="MDS251" s="125"/>
      <c r="MDT251" s="134"/>
      <c r="MDU251" s="135"/>
      <c r="MDV251" s="135"/>
      <c r="MDW251" s="135"/>
      <c r="MDX251" s="135"/>
      <c r="MDY251" s="173"/>
      <c r="MDZ251" s="173"/>
      <c r="MEA251" s="173"/>
      <c r="MEB251" s="173"/>
      <c r="MEC251" s="173"/>
      <c r="MED251" s="173"/>
      <c r="MEE251" s="173"/>
      <c r="MEF251" s="173"/>
      <c r="MEG251" s="173"/>
      <c r="MEH251" s="173"/>
      <c r="MEI251" s="125"/>
      <c r="MEJ251" s="125"/>
      <c r="MEK251" s="134"/>
      <c r="MEL251" s="135"/>
      <c r="MEM251" s="135"/>
      <c r="MEN251" s="135"/>
      <c r="MEO251" s="135"/>
      <c r="MEP251" s="173"/>
      <c r="MEQ251" s="173"/>
      <c r="MER251" s="173"/>
      <c r="MES251" s="173"/>
      <c r="MET251" s="173"/>
      <c r="MEU251" s="173"/>
      <c r="MEV251" s="173"/>
      <c r="MEW251" s="173"/>
      <c r="MEX251" s="173"/>
      <c r="MEY251" s="173"/>
      <c r="MEZ251" s="125"/>
      <c r="MFA251" s="125"/>
      <c r="MFB251" s="134"/>
      <c r="MFC251" s="135"/>
      <c r="MFD251" s="135"/>
      <c r="MFE251" s="135"/>
      <c r="MFF251" s="135"/>
      <c r="MFG251" s="173"/>
      <c r="MFH251" s="173"/>
      <c r="MFI251" s="173"/>
      <c r="MFJ251" s="173"/>
      <c r="MFK251" s="173"/>
      <c r="MFL251" s="173"/>
      <c r="MFM251" s="173"/>
      <c r="MFN251" s="173"/>
      <c r="MFO251" s="173"/>
      <c r="MFP251" s="173"/>
      <c r="MFQ251" s="125"/>
      <c r="MFR251" s="125"/>
      <c r="MFS251" s="134"/>
      <c r="MFT251" s="135"/>
      <c r="MFU251" s="135"/>
      <c r="MFV251" s="135"/>
      <c r="MFW251" s="135"/>
      <c r="MFX251" s="173"/>
      <c r="MFY251" s="173"/>
      <c r="MFZ251" s="173"/>
      <c r="MGA251" s="173"/>
      <c r="MGB251" s="173"/>
      <c r="MGC251" s="173"/>
      <c r="MGD251" s="173"/>
      <c r="MGE251" s="173"/>
      <c r="MGF251" s="173"/>
      <c r="MGG251" s="173"/>
      <c r="MGH251" s="125"/>
      <c r="MGI251" s="125"/>
      <c r="MGJ251" s="134"/>
      <c r="MGK251" s="135"/>
      <c r="MGL251" s="135"/>
      <c r="MGM251" s="135"/>
      <c r="MGN251" s="135"/>
      <c r="MGO251" s="173"/>
      <c r="MGP251" s="173"/>
      <c r="MGQ251" s="173"/>
      <c r="MGR251" s="173"/>
      <c r="MGS251" s="173"/>
      <c r="MGT251" s="173"/>
      <c r="MGU251" s="173"/>
      <c r="MGV251" s="173"/>
      <c r="MGW251" s="173"/>
      <c r="MGX251" s="173"/>
      <c r="MGY251" s="125"/>
      <c r="MGZ251" s="125"/>
      <c r="MHA251" s="134"/>
      <c r="MHB251" s="135"/>
      <c r="MHC251" s="135"/>
      <c r="MHD251" s="135"/>
      <c r="MHE251" s="135"/>
      <c r="MHF251" s="173"/>
      <c r="MHG251" s="173"/>
      <c r="MHH251" s="173"/>
      <c r="MHI251" s="173"/>
      <c r="MHJ251" s="173"/>
      <c r="MHK251" s="173"/>
      <c r="MHL251" s="173"/>
      <c r="MHM251" s="173"/>
      <c r="MHN251" s="173"/>
      <c r="MHO251" s="173"/>
      <c r="MHP251" s="125"/>
      <c r="MHQ251" s="125"/>
      <c r="MHR251" s="134"/>
      <c r="MHS251" s="135"/>
      <c r="MHT251" s="135"/>
      <c r="MHU251" s="135"/>
      <c r="MHV251" s="135"/>
      <c r="MHW251" s="173"/>
      <c r="MHX251" s="173"/>
      <c r="MHY251" s="173"/>
      <c r="MHZ251" s="173"/>
      <c r="MIA251" s="173"/>
      <c r="MIB251" s="173"/>
      <c r="MIC251" s="173"/>
      <c r="MID251" s="173"/>
      <c r="MIE251" s="173"/>
      <c r="MIF251" s="173"/>
      <c r="MIG251" s="125"/>
      <c r="MIH251" s="125"/>
      <c r="MII251" s="134"/>
      <c r="MIJ251" s="135"/>
      <c r="MIK251" s="135"/>
      <c r="MIL251" s="135"/>
      <c r="MIM251" s="135"/>
      <c r="MIN251" s="173"/>
      <c r="MIO251" s="173"/>
      <c r="MIP251" s="173"/>
      <c r="MIQ251" s="173"/>
      <c r="MIR251" s="173"/>
      <c r="MIS251" s="173"/>
      <c r="MIT251" s="173"/>
      <c r="MIU251" s="173"/>
      <c r="MIV251" s="173"/>
      <c r="MIW251" s="173"/>
      <c r="MIX251" s="125"/>
      <c r="MIY251" s="125"/>
      <c r="MIZ251" s="134"/>
      <c r="MJA251" s="135"/>
      <c r="MJB251" s="135"/>
      <c r="MJC251" s="135"/>
      <c r="MJD251" s="135"/>
      <c r="MJE251" s="173"/>
      <c r="MJF251" s="173"/>
      <c r="MJG251" s="173"/>
      <c r="MJH251" s="173"/>
      <c r="MJI251" s="173"/>
      <c r="MJJ251" s="173"/>
      <c r="MJK251" s="173"/>
      <c r="MJL251" s="173"/>
      <c r="MJM251" s="173"/>
      <c r="MJN251" s="173"/>
      <c r="MJO251" s="125"/>
      <c r="MJP251" s="125"/>
      <c r="MJQ251" s="134"/>
      <c r="MJR251" s="135"/>
      <c r="MJS251" s="135"/>
      <c r="MJT251" s="135"/>
      <c r="MJU251" s="135"/>
      <c r="MJV251" s="173"/>
      <c r="MJW251" s="173"/>
      <c r="MJX251" s="173"/>
      <c r="MJY251" s="173"/>
      <c r="MJZ251" s="173"/>
      <c r="MKA251" s="173"/>
      <c r="MKB251" s="173"/>
      <c r="MKC251" s="173"/>
      <c r="MKD251" s="173"/>
      <c r="MKE251" s="173"/>
      <c r="MKF251" s="125"/>
      <c r="MKG251" s="125"/>
      <c r="MKH251" s="134"/>
      <c r="MKI251" s="135"/>
      <c r="MKJ251" s="135"/>
      <c r="MKK251" s="135"/>
      <c r="MKL251" s="135"/>
      <c r="MKM251" s="173"/>
      <c r="MKN251" s="173"/>
      <c r="MKO251" s="173"/>
      <c r="MKP251" s="173"/>
      <c r="MKQ251" s="173"/>
      <c r="MKR251" s="173"/>
      <c r="MKS251" s="173"/>
      <c r="MKT251" s="173"/>
      <c r="MKU251" s="173"/>
      <c r="MKV251" s="173"/>
      <c r="MKW251" s="125"/>
      <c r="MKX251" s="125"/>
      <c r="MKY251" s="134"/>
      <c r="MKZ251" s="135"/>
      <c r="MLA251" s="135"/>
      <c r="MLB251" s="135"/>
      <c r="MLC251" s="135"/>
      <c r="MLD251" s="173"/>
      <c r="MLE251" s="173"/>
      <c r="MLF251" s="173"/>
      <c r="MLG251" s="173"/>
      <c r="MLH251" s="173"/>
      <c r="MLI251" s="173"/>
      <c r="MLJ251" s="173"/>
      <c r="MLK251" s="173"/>
      <c r="MLL251" s="173"/>
      <c r="MLM251" s="173"/>
      <c r="MLN251" s="125"/>
      <c r="MLO251" s="125"/>
      <c r="MLP251" s="134"/>
      <c r="MLQ251" s="135"/>
      <c r="MLR251" s="135"/>
      <c r="MLS251" s="135"/>
      <c r="MLT251" s="135"/>
      <c r="MLU251" s="173"/>
      <c r="MLV251" s="173"/>
      <c r="MLW251" s="173"/>
      <c r="MLX251" s="173"/>
      <c r="MLY251" s="173"/>
      <c r="MLZ251" s="173"/>
      <c r="MMA251" s="173"/>
      <c r="MMB251" s="173"/>
      <c r="MMC251" s="173"/>
      <c r="MMD251" s="173"/>
      <c r="MME251" s="125"/>
      <c r="MMF251" s="125"/>
      <c r="MMG251" s="134"/>
      <c r="MMH251" s="135"/>
      <c r="MMI251" s="135"/>
      <c r="MMJ251" s="135"/>
      <c r="MMK251" s="135"/>
      <c r="MML251" s="173"/>
      <c r="MMM251" s="173"/>
      <c r="MMN251" s="173"/>
      <c r="MMO251" s="173"/>
      <c r="MMP251" s="173"/>
      <c r="MMQ251" s="173"/>
      <c r="MMR251" s="173"/>
      <c r="MMS251" s="173"/>
      <c r="MMT251" s="173"/>
      <c r="MMU251" s="173"/>
      <c r="MMV251" s="125"/>
      <c r="MMW251" s="125"/>
      <c r="MMX251" s="134"/>
      <c r="MMY251" s="135"/>
      <c r="MMZ251" s="135"/>
      <c r="MNA251" s="135"/>
      <c r="MNB251" s="135"/>
      <c r="MNC251" s="173"/>
      <c r="MND251" s="173"/>
      <c r="MNE251" s="173"/>
      <c r="MNF251" s="173"/>
      <c r="MNG251" s="173"/>
      <c r="MNH251" s="173"/>
      <c r="MNI251" s="173"/>
      <c r="MNJ251" s="173"/>
      <c r="MNK251" s="173"/>
      <c r="MNL251" s="173"/>
      <c r="MNM251" s="125"/>
      <c r="MNN251" s="125"/>
      <c r="MNO251" s="134"/>
      <c r="MNP251" s="135"/>
      <c r="MNQ251" s="135"/>
      <c r="MNR251" s="135"/>
      <c r="MNS251" s="135"/>
      <c r="MNT251" s="173"/>
      <c r="MNU251" s="173"/>
      <c r="MNV251" s="173"/>
      <c r="MNW251" s="173"/>
      <c r="MNX251" s="173"/>
      <c r="MNY251" s="173"/>
      <c r="MNZ251" s="173"/>
      <c r="MOA251" s="173"/>
      <c r="MOB251" s="173"/>
      <c r="MOC251" s="173"/>
      <c r="MOD251" s="125"/>
      <c r="MOE251" s="125"/>
      <c r="MOF251" s="134"/>
      <c r="MOG251" s="135"/>
      <c r="MOH251" s="135"/>
      <c r="MOI251" s="135"/>
      <c r="MOJ251" s="135"/>
      <c r="MOK251" s="173"/>
      <c r="MOL251" s="173"/>
      <c r="MOM251" s="173"/>
      <c r="MON251" s="173"/>
      <c r="MOO251" s="173"/>
      <c r="MOP251" s="173"/>
      <c r="MOQ251" s="173"/>
      <c r="MOR251" s="173"/>
      <c r="MOS251" s="173"/>
      <c r="MOT251" s="173"/>
      <c r="MOU251" s="125"/>
      <c r="MOV251" s="125"/>
      <c r="MOW251" s="134"/>
      <c r="MOX251" s="135"/>
      <c r="MOY251" s="135"/>
      <c r="MOZ251" s="135"/>
      <c r="MPA251" s="135"/>
      <c r="MPB251" s="173"/>
      <c r="MPC251" s="173"/>
      <c r="MPD251" s="173"/>
      <c r="MPE251" s="173"/>
      <c r="MPF251" s="173"/>
      <c r="MPG251" s="173"/>
      <c r="MPH251" s="173"/>
      <c r="MPI251" s="173"/>
      <c r="MPJ251" s="173"/>
      <c r="MPK251" s="173"/>
      <c r="MPL251" s="125"/>
      <c r="MPM251" s="125"/>
      <c r="MPN251" s="134"/>
      <c r="MPO251" s="135"/>
      <c r="MPP251" s="135"/>
      <c r="MPQ251" s="135"/>
      <c r="MPR251" s="135"/>
      <c r="MPS251" s="173"/>
      <c r="MPT251" s="173"/>
      <c r="MPU251" s="173"/>
      <c r="MPV251" s="173"/>
      <c r="MPW251" s="173"/>
      <c r="MPX251" s="173"/>
      <c r="MPY251" s="173"/>
      <c r="MPZ251" s="173"/>
      <c r="MQA251" s="173"/>
      <c r="MQB251" s="173"/>
      <c r="MQC251" s="125"/>
      <c r="MQD251" s="125"/>
      <c r="MQE251" s="134"/>
      <c r="MQF251" s="135"/>
      <c r="MQG251" s="135"/>
      <c r="MQH251" s="135"/>
      <c r="MQI251" s="135"/>
      <c r="MQJ251" s="173"/>
      <c r="MQK251" s="173"/>
      <c r="MQL251" s="173"/>
      <c r="MQM251" s="173"/>
      <c r="MQN251" s="173"/>
      <c r="MQO251" s="173"/>
      <c r="MQP251" s="173"/>
      <c r="MQQ251" s="173"/>
      <c r="MQR251" s="173"/>
      <c r="MQS251" s="173"/>
      <c r="MQT251" s="125"/>
      <c r="MQU251" s="125"/>
      <c r="MQV251" s="134"/>
      <c r="MQW251" s="135"/>
      <c r="MQX251" s="135"/>
      <c r="MQY251" s="135"/>
      <c r="MQZ251" s="135"/>
      <c r="MRA251" s="173"/>
      <c r="MRB251" s="173"/>
      <c r="MRC251" s="173"/>
      <c r="MRD251" s="173"/>
      <c r="MRE251" s="173"/>
      <c r="MRF251" s="173"/>
      <c r="MRG251" s="173"/>
      <c r="MRH251" s="173"/>
      <c r="MRI251" s="173"/>
      <c r="MRJ251" s="173"/>
      <c r="MRK251" s="125"/>
      <c r="MRL251" s="125"/>
      <c r="MRM251" s="134"/>
      <c r="MRN251" s="135"/>
      <c r="MRO251" s="135"/>
      <c r="MRP251" s="135"/>
      <c r="MRQ251" s="135"/>
      <c r="MRR251" s="173"/>
      <c r="MRS251" s="173"/>
      <c r="MRT251" s="173"/>
      <c r="MRU251" s="173"/>
      <c r="MRV251" s="173"/>
      <c r="MRW251" s="173"/>
      <c r="MRX251" s="173"/>
      <c r="MRY251" s="173"/>
      <c r="MRZ251" s="173"/>
      <c r="MSA251" s="173"/>
      <c r="MSB251" s="125"/>
      <c r="MSC251" s="125"/>
      <c r="MSD251" s="134"/>
      <c r="MSE251" s="135"/>
      <c r="MSF251" s="135"/>
      <c r="MSG251" s="135"/>
      <c r="MSH251" s="135"/>
      <c r="MSI251" s="173"/>
      <c r="MSJ251" s="173"/>
      <c r="MSK251" s="173"/>
      <c r="MSL251" s="173"/>
      <c r="MSM251" s="173"/>
      <c r="MSN251" s="173"/>
      <c r="MSO251" s="173"/>
      <c r="MSP251" s="173"/>
      <c r="MSQ251" s="173"/>
      <c r="MSR251" s="173"/>
      <c r="MSS251" s="125"/>
      <c r="MST251" s="125"/>
      <c r="MSU251" s="134"/>
      <c r="MSV251" s="135"/>
      <c r="MSW251" s="135"/>
      <c r="MSX251" s="135"/>
      <c r="MSY251" s="135"/>
      <c r="MSZ251" s="173"/>
      <c r="MTA251" s="173"/>
      <c r="MTB251" s="173"/>
      <c r="MTC251" s="173"/>
      <c r="MTD251" s="173"/>
      <c r="MTE251" s="173"/>
      <c r="MTF251" s="173"/>
      <c r="MTG251" s="173"/>
      <c r="MTH251" s="173"/>
      <c r="MTI251" s="173"/>
      <c r="MTJ251" s="125"/>
      <c r="MTK251" s="125"/>
      <c r="MTL251" s="134"/>
      <c r="MTM251" s="135"/>
      <c r="MTN251" s="135"/>
      <c r="MTO251" s="135"/>
      <c r="MTP251" s="135"/>
      <c r="MTQ251" s="173"/>
      <c r="MTR251" s="173"/>
      <c r="MTS251" s="173"/>
      <c r="MTT251" s="173"/>
      <c r="MTU251" s="173"/>
      <c r="MTV251" s="173"/>
      <c r="MTW251" s="173"/>
      <c r="MTX251" s="173"/>
      <c r="MTY251" s="173"/>
      <c r="MTZ251" s="173"/>
      <c r="MUA251" s="125"/>
      <c r="MUB251" s="125"/>
      <c r="MUC251" s="134"/>
      <c r="MUD251" s="135"/>
      <c r="MUE251" s="135"/>
      <c r="MUF251" s="135"/>
      <c r="MUG251" s="135"/>
      <c r="MUH251" s="173"/>
      <c r="MUI251" s="173"/>
      <c r="MUJ251" s="173"/>
      <c r="MUK251" s="173"/>
      <c r="MUL251" s="173"/>
      <c r="MUM251" s="173"/>
      <c r="MUN251" s="173"/>
      <c r="MUO251" s="173"/>
      <c r="MUP251" s="173"/>
      <c r="MUQ251" s="173"/>
      <c r="MUR251" s="125"/>
      <c r="MUS251" s="125"/>
      <c r="MUT251" s="134"/>
      <c r="MUU251" s="135"/>
      <c r="MUV251" s="135"/>
      <c r="MUW251" s="135"/>
      <c r="MUX251" s="135"/>
      <c r="MUY251" s="173"/>
      <c r="MUZ251" s="173"/>
      <c r="MVA251" s="173"/>
      <c r="MVB251" s="173"/>
      <c r="MVC251" s="173"/>
      <c r="MVD251" s="173"/>
      <c r="MVE251" s="173"/>
      <c r="MVF251" s="173"/>
      <c r="MVG251" s="173"/>
      <c r="MVH251" s="173"/>
      <c r="MVI251" s="125"/>
      <c r="MVJ251" s="125"/>
      <c r="MVK251" s="134"/>
      <c r="MVL251" s="135"/>
      <c r="MVM251" s="135"/>
      <c r="MVN251" s="135"/>
      <c r="MVO251" s="135"/>
      <c r="MVP251" s="173"/>
      <c r="MVQ251" s="173"/>
      <c r="MVR251" s="173"/>
      <c r="MVS251" s="173"/>
      <c r="MVT251" s="173"/>
      <c r="MVU251" s="173"/>
      <c r="MVV251" s="173"/>
      <c r="MVW251" s="173"/>
      <c r="MVX251" s="173"/>
      <c r="MVY251" s="173"/>
      <c r="MVZ251" s="125"/>
      <c r="MWA251" s="125"/>
      <c r="MWB251" s="134"/>
      <c r="MWC251" s="135"/>
      <c r="MWD251" s="135"/>
      <c r="MWE251" s="135"/>
      <c r="MWF251" s="135"/>
      <c r="MWG251" s="173"/>
      <c r="MWH251" s="173"/>
      <c r="MWI251" s="173"/>
      <c r="MWJ251" s="173"/>
      <c r="MWK251" s="173"/>
      <c r="MWL251" s="173"/>
      <c r="MWM251" s="173"/>
      <c r="MWN251" s="173"/>
      <c r="MWO251" s="173"/>
      <c r="MWP251" s="173"/>
      <c r="MWQ251" s="125"/>
      <c r="MWR251" s="125"/>
      <c r="MWS251" s="134"/>
      <c r="MWT251" s="135"/>
      <c r="MWU251" s="135"/>
      <c r="MWV251" s="135"/>
      <c r="MWW251" s="135"/>
      <c r="MWX251" s="173"/>
      <c r="MWY251" s="173"/>
      <c r="MWZ251" s="173"/>
      <c r="MXA251" s="173"/>
      <c r="MXB251" s="173"/>
      <c r="MXC251" s="173"/>
      <c r="MXD251" s="173"/>
      <c r="MXE251" s="173"/>
      <c r="MXF251" s="173"/>
      <c r="MXG251" s="173"/>
      <c r="MXH251" s="125"/>
      <c r="MXI251" s="125"/>
      <c r="MXJ251" s="134"/>
      <c r="MXK251" s="135"/>
      <c r="MXL251" s="135"/>
      <c r="MXM251" s="135"/>
      <c r="MXN251" s="135"/>
      <c r="MXO251" s="173"/>
      <c r="MXP251" s="173"/>
      <c r="MXQ251" s="173"/>
      <c r="MXR251" s="173"/>
      <c r="MXS251" s="173"/>
      <c r="MXT251" s="173"/>
      <c r="MXU251" s="173"/>
      <c r="MXV251" s="173"/>
      <c r="MXW251" s="173"/>
      <c r="MXX251" s="173"/>
      <c r="MXY251" s="125"/>
      <c r="MXZ251" s="125"/>
      <c r="MYA251" s="134"/>
      <c r="MYB251" s="135"/>
      <c r="MYC251" s="135"/>
      <c r="MYD251" s="135"/>
      <c r="MYE251" s="135"/>
      <c r="MYF251" s="173"/>
      <c r="MYG251" s="173"/>
      <c r="MYH251" s="173"/>
      <c r="MYI251" s="173"/>
      <c r="MYJ251" s="173"/>
      <c r="MYK251" s="173"/>
      <c r="MYL251" s="173"/>
      <c r="MYM251" s="173"/>
      <c r="MYN251" s="173"/>
      <c r="MYO251" s="173"/>
      <c r="MYP251" s="125"/>
      <c r="MYQ251" s="125"/>
      <c r="MYR251" s="134"/>
      <c r="MYS251" s="135"/>
      <c r="MYT251" s="135"/>
      <c r="MYU251" s="135"/>
      <c r="MYV251" s="135"/>
      <c r="MYW251" s="173"/>
      <c r="MYX251" s="173"/>
      <c r="MYY251" s="173"/>
      <c r="MYZ251" s="173"/>
      <c r="MZA251" s="173"/>
      <c r="MZB251" s="173"/>
      <c r="MZC251" s="173"/>
      <c r="MZD251" s="173"/>
      <c r="MZE251" s="173"/>
      <c r="MZF251" s="173"/>
      <c r="MZG251" s="125"/>
      <c r="MZH251" s="125"/>
      <c r="MZI251" s="134"/>
      <c r="MZJ251" s="135"/>
      <c r="MZK251" s="135"/>
      <c r="MZL251" s="135"/>
      <c r="MZM251" s="135"/>
      <c r="MZN251" s="173"/>
      <c r="MZO251" s="173"/>
      <c r="MZP251" s="173"/>
      <c r="MZQ251" s="173"/>
      <c r="MZR251" s="173"/>
      <c r="MZS251" s="173"/>
      <c r="MZT251" s="173"/>
      <c r="MZU251" s="173"/>
      <c r="MZV251" s="173"/>
      <c r="MZW251" s="173"/>
      <c r="MZX251" s="125"/>
      <c r="MZY251" s="125"/>
      <c r="MZZ251" s="134"/>
      <c r="NAA251" s="135"/>
      <c r="NAB251" s="135"/>
      <c r="NAC251" s="135"/>
      <c r="NAD251" s="135"/>
      <c r="NAE251" s="173"/>
      <c r="NAF251" s="173"/>
      <c r="NAG251" s="173"/>
      <c r="NAH251" s="173"/>
      <c r="NAI251" s="173"/>
      <c r="NAJ251" s="173"/>
      <c r="NAK251" s="173"/>
      <c r="NAL251" s="173"/>
      <c r="NAM251" s="173"/>
      <c r="NAN251" s="173"/>
      <c r="NAO251" s="125"/>
      <c r="NAP251" s="125"/>
      <c r="NAQ251" s="134"/>
      <c r="NAR251" s="135"/>
      <c r="NAS251" s="135"/>
      <c r="NAT251" s="135"/>
      <c r="NAU251" s="135"/>
      <c r="NAV251" s="173"/>
      <c r="NAW251" s="173"/>
      <c r="NAX251" s="173"/>
      <c r="NAY251" s="173"/>
      <c r="NAZ251" s="173"/>
      <c r="NBA251" s="173"/>
      <c r="NBB251" s="173"/>
      <c r="NBC251" s="173"/>
      <c r="NBD251" s="173"/>
      <c r="NBE251" s="173"/>
      <c r="NBF251" s="125"/>
      <c r="NBG251" s="125"/>
      <c r="NBH251" s="134"/>
      <c r="NBI251" s="135"/>
      <c r="NBJ251" s="135"/>
      <c r="NBK251" s="135"/>
      <c r="NBL251" s="135"/>
      <c r="NBM251" s="173"/>
      <c r="NBN251" s="173"/>
      <c r="NBO251" s="173"/>
      <c r="NBP251" s="173"/>
      <c r="NBQ251" s="173"/>
      <c r="NBR251" s="173"/>
      <c r="NBS251" s="173"/>
      <c r="NBT251" s="173"/>
      <c r="NBU251" s="173"/>
      <c r="NBV251" s="173"/>
      <c r="NBW251" s="125"/>
      <c r="NBX251" s="125"/>
      <c r="NBY251" s="134"/>
      <c r="NBZ251" s="135"/>
      <c r="NCA251" s="135"/>
      <c r="NCB251" s="135"/>
      <c r="NCC251" s="135"/>
      <c r="NCD251" s="173"/>
      <c r="NCE251" s="173"/>
      <c r="NCF251" s="173"/>
      <c r="NCG251" s="173"/>
      <c r="NCH251" s="173"/>
      <c r="NCI251" s="173"/>
      <c r="NCJ251" s="173"/>
      <c r="NCK251" s="173"/>
      <c r="NCL251" s="173"/>
      <c r="NCM251" s="173"/>
      <c r="NCN251" s="125"/>
      <c r="NCO251" s="125"/>
      <c r="NCP251" s="134"/>
      <c r="NCQ251" s="135"/>
      <c r="NCR251" s="135"/>
      <c r="NCS251" s="135"/>
      <c r="NCT251" s="135"/>
      <c r="NCU251" s="173"/>
      <c r="NCV251" s="173"/>
      <c r="NCW251" s="173"/>
      <c r="NCX251" s="173"/>
      <c r="NCY251" s="173"/>
      <c r="NCZ251" s="173"/>
      <c r="NDA251" s="173"/>
      <c r="NDB251" s="173"/>
      <c r="NDC251" s="173"/>
      <c r="NDD251" s="173"/>
      <c r="NDE251" s="125"/>
      <c r="NDF251" s="125"/>
      <c r="NDG251" s="134"/>
      <c r="NDH251" s="135"/>
      <c r="NDI251" s="135"/>
      <c r="NDJ251" s="135"/>
      <c r="NDK251" s="135"/>
      <c r="NDL251" s="173"/>
      <c r="NDM251" s="173"/>
      <c r="NDN251" s="173"/>
      <c r="NDO251" s="173"/>
      <c r="NDP251" s="173"/>
      <c r="NDQ251" s="173"/>
      <c r="NDR251" s="173"/>
      <c r="NDS251" s="173"/>
      <c r="NDT251" s="173"/>
      <c r="NDU251" s="173"/>
      <c r="NDV251" s="125"/>
      <c r="NDW251" s="125"/>
      <c r="NDX251" s="134"/>
      <c r="NDY251" s="135"/>
      <c r="NDZ251" s="135"/>
      <c r="NEA251" s="135"/>
      <c r="NEB251" s="135"/>
      <c r="NEC251" s="173"/>
      <c r="NED251" s="173"/>
      <c r="NEE251" s="173"/>
      <c r="NEF251" s="173"/>
      <c r="NEG251" s="173"/>
      <c r="NEH251" s="173"/>
      <c r="NEI251" s="173"/>
      <c r="NEJ251" s="173"/>
      <c r="NEK251" s="173"/>
      <c r="NEL251" s="173"/>
      <c r="NEM251" s="125"/>
      <c r="NEN251" s="125"/>
      <c r="NEO251" s="134"/>
      <c r="NEP251" s="135"/>
      <c r="NEQ251" s="135"/>
      <c r="NER251" s="135"/>
      <c r="NES251" s="135"/>
      <c r="NET251" s="173"/>
      <c r="NEU251" s="173"/>
      <c r="NEV251" s="173"/>
      <c r="NEW251" s="173"/>
      <c r="NEX251" s="173"/>
      <c r="NEY251" s="173"/>
      <c r="NEZ251" s="173"/>
      <c r="NFA251" s="173"/>
      <c r="NFB251" s="173"/>
      <c r="NFC251" s="173"/>
      <c r="NFD251" s="125"/>
      <c r="NFE251" s="125"/>
      <c r="NFF251" s="134"/>
      <c r="NFG251" s="135"/>
      <c r="NFH251" s="135"/>
      <c r="NFI251" s="135"/>
      <c r="NFJ251" s="135"/>
      <c r="NFK251" s="173"/>
      <c r="NFL251" s="173"/>
      <c r="NFM251" s="173"/>
      <c r="NFN251" s="173"/>
      <c r="NFO251" s="173"/>
      <c r="NFP251" s="173"/>
      <c r="NFQ251" s="173"/>
      <c r="NFR251" s="173"/>
      <c r="NFS251" s="173"/>
      <c r="NFT251" s="173"/>
      <c r="NFU251" s="125"/>
      <c r="NFV251" s="125"/>
      <c r="NFW251" s="134"/>
      <c r="NFX251" s="135"/>
      <c r="NFY251" s="135"/>
      <c r="NFZ251" s="135"/>
      <c r="NGA251" s="135"/>
      <c r="NGB251" s="173"/>
      <c r="NGC251" s="173"/>
      <c r="NGD251" s="173"/>
      <c r="NGE251" s="173"/>
      <c r="NGF251" s="173"/>
      <c r="NGG251" s="173"/>
      <c r="NGH251" s="173"/>
      <c r="NGI251" s="173"/>
      <c r="NGJ251" s="173"/>
      <c r="NGK251" s="173"/>
      <c r="NGL251" s="125"/>
      <c r="NGM251" s="125"/>
      <c r="NGN251" s="134"/>
      <c r="NGO251" s="135"/>
      <c r="NGP251" s="135"/>
      <c r="NGQ251" s="135"/>
      <c r="NGR251" s="135"/>
      <c r="NGS251" s="173"/>
      <c r="NGT251" s="173"/>
      <c r="NGU251" s="173"/>
      <c r="NGV251" s="173"/>
      <c r="NGW251" s="173"/>
      <c r="NGX251" s="173"/>
      <c r="NGY251" s="173"/>
      <c r="NGZ251" s="173"/>
      <c r="NHA251" s="173"/>
      <c r="NHB251" s="173"/>
      <c r="NHC251" s="125"/>
      <c r="NHD251" s="125"/>
      <c r="NHE251" s="134"/>
      <c r="NHF251" s="135"/>
      <c r="NHG251" s="135"/>
      <c r="NHH251" s="135"/>
      <c r="NHI251" s="135"/>
      <c r="NHJ251" s="173"/>
      <c r="NHK251" s="173"/>
      <c r="NHL251" s="173"/>
      <c r="NHM251" s="173"/>
      <c r="NHN251" s="173"/>
      <c r="NHO251" s="173"/>
      <c r="NHP251" s="173"/>
      <c r="NHQ251" s="173"/>
      <c r="NHR251" s="173"/>
      <c r="NHS251" s="173"/>
      <c r="NHT251" s="125"/>
      <c r="NHU251" s="125"/>
      <c r="NHV251" s="134"/>
      <c r="NHW251" s="135"/>
      <c r="NHX251" s="135"/>
      <c r="NHY251" s="135"/>
      <c r="NHZ251" s="135"/>
      <c r="NIA251" s="173"/>
      <c r="NIB251" s="173"/>
      <c r="NIC251" s="173"/>
      <c r="NID251" s="173"/>
      <c r="NIE251" s="173"/>
      <c r="NIF251" s="173"/>
      <c r="NIG251" s="173"/>
      <c r="NIH251" s="173"/>
      <c r="NII251" s="173"/>
      <c r="NIJ251" s="173"/>
      <c r="NIK251" s="125"/>
      <c r="NIL251" s="125"/>
      <c r="NIM251" s="134"/>
      <c r="NIN251" s="135"/>
      <c r="NIO251" s="135"/>
      <c r="NIP251" s="135"/>
      <c r="NIQ251" s="135"/>
      <c r="NIR251" s="173"/>
      <c r="NIS251" s="173"/>
      <c r="NIT251" s="173"/>
      <c r="NIU251" s="173"/>
      <c r="NIV251" s="173"/>
      <c r="NIW251" s="173"/>
      <c r="NIX251" s="173"/>
      <c r="NIY251" s="173"/>
      <c r="NIZ251" s="173"/>
      <c r="NJA251" s="173"/>
      <c r="NJB251" s="125"/>
      <c r="NJC251" s="125"/>
      <c r="NJD251" s="134"/>
      <c r="NJE251" s="135"/>
      <c r="NJF251" s="135"/>
      <c r="NJG251" s="135"/>
      <c r="NJH251" s="135"/>
      <c r="NJI251" s="173"/>
      <c r="NJJ251" s="173"/>
      <c r="NJK251" s="173"/>
      <c r="NJL251" s="173"/>
      <c r="NJM251" s="173"/>
      <c r="NJN251" s="173"/>
      <c r="NJO251" s="173"/>
      <c r="NJP251" s="173"/>
      <c r="NJQ251" s="173"/>
      <c r="NJR251" s="173"/>
      <c r="NJS251" s="125"/>
      <c r="NJT251" s="125"/>
      <c r="NJU251" s="134"/>
      <c r="NJV251" s="135"/>
      <c r="NJW251" s="135"/>
      <c r="NJX251" s="135"/>
      <c r="NJY251" s="135"/>
      <c r="NJZ251" s="173"/>
      <c r="NKA251" s="173"/>
      <c r="NKB251" s="173"/>
      <c r="NKC251" s="173"/>
      <c r="NKD251" s="173"/>
      <c r="NKE251" s="173"/>
      <c r="NKF251" s="173"/>
      <c r="NKG251" s="173"/>
      <c r="NKH251" s="173"/>
      <c r="NKI251" s="173"/>
      <c r="NKJ251" s="125"/>
      <c r="NKK251" s="125"/>
      <c r="NKL251" s="134"/>
      <c r="NKM251" s="135"/>
      <c r="NKN251" s="135"/>
      <c r="NKO251" s="135"/>
      <c r="NKP251" s="135"/>
      <c r="NKQ251" s="173"/>
      <c r="NKR251" s="173"/>
      <c r="NKS251" s="173"/>
      <c r="NKT251" s="173"/>
      <c r="NKU251" s="173"/>
      <c r="NKV251" s="173"/>
      <c r="NKW251" s="173"/>
      <c r="NKX251" s="173"/>
      <c r="NKY251" s="173"/>
      <c r="NKZ251" s="173"/>
      <c r="NLA251" s="125"/>
      <c r="NLB251" s="125"/>
      <c r="NLC251" s="134"/>
      <c r="NLD251" s="135"/>
      <c r="NLE251" s="135"/>
      <c r="NLF251" s="135"/>
      <c r="NLG251" s="135"/>
      <c r="NLH251" s="173"/>
      <c r="NLI251" s="173"/>
      <c r="NLJ251" s="173"/>
      <c r="NLK251" s="173"/>
      <c r="NLL251" s="173"/>
      <c r="NLM251" s="173"/>
      <c r="NLN251" s="173"/>
      <c r="NLO251" s="173"/>
      <c r="NLP251" s="173"/>
      <c r="NLQ251" s="173"/>
      <c r="NLR251" s="125"/>
      <c r="NLS251" s="125"/>
      <c r="NLT251" s="134"/>
      <c r="NLU251" s="135"/>
      <c r="NLV251" s="135"/>
      <c r="NLW251" s="135"/>
      <c r="NLX251" s="135"/>
      <c r="NLY251" s="173"/>
      <c r="NLZ251" s="173"/>
      <c r="NMA251" s="173"/>
      <c r="NMB251" s="173"/>
      <c r="NMC251" s="173"/>
      <c r="NMD251" s="173"/>
      <c r="NME251" s="173"/>
      <c r="NMF251" s="173"/>
      <c r="NMG251" s="173"/>
      <c r="NMH251" s="173"/>
      <c r="NMI251" s="125"/>
      <c r="NMJ251" s="125"/>
      <c r="NMK251" s="134"/>
      <c r="NML251" s="135"/>
      <c r="NMM251" s="135"/>
      <c r="NMN251" s="135"/>
      <c r="NMO251" s="135"/>
      <c r="NMP251" s="173"/>
      <c r="NMQ251" s="173"/>
      <c r="NMR251" s="173"/>
      <c r="NMS251" s="173"/>
      <c r="NMT251" s="173"/>
      <c r="NMU251" s="173"/>
      <c r="NMV251" s="173"/>
      <c r="NMW251" s="173"/>
      <c r="NMX251" s="173"/>
      <c r="NMY251" s="173"/>
      <c r="NMZ251" s="125"/>
      <c r="NNA251" s="125"/>
      <c r="NNB251" s="134"/>
      <c r="NNC251" s="135"/>
      <c r="NND251" s="135"/>
      <c r="NNE251" s="135"/>
      <c r="NNF251" s="135"/>
      <c r="NNG251" s="173"/>
      <c r="NNH251" s="173"/>
      <c r="NNI251" s="173"/>
      <c r="NNJ251" s="173"/>
      <c r="NNK251" s="173"/>
      <c r="NNL251" s="173"/>
      <c r="NNM251" s="173"/>
      <c r="NNN251" s="173"/>
      <c r="NNO251" s="173"/>
      <c r="NNP251" s="173"/>
      <c r="NNQ251" s="125"/>
      <c r="NNR251" s="125"/>
      <c r="NNS251" s="134"/>
      <c r="NNT251" s="135"/>
      <c r="NNU251" s="135"/>
      <c r="NNV251" s="135"/>
      <c r="NNW251" s="135"/>
      <c r="NNX251" s="173"/>
      <c r="NNY251" s="173"/>
      <c r="NNZ251" s="173"/>
      <c r="NOA251" s="173"/>
      <c r="NOB251" s="173"/>
      <c r="NOC251" s="173"/>
      <c r="NOD251" s="173"/>
      <c r="NOE251" s="173"/>
      <c r="NOF251" s="173"/>
      <c r="NOG251" s="173"/>
      <c r="NOH251" s="125"/>
      <c r="NOI251" s="125"/>
      <c r="NOJ251" s="134"/>
      <c r="NOK251" s="135"/>
      <c r="NOL251" s="135"/>
      <c r="NOM251" s="135"/>
      <c r="NON251" s="135"/>
      <c r="NOO251" s="173"/>
      <c r="NOP251" s="173"/>
      <c r="NOQ251" s="173"/>
      <c r="NOR251" s="173"/>
      <c r="NOS251" s="173"/>
      <c r="NOT251" s="173"/>
      <c r="NOU251" s="173"/>
      <c r="NOV251" s="173"/>
      <c r="NOW251" s="173"/>
      <c r="NOX251" s="173"/>
      <c r="NOY251" s="125"/>
      <c r="NOZ251" s="125"/>
      <c r="NPA251" s="134"/>
      <c r="NPB251" s="135"/>
      <c r="NPC251" s="135"/>
      <c r="NPD251" s="135"/>
      <c r="NPE251" s="135"/>
      <c r="NPF251" s="173"/>
      <c r="NPG251" s="173"/>
      <c r="NPH251" s="173"/>
      <c r="NPI251" s="173"/>
      <c r="NPJ251" s="173"/>
      <c r="NPK251" s="173"/>
      <c r="NPL251" s="173"/>
      <c r="NPM251" s="173"/>
      <c r="NPN251" s="173"/>
      <c r="NPO251" s="173"/>
      <c r="NPP251" s="125"/>
      <c r="NPQ251" s="125"/>
      <c r="NPR251" s="134"/>
      <c r="NPS251" s="135"/>
      <c r="NPT251" s="135"/>
      <c r="NPU251" s="135"/>
      <c r="NPV251" s="135"/>
      <c r="NPW251" s="173"/>
      <c r="NPX251" s="173"/>
      <c r="NPY251" s="173"/>
      <c r="NPZ251" s="173"/>
      <c r="NQA251" s="173"/>
      <c r="NQB251" s="173"/>
      <c r="NQC251" s="173"/>
      <c r="NQD251" s="173"/>
      <c r="NQE251" s="173"/>
      <c r="NQF251" s="173"/>
      <c r="NQG251" s="125"/>
      <c r="NQH251" s="125"/>
      <c r="NQI251" s="134"/>
      <c r="NQJ251" s="135"/>
      <c r="NQK251" s="135"/>
      <c r="NQL251" s="135"/>
      <c r="NQM251" s="135"/>
      <c r="NQN251" s="173"/>
      <c r="NQO251" s="173"/>
      <c r="NQP251" s="173"/>
      <c r="NQQ251" s="173"/>
      <c r="NQR251" s="173"/>
      <c r="NQS251" s="173"/>
      <c r="NQT251" s="173"/>
      <c r="NQU251" s="173"/>
      <c r="NQV251" s="173"/>
      <c r="NQW251" s="173"/>
      <c r="NQX251" s="125"/>
      <c r="NQY251" s="125"/>
      <c r="NQZ251" s="134"/>
      <c r="NRA251" s="135"/>
      <c r="NRB251" s="135"/>
      <c r="NRC251" s="135"/>
      <c r="NRD251" s="135"/>
      <c r="NRE251" s="173"/>
      <c r="NRF251" s="173"/>
      <c r="NRG251" s="173"/>
      <c r="NRH251" s="173"/>
      <c r="NRI251" s="173"/>
      <c r="NRJ251" s="173"/>
      <c r="NRK251" s="173"/>
      <c r="NRL251" s="173"/>
      <c r="NRM251" s="173"/>
      <c r="NRN251" s="173"/>
      <c r="NRO251" s="125"/>
      <c r="NRP251" s="125"/>
      <c r="NRQ251" s="134"/>
      <c r="NRR251" s="135"/>
      <c r="NRS251" s="135"/>
      <c r="NRT251" s="135"/>
      <c r="NRU251" s="135"/>
      <c r="NRV251" s="173"/>
      <c r="NRW251" s="173"/>
      <c r="NRX251" s="173"/>
      <c r="NRY251" s="173"/>
      <c r="NRZ251" s="173"/>
      <c r="NSA251" s="173"/>
      <c r="NSB251" s="173"/>
      <c r="NSC251" s="173"/>
      <c r="NSD251" s="173"/>
      <c r="NSE251" s="173"/>
      <c r="NSF251" s="125"/>
      <c r="NSG251" s="125"/>
      <c r="NSH251" s="134"/>
      <c r="NSI251" s="135"/>
      <c r="NSJ251" s="135"/>
      <c r="NSK251" s="135"/>
      <c r="NSL251" s="135"/>
      <c r="NSM251" s="173"/>
      <c r="NSN251" s="173"/>
      <c r="NSO251" s="173"/>
      <c r="NSP251" s="173"/>
      <c r="NSQ251" s="173"/>
      <c r="NSR251" s="173"/>
      <c r="NSS251" s="173"/>
      <c r="NST251" s="173"/>
      <c r="NSU251" s="173"/>
      <c r="NSV251" s="173"/>
      <c r="NSW251" s="125"/>
      <c r="NSX251" s="125"/>
      <c r="NSY251" s="134"/>
      <c r="NSZ251" s="135"/>
      <c r="NTA251" s="135"/>
      <c r="NTB251" s="135"/>
      <c r="NTC251" s="135"/>
      <c r="NTD251" s="173"/>
      <c r="NTE251" s="173"/>
      <c r="NTF251" s="173"/>
      <c r="NTG251" s="173"/>
      <c r="NTH251" s="173"/>
      <c r="NTI251" s="173"/>
      <c r="NTJ251" s="173"/>
      <c r="NTK251" s="173"/>
      <c r="NTL251" s="173"/>
      <c r="NTM251" s="173"/>
      <c r="NTN251" s="125"/>
      <c r="NTO251" s="125"/>
      <c r="NTP251" s="134"/>
      <c r="NTQ251" s="135"/>
      <c r="NTR251" s="135"/>
      <c r="NTS251" s="135"/>
      <c r="NTT251" s="135"/>
      <c r="NTU251" s="173"/>
      <c r="NTV251" s="173"/>
      <c r="NTW251" s="173"/>
      <c r="NTX251" s="173"/>
      <c r="NTY251" s="173"/>
      <c r="NTZ251" s="173"/>
      <c r="NUA251" s="173"/>
      <c r="NUB251" s="173"/>
      <c r="NUC251" s="173"/>
      <c r="NUD251" s="173"/>
      <c r="NUE251" s="125"/>
      <c r="NUF251" s="125"/>
      <c r="NUG251" s="134"/>
      <c r="NUH251" s="135"/>
      <c r="NUI251" s="135"/>
      <c r="NUJ251" s="135"/>
      <c r="NUK251" s="135"/>
      <c r="NUL251" s="173"/>
      <c r="NUM251" s="173"/>
      <c r="NUN251" s="173"/>
      <c r="NUO251" s="173"/>
      <c r="NUP251" s="173"/>
      <c r="NUQ251" s="173"/>
      <c r="NUR251" s="173"/>
      <c r="NUS251" s="173"/>
      <c r="NUT251" s="173"/>
      <c r="NUU251" s="173"/>
      <c r="NUV251" s="125"/>
      <c r="NUW251" s="125"/>
      <c r="NUX251" s="134"/>
      <c r="NUY251" s="135"/>
      <c r="NUZ251" s="135"/>
      <c r="NVA251" s="135"/>
      <c r="NVB251" s="135"/>
      <c r="NVC251" s="173"/>
      <c r="NVD251" s="173"/>
      <c r="NVE251" s="173"/>
      <c r="NVF251" s="173"/>
      <c r="NVG251" s="173"/>
      <c r="NVH251" s="173"/>
      <c r="NVI251" s="173"/>
      <c r="NVJ251" s="173"/>
      <c r="NVK251" s="173"/>
      <c r="NVL251" s="173"/>
      <c r="NVM251" s="125"/>
      <c r="NVN251" s="125"/>
      <c r="NVO251" s="134"/>
      <c r="NVP251" s="135"/>
      <c r="NVQ251" s="135"/>
      <c r="NVR251" s="135"/>
      <c r="NVS251" s="135"/>
      <c r="NVT251" s="173"/>
      <c r="NVU251" s="173"/>
      <c r="NVV251" s="173"/>
      <c r="NVW251" s="173"/>
      <c r="NVX251" s="173"/>
      <c r="NVY251" s="173"/>
      <c r="NVZ251" s="173"/>
      <c r="NWA251" s="173"/>
      <c r="NWB251" s="173"/>
      <c r="NWC251" s="173"/>
      <c r="NWD251" s="125"/>
      <c r="NWE251" s="125"/>
      <c r="NWF251" s="134"/>
      <c r="NWG251" s="135"/>
      <c r="NWH251" s="135"/>
      <c r="NWI251" s="135"/>
      <c r="NWJ251" s="135"/>
      <c r="NWK251" s="173"/>
      <c r="NWL251" s="173"/>
      <c r="NWM251" s="173"/>
      <c r="NWN251" s="173"/>
      <c r="NWO251" s="173"/>
      <c r="NWP251" s="173"/>
      <c r="NWQ251" s="173"/>
      <c r="NWR251" s="173"/>
      <c r="NWS251" s="173"/>
      <c r="NWT251" s="173"/>
      <c r="NWU251" s="125"/>
      <c r="NWV251" s="125"/>
      <c r="NWW251" s="134"/>
      <c r="NWX251" s="135"/>
      <c r="NWY251" s="135"/>
      <c r="NWZ251" s="135"/>
      <c r="NXA251" s="135"/>
      <c r="NXB251" s="173"/>
      <c r="NXC251" s="173"/>
      <c r="NXD251" s="173"/>
      <c r="NXE251" s="173"/>
      <c r="NXF251" s="173"/>
      <c r="NXG251" s="173"/>
      <c r="NXH251" s="173"/>
      <c r="NXI251" s="173"/>
      <c r="NXJ251" s="173"/>
      <c r="NXK251" s="173"/>
      <c r="NXL251" s="125"/>
      <c r="NXM251" s="125"/>
      <c r="NXN251" s="134"/>
      <c r="NXO251" s="135"/>
      <c r="NXP251" s="135"/>
      <c r="NXQ251" s="135"/>
      <c r="NXR251" s="135"/>
      <c r="NXS251" s="173"/>
      <c r="NXT251" s="173"/>
      <c r="NXU251" s="173"/>
      <c r="NXV251" s="173"/>
      <c r="NXW251" s="173"/>
      <c r="NXX251" s="173"/>
      <c r="NXY251" s="173"/>
      <c r="NXZ251" s="173"/>
      <c r="NYA251" s="173"/>
      <c r="NYB251" s="173"/>
      <c r="NYC251" s="125"/>
      <c r="NYD251" s="125"/>
      <c r="NYE251" s="134"/>
      <c r="NYF251" s="135"/>
      <c r="NYG251" s="135"/>
      <c r="NYH251" s="135"/>
      <c r="NYI251" s="135"/>
      <c r="NYJ251" s="173"/>
      <c r="NYK251" s="173"/>
      <c r="NYL251" s="173"/>
      <c r="NYM251" s="173"/>
      <c r="NYN251" s="173"/>
      <c r="NYO251" s="173"/>
      <c r="NYP251" s="173"/>
      <c r="NYQ251" s="173"/>
      <c r="NYR251" s="173"/>
      <c r="NYS251" s="173"/>
      <c r="NYT251" s="125"/>
      <c r="NYU251" s="125"/>
      <c r="NYV251" s="134"/>
      <c r="NYW251" s="135"/>
      <c r="NYX251" s="135"/>
      <c r="NYY251" s="135"/>
      <c r="NYZ251" s="135"/>
      <c r="NZA251" s="173"/>
      <c r="NZB251" s="173"/>
      <c r="NZC251" s="173"/>
      <c r="NZD251" s="173"/>
      <c r="NZE251" s="173"/>
      <c r="NZF251" s="173"/>
      <c r="NZG251" s="173"/>
      <c r="NZH251" s="173"/>
      <c r="NZI251" s="173"/>
      <c r="NZJ251" s="173"/>
      <c r="NZK251" s="125"/>
      <c r="NZL251" s="125"/>
      <c r="NZM251" s="134"/>
      <c r="NZN251" s="135"/>
      <c r="NZO251" s="135"/>
      <c r="NZP251" s="135"/>
      <c r="NZQ251" s="135"/>
      <c r="NZR251" s="173"/>
      <c r="NZS251" s="173"/>
      <c r="NZT251" s="173"/>
      <c r="NZU251" s="173"/>
      <c r="NZV251" s="173"/>
      <c r="NZW251" s="173"/>
      <c r="NZX251" s="173"/>
      <c r="NZY251" s="173"/>
      <c r="NZZ251" s="173"/>
      <c r="OAA251" s="173"/>
      <c r="OAB251" s="125"/>
      <c r="OAC251" s="125"/>
      <c r="OAD251" s="134"/>
      <c r="OAE251" s="135"/>
      <c r="OAF251" s="135"/>
      <c r="OAG251" s="135"/>
      <c r="OAH251" s="135"/>
      <c r="OAI251" s="173"/>
      <c r="OAJ251" s="173"/>
      <c r="OAK251" s="173"/>
      <c r="OAL251" s="173"/>
      <c r="OAM251" s="173"/>
      <c r="OAN251" s="173"/>
      <c r="OAO251" s="173"/>
      <c r="OAP251" s="173"/>
      <c r="OAQ251" s="173"/>
      <c r="OAR251" s="173"/>
      <c r="OAS251" s="125"/>
      <c r="OAT251" s="125"/>
      <c r="OAU251" s="134"/>
      <c r="OAV251" s="135"/>
      <c r="OAW251" s="135"/>
      <c r="OAX251" s="135"/>
      <c r="OAY251" s="135"/>
      <c r="OAZ251" s="173"/>
      <c r="OBA251" s="173"/>
      <c r="OBB251" s="173"/>
      <c r="OBC251" s="173"/>
      <c r="OBD251" s="173"/>
      <c r="OBE251" s="173"/>
      <c r="OBF251" s="173"/>
      <c r="OBG251" s="173"/>
      <c r="OBH251" s="173"/>
      <c r="OBI251" s="173"/>
      <c r="OBJ251" s="125"/>
      <c r="OBK251" s="125"/>
      <c r="OBL251" s="134"/>
      <c r="OBM251" s="135"/>
      <c r="OBN251" s="135"/>
      <c r="OBO251" s="135"/>
      <c r="OBP251" s="135"/>
      <c r="OBQ251" s="173"/>
      <c r="OBR251" s="173"/>
      <c r="OBS251" s="173"/>
      <c r="OBT251" s="173"/>
      <c r="OBU251" s="173"/>
      <c r="OBV251" s="173"/>
      <c r="OBW251" s="173"/>
      <c r="OBX251" s="173"/>
      <c r="OBY251" s="173"/>
      <c r="OBZ251" s="173"/>
      <c r="OCA251" s="125"/>
      <c r="OCB251" s="125"/>
      <c r="OCC251" s="134"/>
      <c r="OCD251" s="135"/>
      <c r="OCE251" s="135"/>
      <c r="OCF251" s="135"/>
      <c r="OCG251" s="135"/>
      <c r="OCH251" s="173"/>
      <c r="OCI251" s="173"/>
      <c r="OCJ251" s="173"/>
      <c r="OCK251" s="173"/>
      <c r="OCL251" s="173"/>
      <c r="OCM251" s="173"/>
      <c r="OCN251" s="173"/>
      <c r="OCO251" s="173"/>
      <c r="OCP251" s="173"/>
      <c r="OCQ251" s="173"/>
      <c r="OCR251" s="125"/>
      <c r="OCS251" s="125"/>
      <c r="OCT251" s="134"/>
      <c r="OCU251" s="135"/>
      <c r="OCV251" s="135"/>
      <c r="OCW251" s="135"/>
      <c r="OCX251" s="135"/>
      <c r="OCY251" s="173"/>
      <c r="OCZ251" s="173"/>
      <c r="ODA251" s="173"/>
      <c r="ODB251" s="173"/>
      <c r="ODC251" s="173"/>
      <c r="ODD251" s="173"/>
      <c r="ODE251" s="173"/>
      <c r="ODF251" s="173"/>
      <c r="ODG251" s="173"/>
      <c r="ODH251" s="173"/>
      <c r="ODI251" s="125"/>
      <c r="ODJ251" s="125"/>
      <c r="ODK251" s="134"/>
      <c r="ODL251" s="135"/>
      <c r="ODM251" s="135"/>
      <c r="ODN251" s="135"/>
      <c r="ODO251" s="135"/>
      <c r="ODP251" s="173"/>
      <c r="ODQ251" s="173"/>
      <c r="ODR251" s="173"/>
      <c r="ODS251" s="173"/>
      <c r="ODT251" s="173"/>
      <c r="ODU251" s="173"/>
      <c r="ODV251" s="173"/>
      <c r="ODW251" s="173"/>
      <c r="ODX251" s="173"/>
      <c r="ODY251" s="173"/>
      <c r="ODZ251" s="125"/>
      <c r="OEA251" s="125"/>
      <c r="OEB251" s="134"/>
      <c r="OEC251" s="135"/>
      <c r="OED251" s="135"/>
      <c r="OEE251" s="135"/>
      <c r="OEF251" s="135"/>
      <c r="OEG251" s="173"/>
      <c r="OEH251" s="173"/>
      <c r="OEI251" s="173"/>
      <c r="OEJ251" s="173"/>
      <c r="OEK251" s="173"/>
      <c r="OEL251" s="173"/>
      <c r="OEM251" s="173"/>
      <c r="OEN251" s="173"/>
      <c r="OEO251" s="173"/>
      <c r="OEP251" s="173"/>
      <c r="OEQ251" s="125"/>
      <c r="OER251" s="125"/>
      <c r="OES251" s="134"/>
      <c r="OET251" s="135"/>
      <c r="OEU251" s="135"/>
      <c r="OEV251" s="135"/>
      <c r="OEW251" s="135"/>
      <c r="OEX251" s="173"/>
      <c r="OEY251" s="173"/>
      <c r="OEZ251" s="173"/>
      <c r="OFA251" s="173"/>
      <c r="OFB251" s="173"/>
      <c r="OFC251" s="173"/>
      <c r="OFD251" s="173"/>
      <c r="OFE251" s="173"/>
      <c r="OFF251" s="173"/>
      <c r="OFG251" s="173"/>
      <c r="OFH251" s="125"/>
      <c r="OFI251" s="125"/>
      <c r="OFJ251" s="134"/>
      <c r="OFK251" s="135"/>
      <c r="OFL251" s="135"/>
      <c r="OFM251" s="135"/>
      <c r="OFN251" s="135"/>
      <c r="OFO251" s="173"/>
      <c r="OFP251" s="173"/>
      <c r="OFQ251" s="173"/>
      <c r="OFR251" s="173"/>
      <c r="OFS251" s="173"/>
      <c r="OFT251" s="173"/>
      <c r="OFU251" s="173"/>
      <c r="OFV251" s="173"/>
      <c r="OFW251" s="173"/>
      <c r="OFX251" s="173"/>
      <c r="OFY251" s="125"/>
      <c r="OFZ251" s="125"/>
      <c r="OGA251" s="134"/>
      <c r="OGB251" s="135"/>
      <c r="OGC251" s="135"/>
      <c r="OGD251" s="135"/>
      <c r="OGE251" s="135"/>
      <c r="OGF251" s="173"/>
      <c r="OGG251" s="173"/>
      <c r="OGH251" s="173"/>
      <c r="OGI251" s="173"/>
      <c r="OGJ251" s="173"/>
      <c r="OGK251" s="173"/>
      <c r="OGL251" s="173"/>
      <c r="OGM251" s="173"/>
      <c r="OGN251" s="173"/>
      <c r="OGO251" s="173"/>
      <c r="OGP251" s="125"/>
      <c r="OGQ251" s="125"/>
      <c r="OGR251" s="134"/>
      <c r="OGS251" s="135"/>
      <c r="OGT251" s="135"/>
      <c r="OGU251" s="135"/>
      <c r="OGV251" s="135"/>
      <c r="OGW251" s="173"/>
      <c r="OGX251" s="173"/>
      <c r="OGY251" s="173"/>
      <c r="OGZ251" s="173"/>
      <c r="OHA251" s="173"/>
      <c r="OHB251" s="173"/>
      <c r="OHC251" s="173"/>
      <c r="OHD251" s="173"/>
      <c r="OHE251" s="173"/>
      <c r="OHF251" s="173"/>
      <c r="OHG251" s="125"/>
      <c r="OHH251" s="125"/>
      <c r="OHI251" s="134"/>
      <c r="OHJ251" s="135"/>
      <c r="OHK251" s="135"/>
      <c r="OHL251" s="135"/>
      <c r="OHM251" s="135"/>
      <c r="OHN251" s="173"/>
      <c r="OHO251" s="173"/>
      <c r="OHP251" s="173"/>
      <c r="OHQ251" s="173"/>
      <c r="OHR251" s="173"/>
      <c r="OHS251" s="173"/>
      <c r="OHT251" s="173"/>
      <c r="OHU251" s="173"/>
      <c r="OHV251" s="173"/>
      <c r="OHW251" s="173"/>
      <c r="OHX251" s="125"/>
      <c r="OHY251" s="125"/>
      <c r="OHZ251" s="134"/>
      <c r="OIA251" s="135"/>
      <c r="OIB251" s="135"/>
      <c r="OIC251" s="135"/>
      <c r="OID251" s="135"/>
      <c r="OIE251" s="173"/>
      <c r="OIF251" s="173"/>
      <c r="OIG251" s="173"/>
      <c r="OIH251" s="173"/>
      <c r="OII251" s="173"/>
      <c r="OIJ251" s="173"/>
      <c r="OIK251" s="173"/>
      <c r="OIL251" s="173"/>
      <c r="OIM251" s="173"/>
      <c r="OIN251" s="173"/>
      <c r="OIO251" s="125"/>
      <c r="OIP251" s="125"/>
      <c r="OIQ251" s="134"/>
      <c r="OIR251" s="135"/>
      <c r="OIS251" s="135"/>
      <c r="OIT251" s="135"/>
      <c r="OIU251" s="135"/>
      <c r="OIV251" s="173"/>
      <c r="OIW251" s="173"/>
      <c r="OIX251" s="173"/>
      <c r="OIY251" s="173"/>
      <c r="OIZ251" s="173"/>
      <c r="OJA251" s="173"/>
      <c r="OJB251" s="173"/>
      <c r="OJC251" s="173"/>
      <c r="OJD251" s="173"/>
      <c r="OJE251" s="173"/>
      <c r="OJF251" s="125"/>
      <c r="OJG251" s="125"/>
      <c r="OJH251" s="134"/>
      <c r="OJI251" s="135"/>
      <c r="OJJ251" s="135"/>
      <c r="OJK251" s="135"/>
      <c r="OJL251" s="135"/>
      <c r="OJM251" s="173"/>
      <c r="OJN251" s="173"/>
      <c r="OJO251" s="173"/>
      <c r="OJP251" s="173"/>
      <c r="OJQ251" s="173"/>
      <c r="OJR251" s="173"/>
      <c r="OJS251" s="173"/>
      <c r="OJT251" s="173"/>
      <c r="OJU251" s="173"/>
      <c r="OJV251" s="173"/>
      <c r="OJW251" s="125"/>
      <c r="OJX251" s="125"/>
      <c r="OJY251" s="134"/>
      <c r="OJZ251" s="135"/>
      <c r="OKA251" s="135"/>
      <c r="OKB251" s="135"/>
      <c r="OKC251" s="135"/>
      <c r="OKD251" s="173"/>
      <c r="OKE251" s="173"/>
      <c r="OKF251" s="173"/>
      <c r="OKG251" s="173"/>
      <c r="OKH251" s="173"/>
      <c r="OKI251" s="173"/>
      <c r="OKJ251" s="173"/>
      <c r="OKK251" s="173"/>
      <c r="OKL251" s="173"/>
      <c r="OKM251" s="173"/>
      <c r="OKN251" s="125"/>
      <c r="OKO251" s="125"/>
      <c r="OKP251" s="134"/>
      <c r="OKQ251" s="135"/>
      <c r="OKR251" s="135"/>
      <c r="OKS251" s="135"/>
      <c r="OKT251" s="135"/>
      <c r="OKU251" s="173"/>
      <c r="OKV251" s="173"/>
      <c r="OKW251" s="173"/>
      <c r="OKX251" s="173"/>
      <c r="OKY251" s="173"/>
      <c r="OKZ251" s="173"/>
      <c r="OLA251" s="173"/>
      <c r="OLB251" s="173"/>
      <c r="OLC251" s="173"/>
      <c r="OLD251" s="173"/>
      <c r="OLE251" s="125"/>
      <c r="OLF251" s="125"/>
      <c r="OLG251" s="134"/>
      <c r="OLH251" s="135"/>
      <c r="OLI251" s="135"/>
      <c r="OLJ251" s="135"/>
      <c r="OLK251" s="135"/>
      <c r="OLL251" s="173"/>
      <c r="OLM251" s="173"/>
      <c r="OLN251" s="173"/>
      <c r="OLO251" s="173"/>
      <c r="OLP251" s="173"/>
      <c r="OLQ251" s="173"/>
      <c r="OLR251" s="173"/>
      <c r="OLS251" s="173"/>
      <c r="OLT251" s="173"/>
      <c r="OLU251" s="173"/>
      <c r="OLV251" s="125"/>
      <c r="OLW251" s="125"/>
      <c r="OLX251" s="134"/>
      <c r="OLY251" s="135"/>
      <c r="OLZ251" s="135"/>
      <c r="OMA251" s="135"/>
      <c r="OMB251" s="135"/>
      <c r="OMC251" s="173"/>
      <c r="OMD251" s="173"/>
      <c r="OME251" s="173"/>
      <c r="OMF251" s="173"/>
      <c r="OMG251" s="173"/>
      <c r="OMH251" s="173"/>
      <c r="OMI251" s="173"/>
      <c r="OMJ251" s="173"/>
      <c r="OMK251" s="173"/>
      <c r="OML251" s="173"/>
      <c r="OMM251" s="125"/>
      <c r="OMN251" s="125"/>
      <c r="OMO251" s="134"/>
      <c r="OMP251" s="135"/>
      <c r="OMQ251" s="135"/>
      <c r="OMR251" s="135"/>
      <c r="OMS251" s="135"/>
      <c r="OMT251" s="173"/>
      <c r="OMU251" s="173"/>
      <c r="OMV251" s="173"/>
      <c r="OMW251" s="173"/>
      <c r="OMX251" s="173"/>
      <c r="OMY251" s="173"/>
      <c r="OMZ251" s="173"/>
      <c r="ONA251" s="173"/>
      <c r="ONB251" s="173"/>
      <c r="ONC251" s="173"/>
      <c r="OND251" s="125"/>
      <c r="ONE251" s="125"/>
      <c r="ONF251" s="134"/>
      <c r="ONG251" s="135"/>
      <c r="ONH251" s="135"/>
      <c r="ONI251" s="135"/>
      <c r="ONJ251" s="135"/>
      <c r="ONK251" s="173"/>
      <c r="ONL251" s="173"/>
      <c r="ONM251" s="173"/>
      <c r="ONN251" s="173"/>
      <c r="ONO251" s="173"/>
      <c r="ONP251" s="173"/>
      <c r="ONQ251" s="173"/>
      <c r="ONR251" s="173"/>
      <c r="ONS251" s="173"/>
      <c r="ONT251" s="173"/>
      <c r="ONU251" s="125"/>
      <c r="ONV251" s="125"/>
      <c r="ONW251" s="134"/>
      <c r="ONX251" s="135"/>
      <c r="ONY251" s="135"/>
      <c r="ONZ251" s="135"/>
      <c r="OOA251" s="135"/>
      <c r="OOB251" s="173"/>
      <c r="OOC251" s="173"/>
      <c r="OOD251" s="173"/>
      <c r="OOE251" s="173"/>
      <c r="OOF251" s="173"/>
      <c r="OOG251" s="173"/>
      <c r="OOH251" s="173"/>
      <c r="OOI251" s="173"/>
      <c r="OOJ251" s="173"/>
      <c r="OOK251" s="173"/>
      <c r="OOL251" s="125"/>
      <c r="OOM251" s="125"/>
      <c r="OON251" s="134"/>
      <c r="OOO251" s="135"/>
      <c r="OOP251" s="135"/>
      <c r="OOQ251" s="135"/>
      <c r="OOR251" s="135"/>
      <c r="OOS251" s="173"/>
      <c r="OOT251" s="173"/>
      <c r="OOU251" s="173"/>
      <c r="OOV251" s="173"/>
      <c r="OOW251" s="173"/>
      <c r="OOX251" s="173"/>
      <c r="OOY251" s="173"/>
      <c r="OOZ251" s="173"/>
      <c r="OPA251" s="173"/>
      <c r="OPB251" s="173"/>
      <c r="OPC251" s="125"/>
      <c r="OPD251" s="125"/>
      <c r="OPE251" s="134"/>
      <c r="OPF251" s="135"/>
      <c r="OPG251" s="135"/>
      <c r="OPH251" s="135"/>
      <c r="OPI251" s="135"/>
      <c r="OPJ251" s="173"/>
      <c r="OPK251" s="173"/>
      <c r="OPL251" s="173"/>
      <c r="OPM251" s="173"/>
      <c r="OPN251" s="173"/>
      <c r="OPO251" s="173"/>
      <c r="OPP251" s="173"/>
      <c r="OPQ251" s="173"/>
      <c r="OPR251" s="173"/>
      <c r="OPS251" s="173"/>
      <c r="OPT251" s="125"/>
      <c r="OPU251" s="125"/>
      <c r="OPV251" s="134"/>
      <c r="OPW251" s="135"/>
      <c r="OPX251" s="135"/>
      <c r="OPY251" s="135"/>
      <c r="OPZ251" s="135"/>
      <c r="OQA251" s="173"/>
      <c r="OQB251" s="173"/>
      <c r="OQC251" s="173"/>
      <c r="OQD251" s="173"/>
      <c r="OQE251" s="173"/>
      <c r="OQF251" s="173"/>
      <c r="OQG251" s="173"/>
      <c r="OQH251" s="173"/>
      <c r="OQI251" s="173"/>
      <c r="OQJ251" s="173"/>
      <c r="OQK251" s="125"/>
      <c r="OQL251" s="125"/>
      <c r="OQM251" s="134"/>
      <c r="OQN251" s="135"/>
      <c r="OQO251" s="135"/>
      <c r="OQP251" s="135"/>
      <c r="OQQ251" s="135"/>
      <c r="OQR251" s="173"/>
      <c r="OQS251" s="173"/>
      <c r="OQT251" s="173"/>
      <c r="OQU251" s="173"/>
      <c r="OQV251" s="173"/>
      <c r="OQW251" s="173"/>
      <c r="OQX251" s="173"/>
      <c r="OQY251" s="173"/>
      <c r="OQZ251" s="173"/>
      <c r="ORA251" s="173"/>
      <c r="ORB251" s="125"/>
      <c r="ORC251" s="125"/>
      <c r="ORD251" s="134"/>
      <c r="ORE251" s="135"/>
      <c r="ORF251" s="135"/>
      <c r="ORG251" s="135"/>
      <c r="ORH251" s="135"/>
      <c r="ORI251" s="173"/>
      <c r="ORJ251" s="173"/>
      <c r="ORK251" s="173"/>
      <c r="ORL251" s="173"/>
      <c r="ORM251" s="173"/>
      <c r="ORN251" s="173"/>
      <c r="ORO251" s="173"/>
      <c r="ORP251" s="173"/>
      <c r="ORQ251" s="173"/>
      <c r="ORR251" s="173"/>
      <c r="ORS251" s="125"/>
      <c r="ORT251" s="125"/>
      <c r="ORU251" s="134"/>
      <c r="ORV251" s="135"/>
      <c r="ORW251" s="135"/>
      <c r="ORX251" s="135"/>
      <c r="ORY251" s="135"/>
      <c r="ORZ251" s="173"/>
      <c r="OSA251" s="173"/>
      <c r="OSB251" s="173"/>
      <c r="OSC251" s="173"/>
      <c r="OSD251" s="173"/>
      <c r="OSE251" s="173"/>
      <c r="OSF251" s="173"/>
      <c r="OSG251" s="173"/>
      <c r="OSH251" s="173"/>
      <c r="OSI251" s="173"/>
      <c r="OSJ251" s="125"/>
      <c r="OSK251" s="125"/>
      <c r="OSL251" s="134"/>
      <c r="OSM251" s="135"/>
      <c r="OSN251" s="135"/>
      <c r="OSO251" s="135"/>
      <c r="OSP251" s="135"/>
      <c r="OSQ251" s="173"/>
      <c r="OSR251" s="173"/>
      <c r="OSS251" s="173"/>
      <c r="OST251" s="173"/>
      <c r="OSU251" s="173"/>
      <c r="OSV251" s="173"/>
      <c r="OSW251" s="173"/>
      <c r="OSX251" s="173"/>
      <c r="OSY251" s="173"/>
      <c r="OSZ251" s="173"/>
      <c r="OTA251" s="125"/>
      <c r="OTB251" s="125"/>
      <c r="OTC251" s="134"/>
      <c r="OTD251" s="135"/>
      <c r="OTE251" s="135"/>
      <c r="OTF251" s="135"/>
      <c r="OTG251" s="135"/>
      <c r="OTH251" s="173"/>
      <c r="OTI251" s="173"/>
      <c r="OTJ251" s="173"/>
      <c r="OTK251" s="173"/>
      <c r="OTL251" s="173"/>
      <c r="OTM251" s="173"/>
      <c r="OTN251" s="173"/>
      <c r="OTO251" s="173"/>
      <c r="OTP251" s="173"/>
      <c r="OTQ251" s="173"/>
      <c r="OTR251" s="125"/>
      <c r="OTS251" s="125"/>
      <c r="OTT251" s="134"/>
      <c r="OTU251" s="135"/>
      <c r="OTV251" s="135"/>
      <c r="OTW251" s="135"/>
      <c r="OTX251" s="135"/>
      <c r="OTY251" s="173"/>
      <c r="OTZ251" s="173"/>
      <c r="OUA251" s="173"/>
      <c r="OUB251" s="173"/>
      <c r="OUC251" s="173"/>
      <c r="OUD251" s="173"/>
      <c r="OUE251" s="173"/>
      <c r="OUF251" s="173"/>
      <c r="OUG251" s="173"/>
      <c r="OUH251" s="173"/>
      <c r="OUI251" s="125"/>
      <c r="OUJ251" s="125"/>
      <c r="OUK251" s="134"/>
      <c r="OUL251" s="135"/>
      <c r="OUM251" s="135"/>
      <c r="OUN251" s="135"/>
      <c r="OUO251" s="135"/>
      <c r="OUP251" s="173"/>
      <c r="OUQ251" s="173"/>
      <c r="OUR251" s="173"/>
      <c r="OUS251" s="173"/>
      <c r="OUT251" s="173"/>
      <c r="OUU251" s="173"/>
      <c r="OUV251" s="173"/>
      <c r="OUW251" s="173"/>
      <c r="OUX251" s="173"/>
      <c r="OUY251" s="173"/>
      <c r="OUZ251" s="125"/>
      <c r="OVA251" s="125"/>
      <c r="OVB251" s="134"/>
      <c r="OVC251" s="135"/>
      <c r="OVD251" s="135"/>
      <c r="OVE251" s="135"/>
      <c r="OVF251" s="135"/>
      <c r="OVG251" s="173"/>
      <c r="OVH251" s="173"/>
      <c r="OVI251" s="173"/>
      <c r="OVJ251" s="173"/>
      <c r="OVK251" s="173"/>
      <c r="OVL251" s="173"/>
      <c r="OVM251" s="173"/>
      <c r="OVN251" s="173"/>
      <c r="OVO251" s="173"/>
      <c r="OVP251" s="173"/>
      <c r="OVQ251" s="125"/>
      <c r="OVR251" s="125"/>
      <c r="OVS251" s="134"/>
      <c r="OVT251" s="135"/>
      <c r="OVU251" s="135"/>
      <c r="OVV251" s="135"/>
      <c r="OVW251" s="135"/>
      <c r="OVX251" s="173"/>
      <c r="OVY251" s="173"/>
      <c r="OVZ251" s="173"/>
      <c r="OWA251" s="173"/>
      <c r="OWB251" s="173"/>
      <c r="OWC251" s="173"/>
      <c r="OWD251" s="173"/>
      <c r="OWE251" s="173"/>
      <c r="OWF251" s="173"/>
      <c r="OWG251" s="173"/>
      <c r="OWH251" s="125"/>
      <c r="OWI251" s="125"/>
      <c r="OWJ251" s="134"/>
      <c r="OWK251" s="135"/>
      <c r="OWL251" s="135"/>
      <c r="OWM251" s="135"/>
      <c r="OWN251" s="135"/>
      <c r="OWO251" s="173"/>
      <c r="OWP251" s="173"/>
      <c r="OWQ251" s="173"/>
      <c r="OWR251" s="173"/>
      <c r="OWS251" s="173"/>
      <c r="OWT251" s="173"/>
      <c r="OWU251" s="173"/>
      <c r="OWV251" s="173"/>
      <c r="OWW251" s="173"/>
      <c r="OWX251" s="173"/>
      <c r="OWY251" s="125"/>
      <c r="OWZ251" s="125"/>
      <c r="OXA251" s="134"/>
      <c r="OXB251" s="135"/>
      <c r="OXC251" s="135"/>
      <c r="OXD251" s="135"/>
      <c r="OXE251" s="135"/>
      <c r="OXF251" s="173"/>
      <c r="OXG251" s="173"/>
      <c r="OXH251" s="173"/>
      <c r="OXI251" s="173"/>
      <c r="OXJ251" s="173"/>
      <c r="OXK251" s="173"/>
      <c r="OXL251" s="173"/>
      <c r="OXM251" s="173"/>
      <c r="OXN251" s="173"/>
      <c r="OXO251" s="173"/>
      <c r="OXP251" s="125"/>
      <c r="OXQ251" s="125"/>
      <c r="OXR251" s="134"/>
      <c r="OXS251" s="135"/>
      <c r="OXT251" s="135"/>
      <c r="OXU251" s="135"/>
      <c r="OXV251" s="135"/>
      <c r="OXW251" s="173"/>
      <c r="OXX251" s="173"/>
      <c r="OXY251" s="173"/>
      <c r="OXZ251" s="173"/>
      <c r="OYA251" s="173"/>
      <c r="OYB251" s="173"/>
      <c r="OYC251" s="173"/>
      <c r="OYD251" s="173"/>
      <c r="OYE251" s="173"/>
      <c r="OYF251" s="173"/>
      <c r="OYG251" s="125"/>
      <c r="OYH251" s="125"/>
      <c r="OYI251" s="134"/>
      <c r="OYJ251" s="135"/>
      <c r="OYK251" s="135"/>
      <c r="OYL251" s="135"/>
      <c r="OYM251" s="135"/>
      <c r="OYN251" s="173"/>
      <c r="OYO251" s="173"/>
      <c r="OYP251" s="173"/>
      <c r="OYQ251" s="173"/>
      <c r="OYR251" s="173"/>
      <c r="OYS251" s="173"/>
      <c r="OYT251" s="173"/>
      <c r="OYU251" s="173"/>
      <c r="OYV251" s="173"/>
      <c r="OYW251" s="173"/>
      <c r="OYX251" s="125"/>
      <c r="OYY251" s="125"/>
      <c r="OYZ251" s="134"/>
      <c r="OZA251" s="135"/>
      <c r="OZB251" s="135"/>
      <c r="OZC251" s="135"/>
      <c r="OZD251" s="135"/>
      <c r="OZE251" s="173"/>
      <c r="OZF251" s="173"/>
      <c r="OZG251" s="173"/>
      <c r="OZH251" s="173"/>
      <c r="OZI251" s="173"/>
      <c r="OZJ251" s="173"/>
      <c r="OZK251" s="173"/>
      <c r="OZL251" s="173"/>
      <c r="OZM251" s="173"/>
      <c r="OZN251" s="173"/>
      <c r="OZO251" s="125"/>
      <c r="OZP251" s="125"/>
      <c r="OZQ251" s="134"/>
      <c r="OZR251" s="135"/>
      <c r="OZS251" s="135"/>
      <c r="OZT251" s="135"/>
      <c r="OZU251" s="135"/>
      <c r="OZV251" s="173"/>
      <c r="OZW251" s="173"/>
      <c r="OZX251" s="173"/>
      <c r="OZY251" s="173"/>
      <c r="OZZ251" s="173"/>
      <c r="PAA251" s="173"/>
      <c r="PAB251" s="173"/>
      <c r="PAC251" s="173"/>
      <c r="PAD251" s="173"/>
      <c r="PAE251" s="173"/>
      <c r="PAF251" s="125"/>
      <c r="PAG251" s="125"/>
      <c r="PAH251" s="134"/>
      <c r="PAI251" s="135"/>
      <c r="PAJ251" s="135"/>
      <c r="PAK251" s="135"/>
      <c r="PAL251" s="135"/>
      <c r="PAM251" s="173"/>
      <c r="PAN251" s="173"/>
      <c r="PAO251" s="173"/>
      <c r="PAP251" s="173"/>
      <c r="PAQ251" s="173"/>
      <c r="PAR251" s="173"/>
      <c r="PAS251" s="173"/>
      <c r="PAT251" s="173"/>
      <c r="PAU251" s="173"/>
      <c r="PAV251" s="173"/>
      <c r="PAW251" s="125"/>
      <c r="PAX251" s="125"/>
      <c r="PAY251" s="134"/>
      <c r="PAZ251" s="135"/>
      <c r="PBA251" s="135"/>
      <c r="PBB251" s="135"/>
      <c r="PBC251" s="135"/>
      <c r="PBD251" s="173"/>
      <c r="PBE251" s="173"/>
      <c r="PBF251" s="173"/>
      <c r="PBG251" s="173"/>
      <c r="PBH251" s="173"/>
      <c r="PBI251" s="173"/>
      <c r="PBJ251" s="173"/>
      <c r="PBK251" s="173"/>
      <c r="PBL251" s="173"/>
      <c r="PBM251" s="173"/>
      <c r="PBN251" s="125"/>
      <c r="PBO251" s="125"/>
      <c r="PBP251" s="134"/>
      <c r="PBQ251" s="135"/>
      <c r="PBR251" s="135"/>
      <c r="PBS251" s="135"/>
      <c r="PBT251" s="135"/>
      <c r="PBU251" s="173"/>
      <c r="PBV251" s="173"/>
      <c r="PBW251" s="173"/>
      <c r="PBX251" s="173"/>
      <c r="PBY251" s="173"/>
      <c r="PBZ251" s="173"/>
      <c r="PCA251" s="173"/>
      <c r="PCB251" s="173"/>
      <c r="PCC251" s="173"/>
      <c r="PCD251" s="173"/>
      <c r="PCE251" s="125"/>
      <c r="PCF251" s="125"/>
      <c r="PCG251" s="134"/>
      <c r="PCH251" s="135"/>
      <c r="PCI251" s="135"/>
      <c r="PCJ251" s="135"/>
      <c r="PCK251" s="135"/>
      <c r="PCL251" s="173"/>
      <c r="PCM251" s="173"/>
      <c r="PCN251" s="173"/>
      <c r="PCO251" s="173"/>
      <c r="PCP251" s="173"/>
      <c r="PCQ251" s="173"/>
      <c r="PCR251" s="173"/>
      <c r="PCS251" s="173"/>
      <c r="PCT251" s="173"/>
      <c r="PCU251" s="173"/>
      <c r="PCV251" s="125"/>
      <c r="PCW251" s="125"/>
      <c r="PCX251" s="134"/>
      <c r="PCY251" s="135"/>
      <c r="PCZ251" s="135"/>
      <c r="PDA251" s="135"/>
      <c r="PDB251" s="135"/>
      <c r="PDC251" s="173"/>
      <c r="PDD251" s="173"/>
      <c r="PDE251" s="173"/>
      <c r="PDF251" s="173"/>
      <c r="PDG251" s="173"/>
      <c r="PDH251" s="173"/>
      <c r="PDI251" s="173"/>
      <c r="PDJ251" s="173"/>
      <c r="PDK251" s="173"/>
      <c r="PDL251" s="173"/>
      <c r="PDM251" s="125"/>
      <c r="PDN251" s="125"/>
      <c r="PDO251" s="134"/>
      <c r="PDP251" s="135"/>
      <c r="PDQ251" s="135"/>
      <c r="PDR251" s="135"/>
      <c r="PDS251" s="135"/>
      <c r="PDT251" s="173"/>
      <c r="PDU251" s="173"/>
      <c r="PDV251" s="173"/>
      <c r="PDW251" s="173"/>
      <c r="PDX251" s="173"/>
      <c r="PDY251" s="173"/>
      <c r="PDZ251" s="173"/>
      <c r="PEA251" s="173"/>
      <c r="PEB251" s="173"/>
      <c r="PEC251" s="173"/>
      <c r="PED251" s="125"/>
      <c r="PEE251" s="125"/>
      <c r="PEF251" s="134"/>
      <c r="PEG251" s="135"/>
      <c r="PEH251" s="135"/>
      <c r="PEI251" s="135"/>
      <c r="PEJ251" s="135"/>
      <c r="PEK251" s="173"/>
      <c r="PEL251" s="173"/>
      <c r="PEM251" s="173"/>
      <c r="PEN251" s="173"/>
      <c r="PEO251" s="173"/>
      <c r="PEP251" s="173"/>
      <c r="PEQ251" s="173"/>
      <c r="PER251" s="173"/>
      <c r="PES251" s="173"/>
      <c r="PET251" s="173"/>
      <c r="PEU251" s="125"/>
      <c r="PEV251" s="125"/>
      <c r="PEW251" s="134"/>
      <c r="PEX251" s="135"/>
      <c r="PEY251" s="135"/>
      <c r="PEZ251" s="135"/>
      <c r="PFA251" s="135"/>
      <c r="PFB251" s="173"/>
      <c r="PFC251" s="173"/>
      <c r="PFD251" s="173"/>
      <c r="PFE251" s="173"/>
      <c r="PFF251" s="173"/>
      <c r="PFG251" s="173"/>
      <c r="PFH251" s="173"/>
      <c r="PFI251" s="173"/>
      <c r="PFJ251" s="173"/>
      <c r="PFK251" s="173"/>
      <c r="PFL251" s="125"/>
      <c r="PFM251" s="125"/>
      <c r="PFN251" s="134"/>
      <c r="PFO251" s="135"/>
      <c r="PFP251" s="135"/>
      <c r="PFQ251" s="135"/>
      <c r="PFR251" s="135"/>
      <c r="PFS251" s="173"/>
      <c r="PFT251" s="173"/>
      <c r="PFU251" s="173"/>
      <c r="PFV251" s="173"/>
      <c r="PFW251" s="173"/>
      <c r="PFX251" s="173"/>
      <c r="PFY251" s="173"/>
      <c r="PFZ251" s="173"/>
      <c r="PGA251" s="173"/>
      <c r="PGB251" s="173"/>
      <c r="PGC251" s="125"/>
      <c r="PGD251" s="125"/>
      <c r="PGE251" s="134"/>
      <c r="PGF251" s="135"/>
      <c r="PGG251" s="135"/>
      <c r="PGH251" s="135"/>
      <c r="PGI251" s="135"/>
      <c r="PGJ251" s="173"/>
      <c r="PGK251" s="173"/>
      <c r="PGL251" s="173"/>
      <c r="PGM251" s="173"/>
      <c r="PGN251" s="173"/>
      <c r="PGO251" s="173"/>
      <c r="PGP251" s="173"/>
      <c r="PGQ251" s="173"/>
      <c r="PGR251" s="173"/>
      <c r="PGS251" s="173"/>
      <c r="PGT251" s="125"/>
      <c r="PGU251" s="125"/>
      <c r="PGV251" s="134"/>
      <c r="PGW251" s="135"/>
      <c r="PGX251" s="135"/>
      <c r="PGY251" s="135"/>
      <c r="PGZ251" s="135"/>
      <c r="PHA251" s="173"/>
      <c r="PHB251" s="173"/>
      <c r="PHC251" s="173"/>
      <c r="PHD251" s="173"/>
      <c r="PHE251" s="173"/>
      <c r="PHF251" s="173"/>
      <c r="PHG251" s="173"/>
      <c r="PHH251" s="173"/>
      <c r="PHI251" s="173"/>
      <c r="PHJ251" s="173"/>
      <c r="PHK251" s="125"/>
      <c r="PHL251" s="125"/>
      <c r="PHM251" s="134"/>
      <c r="PHN251" s="135"/>
      <c r="PHO251" s="135"/>
      <c r="PHP251" s="135"/>
      <c r="PHQ251" s="135"/>
      <c r="PHR251" s="173"/>
      <c r="PHS251" s="173"/>
      <c r="PHT251" s="173"/>
      <c r="PHU251" s="173"/>
      <c r="PHV251" s="173"/>
      <c r="PHW251" s="173"/>
      <c r="PHX251" s="173"/>
      <c r="PHY251" s="173"/>
      <c r="PHZ251" s="173"/>
      <c r="PIA251" s="173"/>
      <c r="PIB251" s="125"/>
      <c r="PIC251" s="125"/>
      <c r="PID251" s="134"/>
      <c r="PIE251" s="135"/>
      <c r="PIF251" s="135"/>
      <c r="PIG251" s="135"/>
      <c r="PIH251" s="135"/>
      <c r="PII251" s="173"/>
      <c r="PIJ251" s="173"/>
      <c r="PIK251" s="173"/>
      <c r="PIL251" s="173"/>
      <c r="PIM251" s="173"/>
      <c r="PIN251" s="173"/>
      <c r="PIO251" s="173"/>
      <c r="PIP251" s="173"/>
      <c r="PIQ251" s="173"/>
      <c r="PIR251" s="173"/>
      <c r="PIS251" s="125"/>
      <c r="PIT251" s="125"/>
      <c r="PIU251" s="134"/>
      <c r="PIV251" s="135"/>
      <c r="PIW251" s="135"/>
      <c r="PIX251" s="135"/>
      <c r="PIY251" s="135"/>
      <c r="PIZ251" s="173"/>
      <c r="PJA251" s="173"/>
      <c r="PJB251" s="173"/>
      <c r="PJC251" s="173"/>
      <c r="PJD251" s="173"/>
      <c r="PJE251" s="173"/>
      <c r="PJF251" s="173"/>
      <c r="PJG251" s="173"/>
      <c r="PJH251" s="173"/>
      <c r="PJI251" s="173"/>
      <c r="PJJ251" s="125"/>
      <c r="PJK251" s="125"/>
      <c r="PJL251" s="134"/>
      <c r="PJM251" s="135"/>
      <c r="PJN251" s="135"/>
      <c r="PJO251" s="135"/>
      <c r="PJP251" s="135"/>
      <c r="PJQ251" s="173"/>
      <c r="PJR251" s="173"/>
      <c r="PJS251" s="173"/>
      <c r="PJT251" s="173"/>
      <c r="PJU251" s="173"/>
      <c r="PJV251" s="173"/>
      <c r="PJW251" s="173"/>
      <c r="PJX251" s="173"/>
      <c r="PJY251" s="173"/>
      <c r="PJZ251" s="173"/>
      <c r="PKA251" s="125"/>
      <c r="PKB251" s="125"/>
      <c r="PKC251" s="134"/>
      <c r="PKD251" s="135"/>
      <c r="PKE251" s="135"/>
      <c r="PKF251" s="135"/>
      <c r="PKG251" s="135"/>
      <c r="PKH251" s="173"/>
      <c r="PKI251" s="173"/>
      <c r="PKJ251" s="173"/>
      <c r="PKK251" s="173"/>
      <c r="PKL251" s="173"/>
      <c r="PKM251" s="173"/>
      <c r="PKN251" s="173"/>
      <c r="PKO251" s="173"/>
      <c r="PKP251" s="173"/>
      <c r="PKQ251" s="173"/>
      <c r="PKR251" s="125"/>
      <c r="PKS251" s="125"/>
      <c r="PKT251" s="134"/>
      <c r="PKU251" s="135"/>
      <c r="PKV251" s="135"/>
      <c r="PKW251" s="135"/>
      <c r="PKX251" s="135"/>
      <c r="PKY251" s="173"/>
      <c r="PKZ251" s="173"/>
      <c r="PLA251" s="173"/>
      <c r="PLB251" s="173"/>
      <c r="PLC251" s="173"/>
      <c r="PLD251" s="173"/>
      <c r="PLE251" s="173"/>
      <c r="PLF251" s="173"/>
      <c r="PLG251" s="173"/>
      <c r="PLH251" s="173"/>
      <c r="PLI251" s="125"/>
      <c r="PLJ251" s="125"/>
      <c r="PLK251" s="134"/>
      <c r="PLL251" s="135"/>
      <c r="PLM251" s="135"/>
      <c r="PLN251" s="135"/>
      <c r="PLO251" s="135"/>
      <c r="PLP251" s="173"/>
      <c r="PLQ251" s="173"/>
      <c r="PLR251" s="173"/>
      <c r="PLS251" s="173"/>
      <c r="PLT251" s="173"/>
      <c r="PLU251" s="173"/>
      <c r="PLV251" s="173"/>
      <c r="PLW251" s="173"/>
      <c r="PLX251" s="173"/>
      <c r="PLY251" s="173"/>
      <c r="PLZ251" s="125"/>
      <c r="PMA251" s="125"/>
      <c r="PMB251" s="134"/>
      <c r="PMC251" s="135"/>
      <c r="PMD251" s="135"/>
      <c r="PME251" s="135"/>
      <c r="PMF251" s="135"/>
      <c r="PMG251" s="173"/>
      <c r="PMH251" s="173"/>
      <c r="PMI251" s="173"/>
      <c r="PMJ251" s="173"/>
      <c r="PMK251" s="173"/>
      <c r="PML251" s="173"/>
      <c r="PMM251" s="173"/>
      <c r="PMN251" s="173"/>
      <c r="PMO251" s="173"/>
      <c r="PMP251" s="173"/>
      <c r="PMQ251" s="125"/>
      <c r="PMR251" s="125"/>
      <c r="PMS251" s="134"/>
      <c r="PMT251" s="135"/>
      <c r="PMU251" s="135"/>
      <c r="PMV251" s="135"/>
      <c r="PMW251" s="135"/>
      <c r="PMX251" s="173"/>
      <c r="PMY251" s="173"/>
      <c r="PMZ251" s="173"/>
      <c r="PNA251" s="173"/>
      <c r="PNB251" s="173"/>
      <c r="PNC251" s="173"/>
      <c r="PND251" s="173"/>
      <c r="PNE251" s="173"/>
      <c r="PNF251" s="173"/>
      <c r="PNG251" s="173"/>
      <c r="PNH251" s="125"/>
      <c r="PNI251" s="125"/>
      <c r="PNJ251" s="134"/>
      <c r="PNK251" s="135"/>
      <c r="PNL251" s="135"/>
      <c r="PNM251" s="135"/>
      <c r="PNN251" s="135"/>
      <c r="PNO251" s="173"/>
      <c r="PNP251" s="173"/>
      <c r="PNQ251" s="173"/>
      <c r="PNR251" s="173"/>
      <c r="PNS251" s="173"/>
      <c r="PNT251" s="173"/>
      <c r="PNU251" s="173"/>
      <c r="PNV251" s="173"/>
      <c r="PNW251" s="173"/>
      <c r="PNX251" s="173"/>
      <c r="PNY251" s="125"/>
      <c r="PNZ251" s="125"/>
      <c r="POA251" s="134"/>
      <c r="POB251" s="135"/>
      <c r="POC251" s="135"/>
      <c r="POD251" s="135"/>
      <c r="POE251" s="135"/>
      <c r="POF251" s="173"/>
      <c r="POG251" s="173"/>
      <c r="POH251" s="173"/>
      <c r="POI251" s="173"/>
      <c r="POJ251" s="173"/>
      <c r="POK251" s="173"/>
      <c r="POL251" s="173"/>
      <c r="POM251" s="173"/>
      <c r="PON251" s="173"/>
      <c r="POO251" s="173"/>
      <c r="POP251" s="125"/>
      <c r="POQ251" s="125"/>
      <c r="POR251" s="134"/>
      <c r="POS251" s="135"/>
      <c r="POT251" s="135"/>
      <c r="POU251" s="135"/>
      <c r="POV251" s="135"/>
      <c r="POW251" s="173"/>
      <c r="POX251" s="173"/>
      <c r="POY251" s="173"/>
      <c r="POZ251" s="173"/>
      <c r="PPA251" s="173"/>
      <c r="PPB251" s="173"/>
      <c r="PPC251" s="173"/>
      <c r="PPD251" s="173"/>
      <c r="PPE251" s="173"/>
      <c r="PPF251" s="173"/>
      <c r="PPG251" s="125"/>
      <c r="PPH251" s="125"/>
      <c r="PPI251" s="134"/>
      <c r="PPJ251" s="135"/>
      <c r="PPK251" s="135"/>
      <c r="PPL251" s="135"/>
      <c r="PPM251" s="135"/>
      <c r="PPN251" s="173"/>
      <c r="PPO251" s="173"/>
      <c r="PPP251" s="173"/>
      <c r="PPQ251" s="173"/>
      <c r="PPR251" s="173"/>
      <c r="PPS251" s="173"/>
      <c r="PPT251" s="173"/>
      <c r="PPU251" s="173"/>
      <c r="PPV251" s="173"/>
      <c r="PPW251" s="173"/>
      <c r="PPX251" s="125"/>
      <c r="PPY251" s="125"/>
      <c r="PPZ251" s="134"/>
      <c r="PQA251" s="135"/>
      <c r="PQB251" s="135"/>
      <c r="PQC251" s="135"/>
      <c r="PQD251" s="135"/>
      <c r="PQE251" s="173"/>
      <c r="PQF251" s="173"/>
      <c r="PQG251" s="173"/>
      <c r="PQH251" s="173"/>
      <c r="PQI251" s="173"/>
      <c r="PQJ251" s="173"/>
      <c r="PQK251" s="173"/>
      <c r="PQL251" s="173"/>
      <c r="PQM251" s="173"/>
      <c r="PQN251" s="173"/>
      <c r="PQO251" s="125"/>
      <c r="PQP251" s="125"/>
      <c r="PQQ251" s="134"/>
      <c r="PQR251" s="135"/>
      <c r="PQS251" s="135"/>
      <c r="PQT251" s="135"/>
      <c r="PQU251" s="135"/>
      <c r="PQV251" s="173"/>
      <c r="PQW251" s="173"/>
      <c r="PQX251" s="173"/>
      <c r="PQY251" s="173"/>
      <c r="PQZ251" s="173"/>
      <c r="PRA251" s="173"/>
      <c r="PRB251" s="173"/>
      <c r="PRC251" s="173"/>
      <c r="PRD251" s="173"/>
      <c r="PRE251" s="173"/>
      <c r="PRF251" s="125"/>
      <c r="PRG251" s="125"/>
      <c r="PRH251" s="134"/>
      <c r="PRI251" s="135"/>
      <c r="PRJ251" s="135"/>
      <c r="PRK251" s="135"/>
      <c r="PRL251" s="135"/>
      <c r="PRM251" s="173"/>
      <c r="PRN251" s="173"/>
      <c r="PRO251" s="173"/>
      <c r="PRP251" s="173"/>
      <c r="PRQ251" s="173"/>
      <c r="PRR251" s="173"/>
      <c r="PRS251" s="173"/>
      <c r="PRT251" s="173"/>
      <c r="PRU251" s="173"/>
      <c r="PRV251" s="173"/>
      <c r="PRW251" s="125"/>
      <c r="PRX251" s="125"/>
      <c r="PRY251" s="134"/>
      <c r="PRZ251" s="135"/>
      <c r="PSA251" s="135"/>
      <c r="PSB251" s="135"/>
      <c r="PSC251" s="135"/>
      <c r="PSD251" s="173"/>
      <c r="PSE251" s="173"/>
      <c r="PSF251" s="173"/>
      <c r="PSG251" s="173"/>
      <c r="PSH251" s="173"/>
      <c r="PSI251" s="173"/>
      <c r="PSJ251" s="173"/>
      <c r="PSK251" s="173"/>
      <c r="PSL251" s="173"/>
      <c r="PSM251" s="173"/>
      <c r="PSN251" s="125"/>
      <c r="PSO251" s="125"/>
      <c r="PSP251" s="134"/>
      <c r="PSQ251" s="135"/>
      <c r="PSR251" s="135"/>
      <c r="PSS251" s="135"/>
      <c r="PST251" s="135"/>
      <c r="PSU251" s="173"/>
      <c r="PSV251" s="173"/>
      <c r="PSW251" s="173"/>
      <c r="PSX251" s="173"/>
      <c r="PSY251" s="173"/>
      <c r="PSZ251" s="173"/>
      <c r="PTA251" s="173"/>
      <c r="PTB251" s="173"/>
      <c r="PTC251" s="173"/>
      <c r="PTD251" s="173"/>
      <c r="PTE251" s="125"/>
      <c r="PTF251" s="125"/>
      <c r="PTG251" s="134"/>
      <c r="PTH251" s="135"/>
      <c r="PTI251" s="135"/>
      <c r="PTJ251" s="135"/>
      <c r="PTK251" s="135"/>
      <c r="PTL251" s="173"/>
      <c r="PTM251" s="173"/>
      <c r="PTN251" s="173"/>
      <c r="PTO251" s="173"/>
      <c r="PTP251" s="173"/>
      <c r="PTQ251" s="173"/>
      <c r="PTR251" s="173"/>
      <c r="PTS251" s="173"/>
      <c r="PTT251" s="173"/>
      <c r="PTU251" s="173"/>
      <c r="PTV251" s="125"/>
      <c r="PTW251" s="125"/>
      <c r="PTX251" s="134"/>
      <c r="PTY251" s="135"/>
      <c r="PTZ251" s="135"/>
      <c r="PUA251" s="135"/>
      <c r="PUB251" s="135"/>
      <c r="PUC251" s="173"/>
      <c r="PUD251" s="173"/>
      <c r="PUE251" s="173"/>
      <c r="PUF251" s="173"/>
      <c r="PUG251" s="173"/>
      <c r="PUH251" s="173"/>
      <c r="PUI251" s="173"/>
      <c r="PUJ251" s="173"/>
      <c r="PUK251" s="173"/>
      <c r="PUL251" s="173"/>
      <c r="PUM251" s="125"/>
      <c r="PUN251" s="125"/>
      <c r="PUO251" s="134"/>
      <c r="PUP251" s="135"/>
      <c r="PUQ251" s="135"/>
      <c r="PUR251" s="135"/>
      <c r="PUS251" s="135"/>
      <c r="PUT251" s="173"/>
      <c r="PUU251" s="173"/>
      <c r="PUV251" s="173"/>
      <c r="PUW251" s="173"/>
      <c r="PUX251" s="173"/>
      <c r="PUY251" s="173"/>
      <c r="PUZ251" s="173"/>
      <c r="PVA251" s="173"/>
      <c r="PVB251" s="173"/>
      <c r="PVC251" s="173"/>
      <c r="PVD251" s="125"/>
      <c r="PVE251" s="125"/>
      <c r="PVF251" s="134"/>
      <c r="PVG251" s="135"/>
      <c r="PVH251" s="135"/>
      <c r="PVI251" s="135"/>
      <c r="PVJ251" s="135"/>
      <c r="PVK251" s="173"/>
      <c r="PVL251" s="173"/>
      <c r="PVM251" s="173"/>
      <c r="PVN251" s="173"/>
      <c r="PVO251" s="173"/>
      <c r="PVP251" s="173"/>
      <c r="PVQ251" s="173"/>
      <c r="PVR251" s="173"/>
      <c r="PVS251" s="173"/>
      <c r="PVT251" s="173"/>
      <c r="PVU251" s="125"/>
      <c r="PVV251" s="125"/>
      <c r="PVW251" s="134"/>
      <c r="PVX251" s="135"/>
      <c r="PVY251" s="135"/>
      <c r="PVZ251" s="135"/>
      <c r="PWA251" s="135"/>
      <c r="PWB251" s="173"/>
      <c r="PWC251" s="173"/>
      <c r="PWD251" s="173"/>
      <c r="PWE251" s="173"/>
      <c r="PWF251" s="173"/>
      <c r="PWG251" s="173"/>
      <c r="PWH251" s="173"/>
      <c r="PWI251" s="173"/>
      <c r="PWJ251" s="173"/>
      <c r="PWK251" s="173"/>
      <c r="PWL251" s="125"/>
      <c r="PWM251" s="125"/>
      <c r="PWN251" s="134"/>
      <c r="PWO251" s="135"/>
      <c r="PWP251" s="135"/>
      <c r="PWQ251" s="135"/>
      <c r="PWR251" s="135"/>
      <c r="PWS251" s="173"/>
      <c r="PWT251" s="173"/>
      <c r="PWU251" s="173"/>
      <c r="PWV251" s="173"/>
      <c r="PWW251" s="173"/>
      <c r="PWX251" s="173"/>
      <c r="PWY251" s="173"/>
      <c r="PWZ251" s="173"/>
      <c r="PXA251" s="173"/>
      <c r="PXB251" s="173"/>
      <c r="PXC251" s="125"/>
      <c r="PXD251" s="125"/>
      <c r="PXE251" s="134"/>
      <c r="PXF251" s="135"/>
      <c r="PXG251" s="135"/>
      <c r="PXH251" s="135"/>
      <c r="PXI251" s="135"/>
      <c r="PXJ251" s="173"/>
      <c r="PXK251" s="173"/>
      <c r="PXL251" s="173"/>
      <c r="PXM251" s="173"/>
      <c r="PXN251" s="173"/>
      <c r="PXO251" s="173"/>
      <c r="PXP251" s="173"/>
      <c r="PXQ251" s="173"/>
      <c r="PXR251" s="173"/>
      <c r="PXS251" s="173"/>
      <c r="PXT251" s="125"/>
      <c r="PXU251" s="125"/>
      <c r="PXV251" s="134"/>
      <c r="PXW251" s="135"/>
      <c r="PXX251" s="135"/>
      <c r="PXY251" s="135"/>
      <c r="PXZ251" s="135"/>
      <c r="PYA251" s="173"/>
      <c r="PYB251" s="173"/>
      <c r="PYC251" s="173"/>
      <c r="PYD251" s="173"/>
      <c r="PYE251" s="173"/>
      <c r="PYF251" s="173"/>
      <c r="PYG251" s="173"/>
      <c r="PYH251" s="173"/>
      <c r="PYI251" s="173"/>
      <c r="PYJ251" s="173"/>
      <c r="PYK251" s="125"/>
      <c r="PYL251" s="125"/>
      <c r="PYM251" s="134"/>
      <c r="PYN251" s="135"/>
      <c r="PYO251" s="135"/>
      <c r="PYP251" s="135"/>
      <c r="PYQ251" s="135"/>
      <c r="PYR251" s="173"/>
      <c r="PYS251" s="173"/>
      <c r="PYT251" s="173"/>
      <c r="PYU251" s="173"/>
      <c r="PYV251" s="173"/>
      <c r="PYW251" s="173"/>
      <c r="PYX251" s="173"/>
      <c r="PYY251" s="173"/>
      <c r="PYZ251" s="173"/>
      <c r="PZA251" s="173"/>
      <c r="PZB251" s="125"/>
      <c r="PZC251" s="125"/>
      <c r="PZD251" s="134"/>
      <c r="PZE251" s="135"/>
      <c r="PZF251" s="135"/>
      <c r="PZG251" s="135"/>
      <c r="PZH251" s="135"/>
      <c r="PZI251" s="173"/>
      <c r="PZJ251" s="173"/>
      <c r="PZK251" s="173"/>
      <c r="PZL251" s="173"/>
      <c r="PZM251" s="173"/>
      <c r="PZN251" s="173"/>
      <c r="PZO251" s="173"/>
      <c r="PZP251" s="173"/>
      <c r="PZQ251" s="173"/>
      <c r="PZR251" s="173"/>
      <c r="PZS251" s="125"/>
      <c r="PZT251" s="125"/>
      <c r="PZU251" s="134"/>
      <c r="PZV251" s="135"/>
      <c r="PZW251" s="135"/>
      <c r="PZX251" s="135"/>
      <c r="PZY251" s="135"/>
      <c r="PZZ251" s="173"/>
      <c r="QAA251" s="173"/>
      <c r="QAB251" s="173"/>
      <c r="QAC251" s="173"/>
      <c r="QAD251" s="173"/>
      <c r="QAE251" s="173"/>
      <c r="QAF251" s="173"/>
      <c r="QAG251" s="173"/>
      <c r="QAH251" s="173"/>
      <c r="QAI251" s="173"/>
      <c r="QAJ251" s="125"/>
      <c r="QAK251" s="125"/>
      <c r="QAL251" s="134"/>
      <c r="QAM251" s="135"/>
      <c r="QAN251" s="135"/>
      <c r="QAO251" s="135"/>
      <c r="QAP251" s="135"/>
      <c r="QAQ251" s="173"/>
      <c r="QAR251" s="173"/>
      <c r="QAS251" s="173"/>
      <c r="QAT251" s="173"/>
      <c r="QAU251" s="173"/>
      <c r="QAV251" s="173"/>
      <c r="QAW251" s="173"/>
      <c r="QAX251" s="173"/>
      <c r="QAY251" s="173"/>
      <c r="QAZ251" s="173"/>
      <c r="QBA251" s="125"/>
      <c r="QBB251" s="125"/>
      <c r="QBC251" s="134"/>
      <c r="QBD251" s="135"/>
      <c r="QBE251" s="135"/>
      <c r="QBF251" s="135"/>
      <c r="QBG251" s="135"/>
      <c r="QBH251" s="173"/>
      <c r="QBI251" s="173"/>
      <c r="QBJ251" s="173"/>
      <c r="QBK251" s="173"/>
      <c r="QBL251" s="173"/>
      <c r="QBM251" s="173"/>
      <c r="QBN251" s="173"/>
      <c r="QBO251" s="173"/>
      <c r="QBP251" s="173"/>
      <c r="QBQ251" s="173"/>
      <c r="QBR251" s="125"/>
      <c r="QBS251" s="125"/>
      <c r="QBT251" s="134"/>
      <c r="QBU251" s="135"/>
      <c r="QBV251" s="135"/>
      <c r="QBW251" s="135"/>
      <c r="QBX251" s="135"/>
      <c r="QBY251" s="173"/>
      <c r="QBZ251" s="173"/>
      <c r="QCA251" s="173"/>
      <c r="QCB251" s="173"/>
      <c r="QCC251" s="173"/>
      <c r="QCD251" s="173"/>
      <c r="QCE251" s="173"/>
      <c r="QCF251" s="173"/>
      <c r="QCG251" s="173"/>
      <c r="QCH251" s="173"/>
      <c r="QCI251" s="125"/>
      <c r="QCJ251" s="125"/>
      <c r="QCK251" s="134"/>
      <c r="QCL251" s="135"/>
      <c r="QCM251" s="135"/>
      <c r="QCN251" s="135"/>
      <c r="QCO251" s="135"/>
      <c r="QCP251" s="173"/>
      <c r="QCQ251" s="173"/>
      <c r="QCR251" s="173"/>
      <c r="QCS251" s="173"/>
      <c r="QCT251" s="173"/>
      <c r="QCU251" s="173"/>
      <c r="QCV251" s="173"/>
      <c r="QCW251" s="173"/>
      <c r="QCX251" s="173"/>
      <c r="QCY251" s="173"/>
      <c r="QCZ251" s="125"/>
      <c r="QDA251" s="125"/>
      <c r="QDB251" s="134"/>
      <c r="QDC251" s="135"/>
      <c r="QDD251" s="135"/>
      <c r="QDE251" s="135"/>
      <c r="QDF251" s="135"/>
      <c r="QDG251" s="173"/>
      <c r="QDH251" s="173"/>
      <c r="QDI251" s="173"/>
      <c r="QDJ251" s="173"/>
      <c r="QDK251" s="173"/>
      <c r="QDL251" s="173"/>
      <c r="QDM251" s="173"/>
      <c r="QDN251" s="173"/>
      <c r="QDO251" s="173"/>
      <c r="QDP251" s="173"/>
      <c r="QDQ251" s="125"/>
      <c r="QDR251" s="125"/>
      <c r="QDS251" s="134"/>
      <c r="QDT251" s="135"/>
      <c r="QDU251" s="135"/>
      <c r="QDV251" s="135"/>
      <c r="QDW251" s="135"/>
      <c r="QDX251" s="173"/>
      <c r="QDY251" s="173"/>
      <c r="QDZ251" s="173"/>
      <c r="QEA251" s="173"/>
      <c r="QEB251" s="173"/>
      <c r="QEC251" s="173"/>
      <c r="QED251" s="173"/>
      <c r="QEE251" s="173"/>
      <c r="QEF251" s="173"/>
      <c r="QEG251" s="173"/>
      <c r="QEH251" s="125"/>
      <c r="QEI251" s="125"/>
      <c r="QEJ251" s="134"/>
      <c r="QEK251" s="135"/>
      <c r="QEL251" s="135"/>
      <c r="QEM251" s="135"/>
      <c r="QEN251" s="135"/>
      <c r="QEO251" s="173"/>
      <c r="QEP251" s="173"/>
      <c r="QEQ251" s="173"/>
      <c r="QER251" s="173"/>
      <c r="QES251" s="173"/>
      <c r="QET251" s="173"/>
      <c r="QEU251" s="173"/>
      <c r="QEV251" s="173"/>
      <c r="QEW251" s="173"/>
      <c r="QEX251" s="173"/>
      <c r="QEY251" s="125"/>
      <c r="QEZ251" s="125"/>
      <c r="QFA251" s="134"/>
      <c r="QFB251" s="135"/>
      <c r="QFC251" s="135"/>
      <c r="QFD251" s="135"/>
      <c r="QFE251" s="135"/>
      <c r="QFF251" s="173"/>
      <c r="QFG251" s="173"/>
      <c r="QFH251" s="173"/>
      <c r="QFI251" s="173"/>
      <c r="QFJ251" s="173"/>
      <c r="QFK251" s="173"/>
      <c r="QFL251" s="173"/>
      <c r="QFM251" s="173"/>
      <c r="QFN251" s="173"/>
      <c r="QFO251" s="173"/>
      <c r="QFP251" s="125"/>
      <c r="QFQ251" s="125"/>
      <c r="QFR251" s="134"/>
      <c r="QFS251" s="135"/>
      <c r="QFT251" s="135"/>
      <c r="QFU251" s="135"/>
      <c r="QFV251" s="135"/>
      <c r="QFW251" s="173"/>
      <c r="QFX251" s="173"/>
      <c r="QFY251" s="173"/>
      <c r="QFZ251" s="173"/>
      <c r="QGA251" s="173"/>
      <c r="QGB251" s="173"/>
      <c r="QGC251" s="173"/>
      <c r="QGD251" s="173"/>
      <c r="QGE251" s="173"/>
      <c r="QGF251" s="173"/>
      <c r="QGG251" s="125"/>
      <c r="QGH251" s="125"/>
      <c r="QGI251" s="134"/>
      <c r="QGJ251" s="135"/>
      <c r="QGK251" s="135"/>
      <c r="QGL251" s="135"/>
      <c r="QGM251" s="135"/>
      <c r="QGN251" s="173"/>
      <c r="QGO251" s="173"/>
      <c r="QGP251" s="173"/>
      <c r="QGQ251" s="173"/>
      <c r="QGR251" s="173"/>
      <c r="QGS251" s="173"/>
      <c r="QGT251" s="173"/>
      <c r="QGU251" s="173"/>
      <c r="QGV251" s="173"/>
      <c r="QGW251" s="173"/>
      <c r="QGX251" s="125"/>
      <c r="QGY251" s="125"/>
      <c r="QGZ251" s="134"/>
      <c r="QHA251" s="135"/>
      <c r="QHB251" s="135"/>
      <c r="QHC251" s="135"/>
      <c r="QHD251" s="135"/>
      <c r="QHE251" s="173"/>
      <c r="QHF251" s="173"/>
      <c r="QHG251" s="173"/>
      <c r="QHH251" s="173"/>
      <c r="QHI251" s="173"/>
      <c r="QHJ251" s="173"/>
      <c r="QHK251" s="173"/>
      <c r="QHL251" s="173"/>
      <c r="QHM251" s="173"/>
      <c r="QHN251" s="173"/>
      <c r="QHO251" s="125"/>
      <c r="QHP251" s="125"/>
      <c r="QHQ251" s="134"/>
      <c r="QHR251" s="135"/>
      <c r="QHS251" s="135"/>
      <c r="QHT251" s="135"/>
      <c r="QHU251" s="135"/>
      <c r="QHV251" s="173"/>
      <c r="QHW251" s="173"/>
      <c r="QHX251" s="173"/>
      <c r="QHY251" s="173"/>
      <c r="QHZ251" s="173"/>
      <c r="QIA251" s="173"/>
      <c r="QIB251" s="173"/>
      <c r="QIC251" s="173"/>
      <c r="QID251" s="173"/>
      <c r="QIE251" s="173"/>
      <c r="QIF251" s="125"/>
      <c r="QIG251" s="125"/>
      <c r="QIH251" s="134"/>
      <c r="QII251" s="135"/>
      <c r="QIJ251" s="135"/>
      <c r="QIK251" s="135"/>
      <c r="QIL251" s="135"/>
      <c r="QIM251" s="173"/>
      <c r="QIN251" s="173"/>
      <c r="QIO251" s="173"/>
      <c r="QIP251" s="173"/>
      <c r="QIQ251" s="173"/>
      <c r="QIR251" s="173"/>
      <c r="QIS251" s="173"/>
      <c r="QIT251" s="173"/>
      <c r="QIU251" s="173"/>
      <c r="QIV251" s="173"/>
      <c r="QIW251" s="125"/>
      <c r="QIX251" s="125"/>
      <c r="QIY251" s="134"/>
      <c r="QIZ251" s="135"/>
      <c r="QJA251" s="135"/>
      <c r="QJB251" s="135"/>
      <c r="QJC251" s="135"/>
      <c r="QJD251" s="173"/>
      <c r="QJE251" s="173"/>
      <c r="QJF251" s="173"/>
      <c r="QJG251" s="173"/>
      <c r="QJH251" s="173"/>
      <c r="QJI251" s="173"/>
      <c r="QJJ251" s="173"/>
      <c r="QJK251" s="173"/>
      <c r="QJL251" s="173"/>
      <c r="QJM251" s="173"/>
      <c r="QJN251" s="125"/>
      <c r="QJO251" s="125"/>
      <c r="QJP251" s="134"/>
      <c r="QJQ251" s="135"/>
      <c r="QJR251" s="135"/>
      <c r="QJS251" s="135"/>
      <c r="QJT251" s="135"/>
      <c r="QJU251" s="173"/>
      <c r="QJV251" s="173"/>
      <c r="QJW251" s="173"/>
      <c r="QJX251" s="173"/>
      <c r="QJY251" s="173"/>
      <c r="QJZ251" s="173"/>
      <c r="QKA251" s="173"/>
      <c r="QKB251" s="173"/>
      <c r="QKC251" s="173"/>
      <c r="QKD251" s="173"/>
      <c r="QKE251" s="125"/>
      <c r="QKF251" s="125"/>
      <c r="QKG251" s="134"/>
      <c r="QKH251" s="135"/>
      <c r="QKI251" s="135"/>
      <c r="QKJ251" s="135"/>
      <c r="QKK251" s="135"/>
      <c r="QKL251" s="173"/>
      <c r="QKM251" s="173"/>
      <c r="QKN251" s="173"/>
      <c r="QKO251" s="173"/>
      <c r="QKP251" s="173"/>
      <c r="QKQ251" s="173"/>
      <c r="QKR251" s="173"/>
      <c r="QKS251" s="173"/>
      <c r="QKT251" s="173"/>
      <c r="QKU251" s="173"/>
      <c r="QKV251" s="125"/>
      <c r="QKW251" s="125"/>
      <c r="QKX251" s="134"/>
      <c r="QKY251" s="135"/>
      <c r="QKZ251" s="135"/>
      <c r="QLA251" s="135"/>
      <c r="QLB251" s="135"/>
      <c r="QLC251" s="173"/>
      <c r="QLD251" s="173"/>
      <c r="QLE251" s="173"/>
      <c r="QLF251" s="173"/>
      <c r="QLG251" s="173"/>
      <c r="QLH251" s="173"/>
      <c r="QLI251" s="173"/>
      <c r="QLJ251" s="173"/>
      <c r="QLK251" s="173"/>
      <c r="QLL251" s="173"/>
      <c r="QLM251" s="125"/>
      <c r="QLN251" s="125"/>
      <c r="QLO251" s="134"/>
      <c r="QLP251" s="135"/>
      <c r="QLQ251" s="135"/>
      <c r="QLR251" s="135"/>
      <c r="QLS251" s="135"/>
      <c r="QLT251" s="173"/>
      <c r="QLU251" s="173"/>
      <c r="QLV251" s="173"/>
      <c r="QLW251" s="173"/>
      <c r="QLX251" s="173"/>
      <c r="QLY251" s="173"/>
      <c r="QLZ251" s="173"/>
      <c r="QMA251" s="173"/>
      <c r="QMB251" s="173"/>
      <c r="QMC251" s="173"/>
      <c r="QMD251" s="125"/>
      <c r="QME251" s="125"/>
      <c r="QMF251" s="134"/>
      <c r="QMG251" s="135"/>
      <c r="QMH251" s="135"/>
      <c r="QMI251" s="135"/>
      <c r="QMJ251" s="135"/>
      <c r="QMK251" s="173"/>
      <c r="QML251" s="173"/>
      <c r="QMM251" s="173"/>
      <c r="QMN251" s="173"/>
      <c r="QMO251" s="173"/>
      <c r="QMP251" s="173"/>
      <c r="QMQ251" s="173"/>
      <c r="QMR251" s="173"/>
      <c r="QMS251" s="173"/>
      <c r="QMT251" s="173"/>
      <c r="QMU251" s="125"/>
      <c r="QMV251" s="125"/>
      <c r="QMW251" s="134"/>
      <c r="QMX251" s="135"/>
      <c r="QMY251" s="135"/>
      <c r="QMZ251" s="135"/>
      <c r="QNA251" s="135"/>
      <c r="QNB251" s="173"/>
      <c r="QNC251" s="173"/>
      <c r="QND251" s="173"/>
      <c r="QNE251" s="173"/>
      <c r="QNF251" s="173"/>
      <c r="QNG251" s="173"/>
      <c r="QNH251" s="173"/>
      <c r="QNI251" s="173"/>
      <c r="QNJ251" s="173"/>
      <c r="QNK251" s="173"/>
      <c r="QNL251" s="125"/>
      <c r="QNM251" s="125"/>
      <c r="QNN251" s="134"/>
      <c r="QNO251" s="135"/>
      <c r="QNP251" s="135"/>
      <c r="QNQ251" s="135"/>
      <c r="QNR251" s="135"/>
      <c r="QNS251" s="173"/>
      <c r="QNT251" s="173"/>
      <c r="QNU251" s="173"/>
      <c r="QNV251" s="173"/>
      <c r="QNW251" s="173"/>
      <c r="QNX251" s="173"/>
      <c r="QNY251" s="173"/>
      <c r="QNZ251" s="173"/>
      <c r="QOA251" s="173"/>
      <c r="QOB251" s="173"/>
      <c r="QOC251" s="125"/>
      <c r="QOD251" s="125"/>
      <c r="QOE251" s="134"/>
      <c r="QOF251" s="135"/>
      <c r="QOG251" s="135"/>
      <c r="QOH251" s="135"/>
      <c r="QOI251" s="135"/>
      <c r="QOJ251" s="173"/>
      <c r="QOK251" s="173"/>
      <c r="QOL251" s="173"/>
      <c r="QOM251" s="173"/>
      <c r="QON251" s="173"/>
      <c r="QOO251" s="173"/>
      <c r="QOP251" s="173"/>
      <c r="QOQ251" s="173"/>
      <c r="QOR251" s="173"/>
      <c r="QOS251" s="173"/>
      <c r="QOT251" s="125"/>
      <c r="QOU251" s="125"/>
      <c r="QOV251" s="134"/>
      <c r="QOW251" s="135"/>
      <c r="QOX251" s="135"/>
      <c r="QOY251" s="135"/>
      <c r="QOZ251" s="135"/>
      <c r="QPA251" s="173"/>
      <c r="QPB251" s="173"/>
      <c r="QPC251" s="173"/>
      <c r="QPD251" s="173"/>
      <c r="QPE251" s="173"/>
      <c r="QPF251" s="173"/>
      <c r="QPG251" s="173"/>
      <c r="QPH251" s="173"/>
      <c r="QPI251" s="173"/>
      <c r="QPJ251" s="173"/>
      <c r="QPK251" s="125"/>
      <c r="QPL251" s="125"/>
      <c r="QPM251" s="134"/>
      <c r="QPN251" s="135"/>
      <c r="QPO251" s="135"/>
      <c r="QPP251" s="135"/>
      <c r="QPQ251" s="135"/>
      <c r="QPR251" s="173"/>
      <c r="QPS251" s="173"/>
      <c r="QPT251" s="173"/>
      <c r="QPU251" s="173"/>
      <c r="QPV251" s="173"/>
      <c r="QPW251" s="173"/>
      <c r="QPX251" s="173"/>
      <c r="QPY251" s="173"/>
      <c r="QPZ251" s="173"/>
      <c r="QQA251" s="173"/>
      <c r="QQB251" s="125"/>
      <c r="QQC251" s="125"/>
      <c r="QQD251" s="134"/>
      <c r="QQE251" s="135"/>
      <c r="QQF251" s="135"/>
      <c r="QQG251" s="135"/>
      <c r="QQH251" s="135"/>
      <c r="QQI251" s="173"/>
      <c r="QQJ251" s="173"/>
      <c r="QQK251" s="173"/>
      <c r="QQL251" s="173"/>
      <c r="QQM251" s="173"/>
      <c r="QQN251" s="173"/>
      <c r="QQO251" s="173"/>
      <c r="QQP251" s="173"/>
      <c r="QQQ251" s="173"/>
      <c r="QQR251" s="173"/>
      <c r="QQS251" s="125"/>
      <c r="QQT251" s="125"/>
      <c r="QQU251" s="134"/>
      <c r="QQV251" s="135"/>
      <c r="QQW251" s="135"/>
      <c r="QQX251" s="135"/>
      <c r="QQY251" s="135"/>
      <c r="QQZ251" s="173"/>
      <c r="QRA251" s="173"/>
      <c r="QRB251" s="173"/>
      <c r="QRC251" s="173"/>
      <c r="QRD251" s="173"/>
      <c r="QRE251" s="173"/>
      <c r="QRF251" s="173"/>
      <c r="QRG251" s="173"/>
      <c r="QRH251" s="173"/>
      <c r="QRI251" s="173"/>
      <c r="QRJ251" s="125"/>
      <c r="QRK251" s="125"/>
      <c r="QRL251" s="134"/>
      <c r="QRM251" s="135"/>
      <c r="QRN251" s="135"/>
      <c r="QRO251" s="135"/>
      <c r="QRP251" s="135"/>
      <c r="QRQ251" s="173"/>
      <c r="QRR251" s="173"/>
      <c r="QRS251" s="173"/>
      <c r="QRT251" s="173"/>
      <c r="QRU251" s="173"/>
      <c r="QRV251" s="173"/>
      <c r="QRW251" s="173"/>
      <c r="QRX251" s="173"/>
      <c r="QRY251" s="173"/>
      <c r="QRZ251" s="173"/>
      <c r="QSA251" s="125"/>
      <c r="QSB251" s="125"/>
      <c r="QSC251" s="134"/>
      <c r="QSD251" s="135"/>
      <c r="QSE251" s="135"/>
      <c r="QSF251" s="135"/>
      <c r="QSG251" s="135"/>
      <c r="QSH251" s="173"/>
      <c r="QSI251" s="173"/>
      <c r="QSJ251" s="173"/>
      <c r="QSK251" s="173"/>
      <c r="QSL251" s="173"/>
      <c r="QSM251" s="173"/>
      <c r="QSN251" s="173"/>
      <c r="QSO251" s="173"/>
      <c r="QSP251" s="173"/>
      <c r="QSQ251" s="173"/>
      <c r="QSR251" s="125"/>
      <c r="QSS251" s="125"/>
      <c r="QST251" s="134"/>
      <c r="QSU251" s="135"/>
      <c r="QSV251" s="135"/>
      <c r="QSW251" s="135"/>
      <c r="QSX251" s="135"/>
      <c r="QSY251" s="173"/>
      <c r="QSZ251" s="173"/>
      <c r="QTA251" s="173"/>
      <c r="QTB251" s="173"/>
      <c r="QTC251" s="173"/>
      <c r="QTD251" s="173"/>
      <c r="QTE251" s="173"/>
      <c r="QTF251" s="173"/>
      <c r="QTG251" s="173"/>
      <c r="QTH251" s="173"/>
      <c r="QTI251" s="125"/>
      <c r="QTJ251" s="125"/>
      <c r="QTK251" s="134"/>
      <c r="QTL251" s="135"/>
      <c r="QTM251" s="135"/>
      <c r="QTN251" s="135"/>
      <c r="QTO251" s="135"/>
      <c r="QTP251" s="173"/>
      <c r="QTQ251" s="173"/>
      <c r="QTR251" s="173"/>
      <c r="QTS251" s="173"/>
      <c r="QTT251" s="173"/>
      <c r="QTU251" s="173"/>
      <c r="QTV251" s="173"/>
      <c r="QTW251" s="173"/>
      <c r="QTX251" s="173"/>
      <c r="QTY251" s="173"/>
      <c r="QTZ251" s="125"/>
      <c r="QUA251" s="125"/>
      <c r="QUB251" s="134"/>
      <c r="QUC251" s="135"/>
      <c r="QUD251" s="135"/>
      <c r="QUE251" s="135"/>
      <c r="QUF251" s="135"/>
      <c r="QUG251" s="173"/>
      <c r="QUH251" s="173"/>
      <c r="QUI251" s="173"/>
      <c r="QUJ251" s="173"/>
      <c r="QUK251" s="173"/>
      <c r="QUL251" s="173"/>
      <c r="QUM251" s="173"/>
      <c r="QUN251" s="173"/>
      <c r="QUO251" s="173"/>
      <c r="QUP251" s="173"/>
      <c r="QUQ251" s="125"/>
      <c r="QUR251" s="125"/>
      <c r="QUS251" s="134"/>
      <c r="QUT251" s="135"/>
      <c r="QUU251" s="135"/>
      <c r="QUV251" s="135"/>
      <c r="QUW251" s="135"/>
      <c r="QUX251" s="173"/>
      <c r="QUY251" s="173"/>
      <c r="QUZ251" s="173"/>
      <c r="QVA251" s="173"/>
      <c r="QVB251" s="173"/>
      <c r="QVC251" s="173"/>
      <c r="QVD251" s="173"/>
      <c r="QVE251" s="173"/>
      <c r="QVF251" s="173"/>
      <c r="QVG251" s="173"/>
      <c r="QVH251" s="125"/>
      <c r="QVI251" s="125"/>
      <c r="QVJ251" s="134"/>
      <c r="QVK251" s="135"/>
      <c r="QVL251" s="135"/>
      <c r="QVM251" s="135"/>
      <c r="QVN251" s="135"/>
      <c r="QVO251" s="173"/>
      <c r="QVP251" s="173"/>
      <c r="QVQ251" s="173"/>
      <c r="QVR251" s="173"/>
      <c r="QVS251" s="173"/>
      <c r="QVT251" s="173"/>
      <c r="QVU251" s="173"/>
      <c r="QVV251" s="173"/>
      <c r="QVW251" s="173"/>
      <c r="QVX251" s="173"/>
      <c r="QVY251" s="125"/>
      <c r="QVZ251" s="125"/>
      <c r="QWA251" s="134"/>
      <c r="QWB251" s="135"/>
      <c r="QWC251" s="135"/>
      <c r="QWD251" s="135"/>
      <c r="QWE251" s="135"/>
      <c r="QWF251" s="173"/>
      <c r="QWG251" s="173"/>
      <c r="QWH251" s="173"/>
      <c r="QWI251" s="173"/>
      <c r="QWJ251" s="173"/>
      <c r="QWK251" s="173"/>
      <c r="QWL251" s="173"/>
      <c r="QWM251" s="173"/>
      <c r="QWN251" s="173"/>
      <c r="QWO251" s="173"/>
      <c r="QWP251" s="125"/>
      <c r="QWQ251" s="125"/>
      <c r="QWR251" s="134"/>
      <c r="QWS251" s="135"/>
      <c r="QWT251" s="135"/>
      <c r="QWU251" s="135"/>
      <c r="QWV251" s="135"/>
      <c r="QWW251" s="173"/>
      <c r="QWX251" s="173"/>
      <c r="QWY251" s="173"/>
      <c r="QWZ251" s="173"/>
      <c r="QXA251" s="173"/>
      <c r="QXB251" s="173"/>
      <c r="QXC251" s="173"/>
      <c r="QXD251" s="173"/>
      <c r="QXE251" s="173"/>
      <c r="QXF251" s="173"/>
      <c r="QXG251" s="125"/>
      <c r="QXH251" s="125"/>
      <c r="QXI251" s="134"/>
      <c r="QXJ251" s="135"/>
      <c r="QXK251" s="135"/>
      <c r="QXL251" s="135"/>
      <c r="QXM251" s="135"/>
      <c r="QXN251" s="173"/>
      <c r="QXO251" s="173"/>
      <c r="QXP251" s="173"/>
      <c r="QXQ251" s="173"/>
      <c r="QXR251" s="173"/>
      <c r="QXS251" s="173"/>
      <c r="QXT251" s="173"/>
      <c r="QXU251" s="173"/>
      <c r="QXV251" s="173"/>
      <c r="QXW251" s="173"/>
      <c r="QXX251" s="125"/>
      <c r="QXY251" s="125"/>
      <c r="QXZ251" s="134"/>
      <c r="QYA251" s="135"/>
      <c r="QYB251" s="135"/>
      <c r="QYC251" s="135"/>
      <c r="QYD251" s="135"/>
      <c r="QYE251" s="173"/>
      <c r="QYF251" s="173"/>
      <c r="QYG251" s="173"/>
      <c r="QYH251" s="173"/>
      <c r="QYI251" s="173"/>
      <c r="QYJ251" s="173"/>
      <c r="QYK251" s="173"/>
      <c r="QYL251" s="173"/>
      <c r="QYM251" s="173"/>
      <c r="QYN251" s="173"/>
      <c r="QYO251" s="125"/>
      <c r="QYP251" s="125"/>
      <c r="QYQ251" s="134"/>
      <c r="QYR251" s="135"/>
      <c r="QYS251" s="135"/>
      <c r="QYT251" s="135"/>
      <c r="QYU251" s="135"/>
      <c r="QYV251" s="173"/>
      <c r="QYW251" s="173"/>
      <c r="QYX251" s="173"/>
      <c r="QYY251" s="173"/>
      <c r="QYZ251" s="173"/>
      <c r="QZA251" s="173"/>
      <c r="QZB251" s="173"/>
      <c r="QZC251" s="173"/>
      <c r="QZD251" s="173"/>
      <c r="QZE251" s="173"/>
      <c r="QZF251" s="125"/>
      <c r="QZG251" s="125"/>
      <c r="QZH251" s="134"/>
      <c r="QZI251" s="135"/>
      <c r="QZJ251" s="135"/>
      <c r="QZK251" s="135"/>
      <c r="QZL251" s="135"/>
      <c r="QZM251" s="173"/>
      <c r="QZN251" s="173"/>
      <c r="QZO251" s="173"/>
      <c r="QZP251" s="173"/>
      <c r="QZQ251" s="173"/>
      <c r="QZR251" s="173"/>
      <c r="QZS251" s="173"/>
      <c r="QZT251" s="173"/>
      <c r="QZU251" s="173"/>
      <c r="QZV251" s="173"/>
      <c r="QZW251" s="125"/>
      <c r="QZX251" s="125"/>
      <c r="QZY251" s="134"/>
      <c r="QZZ251" s="135"/>
      <c r="RAA251" s="135"/>
      <c r="RAB251" s="135"/>
      <c r="RAC251" s="135"/>
      <c r="RAD251" s="173"/>
      <c r="RAE251" s="173"/>
      <c r="RAF251" s="173"/>
      <c r="RAG251" s="173"/>
      <c r="RAH251" s="173"/>
      <c r="RAI251" s="173"/>
      <c r="RAJ251" s="173"/>
      <c r="RAK251" s="173"/>
      <c r="RAL251" s="173"/>
      <c r="RAM251" s="173"/>
      <c r="RAN251" s="125"/>
      <c r="RAO251" s="125"/>
      <c r="RAP251" s="134"/>
      <c r="RAQ251" s="135"/>
      <c r="RAR251" s="135"/>
      <c r="RAS251" s="135"/>
      <c r="RAT251" s="135"/>
      <c r="RAU251" s="173"/>
      <c r="RAV251" s="173"/>
      <c r="RAW251" s="173"/>
      <c r="RAX251" s="173"/>
      <c r="RAY251" s="173"/>
      <c r="RAZ251" s="173"/>
      <c r="RBA251" s="173"/>
      <c r="RBB251" s="173"/>
      <c r="RBC251" s="173"/>
      <c r="RBD251" s="173"/>
      <c r="RBE251" s="125"/>
      <c r="RBF251" s="125"/>
      <c r="RBG251" s="134"/>
      <c r="RBH251" s="135"/>
      <c r="RBI251" s="135"/>
      <c r="RBJ251" s="135"/>
      <c r="RBK251" s="135"/>
      <c r="RBL251" s="173"/>
      <c r="RBM251" s="173"/>
      <c r="RBN251" s="173"/>
      <c r="RBO251" s="173"/>
      <c r="RBP251" s="173"/>
      <c r="RBQ251" s="173"/>
      <c r="RBR251" s="173"/>
      <c r="RBS251" s="173"/>
      <c r="RBT251" s="173"/>
      <c r="RBU251" s="173"/>
      <c r="RBV251" s="125"/>
      <c r="RBW251" s="125"/>
      <c r="RBX251" s="134"/>
      <c r="RBY251" s="135"/>
      <c r="RBZ251" s="135"/>
      <c r="RCA251" s="135"/>
      <c r="RCB251" s="135"/>
      <c r="RCC251" s="173"/>
      <c r="RCD251" s="173"/>
      <c r="RCE251" s="173"/>
      <c r="RCF251" s="173"/>
      <c r="RCG251" s="173"/>
      <c r="RCH251" s="173"/>
      <c r="RCI251" s="173"/>
      <c r="RCJ251" s="173"/>
      <c r="RCK251" s="173"/>
      <c r="RCL251" s="173"/>
      <c r="RCM251" s="125"/>
      <c r="RCN251" s="125"/>
      <c r="RCO251" s="134"/>
      <c r="RCP251" s="135"/>
      <c r="RCQ251" s="135"/>
      <c r="RCR251" s="135"/>
      <c r="RCS251" s="135"/>
      <c r="RCT251" s="173"/>
      <c r="RCU251" s="173"/>
      <c r="RCV251" s="173"/>
      <c r="RCW251" s="173"/>
      <c r="RCX251" s="173"/>
      <c r="RCY251" s="173"/>
      <c r="RCZ251" s="173"/>
      <c r="RDA251" s="173"/>
      <c r="RDB251" s="173"/>
      <c r="RDC251" s="173"/>
      <c r="RDD251" s="125"/>
      <c r="RDE251" s="125"/>
      <c r="RDF251" s="134"/>
      <c r="RDG251" s="135"/>
      <c r="RDH251" s="135"/>
      <c r="RDI251" s="135"/>
      <c r="RDJ251" s="135"/>
      <c r="RDK251" s="173"/>
      <c r="RDL251" s="173"/>
      <c r="RDM251" s="173"/>
      <c r="RDN251" s="173"/>
      <c r="RDO251" s="173"/>
      <c r="RDP251" s="173"/>
      <c r="RDQ251" s="173"/>
      <c r="RDR251" s="173"/>
      <c r="RDS251" s="173"/>
      <c r="RDT251" s="173"/>
      <c r="RDU251" s="125"/>
      <c r="RDV251" s="125"/>
      <c r="RDW251" s="134"/>
      <c r="RDX251" s="135"/>
      <c r="RDY251" s="135"/>
      <c r="RDZ251" s="135"/>
      <c r="REA251" s="135"/>
      <c r="REB251" s="173"/>
      <c r="REC251" s="173"/>
      <c r="RED251" s="173"/>
      <c r="REE251" s="173"/>
      <c r="REF251" s="173"/>
      <c r="REG251" s="173"/>
      <c r="REH251" s="173"/>
      <c r="REI251" s="173"/>
      <c r="REJ251" s="173"/>
      <c r="REK251" s="173"/>
      <c r="REL251" s="125"/>
      <c r="REM251" s="125"/>
      <c r="REN251" s="134"/>
      <c r="REO251" s="135"/>
      <c r="REP251" s="135"/>
      <c r="REQ251" s="135"/>
      <c r="RER251" s="135"/>
      <c r="RES251" s="173"/>
      <c r="RET251" s="173"/>
      <c r="REU251" s="173"/>
      <c r="REV251" s="173"/>
      <c r="REW251" s="173"/>
      <c r="REX251" s="173"/>
      <c r="REY251" s="173"/>
      <c r="REZ251" s="173"/>
      <c r="RFA251" s="173"/>
      <c r="RFB251" s="173"/>
      <c r="RFC251" s="125"/>
      <c r="RFD251" s="125"/>
      <c r="RFE251" s="134"/>
      <c r="RFF251" s="135"/>
      <c r="RFG251" s="135"/>
      <c r="RFH251" s="135"/>
      <c r="RFI251" s="135"/>
      <c r="RFJ251" s="173"/>
      <c r="RFK251" s="173"/>
      <c r="RFL251" s="173"/>
      <c r="RFM251" s="173"/>
      <c r="RFN251" s="173"/>
      <c r="RFO251" s="173"/>
      <c r="RFP251" s="173"/>
      <c r="RFQ251" s="173"/>
      <c r="RFR251" s="173"/>
      <c r="RFS251" s="173"/>
      <c r="RFT251" s="125"/>
      <c r="RFU251" s="125"/>
      <c r="RFV251" s="134"/>
      <c r="RFW251" s="135"/>
      <c r="RFX251" s="135"/>
      <c r="RFY251" s="135"/>
      <c r="RFZ251" s="135"/>
      <c r="RGA251" s="173"/>
      <c r="RGB251" s="173"/>
      <c r="RGC251" s="173"/>
      <c r="RGD251" s="173"/>
      <c r="RGE251" s="173"/>
      <c r="RGF251" s="173"/>
      <c r="RGG251" s="173"/>
      <c r="RGH251" s="173"/>
      <c r="RGI251" s="173"/>
      <c r="RGJ251" s="173"/>
      <c r="RGK251" s="125"/>
      <c r="RGL251" s="125"/>
      <c r="RGM251" s="134"/>
      <c r="RGN251" s="135"/>
      <c r="RGO251" s="135"/>
      <c r="RGP251" s="135"/>
      <c r="RGQ251" s="135"/>
      <c r="RGR251" s="173"/>
      <c r="RGS251" s="173"/>
      <c r="RGT251" s="173"/>
      <c r="RGU251" s="173"/>
      <c r="RGV251" s="173"/>
      <c r="RGW251" s="173"/>
      <c r="RGX251" s="173"/>
      <c r="RGY251" s="173"/>
      <c r="RGZ251" s="173"/>
      <c r="RHA251" s="173"/>
      <c r="RHB251" s="125"/>
      <c r="RHC251" s="125"/>
      <c r="RHD251" s="134"/>
      <c r="RHE251" s="135"/>
      <c r="RHF251" s="135"/>
      <c r="RHG251" s="135"/>
      <c r="RHH251" s="135"/>
      <c r="RHI251" s="173"/>
      <c r="RHJ251" s="173"/>
      <c r="RHK251" s="173"/>
      <c r="RHL251" s="173"/>
      <c r="RHM251" s="173"/>
      <c r="RHN251" s="173"/>
      <c r="RHO251" s="173"/>
      <c r="RHP251" s="173"/>
      <c r="RHQ251" s="173"/>
      <c r="RHR251" s="173"/>
      <c r="RHS251" s="125"/>
      <c r="RHT251" s="125"/>
      <c r="RHU251" s="134"/>
      <c r="RHV251" s="135"/>
      <c r="RHW251" s="135"/>
      <c r="RHX251" s="135"/>
      <c r="RHY251" s="135"/>
      <c r="RHZ251" s="173"/>
      <c r="RIA251" s="173"/>
      <c r="RIB251" s="173"/>
      <c r="RIC251" s="173"/>
      <c r="RID251" s="173"/>
      <c r="RIE251" s="173"/>
      <c r="RIF251" s="173"/>
      <c r="RIG251" s="173"/>
      <c r="RIH251" s="173"/>
      <c r="RII251" s="173"/>
      <c r="RIJ251" s="125"/>
      <c r="RIK251" s="125"/>
      <c r="RIL251" s="134"/>
      <c r="RIM251" s="135"/>
      <c r="RIN251" s="135"/>
      <c r="RIO251" s="135"/>
      <c r="RIP251" s="135"/>
      <c r="RIQ251" s="173"/>
      <c r="RIR251" s="173"/>
      <c r="RIS251" s="173"/>
      <c r="RIT251" s="173"/>
      <c r="RIU251" s="173"/>
      <c r="RIV251" s="173"/>
      <c r="RIW251" s="173"/>
      <c r="RIX251" s="173"/>
      <c r="RIY251" s="173"/>
      <c r="RIZ251" s="173"/>
      <c r="RJA251" s="125"/>
      <c r="RJB251" s="125"/>
      <c r="RJC251" s="134"/>
      <c r="RJD251" s="135"/>
      <c r="RJE251" s="135"/>
      <c r="RJF251" s="135"/>
      <c r="RJG251" s="135"/>
      <c r="RJH251" s="173"/>
      <c r="RJI251" s="173"/>
      <c r="RJJ251" s="173"/>
      <c r="RJK251" s="173"/>
      <c r="RJL251" s="173"/>
      <c r="RJM251" s="173"/>
      <c r="RJN251" s="173"/>
      <c r="RJO251" s="173"/>
      <c r="RJP251" s="173"/>
      <c r="RJQ251" s="173"/>
      <c r="RJR251" s="125"/>
      <c r="RJS251" s="125"/>
      <c r="RJT251" s="134"/>
      <c r="RJU251" s="135"/>
      <c r="RJV251" s="135"/>
      <c r="RJW251" s="135"/>
      <c r="RJX251" s="135"/>
      <c r="RJY251" s="173"/>
      <c r="RJZ251" s="173"/>
      <c r="RKA251" s="173"/>
      <c r="RKB251" s="173"/>
      <c r="RKC251" s="173"/>
      <c r="RKD251" s="173"/>
      <c r="RKE251" s="173"/>
      <c r="RKF251" s="173"/>
      <c r="RKG251" s="173"/>
      <c r="RKH251" s="173"/>
      <c r="RKI251" s="125"/>
      <c r="RKJ251" s="125"/>
      <c r="RKK251" s="134"/>
      <c r="RKL251" s="135"/>
      <c r="RKM251" s="135"/>
      <c r="RKN251" s="135"/>
      <c r="RKO251" s="135"/>
      <c r="RKP251" s="173"/>
      <c r="RKQ251" s="173"/>
      <c r="RKR251" s="173"/>
      <c r="RKS251" s="173"/>
      <c r="RKT251" s="173"/>
      <c r="RKU251" s="173"/>
      <c r="RKV251" s="173"/>
      <c r="RKW251" s="173"/>
      <c r="RKX251" s="173"/>
      <c r="RKY251" s="173"/>
      <c r="RKZ251" s="125"/>
      <c r="RLA251" s="125"/>
      <c r="RLB251" s="134"/>
      <c r="RLC251" s="135"/>
      <c r="RLD251" s="135"/>
      <c r="RLE251" s="135"/>
      <c r="RLF251" s="135"/>
      <c r="RLG251" s="173"/>
      <c r="RLH251" s="173"/>
      <c r="RLI251" s="173"/>
      <c r="RLJ251" s="173"/>
      <c r="RLK251" s="173"/>
      <c r="RLL251" s="173"/>
      <c r="RLM251" s="173"/>
      <c r="RLN251" s="173"/>
      <c r="RLO251" s="173"/>
      <c r="RLP251" s="173"/>
      <c r="RLQ251" s="125"/>
      <c r="RLR251" s="125"/>
      <c r="RLS251" s="134"/>
      <c r="RLT251" s="135"/>
      <c r="RLU251" s="135"/>
      <c r="RLV251" s="135"/>
      <c r="RLW251" s="135"/>
      <c r="RLX251" s="173"/>
      <c r="RLY251" s="173"/>
      <c r="RLZ251" s="173"/>
      <c r="RMA251" s="173"/>
      <c r="RMB251" s="173"/>
      <c r="RMC251" s="173"/>
      <c r="RMD251" s="173"/>
      <c r="RME251" s="173"/>
      <c r="RMF251" s="173"/>
      <c r="RMG251" s="173"/>
      <c r="RMH251" s="125"/>
      <c r="RMI251" s="125"/>
      <c r="RMJ251" s="134"/>
      <c r="RMK251" s="135"/>
      <c r="RML251" s="135"/>
      <c r="RMM251" s="135"/>
      <c r="RMN251" s="135"/>
      <c r="RMO251" s="173"/>
      <c r="RMP251" s="173"/>
      <c r="RMQ251" s="173"/>
      <c r="RMR251" s="173"/>
      <c r="RMS251" s="173"/>
      <c r="RMT251" s="173"/>
      <c r="RMU251" s="173"/>
      <c r="RMV251" s="173"/>
      <c r="RMW251" s="173"/>
      <c r="RMX251" s="173"/>
      <c r="RMY251" s="125"/>
      <c r="RMZ251" s="125"/>
      <c r="RNA251" s="134"/>
      <c r="RNB251" s="135"/>
      <c r="RNC251" s="135"/>
      <c r="RND251" s="135"/>
      <c r="RNE251" s="135"/>
      <c r="RNF251" s="173"/>
      <c r="RNG251" s="173"/>
      <c r="RNH251" s="173"/>
      <c r="RNI251" s="173"/>
      <c r="RNJ251" s="173"/>
      <c r="RNK251" s="173"/>
      <c r="RNL251" s="173"/>
      <c r="RNM251" s="173"/>
      <c r="RNN251" s="173"/>
      <c r="RNO251" s="173"/>
      <c r="RNP251" s="125"/>
      <c r="RNQ251" s="125"/>
      <c r="RNR251" s="134"/>
      <c r="RNS251" s="135"/>
      <c r="RNT251" s="135"/>
      <c r="RNU251" s="135"/>
      <c r="RNV251" s="135"/>
      <c r="RNW251" s="173"/>
      <c r="RNX251" s="173"/>
      <c r="RNY251" s="173"/>
      <c r="RNZ251" s="173"/>
      <c r="ROA251" s="173"/>
      <c r="ROB251" s="173"/>
      <c r="ROC251" s="173"/>
      <c r="ROD251" s="173"/>
      <c r="ROE251" s="173"/>
      <c r="ROF251" s="173"/>
      <c r="ROG251" s="125"/>
      <c r="ROH251" s="125"/>
      <c r="ROI251" s="134"/>
      <c r="ROJ251" s="135"/>
      <c r="ROK251" s="135"/>
      <c r="ROL251" s="135"/>
      <c r="ROM251" s="135"/>
      <c r="RON251" s="173"/>
      <c r="ROO251" s="173"/>
      <c r="ROP251" s="173"/>
      <c r="ROQ251" s="173"/>
      <c r="ROR251" s="173"/>
      <c r="ROS251" s="173"/>
      <c r="ROT251" s="173"/>
      <c r="ROU251" s="173"/>
      <c r="ROV251" s="173"/>
      <c r="ROW251" s="173"/>
      <c r="ROX251" s="125"/>
      <c r="ROY251" s="125"/>
      <c r="ROZ251" s="134"/>
      <c r="RPA251" s="135"/>
      <c r="RPB251" s="135"/>
      <c r="RPC251" s="135"/>
      <c r="RPD251" s="135"/>
      <c r="RPE251" s="173"/>
      <c r="RPF251" s="173"/>
      <c r="RPG251" s="173"/>
      <c r="RPH251" s="173"/>
      <c r="RPI251" s="173"/>
      <c r="RPJ251" s="173"/>
      <c r="RPK251" s="173"/>
      <c r="RPL251" s="173"/>
      <c r="RPM251" s="173"/>
      <c r="RPN251" s="173"/>
      <c r="RPO251" s="125"/>
      <c r="RPP251" s="125"/>
      <c r="RPQ251" s="134"/>
      <c r="RPR251" s="135"/>
      <c r="RPS251" s="135"/>
      <c r="RPT251" s="135"/>
      <c r="RPU251" s="135"/>
      <c r="RPV251" s="173"/>
      <c r="RPW251" s="173"/>
      <c r="RPX251" s="173"/>
      <c r="RPY251" s="173"/>
      <c r="RPZ251" s="173"/>
      <c r="RQA251" s="173"/>
      <c r="RQB251" s="173"/>
      <c r="RQC251" s="173"/>
      <c r="RQD251" s="173"/>
      <c r="RQE251" s="173"/>
      <c r="RQF251" s="125"/>
      <c r="RQG251" s="125"/>
      <c r="RQH251" s="134"/>
      <c r="RQI251" s="135"/>
      <c r="RQJ251" s="135"/>
      <c r="RQK251" s="135"/>
      <c r="RQL251" s="135"/>
      <c r="RQM251" s="173"/>
      <c r="RQN251" s="173"/>
      <c r="RQO251" s="173"/>
      <c r="RQP251" s="173"/>
      <c r="RQQ251" s="173"/>
      <c r="RQR251" s="173"/>
      <c r="RQS251" s="173"/>
      <c r="RQT251" s="173"/>
      <c r="RQU251" s="173"/>
      <c r="RQV251" s="173"/>
      <c r="RQW251" s="125"/>
      <c r="RQX251" s="125"/>
      <c r="RQY251" s="134"/>
      <c r="RQZ251" s="135"/>
      <c r="RRA251" s="135"/>
      <c r="RRB251" s="135"/>
      <c r="RRC251" s="135"/>
      <c r="RRD251" s="173"/>
      <c r="RRE251" s="173"/>
      <c r="RRF251" s="173"/>
      <c r="RRG251" s="173"/>
      <c r="RRH251" s="173"/>
      <c r="RRI251" s="173"/>
      <c r="RRJ251" s="173"/>
      <c r="RRK251" s="173"/>
      <c r="RRL251" s="173"/>
      <c r="RRM251" s="173"/>
      <c r="RRN251" s="125"/>
      <c r="RRO251" s="125"/>
      <c r="RRP251" s="134"/>
      <c r="RRQ251" s="135"/>
      <c r="RRR251" s="135"/>
      <c r="RRS251" s="135"/>
      <c r="RRT251" s="135"/>
      <c r="RRU251" s="173"/>
      <c r="RRV251" s="173"/>
      <c r="RRW251" s="173"/>
      <c r="RRX251" s="173"/>
      <c r="RRY251" s="173"/>
      <c r="RRZ251" s="173"/>
      <c r="RSA251" s="173"/>
      <c r="RSB251" s="173"/>
      <c r="RSC251" s="173"/>
      <c r="RSD251" s="173"/>
      <c r="RSE251" s="125"/>
      <c r="RSF251" s="125"/>
      <c r="RSG251" s="134"/>
      <c r="RSH251" s="135"/>
      <c r="RSI251" s="135"/>
      <c r="RSJ251" s="135"/>
      <c r="RSK251" s="135"/>
      <c r="RSL251" s="173"/>
      <c r="RSM251" s="173"/>
      <c r="RSN251" s="173"/>
      <c r="RSO251" s="173"/>
      <c r="RSP251" s="173"/>
      <c r="RSQ251" s="173"/>
      <c r="RSR251" s="173"/>
      <c r="RSS251" s="173"/>
      <c r="RST251" s="173"/>
      <c r="RSU251" s="173"/>
      <c r="RSV251" s="125"/>
      <c r="RSW251" s="125"/>
      <c r="RSX251" s="134"/>
      <c r="RSY251" s="135"/>
      <c r="RSZ251" s="135"/>
      <c r="RTA251" s="135"/>
      <c r="RTB251" s="135"/>
      <c r="RTC251" s="173"/>
      <c r="RTD251" s="173"/>
      <c r="RTE251" s="173"/>
      <c r="RTF251" s="173"/>
      <c r="RTG251" s="173"/>
      <c r="RTH251" s="173"/>
      <c r="RTI251" s="173"/>
      <c r="RTJ251" s="173"/>
      <c r="RTK251" s="173"/>
      <c r="RTL251" s="173"/>
      <c r="RTM251" s="125"/>
      <c r="RTN251" s="125"/>
      <c r="RTO251" s="134"/>
      <c r="RTP251" s="135"/>
      <c r="RTQ251" s="135"/>
      <c r="RTR251" s="135"/>
      <c r="RTS251" s="135"/>
      <c r="RTT251" s="173"/>
      <c r="RTU251" s="173"/>
      <c r="RTV251" s="173"/>
      <c r="RTW251" s="173"/>
      <c r="RTX251" s="173"/>
      <c r="RTY251" s="173"/>
      <c r="RTZ251" s="173"/>
      <c r="RUA251" s="173"/>
      <c r="RUB251" s="173"/>
      <c r="RUC251" s="173"/>
      <c r="RUD251" s="125"/>
      <c r="RUE251" s="125"/>
      <c r="RUF251" s="134"/>
      <c r="RUG251" s="135"/>
      <c r="RUH251" s="135"/>
      <c r="RUI251" s="135"/>
      <c r="RUJ251" s="135"/>
      <c r="RUK251" s="173"/>
      <c r="RUL251" s="173"/>
      <c r="RUM251" s="173"/>
      <c r="RUN251" s="173"/>
      <c r="RUO251" s="173"/>
      <c r="RUP251" s="173"/>
      <c r="RUQ251" s="173"/>
      <c r="RUR251" s="173"/>
      <c r="RUS251" s="173"/>
      <c r="RUT251" s="173"/>
      <c r="RUU251" s="125"/>
      <c r="RUV251" s="125"/>
      <c r="RUW251" s="134"/>
      <c r="RUX251" s="135"/>
      <c r="RUY251" s="135"/>
      <c r="RUZ251" s="135"/>
      <c r="RVA251" s="135"/>
      <c r="RVB251" s="173"/>
      <c r="RVC251" s="173"/>
      <c r="RVD251" s="173"/>
      <c r="RVE251" s="173"/>
      <c r="RVF251" s="173"/>
      <c r="RVG251" s="173"/>
      <c r="RVH251" s="173"/>
      <c r="RVI251" s="173"/>
      <c r="RVJ251" s="173"/>
      <c r="RVK251" s="173"/>
      <c r="RVL251" s="125"/>
      <c r="RVM251" s="125"/>
      <c r="RVN251" s="134"/>
      <c r="RVO251" s="135"/>
      <c r="RVP251" s="135"/>
      <c r="RVQ251" s="135"/>
      <c r="RVR251" s="135"/>
      <c r="RVS251" s="173"/>
      <c r="RVT251" s="173"/>
      <c r="RVU251" s="173"/>
      <c r="RVV251" s="173"/>
      <c r="RVW251" s="173"/>
      <c r="RVX251" s="173"/>
      <c r="RVY251" s="173"/>
      <c r="RVZ251" s="173"/>
      <c r="RWA251" s="173"/>
      <c r="RWB251" s="173"/>
      <c r="RWC251" s="125"/>
      <c r="RWD251" s="125"/>
      <c r="RWE251" s="134"/>
      <c r="RWF251" s="135"/>
      <c r="RWG251" s="135"/>
      <c r="RWH251" s="135"/>
      <c r="RWI251" s="135"/>
      <c r="RWJ251" s="173"/>
      <c r="RWK251" s="173"/>
      <c r="RWL251" s="173"/>
      <c r="RWM251" s="173"/>
      <c r="RWN251" s="173"/>
      <c r="RWO251" s="173"/>
      <c r="RWP251" s="173"/>
      <c r="RWQ251" s="173"/>
      <c r="RWR251" s="173"/>
      <c r="RWS251" s="173"/>
      <c r="RWT251" s="125"/>
      <c r="RWU251" s="125"/>
      <c r="RWV251" s="134"/>
      <c r="RWW251" s="135"/>
      <c r="RWX251" s="135"/>
      <c r="RWY251" s="135"/>
      <c r="RWZ251" s="135"/>
      <c r="RXA251" s="173"/>
      <c r="RXB251" s="173"/>
      <c r="RXC251" s="173"/>
      <c r="RXD251" s="173"/>
      <c r="RXE251" s="173"/>
      <c r="RXF251" s="173"/>
      <c r="RXG251" s="173"/>
      <c r="RXH251" s="173"/>
      <c r="RXI251" s="173"/>
      <c r="RXJ251" s="173"/>
      <c r="RXK251" s="125"/>
      <c r="RXL251" s="125"/>
      <c r="RXM251" s="134"/>
      <c r="RXN251" s="135"/>
      <c r="RXO251" s="135"/>
      <c r="RXP251" s="135"/>
      <c r="RXQ251" s="135"/>
      <c r="RXR251" s="173"/>
      <c r="RXS251" s="173"/>
      <c r="RXT251" s="173"/>
      <c r="RXU251" s="173"/>
      <c r="RXV251" s="173"/>
      <c r="RXW251" s="173"/>
      <c r="RXX251" s="173"/>
      <c r="RXY251" s="173"/>
      <c r="RXZ251" s="173"/>
      <c r="RYA251" s="173"/>
      <c r="RYB251" s="125"/>
      <c r="RYC251" s="125"/>
      <c r="RYD251" s="134"/>
      <c r="RYE251" s="135"/>
      <c r="RYF251" s="135"/>
      <c r="RYG251" s="135"/>
      <c r="RYH251" s="135"/>
      <c r="RYI251" s="173"/>
      <c r="RYJ251" s="173"/>
      <c r="RYK251" s="173"/>
      <c r="RYL251" s="173"/>
      <c r="RYM251" s="173"/>
      <c r="RYN251" s="173"/>
      <c r="RYO251" s="173"/>
      <c r="RYP251" s="173"/>
      <c r="RYQ251" s="173"/>
      <c r="RYR251" s="173"/>
      <c r="RYS251" s="125"/>
      <c r="RYT251" s="125"/>
      <c r="RYU251" s="134"/>
      <c r="RYV251" s="135"/>
      <c r="RYW251" s="135"/>
      <c r="RYX251" s="135"/>
      <c r="RYY251" s="135"/>
      <c r="RYZ251" s="173"/>
      <c r="RZA251" s="173"/>
      <c r="RZB251" s="173"/>
      <c r="RZC251" s="173"/>
      <c r="RZD251" s="173"/>
      <c r="RZE251" s="173"/>
      <c r="RZF251" s="173"/>
      <c r="RZG251" s="173"/>
      <c r="RZH251" s="173"/>
      <c r="RZI251" s="173"/>
      <c r="RZJ251" s="125"/>
      <c r="RZK251" s="125"/>
      <c r="RZL251" s="134"/>
      <c r="RZM251" s="135"/>
      <c r="RZN251" s="135"/>
      <c r="RZO251" s="135"/>
      <c r="RZP251" s="135"/>
      <c r="RZQ251" s="173"/>
      <c r="RZR251" s="173"/>
      <c r="RZS251" s="173"/>
      <c r="RZT251" s="173"/>
      <c r="RZU251" s="173"/>
      <c r="RZV251" s="173"/>
      <c r="RZW251" s="173"/>
      <c r="RZX251" s="173"/>
      <c r="RZY251" s="173"/>
      <c r="RZZ251" s="173"/>
      <c r="SAA251" s="125"/>
      <c r="SAB251" s="125"/>
      <c r="SAC251" s="134"/>
      <c r="SAD251" s="135"/>
      <c r="SAE251" s="135"/>
      <c r="SAF251" s="135"/>
      <c r="SAG251" s="135"/>
      <c r="SAH251" s="173"/>
      <c r="SAI251" s="173"/>
      <c r="SAJ251" s="173"/>
      <c r="SAK251" s="173"/>
      <c r="SAL251" s="173"/>
      <c r="SAM251" s="173"/>
      <c r="SAN251" s="173"/>
      <c r="SAO251" s="173"/>
      <c r="SAP251" s="173"/>
      <c r="SAQ251" s="173"/>
      <c r="SAR251" s="125"/>
      <c r="SAS251" s="125"/>
      <c r="SAT251" s="134"/>
      <c r="SAU251" s="135"/>
      <c r="SAV251" s="135"/>
      <c r="SAW251" s="135"/>
      <c r="SAX251" s="135"/>
      <c r="SAY251" s="173"/>
      <c r="SAZ251" s="173"/>
      <c r="SBA251" s="173"/>
      <c r="SBB251" s="173"/>
      <c r="SBC251" s="173"/>
      <c r="SBD251" s="173"/>
      <c r="SBE251" s="173"/>
      <c r="SBF251" s="173"/>
      <c r="SBG251" s="173"/>
      <c r="SBH251" s="173"/>
      <c r="SBI251" s="125"/>
      <c r="SBJ251" s="125"/>
      <c r="SBK251" s="134"/>
      <c r="SBL251" s="135"/>
      <c r="SBM251" s="135"/>
      <c r="SBN251" s="135"/>
      <c r="SBO251" s="135"/>
      <c r="SBP251" s="173"/>
      <c r="SBQ251" s="173"/>
      <c r="SBR251" s="173"/>
      <c r="SBS251" s="173"/>
      <c r="SBT251" s="173"/>
      <c r="SBU251" s="173"/>
      <c r="SBV251" s="173"/>
      <c r="SBW251" s="173"/>
      <c r="SBX251" s="173"/>
      <c r="SBY251" s="173"/>
      <c r="SBZ251" s="125"/>
      <c r="SCA251" s="125"/>
      <c r="SCB251" s="134"/>
      <c r="SCC251" s="135"/>
      <c r="SCD251" s="135"/>
      <c r="SCE251" s="135"/>
      <c r="SCF251" s="135"/>
      <c r="SCG251" s="173"/>
      <c r="SCH251" s="173"/>
      <c r="SCI251" s="173"/>
      <c r="SCJ251" s="173"/>
      <c r="SCK251" s="173"/>
      <c r="SCL251" s="173"/>
      <c r="SCM251" s="173"/>
      <c r="SCN251" s="173"/>
      <c r="SCO251" s="173"/>
      <c r="SCP251" s="173"/>
      <c r="SCQ251" s="125"/>
      <c r="SCR251" s="125"/>
      <c r="SCS251" s="134"/>
      <c r="SCT251" s="135"/>
      <c r="SCU251" s="135"/>
      <c r="SCV251" s="135"/>
      <c r="SCW251" s="135"/>
      <c r="SCX251" s="173"/>
      <c r="SCY251" s="173"/>
      <c r="SCZ251" s="173"/>
      <c r="SDA251" s="173"/>
      <c r="SDB251" s="173"/>
      <c r="SDC251" s="173"/>
      <c r="SDD251" s="173"/>
      <c r="SDE251" s="173"/>
      <c r="SDF251" s="173"/>
      <c r="SDG251" s="173"/>
      <c r="SDH251" s="125"/>
      <c r="SDI251" s="125"/>
      <c r="SDJ251" s="134"/>
      <c r="SDK251" s="135"/>
      <c r="SDL251" s="135"/>
      <c r="SDM251" s="135"/>
      <c r="SDN251" s="135"/>
      <c r="SDO251" s="173"/>
      <c r="SDP251" s="173"/>
      <c r="SDQ251" s="173"/>
      <c r="SDR251" s="173"/>
      <c r="SDS251" s="173"/>
      <c r="SDT251" s="173"/>
      <c r="SDU251" s="173"/>
      <c r="SDV251" s="173"/>
      <c r="SDW251" s="173"/>
      <c r="SDX251" s="173"/>
      <c r="SDY251" s="125"/>
      <c r="SDZ251" s="125"/>
      <c r="SEA251" s="134"/>
      <c r="SEB251" s="135"/>
      <c r="SEC251" s="135"/>
      <c r="SED251" s="135"/>
      <c r="SEE251" s="135"/>
      <c r="SEF251" s="173"/>
      <c r="SEG251" s="173"/>
      <c r="SEH251" s="173"/>
      <c r="SEI251" s="173"/>
      <c r="SEJ251" s="173"/>
      <c r="SEK251" s="173"/>
      <c r="SEL251" s="173"/>
      <c r="SEM251" s="173"/>
      <c r="SEN251" s="173"/>
      <c r="SEO251" s="173"/>
      <c r="SEP251" s="125"/>
      <c r="SEQ251" s="125"/>
      <c r="SER251" s="134"/>
      <c r="SES251" s="135"/>
      <c r="SET251" s="135"/>
      <c r="SEU251" s="135"/>
      <c r="SEV251" s="135"/>
      <c r="SEW251" s="173"/>
      <c r="SEX251" s="173"/>
      <c r="SEY251" s="173"/>
      <c r="SEZ251" s="173"/>
      <c r="SFA251" s="173"/>
      <c r="SFB251" s="173"/>
      <c r="SFC251" s="173"/>
      <c r="SFD251" s="173"/>
      <c r="SFE251" s="173"/>
      <c r="SFF251" s="173"/>
      <c r="SFG251" s="125"/>
      <c r="SFH251" s="125"/>
      <c r="SFI251" s="134"/>
      <c r="SFJ251" s="135"/>
      <c r="SFK251" s="135"/>
      <c r="SFL251" s="135"/>
      <c r="SFM251" s="135"/>
      <c r="SFN251" s="173"/>
      <c r="SFO251" s="173"/>
      <c r="SFP251" s="173"/>
      <c r="SFQ251" s="173"/>
      <c r="SFR251" s="173"/>
      <c r="SFS251" s="173"/>
      <c r="SFT251" s="173"/>
      <c r="SFU251" s="173"/>
      <c r="SFV251" s="173"/>
      <c r="SFW251" s="173"/>
      <c r="SFX251" s="125"/>
      <c r="SFY251" s="125"/>
      <c r="SFZ251" s="134"/>
      <c r="SGA251" s="135"/>
      <c r="SGB251" s="135"/>
      <c r="SGC251" s="135"/>
      <c r="SGD251" s="135"/>
      <c r="SGE251" s="173"/>
      <c r="SGF251" s="173"/>
      <c r="SGG251" s="173"/>
      <c r="SGH251" s="173"/>
      <c r="SGI251" s="173"/>
      <c r="SGJ251" s="173"/>
      <c r="SGK251" s="173"/>
      <c r="SGL251" s="173"/>
      <c r="SGM251" s="173"/>
      <c r="SGN251" s="173"/>
      <c r="SGO251" s="125"/>
      <c r="SGP251" s="125"/>
      <c r="SGQ251" s="134"/>
      <c r="SGR251" s="135"/>
      <c r="SGS251" s="135"/>
      <c r="SGT251" s="135"/>
      <c r="SGU251" s="135"/>
      <c r="SGV251" s="173"/>
      <c r="SGW251" s="173"/>
      <c r="SGX251" s="173"/>
      <c r="SGY251" s="173"/>
      <c r="SGZ251" s="173"/>
      <c r="SHA251" s="173"/>
      <c r="SHB251" s="173"/>
      <c r="SHC251" s="173"/>
      <c r="SHD251" s="173"/>
      <c r="SHE251" s="173"/>
      <c r="SHF251" s="125"/>
      <c r="SHG251" s="125"/>
      <c r="SHH251" s="134"/>
      <c r="SHI251" s="135"/>
      <c r="SHJ251" s="135"/>
      <c r="SHK251" s="135"/>
      <c r="SHL251" s="135"/>
      <c r="SHM251" s="173"/>
      <c r="SHN251" s="173"/>
      <c r="SHO251" s="173"/>
      <c r="SHP251" s="173"/>
      <c r="SHQ251" s="173"/>
      <c r="SHR251" s="173"/>
      <c r="SHS251" s="173"/>
      <c r="SHT251" s="173"/>
      <c r="SHU251" s="173"/>
      <c r="SHV251" s="173"/>
      <c r="SHW251" s="125"/>
      <c r="SHX251" s="125"/>
      <c r="SHY251" s="134"/>
      <c r="SHZ251" s="135"/>
      <c r="SIA251" s="135"/>
      <c r="SIB251" s="135"/>
      <c r="SIC251" s="135"/>
      <c r="SID251" s="173"/>
      <c r="SIE251" s="173"/>
      <c r="SIF251" s="173"/>
      <c r="SIG251" s="173"/>
      <c r="SIH251" s="173"/>
      <c r="SII251" s="173"/>
      <c r="SIJ251" s="173"/>
      <c r="SIK251" s="173"/>
      <c r="SIL251" s="173"/>
      <c r="SIM251" s="173"/>
      <c r="SIN251" s="125"/>
      <c r="SIO251" s="125"/>
      <c r="SIP251" s="134"/>
      <c r="SIQ251" s="135"/>
      <c r="SIR251" s="135"/>
      <c r="SIS251" s="135"/>
      <c r="SIT251" s="135"/>
      <c r="SIU251" s="173"/>
      <c r="SIV251" s="173"/>
      <c r="SIW251" s="173"/>
      <c r="SIX251" s="173"/>
      <c r="SIY251" s="173"/>
      <c r="SIZ251" s="173"/>
      <c r="SJA251" s="173"/>
      <c r="SJB251" s="173"/>
      <c r="SJC251" s="173"/>
      <c r="SJD251" s="173"/>
      <c r="SJE251" s="125"/>
      <c r="SJF251" s="125"/>
      <c r="SJG251" s="134"/>
      <c r="SJH251" s="135"/>
      <c r="SJI251" s="135"/>
      <c r="SJJ251" s="135"/>
      <c r="SJK251" s="135"/>
      <c r="SJL251" s="173"/>
      <c r="SJM251" s="173"/>
      <c r="SJN251" s="173"/>
      <c r="SJO251" s="173"/>
      <c r="SJP251" s="173"/>
      <c r="SJQ251" s="173"/>
      <c r="SJR251" s="173"/>
      <c r="SJS251" s="173"/>
      <c r="SJT251" s="173"/>
      <c r="SJU251" s="173"/>
      <c r="SJV251" s="125"/>
      <c r="SJW251" s="125"/>
      <c r="SJX251" s="134"/>
      <c r="SJY251" s="135"/>
      <c r="SJZ251" s="135"/>
      <c r="SKA251" s="135"/>
      <c r="SKB251" s="135"/>
      <c r="SKC251" s="173"/>
      <c r="SKD251" s="173"/>
      <c r="SKE251" s="173"/>
      <c r="SKF251" s="173"/>
      <c r="SKG251" s="173"/>
      <c r="SKH251" s="173"/>
      <c r="SKI251" s="173"/>
      <c r="SKJ251" s="173"/>
      <c r="SKK251" s="173"/>
      <c r="SKL251" s="173"/>
      <c r="SKM251" s="125"/>
      <c r="SKN251" s="125"/>
      <c r="SKO251" s="134"/>
      <c r="SKP251" s="135"/>
      <c r="SKQ251" s="135"/>
      <c r="SKR251" s="135"/>
      <c r="SKS251" s="135"/>
      <c r="SKT251" s="173"/>
      <c r="SKU251" s="173"/>
      <c r="SKV251" s="173"/>
      <c r="SKW251" s="173"/>
      <c r="SKX251" s="173"/>
      <c r="SKY251" s="173"/>
      <c r="SKZ251" s="173"/>
      <c r="SLA251" s="173"/>
      <c r="SLB251" s="173"/>
      <c r="SLC251" s="173"/>
      <c r="SLD251" s="125"/>
      <c r="SLE251" s="125"/>
      <c r="SLF251" s="134"/>
      <c r="SLG251" s="135"/>
      <c r="SLH251" s="135"/>
      <c r="SLI251" s="135"/>
      <c r="SLJ251" s="135"/>
      <c r="SLK251" s="173"/>
      <c r="SLL251" s="173"/>
      <c r="SLM251" s="173"/>
      <c r="SLN251" s="173"/>
      <c r="SLO251" s="173"/>
      <c r="SLP251" s="173"/>
      <c r="SLQ251" s="173"/>
      <c r="SLR251" s="173"/>
      <c r="SLS251" s="173"/>
      <c r="SLT251" s="173"/>
      <c r="SLU251" s="125"/>
      <c r="SLV251" s="125"/>
      <c r="SLW251" s="134"/>
      <c r="SLX251" s="135"/>
      <c r="SLY251" s="135"/>
      <c r="SLZ251" s="135"/>
      <c r="SMA251" s="135"/>
      <c r="SMB251" s="173"/>
      <c r="SMC251" s="173"/>
      <c r="SMD251" s="173"/>
      <c r="SME251" s="173"/>
      <c r="SMF251" s="173"/>
      <c r="SMG251" s="173"/>
      <c r="SMH251" s="173"/>
      <c r="SMI251" s="173"/>
      <c r="SMJ251" s="173"/>
      <c r="SMK251" s="173"/>
      <c r="SML251" s="125"/>
      <c r="SMM251" s="125"/>
      <c r="SMN251" s="134"/>
      <c r="SMO251" s="135"/>
      <c r="SMP251" s="135"/>
      <c r="SMQ251" s="135"/>
      <c r="SMR251" s="135"/>
      <c r="SMS251" s="173"/>
      <c r="SMT251" s="173"/>
      <c r="SMU251" s="173"/>
      <c r="SMV251" s="173"/>
      <c r="SMW251" s="173"/>
      <c r="SMX251" s="173"/>
      <c r="SMY251" s="173"/>
      <c r="SMZ251" s="173"/>
      <c r="SNA251" s="173"/>
      <c r="SNB251" s="173"/>
      <c r="SNC251" s="125"/>
      <c r="SND251" s="125"/>
      <c r="SNE251" s="134"/>
      <c r="SNF251" s="135"/>
      <c r="SNG251" s="135"/>
      <c r="SNH251" s="135"/>
      <c r="SNI251" s="135"/>
      <c r="SNJ251" s="173"/>
      <c r="SNK251" s="173"/>
      <c r="SNL251" s="173"/>
      <c r="SNM251" s="173"/>
      <c r="SNN251" s="173"/>
      <c r="SNO251" s="173"/>
      <c r="SNP251" s="173"/>
      <c r="SNQ251" s="173"/>
      <c r="SNR251" s="173"/>
      <c r="SNS251" s="173"/>
      <c r="SNT251" s="125"/>
      <c r="SNU251" s="125"/>
      <c r="SNV251" s="134"/>
      <c r="SNW251" s="135"/>
      <c r="SNX251" s="135"/>
      <c r="SNY251" s="135"/>
      <c r="SNZ251" s="135"/>
      <c r="SOA251" s="173"/>
      <c r="SOB251" s="173"/>
      <c r="SOC251" s="173"/>
      <c r="SOD251" s="173"/>
      <c r="SOE251" s="173"/>
      <c r="SOF251" s="173"/>
      <c r="SOG251" s="173"/>
      <c r="SOH251" s="173"/>
      <c r="SOI251" s="173"/>
      <c r="SOJ251" s="173"/>
      <c r="SOK251" s="125"/>
      <c r="SOL251" s="125"/>
      <c r="SOM251" s="134"/>
      <c r="SON251" s="135"/>
      <c r="SOO251" s="135"/>
      <c r="SOP251" s="135"/>
      <c r="SOQ251" s="135"/>
      <c r="SOR251" s="173"/>
      <c r="SOS251" s="173"/>
      <c r="SOT251" s="173"/>
      <c r="SOU251" s="173"/>
      <c r="SOV251" s="173"/>
      <c r="SOW251" s="173"/>
      <c r="SOX251" s="173"/>
      <c r="SOY251" s="173"/>
      <c r="SOZ251" s="173"/>
      <c r="SPA251" s="173"/>
      <c r="SPB251" s="125"/>
      <c r="SPC251" s="125"/>
      <c r="SPD251" s="134"/>
      <c r="SPE251" s="135"/>
      <c r="SPF251" s="135"/>
      <c r="SPG251" s="135"/>
      <c r="SPH251" s="135"/>
      <c r="SPI251" s="173"/>
      <c r="SPJ251" s="173"/>
      <c r="SPK251" s="173"/>
      <c r="SPL251" s="173"/>
      <c r="SPM251" s="173"/>
      <c r="SPN251" s="173"/>
      <c r="SPO251" s="173"/>
      <c r="SPP251" s="173"/>
      <c r="SPQ251" s="173"/>
      <c r="SPR251" s="173"/>
      <c r="SPS251" s="125"/>
      <c r="SPT251" s="125"/>
      <c r="SPU251" s="134"/>
      <c r="SPV251" s="135"/>
      <c r="SPW251" s="135"/>
      <c r="SPX251" s="135"/>
      <c r="SPY251" s="135"/>
      <c r="SPZ251" s="173"/>
      <c r="SQA251" s="173"/>
      <c r="SQB251" s="173"/>
      <c r="SQC251" s="173"/>
      <c r="SQD251" s="173"/>
      <c r="SQE251" s="173"/>
      <c r="SQF251" s="173"/>
      <c r="SQG251" s="173"/>
      <c r="SQH251" s="173"/>
      <c r="SQI251" s="173"/>
      <c r="SQJ251" s="125"/>
      <c r="SQK251" s="125"/>
      <c r="SQL251" s="134"/>
      <c r="SQM251" s="135"/>
      <c r="SQN251" s="135"/>
      <c r="SQO251" s="135"/>
      <c r="SQP251" s="135"/>
      <c r="SQQ251" s="173"/>
      <c r="SQR251" s="173"/>
      <c r="SQS251" s="173"/>
      <c r="SQT251" s="173"/>
      <c r="SQU251" s="173"/>
      <c r="SQV251" s="173"/>
      <c r="SQW251" s="173"/>
      <c r="SQX251" s="173"/>
      <c r="SQY251" s="173"/>
      <c r="SQZ251" s="173"/>
      <c r="SRA251" s="125"/>
      <c r="SRB251" s="125"/>
      <c r="SRC251" s="134"/>
      <c r="SRD251" s="135"/>
      <c r="SRE251" s="135"/>
      <c r="SRF251" s="135"/>
      <c r="SRG251" s="135"/>
      <c r="SRH251" s="173"/>
      <c r="SRI251" s="173"/>
      <c r="SRJ251" s="173"/>
      <c r="SRK251" s="173"/>
      <c r="SRL251" s="173"/>
      <c r="SRM251" s="173"/>
      <c r="SRN251" s="173"/>
      <c r="SRO251" s="173"/>
      <c r="SRP251" s="173"/>
      <c r="SRQ251" s="173"/>
      <c r="SRR251" s="125"/>
      <c r="SRS251" s="125"/>
      <c r="SRT251" s="134"/>
      <c r="SRU251" s="135"/>
      <c r="SRV251" s="135"/>
      <c r="SRW251" s="135"/>
      <c r="SRX251" s="135"/>
      <c r="SRY251" s="173"/>
      <c r="SRZ251" s="173"/>
      <c r="SSA251" s="173"/>
      <c r="SSB251" s="173"/>
      <c r="SSC251" s="173"/>
      <c r="SSD251" s="173"/>
      <c r="SSE251" s="173"/>
      <c r="SSF251" s="173"/>
      <c r="SSG251" s="173"/>
      <c r="SSH251" s="173"/>
      <c r="SSI251" s="125"/>
      <c r="SSJ251" s="125"/>
      <c r="SSK251" s="134"/>
      <c r="SSL251" s="135"/>
      <c r="SSM251" s="135"/>
      <c r="SSN251" s="135"/>
      <c r="SSO251" s="135"/>
      <c r="SSP251" s="173"/>
      <c r="SSQ251" s="173"/>
      <c r="SSR251" s="173"/>
      <c r="SSS251" s="173"/>
      <c r="SST251" s="173"/>
      <c r="SSU251" s="173"/>
      <c r="SSV251" s="173"/>
      <c r="SSW251" s="173"/>
      <c r="SSX251" s="173"/>
      <c r="SSY251" s="173"/>
      <c r="SSZ251" s="125"/>
      <c r="STA251" s="125"/>
      <c r="STB251" s="134"/>
      <c r="STC251" s="135"/>
      <c r="STD251" s="135"/>
      <c r="STE251" s="135"/>
      <c r="STF251" s="135"/>
      <c r="STG251" s="173"/>
      <c r="STH251" s="173"/>
      <c r="STI251" s="173"/>
      <c r="STJ251" s="173"/>
      <c r="STK251" s="173"/>
      <c r="STL251" s="173"/>
      <c r="STM251" s="173"/>
      <c r="STN251" s="173"/>
      <c r="STO251" s="173"/>
      <c r="STP251" s="173"/>
      <c r="STQ251" s="125"/>
      <c r="STR251" s="125"/>
      <c r="STS251" s="134"/>
      <c r="STT251" s="135"/>
      <c r="STU251" s="135"/>
      <c r="STV251" s="135"/>
      <c r="STW251" s="135"/>
      <c r="STX251" s="173"/>
      <c r="STY251" s="173"/>
      <c r="STZ251" s="173"/>
      <c r="SUA251" s="173"/>
      <c r="SUB251" s="173"/>
      <c r="SUC251" s="173"/>
      <c r="SUD251" s="173"/>
      <c r="SUE251" s="173"/>
      <c r="SUF251" s="173"/>
      <c r="SUG251" s="173"/>
      <c r="SUH251" s="125"/>
      <c r="SUI251" s="125"/>
      <c r="SUJ251" s="134"/>
      <c r="SUK251" s="135"/>
      <c r="SUL251" s="135"/>
      <c r="SUM251" s="135"/>
      <c r="SUN251" s="135"/>
      <c r="SUO251" s="173"/>
      <c r="SUP251" s="173"/>
      <c r="SUQ251" s="173"/>
      <c r="SUR251" s="173"/>
      <c r="SUS251" s="173"/>
      <c r="SUT251" s="173"/>
      <c r="SUU251" s="173"/>
      <c r="SUV251" s="173"/>
      <c r="SUW251" s="173"/>
      <c r="SUX251" s="173"/>
      <c r="SUY251" s="125"/>
      <c r="SUZ251" s="125"/>
      <c r="SVA251" s="134"/>
      <c r="SVB251" s="135"/>
      <c r="SVC251" s="135"/>
      <c r="SVD251" s="135"/>
      <c r="SVE251" s="135"/>
      <c r="SVF251" s="173"/>
      <c r="SVG251" s="173"/>
      <c r="SVH251" s="173"/>
      <c r="SVI251" s="173"/>
      <c r="SVJ251" s="173"/>
      <c r="SVK251" s="173"/>
      <c r="SVL251" s="173"/>
      <c r="SVM251" s="173"/>
      <c r="SVN251" s="173"/>
      <c r="SVO251" s="173"/>
      <c r="SVP251" s="125"/>
      <c r="SVQ251" s="125"/>
      <c r="SVR251" s="134"/>
      <c r="SVS251" s="135"/>
      <c r="SVT251" s="135"/>
      <c r="SVU251" s="135"/>
      <c r="SVV251" s="135"/>
      <c r="SVW251" s="173"/>
      <c r="SVX251" s="173"/>
      <c r="SVY251" s="173"/>
      <c r="SVZ251" s="173"/>
      <c r="SWA251" s="173"/>
      <c r="SWB251" s="173"/>
      <c r="SWC251" s="173"/>
      <c r="SWD251" s="173"/>
      <c r="SWE251" s="173"/>
      <c r="SWF251" s="173"/>
      <c r="SWG251" s="125"/>
      <c r="SWH251" s="125"/>
      <c r="SWI251" s="134"/>
      <c r="SWJ251" s="135"/>
      <c r="SWK251" s="135"/>
      <c r="SWL251" s="135"/>
      <c r="SWM251" s="135"/>
      <c r="SWN251" s="173"/>
      <c r="SWO251" s="173"/>
      <c r="SWP251" s="173"/>
      <c r="SWQ251" s="173"/>
      <c r="SWR251" s="173"/>
      <c r="SWS251" s="173"/>
      <c r="SWT251" s="173"/>
      <c r="SWU251" s="173"/>
      <c r="SWV251" s="173"/>
      <c r="SWW251" s="173"/>
      <c r="SWX251" s="125"/>
      <c r="SWY251" s="125"/>
      <c r="SWZ251" s="134"/>
      <c r="SXA251" s="135"/>
      <c r="SXB251" s="135"/>
      <c r="SXC251" s="135"/>
      <c r="SXD251" s="135"/>
      <c r="SXE251" s="173"/>
      <c r="SXF251" s="173"/>
      <c r="SXG251" s="173"/>
      <c r="SXH251" s="173"/>
      <c r="SXI251" s="173"/>
      <c r="SXJ251" s="173"/>
      <c r="SXK251" s="173"/>
      <c r="SXL251" s="173"/>
      <c r="SXM251" s="173"/>
      <c r="SXN251" s="173"/>
      <c r="SXO251" s="125"/>
      <c r="SXP251" s="125"/>
      <c r="SXQ251" s="134"/>
      <c r="SXR251" s="135"/>
      <c r="SXS251" s="135"/>
      <c r="SXT251" s="135"/>
      <c r="SXU251" s="135"/>
      <c r="SXV251" s="173"/>
      <c r="SXW251" s="173"/>
      <c r="SXX251" s="173"/>
      <c r="SXY251" s="173"/>
      <c r="SXZ251" s="173"/>
      <c r="SYA251" s="173"/>
      <c r="SYB251" s="173"/>
      <c r="SYC251" s="173"/>
      <c r="SYD251" s="173"/>
      <c r="SYE251" s="173"/>
      <c r="SYF251" s="125"/>
      <c r="SYG251" s="125"/>
      <c r="SYH251" s="134"/>
      <c r="SYI251" s="135"/>
      <c r="SYJ251" s="135"/>
      <c r="SYK251" s="135"/>
      <c r="SYL251" s="135"/>
      <c r="SYM251" s="173"/>
      <c r="SYN251" s="173"/>
      <c r="SYO251" s="173"/>
      <c r="SYP251" s="173"/>
      <c r="SYQ251" s="173"/>
      <c r="SYR251" s="173"/>
      <c r="SYS251" s="173"/>
      <c r="SYT251" s="173"/>
      <c r="SYU251" s="173"/>
      <c r="SYV251" s="173"/>
      <c r="SYW251" s="125"/>
      <c r="SYX251" s="125"/>
      <c r="SYY251" s="134"/>
      <c r="SYZ251" s="135"/>
      <c r="SZA251" s="135"/>
      <c r="SZB251" s="135"/>
      <c r="SZC251" s="135"/>
      <c r="SZD251" s="173"/>
      <c r="SZE251" s="173"/>
      <c r="SZF251" s="173"/>
      <c r="SZG251" s="173"/>
      <c r="SZH251" s="173"/>
      <c r="SZI251" s="173"/>
      <c r="SZJ251" s="173"/>
      <c r="SZK251" s="173"/>
      <c r="SZL251" s="173"/>
      <c r="SZM251" s="173"/>
      <c r="SZN251" s="125"/>
      <c r="SZO251" s="125"/>
      <c r="SZP251" s="134"/>
      <c r="SZQ251" s="135"/>
      <c r="SZR251" s="135"/>
      <c r="SZS251" s="135"/>
      <c r="SZT251" s="135"/>
      <c r="SZU251" s="173"/>
      <c r="SZV251" s="173"/>
      <c r="SZW251" s="173"/>
      <c r="SZX251" s="173"/>
      <c r="SZY251" s="173"/>
      <c r="SZZ251" s="173"/>
      <c r="TAA251" s="173"/>
      <c r="TAB251" s="173"/>
      <c r="TAC251" s="173"/>
      <c r="TAD251" s="173"/>
      <c r="TAE251" s="125"/>
      <c r="TAF251" s="125"/>
      <c r="TAG251" s="134"/>
      <c r="TAH251" s="135"/>
      <c r="TAI251" s="135"/>
      <c r="TAJ251" s="135"/>
      <c r="TAK251" s="135"/>
      <c r="TAL251" s="173"/>
      <c r="TAM251" s="173"/>
      <c r="TAN251" s="173"/>
      <c r="TAO251" s="173"/>
      <c r="TAP251" s="173"/>
      <c r="TAQ251" s="173"/>
      <c r="TAR251" s="173"/>
      <c r="TAS251" s="173"/>
      <c r="TAT251" s="173"/>
      <c r="TAU251" s="173"/>
      <c r="TAV251" s="125"/>
      <c r="TAW251" s="125"/>
      <c r="TAX251" s="134"/>
      <c r="TAY251" s="135"/>
      <c r="TAZ251" s="135"/>
      <c r="TBA251" s="135"/>
      <c r="TBB251" s="135"/>
      <c r="TBC251" s="173"/>
      <c r="TBD251" s="173"/>
      <c r="TBE251" s="173"/>
      <c r="TBF251" s="173"/>
      <c r="TBG251" s="173"/>
      <c r="TBH251" s="173"/>
      <c r="TBI251" s="173"/>
      <c r="TBJ251" s="173"/>
      <c r="TBK251" s="173"/>
      <c r="TBL251" s="173"/>
      <c r="TBM251" s="125"/>
      <c r="TBN251" s="125"/>
      <c r="TBO251" s="134"/>
      <c r="TBP251" s="135"/>
      <c r="TBQ251" s="135"/>
      <c r="TBR251" s="135"/>
      <c r="TBS251" s="135"/>
      <c r="TBT251" s="173"/>
      <c r="TBU251" s="173"/>
      <c r="TBV251" s="173"/>
      <c r="TBW251" s="173"/>
      <c r="TBX251" s="173"/>
      <c r="TBY251" s="173"/>
      <c r="TBZ251" s="173"/>
      <c r="TCA251" s="173"/>
      <c r="TCB251" s="173"/>
      <c r="TCC251" s="173"/>
      <c r="TCD251" s="125"/>
      <c r="TCE251" s="125"/>
      <c r="TCF251" s="134"/>
      <c r="TCG251" s="135"/>
      <c r="TCH251" s="135"/>
      <c r="TCI251" s="135"/>
      <c r="TCJ251" s="135"/>
      <c r="TCK251" s="173"/>
      <c r="TCL251" s="173"/>
      <c r="TCM251" s="173"/>
      <c r="TCN251" s="173"/>
      <c r="TCO251" s="173"/>
      <c r="TCP251" s="173"/>
      <c r="TCQ251" s="173"/>
      <c r="TCR251" s="173"/>
      <c r="TCS251" s="173"/>
      <c r="TCT251" s="173"/>
      <c r="TCU251" s="125"/>
      <c r="TCV251" s="125"/>
      <c r="TCW251" s="134"/>
      <c r="TCX251" s="135"/>
      <c r="TCY251" s="135"/>
      <c r="TCZ251" s="135"/>
      <c r="TDA251" s="135"/>
      <c r="TDB251" s="173"/>
      <c r="TDC251" s="173"/>
      <c r="TDD251" s="173"/>
      <c r="TDE251" s="173"/>
      <c r="TDF251" s="173"/>
      <c r="TDG251" s="173"/>
      <c r="TDH251" s="173"/>
      <c r="TDI251" s="173"/>
      <c r="TDJ251" s="173"/>
      <c r="TDK251" s="173"/>
      <c r="TDL251" s="125"/>
      <c r="TDM251" s="125"/>
      <c r="TDN251" s="134"/>
      <c r="TDO251" s="135"/>
      <c r="TDP251" s="135"/>
      <c r="TDQ251" s="135"/>
      <c r="TDR251" s="135"/>
      <c r="TDS251" s="173"/>
      <c r="TDT251" s="173"/>
      <c r="TDU251" s="173"/>
      <c r="TDV251" s="173"/>
      <c r="TDW251" s="173"/>
      <c r="TDX251" s="173"/>
      <c r="TDY251" s="173"/>
      <c r="TDZ251" s="173"/>
      <c r="TEA251" s="173"/>
      <c r="TEB251" s="173"/>
      <c r="TEC251" s="125"/>
      <c r="TED251" s="125"/>
      <c r="TEE251" s="134"/>
      <c r="TEF251" s="135"/>
      <c r="TEG251" s="135"/>
      <c r="TEH251" s="135"/>
      <c r="TEI251" s="135"/>
      <c r="TEJ251" s="173"/>
      <c r="TEK251" s="173"/>
      <c r="TEL251" s="173"/>
      <c r="TEM251" s="173"/>
      <c r="TEN251" s="173"/>
      <c r="TEO251" s="173"/>
      <c r="TEP251" s="173"/>
      <c r="TEQ251" s="173"/>
      <c r="TER251" s="173"/>
      <c r="TES251" s="173"/>
      <c r="TET251" s="125"/>
      <c r="TEU251" s="125"/>
      <c r="TEV251" s="134"/>
      <c r="TEW251" s="135"/>
      <c r="TEX251" s="135"/>
      <c r="TEY251" s="135"/>
      <c r="TEZ251" s="135"/>
      <c r="TFA251" s="173"/>
      <c r="TFB251" s="173"/>
      <c r="TFC251" s="173"/>
      <c r="TFD251" s="173"/>
      <c r="TFE251" s="173"/>
      <c r="TFF251" s="173"/>
      <c r="TFG251" s="173"/>
      <c r="TFH251" s="173"/>
      <c r="TFI251" s="173"/>
      <c r="TFJ251" s="173"/>
      <c r="TFK251" s="125"/>
      <c r="TFL251" s="125"/>
      <c r="TFM251" s="134"/>
      <c r="TFN251" s="135"/>
      <c r="TFO251" s="135"/>
      <c r="TFP251" s="135"/>
      <c r="TFQ251" s="135"/>
      <c r="TFR251" s="173"/>
      <c r="TFS251" s="173"/>
      <c r="TFT251" s="173"/>
      <c r="TFU251" s="173"/>
      <c r="TFV251" s="173"/>
      <c r="TFW251" s="173"/>
      <c r="TFX251" s="173"/>
      <c r="TFY251" s="173"/>
      <c r="TFZ251" s="173"/>
      <c r="TGA251" s="173"/>
      <c r="TGB251" s="125"/>
      <c r="TGC251" s="125"/>
      <c r="TGD251" s="134"/>
      <c r="TGE251" s="135"/>
      <c r="TGF251" s="135"/>
      <c r="TGG251" s="135"/>
      <c r="TGH251" s="135"/>
      <c r="TGI251" s="173"/>
      <c r="TGJ251" s="173"/>
      <c r="TGK251" s="173"/>
      <c r="TGL251" s="173"/>
      <c r="TGM251" s="173"/>
      <c r="TGN251" s="173"/>
      <c r="TGO251" s="173"/>
      <c r="TGP251" s="173"/>
      <c r="TGQ251" s="173"/>
      <c r="TGR251" s="173"/>
      <c r="TGS251" s="125"/>
      <c r="TGT251" s="125"/>
      <c r="TGU251" s="134"/>
      <c r="TGV251" s="135"/>
      <c r="TGW251" s="135"/>
      <c r="TGX251" s="135"/>
      <c r="TGY251" s="135"/>
      <c r="TGZ251" s="173"/>
      <c r="THA251" s="173"/>
      <c r="THB251" s="173"/>
      <c r="THC251" s="173"/>
      <c r="THD251" s="173"/>
      <c r="THE251" s="173"/>
      <c r="THF251" s="173"/>
      <c r="THG251" s="173"/>
      <c r="THH251" s="173"/>
      <c r="THI251" s="173"/>
      <c r="THJ251" s="125"/>
      <c r="THK251" s="125"/>
      <c r="THL251" s="134"/>
      <c r="THM251" s="135"/>
      <c r="THN251" s="135"/>
      <c r="THO251" s="135"/>
      <c r="THP251" s="135"/>
      <c r="THQ251" s="173"/>
      <c r="THR251" s="173"/>
      <c r="THS251" s="173"/>
      <c r="THT251" s="173"/>
      <c r="THU251" s="173"/>
      <c r="THV251" s="173"/>
      <c r="THW251" s="173"/>
      <c r="THX251" s="173"/>
      <c r="THY251" s="173"/>
      <c r="THZ251" s="173"/>
      <c r="TIA251" s="125"/>
      <c r="TIB251" s="125"/>
      <c r="TIC251" s="134"/>
      <c r="TID251" s="135"/>
      <c r="TIE251" s="135"/>
      <c r="TIF251" s="135"/>
      <c r="TIG251" s="135"/>
      <c r="TIH251" s="173"/>
      <c r="TII251" s="173"/>
      <c r="TIJ251" s="173"/>
      <c r="TIK251" s="173"/>
      <c r="TIL251" s="173"/>
      <c r="TIM251" s="173"/>
      <c r="TIN251" s="173"/>
      <c r="TIO251" s="173"/>
      <c r="TIP251" s="173"/>
      <c r="TIQ251" s="173"/>
      <c r="TIR251" s="125"/>
      <c r="TIS251" s="125"/>
      <c r="TIT251" s="134"/>
      <c r="TIU251" s="135"/>
      <c r="TIV251" s="135"/>
      <c r="TIW251" s="135"/>
      <c r="TIX251" s="135"/>
      <c r="TIY251" s="173"/>
      <c r="TIZ251" s="173"/>
      <c r="TJA251" s="173"/>
      <c r="TJB251" s="173"/>
      <c r="TJC251" s="173"/>
      <c r="TJD251" s="173"/>
      <c r="TJE251" s="173"/>
      <c r="TJF251" s="173"/>
      <c r="TJG251" s="173"/>
      <c r="TJH251" s="173"/>
      <c r="TJI251" s="125"/>
      <c r="TJJ251" s="125"/>
      <c r="TJK251" s="134"/>
      <c r="TJL251" s="135"/>
      <c r="TJM251" s="135"/>
      <c r="TJN251" s="135"/>
      <c r="TJO251" s="135"/>
      <c r="TJP251" s="173"/>
      <c r="TJQ251" s="173"/>
      <c r="TJR251" s="173"/>
      <c r="TJS251" s="173"/>
      <c r="TJT251" s="173"/>
      <c r="TJU251" s="173"/>
      <c r="TJV251" s="173"/>
      <c r="TJW251" s="173"/>
      <c r="TJX251" s="173"/>
      <c r="TJY251" s="173"/>
      <c r="TJZ251" s="125"/>
      <c r="TKA251" s="125"/>
      <c r="TKB251" s="134"/>
      <c r="TKC251" s="135"/>
      <c r="TKD251" s="135"/>
      <c r="TKE251" s="135"/>
      <c r="TKF251" s="135"/>
      <c r="TKG251" s="173"/>
      <c r="TKH251" s="173"/>
      <c r="TKI251" s="173"/>
      <c r="TKJ251" s="173"/>
      <c r="TKK251" s="173"/>
      <c r="TKL251" s="173"/>
      <c r="TKM251" s="173"/>
      <c r="TKN251" s="173"/>
      <c r="TKO251" s="173"/>
      <c r="TKP251" s="173"/>
      <c r="TKQ251" s="125"/>
      <c r="TKR251" s="125"/>
      <c r="TKS251" s="134"/>
      <c r="TKT251" s="135"/>
      <c r="TKU251" s="135"/>
      <c r="TKV251" s="135"/>
      <c r="TKW251" s="135"/>
      <c r="TKX251" s="173"/>
      <c r="TKY251" s="173"/>
      <c r="TKZ251" s="173"/>
      <c r="TLA251" s="173"/>
      <c r="TLB251" s="173"/>
      <c r="TLC251" s="173"/>
      <c r="TLD251" s="173"/>
      <c r="TLE251" s="173"/>
      <c r="TLF251" s="173"/>
      <c r="TLG251" s="173"/>
      <c r="TLH251" s="125"/>
      <c r="TLI251" s="125"/>
      <c r="TLJ251" s="134"/>
      <c r="TLK251" s="135"/>
      <c r="TLL251" s="135"/>
      <c r="TLM251" s="135"/>
      <c r="TLN251" s="135"/>
      <c r="TLO251" s="173"/>
      <c r="TLP251" s="173"/>
      <c r="TLQ251" s="173"/>
      <c r="TLR251" s="173"/>
      <c r="TLS251" s="173"/>
      <c r="TLT251" s="173"/>
      <c r="TLU251" s="173"/>
      <c r="TLV251" s="173"/>
      <c r="TLW251" s="173"/>
      <c r="TLX251" s="173"/>
      <c r="TLY251" s="125"/>
      <c r="TLZ251" s="125"/>
      <c r="TMA251" s="134"/>
      <c r="TMB251" s="135"/>
      <c r="TMC251" s="135"/>
      <c r="TMD251" s="135"/>
      <c r="TME251" s="135"/>
      <c r="TMF251" s="173"/>
      <c r="TMG251" s="173"/>
      <c r="TMH251" s="173"/>
      <c r="TMI251" s="173"/>
      <c r="TMJ251" s="173"/>
      <c r="TMK251" s="173"/>
      <c r="TML251" s="173"/>
      <c r="TMM251" s="173"/>
      <c r="TMN251" s="173"/>
      <c r="TMO251" s="173"/>
      <c r="TMP251" s="125"/>
      <c r="TMQ251" s="125"/>
      <c r="TMR251" s="134"/>
      <c r="TMS251" s="135"/>
      <c r="TMT251" s="135"/>
      <c r="TMU251" s="135"/>
      <c r="TMV251" s="135"/>
      <c r="TMW251" s="173"/>
      <c r="TMX251" s="173"/>
      <c r="TMY251" s="173"/>
      <c r="TMZ251" s="173"/>
      <c r="TNA251" s="173"/>
      <c r="TNB251" s="173"/>
      <c r="TNC251" s="173"/>
      <c r="TND251" s="173"/>
      <c r="TNE251" s="173"/>
      <c r="TNF251" s="173"/>
      <c r="TNG251" s="125"/>
      <c r="TNH251" s="125"/>
      <c r="TNI251" s="134"/>
      <c r="TNJ251" s="135"/>
      <c r="TNK251" s="135"/>
      <c r="TNL251" s="135"/>
      <c r="TNM251" s="135"/>
      <c r="TNN251" s="173"/>
      <c r="TNO251" s="173"/>
      <c r="TNP251" s="173"/>
      <c r="TNQ251" s="173"/>
      <c r="TNR251" s="173"/>
      <c r="TNS251" s="173"/>
      <c r="TNT251" s="173"/>
      <c r="TNU251" s="173"/>
      <c r="TNV251" s="173"/>
      <c r="TNW251" s="173"/>
      <c r="TNX251" s="125"/>
      <c r="TNY251" s="125"/>
      <c r="TNZ251" s="134"/>
      <c r="TOA251" s="135"/>
      <c r="TOB251" s="135"/>
      <c r="TOC251" s="135"/>
      <c r="TOD251" s="135"/>
      <c r="TOE251" s="173"/>
      <c r="TOF251" s="173"/>
      <c r="TOG251" s="173"/>
      <c r="TOH251" s="173"/>
      <c r="TOI251" s="173"/>
      <c r="TOJ251" s="173"/>
      <c r="TOK251" s="173"/>
      <c r="TOL251" s="173"/>
      <c r="TOM251" s="173"/>
      <c r="TON251" s="173"/>
      <c r="TOO251" s="125"/>
      <c r="TOP251" s="125"/>
      <c r="TOQ251" s="134"/>
      <c r="TOR251" s="135"/>
      <c r="TOS251" s="135"/>
      <c r="TOT251" s="135"/>
      <c r="TOU251" s="135"/>
      <c r="TOV251" s="173"/>
      <c r="TOW251" s="173"/>
      <c r="TOX251" s="173"/>
      <c r="TOY251" s="173"/>
      <c r="TOZ251" s="173"/>
      <c r="TPA251" s="173"/>
      <c r="TPB251" s="173"/>
      <c r="TPC251" s="173"/>
      <c r="TPD251" s="173"/>
      <c r="TPE251" s="173"/>
      <c r="TPF251" s="125"/>
      <c r="TPG251" s="125"/>
      <c r="TPH251" s="134"/>
      <c r="TPI251" s="135"/>
      <c r="TPJ251" s="135"/>
      <c r="TPK251" s="135"/>
      <c r="TPL251" s="135"/>
      <c r="TPM251" s="173"/>
      <c r="TPN251" s="173"/>
      <c r="TPO251" s="173"/>
      <c r="TPP251" s="173"/>
      <c r="TPQ251" s="173"/>
      <c r="TPR251" s="173"/>
      <c r="TPS251" s="173"/>
      <c r="TPT251" s="173"/>
      <c r="TPU251" s="173"/>
      <c r="TPV251" s="173"/>
      <c r="TPW251" s="125"/>
      <c r="TPX251" s="125"/>
      <c r="TPY251" s="134"/>
      <c r="TPZ251" s="135"/>
      <c r="TQA251" s="135"/>
      <c r="TQB251" s="135"/>
      <c r="TQC251" s="135"/>
      <c r="TQD251" s="173"/>
      <c r="TQE251" s="173"/>
      <c r="TQF251" s="173"/>
      <c r="TQG251" s="173"/>
      <c r="TQH251" s="173"/>
      <c r="TQI251" s="173"/>
      <c r="TQJ251" s="173"/>
      <c r="TQK251" s="173"/>
      <c r="TQL251" s="173"/>
      <c r="TQM251" s="173"/>
      <c r="TQN251" s="125"/>
      <c r="TQO251" s="125"/>
      <c r="TQP251" s="134"/>
      <c r="TQQ251" s="135"/>
      <c r="TQR251" s="135"/>
      <c r="TQS251" s="135"/>
      <c r="TQT251" s="135"/>
      <c r="TQU251" s="173"/>
      <c r="TQV251" s="173"/>
      <c r="TQW251" s="173"/>
      <c r="TQX251" s="173"/>
      <c r="TQY251" s="173"/>
      <c r="TQZ251" s="173"/>
      <c r="TRA251" s="173"/>
      <c r="TRB251" s="173"/>
      <c r="TRC251" s="173"/>
      <c r="TRD251" s="173"/>
      <c r="TRE251" s="125"/>
      <c r="TRF251" s="125"/>
      <c r="TRG251" s="134"/>
      <c r="TRH251" s="135"/>
      <c r="TRI251" s="135"/>
      <c r="TRJ251" s="135"/>
      <c r="TRK251" s="135"/>
      <c r="TRL251" s="173"/>
      <c r="TRM251" s="173"/>
      <c r="TRN251" s="173"/>
      <c r="TRO251" s="173"/>
      <c r="TRP251" s="173"/>
      <c r="TRQ251" s="173"/>
      <c r="TRR251" s="173"/>
      <c r="TRS251" s="173"/>
      <c r="TRT251" s="173"/>
      <c r="TRU251" s="173"/>
      <c r="TRV251" s="125"/>
      <c r="TRW251" s="125"/>
      <c r="TRX251" s="134"/>
      <c r="TRY251" s="135"/>
      <c r="TRZ251" s="135"/>
      <c r="TSA251" s="135"/>
      <c r="TSB251" s="135"/>
      <c r="TSC251" s="173"/>
      <c r="TSD251" s="173"/>
      <c r="TSE251" s="173"/>
      <c r="TSF251" s="173"/>
      <c r="TSG251" s="173"/>
      <c r="TSH251" s="173"/>
      <c r="TSI251" s="173"/>
      <c r="TSJ251" s="173"/>
      <c r="TSK251" s="173"/>
      <c r="TSL251" s="173"/>
      <c r="TSM251" s="125"/>
      <c r="TSN251" s="125"/>
      <c r="TSO251" s="134"/>
      <c r="TSP251" s="135"/>
      <c r="TSQ251" s="135"/>
      <c r="TSR251" s="135"/>
      <c r="TSS251" s="135"/>
      <c r="TST251" s="173"/>
      <c r="TSU251" s="173"/>
      <c r="TSV251" s="173"/>
      <c r="TSW251" s="173"/>
      <c r="TSX251" s="173"/>
      <c r="TSY251" s="173"/>
      <c r="TSZ251" s="173"/>
      <c r="TTA251" s="173"/>
      <c r="TTB251" s="173"/>
      <c r="TTC251" s="173"/>
      <c r="TTD251" s="125"/>
      <c r="TTE251" s="125"/>
      <c r="TTF251" s="134"/>
      <c r="TTG251" s="135"/>
      <c r="TTH251" s="135"/>
      <c r="TTI251" s="135"/>
      <c r="TTJ251" s="135"/>
      <c r="TTK251" s="173"/>
      <c r="TTL251" s="173"/>
      <c r="TTM251" s="173"/>
      <c r="TTN251" s="173"/>
      <c r="TTO251" s="173"/>
      <c r="TTP251" s="173"/>
      <c r="TTQ251" s="173"/>
      <c r="TTR251" s="173"/>
      <c r="TTS251" s="173"/>
      <c r="TTT251" s="173"/>
      <c r="TTU251" s="125"/>
      <c r="TTV251" s="125"/>
      <c r="TTW251" s="134"/>
      <c r="TTX251" s="135"/>
      <c r="TTY251" s="135"/>
      <c r="TTZ251" s="135"/>
      <c r="TUA251" s="135"/>
      <c r="TUB251" s="173"/>
      <c r="TUC251" s="173"/>
      <c r="TUD251" s="173"/>
      <c r="TUE251" s="173"/>
      <c r="TUF251" s="173"/>
      <c r="TUG251" s="173"/>
      <c r="TUH251" s="173"/>
      <c r="TUI251" s="173"/>
      <c r="TUJ251" s="173"/>
      <c r="TUK251" s="173"/>
      <c r="TUL251" s="125"/>
      <c r="TUM251" s="125"/>
      <c r="TUN251" s="134"/>
      <c r="TUO251" s="135"/>
      <c r="TUP251" s="135"/>
      <c r="TUQ251" s="135"/>
      <c r="TUR251" s="135"/>
      <c r="TUS251" s="173"/>
      <c r="TUT251" s="173"/>
      <c r="TUU251" s="173"/>
      <c r="TUV251" s="173"/>
      <c r="TUW251" s="173"/>
      <c r="TUX251" s="173"/>
      <c r="TUY251" s="173"/>
      <c r="TUZ251" s="173"/>
      <c r="TVA251" s="173"/>
      <c r="TVB251" s="173"/>
      <c r="TVC251" s="125"/>
      <c r="TVD251" s="125"/>
      <c r="TVE251" s="134"/>
      <c r="TVF251" s="135"/>
      <c r="TVG251" s="135"/>
      <c r="TVH251" s="135"/>
      <c r="TVI251" s="135"/>
      <c r="TVJ251" s="173"/>
      <c r="TVK251" s="173"/>
      <c r="TVL251" s="173"/>
      <c r="TVM251" s="173"/>
      <c r="TVN251" s="173"/>
      <c r="TVO251" s="173"/>
      <c r="TVP251" s="173"/>
      <c r="TVQ251" s="173"/>
      <c r="TVR251" s="173"/>
      <c r="TVS251" s="173"/>
      <c r="TVT251" s="125"/>
      <c r="TVU251" s="125"/>
      <c r="TVV251" s="134"/>
      <c r="TVW251" s="135"/>
      <c r="TVX251" s="135"/>
      <c r="TVY251" s="135"/>
      <c r="TVZ251" s="135"/>
      <c r="TWA251" s="173"/>
      <c r="TWB251" s="173"/>
      <c r="TWC251" s="173"/>
      <c r="TWD251" s="173"/>
      <c r="TWE251" s="173"/>
      <c r="TWF251" s="173"/>
      <c r="TWG251" s="173"/>
      <c r="TWH251" s="173"/>
      <c r="TWI251" s="173"/>
      <c r="TWJ251" s="173"/>
      <c r="TWK251" s="125"/>
      <c r="TWL251" s="125"/>
      <c r="TWM251" s="134"/>
      <c r="TWN251" s="135"/>
      <c r="TWO251" s="135"/>
      <c r="TWP251" s="135"/>
      <c r="TWQ251" s="135"/>
      <c r="TWR251" s="173"/>
      <c r="TWS251" s="173"/>
      <c r="TWT251" s="173"/>
      <c r="TWU251" s="173"/>
      <c r="TWV251" s="173"/>
      <c r="TWW251" s="173"/>
      <c r="TWX251" s="173"/>
      <c r="TWY251" s="173"/>
      <c r="TWZ251" s="173"/>
      <c r="TXA251" s="173"/>
      <c r="TXB251" s="125"/>
      <c r="TXC251" s="125"/>
      <c r="TXD251" s="134"/>
      <c r="TXE251" s="135"/>
      <c r="TXF251" s="135"/>
      <c r="TXG251" s="135"/>
      <c r="TXH251" s="135"/>
      <c r="TXI251" s="173"/>
      <c r="TXJ251" s="173"/>
      <c r="TXK251" s="173"/>
      <c r="TXL251" s="173"/>
      <c r="TXM251" s="173"/>
      <c r="TXN251" s="173"/>
      <c r="TXO251" s="173"/>
      <c r="TXP251" s="173"/>
      <c r="TXQ251" s="173"/>
      <c r="TXR251" s="173"/>
      <c r="TXS251" s="125"/>
      <c r="TXT251" s="125"/>
      <c r="TXU251" s="134"/>
      <c r="TXV251" s="135"/>
      <c r="TXW251" s="135"/>
      <c r="TXX251" s="135"/>
      <c r="TXY251" s="135"/>
      <c r="TXZ251" s="173"/>
      <c r="TYA251" s="173"/>
      <c r="TYB251" s="173"/>
      <c r="TYC251" s="173"/>
      <c r="TYD251" s="173"/>
      <c r="TYE251" s="173"/>
      <c r="TYF251" s="173"/>
      <c r="TYG251" s="173"/>
      <c r="TYH251" s="173"/>
      <c r="TYI251" s="173"/>
      <c r="TYJ251" s="125"/>
      <c r="TYK251" s="125"/>
      <c r="TYL251" s="134"/>
      <c r="TYM251" s="135"/>
      <c r="TYN251" s="135"/>
      <c r="TYO251" s="135"/>
      <c r="TYP251" s="135"/>
      <c r="TYQ251" s="173"/>
      <c r="TYR251" s="173"/>
      <c r="TYS251" s="173"/>
      <c r="TYT251" s="173"/>
      <c r="TYU251" s="173"/>
      <c r="TYV251" s="173"/>
      <c r="TYW251" s="173"/>
      <c r="TYX251" s="173"/>
      <c r="TYY251" s="173"/>
      <c r="TYZ251" s="173"/>
      <c r="TZA251" s="125"/>
      <c r="TZB251" s="125"/>
      <c r="TZC251" s="134"/>
      <c r="TZD251" s="135"/>
      <c r="TZE251" s="135"/>
      <c r="TZF251" s="135"/>
      <c r="TZG251" s="135"/>
      <c r="TZH251" s="173"/>
      <c r="TZI251" s="173"/>
      <c r="TZJ251" s="173"/>
      <c r="TZK251" s="173"/>
      <c r="TZL251" s="173"/>
      <c r="TZM251" s="173"/>
      <c r="TZN251" s="173"/>
      <c r="TZO251" s="173"/>
      <c r="TZP251" s="173"/>
      <c r="TZQ251" s="173"/>
      <c r="TZR251" s="125"/>
      <c r="TZS251" s="125"/>
      <c r="TZT251" s="134"/>
      <c r="TZU251" s="135"/>
      <c r="TZV251" s="135"/>
      <c r="TZW251" s="135"/>
      <c r="TZX251" s="135"/>
      <c r="TZY251" s="173"/>
      <c r="TZZ251" s="173"/>
      <c r="UAA251" s="173"/>
      <c r="UAB251" s="173"/>
      <c r="UAC251" s="173"/>
      <c r="UAD251" s="173"/>
      <c r="UAE251" s="173"/>
      <c r="UAF251" s="173"/>
      <c r="UAG251" s="173"/>
      <c r="UAH251" s="173"/>
      <c r="UAI251" s="125"/>
      <c r="UAJ251" s="125"/>
      <c r="UAK251" s="134"/>
      <c r="UAL251" s="135"/>
      <c r="UAM251" s="135"/>
      <c r="UAN251" s="135"/>
      <c r="UAO251" s="135"/>
      <c r="UAP251" s="173"/>
      <c r="UAQ251" s="173"/>
      <c r="UAR251" s="173"/>
      <c r="UAS251" s="173"/>
      <c r="UAT251" s="173"/>
      <c r="UAU251" s="173"/>
      <c r="UAV251" s="173"/>
      <c r="UAW251" s="173"/>
      <c r="UAX251" s="173"/>
      <c r="UAY251" s="173"/>
      <c r="UAZ251" s="125"/>
      <c r="UBA251" s="125"/>
      <c r="UBB251" s="134"/>
      <c r="UBC251" s="135"/>
      <c r="UBD251" s="135"/>
      <c r="UBE251" s="135"/>
      <c r="UBF251" s="135"/>
      <c r="UBG251" s="173"/>
      <c r="UBH251" s="173"/>
      <c r="UBI251" s="173"/>
      <c r="UBJ251" s="173"/>
      <c r="UBK251" s="173"/>
      <c r="UBL251" s="173"/>
      <c r="UBM251" s="173"/>
      <c r="UBN251" s="173"/>
      <c r="UBO251" s="173"/>
      <c r="UBP251" s="173"/>
      <c r="UBQ251" s="125"/>
      <c r="UBR251" s="125"/>
      <c r="UBS251" s="134"/>
      <c r="UBT251" s="135"/>
      <c r="UBU251" s="135"/>
      <c r="UBV251" s="135"/>
      <c r="UBW251" s="135"/>
      <c r="UBX251" s="173"/>
      <c r="UBY251" s="173"/>
      <c r="UBZ251" s="173"/>
      <c r="UCA251" s="173"/>
      <c r="UCB251" s="173"/>
      <c r="UCC251" s="173"/>
      <c r="UCD251" s="173"/>
      <c r="UCE251" s="173"/>
      <c r="UCF251" s="173"/>
      <c r="UCG251" s="173"/>
      <c r="UCH251" s="125"/>
      <c r="UCI251" s="125"/>
      <c r="UCJ251" s="134"/>
      <c r="UCK251" s="135"/>
      <c r="UCL251" s="135"/>
      <c r="UCM251" s="135"/>
      <c r="UCN251" s="135"/>
      <c r="UCO251" s="173"/>
      <c r="UCP251" s="173"/>
      <c r="UCQ251" s="173"/>
      <c r="UCR251" s="173"/>
      <c r="UCS251" s="173"/>
      <c r="UCT251" s="173"/>
      <c r="UCU251" s="173"/>
      <c r="UCV251" s="173"/>
      <c r="UCW251" s="173"/>
      <c r="UCX251" s="173"/>
      <c r="UCY251" s="125"/>
      <c r="UCZ251" s="125"/>
      <c r="UDA251" s="134"/>
      <c r="UDB251" s="135"/>
      <c r="UDC251" s="135"/>
      <c r="UDD251" s="135"/>
      <c r="UDE251" s="135"/>
      <c r="UDF251" s="173"/>
      <c r="UDG251" s="173"/>
      <c r="UDH251" s="173"/>
      <c r="UDI251" s="173"/>
      <c r="UDJ251" s="173"/>
      <c r="UDK251" s="173"/>
      <c r="UDL251" s="173"/>
      <c r="UDM251" s="173"/>
      <c r="UDN251" s="173"/>
      <c r="UDO251" s="173"/>
      <c r="UDP251" s="125"/>
      <c r="UDQ251" s="125"/>
      <c r="UDR251" s="134"/>
      <c r="UDS251" s="135"/>
      <c r="UDT251" s="135"/>
      <c r="UDU251" s="135"/>
      <c r="UDV251" s="135"/>
      <c r="UDW251" s="173"/>
      <c r="UDX251" s="173"/>
      <c r="UDY251" s="173"/>
      <c r="UDZ251" s="173"/>
      <c r="UEA251" s="173"/>
      <c r="UEB251" s="173"/>
      <c r="UEC251" s="173"/>
      <c r="UED251" s="173"/>
      <c r="UEE251" s="173"/>
      <c r="UEF251" s="173"/>
      <c r="UEG251" s="125"/>
      <c r="UEH251" s="125"/>
      <c r="UEI251" s="134"/>
      <c r="UEJ251" s="135"/>
      <c r="UEK251" s="135"/>
      <c r="UEL251" s="135"/>
      <c r="UEM251" s="135"/>
      <c r="UEN251" s="173"/>
      <c r="UEO251" s="173"/>
      <c r="UEP251" s="173"/>
      <c r="UEQ251" s="173"/>
      <c r="UER251" s="173"/>
      <c r="UES251" s="173"/>
      <c r="UET251" s="173"/>
      <c r="UEU251" s="173"/>
      <c r="UEV251" s="173"/>
      <c r="UEW251" s="173"/>
      <c r="UEX251" s="125"/>
      <c r="UEY251" s="125"/>
      <c r="UEZ251" s="134"/>
      <c r="UFA251" s="135"/>
      <c r="UFB251" s="135"/>
      <c r="UFC251" s="135"/>
      <c r="UFD251" s="135"/>
      <c r="UFE251" s="173"/>
      <c r="UFF251" s="173"/>
      <c r="UFG251" s="173"/>
      <c r="UFH251" s="173"/>
      <c r="UFI251" s="173"/>
      <c r="UFJ251" s="173"/>
      <c r="UFK251" s="173"/>
      <c r="UFL251" s="173"/>
      <c r="UFM251" s="173"/>
      <c r="UFN251" s="173"/>
      <c r="UFO251" s="125"/>
      <c r="UFP251" s="125"/>
      <c r="UFQ251" s="134"/>
      <c r="UFR251" s="135"/>
      <c r="UFS251" s="135"/>
      <c r="UFT251" s="135"/>
      <c r="UFU251" s="135"/>
      <c r="UFV251" s="173"/>
      <c r="UFW251" s="173"/>
      <c r="UFX251" s="173"/>
      <c r="UFY251" s="173"/>
      <c r="UFZ251" s="173"/>
      <c r="UGA251" s="173"/>
      <c r="UGB251" s="173"/>
      <c r="UGC251" s="173"/>
      <c r="UGD251" s="173"/>
      <c r="UGE251" s="173"/>
      <c r="UGF251" s="125"/>
      <c r="UGG251" s="125"/>
      <c r="UGH251" s="134"/>
      <c r="UGI251" s="135"/>
      <c r="UGJ251" s="135"/>
      <c r="UGK251" s="135"/>
      <c r="UGL251" s="135"/>
      <c r="UGM251" s="173"/>
      <c r="UGN251" s="173"/>
      <c r="UGO251" s="173"/>
      <c r="UGP251" s="173"/>
      <c r="UGQ251" s="173"/>
      <c r="UGR251" s="173"/>
      <c r="UGS251" s="173"/>
      <c r="UGT251" s="173"/>
      <c r="UGU251" s="173"/>
      <c r="UGV251" s="173"/>
      <c r="UGW251" s="125"/>
      <c r="UGX251" s="125"/>
      <c r="UGY251" s="134"/>
      <c r="UGZ251" s="135"/>
      <c r="UHA251" s="135"/>
      <c r="UHB251" s="135"/>
      <c r="UHC251" s="135"/>
      <c r="UHD251" s="173"/>
      <c r="UHE251" s="173"/>
      <c r="UHF251" s="173"/>
      <c r="UHG251" s="173"/>
      <c r="UHH251" s="173"/>
      <c r="UHI251" s="173"/>
      <c r="UHJ251" s="173"/>
      <c r="UHK251" s="173"/>
      <c r="UHL251" s="173"/>
      <c r="UHM251" s="173"/>
      <c r="UHN251" s="125"/>
      <c r="UHO251" s="125"/>
      <c r="UHP251" s="134"/>
      <c r="UHQ251" s="135"/>
      <c r="UHR251" s="135"/>
      <c r="UHS251" s="135"/>
      <c r="UHT251" s="135"/>
      <c r="UHU251" s="173"/>
      <c r="UHV251" s="173"/>
      <c r="UHW251" s="173"/>
      <c r="UHX251" s="173"/>
      <c r="UHY251" s="173"/>
      <c r="UHZ251" s="173"/>
      <c r="UIA251" s="173"/>
      <c r="UIB251" s="173"/>
      <c r="UIC251" s="173"/>
      <c r="UID251" s="173"/>
      <c r="UIE251" s="125"/>
      <c r="UIF251" s="125"/>
      <c r="UIG251" s="134"/>
      <c r="UIH251" s="135"/>
      <c r="UII251" s="135"/>
      <c r="UIJ251" s="135"/>
      <c r="UIK251" s="135"/>
      <c r="UIL251" s="173"/>
      <c r="UIM251" s="173"/>
      <c r="UIN251" s="173"/>
      <c r="UIO251" s="173"/>
      <c r="UIP251" s="173"/>
      <c r="UIQ251" s="173"/>
      <c r="UIR251" s="173"/>
      <c r="UIS251" s="173"/>
      <c r="UIT251" s="173"/>
      <c r="UIU251" s="173"/>
      <c r="UIV251" s="125"/>
      <c r="UIW251" s="125"/>
      <c r="UIX251" s="134"/>
      <c r="UIY251" s="135"/>
      <c r="UIZ251" s="135"/>
      <c r="UJA251" s="135"/>
      <c r="UJB251" s="135"/>
      <c r="UJC251" s="173"/>
      <c r="UJD251" s="173"/>
      <c r="UJE251" s="173"/>
      <c r="UJF251" s="173"/>
      <c r="UJG251" s="173"/>
      <c r="UJH251" s="173"/>
      <c r="UJI251" s="173"/>
      <c r="UJJ251" s="173"/>
      <c r="UJK251" s="173"/>
      <c r="UJL251" s="173"/>
      <c r="UJM251" s="125"/>
      <c r="UJN251" s="125"/>
      <c r="UJO251" s="134"/>
      <c r="UJP251" s="135"/>
      <c r="UJQ251" s="135"/>
      <c r="UJR251" s="135"/>
      <c r="UJS251" s="135"/>
      <c r="UJT251" s="173"/>
      <c r="UJU251" s="173"/>
      <c r="UJV251" s="173"/>
      <c r="UJW251" s="173"/>
      <c r="UJX251" s="173"/>
      <c r="UJY251" s="173"/>
      <c r="UJZ251" s="173"/>
      <c r="UKA251" s="173"/>
      <c r="UKB251" s="173"/>
      <c r="UKC251" s="173"/>
      <c r="UKD251" s="125"/>
      <c r="UKE251" s="125"/>
      <c r="UKF251" s="134"/>
      <c r="UKG251" s="135"/>
      <c r="UKH251" s="135"/>
      <c r="UKI251" s="135"/>
      <c r="UKJ251" s="135"/>
      <c r="UKK251" s="173"/>
      <c r="UKL251" s="173"/>
      <c r="UKM251" s="173"/>
      <c r="UKN251" s="173"/>
      <c r="UKO251" s="173"/>
      <c r="UKP251" s="173"/>
      <c r="UKQ251" s="173"/>
      <c r="UKR251" s="173"/>
      <c r="UKS251" s="173"/>
      <c r="UKT251" s="173"/>
      <c r="UKU251" s="125"/>
      <c r="UKV251" s="125"/>
      <c r="UKW251" s="134"/>
      <c r="UKX251" s="135"/>
      <c r="UKY251" s="135"/>
      <c r="UKZ251" s="135"/>
      <c r="ULA251" s="135"/>
      <c r="ULB251" s="173"/>
      <c r="ULC251" s="173"/>
      <c r="ULD251" s="173"/>
      <c r="ULE251" s="173"/>
      <c r="ULF251" s="173"/>
      <c r="ULG251" s="173"/>
      <c r="ULH251" s="173"/>
      <c r="ULI251" s="173"/>
      <c r="ULJ251" s="173"/>
      <c r="ULK251" s="173"/>
      <c r="ULL251" s="125"/>
      <c r="ULM251" s="125"/>
      <c r="ULN251" s="134"/>
      <c r="ULO251" s="135"/>
      <c r="ULP251" s="135"/>
      <c r="ULQ251" s="135"/>
      <c r="ULR251" s="135"/>
      <c r="ULS251" s="173"/>
      <c r="ULT251" s="173"/>
      <c r="ULU251" s="173"/>
      <c r="ULV251" s="173"/>
      <c r="ULW251" s="173"/>
      <c r="ULX251" s="173"/>
      <c r="ULY251" s="173"/>
      <c r="ULZ251" s="173"/>
      <c r="UMA251" s="173"/>
      <c r="UMB251" s="173"/>
      <c r="UMC251" s="125"/>
      <c r="UMD251" s="125"/>
      <c r="UME251" s="134"/>
      <c r="UMF251" s="135"/>
      <c r="UMG251" s="135"/>
      <c r="UMH251" s="135"/>
      <c r="UMI251" s="135"/>
      <c r="UMJ251" s="173"/>
      <c r="UMK251" s="173"/>
      <c r="UML251" s="173"/>
      <c r="UMM251" s="173"/>
      <c r="UMN251" s="173"/>
      <c r="UMO251" s="173"/>
      <c r="UMP251" s="173"/>
      <c r="UMQ251" s="173"/>
      <c r="UMR251" s="173"/>
      <c r="UMS251" s="173"/>
      <c r="UMT251" s="125"/>
      <c r="UMU251" s="125"/>
      <c r="UMV251" s="134"/>
      <c r="UMW251" s="135"/>
      <c r="UMX251" s="135"/>
      <c r="UMY251" s="135"/>
      <c r="UMZ251" s="135"/>
      <c r="UNA251" s="173"/>
      <c r="UNB251" s="173"/>
      <c r="UNC251" s="173"/>
      <c r="UND251" s="173"/>
      <c r="UNE251" s="173"/>
      <c r="UNF251" s="173"/>
      <c r="UNG251" s="173"/>
      <c r="UNH251" s="173"/>
      <c r="UNI251" s="173"/>
      <c r="UNJ251" s="173"/>
      <c r="UNK251" s="125"/>
      <c r="UNL251" s="125"/>
      <c r="UNM251" s="134"/>
      <c r="UNN251" s="135"/>
      <c r="UNO251" s="135"/>
      <c r="UNP251" s="135"/>
      <c r="UNQ251" s="135"/>
      <c r="UNR251" s="173"/>
      <c r="UNS251" s="173"/>
      <c r="UNT251" s="173"/>
      <c r="UNU251" s="173"/>
      <c r="UNV251" s="173"/>
      <c r="UNW251" s="173"/>
      <c r="UNX251" s="173"/>
      <c r="UNY251" s="173"/>
      <c r="UNZ251" s="173"/>
      <c r="UOA251" s="173"/>
      <c r="UOB251" s="125"/>
      <c r="UOC251" s="125"/>
      <c r="UOD251" s="134"/>
      <c r="UOE251" s="135"/>
      <c r="UOF251" s="135"/>
      <c r="UOG251" s="135"/>
      <c r="UOH251" s="135"/>
      <c r="UOI251" s="173"/>
      <c r="UOJ251" s="173"/>
      <c r="UOK251" s="173"/>
      <c r="UOL251" s="173"/>
      <c r="UOM251" s="173"/>
      <c r="UON251" s="173"/>
      <c r="UOO251" s="173"/>
      <c r="UOP251" s="173"/>
      <c r="UOQ251" s="173"/>
      <c r="UOR251" s="173"/>
      <c r="UOS251" s="125"/>
      <c r="UOT251" s="125"/>
      <c r="UOU251" s="134"/>
      <c r="UOV251" s="135"/>
      <c r="UOW251" s="135"/>
      <c r="UOX251" s="135"/>
      <c r="UOY251" s="135"/>
      <c r="UOZ251" s="173"/>
      <c r="UPA251" s="173"/>
      <c r="UPB251" s="173"/>
      <c r="UPC251" s="173"/>
      <c r="UPD251" s="173"/>
      <c r="UPE251" s="173"/>
      <c r="UPF251" s="173"/>
      <c r="UPG251" s="173"/>
      <c r="UPH251" s="173"/>
      <c r="UPI251" s="173"/>
      <c r="UPJ251" s="125"/>
      <c r="UPK251" s="125"/>
      <c r="UPL251" s="134"/>
      <c r="UPM251" s="135"/>
      <c r="UPN251" s="135"/>
      <c r="UPO251" s="135"/>
      <c r="UPP251" s="135"/>
      <c r="UPQ251" s="173"/>
      <c r="UPR251" s="173"/>
      <c r="UPS251" s="173"/>
      <c r="UPT251" s="173"/>
      <c r="UPU251" s="173"/>
      <c r="UPV251" s="173"/>
      <c r="UPW251" s="173"/>
      <c r="UPX251" s="173"/>
      <c r="UPY251" s="173"/>
      <c r="UPZ251" s="173"/>
      <c r="UQA251" s="125"/>
      <c r="UQB251" s="125"/>
      <c r="UQC251" s="134"/>
      <c r="UQD251" s="135"/>
      <c r="UQE251" s="135"/>
      <c r="UQF251" s="135"/>
      <c r="UQG251" s="135"/>
      <c r="UQH251" s="173"/>
      <c r="UQI251" s="173"/>
      <c r="UQJ251" s="173"/>
      <c r="UQK251" s="173"/>
      <c r="UQL251" s="173"/>
      <c r="UQM251" s="173"/>
      <c r="UQN251" s="173"/>
      <c r="UQO251" s="173"/>
      <c r="UQP251" s="173"/>
      <c r="UQQ251" s="173"/>
      <c r="UQR251" s="125"/>
      <c r="UQS251" s="125"/>
      <c r="UQT251" s="134"/>
      <c r="UQU251" s="135"/>
      <c r="UQV251" s="135"/>
      <c r="UQW251" s="135"/>
      <c r="UQX251" s="135"/>
      <c r="UQY251" s="173"/>
      <c r="UQZ251" s="173"/>
      <c r="URA251" s="173"/>
      <c r="URB251" s="173"/>
      <c r="URC251" s="173"/>
      <c r="URD251" s="173"/>
      <c r="URE251" s="173"/>
      <c r="URF251" s="173"/>
      <c r="URG251" s="173"/>
      <c r="URH251" s="173"/>
      <c r="URI251" s="125"/>
      <c r="URJ251" s="125"/>
      <c r="URK251" s="134"/>
      <c r="URL251" s="135"/>
      <c r="URM251" s="135"/>
      <c r="URN251" s="135"/>
      <c r="URO251" s="135"/>
      <c r="URP251" s="173"/>
      <c r="URQ251" s="173"/>
      <c r="URR251" s="173"/>
      <c r="URS251" s="173"/>
      <c r="URT251" s="173"/>
      <c r="URU251" s="173"/>
      <c r="URV251" s="173"/>
      <c r="URW251" s="173"/>
      <c r="URX251" s="173"/>
      <c r="URY251" s="173"/>
      <c r="URZ251" s="125"/>
      <c r="USA251" s="125"/>
      <c r="USB251" s="134"/>
      <c r="USC251" s="135"/>
      <c r="USD251" s="135"/>
      <c r="USE251" s="135"/>
      <c r="USF251" s="135"/>
      <c r="USG251" s="173"/>
      <c r="USH251" s="173"/>
      <c r="USI251" s="173"/>
      <c r="USJ251" s="173"/>
      <c r="USK251" s="173"/>
      <c r="USL251" s="173"/>
      <c r="USM251" s="173"/>
      <c r="USN251" s="173"/>
      <c r="USO251" s="173"/>
      <c r="USP251" s="173"/>
      <c r="USQ251" s="125"/>
      <c r="USR251" s="125"/>
      <c r="USS251" s="134"/>
      <c r="UST251" s="135"/>
      <c r="USU251" s="135"/>
      <c r="USV251" s="135"/>
      <c r="USW251" s="135"/>
      <c r="USX251" s="173"/>
      <c r="USY251" s="173"/>
      <c r="USZ251" s="173"/>
      <c r="UTA251" s="173"/>
      <c r="UTB251" s="173"/>
      <c r="UTC251" s="173"/>
      <c r="UTD251" s="173"/>
      <c r="UTE251" s="173"/>
      <c r="UTF251" s="173"/>
      <c r="UTG251" s="173"/>
      <c r="UTH251" s="125"/>
      <c r="UTI251" s="125"/>
      <c r="UTJ251" s="134"/>
      <c r="UTK251" s="135"/>
      <c r="UTL251" s="135"/>
      <c r="UTM251" s="135"/>
      <c r="UTN251" s="135"/>
      <c r="UTO251" s="173"/>
      <c r="UTP251" s="173"/>
      <c r="UTQ251" s="173"/>
      <c r="UTR251" s="173"/>
      <c r="UTS251" s="173"/>
      <c r="UTT251" s="173"/>
      <c r="UTU251" s="173"/>
      <c r="UTV251" s="173"/>
      <c r="UTW251" s="173"/>
      <c r="UTX251" s="173"/>
      <c r="UTY251" s="125"/>
      <c r="UTZ251" s="125"/>
      <c r="UUA251" s="134"/>
      <c r="UUB251" s="135"/>
      <c r="UUC251" s="135"/>
      <c r="UUD251" s="135"/>
      <c r="UUE251" s="135"/>
      <c r="UUF251" s="173"/>
      <c r="UUG251" s="173"/>
      <c r="UUH251" s="173"/>
      <c r="UUI251" s="173"/>
      <c r="UUJ251" s="173"/>
      <c r="UUK251" s="173"/>
      <c r="UUL251" s="173"/>
      <c r="UUM251" s="173"/>
      <c r="UUN251" s="173"/>
      <c r="UUO251" s="173"/>
      <c r="UUP251" s="125"/>
      <c r="UUQ251" s="125"/>
      <c r="UUR251" s="134"/>
      <c r="UUS251" s="135"/>
      <c r="UUT251" s="135"/>
      <c r="UUU251" s="135"/>
      <c r="UUV251" s="135"/>
      <c r="UUW251" s="173"/>
      <c r="UUX251" s="173"/>
      <c r="UUY251" s="173"/>
      <c r="UUZ251" s="173"/>
      <c r="UVA251" s="173"/>
      <c r="UVB251" s="173"/>
      <c r="UVC251" s="173"/>
      <c r="UVD251" s="173"/>
      <c r="UVE251" s="173"/>
      <c r="UVF251" s="173"/>
      <c r="UVG251" s="125"/>
      <c r="UVH251" s="125"/>
      <c r="UVI251" s="134"/>
      <c r="UVJ251" s="135"/>
      <c r="UVK251" s="135"/>
      <c r="UVL251" s="135"/>
      <c r="UVM251" s="135"/>
      <c r="UVN251" s="173"/>
      <c r="UVO251" s="173"/>
      <c r="UVP251" s="173"/>
      <c r="UVQ251" s="173"/>
      <c r="UVR251" s="173"/>
      <c r="UVS251" s="173"/>
      <c r="UVT251" s="173"/>
      <c r="UVU251" s="173"/>
      <c r="UVV251" s="173"/>
      <c r="UVW251" s="173"/>
      <c r="UVX251" s="125"/>
      <c r="UVY251" s="125"/>
      <c r="UVZ251" s="134"/>
      <c r="UWA251" s="135"/>
      <c r="UWB251" s="135"/>
      <c r="UWC251" s="135"/>
      <c r="UWD251" s="135"/>
      <c r="UWE251" s="173"/>
      <c r="UWF251" s="173"/>
      <c r="UWG251" s="173"/>
      <c r="UWH251" s="173"/>
      <c r="UWI251" s="173"/>
      <c r="UWJ251" s="173"/>
      <c r="UWK251" s="173"/>
      <c r="UWL251" s="173"/>
      <c r="UWM251" s="173"/>
      <c r="UWN251" s="173"/>
      <c r="UWO251" s="125"/>
      <c r="UWP251" s="125"/>
      <c r="UWQ251" s="134"/>
      <c r="UWR251" s="135"/>
      <c r="UWS251" s="135"/>
      <c r="UWT251" s="135"/>
      <c r="UWU251" s="135"/>
      <c r="UWV251" s="173"/>
      <c r="UWW251" s="173"/>
      <c r="UWX251" s="173"/>
      <c r="UWY251" s="173"/>
      <c r="UWZ251" s="173"/>
      <c r="UXA251" s="173"/>
      <c r="UXB251" s="173"/>
      <c r="UXC251" s="173"/>
      <c r="UXD251" s="173"/>
      <c r="UXE251" s="173"/>
      <c r="UXF251" s="125"/>
      <c r="UXG251" s="125"/>
      <c r="UXH251" s="134"/>
      <c r="UXI251" s="135"/>
      <c r="UXJ251" s="135"/>
      <c r="UXK251" s="135"/>
      <c r="UXL251" s="135"/>
      <c r="UXM251" s="173"/>
      <c r="UXN251" s="173"/>
      <c r="UXO251" s="173"/>
      <c r="UXP251" s="173"/>
      <c r="UXQ251" s="173"/>
      <c r="UXR251" s="173"/>
      <c r="UXS251" s="173"/>
      <c r="UXT251" s="173"/>
      <c r="UXU251" s="173"/>
      <c r="UXV251" s="173"/>
      <c r="UXW251" s="125"/>
      <c r="UXX251" s="125"/>
      <c r="UXY251" s="134"/>
      <c r="UXZ251" s="135"/>
      <c r="UYA251" s="135"/>
      <c r="UYB251" s="135"/>
      <c r="UYC251" s="135"/>
      <c r="UYD251" s="173"/>
      <c r="UYE251" s="173"/>
      <c r="UYF251" s="173"/>
      <c r="UYG251" s="173"/>
      <c r="UYH251" s="173"/>
      <c r="UYI251" s="173"/>
      <c r="UYJ251" s="173"/>
      <c r="UYK251" s="173"/>
      <c r="UYL251" s="173"/>
      <c r="UYM251" s="173"/>
      <c r="UYN251" s="125"/>
      <c r="UYO251" s="125"/>
      <c r="UYP251" s="134"/>
      <c r="UYQ251" s="135"/>
      <c r="UYR251" s="135"/>
      <c r="UYS251" s="135"/>
      <c r="UYT251" s="135"/>
      <c r="UYU251" s="173"/>
      <c r="UYV251" s="173"/>
      <c r="UYW251" s="173"/>
      <c r="UYX251" s="173"/>
      <c r="UYY251" s="173"/>
      <c r="UYZ251" s="173"/>
      <c r="UZA251" s="173"/>
      <c r="UZB251" s="173"/>
      <c r="UZC251" s="173"/>
      <c r="UZD251" s="173"/>
      <c r="UZE251" s="125"/>
      <c r="UZF251" s="125"/>
      <c r="UZG251" s="134"/>
      <c r="UZH251" s="135"/>
      <c r="UZI251" s="135"/>
      <c r="UZJ251" s="135"/>
      <c r="UZK251" s="135"/>
      <c r="UZL251" s="173"/>
      <c r="UZM251" s="173"/>
      <c r="UZN251" s="173"/>
      <c r="UZO251" s="173"/>
      <c r="UZP251" s="173"/>
      <c r="UZQ251" s="173"/>
      <c r="UZR251" s="173"/>
      <c r="UZS251" s="173"/>
      <c r="UZT251" s="173"/>
      <c r="UZU251" s="173"/>
      <c r="UZV251" s="125"/>
      <c r="UZW251" s="125"/>
      <c r="UZX251" s="134"/>
      <c r="UZY251" s="135"/>
      <c r="UZZ251" s="135"/>
      <c r="VAA251" s="135"/>
      <c r="VAB251" s="135"/>
      <c r="VAC251" s="173"/>
      <c r="VAD251" s="173"/>
      <c r="VAE251" s="173"/>
      <c r="VAF251" s="173"/>
      <c r="VAG251" s="173"/>
      <c r="VAH251" s="173"/>
      <c r="VAI251" s="173"/>
      <c r="VAJ251" s="173"/>
      <c r="VAK251" s="173"/>
      <c r="VAL251" s="173"/>
      <c r="VAM251" s="125"/>
      <c r="VAN251" s="125"/>
      <c r="VAO251" s="134"/>
      <c r="VAP251" s="135"/>
      <c r="VAQ251" s="135"/>
      <c r="VAR251" s="135"/>
      <c r="VAS251" s="135"/>
      <c r="VAT251" s="173"/>
      <c r="VAU251" s="173"/>
      <c r="VAV251" s="173"/>
      <c r="VAW251" s="173"/>
      <c r="VAX251" s="173"/>
      <c r="VAY251" s="173"/>
      <c r="VAZ251" s="173"/>
      <c r="VBA251" s="173"/>
      <c r="VBB251" s="173"/>
      <c r="VBC251" s="173"/>
      <c r="VBD251" s="125"/>
      <c r="VBE251" s="125"/>
      <c r="VBF251" s="134"/>
      <c r="VBG251" s="135"/>
      <c r="VBH251" s="135"/>
      <c r="VBI251" s="135"/>
      <c r="VBJ251" s="135"/>
      <c r="VBK251" s="173"/>
      <c r="VBL251" s="173"/>
      <c r="VBM251" s="173"/>
      <c r="VBN251" s="173"/>
      <c r="VBO251" s="173"/>
      <c r="VBP251" s="173"/>
      <c r="VBQ251" s="173"/>
      <c r="VBR251" s="173"/>
      <c r="VBS251" s="173"/>
      <c r="VBT251" s="173"/>
      <c r="VBU251" s="125"/>
      <c r="VBV251" s="125"/>
      <c r="VBW251" s="134"/>
      <c r="VBX251" s="135"/>
      <c r="VBY251" s="135"/>
      <c r="VBZ251" s="135"/>
      <c r="VCA251" s="135"/>
      <c r="VCB251" s="173"/>
      <c r="VCC251" s="173"/>
      <c r="VCD251" s="173"/>
      <c r="VCE251" s="173"/>
      <c r="VCF251" s="173"/>
      <c r="VCG251" s="173"/>
      <c r="VCH251" s="173"/>
      <c r="VCI251" s="173"/>
      <c r="VCJ251" s="173"/>
      <c r="VCK251" s="173"/>
      <c r="VCL251" s="125"/>
      <c r="VCM251" s="125"/>
      <c r="VCN251" s="134"/>
      <c r="VCO251" s="135"/>
      <c r="VCP251" s="135"/>
      <c r="VCQ251" s="135"/>
      <c r="VCR251" s="135"/>
      <c r="VCS251" s="173"/>
      <c r="VCT251" s="173"/>
      <c r="VCU251" s="173"/>
      <c r="VCV251" s="173"/>
      <c r="VCW251" s="173"/>
      <c r="VCX251" s="173"/>
      <c r="VCY251" s="173"/>
      <c r="VCZ251" s="173"/>
      <c r="VDA251" s="173"/>
      <c r="VDB251" s="173"/>
      <c r="VDC251" s="125"/>
      <c r="VDD251" s="125"/>
      <c r="VDE251" s="134"/>
      <c r="VDF251" s="135"/>
      <c r="VDG251" s="135"/>
      <c r="VDH251" s="135"/>
      <c r="VDI251" s="135"/>
      <c r="VDJ251" s="173"/>
      <c r="VDK251" s="173"/>
      <c r="VDL251" s="173"/>
      <c r="VDM251" s="173"/>
      <c r="VDN251" s="173"/>
      <c r="VDO251" s="173"/>
      <c r="VDP251" s="173"/>
      <c r="VDQ251" s="173"/>
      <c r="VDR251" s="173"/>
      <c r="VDS251" s="173"/>
      <c r="VDT251" s="125"/>
      <c r="VDU251" s="125"/>
      <c r="VDV251" s="134"/>
      <c r="VDW251" s="135"/>
      <c r="VDX251" s="135"/>
      <c r="VDY251" s="135"/>
      <c r="VDZ251" s="135"/>
      <c r="VEA251" s="173"/>
      <c r="VEB251" s="173"/>
      <c r="VEC251" s="173"/>
      <c r="VED251" s="173"/>
      <c r="VEE251" s="173"/>
      <c r="VEF251" s="173"/>
      <c r="VEG251" s="173"/>
      <c r="VEH251" s="173"/>
      <c r="VEI251" s="173"/>
      <c r="VEJ251" s="173"/>
      <c r="VEK251" s="125"/>
      <c r="VEL251" s="125"/>
      <c r="VEM251" s="134"/>
      <c r="VEN251" s="135"/>
      <c r="VEO251" s="135"/>
      <c r="VEP251" s="135"/>
      <c r="VEQ251" s="135"/>
      <c r="VER251" s="173"/>
      <c r="VES251" s="173"/>
      <c r="VET251" s="173"/>
      <c r="VEU251" s="173"/>
      <c r="VEV251" s="173"/>
      <c r="VEW251" s="173"/>
      <c r="VEX251" s="173"/>
      <c r="VEY251" s="173"/>
      <c r="VEZ251" s="173"/>
      <c r="VFA251" s="173"/>
      <c r="VFB251" s="125"/>
      <c r="VFC251" s="125"/>
      <c r="VFD251" s="134"/>
      <c r="VFE251" s="135"/>
      <c r="VFF251" s="135"/>
      <c r="VFG251" s="135"/>
      <c r="VFH251" s="135"/>
      <c r="VFI251" s="173"/>
      <c r="VFJ251" s="173"/>
      <c r="VFK251" s="173"/>
      <c r="VFL251" s="173"/>
      <c r="VFM251" s="173"/>
      <c r="VFN251" s="173"/>
      <c r="VFO251" s="173"/>
      <c r="VFP251" s="173"/>
      <c r="VFQ251" s="173"/>
      <c r="VFR251" s="173"/>
      <c r="VFS251" s="125"/>
      <c r="VFT251" s="125"/>
      <c r="VFU251" s="134"/>
      <c r="VFV251" s="135"/>
      <c r="VFW251" s="135"/>
      <c r="VFX251" s="135"/>
      <c r="VFY251" s="135"/>
      <c r="VFZ251" s="173"/>
      <c r="VGA251" s="173"/>
      <c r="VGB251" s="173"/>
      <c r="VGC251" s="173"/>
      <c r="VGD251" s="173"/>
      <c r="VGE251" s="173"/>
      <c r="VGF251" s="173"/>
      <c r="VGG251" s="173"/>
      <c r="VGH251" s="173"/>
      <c r="VGI251" s="173"/>
      <c r="VGJ251" s="125"/>
      <c r="VGK251" s="125"/>
      <c r="VGL251" s="134"/>
      <c r="VGM251" s="135"/>
      <c r="VGN251" s="135"/>
      <c r="VGO251" s="135"/>
      <c r="VGP251" s="135"/>
      <c r="VGQ251" s="173"/>
      <c r="VGR251" s="173"/>
      <c r="VGS251" s="173"/>
      <c r="VGT251" s="173"/>
      <c r="VGU251" s="173"/>
      <c r="VGV251" s="173"/>
      <c r="VGW251" s="173"/>
      <c r="VGX251" s="173"/>
      <c r="VGY251" s="173"/>
      <c r="VGZ251" s="173"/>
      <c r="VHA251" s="125"/>
      <c r="VHB251" s="125"/>
      <c r="VHC251" s="134"/>
      <c r="VHD251" s="135"/>
      <c r="VHE251" s="135"/>
      <c r="VHF251" s="135"/>
      <c r="VHG251" s="135"/>
      <c r="VHH251" s="173"/>
      <c r="VHI251" s="173"/>
      <c r="VHJ251" s="173"/>
      <c r="VHK251" s="173"/>
      <c r="VHL251" s="173"/>
      <c r="VHM251" s="173"/>
      <c r="VHN251" s="173"/>
      <c r="VHO251" s="173"/>
      <c r="VHP251" s="173"/>
      <c r="VHQ251" s="173"/>
      <c r="VHR251" s="125"/>
      <c r="VHS251" s="125"/>
      <c r="VHT251" s="134"/>
      <c r="VHU251" s="135"/>
      <c r="VHV251" s="135"/>
      <c r="VHW251" s="135"/>
      <c r="VHX251" s="135"/>
      <c r="VHY251" s="173"/>
      <c r="VHZ251" s="173"/>
      <c r="VIA251" s="173"/>
      <c r="VIB251" s="173"/>
      <c r="VIC251" s="173"/>
      <c r="VID251" s="173"/>
      <c r="VIE251" s="173"/>
      <c r="VIF251" s="173"/>
      <c r="VIG251" s="173"/>
      <c r="VIH251" s="173"/>
      <c r="VII251" s="125"/>
      <c r="VIJ251" s="125"/>
      <c r="VIK251" s="134"/>
      <c r="VIL251" s="135"/>
      <c r="VIM251" s="135"/>
      <c r="VIN251" s="135"/>
      <c r="VIO251" s="135"/>
      <c r="VIP251" s="173"/>
      <c r="VIQ251" s="173"/>
      <c r="VIR251" s="173"/>
      <c r="VIS251" s="173"/>
      <c r="VIT251" s="173"/>
      <c r="VIU251" s="173"/>
      <c r="VIV251" s="173"/>
      <c r="VIW251" s="173"/>
      <c r="VIX251" s="173"/>
      <c r="VIY251" s="173"/>
      <c r="VIZ251" s="125"/>
      <c r="VJA251" s="125"/>
      <c r="VJB251" s="134"/>
      <c r="VJC251" s="135"/>
      <c r="VJD251" s="135"/>
      <c r="VJE251" s="135"/>
      <c r="VJF251" s="135"/>
      <c r="VJG251" s="173"/>
      <c r="VJH251" s="173"/>
      <c r="VJI251" s="173"/>
      <c r="VJJ251" s="173"/>
      <c r="VJK251" s="173"/>
      <c r="VJL251" s="173"/>
      <c r="VJM251" s="173"/>
      <c r="VJN251" s="173"/>
      <c r="VJO251" s="173"/>
      <c r="VJP251" s="173"/>
      <c r="VJQ251" s="125"/>
      <c r="VJR251" s="125"/>
      <c r="VJS251" s="134"/>
      <c r="VJT251" s="135"/>
      <c r="VJU251" s="135"/>
      <c r="VJV251" s="135"/>
      <c r="VJW251" s="135"/>
      <c r="VJX251" s="173"/>
      <c r="VJY251" s="173"/>
      <c r="VJZ251" s="173"/>
      <c r="VKA251" s="173"/>
      <c r="VKB251" s="173"/>
      <c r="VKC251" s="173"/>
      <c r="VKD251" s="173"/>
      <c r="VKE251" s="173"/>
      <c r="VKF251" s="173"/>
      <c r="VKG251" s="173"/>
      <c r="VKH251" s="125"/>
      <c r="VKI251" s="125"/>
      <c r="VKJ251" s="134"/>
      <c r="VKK251" s="135"/>
      <c r="VKL251" s="135"/>
      <c r="VKM251" s="135"/>
      <c r="VKN251" s="135"/>
      <c r="VKO251" s="173"/>
      <c r="VKP251" s="173"/>
      <c r="VKQ251" s="173"/>
      <c r="VKR251" s="173"/>
      <c r="VKS251" s="173"/>
      <c r="VKT251" s="173"/>
      <c r="VKU251" s="173"/>
      <c r="VKV251" s="173"/>
      <c r="VKW251" s="173"/>
      <c r="VKX251" s="173"/>
      <c r="VKY251" s="125"/>
      <c r="VKZ251" s="125"/>
      <c r="VLA251" s="134"/>
      <c r="VLB251" s="135"/>
      <c r="VLC251" s="135"/>
      <c r="VLD251" s="135"/>
      <c r="VLE251" s="135"/>
      <c r="VLF251" s="173"/>
      <c r="VLG251" s="173"/>
      <c r="VLH251" s="173"/>
      <c r="VLI251" s="173"/>
      <c r="VLJ251" s="173"/>
      <c r="VLK251" s="173"/>
      <c r="VLL251" s="173"/>
      <c r="VLM251" s="173"/>
      <c r="VLN251" s="173"/>
      <c r="VLO251" s="173"/>
      <c r="VLP251" s="125"/>
      <c r="VLQ251" s="125"/>
      <c r="VLR251" s="134"/>
      <c r="VLS251" s="135"/>
      <c r="VLT251" s="135"/>
      <c r="VLU251" s="135"/>
      <c r="VLV251" s="135"/>
      <c r="VLW251" s="173"/>
      <c r="VLX251" s="173"/>
      <c r="VLY251" s="173"/>
      <c r="VLZ251" s="173"/>
      <c r="VMA251" s="173"/>
      <c r="VMB251" s="173"/>
      <c r="VMC251" s="173"/>
      <c r="VMD251" s="173"/>
      <c r="VME251" s="173"/>
      <c r="VMF251" s="173"/>
      <c r="VMG251" s="125"/>
      <c r="VMH251" s="125"/>
      <c r="VMI251" s="134"/>
      <c r="VMJ251" s="135"/>
      <c r="VMK251" s="135"/>
      <c r="VML251" s="135"/>
      <c r="VMM251" s="135"/>
      <c r="VMN251" s="173"/>
      <c r="VMO251" s="173"/>
      <c r="VMP251" s="173"/>
      <c r="VMQ251" s="173"/>
      <c r="VMR251" s="173"/>
      <c r="VMS251" s="173"/>
      <c r="VMT251" s="173"/>
      <c r="VMU251" s="173"/>
      <c r="VMV251" s="173"/>
      <c r="VMW251" s="173"/>
      <c r="VMX251" s="125"/>
      <c r="VMY251" s="125"/>
      <c r="VMZ251" s="134"/>
      <c r="VNA251" s="135"/>
      <c r="VNB251" s="135"/>
      <c r="VNC251" s="135"/>
      <c r="VND251" s="135"/>
      <c r="VNE251" s="173"/>
      <c r="VNF251" s="173"/>
      <c r="VNG251" s="173"/>
      <c r="VNH251" s="173"/>
      <c r="VNI251" s="173"/>
      <c r="VNJ251" s="173"/>
      <c r="VNK251" s="173"/>
      <c r="VNL251" s="173"/>
      <c r="VNM251" s="173"/>
      <c r="VNN251" s="173"/>
      <c r="VNO251" s="125"/>
      <c r="VNP251" s="125"/>
      <c r="VNQ251" s="134"/>
      <c r="VNR251" s="135"/>
      <c r="VNS251" s="135"/>
      <c r="VNT251" s="135"/>
      <c r="VNU251" s="135"/>
      <c r="VNV251" s="173"/>
      <c r="VNW251" s="173"/>
      <c r="VNX251" s="173"/>
      <c r="VNY251" s="173"/>
      <c r="VNZ251" s="173"/>
      <c r="VOA251" s="173"/>
      <c r="VOB251" s="173"/>
      <c r="VOC251" s="173"/>
      <c r="VOD251" s="173"/>
      <c r="VOE251" s="173"/>
      <c r="VOF251" s="125"/>
      <c r="VOG251" s="125"/>
      <c r="VOH251" s="134"/>
      <c r="VOI251" s="135"/>
      <c r="VOJ251" s="135"/>
      <c r="VOK251" s="135"/>
      <c r="VOL251" s="135"/>
      <c r="VOM251" s="173"/>
      <c r="VON251" s="173"/>
      <c r="VOO251" s="173"/>
      <c r="VOP251" s="173"/>
      <c r="VOQ251" s="173"/>
      <c r="VOR251" s="173"/>
      <c r="VOS251" s="173"/>
      <c r="VOT251" s="173"/>
      <c r="VOU251" s="173"/>
      <c r="VOV251" s="173"/>
      <c r="VOW251" s="125"/>
      <c r="VOX251" s="125"/>
      <c r="VOY251" s="134"/>
      <c r="VOZ251" s="135"/>
      <c r="VPA251" s="135"/>
      <c r="VPB251" s="135"/>
      <c r="VPC251" s="135"/>
      <c r="VPD251" s="173"/>
      <c r="VPE251" s="173"/>
      <c r="VPF251" s="173"/>
      <c r="VPG251" s="173"/>
      <c r="VPH251" s="173"/>
      <c r="VPI251" s="173"/>
      <c r="VPJ251" s="173"/>
      <c r="VPK251" s="173"/>
      <c r="VPL251" s="173"/>
      <c r="VPM251" s="173"/>
      <c r="VPN251" s="125"/>
      <c r="VPO251" s="125"/>
      <c r="VPP251" s="134"/>
      <c r="VPQ251" s="135"/>
      <c r="VPR251" s="135"/>
      <c r="VPS251" s="135"/>
      <c r="VPT251" s="135"/>
      <c r="VPU251" s="173"/>
      <c r="VPV251" s="173"/>
      <c r="VPW251" s="173"/>
      <c r="VPX251" s="173"/>
      <c r="VPY251" s="173"/>
      <c r="VPZ251" s="173"/>
      <c r="VQA251" s="173"/>
      <c r="VQB251" s="173"/>
      <c r="VQC251" s="173"/>
      <c r="VQD251" s="173"/>
      <c r="VQE251" s="125"/>
      <c r="VQF251" s="125"/>
      <c r="VQG251" s="134"/>
      <c r="VQH251" s="135"/>
      <c r="VQI251" s="135"/>
      <c r="VQJ251" s="135"/>
      <c r="VQK251" s="135"/>
      <c r="VQL251" s="173"/>
      <c r="VQM251" s="173"/>
      <c r="VQN251" s="173"/>
      <c r="VQO251" s="173"/>
      <c r="VQP251" s="173"/>
      <c r="VQQ251" s="173"/>
      <c r="VQR251" s="173"/>
      <c r="VQS251" s="173"/>
      <c r="VQT251" s="173"/>
      <c r="VQU251" s="173"/>
      <c r="VQV251" s="125"/>
      <c r="VQW251" s="125"/>
      <c r="VQX251" s="134"/>
      <c r="VQY251" s="135"/>
      <c r="VQZ251" s="135"/>
      <c r="VRA251" s="135"/>
      <c r="VRB251" s="135"/>
      <c r="VRC251" s="173"/>
      <c r="VRD251" s="173"/>
      <c r="VRE251" s="173"/>
      <c r="VRF251" s="173"/>
      <c r="VRG251" s="173"/>
      <c r="VRH251" s="173"/>
      <c r="VRI251" s="173"/>
      <c r="VRJ251" s="173"/>
      <c r="VRK251" s="173"/>
      <c r="VRL251" s="173"/>
      <c r="VRM251" s="125"/>
      <c r="VRN251" s="125"/>
      <c r="VRO251" s="134"/>
      <c r="VRP251" s="135"/>
      <c r="VRQ251" s="135"/>
      <c r="VRR251" s="135"/>
      <c r="VRS251" s="135"/>
      <c r="VRT251" s="173"/>
      <c r="VRU251" s="173"/>
      <c r="VRV251" s="173"/>
      <c r="VRW251" s="173"/>
      <c r="VRX251" s="173"/>
      <c r="VRY251" s="173"/>
      <c r="VRZ251" s="173"/>
      <c r="VSA251" s="173"/>
      <c r="VSB251" s="173"/>
      <c r="VSC251" s="173"/>
      <c r="VSD251" s="125"/>
      <c r="VSE251" s="125"/>
      <c r="VSF251" s="134"/>
      <c r="VSG251" s="135"/>
      <c r="VSH251" s="135"/>
      <c r="VSI251" s="135"/>
      <c r="VSJ251" s="135"/>
      <c r="VSK251" s="173"/>
      <c r="VSL251" s="173"/>
      <c r="VSM251" s="173"/>
      <c r="VSN251" s="173"/>
      <c r="VSO251" s="173"/>
      <c r="VSP251" s="173"/>
      <c r="VSQ251" s="173"/>
      <c r="VSR251" s="173"/>
      <c r="VSS251" s="173"/>
      <c r="VST251" s="173"/>
      <c r="VSU251" s="125"/>
      <c r="VSV251" s="125"/>
      <c r="VSW251" s="134"/>
      <c r="VSX251" s="135"/>
      <c r="VSY251" s="135"/>
      <c r="VSZ251" s="135"/>
      <c r="VTA251" s="135"/>
      <c r="VTB251" s="173"/>
      <c r="VTC251" s="173"/>
      <c r="VTD251" s="173"/>
      <c r="VTE251" s="173"/>
      <c r="VTF251" s="173"/>
      <c r="VTG251" s="173"/>
      <c r="VTH251" s="173"/>
      <c r="VTI251" s="173"/>
      <c r="VTJ251" s="173"/>
      <c r="VTK251" s="173"/>
      <c r="VTL251" s="125"/>
      <c r="VTM251" s="125"/>
      <c r="VTN251" s="134"/>
      <c r="VTO251" s="135"/>
      <c r="VTP251" s="135"/>
      <c r="VTQ251" s="135"/>
      <c r="VTR251" s="135"/>
      <c r="VTS251" s="173"/>
      <c r="VTT251" s="173"/>
      <c r="VTU251" s="173"/>
      <c r="VTV251" s="173"/>
      <c r="VTW251" s="173"/>
      <c r="VTX251" s="173"/>
      <c r="VTY251" s="173"/>
      <c r="VTZ251" s="173"/>
      <c r="VUA251" s="173"/>
      <c r="VUB251" s="173"/>
      <c r="VUC251" s="125"/>
      <c r="VUD251" s="125"/>
      <c r="VUE251" s="134"/>
      <c r="VUF251" s="135"/>
      <c r="VUG251" s="135"/>
      <c r="VUH251" s="135"/>
      <c r="VUI251" s="135"/>
      <c r="VUJ251" s="173"/>
      <c r="VUK251" s="173"/>
      <c r="VUL251" s="173"/>
      <c r="VUM251" s="173"/>
      <c r="VUN251" s="173"/>
      <c r="VUO251" s="173"/>
      <c r="VUP251" s="173"/>
      <c r="VUQ251" s="173"/>
      <c r="VUR251" s="173"/>
      <c r="VUS251" s="173"/>
      <c r="VUT251" s="125"/>
      <c r="VUU251" s="125"/>
      <c r="VUV251" s="134"/>
      <c r="VUW251" s="135"/>
      <c r="VUX251" s="135"/>
      <c r="VUY251" s="135"/>
      <c r="VUZ251" s="135"/>
      <c r="VVA251" s="173"/>
      <c r="VVB251" s="173"/>
      <c r="VVC251" s="173"/>
      <c r="VVD251" s="173"/>
      <c r="VVE251" s="173"/>
      <c r="VVF251" s="173"/>
      <c r="VVG251" s="173"/>
      <c r="VVH251" s="173"/>
      <c r="VVI251" s="173"/>
      <c r="VVJ251" s="173"/>
      <c r="VVK251" s="125"/>
      <c r="VVL251" s="125"/>
      <c r="VVM251" s="134"/>
      <c r="VVN251" s="135"/>
      <c r="VVO251" s="135"/>
      <c r="VVP251" s="135"/>
      <c r="VVQ251" s="135"/>
      <c r="VVR251" s="173"/>
      <c r="VVS251" s="173"/>
      <c r="VVT251" s="173"/>
      <c r="VVU251" s="173"/>
      <c r="VVV251" s="173"/>
      <c r="VVW251" s="173"/>
      <c r="VVX251" s="173"/>
      <c r="VVY251" s="173"/>
      <c r="VVZ251" s="173"/>
      <c r="VWA251" s="173"/>
      <c r="VWB251" s="125"/>
      <c r="VWC251" s="125"/>
      <c r="VWD251" s="134"/>
      <c r="VWE251" s="135"/>
      <c r="VWF251" s="135"/>
      <c r="VWG251" s="135"/>
      <c r="VWH251" s="135"/>
      <c r="VWI251" s="173"/>
      <c r="VWJ251" s="173"/>
      <c r="VWK251" s="173"/>
      <c r="VWL251" s="173"/>
      <c r="VWM251" s="173"/>
      <c r="VWN251" s="173"/>
      <c r="VWO251" s="173"/>
      <c r="VWP251" s="173"/>
      <c r="VWQ251" s="173"/>
      <c r="VWR251" s="173"/>
      <c r="VWS251" s="125"/>
      <c r="VWT251" s="125"/>
      <c r="VWU251" s="134"/>
      <c r="VWV251" s="135"/>
      <c r="VWW251" s="135"/>
      <c r="VWX251" s="135"/>
      <c r="VWY251" s="135"/>
      <c r="VWZ251" s="173"/>
      <c r="VXA251" s="173"/>
      <c r="VXB251" s="173"/>
      <c r="VXC251" s="173"/>
      <c r="VXD251" s="173"/>
      <c r="VXE251" s="173"/>
      <c r="VXF251" s="173"/>
      <c r="VXG251" s="173"/>
      <c r="VXH251" s="173"/>
      <c r="VXI251" s="173"/>
      <c r="VXJ251" s="125"/>
      <c r="VXK251" s="125"/>
      <c r="VXL251" s="134"/>
      <c r="VXM251" s="135"/>
      <c r="VXN251" s="135"/>
      <c r="VXO251" s="135"/>
      <c r="VXP251" s="135"/>
      <c r="VXQ251" s="173"/>
      <c r="VXR251" s="173"/>
      <c r="VXS251" s="173"/>
      <c r="VXT251" s="173"/>
      <c r="VXU251" s="173"/>
      <c r="VXV251" s="173"/>
      <c r="VXW251" s="173"/>
      <c r="VXX251" s="173"/>
      <c r="VXY251" s="173"/>
      <c r="VXZ251" s="173"/>
      <c r="VYA251" s="125"/>
      <c r="VYB251" s="125"/>
      <c r="VYC251" s="134"/>
      <c r="VYD251" s="135"/>
      <c r="VYE251" s="135"/>
      <c r="VYF251" s="135"/>
      <c r="VYG251" s="135"/>
      <c r="VYH251" s="173"/>
      <c r="VYI251" s="173"/>
      <c r="VYJ251" s="173"/>
      <c r="VYK251" s="173"/>
      <c r="VYL251" s="173"/>
      <c r="VYM251" s="173"/>
      <c r="VYN251" s="173"/>
      <c r="VYO251" s="173"/>
      <c r="VYP251" s="173"/>
      <c r="VYQ251" s="173"/>
      <c r="VYR251" s="125"/>
      <c r="VYS251" s="125"/>
      <c r="VYT251" s="134"/>
      <c r="VYU251" s="135"/>
      <c r="VYV251" s="135"/>
      <c r="VYW251" s="135"/>
      <c r="VYX251" s="135"/>
      <c r="VYY251" s="173"/>
      <c r="VYZ251" s="173"/>
      <c r="VZA251" s="173"/>
      <c r="VZB251" s="173"/>
      <c r="VZC251" s="173"/>
      <c r="VZD251" s="173"/>
      <c r="VZE251" s="173"/>
      <c r="VZF251" s="173"/>
      <c r="VZG251" s="173"/>
      <c r="VZH251" s="173"/>
      <c r="VZI251" s="125"/>
      <c r="VZJ251" s="125"/>
      <c r="VZK251" s="134"/>
      <c r="VZL251" s="135"/>
      <c r="VZM251" s="135"/>
      <c r="VZN251" s="135"/>
      <c r="VZO251" s="135"/>
      <c r="VZP251" s="173"/>
      <c r="VZQ251" s="173"/>
      <c r="VZR251" s="173"/>
      <c r="VZS251" s="173"/>
      <c r="VZT251" s="173"/>
      <c r="VZU251" s="173"/>
      <c r="VZV251" s="173"/>
      <c r="VZW251" s="173"/>
      <c r="VZX251" s="173"/>
      <c r="VZY251" s="173"/>
      <c r="VZZ251" s="125"/>
      <c r="WAA251" s="125"/>
      <c r="WAB251" s="134"/>
      <c r="WAC251" s="135"/>
      <c r="WAD251" s="135"/>
      <c r="WAE251" s="135"/>
      <c r="WAF251" s="135"/>
      <c r="WAG251" s="173"/>
      <c r="WAH251" s="173"/>
      <c r="WAI251" s="173"/>
      <c r="WAJ251" s="173"/>
      <c r="WAK251" s="173"/>
      <c r="WAL251" s="173"/>
      <c r="WAM251" s="173"/>
      <c r="WAN251" s="173"/>
      <c r="WAO251" s="173"/>
      <c r="WAP251" s="173"/>
      <c r="WAQ251" s="125"/>
      <c r="WAR251" s="125"/>
      <c r="WAS251" s="134"/>
      <c r="WAT251" s="135"/>
      <c r="WAU251" s="135"/>
      <c r="WAV251" s="135"/>
      <c r="WAW251" s="135"/>
      <c r="WAX251" s="173"/>
      <c r="WAY251" s="173"/>
      <c r="WAZ251" s="173"/>
      <c r="WBA251" s="173"/>
      <c r="WBB251" s="173"/>
      <c r="WBC251" s="173"/>
      <c r="WBD251" s="173"/>
      <c r="WBE251" s="173"/>
      <c r="WBF251" s="173"/>
      <c r="WBG251" s="173"/>
      <c r="WBH251" s="125"/>
      <c r="WBI251" s="125"/>
      <c r="WBJ251" s="134"/>
      <c r="WBK251" s="135"/>
      <c r="WBL251" s="135"/>
      <c r="WBM251" s="135"/>
      <c r="WBN251" s="135"/>
      <c r="WBO251" s="173"/>
      <c r="WBP251" s="173"/>
      <c r="WBQ251" s="173"/>
      <c r="WBR251" s="173"/>
      <c r="WBS251" s="173"/>
      <c r="WBT251" s="173"/>
      <c r="WBU251" s="173"/>
      <c r="WBV251" s="173"/>
      <c r="WBW251" s="173"/>
      <c r="WBX251" s="173"/>
      <c r="WBY251" s="125"/>
      <c r="WBZ251" s="125"/>
      <c r="WCA251" s="134"/>
      <c r="WCB251" s="135"/>
      <c r="WCC251" s="135"/>
      <c r="WCD251" s="135"/>
      <c r="WCE251" s="135"/>
      <c r="WCF251" s="173"/>
      <c r="WCG251" s="173"/>
      <c r="WCH251" s="173"/>
      <c r="WCI251" s="173"/>
      <c r="WCJ251" s="173"/>
      <c r="WCK251" s="173"/>
      <c r="WCL251" s="173"/>
      <c r="WCM251" s="173"/>
      <c r="WCN251" s="173"/>
      <c r="WCO251" s="173"/>
      <c r="WCP251" s="125"/>
      <c r="WCQ251" s="125"/>
      <c r="WCR251" s="134"/>
      <c r="WCS251" s="135"/>
      <c r="WCT251" s="135"/>
      <c r="WCU251" s="135"/>
      <c r="WCV251" s="135"/>
      <c r="WCW251" s="173"/>
      <c r="WCX251" s="173"/>
      <c r="WCY251" s="173"/>
      <c r="WCZ251" s="173"/>
      <c r="WDA251" s="173"/>
      <c r="WDB251" s="173"/>
      <c r="WDC251" s="173"/>
      <c r="WDD251" s="173"/>
      <c r="WDE251" s="173"/>
      <c r="WDF251" s="173"/>
      <c r="WDG251" s="125"/>
      <c r="WDH251" s="125"/>
      <c r="WDI251" s="134"/>
      <c r="WDJ251" s="135"/>
      <c r="WDK251" s="135"/>
      <c r="WDL251" s="135"/>
      <c r="WDM251" s="135"/>
      <c r="WDN251" s="173"/>
      <c r="WDO251" s="173"/>
      <c r="WDP251" s="173"/>
      <c r="WDQ251" s="173"/>
      <c r="WDR251" s="173"/>
      <c r="WDS251" s="173"/>
      <c r="WDT251" s="173"/>
      <c r="WDU251" s="173"/>
      <c r="WDV251" s="173"/>
      <c r="WDW251" s="173"/>
      <c r="WDX251" s="125"/>
      <c r="WDY251" s="125"/>
      <c r="WDZ251" s="134"/>
      <c r="WEA251" s="135"/>
      <c r="WEB251" s="135"/>
      <c r="WEC251" s="135"/>
      <c r="WED251" s="135"/>
      <c r="WEE251" s="173"/>
      <c r="WEF251" s="173"/>
      <c r="WEG251" s="173"/>
      <c r="WEH251" s="173"/>
      <c r="WEI251" s="173"/>
      <c r="WEJ251" s="173"/>
      <c r="WEK251" s="173"/>
      <c r="WEL251" s="173"/>
      <c r="WEM251" s="173"/>
      <c r="WEN251" s="173"/>
      <c r="WEO251" s="125"/>
      <c r="WEP251" s="125"/>
      <c r="WEQ251" s="134"/>
      <c r="WER251" s="135"/>
      <c r="WES251" s="135"/>
      <c r="WET251" s="135"/>
      <c r="WEU251" s="135"/>
      <c r="WEV251" s="173"/>
      <c r="WEW251" s="173"/>
      <c r="WEX251" s="173"/>
      <c r="WEY251" s="173"/>
      <c r="WEZ251" s="173"/>
      <c r="WFA251" s="173"/>
      <c r="WFB251" s="173"/>
      <c r="WFC251" s="173"/>
      <c r="WFD251" s="173"/>
      <c r="WFE251" s="173"/>
      <c r="WFF251" s="125"/>
      <c r="WFG251" s="125"/>
      <c r="WFH251" s="134"/>
      <c r="WFI251" s="135"/>
      <c r="WFJ251" s="135"/>
      <c r="WFK251" s="135"/>
      <c r="WFL251" s="135"/>
      <c r="WFM251" s="173"/>
      <c r="WFN251" s="173"/>
      <c r="WFO251" s="173"/>
      <c r="WFP251" s="173"/>
      <c r="WFQ251" s="173"/>
      <c r="WFR251" s="173"/>
      <c r="WFS251" s="173"/>
      <c r="WFT251" s="173"/>
      <c r="WFU251" s="173"/>
      <c r="WFV251" s="173"/>
      <c r="WFW251" s="125"/>
      <c r="WFX251" s="125"/>
      <c r="WFY251" s="134"/>
      <c r="WFZ251" s="135"/>
      <c r="WGA251" s="135"/>
      <c r="WGB251" s="135"/>
      <c r="WGC251" s="135"/>
      <c r="WGD251" s="173"/>
      <c r="WGE251" s="173"/>
      <c r="WGF251" s="173"/>
      <c r="WGG251" s="173"/>
      <c r="WGH251" s="173"/>
      <c r="WGI251" s="173"/>
      <c r="WGJ251" s="173"/>
      <c r="WGK251" s="173"/>
      <c r="WGL251" s="173"/>
      <c r="WGM251" s="173"/>
      <c r="WGN251" s="125"/>
      <c r="WGO251" s="125"/>
      <c r="WGP251" s="134"/>
      <c r="WGQ251" s="135"/>
      <c r="WGR251" s="135"/>
      <c r="WGS251" s="135"/>
      <c r="WGT251" s="135"/>
      <c r="WGU251" s="173"/>
      <c r="WGV251" s="173"/>
      <c r="WGW251" s="173"/>
      <c r="WGX251" s="173"/>
      <c r="WGY251" s="173"/>
      <c r="WGZ251" s="173"/>
      <c r="WHA251" s="173"/>
      <c r="WHB251" s="173"/>
      <c r="WHC251" s="173"/>
      <c r="WHD251" s="173"/>
      <c r="WHE251" s="125"/>
      <c r="WHF251" s="125"/>
      <c r="WHG251" s="134"/>
      <c r="WHH251" s="135"/>
      <c r="WHI251" s="135"/>
      <c r="WHJ251" s="135"/>
      <c r="WHK251" s="135"/>
      <c r="WHL251" s="173"/>
      <c r="WHM251" s="173"/>
      <c r="WHN251" s="173"/>
      <c r="WHO251" s="173"/>
      <c r="WHP251" s="173"/>
      <c r="WHQ251" s="173"/>
      <c r="WHR251" s="173"/>
      <c r="WHS251" s="173"/>
      <c r="WHT251" s="173"/>
      <c r="WHU251" s="173"/>
      <c r="WHV251" s="125"/>
      <c r="WHW251" s="125"/>
      <c r="WHX251" s="134"/>
      <c r="WHY251" s="135"/>
      <c r="WHZ251" s="135"/>
      <c r="WIA251" s="135"/>
      <c r="WIB251" s="135"/>
      <c r="WIC251" s="173"/>
      <c r="WID251" s="173"/>
      <c r="WIE251" s="173"/>
      <c r="WIF251" s="173"/>
      <c r="WIG251" s="173"/>
      <c r="WIH251" s="173"/>
      <c r="WII251" s="173"/>
      <c r="WIJ251" s="173"/>
      <c r="WIK251" s="173"/>
      <c r="WIL251" s="173"/>
      <c r="WIM251" s="125"/>
      <c r="WIN251" s="125"/>
      <c r="WIO251" s="134"/>
      <c r="WIP251" s="135"/>
      <c r="WIQ251" s="135"/>
      <c r="WIR251" s="135"/>
      <c r="WIS251" s="135"/>
      <c r="WIT251" s="173"/>
      <c r="WIU251" s="173"/>
      <c r="WIV251" s="173"/>
      <c r="WIW251" s="173"/>
      <c r="WIX251" s="173"/>
      <c r="WIY251" s="173"/>
      <c r="WIZ251" s="173"/>
      <c r="WJA251" s="173"/>
      <c r="WJB251" s="173"/>
      <c r="WJC251" s="173"/>
      <c r="WJD251" s="125"/>
      <c r="WJE251" s="125"/>
      <c r="WJF251" s="134"/>
      <c r="WJG251" s="135"/>
      <c r="WJH251" s="135"/>
      <c r="WJI251" s="135"/>
      <c r="WJJ251" s="135"/>
      <c r="WJK251" s="173"/>
      <c r="WJL251" s="173"/>
      <c r="WJM251" s="173"/>
      <c r="WJN251" s="173"/>
      <c r="WJO251" s="173"/>
      <c r="WJP251" s="173"/>
      <c r="WJQ251" s="173"/>
      <c r="WJR251" s="173"/>
      <c r="WJS251" s="173"/>
      <c r="WJT251" s="173"/>
      <c r="WJU251" s="125"/>
      <c r="WJV251" s="125"/>
      <c r="WJW251" s="134"/>
      <c r="WJX251" s="135"/>
      <c r="WJY251" s="135"/>
      <c r="WJZ251" s="135"/>
      <c r="WKA251" s="135"/>
      <c r="WKB251" s="173"/>
      <c r="WKC251" s="173"/>
      <c r="WKD251" s="173"/>
      <c r="WKE251" s="173"/>
      <c r="WKF251" s="173"/>
      <c r="WKG251" s="173"/>
      <c r="WKH251" s="173"/>
      <c r="WKI251" s="173"/>
      <c r="WKJ251" s="173"/>
      <c r="WKK251" s="173"/>
      <c r="WKL251" s="125"/>
      <c r="WKM251" s="125"/>
      <c r="WKN251" s="134"/>
      <c r="WKO251" s="135"/>
      <c r="WKP251" s="135"/>
      <c r="WKQ251" s="135"/>
      <c r="WKR251" s="135"/>
      <c r="WKS251" s="173"/>
      <c r="WKT251" s="173"/>
      <c r="WKU251" s="173"/>
      <c r="WKV251" s="173"/>
      <c r="WKW251" s="173"/>
      <c r="WKX251" s="173"/>
      <c r="WKY251" s="173"/>
      <c r="WKZ251" s="173"/>
      <c r="WLA251" s="173"/>
      <c r="WLB251" s="173"/>
      <c r="WLC251" s="125"/>
      <c r="WLD251" s="125"/>
      <c r="WLE251" s="134"/>
      <c r="WLF251" s="135"/>
      <c r="WLG251" s="135"/>
      <c r="WLH251" s="135"/>
      <c r="WLI251" s="135"/>
      <c r="WLJ251" s="173"/>
      <c r="WLK251" s="173"/>
      <c r="WLL251" s="173"/>
      <c r="WLM251" s="173"/>
      <c r="WLN251" s="173"/>
      <c r="WLO251" s="173"/>
      <c r="WLP251" s="173"/>
      <c r="WLQ251" s="173"/>
      <c r="WLR251" s="173"/>
      <c r="WLS251" s="173"/>
      <c r="WLT251" s="125"/>
      <c r="WLU251" s="125"/>
      <c r="WLV251" s="134"/>
      <c r="WLW251" s="135"/>
      <c r="WLX251" s="135"/>
      <c r="WLY251" s="135"/>
      <c r="WLZ251" s="135"/>
      <c r="WMA251" s="173"/>
      <c r="WMB251" s="173"/>
      <c r="WMC251" s="173"/>
      <c r="WMD251" s="173"/>
      <c r="WME251" s="173"/>
      <c r="WMF251" s="173"/>
      <c r="WMG251" s="173"/>
      <c r="WMH251" s="173"/>
      <c r="WMI251" s="173"/>
      <c r="WMJ251" s="173"/>
      <c r="WMK251" s="125"/>
      <c r="WML251" s="125"/>
      <c r="WMM251" s="134"/>
      <c r="WMN251" s="135"/>
      <c r="WMO251" s="135"/>
      <c r="WMP251" s="135"/>
      <c r="WMQ251" s="135"/>
      <c r="WMR251" s="173"/>
      <c r="WMS251" s="173"/>
      <c r="WMT251" s="173"/>
      <c r="WMU251" s="173"/>
      <c r="WMV251" s="173"/>
      <c r="WMW251" s="173"/>
      <c r="WMX251" s="173"/>
      <c r="WMY251" s="173"/>
      <c r="WMZ251" s="173"/>
      <c r="WNA251" s="173"/>
      <c r="WNB251" s="125"/>
      <c r="WNC251" s="125"/>
      <c r="WND251" s="134"/>
      <c r="WNE251" s="135"/>
      <c r="WNF251" s="135"/>
      <c r="WNG251" s="135"/>
      <c r="WNH251" s="135"/>
      <c r="WNI251" s="173"/>
      <c r="WNJ251" s="173"/>
      <c r="WNK251" s="173"/>
      <c r="WNL251" s="173"/>
      <c r="WNM251" s="173"/>
      <c r="WNN251" s="173"/>
      <c r="WNO251" s="173"/>
      <c r="WNP251" s="173"/>
      <c r="WNQ251" s="173"/>
      <c r="WNR251" s="173"/>
      <c r="WNS251" s="125"/>
      <c r="WNT251" s="125"/>
      <c r="WNU251" s="134"/>
      <c r="WNV251" s="135"/>
      <c r="WNW251" s="135"/>
      <c r="WNX251" s="135"/>
      <c r="WNY251" s="135"/>
      <c r="WNZ251" s="173"/>
      <c r="WOA251" s="173"/>
      <c r="WOB251" s="173"/>
      <c r="WOC251" s="173"/>
      <c r="WOD251" s="173"/>
      <c r="WOE251" s="173"/>
      <c r="WOF251" s="173"/>
      <c r="WOG251" s="173"/>
      <c r="WOH251" s="173"/>
      <c r="WOI251" s="173"/>
      <c r="WOJ251" s="125"/>
      <c r="WOK251" s="125"/>
      <c r="WOL251" s="134"/>
      <c r="WOM251" s="135"/>
      <c r="WON251" s="135"/>
      <c r="WOO251" s="135"/>
      <c r="WOP251" s="135"/>
      <c r="WOQ251" s="173"/>
      <c r="WOR251" s="173"/>
      <c r="WOS251" s="173"/>
      <c r="WOT251" s="173"/>
      <c r="WOU251" s="173"/>
      <c r="WOV251" s="173"/>
      <c r="WOW251" s="173"/>
      <c r="WOX251" s="173"/>
      <c r="WOY251" s="173"/>
      <c r="WOZ251" s="173"/>
      <c r="WPA251" s="125"/>
      <c r="WPB251" s="125"/>
      <c r="WPC251" s="134"/>
      <c r="WPD251" s="135"/>
      <c r="WPE251" s="135"/>
      <c r="WPF251" s="135"/>
      <c r="WPG251" s="135"/>
      <c r="WPH251" s="173"/>
      <c r="WPI251" s="173"/>
      <c r="WPJ251" s="173"/>
      <c r="WPK251" s="173"/>
      <c r="WPL251" s="173"/>
      <c r="WPM251" s="173"/>
      <c r="WPN251" s="173"/>
      <c r="WPO251" s="173"/>
      <c r="WPP251" s="173"/>
      <c r="WPQ251" s="173"/>
      <c r="WPR251" s="125"/>
      <c r="WPS251" s="125"/>
      <c r="WPT251" s="134"/>
      <c r="WPU251" s="135"/>
      <c r="WPV251" s="135"/>
      <c r="WPW251" s="135"/>
      <c r="WPX251" s="135"/>
      <c r="WPY251" s="173"/>
      <c r="WPZ251" s="173"/>
      <c r="WQA251" s="173"/>
      <c r="WQB251" s="173"/>
      <c r="WQC251" s="173"/>
      <c r="WQD251" s="173"/>
      <c r="WQE251" s="173"/>
      <c r="WQF251" s="173"/>
      <c r="WQG251" s="173"/>
      <c r="WQH251" s="173"/>
      <c r="WQI251" s="125"/>
      <c r="WQJ251" s="125"/>
      <c r="WQK251" s="134"/>
      <c r="WQL251" s="135"/>
      <c r="WQM251" s="135"/>
      <c r="WQN251" s="135"/>
      <c r="WQO251" s="135"/>
      <c r="WQP251" s="173"/>
      <c r="WQQ251" s="173"/>
      <c r="WQR251" s="173"/>
      <c r="WQS251" s="173"/>
      <c r="WQT251" s="173"/>
      <c r="WQU251" s="173"/>
      <c r="WQV251" s="173"/>
      <c r="WQW251" s="173"/>
      <c r="WQX251" s="173"/>
      <c r="WQY251" s="173"/>
      <c r="WQZ251" s="125"/>
      <c r="WRA251" s="125"/>
      <c r="WRB251" s="134"/>
      <c r="WRC251" s="135"/>
      <c r="WRD251" s="135"/>
      <c r="WRE251" s="135"/>
      <c r="WRF251" s="135"/>
      <c r="WRG251" s="173"/>
      <c r="WRH251" s="173"/>
      <c r="WRI251" s="173"/>
      <c r="WRJ251" s="173"/>
      <c r="WRK251" s="173"/>
      <c r="WRL251" s="173"/>
      <c r="WRM251" s="173"/>
      <c r="WRN251" s="173"/>
      <c r="WRO251" s="173"/>
      <c r="WRP251" s="173"/>
      <c r="WRQ251" s="125"/>
      <c r="WRR251" s="125"/>
      <c r="WRS251" s="134"/>
      <c r="WRT251" s="135"/>
      <c r="WRU251" s="135"/>
      <c r="WRV251" s="135"/>
      <c r="WRW251" s="135"/>
      <c r="WRX251" s="173"/>
      <c r="WRY251" s="173"/>
      <c r="WRZ251" s="173"/>
      <c r="WSA251" s="173"/>
      <c r="WSB251" s="173"/>
      <c r="WSC251" s="173"/>
      <c r="WSD251" s="173"/>
      <c r="WSE251" s="173"/>
      <c r="WSF251" s="173"/>
      <c r="WSG251" s="173"/>
      <c r="WSH251" s="125"/>
      <c r="WSI251" s="125"/>
      <c r="WSJ251" s="134"/>
      <c r="WSK251" s="135"/>
      <c r="WSL251" s="135"/>
      <c r="WSM251" s="135"/>
      <c r="WSN251" s="135"/>
      <c r="WSO251" s="173"/>
      <c r="WSP251" s="173"/>
      <c r="WSQ251" s="173"/>
      <c r="WSR251" s="173"/>
      <c r="WSS251" s="173"/>
      <c r="WST251" s="173"/>
      <c r="WSU251" s="173"/>
      <c r="WSV251" s="173"/>
      <c r="WSW251" s="173"/>
      <c r="WSX251" s="173"/>
      <c r="WSY251" s="125"/>
      <c r="WSZ251" s="125"/>
      <c r="WTA251" s="134"/>
      <c r="WTB251" s="135"/>
      <c r="WTC251" s="135"/>
      <c r="WTD251" s="135"/>
      <c r="WTE251" s="135"/>
      <c r="WTF251" s="173"/>
      <c r="WTG251" s="173"/>
      <c r="WTH251" s="173"/>
      <c r="WTI251" s="173"/>
      <c r="WTJ251" s="173"/>
      <c r="WTK251" s="173"/>
      <c r="WTL251" s="173"/>
      <c r="WTM251" s="173"/>
      <c r="WTN251" s="173"/>
      <c r="WTO251" s="173"/>
      <c r="WTP251" s="125"/>
      <c r="WTQ251" s="125"/>
      <c r="WTR251" s="134"/>
      <c r="WTS251" s="135"/>
      <c r="WTT251" s="135"/>
      <c r="WTU251" s="135"/>
      <c r="WTV251" s="135"/>
      <c r="WTW251" s="173"/>
      <c r="WTX251" s="173"/>
      <c r="WTY251" s="173"/>
      <c r="WTZ251" s="173"/>
      <c r="WUA251" s="173"/>
      <c r="WUB251" s="173"/>
      <c r="WUC251" s="173"/>
      <c r="WUD251" s="173"/>
      <c r="WUE251" s="173"/>
      <c r="WUF251" s="173"/>
      <c r="WUG251" s="125"/>
      <c r="WUH251" s="125"/>
      <c r="WUI251" s="134"/>
      <c r="WUJ251" s="135"/>
      <c r="WUK251" s="135"/>
      <c r="WUL251" s="135"/>
      <c r="WUM251" s="135"/>
      <c r="WUN251" s="173"/>
      <c r="WUO251" s="173"/>
      <c r="WUP251" s="173"/>
      <c r="WUQ251" s="173"/>
      <c r="WUR251" s="173"/>
      <c r="WUS251" s="173"/>
      <c r="WUT251" s="173"/>
      <c r="WUU251" s="173"/>
      <c r="WUV251" s="173"/>
      <c r="WUW251" s="173"/>
      <c r="WUX251" s="125"/>
      <c r="WUY251" s="125"/>
      <c r="WUZ251" s="134"/>
      <c r="WVA251" s="135"/>
      <c r="WVB251" s="135"/>
      <c r="WVC251" s="135"/>
      <c r="WVD251" s="135"/>
      <c r="WVE251" s="173"/>
      <c r="WVF251" s="173"/>
      <c r="WVG251" s="173"/>
      <c r="WVH251" s="173"/>
      <c r="WVI251" s="173"/>
      <c r="WVJ251" s="173"/>
      <c r="WVK251" s="173"/>
      <c r="WVL251" s="173"/>
      <c r="WVM251" s="173"/>
      <c r="WVN251" s="173"/>
      <c r="WVO251" s="125"/>
      <c r="WVP251" s="125"/>
      <c r="WVQ251" s="134"/>
      <c r="WVR251" s="135"/>
      <c r="WVS251" s="135"/>
      <c r="WVT251" s="135"/>
      <c r="WVU251" s="135"/>
      <c r="WVV251" s="173"/>
      <c r="WVW251" s="173"/>
      <c r="WVX251" s="173"/>
      <c r="WVY251" s="173"/>
      <c r="WVZ251" s="173"/>
      <c r="WWA251" s="173"/>
      <c r="WWB251" s="173"/>
      <c r="WWC251" s="173"/>
      <c r="WWD251" s="173"/>
      <c r="WWE251" s="173"/>
      <c r="WWF251" s="125"/>
      <c r="WWG251" s="125"/>
      <c r="WWH251" s="134"/>
      <c r="WWI251" s="135"/>
      <c r="WWJ251" s="135"/>
      <c r="WWK251" s="135"/>
      <c r="WWL251" s="135"/>
      <c r="WWM251" s="173"/>
      <c r="WWN251" s="173"/>
      <c r="WWO251" s="173"/>
      <c r="WWP251" s="173"/>
      <c r="WWQ251" s="173"/>
      <c r="WWR251" s="173"/>
      <c r="WWS251" s="173"/>
      <c r="WWT251" s="173"/>
      <c r="WWU251" s="173"/>
      <c r="WWV251" s="173"/>
      <c r="WWW251" s="125"/>
      <c r="WWX251" s="125"/>
      <c r="WWY251" s="134"/>
      <c r="WWZ251" s="135"/>
      <c r="WXA251" s="135"/>
      <c r="WXB251" s="135"/>
      <c r="WXC251" s="135"/>
      <c r="WXD251" s="173"/>
      <c r="WXE251" s="173"/>
      <c r="WXF251" s="173"/>
      <c r="WXG251" s="173"/>
      <c r="WXH251" s="173"/>
      <c r="WXI251" s="173"/>
      <c r="WXJ251" s="173"/>
      <c r="WXK251" s="173"/>
      <c r="WXL251" s="173"/>
      <c r="WXM251" s="173"/>
      <c r="WXN251" s="125"/>
      <c r="WXO251" s="125"/>
      <c r="WXP251" s="134"/>
      <c r="WXQ251" s="135"/>
      <c r="WXR251" s="135"/>
      <c r="WXS251" s="135"/>
      <c r="WXT251" s="135"/>
      <c r="WXU251" s="173"/>
      <c r="WXV251" s="173"/>
      <c r="WXW251" s="173"/>
      <c r="WXX251" s="173"/>
      <c r="WXY251" s="173"/>
      <c r="WXZ251" s="173"/>
      <c r="WYA251" s="173"/>
      <c r="WYB251" s="173"/>
      <c r="WYC251" s="173"/>
      <c r="WYD251" s="173"/>
      <c r="WYE251" s="125"/>
      <c r="WYF251" s="125"/>
      <c r="WYG251" s="134"/>
      <c r="WYH251" s="135"/>
      <c r="WYI251" s="135"/>
      <c r="WYJ251" s="135"/>
      <c r="WYK251" s="135"/>
      <c r="WYL251" s="173"/>
      <c r="WYM251" s="173"/>
      <c r="WYN251" s="173"/>
      <c r="WYO251" s="173"/>
      <c r="WYP251" s="173"/>
      <c r="WYQ251" s="173"/>
      <c r="WYR251" s="173"/>
      <c r="WYS251" s="173"/>
      <c r="WYT251" s="173"/>
      <c r="WYU251" s="173"/>
      <c r="WYV251" s="125"/>
      <c r="WYW251" s="125"/>
      <c r="WYX251" s="134"/>
      <c r="WYY251" s="135"/>
      <c r="WYZ251" s="135"/>
      <c r="WZA251" s="135"/>
      <c r="WZB251" s="135"/>
      <c r="WZC251" s="173"/>
      <c r="WZD251" s="173"/>
      <c r="WZE251" s="173"/>
      <c r="WZF251" s="173"/>
      <c r="WZG251" s="173"/>
      <c r="WZH251" s="173"/>
      <c r="WZI251" s="173"/>
      <c r="WZJ251" s="173"/>
      <c r="WZK251" s="173"/>
      <c r="WZL251" s="173"/>
      <c r="WZM251" s="125"/>
      <c r="WZN251" s="125"/>
      <c r="WZO251" s="134"/>
      <c r="WZP251" s="135"/>
      <c r="WZQ251" s="135"/>
      <c r="WZR251" s="135"/>
      <c r="WZS251" s="135"/>
      <c r="WZT251" s="173"/>
      <c r="WZU251" s="173"/>
      <c r="WZV251" s="173"/>
      <c r="WZW251" s="173"/>
      <c r="WZX251" s="173"/>
      <c r="WZY251" s="173"/>
      <c r="WZZ251" s="173"/>
      <c r="XAA251" s="173"/>
      <c r="XAB251" s="173"/>
      <c r="XAC251" s="173"/>
      <c r="XAD251" s="125"/>
      <c r="XAE251" s="125"/>
      <c r="XAF251" s="134"/>
      <c r="XAG251" s="135"/>
      <c r="XAH251" s="135"/>
      <c r="XAI251" s="135"/>
      <c r="XAJ251" s="135"/>
      <c r="XAK251" s="173"/>
      <c r="XAL251" s="173"/>
      <c r="XAM251" s="173"/>
      <c r="XAN251" s="173"/>
      <c r="XAO251" s="173"/>
      <c r="XAP251" s="173"/>
      <c r="XAQ251" s="173"/>
      <c r="XAR251" s="173"/>
      <c r="XAS251" s="173"/>
      <c r="XAT251" s="173"/>
      <c r="XAU251" s="125"/>
      <c r="XAV251" s="125"/>
      <c r="XAW251" s="134"/>
      <c r="XAX251" s="135"/>
      <c r="XAY251" s="135"/>
      <c r="XAZ251" s="135"/>
      <c r="XBA251" s="135"/>
      <c r="XBB251" s="173"/>
      <c r="XBC251" s="173"/>
      <c r="XBD251" s="173"/>
      <c r="XBE251" s="173"/>
      <c r="XBF251" s="173"/>
      <c r="XBG251" s="173"/>
      <c r="XBH251" s="173"/>
      <c r="XBI251" s="173"/>
      <c r="XBJ251" s="173"/>
      <c r="XBK251" s="173"/>
      <c r="XBL251" s="125"/>
      <c r="XBM251" s="125"/>
      <c r="XBN251" s="134"/>
      <c r="XBO251" s="135"/>
      <c r="XBP251" s="135"/>
      <c r="XBQ251" s="135"/>
      <c r="XBR251" s="135"/>
      <c r="XBS251" s="173"/>
      <c r="XBT251" s="173"/>
      <c r="XBU251" s="173"/>
      <c r="XBV251" s="173"/>
      <c r="XBW251" s="173"/>
      <c r="XBX251" s="173"/>
      <c r="XBY251" s="173"/>
      <c r="XBZ251" s="173"/>
      <c r="XCA251" s="173"/>
      <c r="XCB251" s="173"/>
      <c r="XCC251" s="125"/>
      <c r="XCD251" s="125"/>
      <c r="XCE251" s="134"/>
      <c r="XCF251" s="135"/>
      <c r="XCG251" s="135"/>
      <c r="XCH251" s="135"/>
      <c r="XCI251" s="135"/>
      <c r="XCJ251" s="173"/>
      <c r="XCK251" s="173"/>
      <c r="XCL251" s="173"/>
      <c r="XCM251" s="173"/>
      <c r="XCN251" s="173"/>
      <c r="XCO251" s="173"/>
      <c r="XCP251" s="173"/>
      <c r="XCQ251" s="173"/>
      <c r="XCR251" s="173"/>
      <c r="XCS251" s="173"/>
      <c r="XCT251" s="125"/>
      <c r="XCU251" s="125"/>
      <c r="XCV251" s="134"/>
      <c r="XCW251" s="135"/>
      <c r="XCX251" s="135"/>
      <c r="XCY251" s="135"/>
      <c r="XCZ251" s="135"/>
      <c r="XDA251" s="173"/>
      <c r="XDB251" s="173"/>
      <c r="XDC251" s="173"/>
      <c r="XDD251" s="173"/>
      <c r="XDE251" s="173"/>
      <c r="XDF251" s="173"/>
      <c r="XDG251" s="173"/>
      <c r="XDH251" s="173"/>
      <c r="XDI251" s="173"/>
      <c r="XDJ251" s="173"/>
      <c r="XDK251" s="125"/>
      <c r="XDL251" s="125"/>
      <c r="XDM251" s="134"/>
      <c r="XDN251" s="135"/>
      <c r="XDO251" s="135"/>
      <c r="XDP251" s="135"/>
      <c r="XDQ251" s="135"/>
      <c r="XDR251" s="173"/>
      <c r="XDS251" s="173"/>
      <c r="XDT251" s="173"/>
      <c r="XDU251" s="173"/>
      <c r="XDV251" s="173"/>
      <c r="XDW251" s="173"/>
      <c r="XDX251" s="173"/>
      <c r="XDY251" s="173"/>
      <c r="XDZ251" s="173"/>
      <c r="XEA251" s="173"/>
      <c r="XEB251" s="125"/>
      <c r="XEC251" s="125"/>
      <c r="XED251" s="134"/>
      <c r="XEE251" s="135"/>
      <c r="XEF251" s="135"/>
      <c r="XEG251" s="135"/>
      <c r="XEH251" s="135"/>
      <c r="XEI251" s="173"/>
      <c r="XEJ251" s="173"/>
      <c r="XEK251" s="173"/>
      <c r="XEL251" s="173"/>
      <c r="XEM251" s="173"/>
      <c r="XEN251" s="173"/>
      <c r="XEO251" s="173"/>
      <c r="XEP251" s="173"/>
      <c r="XEQ251" s="173"/>
      <c r="XER251" s="173"/>
      <c r="XES251" s="125"/>
      <c r="XET251" s="125"/>
      <c r="XEU251" s="134"/>
      <c r="XEV251" s="135"/>
      <c r="XEW251" s="135"/>
      <c r="XEX251" s="135"/>
      <c r="XEY251" s="135"/>
      <c r="XEZ251" s="173"/>
      <c r="XFA251" s="173"/>
      <c r="XFB251" s="173"/>
    </row>
    <row r="252" spans="1:16382" hidden="1">
      <c r="C252" s="164"/>
      <c r="G252" s="164"/>
      <c r="J252" s="194" t="e">
        <f>J251/I251-1</f>
        <v>#DIV/0!</v>
      </c>
      <c r="K252" s="194" t="e">
        <f>K251/J251-1</f>
        <v>#DIV/0!</v>
      </c>
      <c r="L252" s="194" t="e">
        <f>L251/K251-1</f>
        <v>#DIV/0!</v>
      </c>
      <c r="M252" s="194" t="e">
        <f>M251/L251-1</f>
        <v>#DIV/0!</v>
      </c>
      <c r="N252" s="21" t="e">
        <f>0.999*((M251/J251)^(1/3)-1)+0.001*($E275*N276+$E277*N278-$E279*N280)</f>
        <v>#DIV/0!</v>
      </c>
      <c r="O252" s="21" t="e">
        <f>0.94*((N251/I251)^(1/5)-1)+0.06*($E275*O276+$E277*O278-$E279*O280)</f>
        <v>#DIV/0!</v>
      </c>
      <c r="P252" s="21" t="e">
        <f>0.83*((O251/K251)^(1/4)-1)+0.17*($E275*P276+$E277*P278-$E279*P280)</f>
        <v>#DIV/0!</v>
      </c>
      <c r="Q252" s="21" t="e">
        <f>0.7*((P251/L251)^(1/4)-1)+0.3*($E275*Q276+$E277*Q278-$E279*Q280)</f>
        <v>#DIV/0!</v>
      </c>
      <c r="R252" s="21" t="e">
        <f>0.85*((Q251/M251)^(1/4)-1)+0.15*($E275*R276+$E277*R278-$E279*R280)</f>
        <v>#DIV/0!</v>
      </c>
      <c r="S252"/>
      <c r="T252"/>
      <c r="U252"/>
      <c r="V252"/>
      <c r="W252"/>
      <c r="X252"/>
      <c r="Y252"/>
      <c r="AA252"/>
      <c r="AB252"/>
      <c r="AC252"/>
      <c r="AD252"/>
    </row>
    <row r="253" spans="1:16382" hidden="1">
      <c r="A253" s="4" t="str">
        <f>'[7]Input sheet'!A106</f>
        <v>Turkey</v>
      </c>
      <c r="B253" s="129" t="str">
        <f>'[7]Input sheet'!B106</f>
        <v>Salaries</v>
      </c>
      <c r="C253" s="4" t="str">
        <f>'[7]Input sheet'!C106</f>
        <v>Average Salary by Sector</v>
      </c>
      <c r="D253" s="2" t="str">
        <f>'[7]Input sheet'!D106</f>
        <v>Accommodation</v>
      </c>
      <c r="G253" s="1" t="str">
        <f>Home!$B$2</f>
        <v>Foriant</v>
      </c>
      <c r="H253" s="169"/>
      <c r="I253" s="169"/>
      <c r="J253" s="169"/>
      <c r="K253" s="169"/>
      <c r="L253" s="169"/>
      <c r="M253" s="169"/>
      <c r="N253" s="169" t="e">
        <f>N$251*N267</f>
        <v>#DIV/0!</v>
      </c>
      <c r="O253" s="169" t="e">
        <f>O$251*O267</f>
        <v>#DIV/0!</v>
      </c>
      <c r="P253" s="169" t="e">
        <f>P$251*P267</f>
        <v>#DIV/0!</v>
      </c>
      <c r="Q253" s="169" t="e">
        <f>Q$251*Q267</f>
        <v>#DIV/0!</v>
      </c>
      <c r="R253" s="169" t="e">
        <f>R$251*R267</f>
        <v>#DIV/0!</v>
      </c>
      <c r="S253"/>
      <c r="T253"/>
      <c r="U253"/>
      <c r="V253"/>
      <c r="W253"/>
      <c r="X253"/>
      <c r="Y253"/>
      <c r="AA253"/>
      <c r="AB253"/>
      <c r="AC253"/>
      <c r="AD253"/>
    </row>
    <row r="254" spans="1:16382" hidden="1">
      <c r="C254" s="164" t="s">
        <v>184</v>
      </c>
      <c r="G254" s="164" t="s">
        <v>176</v>
      </c>
      <c r="J254" s="194" t="e">
        <f t="shared" ref="J254:R254" si="173">J253/I253-1</f>
        <v>#DIV/0!</v>
      </c>
      <c r="K254" s="194" t="e">
        <f t="shared" si="173"/>
        <v>#DIV/0!</v>
      </c>
      <c r="L254" s="194" t="e">
        <f t="shared" si="173"/>
        <v>#DIV/0!</v>
      </c>
      <c r="M254" s="194" t="e">
        <f t="shared" si="173"/>
        <v>#DIV/0!</v>
      </c>
      <c r="N254" s="194" t="e">
        <f t="shared" si="173"/>
        <v>#DIV/0!</v>
      </c>
      <c r="O254" s="194" t="e">
        <f t="shared" si="173"/>
        <v>#DIV/0!</v>
      </c>
      <c r="P254" s="194" t="e">
        <f t="shared" si="173"/>
        <v>#DIV/0!</v>
      </c>
      <c r="Q254" s="194" t="e">
        <f t="shared" si="173"/>
        <v>#DIV/0!</v>
      </c>
      <c r="R254" s="194" t="e">
        <f t="shared" si="173"/>
        <v>#DIV/0!</v>
      </c>
      <c r="S254"/>
      <c r="T254"/>
      <c r="U254"/>
      <c r="V254"/>
      <c r="W254"/>
      <c r="X254"/>
      <c r="Y254"/>
      <c r="AA254"/>
      <c r="AB254"/>
      <c r="AC254"/>
      <c r="AD254"/>
    </row>
    <row r="255" spans="1:16382" hidden="1">
      <c r="A255" s="4" t="str">
        <f>'[7]Input sheet'!A107</f>
        <v>Turkey</v>
      </c>
      <c r="B255" s="129" t="str">
        <f>'[7]Input sheet'!B107</f>
        <v>Salaries</v>
      </c>
      <c r="C255" s="4" t="str">
        <f>'[7]Input sheet'!C107</f>
        <v>Average Salary by Sector</v>
      </c>
      <c r="D255" s="2" t="str">
        <f>'[7]Input sheet'!D107</f>
        <v>Entertainment &amp; Sightseeing</v>
      </c>
      <c r="G255" s="1" t="str">
        <f>Home!$B$2</f>
        <v>Foriant</v>
      </c>
      <c r="H255" s="169"/>
      <c r="I255" s="169"/>
      <c r="J255" s="169"/>
      <c r="K255" s="169"/>
      <c r="L255" s="169"/>
      <c r="M255" s="169"/>
      <c r="N255" s="169" t="e">
        <f>N251*N268</f>
        <v>#DIV/0!</v>
      </c>
      <c r="O255" s="169" t="e">
        <f>O251*O268</f>
        <v>#DIV/0!</v>
      </c>
      <c r="P255" s="169" t="e">
        <f>P251*P268</f>
        <v>#DIV/0!</v>
      </c>
      <c r="Q255" s="169" t="e">
        <f>Q251*Q268</f>
        <v>#DIV/0!</v>
      </c>
      <c r="R255" s="169" t="e">
        <f>R251*R268</f>
        <v>#DIV/0!</v>
      </c>
      <c r="S255"/>
      <c r="T255"/>
      <c r="U255"/>
      <c r="V255"/>
      <c r="W255"/>
      <c r="X255"/>
      <c r="Y255"/>
      <c r="AA255"/>
      <c r="AB255"/>
      <c r="AC255"/>
      <c r="AD255"/>
    </row>
    <row r="256" spans="1:16382" hidden="1">
      <c r="C256" s="164" t="s">
        <v>184</v>
      </c>
      <c r="G256" s="164" t="s">
        <v>176</v>
      </c>
      <c r="J256" s="194" t="e">
        <f t="shared" ref="J256:R256" si="174">J255/I255-1</f>
        <v>#DIV/0!</v>
      </c>
      <c r="K256" s="194" t="e">
        <f t="shared" si="174"/>
        <v>#DIV/0!</v>
      </c>
      <c r="L256" s="194" t="e">
        <f t="shared" si="174"/>
        <v>#DIV/0!</v>
      </c>
      <c r="M256" s="194" t="e">
        <f t="shared" si="174"/>
        <v>#DIV/0!</v>
      </c>
      <c r="N256" s="194" t="e">
        <f t="shared" si="174"/>
        <v>#DIV/0!</v>
      </c>
      <c r="O256" s="194" t="e">
        <f t="shared" si="174"/>
        <v>#DIV/0!</v>
      </c>
      <c r="P256" s="194" t="e">
        <f t="shared" si="174"/>
        <v>#DIV/0!</v>
      </c>
      <c r="Q256" s="194" t="e">
        <f t="shared" si="174"/>
        <v>#DIV/0!</v>
      </c>
      <c r="R256" s="194" t="e">
        <f t="shared" si="174"/>
        <v>#DIV/0!</v>
      </c>
      <c r="Y256" s="172" t="s">
        <v>350</v>
      </c>
      <c r="Z256" s="1"/>
      <c r="AB256" s="70"/>
    </row>
    <row r="257" spans="1:28" ht="11.25" hidden="1">
      <c r="A257" s="4" t="str">
        <f>'[7]Input sheet'!A108</f>
        <v>Turkey</v>
      </c>
      <c r="B257" s="129" t="str">
        <f>'[7]Input sheet'!B108</f>
        <v>Salaries</v>
      </c>
      <c r="C257" s="4" t="str">
        <f>'[7]Input sheet'!C108</f>
        <v>Average Salary by Sector</v>
      </c>
      <c r="D257" s="2" t="str">
        <f>'[7]Input sheet'!D108</f>
        <v>Foodservice</v>
      </c>
      <c r="G257" s="1" t="str">
        <f>Home!$B$2</f>
        <v>Foriant</v>
      </c>
      <c r="H257" s="169"/>
      <c r="I257" s="169"/>
      <c r="J257" s="169"/>
      <c r="K257" s="169"/>
      <c r="L257" s="169"/>
      <c r="M257" s="169"/>
      <c r="N257" s="169" t="e">
        <f>N251*N269</f>
        <v>#DIV/0!</v>
      </c>
      <c r="O257" s="169" t="e">
        <f>O251*O269</f>
        <v>#DIV/0!</v>
      </c>
      <c r="P257" s="169" t="e">
        <f>P251*P269</f>
        <v>#DIV/0!</v>
      </c>
      <c r="Q257" s="169" t="e">
        <f>Q251*Q269</f>
        <v>#DIV/0!</v>
      </c>
      <c r="R257" s="169" t="e">
        <f>R251*R269</f>
        <v>#DIV/0!</v>
      </c>
      <c r="T257" s="1" t="str">
        <f>'[7]Input sheet'!S108</f>
        <v>New</v>
      </c>
      <c r="U257" s="1" t="str">
        <f>'[7]Input sheet'!T108</f>
        <v>Used mean salary of food preparation and serving related occupations</v>
      </c>
      <c r="V257" s="1" t="e">
        <f>'[7]Input sheet'!U108</f>
        <v>#REF!</v>
      </c>
      <c r="W257" s="1">
        <f>'[7]Input sheet'!W108</f>
        <v>0</v>
      </c>
      <c r="X257" s="1">
        <f>'[7]Input sheet'!X108</f>
        <v>0</v>
      </c>
      <c r="Z257" s="1"/>
    </row>
    <row r="258" spans="1:28" hidden="1">
      <c r="C258" s="164" t="s">
        <v>184</v>
      </c>
      <c r="G258" s="164" t="s">
        <v>176</v>
      </c>
      <c r="J258" s="194" t="e">
        <f t="shared" ref="J258:R258" si="175">J257/I257-1</f>
        <v>#DIV/0!</v>
      </c>
      <c r="K258" s="194" t="e">
        <f t="shared" si="175"/>
        <v>#DIV/0!</v>
      </c>
      <c r="L258" s="194" t="e">
        <f t="shared" si="175"/>
        <v>#DIV/0!</v>
      </c>
      <c r="M258" s="194" t="e">
        <f t="shared" si="175"/>
        <v>#DIV/0!</v>
      </c>
      <c r="N258" s="194" t="e">
        <f t="shared" si="175"/>
        <v>#DIV/0!</v>
      </c>
      <c r="O258" s="194" t="e">
        <f t="shared" si="175"/>
        <v>#DIV/0!</v>
      </c>
      <c r="P258" s="194" t="e">
        <f t="shared" si="175"/>
        <v>#DIV/0!</v>
      </c>
      <c r="Q258" s="194" t="e">
        <f t="shared" si="175"/>
        <v>#DIV/0!</v>
      </c>
      <c r="R258" s="194" t="e">
        <f t="shared" si="175"/>
        <v>#DIV/0!</v>
      </c>
      <c r="Z258" s="1"/>
      <c r="AB258" s="70"/>
    </row>
    <row r="259" spans="1:28" ht="11.25" hidden="1">
      <c r="A259" s="4" t="str">
        <f>'[7]Input sheet'!A109</f>
        <v>Turkey</v>
      </c>
      <c r="B259" s="129" t="str">
        <f>'[7]Input sheet'!B109</f>
        <v>Salaries</v>
      </c>
      <c r="C259" s="4" t="str">
        <f>'[7]Input sheet'!C109</f>
        <v>Average Salary by Sector</v>
      </c>
      <c r="D259" s="2" t="str">
        <f>'[7]Input sheet'!D109</f>
        <v>Retail</v>
      </c>
      <c r="G259" s="1" t="str">
        <f>Home!$B$2</f>
        <v>Foriant</v>
      </c>
      <c r="H259" s="169"/>
      <c r="I259" s="169"/>
      <c r="J259" s="169"/>
      <c r="K259" s="169"/>
      <c r="L259" s="169"/>
      <c r="M259" s="169"/>
      <c r="N259" s="169" t="e">
        <f>N251*N270</f>
        <v>#DIV/0!</v>
      </c>
      <c r="O259" s="169" t="e">
        <f>O251*O270</f>
        <v>#DIV/0!</v>
      </c>
      <c r="P259" s="169" t="e">
        <f>P251*P270</f>
        <v>#DIV/0!</v>
      </c>
      <c r="Q259" s="169" t="e">
        <f>Q251*Q270</f>
        <v>#DIV/0!</v>
      </c>
      <c r="R259" s="169" t="e">
        <f>R251*R270</f>
        <v>#DIV/0!</v>
      </c>
      <c r="T259" s="1" t="str">
        <f>'[7]Input sheet'!S109</f>
        <v>New</v>
      </c>
      <c r="U259" s="1" t="str">
        <f>'[7]Input sheet'!T109</f>
        <v>Used mean salary of retail sales workers</v>
      </c>
      <c r="V259" s="1" t="e">
        <f>'[7]Input sheet'!U109</f>
        <v>#REF!</v>
      </c>
      <c r="W259" s="1">
        <f>'[7]Input sheet'!W109</f>
        <v>0</v>
      </c>
      <c r="X259" s="1">
        <f>'[7]Input sheet'!X109</f>
        <v>0</v>
      </c>
      <c r="Z259" s="1"/>
    </row>
    <row r="260" spans="1:28" ht="11.25" hidden="1">
      <c r="C260" s="164" t="s">
        <v>184</v>
      </c>
      <c r="G260" s="164" t="s">
        <v>176</v>
      </c>
      <c r="J260" s="194" t="e">
        <f t="shared" ref="J260:R260" si="176">J259/I259-1</f>
        <v>#DIV/0!</v>
      </c>
      <c r="K260" s="194" t="e">
        <f t="shared" si="176"/>
        <v>#DIV/0!</v>
      </c>
      <c r="L260" s="194" t="e">
        <f t="shared" si="176"/>
        <v>#DIV/0!</v>
      </c>
      <c r="M260" s="194" t="e">
        <f t="shared" si="176"/>
        <v>#DIV/0!</v>
      </c>
      <c r="N260" s="194" t="e">
        <f t="shared" si="176"/>
        <v>#DIV/0!</v>
      </c>
      <c r="O260" s="194" t="e">
        <f t="shared" si="176"/>
        <v>#DIV/0!</v>
      </c>
      <c r="P260" s="194" t="e">
        <f t="shared" si="176"/>
        <v>#DIV/0!</v>
      </c>
      <c r="Q260" s="194" t="e">
        <f t="shared" si="176"/>
        <v>#DIV/0!</v>
      </c>
      <c r="R260" s="194" t="e">
        <f t="shared" si="176"/>
        <v>#DIV/0!</v>
      </c>
      <c r="Z260" s="1"/>
    </row>
    <row r="261" spans="1:28" ht="11.25" hidden="1">
      <c r="A261" s="4" t="str">
        <f>'[7]Input sheet'!A110</f>
        <v>Turkey</v>
      </c>
      <c r="B261" s="129" t="str">
        <f>'[7]Input sheet'!B110</f>
        <v>Salaries</v>
      </c>
      <c r="C261" s="4" t="str">
        <f>'[7]Input sheet'!C110</f>
        <v>Average Salary by Sector</v>
      </c>
      <c r="D261" s="2" t="str">
        <f>'[7]Input sheet'!D110</f>
        <v>Transportation</v>
      </c>
      <c r="G261" s="1" t="str">
        <f>Home!$B$2</f>
        <v>Foriant</v>
      </c>
      <c r="H261" s="169"/>
      <c r="I261" s="169"/>
      <c r="J261" s="169"/>
      <c r="K261" s="169"/>
      <c r="L261" s="169"/>
      <c r="M261" s="169"/>
      <c r="N261" s="169" t="e">
        <f>N251*N271</f>
        <v>#DIV/0!</v>
      </c>
      <c r="O261" s="169" t="e">
        <f>O251*O271</f>
        <v>#DIV/0!</v>
      </c>
      <c r="P261" s="169" t="e">
        <f>P251*P271</f>
        <v>#DIV/0!</v>
      </c>
      <c r="Q261" s="169" t="e">
        <f>Q251*Q271</f>
        <v>#DIV/0!</v>
      </c>
      <c r="R261" s="169" t="e">
        <f>R251*R271</f>
        <v>#DIV/0!</v>
      </c>
      <c r="T261" s="1" t="str">
        <f>'[7]Input sheet'!S110</f>
        <v>New</v>
      </c>
      <c r="U261" s="1" t="str">
        <f>'[7]Input sheet'!T110</f>
        <v>Used mean salary of transportation and material moving occupations</v>
      </c>
      <c r="V261" s="1" t="e">
        <f>'[7]Input sheet'!U110</f>
        <v>#REF!</v>
      </c>
      <c r="W261" s="1">
        <f>'[7]Input sheet'!W110</f>
        <v>0</v>
      </c>
      <c r="X261" s="1">
        <f>'[7]Input sheet'!X110</f>
        <v>0</v>
      </c>
      <c r="Z261" s="1"/>
    </row>
    <row r="262" spans="1:28" ht="11.25" hidden="1">
      <c r="C262" s="164" t="s">
        <v>184</v>
      </c>
      <c r="G262" s="164" t="s">
        <v>176</v>
      </c>
      <c r="J262" s="194" t="e">
        <f t="shared" ref="J262:R262" si="177">J261/I261-1</f>
        <v>#DIV/0!</v>
      </c>
      <c r="K262" s="194" t="e">
        <f t="shared" si="177"/>
        <v>#DIV/0!</v>
      </c>
      <c r="L262" s="194" t="e">
        <f t="shared" si="177"/>
        <v>#DIV/0!</v>
      </c>
      <c r="M262" s="194" t="e">
        <f t="shared" si="177"/>
        <v>#DIV/0!</v>
      </c>
      <c r="N262" s="194" t="e">
        <f t="shared" si="177"/>
        <v>#DIV/0!</v>
      </c>
      <c r="O262" s="194" t="e">
        <f t="shared" si="177"/>
        <v>#DIV/0!</v>
      </c>
      <c r="P262" s="194" t="e">
        <f t="shared" si="177"/>
        <v>#DIV/0!</v>
      </c>
      <c r="Q262" s="194" t="e">
        <f t="shared" si="177"/>
        <v>#DIV/0!</v>
      </c>
      <c r="R262" s="194" t="e">
        <f t="shared" si="177"/>
        <v>#DIV/0!</v>
      </c>
      <c r="Z262" s="1"/>
    </row>
    <row r="263" spans="1:28" ht="11.25" hidden="1">
      <c r="A263" s="4" t="str">
        <f>'[7]Input sheet'!A111</f>
        <v>Turkey</v>
      </c>
      <c r="B263" s="129" t="str">
        <f>'[7]Input sheet'!B111</f>
        <v>Salaries</v>
      </c>
      <c r="C263" s="4" t="str">
        <f>'[7]Input sheet'!C111</f>
        <v>Average Salary by Sector</v>
      </c>
      <c r="D263" s="2" t="str">
        <f>'[7]Input sheet'!D111</f>
        <v>Travel Intermediation</v>
      </c>
      <c r="G263" s="1" t="str">
        <f>Home!$B$2</f>
        <v>Foriant</v>
      </c>
      <c r="H263" s="169"/>
      <c r="I263" s="169"/>
      <c r="J263" s="169"/>
      <c r="K263" s="169"/>
      <c r="L263" s="169"/>
      <c r="M263" s="169"/>
      <c r="N263" s="169" t="e">
        <f>N251*N272</f>
        <v>#DIV/0!</v>
      </c>
      <c r="O263" s="169" t="e">
        <f>O251*O272</f>
        <v>#DIV/0!</v>
      </c>
      <c r="P263" s="169" t="e">
        <f>P251*P272</f>
        <v>#DIV/0!</v>
      </c>
      <c r="Q263" s="169" t="e">
        <f>Q251*Q272</f>
        <v>#DIV/0!</v>
      </c>
      <c r="R263" s="169" t="e">
        <f>R251*R272</f>
        <v>#DIV/0!</v>
      </c>
      <c r="T263" s="1" t="str">
        <f>'[7]Input sheet'!S111</f>
        <v>New</v>
      </c>
      <c r="U263" s="1" t="str">
        <f>'[7]Input sheet'!T111</f>
        <v>Used mean salary of travel agents</v>
      </c>
      <c r="V263" s="1" t="e">
        <f>'[7]Input sheet'!U111</f>
        <v>#REF!</v>
      </c>
      <c r="W263" s="1">
        <f>'[7]Input sheet'!W111</f>
        <v>0</v>
      </c>
      <c r="X263" s="1">
        <f>'[7]Input sheet'!X111</f>
        <v>0</v>
      </c>
      <c r="Z263" s="1"/>
    </row>
    <row r="264" spans="1:28" ht="11.25" hidden="1">
      <c r="C264" s="164" t="s">
        <v>184</v>
      </c>
      <c r="G264" s="164" t="s">
        <v>176</v>
      </c>
      <c r="J264" s="194" t="e">
        <f t="shared" ref="J264:R264" si="178">J263/I263-1</f>
        <v>#DIV/0!</v>
      </c>
      <c r="K264" s="194" t="e">
        <f t="shared" si="178"/>
        <v>#DIV/0!</v>
      </c>
      <c r="L264" s="194" t="e">
        <f t="shared" si="178"/>
        <v>#DIV/0!</v>
      </c>
      <c r="M264" s="194" t="e">
        <f t="shared" si="178"/>
        <v>#DIV/0!</v>
      </c>
      <c r="N264" s="194" t="e">
        <f t="shared" si="178"/>
        <v>#DIV/0!</v>
      </c>
      <c r="O264" s="194" t="e">
        <f t="shared" si="178"/>
        <v>#DIV/0!</v>
      </c>
      <c r="P264" s="194" t="e">
        <f t="shared" si="178"/>
        <v>#DIV/0!</v>
      </c>
      <c r="Q264" s="194" t="e">
        <f t="shared" si="178"/>
        <v>#DIV/0!</v>
      </c>
      <c r="R264" s="194" t="e">
        <f t="shared" si="178"/>
        <v>#DIV/0!</v>
      </c>
      <c r="Z264" s="1"/>
    </row>
    <row r="265" spans="1:28" ht="11.25" hidden="1">
      <c r="A265" s="4" t="str">
        <f>'[7]Input sheet'!A112</f>
        <v>Turkey</v>
      </c>
      <c r="B265" s="129" t="str">
        <f>'[7]Input sheet'!B112</f>
        <v>Salaries</v>
      </c>
      <c r="C265" s="129" t="str">
        <f>'[7]Input sheet'!C112</f>
        <v>Average Salary by Sector</v>
      </c>
      <c r="D265" s="2" t="str">
        <f>'[7]Input sheet'!D112</f>
        <v>Other Sectors</v>
      </c>
      <c r="G265" s="1" t="str">
        <f>Home!$B$2</f>
        <v>Foriant</v>
      </c>
      <c r="H265" s="169"/>
      <c r="I265" s="169"/>
      <c r="J265" s="169"/>
      <c r="K265" s="169"/>
      <c r="L265" s="169"/>
      <c r="M265" s="169"/>
      <c r="N265" s="169" t="e">
        <f>N251*N273</f>
        <v>#DIV/0!</v>
      </c>
      <c r="O265" s="169" t="e">
        <f>O251*O273</f>
        <v>#DIV/0!</v>
      </c>
      <c r="P265" s="169" t="e">
        <f>P251*P273</f>
        <v>#DIV/0!</v>
      </c>
      <c r="Q265" s="169" t="e">
        <f>Q251*Q273</f>
        <v>#DIV/0!</v>
      </c>
      <c r="R265" s="169" t="e">
        <f>R251*R273</f>
        <v>#DIV/0!</v>
      </c>
      <c r="T265" s="1" t="str">
        <f>'[7]Input sheet'!S112</f>
        <v>New</v>
      </c>
      <c r="U265" s="1" t="str">
        <f>'[7]Input sheet'!T112</f>
        <v>Used national average salary</v>
      </c>
      <c r="V265" s="1" t="e">
        <f>'[7]Input sheet'!U112</f>
        <v>#REF!</v>
      </c>
      <c r="W265" s="1">
        <f>'[7]Input sheet'!W112</f>
        <v>0</v>
      </c>
      <c r="X265" s="1">
        <f>'[7]Input sheet'!X112</f>
        <v>0</v>
      </c>
      <c r="Z265" s="1"/>
    </row>
    <row r="266" spans="1:28" ht="11.25" hidden="1">
      <c r="C266" s="164" t="s">
        <v>184</v>
      </c>
      <c r="G266" s="164" t="s">
        <v>176</v>
      </c>
      <c r="J266" s="194" t="e">
        <f t="shared" ref="J266:R266" si="179">J265/I265-1</f>
        <v>#DIV/0!</v>
      </c>
      <c r="K266" s="194" t="e">
        <f t="shared" si="179"/>
        <v>#DIV/0!</v>
      </c>
      <c r="L266" s="194" t="e">
        <f t="shared" si="179"/>
        <v>#DIV/0!</v>
      </c>
      <c r="M266" s="194" t="e">
        <f t="shared" si="179"/>
        <v>#DIV/0!</v>
      </c>
      <c r="N266" s="194" t="e">
        <f t="shared" si="179"/>
        <v>#DIV/0!</v>
      </c>
      <c r="O266" s="194" t="e">
        <f t="shared" si="179"/>
        <v>#DIV/0!</v>
      </c>
      <c r="P266" s="194" t="e">
        <f t="shared" si="179"/>
        <v>#DIV/0!</v>
      </c>
      <c r="Q266" s="194" t="e">
        <f t="shared" si="179"/>
        <v>#DIV/0!</v>
      </c>
      <c r="R266" s="194" t="e">
        <f t="shared" si="179"/>
        <v>#DIV/0!</v>
      </c>
      <c r="Z266" s="1"/>
    </row>
    <row r="267" spans="1:28" ht="11.25" hidden="1" outlineLevel="1">
      <c r="A267" s="34"/>
      <c r="B267" s="34"/>
      <c r="C267" s="34"/>
      <c r="D267" s="175" t="s">
        <v>36</v>
      </c>
      <c r="E267" s="34"/>
      <c r="F267" s="34"/>
      <c r="G267" s="34"/>
      <c r="H267" s="34" t="e">
        <f>'[7]Input sheet'!G106/'[7]Input sheet'!G$105</f>
        <v>#VALUE!</v>
      </c>
      <c r="I267" s="34">
        <f>'[7]Input sheet'!H106/'[7]Input sheet'!H$105</f>
        <v>0.77554771722349758</v>
      </c>
      <c r="J267" s="34">
        <f>'[7]Input sheet'!I106/'[7]Input sheet'!I$105</f>
        <v>0.78010567184599966</v>
      </c>
      <c r="K267" s="34">
        <f>'[7]Input sheet'!J106/'[7]Input sheet'!J$105</f>
        <v>0.77907357045449077</v>
      </c>
      <c r="L267" s="34">
        <f>'[7]Input sheet'!K106/'[7]Input sheet'!K$105</f>
        <v>0.78376685284279357</v>
      </c>
      <c r="M267" s="34">
        <f>'[7]Input sheet'!L106/'[7]Input sheet'!L$105</f>
        <v>0.78852840246953226</v>
      </c>
      <c r="N267" s="34">
        <f>M267*(1+(((M267/I267)^(1/4))-1))*1.001</f>
        <v>0.79259918756111791</v>
      </c>
      <c r="O267" s="34">
        <f>N267*(1+(((N267/J267)^(1/4))-1))*0.9999</f>
        <v>0.79567413019644218</v>
      </c>
      <c r="P267" s="34">
        <f>O267*(1+(((O267/K267)^(1/4))-1)*1.1)</f>
        <v>0.80029975990231972</v>
      </c>
      <c r="Q267" s="34">
        <f>P267*(1+(((P267/L267)^(1/4))-1))*0.998</f>
        <v>0.80287821939000603</v>
      </c>
      <c r="R267" s="34">
        <f>Q267*(1+(((Q267/M267)^(1/4))-1))*1.003</f>
        <v>0.80892581163579946</v>
      </c>
      <c r="Z267" s="1"/>
    </row>
    <row r="268" spans="1:28" ht="11.25" hidden="1" outlineLevel="1">
      <c r="A268" s="34"/>
      <c r="B268" s="34"/>
      <c r="C268" s="34"/>
      <c r="D268" s="175" t="s">
        <v>37</v>
      </c>
      <c r="E268" s="34"/>
      <c r="F268" s="34"/>
      <c r="G268" s="34"/>
      <c r="H268" s="34" t="e">
        <f>'[7]Input sheet'!G107/'[7]Input sheet'!G$105</f>
        <v>#VALUE!</v>
      </c>
      <c r="I268" s="34">
        <f>'[7]Input sheet'!H107/'[7]Input sheet'!H$105</f>
        <v>1.2072339950619704</v>
      </c>
      <c r="J268" s="34">
        <f>'[7]Input sheet'!I107/'[7]Input sheet'!I$105</f>
        <v>1.2060116817764799</v>
      </c>
      <c r="K268" s="34">
        <f>'[7]Input sheet'!J107/'[7]Input sheet'!J$105</f>
        <v>1.2104082148232118</v>
      </c>
      <c r="L268" s="34">
        <f>'[7]Input sheet'!K107/'[7]Input sheet'!K$105</f>
        <v>1.203540634805959</v>
      </c>
      <c r="M268" s="34">
        <f>'[7]Input sheet'!L107/'[7]Input sheet'!L$105</f>
        <v>1.2053731620567063</v>
      </c>
      <c r="N268" s="34">
        <f>M268*(1+(((M268/I268)^(1/4))-1))*1.001</f>
        <v>1.2061133105509656</v>
      </c>
      <c r="O268" s="34">
        <f>N268*(1+(((N268/J268)^(1/4))-1))*1.002</f>
        <v>1.2085509965208652</v>
      </c>
      <c r="P268" s="34">
        <f>O268*(1+(((O268/K268)^(1/4))-1))*1.002</f>
        <v>1.2105033116513466</v>
      </c>
      <c r="Q268" s="34">
        <f>P268*(1+(((P268/L268)^(1/4))-1))*0.999</f>
        <v>1.211038015300183</v>
      </c>
      <c r="R268" s="34">
        <f>Q268*(1+(((Q268/M268)^(1/4))-1))*1.003</f>
        <v>1.2160957587167334</v>
      </c>
      <c r="Z268" s="1"/>
    </row>
    <row r="269" spans="1:28" ht="11.25" hidden="1" outlineLevel="1">
      <c r="A269" s="34"/>
      <c r="B269" s="34"/>
      <c r="C269" s="34"/>
      <c r="D269" s="175" t="s">
        <v>38</v>
      </c>
      <c r="E269" s="34"/>
      <c r="F269" s="34"/>
      <c r="G269" s="34"/>
      <c r="H269" s="34" t="e">
        <f>'[7]Input sheet'!G108/'[7]Input sheet'!G$105</f>
        <v>#VALUE!</v>
      </c>
      <c r="I269" s="34">
        <f>'[7]Input sheet'!H108/'[7]Input sheet'!H$105</f>
        <v>0.74680607346685779</v>
      </c>
      <c r="J269" s="34">
        <f>'[7]Input sheet'!I108/'[7]Input sheet'!I$105</f>
        <v>0.74898137315118007</v>
      </c>
      <c r="K269" s="34">
        <f>'[7]Input sheet'!J108/'[7]Input sheet'!J$105</f>
        <v>0.74065721036158849</v>
      </c>
      <c r="L269" s="34">
        <f>'[7]Input sheet'!K108/'[7]Input sheet'!K$105</f>
        <v>0.73788489985065042</v>
      </c>
      <c r="M269" s="34">
        <f>'[7]Input sheet'!L108/'[7]Input sheet'!L$105</f>
        <v>0.7403828231954811</v>
      </c>
      <c r="N269" s="34">
        <f>M269*(1+(((M269/I269)^(1/4))-1))*1.002</f>
        <v>0.74026323278959405</v>
      </c>
      <c r="O269" s="34">
        <f>N269*(1+(((N269/J269)^(1/4))-1))*0.999</f>
        <v>0.73736150058942085</v>
      </c>
      <c r="P269" s="34">
        <f>O269*(1+(((O269/K269)^(1/4))-1))*0.992</f>
        <v>0.73064754816242261</v>
      </c>
      <c r="Q269" s="34">
        <f>P269*(1+(((P269/L269)^(1/4))-1))*0.995</f>
        <v>0.72520508242151527</v>
      </c>
      <c r="R269" s="34">
        <f>Q269*(1+(((Q269/M269)^(1/4))-1))*0.999</f>
        <v>0.72073805498600696</v>
      </c>
      <c r="Z269" s="1"/>
    </row>
    <row r="270" spans="1:28" ht="11.25" hidden="1" outlineLevel="1">
      <c r="A270" s="34"/>
      <c r="B270" s="34"/>
      <c r="C270" s="34"/>
      <c r="D270" s="175" t="s">
        <v>39</v>
      </c>
      <c r="E270" s="34"/>
      <c r="F270" s="34"/>
      <c r="G270" s="34"/>
      <c r="H270" s="34" t="e">
        <f>'[7]Input sheet'!G109/'[7]Input sheet'!G$105</f>
        <v>#VALUE!</v>
      </c>
      <c r="I270" s="34">
        <f>'[7]Input sheet'!H109/'[7]Input sheet'!H$105</f>
        <v>0.96793466419350838</v>
      </c>
      <c r="J270" s="34">
        <f>'[7]Input sheet'!I109/'[7]Input sheet'!I$105</f>
        <v>0.95944431197809921</v>
      </c>
      <c r="K270" s="34">
        <f>'[7]Input sheet'!J109/'[7]Input sheet'!J$105</f>
        <v>0.96872541542435842</v>
      </c>
      <c r="L270" s="34">
        <f>'[7]Input sheet'!K109/'[7]Input sheet'!K$105</f>
        <v>0.96980723833560445</v>
      </c>
      <c r="M270" s="34">
        <f>'[7]Input sheet'!L109/'[7]Input sheet'!L$105</f>
        <v>0.96629103173152908</v>
      </c>
      <c r="N270" s="34">
        <f>M270*(1+(((M270/I270)^(1/4))-1))*1.002</f>
        <v>0.96781232101840642</v>
      </c>
      <c r="O270" s="34">
        <f>N270*(1+(((N270/J270)^(1/4))-1))*1.003</f>
        <v>0.97282544928173342</v>
      </c>
      <c r="P270" s="34">
        <f>O270*(1+(((O270/K270)^(1/4))-1))*1.001</f>
        <v>0.97482701945263761</v>
      </c>
      <c r="Q270" s="34">
        <f>P270*(1+(((P270/L270)^(1/4))-1))*0.998</f>
        <v>0.97413384724732477</v>
      </c>
      <c r="R270" s="34">
        <f>Q270*(1+(((Q270/M270)^(1/4))-1)*0.2)</f>
        <v>0.97452797323592832</v>
      </c>
      <c r="Z270" s="1"/>
    </row>
    <row r="271" spans="1:28" ht="11.25" hidden="1" outlineLevel="1">
      <c r="A271" s="34"/>
      <c r="B271" s="34"/>
      <c r="C271" s="34"/>
      <c r="D271" s="175" t="s">
        <v>40</v>
      </c>
      <c r="E271" s="34"/>
      <c r="F271" s="34"/>
      <c r="G271" s="34"/>
      <c r="H271" s="34" t="e">
        <f>'[7]Input sheet'!G110/'[7]Input sheet'!G$105</f>
        <v>#VALUE!</v>
      </c>
      <c r="I271" s="34">
        <f>'[7]Input sheet'!H110/'[7]Input sheet'!H$105</f>
        <v>1.0063486298731876</v>
      </c>
      <c r="J271" s="34">
        <f>'[7]Input sheet'!I110/'[7]Input sheet'!I$105</f>
        <v>1.0023872827442251</v>
      </c>
      <c r="K271" s="34">
        <f>'[7]Input sheet'!J110/'[7]Input sheet'!J$105</f>
        <v>1.0030473289649422</v>
      </c>
      <c r="L271" s="34">
        <f>'[7]Input sheet'!K110/'[7]Input sheet'!K$105</f>
        <v>1.0211028450907875</v>
      </c>
      <c r="M271" s="34">
        <f>'[7]Input sheet'!L110/'[7]Input sheet'!L$105</f>
        <v>1.0186940467312675</v>
      </c>
      <c r="N271" s="34">
        <f>M271*(1+(((M271/I271)^(1/4))-1))*0.995</f>
        <v>1.0166949725200072</v>
      </c>
      <c r="O271" s="34">
        <f>N271*(1+(((N271/J271)^(1/4))-1)*0.2)</f>
        <v>1.0174167163280858</v>
      </c>
      <c r="P271" s="34">
        <f>O271*(1+(((O271/K271)^(1/4))-1))*0.996</f>
        <v>1.0169569486125374</v>
      </c>
      <c r="Q271" s="34">
        <f>P271*(1+(((P271/L271)^(1/4))-1))*0.999</f>
        <v>1.014907184252122</v>
      </c>
      <c r="R271" s="34">
        <f>Q271*(1+(((Q271/M271)^(1/4))-1))</f>
        <v>1.0139626702373397</v>
      </c>
      <c r="Z271" s="1"/>
    </row>
    <row r="272" spans="1:28" ht="11.25" hidden="1" outlineLevel="1">
      <c r="A272" s="34"/>
      <c r="B272" s="34"/>
      <c r="C272" s="34"/>
      <c r="D272" s="175" t="s">
        <v>41</v>
      </c>
      <c r="E272" s="34"/>
      <c r="F272" s="34"/>
      <c r="G272" s="34"/>
      <c r="H272" s="34" t="e">
        <f>'[7]Input sheet'!G111/'[7]Input sheet'!G$105</f>
        <v>#VALUE!</v>
      </c>
      <c r="I272" s="34">
        <f>'[7]Input sheet'!H111/'[7]Input sheet'!H$105</f>
        <v>1.344072601976777</v>
      </c>
      <c r="J272" s="34">
        <f>'[7]Input sheet'!I111/'[7]Input sheet'!I$105</f>
        <v>1.3586647516464105</v>
      </c>
      <c r="K272" s="34">
        <f>'[7]Input sheet'!J111/'[7]Input sheet'!J$105</f>
        <v>1.3488542053029866</v>
      </c>
      <c r="L272" s="34">
        <f>'[7]Input sheet'!K111/'[7]Input sheet'!K$105</f>
        <v>1.3490443956969989</v>
      </c>
      <c r="M272" s="34">
        <f>'[7]Input sheet'!L111/'[7]Input sheet'!L$105</f>
        <v>1.3475711768775127</v>
      </c>
      <c r="N272" s="34">
        <f>M272*(1+(((M272/I272)^(1/4))-1))*0.995</f>
        <v>1.3417050063820912</v>
      </c>
      <c r="O272" s="34">
        <f>N272*(1+(((N272/J272)^(1/4))-1))*1.01</f>
        <v>1.350873234927338</v>
      </c>
      <c r="P272" s="34">
        <f>O272*(1+(((O272/K272)^(1/4))-1)*-0.2)*101%</f>
        <v>1.3642799109286874</v>
      </c>
      <c r="Q272" s="34">
        <f>P272*(1+(((P272/L272)^(1/4))-1))*1.001</f>
        <v>1.3694837146802479</v>
      </c>
      <c r="R272" s="34">
        <f>Q272*(1+(((Q272/M272)^(1/4))-1))*0.999</f>
        <v>1.3736422812616254</v>
      </c>
      <c r="Z272" s="1"/>
    </row>
    <row r="273" spans="1:16382" ht="11.25" hidden="1" outlineLevel="1">
      <c r="A273" s="34"/>
      <c r="B273" s="34"/>
      <c r="C273" s="34"/>
      <c r="D273" s="175" t="s">
        <v>42</v>
      </c>
      <c r="E273" s="34"/>
      <c r="F273" s="34"/>
      <c r="G273" s="34"/>
      <c r="H273" s="34" t="e">
        <f>'[7]Input sheet'!G112/'[7]Input sheet'!G$105</f>
        <v>#VALUE!</v>
      </c>
      <c r="I273" s="34">
        <f>'[7]Input sheet'!H112/'[7]Input sheet'!H$105</f>
        <v>1.1435645726333732</v>
      </c>
      <c r="J273" s="34">
        <f>'[7]Input sheet'!I112/'[7]Input sheet'!I$105</f>
        <v>1.144646737235272</v>
      </c>
      <c r="K273" s="34">
        <f>'[7]Input sheet'!J112/'[7]Input sheet'!J$105</f>
        <v>1.1511103303147252</v>
      </c>
      <c r="L273" s="34">
        <f>'[7]Input sheet'!K112/'[7]Input sheet'!K$105</f>
        <v>1.1390604890436646</v>
      </c>
      <c r="M273" s="34">
        <f>'[7]Input sheet'!L112/'[7]Input sheet'!L$105</f>
        <v>1.1404593547468671</v>
      </c>
      <c r="N273" s="34">
        <f>M273*(1+(((M273/I273)^(1/4))-1))*0.998</f>
        <v>1.1374049999117353</v>
      </c>
      <c r="O273" s="34">
        <f>N273*(1+(((N273/J273)^(1/4))-1)*0.2)</f>
        <v>1.137044347056114</v>
      </c>
      <c r="P273" s="34">
        <f>O273*(1+(((O273/K273)^(1/4))-1))*1.008</f>
        <v>1.1426232281637132</v>
      </c>
      <c r="Q273" s="34">
        <f>P273*(1+(((P273/L273)^(1/4))-1))*0.9999</f>
        <v>1.1434013011892386</v>
      </c>
      <c r="R273" s="34">
        <f>Q273*(1+(((Q273/M273)^(1/4))-1))*1.006</f>
        <v>1.1510028006682949</v>
      </c>
      <c r="Z273" s="1"/>
    </row>
    <row r="274" spans="1:16382" hidden="1">
      <c r="A274" s="195"/>
      <c r="B274" s="195"/>
      <c r="C274" s="195"/>
      <c r="D274" s="196" t="s">
        <v>351</v>
      </c>
      <c r="E274" s="197" t="s">
        <v>352</v>
      </c>
      <c r="F274" s="197"/>
      <c r="G274" s="197"/>
      <c r="H274" s="197"/>
      <c r="I274" s="197"/>
      <c r="J274" s="197"/>
      <c r="K274" s="197"/>
      <c r="L274" s="198"/>
      <c r="M274" s="199"/>
      <c r="N274" s="200"/>
      <c r="O274" s="200"/>
      <c r="P274" s="200"/>
      <c r="Q274" s="200"/>
      <c r="R274" s="200"/>
      <c r="S274" s="200"/>
      <c r="Z274" s="1"/>
    </row>
    <row r="275" spans="1:16382" hidden="1">
      <c r="A275" s="23"/>
      <c r="B275" s="23"/>
      <c r="C275" s="23"/>
      <c r="D275" s="23" t="s">
        <v>353</v>
      </c>
      <c r="E275" s="41" t="e">
        <f>S276/$S$281</f>
        <v>#DIV/0!</v>
      </c>
      <c r="F275" s="25"/>
      <c r="G275" s="25"/>
      <c r="H275" s="26">
        <f t="shared" ref="H275" si="180">H472</f>
        <v>463.625</v>
      </c>
      <c r="I275" s="26">
        <f t="shared" ref="I275:R275" si="181">I472</f>
        <v>486.61200000000002</v>
      </c>
      <c r="J275" s="26">
        <f t="shared" si="181"/>
        <v>406.41199999999998</v>
      </c>
      <c r="K275" s="26">
        <f t="shared" si="181"/>
        <v>462.46</v>
      </c>
      <c r="L275" s="26">
        <f t="shared" si="181"/>
        <v>538.62400000000002</v>
      </c>
      <c r="M275" s="26">
        <f t="shared" si="181"/>
        <v>526.19200000000001</v>
      </c>
      <c r="N275" s="26">
        <f t="shared" si="181"/>
        <v>576.01099999999997</v>
      </c>
      <c r="O275" s="26">
        <f t="shared" si="181"/>
        <v>602.94500000000005</v>
      </c>
      <c r="P275" s="26">
        <f t="shared" si="181"/>
        <v>632.94399999999996</v>
      </c>
      <c r="Q275" s="26">
        <f t="shared" si="181"/>
        <v>663.83399999999995</v>
      </c>
      <c r="R275" s="26">
        <f t="shared" si="181"/>
        <v>696.45500000000004</v>
      </c>
      <c r="S275" s="22" t="s">
        <v>182</v>
      </c>
      <c r="Z275" s="1"/>
    </row>
    <row r="276" spans="1:16382" ht="12.75" hidden="1">
      <c r="A276" s="28"/>
      <c r="B276" s="28"/>
      <c r="C276" s="28"/>
      <c r="D276" s="28" t="s">
        <v>184</v>
      </c>
      <c r="E276" s="28"/>
      <c r="F276" s="28"/>
      <c r="G276" s="28"/>
      <c r="H276" s="28"/>
      <c r="I276" s="28"/>
      <c r="J276" s="30">
        <f t="shared" ref="J276:R276" si="182">J275/I275-1</f>
        <v>-0.16481303379283707</v>
      </c>
      <c r="K276" s="30">
        <f t="shared" si="182"/>
        <v>0.13790931370136716</v>
      </c>
      <c r="L276" s="30">
        <f t="shared" si="182"/>
        <v>0.16469316265190503</v>
      </c>
      <c r="M276" s="30">
        <f t="shared" si="182"/>
        <v>-2.3081036121673004E-2</v>
      </c>
      <c r="N276" s="30">
        <f t="shared" si="182"/>
        <v>9.4678368352236308E-2</v>
      </c>
      <c r="O276" s="30">
        <f t="shared" si="182"/>
        <v>4.6759523689651861E-2</v>
      </c>
      <c r="P276" s="30">
        <f t="shared" si="182"/>
        <v>4.9754123510436177E-2</v>
      </c>
      <c r="Q276" s="30">
        <f t="shared" si="182"/>
        <v>4.8803685634116079E-2</v>
      </c>
      <c r="R276" s="30">
        <f t="shared" si="182"/>
        <v>4.9140297122473475E-2</v>
      </c>
      <c r="S276" s="201" t="e">
        <f>CORREL(I275:L275,$I$251:$L$251)</f>
        <v>#DIV/0!</v>
      </c>
      <c r="Z276" s="1"/>
    </row>
    <row r="277" spans="1:16382" hidden="1">
      <c r="A277" s="25"/>
      <c r="B277" s="25"/>
      <c r="C277" s="25"/>
      <c r="D277" s="25" t="s">
        <v>354</v>
      </c>
      <c r="E277" s="41" t="e">
        <f>S278/$S$281</f>
        <v>#DIV/0!</v>
      </c>
      <c r="F277" s="25"/>
      <c r="G277" s="25"/>
      <c r="H277" s="24">
        <f>H512</f>
        <v>2.2120000000000001E-2</v>
      </c>
      <c r="I277" s="24">
        <f>I512</f>
        <v>3.4369999999999998E-2</v>
      </c>
      <c r="J277" s="24">
        <f t="shared" ref="J277:R277" si="183">J512</f>
        <v>-4.9399999999999999E-3</v>
      </c>
      <c r="K277" s="24">
        <f t="shared" si="183"/>
        <v>1.158E-2</v>
      </c>
      <c r="L277" s="24">
        <f t="shared" si="183"/>
        <v>2.9609999999999997E-2</v>
      </c>
      <c r="M277" s="24">
        <f t="shared" si="183"/>
        <v>8.8800000000000007E-3</v>
      </c>
      <c r="N277" s="24">
        <f t="shared" si="183"/>
        <v>3.0000000000000001E-3</v>
      </c>
      <c r="O277" s="24">
        <f t="shared" si="183"/>
        <v>2.3E-2</v>
      </c>
      <c r="P277" s="24">
        <f t="shared" si="183"/>
        <v>2.6000000000000002E-2</v>
      </c>
      <c r="Q277" s="24">
        <f t="shared" si="183"/>
        <v>2.4E-2</v>
      </c>
      <c r="R277" s="24">
        <f t="shared" si="183"/>
        <v>2.1000000000000001E-2</v>
      </c>
      <c r="S277" s="27"/>
      <c r="Y277" s="200"/>
      <c r="Z277" s="1"/>
    </row>
    <row r="278" spans="1:16382" ht="12.75" hidden="1">
      <c r="A278" s="28"/>
      <c r="B278" s="28"/>
      <c r="C278" s="28"/>
      <c r="D278" s="28" t="s">
        <v>184</v>
      </c>
      <c r="E278" s="28"/>
      <c r="F278" s="28"/>
      <c r="G278" s="28"/>
      <c r="H278" s="28"/>
      <c r="I278" s="28"/>
      <c r="J278" s="29">
        <f t="shared" ref="J278:R278" si="184">J277/I277-1</f>
        <v>-1.143729997090486</v>
      </c>
      <c r="K278" s="29">
        <f t="shared" si="184"/>
        <v>-3.3441295546558707</v>
      </c>
      <c r="L278" s="29">
        <f t="shared" si="184"/>
        <v>1.5569948186528495</v>
      </c>
      <c r="M278" s="29">
        <f t="shared" si="184"/>
        <v>-0.7001013171225936</v>
      </c>
      <c r="N278" s="29">
        <f t="shared" si="184"/>
        <v>-0.66216216216216217</v>
      </c>
      <c r="O278" s="29">
        <f t="shared" si="184"/>
        <v>6.6666666666666661</v>
      </c>
      <c r="P278" s="29">
        <f t="shared" si="184"/>
        <v>0.13043478260869579</v>
      </c>
      <c r="Q278" s="29">
        <f t="shared" si="184"/>
        <v>-7.6923076923076983E-2</v>
      </c>
      <c r="R278" s="29">
        <f t="shared" si="184"/>
        <v>-0.125</v>
      </c>
      <c r="S278" s="202" t="e">
        <f>CORREL(I278:L278,$I$251:$L$251)</f>
        <v>#DIV/0!</v>
      </c>
      <c r="Y278" s="22"/>
      <c r="Z278" s="1"/>
    </row>
    <row r="279" spans="1:16382" hidden="1">
      <c r="A279" s="25"/>
      <c r="B279" s="25"/>
      <c r="C279" s="25"/>
      <c r="D279" s="25" t="s">
        <v>355</v>
      </c>
      <c r="E279" s="41" t="e">
        <f>S280/$S$281</f>
        <v>#DIV/0!</v>
      </c>
      <c r="F279" s="25"/>
      <c r="G279" s="25"/>
      <c r="H279" s="24">
        <f>H510</f>
        <v>6.1170000000000002E-2</v>
      </c>
      <c r="I279" s="24">
        <f>I510</f>
        <v>6.1669999999999996E-2</v>
      </c>
      <c r="J279" s="24">
        <f t="shared" ref="J279:R279" si="185">J510</f>
        <v>8.3000000000000004E-2</v>
      </c>
      <c r="K279" s="24">
        <f t="shared" si="185"/>
        <v>8.5749999999999993E-2</v>
      </c>
      <c r="L279" s="24">
        <f t="shared" si="185"/>
        <v>7.8E-2</v>
      </c>
      <c r="M279" s="24">
        <f t="shared" si="185"/>
        <v>7.9000000000000001E-2</v>
      </c>
      <c r="N279" s="24">
        <f t="shared" si="185"/>
        <v>8.1000000000000003E-2</v>
      </c>
      <c r="O279" s="24">
        <f t="shared" si="185"/>
        <v>7.8E-2</v>
      </c>
      <c r="P279" s="24">
        <f t="shared" si="185"/>
        <v>6.9000000000000006E-2</v>
      </c>
      <c r="Q279" s="24">
        <f t="shared" si="185"/>
        <v>6.6000000000000003E-2</v>
      </c>
      <c r="R279" s="24">
        <f t="shared" si="185"/>
        <v>6.5000000000000002E-2</v>
      </c>
      <c r="S279" s="25"/>
      <c r="Y279" s="201"/>
      <c r="Z279" s="1"/>
    </row>
    <row r="280" spans="1:16382" ht="12.75" hidden="1">
      <c r="A280" s="28"/>
      <c r="B280" s="28"/>
      <c r="C280" s="28"/>
      <c r="D280" s="28" t="s">
        <v>184</v>
      </c>
      <c r="E280" s="28"/>
      <c r="F280" s="28"/>
      <c r="G280" s="28"/>
      <c r="H280" s="29"/>
      <c r="I280" s="29"/>
      <c r="J280" s="29">
        <f t="shared" ref="J280:R280" si="186">J279/I279-1</f>
        <v>0.34587319604345734</v>
      </c>
      <c r="K280" s="29">
        <f t="shared" si="186"/>
        <v>3.3132530120481896E-2</v>
      </c>
      <c r="L280" s="29">
        <f t="shared" si="186"/>
        <v>-9.0379008746355627E-2</v>
      </c>
      <c r="M280" s="29">
        <f t="shared" si="186"/>
        <v>1.2820512820512775E-2</v>
      </c>
      <c r="N280" s="29">
        <f t="shared" si="186"/>
        <v>2.5316455696202445E-2</v>
      </c>
      <c r="O280" s="29">
        <f t="shared" si="186"/>
        <v>-3.703703703703709E-2</v>
      </c>
      <c r="P280" s="29">
        <f t="shared" si="186"/>
        <v>-0.11538461538461531</v>
      </c>
      <c r="Q280" s="29">
        <f t="shared" si="186"/>
        <v>-4.3478260869565299E-2</v>
      </c>
      <c r="R280" s="29">
        <f t="shared" si="186"/>
        <v>-1.5151515151515138E-2</v>
      </c>
      <c r="S280" s="27" t="e">
        <f>CORREL(I279:L279,$I$251:$L$251)</f>
        <v>#DIV/0!</v>
      </c>
      <c r="Y280" s="27"/>
      <c r="Z280" s="1"/>
    </row>
    <row r="281" spans="1:16382" ht="11.25" hidden="1">
      <c r="C281" s="164"/>
      <c r="G281" s="164"/>
      <c r="J281" s="182"/>
      <c r="K281" s="182"/>
      <c r="L281" s="182"/>
      <c r="M281" s="182"/>
      <c r="S281" s="1" t="e">
        <f>S280+S278+S276</f>
        <v>#DIV/0!</v>
      </c>
      <c r="Y281" s="202"/>
      <c r="Z281" s="1"/>
    </row>
    <row r="282" spans="1:16382" customFormat="1" hidden="1">
      <c r="A282" s="125" t="str">
        <f>'[7]Input sheet'!A113</f>
        <v>Turkey</v>
      </c>
      <c r="B282" s="125" t="str">
        <f>'[7]Input sheet'!B113</f>
        <v>Salaries</v>
      </c>
      <c r="C282" s="134" t="str">
        <f>'[7]Input sheet'!C113</f>
        <v>Total Gross Income Generated by Total Tourism Employment by Sector</v>
      </c>
      <c r="D282" s="135"/>
      <c r="E282" s="135"/>
      <c r="F282" s="135"/>
      <c r="G282" s="261" t="str">
        <f>Home!$B$2&amp;" Million"</f>
        <v>Foriant Million</v>
      </c>
      <c r="H282" s="173">
        <f t="shared" ref="H282" si="187">H284+H286+H288+H290+H292+H294+H296</f>
        <v>0</v>
      </c>
      <c r="I282" s="173">
        <f t="shared" ref="I282:M282" si="188">I284+I286+I288+I290+I292+I294+I296</f>
        <v>0</v>
      </c>
      <c r="J282" s="173">
        <f t="shared" si="188"/>
        <v>0</v>
      </c>
      <c r="K282" s="173">
        <f t="shared" si="188"/>
        <v>0</v>
      </c>
      <c r="L282" s="173">
        <f>L284+L286+L288+L290+L292+L294+L296</f>
        <v>0</v>
      </c>
      <c r="M282" s="173">
        <f t="shared" si="188"/>
        <v>0</v>
      </c>
      <c r="N282" s="173" t="e">
        <f>N284+N286+N288+N290+N292+N294+N296</f>
        <v>#DIV/0!</v>
      </c>
      <c r="O282" s="173" t="e">
        <f>O284+O286+O288+O290+O292+O294+O296</f>
        <v>#DIV/0!</v>
      </c>
      <c r="P282" s="173" t="e">
        <f>P284+P286+P288+P290+P292+P294+P296</f>
        <v>#DIV/0!</v>
      </c>
      <c r="Q282" s="173" t="e">
        <f>Q284+Q286+Q288+Q290+Q292+Q294+Q296</f>
        <v>#DIV/0!</v>
      </c>
      <c r="R282" s="173" t="e">
        <f>R284+R286+R288+R290+R292+R294+R296</f>
        <v>#DIV/0!</v>
      </c>
      <c r="AG282" s="173"/>
      <c r="AH282" s="173"/>
      <c r="AI282" s="173"/>
      <c r="AJ282" s="125"/>
      <c r="AK282" s="125"/>
      <c r="AL282" s="134"/>
      <c r="AM282" s="135"/>
      <c r="AN282" s="135"/>
      <c r="AO282" s="135"/>
      <c r="AP282" s="135"/>
      <c r="AQ282" s="173"/>
      <c r="AR282" s="173"/>
      <c r="AS282" s="173"/>
      <c r="AT282" s="173"/>
      <c r="AU282" s="173"/>
      <c r="AV282" s="173"/>
      <c r="AW282" s="173"/>
      <c r="AX282" s="173"/>
      <c r="AY282" s="173"/>
      <c r="AZ282" s="173"/>
      <c r="BA282" s="125"/>
      <c r="BB282" s="125"/>
      <c r="BC282" s="134"/>
      <c r="BD282" s="135"/>
      <c r="BE282" s="135"/>
      <c r="BF282" s="135"/>
      <c r="BG282" s="135"/>
      <c r="BH282" s="173"/>
      <c r="BI282" s="173"/>
      <c r="BJ282" s="173"/>
      <c r="BK282" s="173"/>
      <c r="BL282" s="173"/>
      <c r="BM282" s="173"/>
      <c r="BN282" s="173"/>
      <c r="BO282" s="173"/>
      <c r="BP282" s="173"/>
      <c r="BQ282" s="173"/>
      <c r="BR282" s="125"/>
      <c r="BS282" s="125"/>
      <c r="BT282" s="134"/>
      <c r="BU282" s="135"/>
      <c r="BV282" s="135"/>
      <c r="BW282" s="135"/>
      <c r="BX282" s="135"/>
      <c r="BY282" s="173"/>
      <c r="BZ282" s="173"/>
      <c r="CA282" s="173"/>
      <c r="CB282" s="173"/>
      <c r="CC282" s="173"/>
      <c r="CD282" s="173"/>
      <c r="CE282" s="173"/>
      <c r="CF282" s="173"/>
      <c r="CG282" s="173"/>
      <c r="CH282" s="173"/>
      <c r="CI282" s="125"/>
      <c r="CJ282" s="125"/>
      <c r="CK282" s="134"/>
      <c r="CL282" s="135"/>
      <c r="CM282" s="135"/>
      <c r="CN282" s="135"/>
      <c r="CO282" s="135"/>
      <c r="CP282" s="173"/>
      <c r="CQ282" s="173"/>
      <c r="CR282" s="173"/>
      <c r="CS282" s="173"/>
      <c r="CT282" s="173"/>
      <c r="CU282" s="173"/>
      <c r="CV282" s="173"/>
      <c r="CW282" s="173"/>
      <c r="CX282" s="173"/>
      <c r="CY282" s="173"/>
      <c r="CZ282" s="125"/>
      <c r="DA282" s="125"/>
      <c r="DB282" s="134"/>
      <c r="DC282" s="135"/>
      <c r="DD282" s="135"/>
      <c r="DE282" s="135"/>
      <c r="DF282" s="135"/>
      <c r="DG282" s="173"/>
      <c r="DH282" s="173"/>
      <c r="DI282" s="173"/>
      <c r="DJ282" s="173"/>
      <c r="DK282" s="173"/>
      <c r="DL282" s="173"/>
      <c r="DM282" s="173"/>
      <c r="DN282" s="173"/>
      <c r="DO282" s="173"/>
      <c r="DP282" s="173"/>
      <c r="DQ282" s="125"/>
      <c r="DR282" s="125"/>
      <c r="DS282" s="134"/>
      <c r="DT282" s="135"/>
      <c r="DU282" s="135"/>
      <c r="DV282" s="135"/>
      <c r="DW282" s="135"/>
      <c r="DX282" s="173"/>
      <c r="DY282" s="173"/>
      <c r="DZ282" s="173"/>
      <c r="EA282" s="173"/>
      <c r="EB282" s="173"/>
      <c r="EC282" s="173"/>
      <c r="ED282" s="173"/>
      <c r="EE282" s="173"/>
      <c r="EF282" s="173"/>
      <c r="EG282" s="173"/>
      <c r="EH282" s="125"/>
      <c r="EI282" s="125"/>
      <c r="EJ282" s="134"/>
      <c r="EK282" s="135"/>
      <c r="EL282" s="135"/>
      <c r="EM282" s="135"/>
      <c r="EN282" s="135"/>
      <c r="EO282" s="173"/>
      <c r="EP282" s="173"/>
      <c r="EQ282" s="173"/>
      <c r="ER282" s="173"/>
      <c r="ES282" s="173"/>
      <c r="ET282" s="173"/>
      <c r="EU282" s="173"/>
      <c r="EV282" s="173"/>
      <c r="EW282" s="173"/>
      <c r="EX282" s="173"/>
      <c r="EY282" s="125"/>
      <c r="EZ282" s="125"/>
      <c r="FA282" s="134"/>
      <c r="FB282" s="135"/>
      <c r="FC282" s="135"/>
      <c r="FD282" s="135"/>
      <c r="FE282" s="135"/>
      <c r="FF282" s="173"/>
      <c r="FG282" s="173"/>
      <c r="FH282" s="173"/>
      <c r="FI282" s="173"/>
      <c r="FJ282" s="173"/>
      <c r="FK282" s="173"/>
      <c r="FL282" s="173"/>
      <c r="FM282" s="173"/>
      <c r="FN282" s="173"/>
      <c r="FO282" s="173"/>
      <c r="FP282" s="125"/>
      <c r="FQ282" s="125"/>
      <c r="FR282" s="134"/>
      <c r="FS282" s="135"/>
      <c r="FT282" s="135"/>
      <c r="FU282" s="135"/>
      <c r="FV282" s="135"/>
      <c r="FW282" s="173"/>
      <c r="FX282" s="173"/>
      <c r="FY282" s="173"/>
      <c r="FZ282" s="173"/>
      <c r="GA282" s="173"/>
      <c r="GB282" s="173"/>
      <c r="GC282" s="173"/>
      <c r="GD282" s="173"/>
      <c r="GE282" s="173"/>
      <c r="GF282" s="173"/>
      <c r="GG282" s="125"/>
      <c r="GH282" s="125"/>
      <c r="GI282" s="134"/>
      <c r="GJ282" s="135"/>
      <c r="GK282" s="135"/>
      <c r="GL282" s="135"/>
      <c r="GM282" s="135"/>
      <c r="GN282" s="173"/>
      <c r="GO282" s="173"/>
      <c r="GP282" s="173"/>
      <c r="GQ282" s="173"/>
      <c r="GR282" s="173"/>
      <c r="GS282" s="173"/>
      <c r="GT282" s="173"/>
      <c r="GU282" s="173"/>
      <c r="GV282" s="173"/>
      <c r="GW282" s="173"/>
      <c r="GX282" s="125"/>
      <c r="GY282" s="125"/>
      <c r="GZ282" s="134"/>
      <c r="HA282" s="135"/>
      <c r="HB282" s="135"/>
      <c r="HC282" s="135"/>
      <c r="HD282" s="135"/>
      <c r="HE282" s="173"/>
      <c r="HF282" s="173"/>
      <c r="HG282" s="173"/>
      <c r="HH282" s="173"/>
      <c r="HI282" s="173"/>
      <c r="HJ282" s="173"/>
      <c r="HK282" s="173"/>
      <c r="HL282" s="173"/>
      <c r="HM282" s="173"/>
      <c r="HN282" s="173"/>
      <c r="HO282" s="125"/>
      <c r="HP282" s="125"/>
      <c r="HQ282" s="134"/>
      <c r="HR282" s="135"/>
      <c r="HS282" s="135"/>
      <c r="HT282" s="135"/>
      <c r="HU282" s="135"/>
      <c r="HV282" s="173"/>
      <c r="HW282" s="173"/>
      <c r="HX282" s="173"/>
      <c r="HY282" s="173"/>
      <c r="HZ282" s="173"/>
      <c r="IA282" s="173"/>
      <c r="IB282" s="173"/>
      <c r="IC282" s="173"/>
      <c r="ID282" s="173"/>
      <c r="IE282" s="173"/>
      <c r="IF282" s="125"/>
      <c r="IG282" s="125"/>
      <c r="IH282" s="134"/>
      <c r="II282" s="135"/>
      <c r="IJ282" s="135"/>
      <c r="IK282" s="135"/>
      <c r="IL282" s="135"/>
      <c r="IM282" s="173"/>
      <c r="IN282" s="173"/>
      <c r="IO282" s="173"/>
      <c r="IP282" s="173"/>
      <c r="IQ282" s="173"/>
      <c r="IR282" s="173"/>
      <c r="IS282" s="173"/>
      <c r="IT282" s="173"/>
      <c r="IU282" s="173"/>
      <c r="IV282" s="173"/>
      <c r="IW282" s="125"/>
      <c r="IX282" s="125"/>
      <c r="IY282" s="134"/>
      <c r="IZ282" s="135"/>
      <c r="JA282" s="135"/>
      <c r="JB282" s="135"/>
      <c r="JC282" s="135"/>
      <c r="JD282" s="173"/>
      <c r="JE282" s="173"/>
      <c r="JF282" s="173"/>
      <c r="JG282" s="173"/>
      <c r="JH282" s="173"/>
      <c r="JI282" s="173"/>
      <c r="JJ282" s="173"/>
      <c r="JK282" s="173"/>
      <c r="JL282" s="173"/>
      <c r="JM282" s="173"/>
      <c r="JN282" s="125"/>
      <c r="JO282" s="125"/>
      <c r="JP282" s="134"/>
      <c r="JQ282" s="135"/>
      <c r="JR282" s="135"/>
      <c r="JS282" s="135"/>
      <c r="JT282" s="135"/>
      <c r="JU282" s="173"/>
      <c r="JV282" s="173"/>
      <c r="JW282" s="173"/>
      <c r="JX282" s="173"/>
      <c r="JY282" s="173"/>
      <c r="JZ282" s="173"/>
      <c r="KA282" s="173"/>
      <c r="KB282" s="173"/>
      <c r="KC282" s="173"/>
      <c r="KD282" s="173"/>
      <c r="KE282" s="125"/>
      <c r="KF282" s="125"/>
      <c r="KG282" s="134"/>
      <c r="KH282" s="135"/>
      <c r="KI282" s="135"/>
      <c r="KJ282" s="135"/>
      <c r="KK282" s="135"/>
      <c r="KL282" s="173"/>
      <c r="KM282" s="173"/>
      <c r="KN282" s="173"/>
      <c r="KO282" s="173"/>
      <c r="KP282" s="173"/>
      <c r="KQ282" s="173"/>
      <c r="KR282" s="173"/>
      <c r="KS282" s="173"/>
      <c r="KT282" s="173"/>
      <c r="KU282" s="173"/>
      <c r="KV282" s="125"/>
      <c r="KW282" s="125"/>
      <c r="KX282" s="134"/>
      <c r="KY282" s="135"/>
      <c r="KZ282" s="135"/>
      <c r="LA282" s="135"/>
      <c r="LB282" s="135"/>
      <c r="LC282" s="173"/>
      <c r="LD282" s="173"/>
      <c r="LE282" s="173"/>
      <c r="LF282" s="173"/>
      <c r="LG282" s="173"/>
      <c r="LH282" s="173"/>
      <c r="LI282" s="173"/>
      <c r="LJ282" s="173"/>
      <c r="LK282" s="173"/>
      <c r="LL282" s="173"/>
      <c r="LM282" s="125"/>
      <c r="LN282" s="125"/>
      <c r="LO282" s="134"/>
      <c r="LP282" s="135"/>
      <c r="LQ282" s="135"/>
      <c r="LR282" s="135"/>
      <c r="LS282" s="135"/>
      <c r="LT282" s="173"/>
      <c r="LU282" s="173"/>
      <c r="LV282" s="173"/>
      <c r="LW282" s="173"/>
      <c r="LX282" s="173"/>
      <c r="LY282" s="173"/>
      <c r="LZ282" s="173"/>
      <c r="MA282" s="173"/>
      <c r="MB282" s="173"/>
      <c r="MC282" s="173"/>
      <c r="MD282" s="125"/>
      <c r="ME282" s="125"/>
      <c r="MF282" s="134"/>
      <c r="MG282" s="135"/>
      <c r="MH282" s="135"/>
      <c r="MI282" s="135"/>
      <c r="MJ282" s="135"/>
      <c r="MK282" s="173"/>
      <c r="ML282" s="173"/>
      <c r="MM282" s="173"/>
      <c r="MN282" s="173"/>
      <c r="MO282" s="173"/>
      <c r="MP282" s="173"/>
      <c r="MQ282" s="173"/>
      <c r="MR282" s="173"/>
      <c r="MS282" s="173"/>
      <c r="MT282" s="173"/>
      <c r="MU282" s="125"/>
      <c r="MV282" s="125"/>
      <c r="MW282" s="134"/>
      <c r="MX282" s="135"/>
      <c r="MY282" s="135"/>
      <c r="MZ282" s="135"/>
      <c r="NA282" s="135"/>
      <c r="NB282" s="173"/>
      <c r="NC282" s="173"/>
      <c r="ND282" s="173"/>
      <c r="NE282" s="173"/>
      <c r="NF282" s="173"/>
      <c r="NG282" s="173"/>
      <c r="NH282" s="173"/>
      <c r="NI282" s="173"/>
      <c r="NJ282" s="173"/>
      <c r="NK282" s="173"/>
      <c r="NL282" s="125"/>
      <c r="NM282" s="125"/>
      <c r="NN282" s="134"/>
      <c r="NO282" s="135"/>
      <c r="NP282" s="135"/>
      <c r="NQ282" s="135"/>
      <c r="NR282" s="135"/>
      <c r="NS282" s="173"/>
      <c r="NT282" s="173"/>
      <c r="NU282" s="173"/>
      <c r="NV282" s="173"/>
      <c r="NW282" s="173"/>
      <c r="NX282" s="173"/>
      <c r="NY282" s="173"/>
      <c r="NZ282" s="173"/>
      <c r="OA282" s="173"/>
      <c r="OB282" s="173"/>
      <c r="OC282" s="125"/>
      <c r="OD282" s="125"/>
      <c r="OE282" s="134"/>
      <c r="OF282" s="135"/>
      <c r="OG282" s="135"/>
      <c r="OH282" s="135"/>
      <c r="OI282" s="135"/>
      <c r="OJ282" s="173"/>
      <c r="OK282" s="173"/>
      <c r="OL282" s="173"/>
      <c r="OM282" s="173"/>
      <c r="ON282" s="173"/>
      <c r="OO282" s="173"/>
      <c r="OP282" s="173"/>
      <c r="OQ282" s="173"/>
      <c r="OR282" s="173"/>
      <c r="OS282" s="173"/>
      <c r="OT282" s="125"/>
      <c r="OU282" s="125"/>
      <c r="OV282" s="134"/>
      <c r="OW282" s="135"/>
      <c r="OX282" s="135"/>
      <c r="OY282" s="135"/>
      <c r="OZ282" s="135"/>
      <c r="PA282" s="173"/>
      <c r="PB282" s="173"/>
      <c r="PC282" s="173"/>
      <c r="PD282" s="173"/>
      <c r="PE282" s="173"/>
      <c r="PF282" s="173"/>
      <c r="PG282" s="173"/>
      <c r="PH282" s="173"/>
      <c r="PI282" s="173"/>
      <c r="PJ282" s="173"/>
      <c r="PK282" s="125"/>
      <c r="PL282" s="125"/>
      <c r="PM282" s="134"/>
      <c r="PN282" s="135"/>
      <c r="PO282" s="135"/>
      <c r="PP282" s="135"/>
      <c r="PQ282" s="135"/>
      <c r="PR282" s="173"/>
      <c r="PS282" s="173"/>
      <c r="PT282" s="173"/>
      <c r="PU282" s="173"/>
      <c r="PV282" s="173"/>
      <c r="PW282" s="173"/>
      <c r="PX282" s="173"/>
      <c r="PY282" s="173"/>
      <c r="PZ282" s="173"/>
      <c r="QA282" s="173"/>
      <c r="QB282" s="125"/>
      <c r="QC282" s="125"/>
      <c r="QD282" s="134"/>
      <c r="QE282" s="135"/>
      <c r="QF282" s="135"/>
      <c r="QG282" s="135"/>
      <c r="QH282" s="135"/>
      <c r="QI282" s="173"/>
      <c r="QJ282" s="173"/>
      <c r="QK282" s="173"/>
      <c r="QL282" s="173"/>
      <c r="QM282" s="173"/>
      <c r="QN282" s="173"/>
      <c r="QO282" s="173"/>
      <c r="QP282" s="173"/>
      <c r="QQ282" s="173"/>
      <c r="QR282" s="173"/>
      <c r="QS282" s="125"/>
      <c r="QT282" s="125"/>
      <c r="QU282" s="134"/>
      <c r="QV282" s="135"/>
      <c r="QW282" s="135"/>
      <c r="QX282" s="135"/>
      <c r="QY282" s="135"/>
      <c r="QZ282" s="173"/>
      <c r="RA282" s="173"/>
      <c r="RB282" s="173"/>
      <c r="RC282" s="173"/>
      <c r="RD282" s="173"/>
      <c r="RE282" s="173"/>
      <c r="RF282" s="173"/>
      <c r="RG282" s="173"/>
      <c r="RH282" s="173"/>
      <c r="RI282" s="173"/>
      <c r="RJ282" s="125"/>
      <c r="RK282" s="125"/>
      <c r="RL282" s="134"/>
      <c r="RM282" s="135"/>
      <c r="RN282" s="135"/>
      <c r="RO282" s="135"/>
      <c r="RP282" s="135"/>
      <c r="RQ282" s="173"/>
      <c r="RR282" s="173"/>
      <c r="RS282" s="173"/>
      <c r="RT282" s="173"/>
      <c r="RU282" s="173"/>
      <c r="RV282" s="173"/>
      <c r="RW282" s="173"/>
      <c r="RX282" s="173"/>
      <c r="RY282" s="173"/>
      <c r="RZ282" s="173"/>
      <c r="SA282" s="125"/>
      <c r="SB282" s="125"/>
      <c r="SC282" s="134"/>
      <c r="SD282" s="135"/>
      <c r="SE282" s="135"/>
      <c r="SF282" s="135"/>
      <c r="SG282" s="135"/>
      <c r="SH282" s="173"/>
      <c r="SI282" s="173"/>
      <c r="SJ282" s="173"/>
      <c r="SK282" s="173"/>
      <c r="SL282" s="173"/>
      <c r="SM282" s="173"/>
      <c r="SN282" s="173"/>
      <c r="SO282" s="173"/>
      <c r="SP282" s="173"/>
      <c r="SQ282" s="173"/>
      <c r="SR282" s="125"/>
      <c r="SS282" s="125"/>
      <c r="ST282" s="134"/>
      <c r="SU282" s="135"/>
      <c r="SV282" s="135"/>
      <c r="SW282" s="135"/>
      <c r="SX282" s="135"/>
      <c r="SY282" s="173"/>
      <c r="SZ282" s="173"/>
      <c r="TA282" s="173"/>
      <c r="TB282" s="173"/>
      <c r="TC282" s="173"/>
      <c r="TD282" s="173"/>
      <c r="TE282" s="173"/>
      <c r="TF282" s="173"/>
      <c r="TG282" s="173"/>
      <c r="TH282" s="173"/>
      <c r="TI282" s="125"/>
      <c r="TJ282" s="125"/>
      <c r="TK282" s="134"/>
      <c r="TL282" s="135"/>
      <c r="TM282" s="135"/>
      <c r="TN282" s="135"/>
      <c r="TO282" s="135"/>
      <c r="TP282" s="173"/>
      <c r="TQ282" s="173"/>
      <c r="TR282" s="173"/>
      <c r="TS282" s="173"/>
      <c r="TT282" s="173"/>
      <c r="TU282" s="173"/>
      <c r="TV282" s="173"/>
      <c r="TW282" s="173"/>
      <c r="TX282" s="173"/>
      <c r="TY282" s="173"/>
      <c r="TZ282" s="125"/>
      <c r="UA282" s="125"/>
      <c r="UB282" s="134"/>
      <c r="UC282" s="135"/>
      <c r="UD282" s="135"/>
      <c r="UE282" s="135"/>
      <c r="UF282" s="135"/>
      <c r="UG282" s="173"/>
      <c r="UH282" s="173"/>
      <c r="UI282" s="173"/>
      <c r="UJ282" s="173"/>
      <c r="UK282" s="173"/>
      <c r="UL282" s="173"/>
      <c r="UM282" s="173"/>
      <c r="UN282" s="173"/>
      <c r="UO282" s="173"/>
      <c r="UP282" s="173"/>
      <c r="UQ282" s="125"/>
      <c r="UR282" s="125"/>
      <c r="US282" s="134"/>
      <c r="UT282" s="135"/>
      <c r="UU282" s="135"/>
      <c r="UV282" s="135"/>
      <c r="UW282" s="135"/>
      <c r="UX282" s="173"/>
      <c r="UY282" s="173"/>
      <c r="UZ282" s="173"/>
      <c r="VA282" s="173"/>
      <c r="VB282" s="173"/>
      <c r="VC282" s="173"/>
      <c r="VD282" s="173"/>
      <c r="VE282" s="173"/>
      <c r="VF282" s="173"/>
      <c r="VG282" s="173"/>
      <c r="VH282" s="125"/>
      <c r="VI282" s="125"/>
      <c r="VJ282" s="134"/>
      <c r="VK282" s="135"/>
      <c r="VL282" s="135"/>
      <c r="VM282" s="135"/>
      <c r="VN282" s="135"/>
      <c r="VO282" s="173"/>
      <c r="VP282" s="173"/>
      <c r="VQ282" s="173"/>
      <c r="VR282" s="173"/>
      <c r="VS282" s="173"/>
      <c r="VT282" s="173"/>
      <c r="VU282" s="173"/>
      <c r="VV282" s="173"/>
      <c r="VW282" s="173"/>
      <c r="VX282" s="173"/>
      <c r="VY282" s="125"/>
      <c r="VZ282" s="125"/>
      <c r="WA282" s="134"/>
      <c r="WB282" s="135"/>
      <c r="WC282" s="135"/>
      <c r="WD282" s="135"/>
      <c r="WE282" s="135"/>
      <c r="WF282" s="173"/>
      <c r="WG282" s="173"/>
      <c r="WH282" s="173"/>
      <c r="WI282" s="173"/>
      <c r="WJ282" s="173"/>
      <c r="WK282" s="173"/>
      <c r="WL282" s="173"/>
      <c r="WM282" s="173"/>
      <c r="WN282" s="173"/>
      <c r="WO282" s="173"/>
      <c r="WP282" s="125"/>
      <c r="WQ282" s="125"/>
      <c r="WR282" s="134"/>
      <c r="WS282" s="135"/>
      <c r="WT282" s="135"/>
      <c r="WU282" s="135"/>
      <c r="WV282" s="135"/>
      <c r="WW282" s="173"/>
      <c r="WX282" s="173"/>
      <c r="WY282" s="173"/>
      <c r="WZ282" s="173"/>
      <c r="XA282" s="173"/>
      <c r="XB282" s="173"/>
      <c r="XC282" s="173"/>
      <c r="XD282" s="173"/>
      <c r="XE282" s="173"/>
      <c r="XF282" s="173"/>
      <c r="XG282" s="125"/>
      <c r="XH282" s="125"/>
      <c r="XI282" s="134"/>
      <c r="XJ282" s="135"/>
      <c r="XK282" s="135"/>
      <c r="XL282" s="135"/>
      <c r="XM282" s="135"/>
      <c r="XN282" s="173"/>
      <c r="XO282" s="173"/>
      <c r="XP282" s="173"/>
      <c r="XQ282" s="173"/>
      <c r="XR282" s="173"/>
      <c r="XS282" s="173"/>
      <c r="XT282" s="173"/>
      <c r="XU282" s="173"/>
      <c r="XV282" s="173"/>
      <c r="XW282" s="173"/>
      <c r="XX282" s="125"/>
      <c r="XY282" s="125"/>
      <c r="XZ282" s="134"/>
      <c r="YA282" s="135"/>
      <c r="YB282" s="135"/>
      <c r="YC282" s="135"/>
      <c r="YD282" s="135"/>
      <c r="YE282" s="173"/>
      <c r="YF282" s="173"/>
      <c r="YG282" s="173"/>
      <c r="YH282" s="173"/>
      <c r="YI282" s="173"/>
      <c r="YJ282" s="173"/>
      <c r="YK282" s="173"/>
      <c r="YL282" s="173"/>
      <c r="YM282" s="173"/>
      <c r="YN282" s="173"/>
      <c r="YO282" s="125"/>
      <c r="YP282" s="125"/>
      <c r="YQ282" s="134"/>
      <c r="YR282" s="135"/>
      <c r="YS282" s="135"/>
      <c r="YT282" s="135"/>
      <c r="YU282" s="135"/>
      <c r="YV282" s="173"/>
      <c r="YW282" s="173"/>
      <c r="YX282" s="173"/>
      <c r="YY282" s="173"/>
      <c r="YZ282" s="173"/>
      <c r="ZA282" s="173"/>
      <c r="ZB282" s="173"/>
      <c r="ZC282" s="173"/>
      <c r="ZD282" s="173"/>
      <c r="ZE282" s="173"/>
      <c r="ZF282" s="125"/>
      <c r="ZG282" s="125"/>
      <c r="ZH282" s="134"/>
      <c r="ZI282" s="135"/>
      <c r="ZJ282" s="135"/>
      <c r="ZK282" s="135"/>
      <c r="ZL282" s="135"/>
      <c r="ZM282" s="173"/>
      <c r="ZN282" s="173"/>
      <c r="ZO282" s="173"/>
      <c r="ZP282" s="173"/>
      <c r="ZQ282" s="173"/>
      <c r="ZR282" s="173"/>
      <c r="ZS282" s="173"/>
      <c r="ZT282" s="173"/>
      <c r="ZU282" s="173"/>
      <c r="ZV282" s="173"/>
      <c r="ZW282" s="125"/>
      <c r="ZX282" s="125"/>
      <c r="ZY282" s="134"/>
      <c r="ZZ282" s="135"/>
      <c r="AAA282" s="135"/>
      <c r="AAB282" s="135"/>
      <c r="AAC282" s="135"/>
      <c r="AAD282" s="173"/>
      <c r="AAE282" s="173"/>
      <c r="AAF282" s="173"/>
      <c r="AAG282" s="173"/>
      <c r="AAH282" s="173"/>
      <c r="AAI282" s="173"/>
      <c r="AAJ282" s="173"/>
      <c r="AAK282" s="173"/>
      <c r="AAL282" s="173"/>
      <c r="AAM282" s="173"/>
      <c r="AAN282" s="125"/>
      <c r="AAO282" s="125"/>
      <c r="AAP282" s="134"/>
      <c r="AAQ282" s="135"/>
      <c r="AAR282" s="135"/>
      <c r="AAS282" s="135"/>
      <c r="AAT282" s="135"/>
      <c r="AAU282" s="173"/>
      <c r="AAV282" s="173"/>
      <c r="AAW282" s="173"/>
      <c r="AAX282" s="173"/>
      <c r="AAY282" s="173"/>
      <c r="AAZ282" s="173"/>
      <c r="ABA282" s="173"/>
      <c r="ABB282" s="173"/>
      <c r="ABC282" s="173"/>
      <c r="ABD282" s="173"/>
      <c r="ABE282" s="125"/>
      <c r="ABF282" s="125"/>
      <c r="ABG282" s="134"/>
      <c r="ABH282" s="135"/>
      <c r="ABI282" s="135"/>
      <c r="ABJ282" s="135"/>
      <c r="ABK282" s="135"/>
      <c r="ABL282" s="173"/>
      <c r="ABM282" s="173"/>
      <c r="ABN282" s="173"/>
      <c r="ABO282" s="173"/>
      <c r="ABP282" s="173"/>
      <c r="ABQ282" s="173"/>
      <c r="ABR282" s="173"/>
      <c r="ABS282" s="173"/>
      <c r="ABT282" s="173"/>
      <c r="ABU282" s="173"/>
      <c r="ABV282" s="125"/>
      <c r="ABW282" s="125"/>
      <c r="ABX282" s="134"/>
      <c r="ABY282" s="135"/>
      <c r="ABZ282" s="135"/>
      <c r="ACA282" s="135"/>
      <c r="ACB282" s="135"/>
      <c r="ACC282" s="173"/>
      <c r="ACD282" s="173"/>
      <c r="ACE282" s="173"/>
      <c r="ACF282" s="173"/>
      <c r="ACG282" s="173"/>
      <c r="ACH282" s="173"/>
      <c r="ACI282" s="173"/>
      <c r="ACJ282" s="173"/>
      <c r="ACK282" s="173"/>
      <c r="ACL282" s="173"/>
      <c r="ACM282" s="125"/>
      <c r="ACN282" s="125"/>
      <c r="ACO282" s="134"/>
      <c r="ACP282" s="135"/>
      <c r="ACQ282" s="135"/>
      <c r="ACR282" s="135"/>
      <c r="ACS282" s="135"/>
      <c r="ACT282" s="173"/>
      <c r="ACU282" s="173"/>
      <c r="ACV282" s="173"/>
      <c r="ACW282" s="173"/>
      <c r="ACX282" s="173"/>
      <c r="ACY282" s="173"/>
      <c r="ACZ282" s="173"/>
      <c r="ADA282" s="173"/>
      <c r="ADB282" s="173"/>
      <c r="ADC282" s="173"/>
      <c r="ADD282" s="125"/>
      <c r="ADE282" s="125"/>
      <c r="ADF282" s="134"/>
      <c r="ADG282" s="135"/>
      <c r="ADH282" s="135"/>
      <c r="ADI282" s="135"/>
      <c r="ADJ282" s="135"/>
      <c r="ADK282" s="173"/>
      <c r="ADL282" s="173"/>
      <c r="ADM282" s="173"/>
      <c r="ADN282" s="173"/>
      <c r="ADO282" s="173"/>
      <c r="ADP282" s="173"/>
      <c r="ADQ282" s="173"/>
      <c r="ADR282" s="173"/>
      <c r="ADS282" s="173"/>
      <c r="ADT282" s="173"/>
      <c r="ADU282" s="125"/>
      <c r="ADV282" s="125"/>
      <c r="ADW282" s="134"/>
      <c r="ADX282" s="135"/>
      <c r="ADY282" s="135"/>
      <c r="ADZ282" s="135"/>
      <c r="AEA282" s="135"/>
      <c r="AEB282" s="173"/>
      <c r="AEC282" s="173"/>
      <c r="AED282" s="173"/>
      <c r="AEE282" s="173"/>
      <c r="AEF282" s="173"/>
      <c r="AEG282" s="173"/>
      <c r="AEH282" s="173"/>
      <c r="AEI282" s="173"/>
      <c r="AEJ282" s="173"/>
      <c r="AEK282" s="173"/>
      <c r="AEL282" s="125"/>
      <c r="AEM282" s="125"/>
      <c r="AEN282" s="134"/>
      <c r="AEO282" s="135"/>
      <c r="AEP282" s="135"/>
      <c r="AEQ282" s="135"/>
      <c r="AER282" s="135"/>
      <c r="AES282" s="173"/>
      <c r="AET282" s="173"/>
      <c r="AEU282" s="173"/>
      <c r="AEV282" s="173"/>
      <c r="AEW282" s="173"/>
      <c r="AEX282" s="173"/>
      <c r="AEY282" s="173"/>
      <c r="AEZ282" s="173"/>
      <c r="AFA282" s="173"/>
      <c r="AFB282" s="173"/>
      <c r="AFC282" s="125"/>
      <c r="AFD282" s="125"/>
      <c r="AFE282" s="134"/>
      <c r="AFF282" s="135"/>
      <c r="AFG282" s="135"/>
      <c r="AFH282" s="135"/>
      <c r="AFI282" s="135"/>
      <c r="AFJ282" s="173"/>
      <c r="AFK282" s="173"/>
      <c r="AFL282" s="173"/>
      <c r="AFM282" s="173"/>
      <c r="AFN282" s="173"/>
      <c r="AFO282" s="173"/>
      <c r="AFP282" s="173"/>
      <c r="AFQ282" s="173"/>
      <c r="AFR282" s="173"/>
      <c r="AFS282" s="173"/>
      <c r="AFT282" s="125"/>
      <c r="AFU282" s="125"/>
      <c r="AFV282" s="134"/>
      <c r="AFW282" s="135"/>
      <c r="AFX282" s="135"/>
      <c r="AFY282" s="135"/>
      <c r="AFZ282" s="135"/>
      <c r="AGA282" s="173"/>
      <c r="AGB282" s="173"/>
      <c r="AGC282" s="173"/>
      <c r="AGD282" s="173"/>
      <c r="AGE282" s="173"/>
      <c r="AGF282" s="173"/>
      <c r="AGG282" s="173"/>
      <c r="AGH282" s="173"/>
      <c r="AGI282" s="173"/>
      <c r="AGJ282" s="173"/>
      <c r="AGK282" s="125"/>
      <c r="AGL282" s="125"/>
      <c r="AGM282" s="134"/>
      <c r="AGN282" s="135"/>
      <c r="AGO282" s="135"/>
      <c r="AGP282" s="135"/>
      <c r="AGQ282" s="135"/>
      <c r="AGR282" s="173"/>
      <c r="AGS282" s="173"/>
      <c r="AGT282" s="173"/>
      <c r="AGU282" s="173"/>
      <c r="AGV282" s="173"/>
      <c r="AGW282" s="173"/>
      <c r="AGX282" s="173"/>
      <c r="AGY282" s="173"/>
      <c r="AGZ282" s="173"/>
      <c r="AHA282" s="173"/>
      <c r="AHB282" s="125"/>
      <c r="AHC282" s="125"/>
      <c r="AHD282" s="134"/>
      <c r="AHE282" s="135"/>
      <c r="AHF282" s="135"/>
      <c r="AHG282" s="135"/>
      <c r="AHH282" s="135"/>
      <c r="AHI282" s="173"/>
      <c r="AHJ282" s="173"/>
      <c r="AHK282" s="173"/>
      <c r="AHL282" s="173"/>
      <c r="AHM282" s="173"/>
      <c r="AHN282" s="173"/>
      <c r="AHO282" s="173"/>
      <c r="AHP282" s="173"/>
      <c r="AHQ282" s="173"/>
      <c r="AHR282" s="173"/>
      <c r="AHS282" s="125"/>
      <c r="AHT282" s="125"/>
      <c r="AHU282" s="134"/>
      <c r="AHV282" s="135"/>
      <c r="AHW282" s="135"/>
      <c r="AHX282" s="135"/>
      <c r="AHY282" s="135"/>
      <c r="AHZ282" s="173"/>
      <c r="AIA282" s="173"/>
      <c r="AIB282" s="173"/>
      <c r="AIC282" s="173"/>
      <c r="AID282" s="173"/>
      <c r="AIE282" s="173"/>
      <c r="AIF282" s="173"/>
      <c r="AIG282" s="173"/>
      <c r="AIH282" s="173"/>
      <c r="AII282" s="173"/>
      <c r="AIJ282" s="125"/>
      <c r="AIK282" s="125"/>
      <c r="AIL282" s="134"/>
      <c r="AIM282" s="135"/>
      <c r="AIN282" s="135"/>
      <c r="AIO282" s="135"/>
      <c r="AIP282" s="135"/>
      <c r="AIQ282" s="173"/>
      <c r="AIR282" s="173"/>
      <c r="AIS282" s="173"/>
      <c r="AIT282" s="173"/>
      <c r="AIU282" s="173"/>
      <c r="AIV282" s="173"/>
      <c r="AIW282" s="173"/>
      <c r="AIX282" s="173"/>
      <c r="AIY282" s="173"/>
      <c r="AIZ282" s="173"/>
      <c r="AJA282" s="125"/>
      <c r="AJB282" s="125"/>
      <c r="AJC282" s="134"/>
      <c r="AJD282" s="135"/>
      <c r="AJE282" s="135"/>
      <c r="AJF282" s="135"/>
      <c r="AJG282" s="135"/>
      <c r="AJH282" s="173"/>
      <c r="AJI282" s="173"/>
      <c r="AJJ282" s="173"/>
      <c r="AJK282" s="173"/>
      <c r="AJL282" s="173"/>
      <c r="AJM282" s="173"/>
      <c r="AJN282" s="173"/>
      <c r="AJO282" s="173"/>
      <c r="AJP282" s="173"/>
      <c r="AJQ282" s="173"/>
      <c r="AJR282" s="125"/>
      <c r="AJS282" s="125"/>
      <c r="AJT282" s="134"/>
      <c r="AJU282" s="135"/>
      <c r="AJV282" s="135"/>
      <c r="AJW282" s="135"/>
      <c r="AJX282" s="135"/>
      <c r="AJY282" s="173"/>
      <c r="AJZ282" s="173"/>
      <c r="AKA282" s="173"/>
      <c r="AKB282" s="173"/>
      <c r="AKC282" s="173"/>
      <c r="AKD282" s="173"/>
      <c r="AKE282" s="173"/>
      <c r="AKF282" s="173"/>
      <c r="AKG282" s="173"/>
      <c r="AKH282" s="173"/>
      <c r="AKI282" s="125"/>
      <c r="AKJ282" s="125"/>
      <c r="AKK282" s="134"/>
      <c r="AKL282" s="135"/>
      <c r="AKM282" s="135"/>
      <c r="AKN282" s="135"/>
      <c r="AKO282" s="135"/>
      <c r="AKP282" s="173"/>
      <c r="AKQ282" s="173"/>
      <c r="AKR282" s="173"/>
      <c r="AKS282" s="173"/>
      <c r="AKT282" s="173"/>
      <c r="AKU282" s="173"/>
      <c r="AKV282" s="173"/>
      <c r="AKW282" s="173"/>
      <c r="AKX282" s="173"/>
      <c r="AKY282" s="173"/>
      <c r="AKZ282" s="125"/>
      <c r="ALA282" s="125"/>
      <c r="ALB282" s="134"/>
      <c r="ALC282" s="135"/>
      <c r="ALD282" s="135"/>
      <c r="ALE282" s="135"/>
      <c r="ALF282" s="135"/>
      <c r="ALG282" s="173"/>
      <c r="ALH282" s="173"/>
      <c r="ALI282" s="173"/>
      <c r="ALJ282" s="173"/>
      <c r="ALK282" s="173"/>
      <c r="ALL282" s="173"/>
      <c r="ALM282" s="173"/>
      <c r="ALN282" s="173"/>
      <c r="ALO282" s="173"/>
      <c r="ALP282" s="173"/>
      <c r="ALQ282" s="125"/>
      <c r="ALR282" s="125"/>
      <c r="ALS282" s="134"/>
      <c r="ALT282" s="135"/>
      <c r="ALU282" s="135"/>
      <c r="ALV282" s="135"/>
      <c r="ALW282" s="135"/>
      <c r="ALX282" s="173"/>
      <c r="ALY282" s="173"/>
      <c r="ALZ282" s="173"/>
      <c r="AMA282" s="173"/>
      <c r="AMB282" s="173"/>
      <c r="AMC282" s="173"/>
      <c r="AMD282" s="173"/>
      <c r="AME282" s="173"/>
      <c r="AMF282" s="173"/>
      <c r="AMG282" s="173"/>
      <c r="AMH282" s="125"/>
      <c r="AMI282" s="125"/>
      <c r="AMJ282" s="134"/>
      <c r="AMK282" s="135"/>
      <c r="AML282" s="135"/>
      <c r="AMM282" s="135"/>
      <c r="AMN282" s="135"/>
      <c r="AMO282" s="173"/>
      <c r="AMP282" s="173"/>
      <c r="AMQ282" s="173"/>
      <c r="AMR282" s="173"/>
      <c r="AMS282" s="173"/>
      <c r="AMT282" s="173"/>
      <c r="AMU282" s="173"/>
      <c r="AMV282" s="173"/>
      <c r="AMW282" s="173"/>
      <c r="AMX282" s="173"/>
      <c r="AMY282" s="125"/>
      <c r="AMZ282" s="125"/>
      <c r="ANA282" s="134"/>
      <c r="ANB282" s="135"/>
      <c r="ANC282" s="135"/>
      <c r="AND282" s="135"/>
      <c r="ANE282" s="135"/>
      <c r="ANF282" s="173"/>
      <c r="ANG282" s="173"/>
      <c r="ANH282" s="173"/>
      <c r="ANI282" s="173"/>
      <c r="ANJ282" s="173"/>
      <c r="ANK282" s="173"/>
      <c r="ANL282" s="173"/>
      <c r="ANM282" s="173"/>
      <c r="ANN282" s="173"/>
      <c r="ANO282" s="173"/>
      <c r="ANP282" s="125"/>
      <c r="ANQ282" s="125"/>
      <c r="ANR282" s="134"/>
      <c r="ANS282" s="135"/>
      <c r="ANT282" s="135"/>
      <c r="ANU282" s="135"/>
      <c r="ANV282" s="135"/>
      <c r="ANW282" s="173"/>
      <c r="ANX282" s="173"/>
      <c r="ANY282" s="173"/>
      <c r="ANZ282" s="173"/>
      <c r="AOA282" s="173"/>
      <c r="AOB282" s="173"/>
      <c r="AOC282" s="173"/>
      <c r="AOD282" s="173"/>
      <c r="AOE282" s="173"/>
      <c r="AOF282" s="173"/>
      <c r="AOG282" s="125"/>
      <c r="AOH282" s="125"/>
      <c r="AOI282" s="134"/>
      <c r="AOJ282" s="135"/>
      <c r="AOK282" s="135"/>
      <c r="AOL282" s="135"/>
      <c r="AOM282" s="135"/>
      <c r="AON282" s="173"/>
      <c r="AOO282" s="173"/>
      <c r="AOP282" s="173"/>
      <c r="AOQ282" s="173"/>
      <c r="AOR282" s="173"/>
      <c r="AOS282" s="173"/>
      <c r="AOT282" s="173"/>
      <c r="AOU282" s="173"/>
      <c r="AOV282" s="173"/>
      <c r="AOW282" s="173"/>
      <c r="AOX282" s="125"/>
      <c r="AOY282" s="125"/>
      <c r="AOZ282" s="134"/>
      <c r="APA282" s="135"/>
      <c r="APB282" s="135"/>
      <c r="APC282" s="135"/>
      <c r="APD282" s="135"/>
      <c r="APE282" s="173"/>
      <c r="APF282" s="173"/>
      <c r="APG282" s="173"/>
      <c r="APH282" s="173"/>
      <c r="API282" s="173"/>
      <c r="APJ282" s="173"/>
      <c r="APK282" s="173"/>
      <c r="APL282" s="173"/>
      <c r="APM282" s="173"/>
      <c r="APN282" s="173"/>
      <c r="APO282" s="125"/>
      <c r="APP282" s="125"/>
      <c r="APQ282" s="134"/>
      <c r="APR282" s="135"/>
      <c r="APS282" s="135"/>
      <c r="APT282" s="135"/>
      <c r="APU282" s="135"/>
      <c r="APV282" s="173"/>
      <c r="APW282" s="173"/>
      <c r="APX282" s="173"/>
      <c r="APY282" s="173"/>
      <c r="APZ282" s="173"/>
      <c r="AQA282" s="173"/>
      <c r="AQB282" s="173"/>
      <c r="AQC282" s="173"/>
      <c r="AQD282" s="173"/>
      <c r="AQE282" s="173"/>
      <c r="AQF282" s="125"/>
      <c r="AQG282" s="125"/>
      <c r="AQH282" s="134"/>
      <c r="AQI282" s="135"/>
      <c r="AQJ282" s="135"/>
      <c r="AQK282" s="135"/>
      <c r="AQL282" s="135"/>
      <c r="AQM282" s="173"/>
      <c r="AQN282" s="173"/>
      <c r="AQO282" s="173"/>
      <c r="AQP282" s="173"/>
      <c r="AQQ282" s="173"/>
      <c r="AQR282" s="173"/>
      <c r="AQS282" s="173"/>
      <c r="AQT282" s="173"/>
      <c r="AQU282" s="173"/>
      <c r="AQV282" s="173"/>
      <c r="AQW282" s="125"/>
      <c r="AQX282" s="125"/>
      <c r="AQY282" s="134"/>
      <c r="AQZ282" s="135"/>
      <c r="ARA282" s="135"/>
      <c r="ARB282" s="135"/>
      <c r="ARC282" s="135"/>
      <c r="ARD282" s="173"/>
      <c r="ARE282" s="173"/>
      <c r="ARF282" s="173"/>
      <c r="ARG282" s="173"/>
      <c r="ARH282" s="173"/>
      <c r="ARI282" s="173"/>
      <c r="ARJ282" s="173"/>
      <c r="ARK282" s="173"/>
      <c r="ARL282" s="173"/>
      <c r="ARM282" s="173"/>
      <c r="ARN282" s="125"/>
      <c r="ARO282" s="125"/>
      <c r="ARP282" s="134"/>
      <c r="ARQ282" s="135"/>
      <c r="ARR282" s="135"/>
      <c r="ARS282" s="135"/>
      <c r="ART282" s="135"/>
      <c r="ARU282" s="173"/>
      <c r="ARV282" s="173"/>
      <c r="ARW282" s="173"/>
      <c r="ARX282" s="173"/>
      <c r="ARY282" s="173"/>
      <c r="ARZ282" s="173"/>
      <c r="ASA282" s="173"/>
      <c r="ASB282" s="173"/>
      <c r="ASC282" s="173"/>
      <c r="ASD282" s="173"/>
      <c r="ASE282" s="125"/>
      <c r="ASF282" s="125"/>
      <c r="ASG282" s="134"/>
      <c r="ASH282" s="135"/>
      <c r="ASI282" s="135"/>
      <c r="ASJ282" s="135"/>
      <c r="ASK282" s="135"/>
      <c r="ASL282" s="173"/>
      <c r="ASM282" s="173"/>
      <c r="ASN282" s="173"/>
      <c r="ASO282" s="173"/>
      <c r="ASP282" s="173"/>
      <c r="ASQ282" s="173"/>
      <c r="ASR282" s="173"/>
      <c r="ASS282" s="173"/>
      <c r="AST282" s="173"/>
      <c r="ASU282" s="173"/>
      <c r="ASV282" s="125"/>
      <c r="ASW282" s="125"/>
      <c r="ASX282" s="134"/>
      <c r="ASY282" s="135"/>
      <c r="ASZ282" s="135"/>
      <c r="ATA282" s="135"/>
      <c r="ATB282" s="135"/>
      <c r="ATC282" s="173"/>
      <c r="ATD282" s="173"/>
      <c r="ATE282" s="173"/>
      <c r="ATF282" s="173"/>
      <c r="ATG282" s="173"/>
      <c r="ATH282" s="173"/>
      <c r="ATI282" s="173"/>
      <c r="ATJ282" s="173"/>
      <c r="ATK282" s="173"/>
      <c r="ATL282" s="173"/>
      <c r="ATM282" s="125"/>
      <c r="ATN282" s="125"/>
      <c r="ATO282" s="134"/>
      <c r="ATP282" s="135"/>
      <c r="ATQ282" s="135"/>
      <c r="ATR282" s="135"/>
      <c r="ATS282" s="135"/>
      <c r="ATT282" s="173"/>
      <c r="ATU282" s="173"/>
      <c r="ATV282" s="173"/>
      <c r="ATW282" s="173"/>
      <c r="ATX282" s="173"/>
      <c r="ATY282" s="173"/>
      <c r="ATZ282" s="173"/>
      <c r="AUA282" s="173"/>
      <c r="AUB282" s="173"/>
      <c r="AUC282" s="173"/>
      <c r="AUD282" s="125"/>
      <c r="AUE282" s="125"/>
      <c r="AUF282" s="134"/>
      <c r="AUG282" s="135"/>
      <c r="AUH282" s="135"/>
      <c r="AUI282" s="135"/>
      <c r="AUJ282" s="135"/>
      <c r="AUK282" s="173"/>
      <c r="AUL282" s="173"/>
      <c r="AUM282" s="173"/>
      <c r="AUN282" s="173"/>
      <c r="AUO282" s="173"/>
      <c r="AUP282" s="173"/>
      <c r="AUQ282" s="173"/>
      <c r="AUR282" s="173"/>
      <c r="AUS282" s="173"/>
      <c r="AUT282" s="173"/>
      <c r="AUU282" s="125"/>
      <c r="AUV282" s="125"/>
      <c r="AUW282" s="134"/>
      <c r="AUX282" s="135"/>
      <c r="AUY282" s="135"/>
      <c r="AUZ282" s="135"/>
      <c r="AVA282" s="135"/>
      <c r="AVB282" s="173"/>
      <c r="AVC282" s="173"/>
      <c r="AVD282" s="173"/>
      <c r="AVE282" s="173"/>
      <c r="AVF282" s="173"/>
      <c r="AVG282" s="173"/>
      <c r="AVH282" s="173"/>
      <c r="AVI282" s="173"/>
      <c r="AVJ282" s="173"/>
      <c r="AVK282" s="173"/>
      <c r="AVL282" s="125"/>
      <c r="AVM282" s="125"/>
      <c r="AVN282" s="134"/>
      <c r="AVO282" s="135"/>
      <c r="AVP282" s="135"/>
      <c r="AVQ282" s="135"/>
      <c r="AVR282" s="135"/>
      <c r="AVS282" s="173"/>
      <c r="AVT282" s="173"/>
      <c r="AVU282" s="173"/>
      <c r="AVV282" s="173"/>
      <c r="AVW282" s="173"/>
      <c r="AVX282" s="173"/>
      <c r="AVY282" s="173"/>
      <c r="AVZ282" s="173"/>
      <c r="AWA282" s="173"/>
      <c r="AWB282" s="173"/>
      <c r="AWC282" s="125"/>
      <c r="AWD282" s="125"/>
      <c r="AWE282" s="134"/>
      <c r="AWF282" s="135"/>
      <c r="AWG282" s="135"/>
      <c r="AWH282" s="135"/>
      <c r="AWI282" s="135"/>
      <c r="AWJ282" s="173"/>
      <c r="AWK282" s="173"/>
      <c r="AWL282" s="173"/>
      <c r="AWM282" s="173"/>
      <c r="AWN282" s="173"/>
      <c r="AWO282" s="173"/>
      <c r="AWP282" s="173"/>
      <c r="AWQ282" s="173"/>
      <c r="AWR282" s="173"/>
      <c r="AWS282" s="173"/>
      <c r="AWT282" s="125"/>
      <c r="AWU282" s="125"/>
      <c r="AWV282" s="134"/>
      <c r="AWW282" s="135"/>
      <c r="AWX282" s="135"/>
      <c r="AWY282" s="135"/>
      <c r="AWZ282" s="135"/>
      <c r="AXA282" s="173"/>
      <c r="AXB282" s="173"/>
      <c r="AXC282" s="173"/>
      <c r="AXD282" s="173"/>
      <c r="AXE282" s="173"/>
      <c r="AXF282" s="173"/>
      <c r="AXG282" s="173"/>
      <c r="AXH282" s="173"/>
      <c r="AXI282" s="173"/>
      <c r="AXJ282" s="173"/>
      <c r="AXK282" s="125"/>
      <c r="AXL282" s="125"/>
      <c r="AXM282" s="134"/>
      <c r="AXN282" s="135"/>
      <c r="AXO282" s="135"/>
      <c r="AXP282" s="135"/>
      <c r="AXQ282" s="135"/>
      <c r="AXR282" s="173"/>
      <c r="AXS282" s="173"/>
      <c r="AXT282" s="173"/>
      <c r="AXU282" s="173"/>
      <c r="AXV282" s="173"/>
      <c r="AXW282" s="173"/>
      <c r="AXX282" s="173"/>
      <c r="AXY282" s="173"/>
      <c r="AXZ282" s="173"/>
      <c r="AYA282" s="173"/>
      <c r="AYB282" s="125"/>
      <c r="AYC282" s="125"/>
      <c r="AYD282" s="134"/>
      <c r="AYE282" s="135"/>
      <c r="AYF282" s="135"/>
      <c r="AYG282" s="135"/>
      <c r="AYH282" s="135"/>
      <c r="AYI282" s="173"/>
      <c r="AYJ282" s="173"/>
      <c r="AYK282" s="173"/>
      <c r="AYL282" s="173"/>
      <c r="AYM282" s="173"/>
      <c r="AYN282" s="173"/>
      <c r="AYO282" s="173"/>
      <c r="AYP282" s="173"/>
      <c r="AYQ282" s="173"/>
      <c r="AYR282" s="173"/>
      <c r="AYS282" s="125"/>
      <c r="AYT282" s="125"/>
      <c r="AYU282" s="134"/>
      <c r="AYV282" s="135"/>
      <c r="AYW282" s="135"/>
      <c r="AYX282" s="135"/>
      <c r="AYY282" s="135"/>
      <c r="AYZ282" s="173"/>
      <c r="AZA282" s="173"/>
      <c r="AZB282" s="173"/>
      <c r="AZC282" s="173"/>
      <c r="AZD282" s="173"/>
      <c r="AZE282" s="173"/>
      <c r="AZF282" s="173"/>
      <c r="AZG282" s="173"/>
      <c r="AZH282" s="173"/>
      <c r="AZI282" s="173"/>
      <c r="AZJ282" s="125"/>
      <c r="AZK282" s="125"/>
      <c r="AZL282" s="134"/>
      <c r="AZM282" s="135"/>
      <c r="AZN282" s="135"/>
      <c r="AZO282" s="135"/>
      <c r="AZP282" s="135"/>
      <c r="AZQ282" s="173"/>
      <c r="AZR282" s="173"/>
      <c r="AZS282" s="173"/>
      <c r="AZT282" s="173"/>
      <c r="AZU282" s="173"/>
      <c r="AZV282" s="173"/>
      <c r="AZW282" s="173"/>
      <c r="AZX282" s="173"/>
      <c r="AZY282" s="173"/>
      <c r="AZZ282" s="173"/>
      <c r="BAA282" s="125"/>
      <c r="BAB282" s="125"/>
      <c r="BAC282" s="134"/>
      <c r="BAD282" s="135"/>
      <c r="BAE282" s="135"/>
      <c r="BAF282" s="135"/>
      <c r="BAG282" s="135"/>
      <c r="BAH282" s="173"/>
      <c r="BAI282" s="173"/>
      <c r="BAJ282" s="173"/>
      <c r="BAK282" s="173"/>
      <c r="BAL282" s="173"/>
      <c r="BAM282" s="173"/>
      <c r="BAN282" s="173"/>
      <c r="BAO282" s="173"/>
      <c r="BAP282" s="173"/>
      <c r="BAQ282" s="173"/>
      <c r="BAR282" s="125"/>
      <c r="BAS282" s="125"/>
      <c r="BAT282" s="134"/>
      <c r="BAU282" s="135"/>
      <c r="BAV282" s="135"/>
      <c r="BAW282" s="135"/>
      <c r="BAX282" s="135"/>
      <c r="BAY282" s="173"/>
      <c r="BAZ282" s="173"/>
      <c r="BBA282" s="173"/>
      <c r="BBB282" s="173"/>
      <c r="BBC282" s="173"/>
      <c r="BBD282" s="173"/>
      <c r="BBE282" s="173"/>
      <c r="BBF282" s="173"/>
      <c r="BBG282" s="173"/>
      <c r="BBH282" s="173"/>
      <c r="BBI282" s="125"/>
      <c r="BBJ282" s="125"/>
      <c r="BBK282" s="134"/>
      <c r="BBL282" s="135"/>
      <c r="BBM282" s="135"/>
      <c r="BBN282" s="135"/>
      <c r="BBO282" s="135"/>
      <c r="BBP282" s="173"/>
      <c r="BBQ282" s="173"/>
      <c r="BBR282" s="173"/>
      <c r="BBS282" s="173"/>
      <c r="BBT282" s="173"/>
      <c r="BBU282" s="173"/>
      <c r="BBV282" s="173"/>
      <c r="BBW282" s="173"/>
      <c r="BBX282" s="173"/>
      <c r="BBY282" s="173"/>
      <c r="BBZ282" s="125"/>
      <c r="BCA282" s="125"/>
      <c r="BCB282" s="134"/>
      <c r="BCC282" s="135"/>
      <c r="BCD282" s="135"/>
      <c r="BCE282" s="135"/>
      <c r="BCF282" s="135"/>
      <c r="BCG282" s="173"/>
      <c r="BCH282" s="173"/>
      <c r="BCI282" s="173"/>
      <c r="BCJ282" s="173"/>
      <c r="BCK282" s="173"/>
      <c r="BCL282" s="173"/>
      <c r="BCM282" s="173"/>
      <c r="BCN282" s="173"/>
      <c r="BCO282" s="173"/>
      <c r="BCP282" s="173"/>
      <c r="BCQ282" s="125"/>
      <c r="BCR282" s="125"/>
      <c r="BCS282" s="134"/>
      <c r="BCT282" s="135"/>
      <c r="BCU282" s="135"/>
      <c r="BCV282" s="135"/>
      <c r="BCW282" s="135"/>
      <c r="BCX282" s="173"/>
      <c r="BCY282" s="173"/>
      <c r="BCZ282" s="173"/>
      <c r="BDA282" s="173"/>
      <c r="BDB282" s="173"/>
      <c r="BDC282" s="173"/>
      <c r="BDD282" s="173"/>
      <c r="BDE282" s="173"/>
      <c r="BDF282" s="173"/>
      <c r="BDG282" s="173"/>
      <c r="BDH282" s="125"/>
      <c r="BDI282" s="125"/>
      <c r="BDJ282" s="134"/>
      <c r="BDK282" s="135"/>
      <c r="BDL282" s="135"/>
      <c r="BDM282" s="135"/>
      <c r="BDN282" s="135"/>
      <c r="BDO282" s="173"/>
      <c r="BDP282" s="173"/>
      <c r="BDQ282" s="173"/>
      <c r="BDR282" s="173"/>
      <c r="BDS282" s="173"/>
      <c r="BDT282" s="173"/>
      <c r="BDU282" s="173"/>
      <c r="BDV282" s="173"/>
      <c r="BDW282" s="173"/>
      <c r="BDX282" s="173"/>
      <c r="BDY282" s="125"/>
      <c r="BDZ282" s="125"/>
      <c r="BEA282" s="134"/>
      <c r="BEB282" s="135"/>
      <c r="BEC282" s="135"/>
      <c r="BED282" s="135"/>
      <c r="BEE282" s="135"/>
      <c r="BEF282" s="173"/>
      <c r="BEG282" s="173"/>
      <c r="BEH282" s="173"/>
      <c r="BEI282" s="173"/>
      <c r="BEJ282" s="173"/>
      <c r="BEK282" s="173"/>
      <c r="BEL282" s="173"/>
      <c r="BEM282" s="173"/>
      <c r="BEN282" s="173"/>
      <c r="BEO282" s="173"/>
      <c r="BEP282" s="125"/>
      <c r="BEQ282" s="125"/>
      <c r="BER282" s="134"/>
      <c r="BES282" s="135"/>
      <c r="BET282" s="135"/>
      <c r="BEU282" s="135"/>
      <c r="BEV282" s="135"/>
      <c r="BEW282" s="173"/>
      <c r="BEX282" s="173"/>
      <c r="BEY282" s="173"/>
      <c r="BEZ282" s="173"/>
      <c r="BFA282" s="173"/>
      <c r="BFB282" s="173"/>
      <c r="BFC282" s="173"/>
      <c r="BFD282" s="173"/>
      <c r="BFE282" s="173"/>
      <c r="BFF282" s="173"/>
      <c r="BFG282" s="125"/>
      <c r="BFH282" s="125"/>
      <c r="BFI282" s="134"/>
      <c r="BFJ282" s="135"/>
      <c r="BFK282" s="135"/>
      <c r="BFL282" s="135"/>
      <c r="BFM282" s="135"/>
      <c r="BFN282" s="173"/>
      <c r="BFO282" s="173"/>
      <c r="BFP282" s="173"/>
      <c r="BFQ282" s="173"/>
      <c r="BFR282" s="173"/>
      <c r="BFS282" s="173"/>
      <c r="BFT282" s="173"/>
      <c r="BFU282" s="173"/>
      <c r="BFV282" s="173"/>
      <c r="BFW282" s="173"/>
      <c r="BFX282" s="125"/>
      <c r="BFY282" s="125"/>
      <c r="BFZ282" s="134"/>
      <c r="BGA282" s="135"/>
      <c r="BGB282" s="135"/>
      <c r="BGC282" s="135"/>
      <c r="BGD282" s="135"/>
      <c r="BGE282" s="173"/>
      <c r="BGF282" s="173"/>
      <c r="BGG282" s="173"/>
      <c r="BGH282" s="173"/>
      <c r="BGI282" s="173"/>
      <c r="BGJ282" s="173"/>
      <c r="BGK282" s="173"/>
      <c r="BGL282" s="173"/>
      <c r="BGM282" s="173"/>
      <c r="BGN282" s="173"/>
      <c r="BGO282" s="125"/>
      <c r="BGP282" s="125"/>
      <c r="BGQ282" s="134"/>
      <c r="BGR282" s="135"/>
      <c r="BGS282" s="135"/>
      <c r="BGT282" s="135"/>
      <c r="BGU282" s="135"/>
      <c r="BGV282" s="173"/>
      <c r="BGW282" s="173"/>
      <c r="BGX282" s="173"/>
      <c r="BGY282" s="173"/>
      <c r="BGZ282" s="173"/>
      <c r="BHA282" s="173"/>
      <c r="BHB282" s="173"/>
      <c r="BHC282" s="173"/>
      <c r="BHD282" s="173"/>
      <c r="BHE282" s="173"/>
      <c r="BHF282" s="125"/>
      <c r="BHG282" s="125"/>
      <c r="BHH282" s="134"/>
      <c r="BHI282" s="135"/>
      <c r="BHJ282" s="135"/>
      <c r="BHK282" s="135"/>
      <c r="BHL282" s="135"/>
      <c r="BHM282" s="173"/>
      <c r="BHN282" s="173"/>
      <c r="BHO282" s="173"/>
      <c r="BHP282" s="173"/>
      <c r="BHQ282" s="173"/>
      <c r="BHR282" s="173"/>
      <c r="BHS282" s="173"/>
      <c r="BHT282" s="173"/>
      <c r="BHU282" s="173"/>
      <c r="BHV282" s="173"/>
      <c r="BHW282" s="125"/>
      <c r="BHX282" s="125"/>
      <c r="BHY282" s="134"/>
      <c r="BHZ282" s="135"/>
      <c r="BIA282" s="135"/>
      <c r="BIB282" s="135"/>
      <c r="BIC282" s="135"/>
      <c r="BID282" s="173"/>
      <c r="BIE282" s="173"/>
      <c r="BIF282" s="173"/>
      <c r="BIG282" s="173"/>
      <c r="BIH282" s="173"/>
      <c r="BII282" s="173"/>
      <c r="BIJ282" s="173"/>
      <c r="BIK282" s="173"/>
      <c r="BIL282" s="173"/>
      <c r="BIM282" s="173"/>
      <c r="BIN282" s="125"/>
      <c r="BIO282" s="125"/>
      <c r="BIP282" s="134"/>
      <c r="BIQ282" s="135"/>
      <c r="BIR282" s="135"/>
      <c r="BIS282" s="135"/>
      <c r="BIT282" s="135"/>
      <c r="BIU282" s="173"/>
      <c r="BIV282" s="173"/>
      <c r="BIW282" s="173"/>
      <c r="BIX282" s="173"/>
      <c r="BIY282" s="173"/>
      <c r="BIZ282" s="173"/>
      <c r="BJA282" s="173"/>
      <c r="BJB282" s="173"/>
      <c r="BJC282" s="173"/>
      <c r="BJD282" s="173"/>
      <c r="BJE282" s="125"/>
      <c r="BJF282" s="125"/>
      <c r="BJG282" s="134"/>
      <c r="BJH282" s="135"/>
      <c r="BJI282" s="135"/>
      <c r="BJJ282" s="135"/>
      <c r="BJK282" s="135"/>
      <c r="BJL282" s="173"/>
      <c r="BJM282" s="173"/>
      <c r="BJN282" s="173"/>
      <c r="BJO282" s="173"/>
      <c r="BJP282" s="173"/>
      <c r="BJQ282" s="173"/>
      <c r="BJR282" s="173"/>
      <c r="BJS282" s="173"/>
      <c r="BJT282" s="173"/>
      <c r="BJU282" s="173"/>
      <c r="BJV282" s="125"/>
      <c r="BJW282" s="125"/>
      <c r="BJX282" s="134"/>
      <c r="BJY282" s="135"/>
      <c r="BJZ282" s="135"/>
      <c r="BKA282" s="135"/>
      <c r="BKB282" s="135"/>
      <c r="BKC282" s="173"/>
      <c r="BKD282" s="173"/>
      <c r="BKE282" s="173"/>
      <c r="BKF282" s="173"/>
      <c r="BKG282" s="173"/>
      <c r="BKH282" s="173"/>
      <c r="BKI282" s="173"/>
      <c r="BKJ282" s="173"/>
      <c r="BKK282" s="173"/>
      <c r="BKL282" s="173"/>
      <c r="BKM282" s="125"/>
      <c r="BKN282" s="125"/>
      <c r="BKO282" s="134"/>
      <c r="BKP282" s="135"/>
      <c r="BKQ282" s="135"/>
      <c r="BKR282" s="135"/>
      <c r="BKS282" s="135"/>
      <c r="BKT282" s="173"/>
      <c r="BKU282" s="173"/>
      <c r="BKV282" s="173"/>
      <c r="BKW282" s="173"/>
      <c r="BKX282" s="173"/>
      <c r="BKY282" s="173"/>
      <c r="BKZ282" s="173"/>
      <c r="BLA282" s="173"/>
      <c r="BLB282" s="173"/>
      <c r="BLC282" s="173"/>
      <c r="BLD282" s="125"/>
      <c r="BLE282" s="125"/>
      <c r="BLF282" s="134"/>
      <c r="BLG282" s="135"/>
      <c r="BLH282" s="135"/>
      <c r="BLI282" s="135"/>
      <c r="BLJ282" s="135"/>
      <c r="BLK282" s="173"/>
      <c r="BLL282" s="173"/>
      <c r="BLM282" s="173"/>
      <c r="BLN282" s="173"/>
      <c r="BLO282" s="173"/>
      <c r="BLP282" s="173"/>
      <c r="BLQ282" s="173"/>
      <c r="BLR282" s="173"/>
      <c r="BLS282" s="173"/>
      <c r="BLT282" s="173"/>
      <c r="BLU282" s="125"/>
      <c r="BLV282" s="125"/>
      <c r="BLW282" s="134"/>
      <c r="BLX282" s="135"/>
      <c r="BLY282" s="135"/>
      <c r="BLZ282" s="135"/>
      <c r="BMA282" s="135"/>
      <c r="BMB282" s="173"/>
      <c r="BMC282" s="173"/>
      <c r="BMD282" s="173"/>
      <c r="BME282" s="173"/>
      <c r="BMF282" s="173"/>
      <c r="BMG282" s="173"/>
      <c r="BMH282" s="173"/>
      <c r="BMI282" s="173"/>
      <c r="BMJ282" s="173"/>
      <c r="BMK282" s="173"/>
      <c r="BML282" s="125"/>
      <c r="BMM282" s="125"/>
      <c r="BMN282" s="134"/>
      <c r="BMO282" s="135"/>
      <c r="BMP282" s="135"/>
      <c r="BMQ282" s="135"/>
      <c r="BMR282" s="135"/>
      <c r="BMS282" s="173"/>
      <c r="BMT282" s="173"/>
      <c r="BMU282" s="173"/>
      <c r="BMV282" s="173"/>
      <c r="BMW282" s="173"/>
      <c r="BMX282" s="173"/>
      <c r="BMY282" s="173"/>
      <c r="BMZ282" s="173"/>
      <c r="BNA282" s="173"/>
      <c r="BNB282" s="173"/>
      <c r="BNC282" s="125"/>
      <c r="BND282" s="125"/>
      <c r="BNE282" s="134"/>
      <c r="BNF282" s="135"/>
      <c r="BNG282" s="135"/>
      <c r="BNH282" s="135"/>
      <c r="BNI282" s="135"/>
      <c r="BNJ282" s="173"/>
      <c r="BNK282" s="173"/>
      <c r="BNL282" s="173"/>
      <c r="BNM282" s="173"/>
      <c r="BNN282" s="173"/>
      <c r="BNO282" s="173"/>
      <c r="BNP282" s="173"/>
      <c r="BNQ282" s="173"/>
      <c r="BNR282" s="173"/>
      <c r="BNS282" s="173"/>
      <c r="BNT282" s="125"/>
      <c r="BNU282" s="125"/>
      <c r="BNV282" s="134"/>
      <c r="BNW282" s="135"/>
      <c r="BNX282" s="135"/>
      <c r="BNY282" s="135"/>
      <c r="BNZ282" s="135"/>
      <c r="BOA282" s="173"/>
      <c r="BOB282" s="173"/>
      <c r="BOC282" s="173"/>
      <c r="BOD282" s="173"/>
      <c r="BOE282" s="173"/>
      <c r="BOF282" s="173"/>
      <c r="BOG282" s="173"/>
      <c r="BOH282" s="173"/>
      <c r="BOI282" s="173"/>
      <c r="BOJ282" s="173"/>
      <c r="BOK282" s="125"/>
      <c r="BOL282" s="125"/>
      <c r="BOM282" s="134"/>
      <c r="BON282" s="135"/>
      <c r="BOO282" s="135"/>
      <c r="BOP282" s="135"/>
      <c r="BOQ282" s="135"/>
      <c r="BOR282" s="173"/>
      <c r="BOS282" s="173"/>
      <c r="BOT282" s="173"/>
      <c r="BOU282" s="173"/>
      <c r="BOV282" s="173"/>
      <c r="BOW282" s="173"/>
      <c r="BOX282" s="173"/>
      <c r="BOY282" s="173"/>
      <c r="BOZ282" s="173"/>
      <c r="BPA282" s="173"/>
      <c r="BPB282" s="125"/>
      <c r="BPC282" s="125"/>
      <c r="BPD282" s="134"/>
      <c r="BPE282" s="135"/>
      <c r="BPF282" s="135"/>
      <c r="BPG282" s="135"/>
      <c r="BPH282" s="135"/>
      <c r="BPI282" s="173"/>
      <c r="BPJ282" s="173"/>
      <c r="BPK282" s="173"/>
      <c r="BPL282" s="173"/>
      <c r="BPM282" s="173"/>
      <c r="BPN282" s="173"/>
      <c r="BPO282" s="173"/>
      <c r="BPP282" s="173"/>
      <c r="BPQ282" s="173"/>
      <c r="BPR282" s="173"/>
      <c r="BPS282" s="125"/>
      <c r="BPT282" s="125"/>
      <c r="BPU282" s="134"/>
      <c r="BPV282" s="135"/>
      <c r="BPW282" s="135"/>
      <c r="BPX282" s="135"/>
      <c r="BPY282" s="135"/>
      <c r="BPZ282" s="173"/>
      <c r="BQA282" s="173"/>
      <c r="BQB282" s="173"/>
      <c r="BQC282" s="173"/>
      <c r="BQD282" s="173"/>
      <c r="BQE282" s="173"/>
      <c r="BQF282" s="173"/>
      <c r="BQG282" s="173"/>
      <c r="BQH282" s="173"/>
      <c r="BQI282" s="173"/>
      <c r="BQJ282" s="125"/>
      <c r="BQK282" s="125"/>
      <c r="BQL282" s="134"/>
      <c r="BQM282" s="135"/>
      <c r="BQN282" s="135"/>
      <c r="BQO282" s="135"/>
      <c r="BQP282" s="135"/>
      <c r="BQQ282" s="173"/>
      <c r="BQR282" s="173"/>
      <c r="BQS282" s="173"/>
      <c r="BQT282" s="173"/>
      <c r="BQU282" s="173"/>
      <c r="BQV282" s="173"/>
      <c r="BQW282" s="173"/>
      <c r="BQX282" s="173"/>
      <c r="BQY282" s="173"/>
      <c r="BQZ282" s="173"/>
      <c r="BRA282" s="125"/>
      <c r="BRB282" s="125"/>
      <c r="BRC282" s="134"/>
      <c r="BRD282" s="135"/>
      <c r="BRE282" s="135"/>
      <c r="BRF282" s="135"/>
      <c r="BRG282" s="135"/>
      <c r="BRH282" s="173"/>
      <c r="BRI282" s="173"/>
      <c r="BRJ282" s="173"/>
      <c r="BRK282" s="173"/>
      <c r="BRL282" s="173"/>
      <c r="BRM282" s="173"/>
      <c r="BRN282" s="173"/>
      <c r="BRO282" s="173"/>
      <c r="BRP282" s="173"/>
      <c r="BRQ282" s="173"/>
      <c r="BRR282" s="125"/>
      <c r="BRS282" s="125"/>
      <c r="BRT282" s="134"/>
      <c r="BRU282" s="135"/>
      <c r="BRV282" s="135"/>
      <c r="BRW282" s="135"/>
      <c r="BRX282" s="135"/>
      <c r="BRY282" s="173"/>
      <c r="BRZ282" s="173"/>
      <c r="BSA282" s="173"/>
      <c r="BSB282" s="173"/>
      <c r="BSC282" s="173"/>
      <c r="BSD282" s="173"/>
      <c r="BSE282" s="173"/>
      <c r="BSF282" s="173"/>
      <c r="BSG282" s="173"/>
      <c r="BSH282" s="173"/>
      <c r="BSI282" s="125"/>
      <c r="BSJ282" s="125"/>
      <c r="BSK282" s="134"/>
      <c r="BSL282" s="135"/>
      <c r="BSM282" s="135"/>
      <c r="BSN282" s="135"/>
      <c r="BSO282" s="135"/>
      <c r="BSP282" s="173"/>
      <c r="BSQ282" s="173"/>
      <c r="BSR282" s="173"/>
      <c r="BSS282" s="173"/>
      <c r="BST282" s="173"/>
      <c r="BSU282" s="173"/>
      <c r="BSV282" s="173"/>
      <c r="BSW282" s="173"/>
      <c r="BSX282" s="173"/>
      <c r="BSY282" s="173"/>
      <c r="BSZ282" s="125"/>
      <c r="BTA282" s="125"/>
      <c r="BTB282" s="134"/>
      <c r="BTC282" s="135"/>
      <c r="BTD282" s="135"/>
      <c r="BTE282" s="135"/>
      <c r="BTF282" s="135"/>
      <c r="BTG282" s="173"/>
      <c r="BTH282" s="173"/>
      <c r="BTI282" s="173"/>
      <c r="BTJ282" s="173"/>
      <c r="BTK282" s="173"/>
      <c r="BTL282" s="173"/>
      <c r="BTM282" s="173"/>
      <c r="BTN282" s="173"/>
      <c r="BTO282" s="173"/>
      <c r="BTP282" s="173"/>
      <c r="BTQ282" s="125"/>
      <c r="BTR282" s="125"/>
      <c r="BTS282" s="134"/>
      <c r="BTT282" s="135"/>
      <c r="BTU282" s="135"/>
      <c r="BTV282" s="135"/>
      <c r="BTW282" s="135"/>
      <c r="BTX282" s="173"/>
      <c r="BTY282" s="173"/>
      <c r="BTZ282" s="173"/>
      <c r="BUA282" s="173"/>
      <c r="BUB282" s="173"/>
      <c r="BUC282" s="173"/>
      <c r="BUD282" s="173"/>
      <c r="BUE282" s="173"/>
      <c r="BUF282" s="173"/>
      <c r="BUG282" s="173"/>
      <c r="BUH282" s="125"/>
      <c r="BUI282" s="125"/>
      <c r="BUJ282" s="134"/>
      <c r="BUK282" s="135"/>
      <c r="BUL282" s="135"/>
      <c r="BUM282" s="135"/>
      <c r="BUN282" s="135"/>
      <c r="BUO282" s="173"/>
      <c r="BUP282" s="173"/>
      <c r="BUQ282" s="173"/>
      <c r="BUR282" s="173"/>
      <c r="BUS282" s="173"/>
      <c r="BUT282" s="173"/>
      <c r="BUU282" s="173"/>
      <c r="BUV282" s="173"/>
      <c r="BUW282" s="173"/>
      <c r="BUX282" s="173"/>
      <c r="BUY282" s="125"/>
      <c r="BUZ282" s="125"/>
      <c r="BVA282" s="134"/>
      <c r="BVB282" s="135"/>
      <c r="BVC282" s="135"/>
      <c r="BVD282" s="135"/>
      <c r="BVE282" s="135"/>
      <c r="BVF282" s="173"/>
      <c r="BVG282" s="173"/>
      <c r="BVH282" s="173"/>
      <c r="BVI282" s="173"/>
      <c r="BVJ282" s="173"/>
      <c r="BVK282" s="173"/>
      <c r="BVL282" s="173"/>
      <c r="BVM282" s="173"/>
      <c r="BVN282" s="173"/>
      <c r="BVO282" s="173"/>
      <c r="BVP282" s="125"/>
      <c r="BVQ282" s="125"/>
      <c r="BVR282" s="134"/>
      <c r="BVS282" s="135"/>
      <c r="BVT282" s="135"/>
      <c r="BVU282" s="135"/>
      <c r="BVV282" s="135"/>
      <c r="BVW282" s="173"/>
      <c r="BVX282" s="173"/>
      <c r="BVY282" s="173"/>
      <c r="BVZ282" s="173"/>
      <c r="BWA282" s="173"/>
      <c r="BWB282" s="173"/>
      <c r="BWC282" s="173"/>
      <c r="BWD282" s="173"/>
      <c r="BWE282" s="173"/>
      <c r="BWF282" s="173"/>
      <c r="BWG282" s="125"/>
      <c r="BWH282" s="125"/>
      <c r="BWI282" s="134"/>
      <c r="BWJ282" s="135"/>
      <c r="BWK282" s="135"/>
      <c r="BWL282" s="135"/>
      <c r="BWM282" s="135"/>
      <c r="BWN282" s="173"/>
      <c r="BWO282" s="173"/>
      <c r="BWP282" s="173"/>
      <c r="BWQ282" s="173"/>
      <c r="BWR282" s="173"/>
      <c r="BWS282" s="173"/>
      <c r="BWT282" s="173"/>
      <c r="BWU282" s="173"/>
      <c r="BWV282" s="173"/>
      <c r="BWW282" s="173"/>
      <c r="BWX282" s="125"/>
      <c r="BWY282" s="125"/>
      <c r="BWZ282" s="134"/>
      <c r="BXA282" s="135"/>
      <c r="BXB282" s="135"/>
      <c r="BXC282" s="135"/>
      <c r="BXD282" s="135"/>
      <c r="BXE282" s="173"/>
      <c r="BXF282" s="173"/>
      <c r="BXG282" s="173"/>
      <c r="BXH282" s="173"/>
      <c r="BXI282" s="173"/>
      <c r="BXJ282" s="173"/>
      <c r="BXK282" s="173"/>
      <c r="BXL282" s="173"/>
      <c r="BXM282" s="173"/>
      <c r="BXN282" s="173"/>
      <c r="BXO282" s="125"/>
      <c r="BXP282" s="125"/>
      <c r="BXQ282" s="134"/>
      <c r="BXR282" s="135"/>
      <c r="BXS282" s="135"/>
      <c r="BXT282" s="135"/>
      <c r="BXU282" s="135"/>
      <c r="BXV282" s="173"/>
      <c r="BXW282" s="173"/>
      <c r="BXX282" s="173"/>
      <c r="BXY282" s="173"/>
      <c r="BXZ282" s="173"/>
      <c r="BYA282" s="173"/>
      <c r="BYB282" s="173"/>
      <c r="BYC282" s="173"/>
      <c r="BYD282" s="173"/>
      <c r="BYE282" s="173"/>
      <c r="BYF282" s="125"/>
      <c r="BYG282" s="125"/>
      <c r="BYH282" s="134"/>
      <c r="BYI282" s="135"/>
      <c r="BYJ282" s="135"/>
      <c r="BYK282" s="135"/>
      <c r="BYL282" s="135"/>
      <c r="BYM282" s="173"/>
      <c r="BYN282" s="173"/>
      <c r="BYO282" s="173"/>
      <c r="BYP282" s="173"/>
      <c r="BYQ282" s="173"/>
      <c r="BYR282" s="173"/>
      <c r="BYS282" s="173"/>
      <c r="BYT282" s="173"/>
      <c r="BYU282" s="173"/>
      <c r="BYV282" s="173"/>
      <c r="BYW282" s="125"/>
      <c r="BYX282" s="125"/>
      <c r="BYY282" s="134"/>
      <c r="BYZ282" s="135"/>
      <c r="BZA282" s="135"/>
      <c r="BZB282" s="135"/>
      <c r="BZC282" s="135"/>
      <c r="BZD282" s="173"/>
      <c r="BZE282" s="173"/>
      <c r="BZF282" s="173"/>
      <c r="BZG282" s="173"/>
      <c r="BZH282" s="173"/>
      <c r="BZI282" s="173"/>
      <c r="BZJ282" s="173"/>
      <c r="BZK282" s="173"/>
      <c r="BZL282" s="173"/>
      <c r="BZM282" s="173"/>
      <c r="BZN282" s="125"/>
      <c r="BZO282" s="125"/>
      <c r="BZP282" s="134"/>
      <c r="BZQ282" s="135"/>
      <c r="BZR282" s="135"/>
      <c r="BZS282" s="135"/>
      <c r="BZT282" s="135"/>
      <c r="BZU282" s="173"/>
      <c r="BZV282" s="173"/>
      <c r="BZW282" s="173"/>
      <c r="BZX282" s="173"/>
      <c r="BZY282" s="173"/>
      <c r="BZZ282" s="173"/>
      <c r="CAA282" s="173"/>
      <c r="CAB282" s="173"/>
      <c r="CAC282" s="173"/>
      <c r="CAD282" s="173"/>
      <c r="CAE282" s="125"/>
      <c r="CAF282" s="125"/>
      <c r="CAG282" s="134"/>
      <c r="CAH282" s="135"/>
      <c r="CAI282" s="135"/>
      <c r="CAJ282" s="135"/>
      <c r="CAK282" s="135"/>
      <c r="CAL282" s="173"/>
      <c r="CAM282" s="173"/>
      <c r="CAN282" s="173"/>
      <c r="CAO282" s="173"/>
      <c r="CAP282" s="173"/>
      <c r="CAQ282" s="173"/>
      <c r="CAR282" s="173"/>
      <c r="CAS282" s="173"/>
      <c r="CAT282" s="173"/>
      <c r="CAU282" s="173"/>
      <c r="CAV282" s="125"/>
      <c r="CAW282" s="125"/>
      <c r="CAX282" s="134"/>
      <c r="CAY282" s="135"/>
      <c r="CAZ282" s="135"/>
      <c r="CBA282" s="135"/>
      <c r="CBB282" s="135"/>
      <c r="CBC282" s="173"/>
      <c r="CBD282" s="173"/>
      <c r="CBE282" s="173"/>
      <c r="CBF282" s="173"/>
      <c r="CBG282" s="173"/>
      <c r="CBH282" s="173"/>
      <c r="CBI282" s="173"/>
      <c r="CBJ282" s="173"/>
      <c r="CBK282" s="173"/>
      <c r="CBL282" s="173"/>
      <c r="CBM282" s="125"/>
      <c r="CBN282" s="125"/>
      <c r="CBO282" s="134"/>
      <c r="CBP282" s="135"/>
      <c r="CBQ282" s="135"/>
      <c r="CBR282" s="135"/>
      <c r="CBS282" s="135"/>
      <c r="CBT282" s="173"/>
      <c r="CBU282" s="173"/>
      <c r="CBV282" s="173"/>
      <c r="CBW282" s="173"/>
      <c r="CBX282" s="173"/>
      <c r="CBY282" s="173"/>
      <c r="CBZ282" s="173"/>
      <c r="CCA282" s="173"/>
      <c r="CCB282" s="173"/>
      <c r="CCC282" s="173"/>
      <c r="CCD282" s="125"/>
      <c r="CCE282" s="125"/>
      <c r="CCF282" s="134"/>
      <c r="CCG282" s="135"/>
      <c r="CCH282" s="135"/>
      <c r="CCI282" s="135"/>
      <c r="CCJ282" s="135"/>
      <c r="CCK282" s="173"/>
      <c r="CCL282" s="173"/>
      <c r="CCM282" s="173"/>
      <c r="CCN282" s="173"/>
      <c r="CCO282" s="173"/>
      <c r="CCP282" s="173"/>
      <c r="CCQ282" s="173"/>
      <c r="CCR282" s="173"/>
      <c r="CCS282" s="173"/>
      <c r="CCT282" s="173"/>
      <c r="CCU282" s="125"/>
      <c r="CCV282" s="125"/>
      <c r="CCW282" s="134"/>
      <c r="CCX282" s="135"/>
      <c r="CCY282" s="135"/>
      <c r="CCZ282" s="135"/>
      <c r="CDA282" s="135"/>
      <c r="CDB282" s="173"/>
      <c r="CDC282" s="173"/>
      <c r="CDD282" s="173"/>
      <c r="CDE282" s="173"/>
      <c r="CDF282" s="173"/>
      <c r="CDG282" s="173"/>
      <c r="CDH282" s="173"/>
      <c r="CDI282" s="173"/>
      <c r="CDJ282" s="173"/>
      <c r="CDK282" s="173"/>
      <c r="CDL282" s="125"/>
      <c r="CDM282" s="125"/>
      <c r="CDN282" s="134"/>
      <c r="CDO282" s="135"/>
      <c r="CDP282" s="135"/>
      <c r="CDQ282" s="135"/>
      <c r="CDR282" s="135"/>
      <c r="CDS282" s="173"/>
      <c r="CDT282" s="173"/>
      <c r="CDU282" s="173"/>
      <c r="CDV282" s="173"/>
      <c r="CDW282" s="173"/>
      <c r="CDX282" s="173"/>
      <c r="CDY282" s="173"/>
      <c r="CDZ282" s="173"/>
      <c r="CEA282" s="173"/>
      <c r="CEB282" s="173"/>
      <c r="CEC282" s="125"/>
      <c r="CED282" s="125"/>
      <c r="CEE282" s="134"/>
      <c r="CEF282" s="135"/>
      <c r="CEG282" s="135"/>
      <c r="CEH282" s="135"/>
      <c r="CEI282" s="135"/>
      <c r="CEJ282" s="173"/>
      <c r="CEK282" s="173"/>
      <c r="CEL282" s="173"/>
      <c r="CEM282" s="173"/>
      <c r="CEN282" s="173"/>
      <c r="CEO282" s="173"/>
      <c r="CEP282" s="173"/>
      <c r="CEQ282" s="173"/>
      <c r="CER282" s="173"/>
      <c r="CES282" s="173"/>
      <c r="CET282" s="125"/>
      <c r="CEU282" s="125"/>
      <c r="CEV282" s="134"/>
      <c r="CEW282" s="135"/>
      <c r="CEX282" s="135"/>
      <c r="CEY282" s="135"/>
      <c r="CEZ282" s="135"/>
      <c r="CFA282" s="173"/>
      <c r="CFB282" s="173"/>
      <c r="CFC282" s="173"/>
      <c r="CFD282" s="173"/>
      <c r="CFE282" s="173"/>
      <c r="CFF282" s="173"/>
      <c r="CFG282" s="173"/>
      <c r="CFH282" s="173"/>
      <c r="CFI282" s="173"/>
      <c r="CFJ282" s="173"/>
      <c r="CFK282" s="125"/>
      <c r="CFL282" s="125"/>
      <c r="CFM282" s="134"/>
      <c r="CFN282" s="135"/>
      <c r="CFO282" s="135"/>
      <c r="CFP282" s="135"/>
      <c r="CFQ282" s="135"/>
      <c r="CFR282" s="173"/>
      <c r="CFS282" s="173"/>
      <c r="CFT282" s="173"/>
      <c r="CFU282" s="173"/>
      <c r="CFV282" s="173"/>
      <c r="CFW282" s="173"/>
      <c r="CFX282" s="173"/>
      <c r="CFY282" s="173"/>
      <c r="CFZ282" s="173"/>
      <c r="CGA282" s="173"/>
      <c r="CGB282" s="125"/>
      <c r="CGC282" s="125"/>
      <c r="CGD282" s="134"/>
      <c r="CGE282" s="135"/>
      <c r="CGF282" s="135"/>
      <c r="CGG282" s="135"/>
      <c r="CGH282" s="135"/>
      <c r="CGI282" s="173"/>
      <c r="CGJ282" s="173"/>
      <c r="CGK282" s="173"/>
      <c r="CGL282" s="173"/>
      <c r="CGM282" s="173"/>
      <c r="CGN282" s="173"/>
      <c r="CGO282" s="173"/>
      <c r="CGP282" s="173"/>
      <c r="CGQ282" s="173"/>
      <c r="CGR282" s="173"/>
      <c r="CGS282" s="125"/>
      <c r="CGT282" s="125"/>
      <c r="CGU282" s="134"/>
      <c r="CGV282" s="135"/>
      <c r="CGW282" s="135"/>
      <c r="CGX282" s="135"/>
      <c r="CGY282" s="135"/>
      <c r="CGZ282" s="173"/>
      <c r="CHA282" s="173"/>
      <c r="CHB282" s="173"/>
      <c r="CHC282" s="173"/>
      <c r="CHD282" s="173"/>
      <c r="CHE282" s="173"/>
      <c r="CHF282" s="173"/>
      <c r="CHG282" s="173"/>
      <c r="CHH282" s="173"/>
      <c r="CHI282" s="173"/>
      <c r="CHJ282" s="125"/>
      <c r="CHK282" s="125"/>
      <c r="CHL282" s="134"/>
      <c r="CHM282" s="135"/>
      <c r="CHN282" s="135"/>
      <c r="CHO282" s="135"/>
      <c r="CHP282" s="135"/>
      <c r="CHQ282" s="173"/>
      <c r="CHR282" s="173"/>
      <c r="CHS282" s="173"/>
      <c r="CHT282" s="173"/>
      <c r="CHU282" s="173"/>
      <c r="CHV282" s="173"/>
      <c r="CHW282" s="173"/>
      <c r="CHX282" s="173"/>
      <c r="CHY282" s="173"/>
      <c r="CHZ282" s="173"/>
      <c r="CIA282" s="125"/>
      <c r="CIB282" s="125"/>
      <c r="CIC282" s="134"/>
      <c r="CID282" s="135"/>
      <c r="CIE282" s="135"/>
      <c r="CIF282" s="135"/>
      <c r="CIG282" s="135"/>
      <c r="CIH282" s="173"/>
      <c r="CII282" s="173"/>
      <c r="CIJ282" s="173"/>
      <c r="CIK282" s="173"/>
      <c r="CIL282" s="173"/>
      <c r="CIM282" s="173"/>
      <c r="CIN282" s="173"/>
      <c r="CIO282" s="173"/>
      <c r="CIP282" s="173"/>
      <c r="CIQ282" s="173"/>
      <c r="CIR282" s="125"/>
      <c r="CIS282" s="125"/>
      <c r="CIT282" s="134"/>
      <c r="CIU282" s="135"/>
      <c r="CIV282" s="135"/>
      <c r="CIW282" s="135"/>
      <c r="CIX282" s="135"/>
      <c r="CIY282" s="173"/>
      <c r="CIZ282" s="173"/>
      <c r="CJA282" s="173"/>
      <c r="CJB282" s="173"/>
      <c r="CJC282" s="173"/>
      <c r="CJD282" s="173"/>
      <c r="CJE282" s="173"/>
      <c r="CJF282" s="173"/>
      <c r="CJG282" s="173"/>
      <c r="CJH282" s="173"/>
      <c r="CJI282" s="125"/>
      <c r="CJJ282" s="125"/>
      <c r="CJK282" s="134"/>
      <c r="CJL282" s="135"/>
      <c r="CJM282" s="135"/>
      <c r="CJN282" s="135"/>
      <c r="CJO282" s="135"/>
      <c r="CJP282" s="173"/>
      <c r="CJQ282" s="173"/>
      <c r="CJR282" s="173"/>
      <c r="CJS282" s="173"/>
      <c r="CJT282" s="173"/>
      <c r="CJU282" s="173"/>
      <c r="CJV282" s="173"/>
      <c r="CJW282" s="173"/>
      <c r="CJX282" s="173"/>
      <c r="CJY282" s="173"/>
      <c r="CJZ282" s="125"/>
      <c r="CKA282" s="125"/>
      <c r="CKB282" s="134"/>
      <c r="CKC282" s="135"/>
      <c r="CKD282" s="135"/>
      <c r="CKE282" s="135"/>
      <c r="CKF282" s="135"/>
      <c r="CKG282" s="173"/>
      <c r="CKH282" s="173"/>
      <c r="CKI282" s="173"/>
      <c r="CKJ282" s="173"/>
      <c r="CKK282" s="173"/>
      <c r="CKL282" s="173"/>
      <c r="CKM282" s="173"/>
      <c r="CKN282" s="173"/>
      <c r="CKO282" s="173"/>
      <c r="CKP282" s="173"/>
      <c r="CKQ282" s="125"/>
      <c r="CKR282" s="125"/>
      <c r="CKS282" s="134"/>
      <c r="CKT282" s="135"/>
      <c r="CKU282" s="135"/>
      <c r="CKV282" s="135"/>
      <c r="CKW282" s="135"/>
      <c r="CKX282" s="173"/>
      <c r="CKY282" s="173"/>
      <c r="CKZ282" s="173"/>
      <c r="CLA282" s="173"/>
      <c r="CLB282" s="173"/>
      <c r="CLC282" s="173"/>
      <c r="CLD282" s="173"/>
      <c r="CLE282" s="173"/>
      <c r="CLF282" s="173"/>
      <c r="CLG282" s="173"/>
      <c r="CLH282" s="125"/>
      <c r="CLI282" s="125"/>
      <c r="CLJ282" s="134"/>
      <c r="CLK282" s="135"/>
      <c r="CLL282" s="135"/>
      <c r="CLM282" s="135"/>
      <c r="CLN282" s="135"/>
      <c r="CLO282" s="173"/>
      <c r="CLP282" s="173"/>
      <c r="CLQ282" s="173"/>
      <c r="CLR282" s="173"/>
      <c r="CLS282" s="173"/>
      <c r="CLT282" s="173"/>
      <c r="CLU282" s="173"/>
      <c r="CLV282" s="173"/>
      <c r="CLW282" s="173"/>
      <c r="CLX282" s="173"/>
      <c r="CLY282" s="125"/>
      <c r="CLZ282" s="125"/>
      <c r="CMA282" s="134"/>
      <c r="CMB282" s="135"/>
      <c r="CMC282" s="135"/>
      <c r="CMD282" s="135"/>
      <c r="CME282" s="135"/>
      <c r="CMF282" s="173"/>
      <c r="CMG282" s="173"/>
      <c r="CMH282" s="173"/>
      <c r="CMI282" s="173"/>
      <c r="CMJ282" s="173"/>
      <c r="CMK282" s="173"/>
      <c r="CML282" s="173"/>
      <c r="CMM282" s="173"/>
      <c r="CMN282" s="173"/>
      <c r="CMO282" s="173"/>
      <c r="CMP282" s="125"/>
      <c r="CMQ282" s="125"/>
      <c r="CMR282" s="134"/>
      <c r="CMS282" s="135"/>
      <c r="CMT282" s="135"/>
      <c r="CMU282" s="135"/>
      <c r="CMV282" s="135"/>
      <c r="CMW282" s="173"/>
      <c r="CMX282" s="173"/>
      <c r="CMY282" s="173"/>
      <c r="CMZ282" s="173"/>
      <c r="CNA282" s="173"/>
      <c r="CNB282" s="173"/>
      <c r="CNC282" s="173"/>
      <c r="CND282" s="173"/>
      <c r="CNE282" s="173"/>
      <c r="CNF282" s="173"/>
      <c r="CNG282" s="125"/>
      <c r="CNH282" s="125"/>
      <c r="CNI282" s="134"/>
      <c r="CNJ282" s="135"/>
      <c r="CNK282" s="135"/>
      <c r="CNL282" s="135"/>
      <c r="CNM282" s="135"/>
      <c r="CNN282" s="173"/>
      <c r="CNO282" s="173"/>
      <c r="CNP282" s="173"/>
      <c r="CNQ282" s="173"/>
      <c r="CNR282" s="173"/>
      <c r="CNS282" s="173"/>
      <c r="CNT282" s="173"/>
      <c r="CNU282" s="173"/>
      <c r="CNV282" s="173"/>
      <c r="CNW282" s="173"/>
      <c r="CNX282" s="125"/>
      <c r="CNY282" s="125"/>
      <c r="CNZ282" s="134"/>
      <c r="COA282" s="135"/>
      <c r="COB282" s="135"/>
      <c r="COC282" s="135"/>
      <c r="COD282" s="135"/>
      <c r="COE282" s="173"/>
      <c r="COF282" s="173"/>
      <c r="COG282" s="173"/>
      <c r="COH282" s="173"/>
      <c r="COI282" s="173"/>
      <c r="COJ282" s="173"/>
      <c r="COK282" s="173"/>
      <c r="COL282" s="173"/>
      <c r="COM282" s="173"/>
      <c r="CON282" s="173"/>
      <c r="COO282" s="125"/>
      <c r="COP282" s="125"/>
      <c r="COQ282" s="134"/>
      <c r="COR282" s="135"/>
      <c r="COS282" s="135"/>
      <c r="COT282" s="135"/>
      <c r="COU282" s="135"/>
      <c r="COV282" s="173"/>
      <c r="COW282" s="173"/>
      <c r="COX282" s="173"/>
      <c r="COY282" s="173"/>
      <c r="COZ282" s="173"/>
      <c r="CPA282" s="173"/>
      <c r="CPB282" s="173"/>
      <c r="CPC282" s="173"/>
      <c r="CPD282" s="173"/>
      <c r="CPE282" s="173"/>
      <c r="CPF282" s="125"/>
      <c r="CPG282" s="125"/>
      <c r="CPH282" s="134"/>
      <c r="CPI282" s="135"/>
      <c r="CPJ282" s="135"/>
      <c r="CPK282" s="135"/>
      <c r="CPL282" s="135"/>
      <c r="CPM282" s="173"/>
      <c r="CPN282" s="173"/>
      <c r="CPO282" s="173"/>
      <c r="CPP282" s="173"/>
      <c r="CPQ282" s="173"/>
      <c r="CPR282" s="173"/>
      <c r="CPS282" s="173"/>
      <c r="CPT282" s="173"/>
      <c r="CPU282" s="173"/>
      <c r="CPV282" s="173"/>
      <c r="CPW282" s="125"/>
      <c r="CPX282" s="125"/>
      <c r="CPY282" s="134"/>
      <c r="CPZ282" s="135"/>
      <c r="CQA282" s="135"/>
      <c r="CQB282" s="135"/>
      <c r="CQC282" s="135"/>
      <c r="CQD282" s="173"/>
      <c r="CQE282" s="173"/>
      <c r="CQF282" s="173"/>
      <c r="CQG282" s="173"/>
      <c r="CQH282" s="173"/>
      <c r="CQI282" s="173"/>
      <c r="CQJ282" s="173"/>
      <c r="CQK282" s="173"/>
      <c r="CQL282" s="173"/>
      <c r="CQM282" s="173"/>
      <c r="CQN282" s="125"/>
      <c r="CQO282" s="125"/>
      <c r="CQP282" s="134"/>
      <c r="CQQ282" s="135"/>
      <c r="CQR282" s="135"/>
      <c r="CQS282" s="135"/>
      <c r="CQT282" s="135"/>
      <c r="CQU282" s="173"/>
      <c r="CQV282" s="173"/>
      <c r="CQW282" s="173"/>
      <c r="CQX282" s="173"/>
      <c r="CQY282" s="173"/>
      <c r="CQZ282" s="173"/>
      <c r="CRA282" s="173"/>
      <c r="CRB282" s="173"/>
      <c r="CRC282" s="173"/>
      <c r="CRD282" s="173"/>
      <c r="CRE282" s="125"/>
      <c r="CRF282" s="125"/>
      <c r="CRG282" s="134"/>
      <c r="CRH282" s="135"/>
      <c r="CRI282" s="135"/>
      <c r="CRJ282" s="135"/>
      <c r="CRK282" s="135"/>
      <c r="CRL282" s="173"/>
      <c r="CRM282" s="173"/>
      <c r="CRN282" s="173"/>
      <c r="CRO282" s="173"/>
      <c r="CRP282" s="173"/>
      <c r="CRQ282" s="173"/>
      <c r="CRR282" s="173"/>
      <c r="CRS282" s="173"/>
      <c r="CRT282" s="173"/>
      <c r="CRU282" s="173"/>
      <c r="CRV282" s="125"/>
      <c r="CRW282" s="125"/>
      <c r="CRX282" s="134"/>
      <c r="CRY282" s="135"/>
      <c r="CRZ282" s="135"/>
      <c r="CSA282" s="135"/>
      <c r="CSB282" s="135"/>
      <c r="CSC282" s="173"/>
      <c r="CSD282" s="173"/>
      <c r="CSE282" s="173"/>
      <c r="CSF282" s="173"/>
      <c r="CSG282" s="173"/>
      <c r="CSH282" s="173"/>
      <c r="CSI282" s="173"/>
      <c r="CSJ282" s="173"/>
      <c r="CSK282" s="173"/>
      <c r="CSL282" s="173"/>
      <c r="CSM282" s="125"/>
      <c r="CSN282" s="125"/>
      <c r="CSO282" s="134"/>
      <c r="CSP282" s="135"/>
      <c r="CSQ282" s="135"/>
      <c r="CSR282" s="135"/>
      <c r="CSS282" s="135"/>
      <c r="CST282" s="173"/>
      <c r="CSU282" s="173"/>
      <c r="CSV282" s="173"/>
      <c r="CSW282" s="173"/>
      <c r="CSX282" s="173"/>
      <c r="CSY282" s="173"/>
      <c r="CSZ282" s="173"/>
      <c r="CTA282" s="173"/>
      <c r="CTB282" s="173"/>
      <c r="CTC282" s="173"/>
      <c r="CTD282" s="125"/>
      <c r="CTE282" s="125"/>
      <c r="CTF282" s="134"/>
      <c r="CTG282" s="135"/>
      <c r="CTH282" s="135"/>
      <c r="CTI282" s="135"/>
      <c r="CTJ282" s="135"/>
      <c r="CTK282" s="173"/>
      <c r="CTL282" s="173"/>
      <c r="CTM282" s="173"/>
      <c r="CTN282" s="173"/>
      <c r="CTO282" s="173"/>
      <c r="CTP282" s="173"/>
      <c r="CTQ282" s="173"/>
      <c r="CTR282" s="173"/>
      <c r="CTS282" s="173"/>
      <c r="CTT282" s="173"/>
      <c r="CTU282" s="125"/>
      <c r="CTV282" s="125"/>
      <c r="CTW282" s="134"/>
      <c r="CTX282" s="135"/>
      <c r="CTY282" s="135"/>
      <c r="CTZ282" s="135"/>
      <c r="CUA282" s="135"/>
      <c r="CUB282" s="173"/>
      <c r="CUC282" s="173"/>
      <c r="CUD282" s="173"/>
      <c r="CUE282" s="173"/>
      <c r="CUF282" s="173"/>
      <c r="CUG282" s="173"/>
      <c r="CUH282" s="173"/>
      <c r="CUI282" s="173"/>
      <c r="CUJ282" s="173"/>
      <c r="CUK282" s="173"/>
      <c r="CUL282" s="125"/>
      <c r="CUM282" s="125"/>
      <c r="CUN282" s="134"/>
      <c r="CUO282" s="135"/>
      <c r="CUP282" s="135"/>
      <c r="CUQ282" s="135"/>
      <c r="CUR282" s="135"/>
      <c r="CUS282" s="173"/>
      <c r="CUT282" s="173"/>
      <c r="CUU282" s="173"/>
      <c r="CUV282" s="173"/>
      <c r="CUW282" s="173"/>
      <c r="CUX282" s="173"/>
      <c r="CUY282" s="173"/>
      <c r="CUZ282" s="173"/>
      <c r="CVA282" s="173"/>
      <c r="CVB282" s="173"/>
      <c r="CVC282" s="125"/>
      <c r="CVD282" s="125"/>
      <c r="CVE282" s="134"/>
      <c r="CVF282" s="135"/>
      <c r="CVG282" s="135"/>
      <c r="CVH282" s="135"/>
      <c r="CVI282" s="135"/>
      <c r="CVJ282" s="173"/>
      <c r="CVK282" s="173"/>
      <c r="CVL282" s="173"/>
      <c r="CVM282" s="173"/>
      <c r="CVN282" s="173"/>
      <c r="CVO282" s="173"/>
      <c r="CVP282" s="173"/>
      <c r="CVQ282" s="173"/>
      <c r="CVR282" s="173"/>
      <c r="CVS282" s="173"/>
      <c r="CVT282" s="125"/>
      <c r="CVU282" s="125"/>
      <c r="CVV282" s="134"/>
      <c r="CVW282" s="135"/>
      <c r="CVX282" s="135"/>
      <c r="CVY282" s="135"/>
      <c r="CVZ282" s="135"/>
      <c r="CWA282" s="173"/>
      <c r="CWB282" s="173"/>
      <c r="CWC282" s="173"/>
      <c r="CWD282" s="173"/>
      <c r="CWE282" s="173"/>
      <c r="CWF282" s="173"/>
      <c r="CWG282" s="173"/>
      <c r="CWH282" s="173"/>
      <c r="CWI282" s="173"/>
      <c r="CWJ282" s="173"/>
      <c r="CWK282" s="125"/>
      <c r="CWL282" s="125"/>
      <c r="CWM282" s="134"/>
      <c r="CWN282" s="135"/>
      <c r="CWO282" s="135"/>
      <c r="CWP282" s="135"/>
      <c r="CWQ282" s="135"/>
      <c r="CWR282" s="173"/>
      <c r="CWS282" s="173"/>
      <c r="CWT282" s="173"/>
      <c r="CWU282" s="173"/>
      <c r="CWV282" s="173"/>
      <c r="CWW282" s="173"/>
      <c r="CWX282" s="173"/>
      <c r="CWY282" s="173"/>
      <c r="CWZ282" s="173"/>
      <c r="CXA282" s="173"/>
      <c r="CXB282" s="125"/>
      <c r="CXC282" s="125"/>
      <c r="CXD282" s="134"/>
      <c r="CXE282" s="135"/>
      <c r="CXF282" s="135"/>
      <c r="CXG282" s="135"/>
      <c r="CXH282" s="135"/>
      <c r="CXI282" s="173"/>
      <c r="CXJ282" s="173"/>
      <c r="CXK282" s="173"/>
      <c r="CXL282" s="173"/>
      <c r="CXM282" s="173"/>
      <c r="CXN282" s="173"/>
      <c r="CXO282" s="173"/>
      <c r="CXP282" s="173"/>
      <c r="CXQ282" s="173"/>
      <c r="CXR282" s="173"/>
      <c r="CXS282" s="125"/>
      <c r="CXT282" s="125"/>
      <c r="CXU282" s="134"/>
      <c r="CXV282" s="135"/>
      <c r="CXW282" s="135"/>
      <c r="CXX282" s="135"/>
      <c r="CXY282" s="135"/>
      <c r="CXZ282" s="173"/>
      <c r="CYA282" s="173"/>
      <c r="CYB282" s="173"/>
      <c r="CYC282" s="173"/>
      <c r="CYD282" s="173"/>
      <c r="CYE282" s="173"/>
      <c r="CYF282" s="173"/>
      <c r="CYG282" s="173"/>
      <c r="CYH282" s="173"/>
      <c r="CYI282" s="173"/>
      <c r="CYJ282" s="125"/>
      <c r="CYK282" s="125"/>
      <c r="CYL282" s="134"/>
      <c r="CYM282" s="135"/>
      <c r="CYN282" s="135"/>
      <c r="CYO282" s="135"/>
      <c r="CYP282" s="135"/>
      <c r="CYQ282" s="173"/>
      <c r="CYR282" s="173"/>
      <c r="CYS282" s="173"/>
      <c r="CYT282" s="173"/>
      <c r="CYU282" s="173"/>
      <c r="CYV282" s="173"/>
      <c r="CYW282" s="173"/>
      <c r="CYX282" s="173"/>
      <c r="CYY282" s="173"/>
      <c r="CYZ282" s="173"/>
      <c r="CZA282" s="125"/>
      <c r="CZB282" s="125"/>
      <c r="CZC282" s="134"/>
      <c r="CZD282" s="135"/>
      <c r="CZE282" s="135"/>
      <c r="CZF282" s="135"/>
      <c r="CZG282" s="135"/>
      <c r="CZH282" s="173"/>
      <c r="CZI282" s="173"/>
      <c r="CZJ282" s="173"/>
      <c r="CZK282" s="173"/>
      <c r="CZL282" s="173"/>
      <c r="CZM282" s="173"/>
      <c r="CZN282" s="173"/>
      <c r="CZO282" s="173"/>
      <c r="CZP282" s="173"/>
      <c r="CZQ282" s="173"/>
      <c r="CZR282" s="125"/>
      <c r="CZS282" s="125"/>
      <c r="CZT282" s="134"/>
      <c r="CZU282" s="135"/>
      <c r="CZV282" s="135"/>
      <c r="CZW282" s="135"/>
      <c r="CZX282" s="135"/>
      <c r="CZY282" s="173"/>
      <c r="CZZ282" s="173"/>
      <c r="DAA282" s="173"/>
      <c r="DAB282" s="173"/>
      <c r="DAC282" s="173"/>
      <c r="DAD282" s="173"/>
      <c r="DAE282" s="173"/>
      <c r="DAF282" s="173"/>
      <c r="DAG282" s="173"/>
      <c r="DAH282" s="173"/>
      <c r="DAI282" s="125"/>
      <c r="DAJ282" s="125"/>
      <c r="DAK282" s="134"/>
      <c r="DAL282" s="135"/>
      <c r="DAM282" s="135"/>
      <c r="DAN282" s="135"/>
      <c r="DAO282" s="135"/>
      <c r="DAP282" s="173"/>
      <c r="DAQ282" s="173"/>
      <c r="DAR282" s="173"/>
      <c r="DAS282" s="173"/>
      <c r="DAT282" s="173"/>
      <c r="DAU282" s="173"/>
      <c r="DAV282" s="173"/>
      <c r="DAW282" s="173"/>
      <c r="DAX282" s="173"/>
      <c r="DAY282" s="173"/>
      <c r="DAZ282" s="125"/>
      <c r="DBA282" s="125"/>
      <c r="DBB282" s="134"/>
      <c r="DBC282" s="135"/>
      <c r="DBD282" s="135"/>
      <c r="DBE282" s="135"/>
      <c r="DBF282" s="135"/>
      <c r="DBG282" s="173"/>
      <c r="DBH282" s="173"/>
      <c r="DBI282" s="173"/>
      <c r="DBJ282" s="173"/>
      <c r="DBK282" s="173"/>
      <c r="DBL282" s="173"/>
      <c r="DBM282" s="173"/>
      <c r="DBN282" s="173"/>
      <c r="DBO282" s="173"/>
      <c r="DBP282" s="173"/>
      <c r="DBQ282" s="125"/>
      <c r="DBR282" s="125"/>
      <c r="DBS282" s="134"/>
      <c r="DBT282" s="135"/>
      <c r="DBU282" s="135"/>
      <c r="DBV282" s="135"/>
      <c r="DBW282" s="135"/>
      <c r="DBX282" s="173"/>
      <c r="DBY282" s="173"/>
      <c r="DBZ282" s="173"/>
      <c r="DCA282" s="173"/>
      <c r="DCB282" s="173"/>
      <c r="DCC282" s="173"/>
      <c r="DCD282" s="173"/>
      <c r="DCE282" s="173"/>
      <c r="DCF282" s="173"/>
      <c r="DCG282" s="173"/>
      <c r="DCH282" s="125"/>
      <c r="DCI282" s="125"/>
      <c r="DCJ282" s="134"/>
      <c r="DCK282" s="135"/>
      <c r="DCL282" s="135"/>
      <c r="DCM282" s="135"/>
      <c r="DCN282" s="135"/>
      <c r="DCO282" s="173"/>
      <c r="DCP282" s="173"/>
      <c r="DCQ282" s="173"/>
      <c r="DCR282" s="173"/>
      <c r="DCS282" s="173"/>
      <c r="DCT282" s="173"/>
      <c r="DCU282" s="173"/>
      <c r="DCV282" s="173"/>
      <c r="DCW282" s="173"/>
      <c r="DCX282" s="173"/>
      <c r="DCY282" s="125"/>
      <c r="DCZ282" s="125"/>
      <c r="DDA282" s="134"/>
      <c r="DDB282" s="135"/>
      <c r="DDC282" s="135"/>
      <c r="DDD282" s="135"/>
      <c r="DDE282" s="135"/>
      <c r="DDF282" s="173"/>
      <c r="DDG282" s="173"/>
      <c r="DDH282" s="173"/>
      <c r="DDI282" s="173"/>
      <c r="DDJ282" s="173"/>
      <c r="DDK282" s="173"/>
      <c r="DDL282" s="173"/>
      <c r="DDM282" s="173"/>
      <c r="DDN282" s="173"/>
      <c r="DDO282" s="173"/>
      <c r="DDP282" s="125"/>
      <c r="DDQ282" s="125"/>
      <c r="DDR282" s="134"/>
      <c r="DDS282" s="135"/>
      <c r="DDT282" s="135"/>
      <c r="DDU282" s="135"/>
      <c r="DDV282" s="135"/>
      <c r="DDW282" s="173"/>
      <c r="DDX282" s="173"/>
      <c r="DDY282" s="173"/>
      <c r="DDZ282" s="173"/>
      <c r="DEA282" s="173"/>
      <c r="DEB282" s="173"/>
      <c r="DEC282" s="173"/>
      <c r="DED282" s="173"/>
      <c r="DEE282" s="173"/>
      <c r="DEF282" s="173"/>
      <c r="DEG282" s="125"/>
      <c r="DEH282" s="125"/>
      <c r="DEI282" s="134"/>
      <c r="DEJ282" s="135"/>
      <c r="DEK282" s="135"/>
      <c r="DEL282" s="135"/>
      <c r="DEM282" s="135"/>
      <c r="DEN282" s="173"/>
      <c r="DEO282" s="173"/>
      <c r="DEP282" s="173"/>
      <c r="DEQ282" s="173"/>
      <c r="DER282" s="173"/>
      <c r="DES282" s="173"/>
      <c r="DET282" s="173"/>
      <c r="DEU282" s="173"/>
      <c r="DEV282" s="173"/>
      <c r="DEW282" s="173"/>
      <c r="DEX282" s="125"/>
      <c r="DEY282" s="125"/>
      <c r="DEZ282" s="134"/>
      <c r="DFA282" s="135"/>
      <c r="DFB282" s="135"/>
      <c r="DFC282" s="135"/>
      <c r="DFD282" s="135"/>
      <c r="DFE282" s="173"/>
      <c r="DFF282" s="173"/>
      <c r="DFG282" s="173"/>
      <c r="DFH282" s="173"/>
      <c r="DFI282" s="173"/>
      <c r="DFJ282" s="173"/>
      <c r="DFK282" s="173"/>
      <c r="DFL282" s="173"/>
      <c r="DFM282" s="173"/>
      <c r="DFN282" s="173"/>
      <c r="DFO282" s="125"/>
      <c r="DFP282" s="125"/>
      <c r="DFQ282" s="134"/>
      <c r="DFR282" s="135"/>
      <c r="DFS282" s="135"/>
      <c r="DFT282" s="135"/>
      <c r="DFU282" s="135"/>
      <c r="DFV282" s="173"/>
      <c r="DFW282" s="173"/>
      <c r="DFX282" s="173"/>
      <c r="DFY282" s="173"/>
      <c r="DFZ282" s="173"/>
      <c r="DGA282" s="173"/>
      <c r="DGB282" s="173"/>
      <c r="DGC282" s="173"/>
      <c r="DGD282" s="173"/>
      <c r="DGE282" s="173"/>
      <c r="DGF282" s="125"/>
      <c r="DGG282" s="125"/>
      <c r="DGH282" s="134"/>
      <c r="DGI282" s="135"/>
      <c r="DGJ282" s="135"/>
      <c r="DGK282" s="135"/>
      <c r="DGL282" s="135"/>
      <c r="DGM282" s="173"/>
      <c r="DGN282" s="173"/>
      <c r="DGO282" s="173"/>
      <c r="DGP282" s="173"/>
      <c r="DGQ282" s="173"/>
      <c r="DGR282" s="173"/>
      <c r="DGS282" s="173"/>
      <c r="DGT282" s="173"/>
      <c r="DGU282" s="173"/>
      <c r="DGV282" s="173"/>
      <c r="DGW282" s="125"/>
      <c r="DGX282" s="125"/>
      <c r="DGY282" s="134"/>
      <c r="DGZ282" s="135"/>
      <c r="DHA282" s="135"/>
      <c r="DHB282" s="135"/>
      <c r="DHC282" s="135"/>
      <c r="DHD282" s="173"/>
      <c r="DHE282" s="173"/>
      <c r="DHF282" s="173"/>
      <c r="DHG282" s="173"/>
      <c r="DHH282" s="173"/>
      <c r="DHI282" s="173"/>
      <c r="DHJ282" s="173"/>
      <c r="DHK282" s="173"/>
      <c r="DHL282" s="173"/>
      <c r="DHM282" s="173"/>
      <c r="DHN282" s="125"/>
      <c r="DHO282" s="125"/>
      <c r="DHP282" s="134"/>
      <c r="DHQ282" s="135"/>
      <c r="DHR282" s="135"/>
      <c r="DHS282" s="135"/>
      <c r="DHT282" s="135"/>
      <c r="DHU282" s="173"/>
      <c r="DHV282" s="173"/>
      <c r="DHW282" s="173"/>
      <c r="DHX282" s="173"/>
      <c r="DHY282" s="173"/>
      <c r="DHZ282" s="173"/>
      <c r="DIA282" s="173"/>
      <c r="DIB282" s="173"/>
      <c r="DIC282" s="173"/>
      <c r="DID282" s="173"/>
      <c r="DIE282" s="125"/>
      <c r="DIF282" s="125"/>
      <c r="DIG282" s="134"/>
      <c r="DIH282" s="135"/>
      <c r="DII282" s="135"/>
      <c r="DIJ282" s="135"/>
      <c r="DIK282" s="135"/>
      <c r="DIL282" s="173"/>
      <c r="DIM282" s="173"/>
      <c r="DIN282" s="173"/>
      <c r="DIO282" s="173"/>
      <c r="DIP282" s="173"/>
      <c r="DIQ282" s="173"/>
      <c r="DIR282" s="173"/>
      <c r="DIS282" s="173"/>
      <c r="DIT282" s="173"/>
      <c r="DIU282" s="173"/>
      <c r="DIV282" s="125"/>
      <c r="DIW282" s="125"/>
      <c r="DIX282" s="134"/>
      <c r="DIY282" s="135"/>
      <c r="DIZ282" s="135"/>
      <c r="DJA282" s="135"/>
      <c r="DJB282" s="135"/>
      <c r="DJC282" s="173"/>
      <c r="DJD282" s="173"/>
      <c r="DJE282" s="173"/>
      <c r="DJF282" s="173"/>
      <c r="DJG282" s="173"/>
      <c r="DJH282" s="173"/>
      <c r="DJI282" s="173"/>
      <c r="DJJ282" s="173"/>
      <c r="DJK282" s="173"/>
      <c r="DJL282" s="173"/>
      <c r="DJM282" s="125"/>
      <c r="DJN282" s="125"/>
      <c r="DJO282" s="134"/>
      <c r="DJP282" s="135"/>
      <c r="DJQ282" s="135"/>
      <c r="DJR282" s="135"/>
      <c r="DJS282" s="135"/>
      <c r="DJT282" s="173"/>
      <c r="DJU282" s="173"/>
      <c r="DJV282" s="173"/>
      <c r="DJW282" s="173"/>
      <c r="DJX282" s="173"/>
      <c r="DJY282" s="173"/>
      <c r="DJZ282" s="173"/>
      <c r="DKA282" s="173"/>
      <c r="DKB282" s="173"/>
      <c r="DKC282" s="173"/>
      <c r="DKD282" s="125"/>
      <c r="DKE282" s="125"/>
      <c r="DKF282" s="134"/>
      <c r="DKG282" s="135"/>
      <c r="DKH282" s="135"/>
      <c r="DKI282" s="135"/>
      <c r="DKJ282" s="135"/>
      <c r="DKK282" s="173"/>
      <c r="DKL282" s="173"/>
      <c r="DKM282" s="173"/>
      <c r="DKN282" s="173"/>
      <c r="DKO282" s="173"/>
      <c r="DKP282" s="173"/>
      <c r="DKQ282" s="173"/>
      <c r="DKR282" s="173"/>
      <c r="DKS282" s="173"/>
      <c r="DKT282" s="173"/>
      <c r="DKU282" s="125"/>
      <c r="DKV282" s="125"/>
      <c r="DKW282" s="134"/>
      <c r="DKX282" s="135"/>
      <c r="DKY282" s="135"/>
      <c r="DKZ282" s="135"/>
      <c r="DLA282" s="135"/>
      <c r="DLB282" s="173"/>
      <c r="DLC282" s="173"/>
      <c r="DLD282" s="173"/>
      <c r="DLE282" s="173"/>
      <c r="DLF282" s="173"/>
      <c r="DLG282" s="173"/>
      <c r="DLH282" s="173"/>
      <c r="DLI282" s="173"/>
      <c r="DLJ282" s="173"/>
      <c r="DLK282" s="173"/>
      <c r="DLL282" s="125"/>
      <c r="DLM282" s="125"/>
      <c r="DLN282" s="134"/>
      <c r="DLO282" s="135"/>
      <c r="DLP282" s="135"/>
      <c r="DLQ282" s="135"/>
      <c r="DLR282" s="135"/>
      <c r="DLS282" s="173"/>
      <c r="DLT282" s="173"/>
      <c r="DLU282" s="173"/>
      <c r="DLV282" s="173"/>
      <c r="DLW282" s="173"/>
      <c r="DLX282" s="173"/>
      <c r="DLY282" s="173"/>
      <c r="DLZ282" s="173"/>
      <c r="DMA282" s="173"/>
      <c r="DMB282" s="173"/>
      <c r="DMC282" s="125"/>
      <c r="DMD282" s="125"/>
      <c r="DME282" s="134"/>
      <c r="DMF282" s="135"/>
      <c r="DMG282" s="135"/>
      <c r="DMH282" s="135"/>
      <c r="DMI282" s="135"/>
      <c r="DMJ282" s="173"/>
      <c r="DMK282" s="173"/>
      <c r="DML282" s="173"/>
      <c r="DMM282" s="173"/>
      <c r="DMN282" s="173"/>
      <c r="DMO282" s="173"/>
      <c r="DMP282" s="173"/>
      <c r="DMQ282" s="173"/>
      <c r="DMR282" s="173"/>
      <c r="DMS282" s="173"/>
      <c r="DMT282" s="125"/>
      <c r="DMU282" s="125"/>
      <c r="DMV282" s="134"/>
      <c r="DMW282" s="135"/>
      <c r="DMX282" s="135"/>
      <c r="DMY282" s="135"/>
      <c r="DMZ282" s="135"/>
      <c r="DNA282" s="173"/>
      <c r="DNB282" s="173"/>
      <c r="DNC282" s="173"/>
      <c r="DND282" s="173"/>
      <c r="DNE282" s="173"/>
      <c r="DNF282" s="173"/>
      <c r="DNG282" s="173"/>
      <c r="DNH282" s="173"/>
      <c r="DNI282" s="173"/>
      <c r="DNJ282" s="173"/>
      <c r="DNK282" s="125"/>
      <c r="DNL282" s="125"/>
      <c r="DNM282" s="134"/>
      <c r="DNN282" s="135"/>
      <c r="DNO282" s="135"/>
      <c r="DNP282" s="135"/>
      <c r="DNQ282" s="135"/>
      <c r="DNR282" s="173"/>
      <c r="DNS282" s="173"/>
      <c r="DNT282" s="173"/>
      <c r="DNU282" s="173"/>
      <c r="DNV282" s="173"/>
      <c r="DNW282" s="173"/>
      <c r="DNX282" s="173"/>
      <c r="DNY282" s="173"/>
      <c r="DNZ282" s="173"/>
      <c r="DOA282" s="173"/>
      <c r="DOB282" s="125"/>
      <c r="DOC282" s="125"/>
      <c r="DOD282" s="134"/>
      <c r="DOE282" s="135"/>
      <c r="DOF282" s="135"/>
      <c r="DOG282" s="135"/>
      <c r="DOH282" s="135"/>
      <c r="DOI282" s="173"/>
      <c r="DOJ282" s="173"/>
      <c r="DOK282" s="173"/>
      <c r="DOL282" s="173"/>
      <c r="DOM282" s="173"/>
      <c r="DON282" s="173"/>
      <c r="DOO282" s="173"/>
      <c r="DOP282" s="173"/>
      <c r="DOQ282" s="173"/>
      <c r="DOR282" s="173"/>
      <c r="DOS282" s="125"/>
      <c r="DOT282" s="125"/>
      <c r="DOU282" s="134"/>
      <c r="DOV282" s="135"/>
      <c r="DOW282" s="135"/>
      <c r="DOX282" s="135"/>
      <c r="DOY282" s="135"/>
      <c r="DOZ282" s="173"/>
      <c r="DPA282" s="173"/>
      <c r="DPB282" s="173"/>
      <c r="DPC282" s="173"/>
      <c r="DPD282" s="173"/>
      <c r="DPE282" s="173"/>
      <c r="DPF282" s="173"/>
      <c r="DPG282" s="173"/>
      <c r="DPH282" s="173"/>
      <c r="DPI282" s="173"/>
      <c r="DPJ282" s="125"/>
      <c r="DPK282" s="125"/>
      <c r="DPL282" s="134"/>
      <c r="DPM282" s="135"/>
      <c r="DPN282" s="135"/>
      <c r="DPO282" s="135"/>
      <c r="DPP282" s="135"/>
      <c r="DPQ282" s="173"/>
      <c r="DPR282" s="173"/>
      <c r="DPS282" s="173"/>
      <c r="DPT282" s="173"/>
      <c r="DPU282" s="173"/>
      <c r="DPV282" s="173"/>
      <c r="DPW282" s="173"/>
      <c r="DPX282" s="173"/>
      <c r="DPY282" s="173"/>
      <c r="DPZ282" s="173"/>
      <c r="DQA282" s="125"/>
      <c r="DQB282" s="125"/>
      <c r="DQC282" s="134"/>
      <c r="DQD282" s="135"/>
      <c r="DQE282" s="135"/>
      <c r="DQF282" s="135"/>
      <c r="DQG282" s="135"/>
      <c r="DQH282" s="173"/>
      <c r="DQI282" s="173"/>
      <c r="DQJ282" s="173"/>
      <c r="DQK282" s="173"/>
      <c r="DQL282" s="173"/>
      <c r="DQM282" s="173"/>
      <c r="DQN282" s="173"/>
      <c r="DQO282" s="173"/>
      <c r="DQP282" s="173"/>
      <c r="DQQ282" s="173"/>
      <c r="DQR282" s="125"/>
      <c r="DQS282" s="125"/>
      <c r="DQT282" s="134"/>
      <c r="DQU282" s="135"/>
      <c r="DQV282" s="135"/>
      <c r="DQW282" s="135"/>
      <c r="DQX282" s="135"/>
      <c r="DQY282" s="173"/>
      <c r="DQZ282" s="173"/>
      <c r="DRA282" s="173"/>
      <c r="DRB282" s="173"/>
      <c r="DRC282" s="173"/>
      <c r="DRD282" s="173"/>
      <c r="DRE282" s="173"/>
      <c r="DRF282" s="173"/>
      <c r="DRG282" s="173"/>
      <c r="DRH282" s="173"/>
      <c r="DRI282" s="125"/>
      <c r="DRJ282" s="125"/>
      <c r="DRK282" s="134"/>
      <c r="DRL282" s="135"/>
      <c r="DRM282" s="135"/>
      <c r="DRN282" s="135"/>
      <c r="DRO282" s="135"/>
      <c r="DRP282" s="173"/>
      <c r="DRQ282" s="173"/>
      <c r="DRR282" s="173"/>
      <c r="DRS282" s="173"/>
      <c r="DRT282" s="173"/>
      <c r="DRU282" s="173"/>
      <c r="DRV282" s="173"/>
      <c r="DRW282" s="173"/>
      <c r="DRX282" s="173"/>
      <c r="DRY282" s="173"/>
      <c r="DRZ282" s="125"/>
      <c r="DSA282" s="125"/>
      <c r="DSB282" s="134"/>
      <c r="DSC282" s="135"/>
      <c r="DSD282" s="135"/>
      <c r="DSE282" s="135"/>
      <c r="DSF282" s="135"/>
      <c r="DSG282" s="173"/>
      <c r="DSH282" s="173"/>
      <c r="DSI282" s="173"/>
      <c r="DSJ282" s="173"/>
      <c r="DSK282" s="173"/>
      <c r="DSL282" s="173"/>
      <c r="DSM282" s="173"/>
      <c r="DSN282" s="173"/>
      <c r="DSO282" s="173"/>
      <c r="DSP282" s="173"/>
      <c r="DSQ282" s="125"/>
      <c r="DSR282" s="125"/>
      <c r="DSS282" s="134"/>
      <c r="DST282" s="135"/>
      <c r="DSU282" s="135"/>
      <c r="DSV282" s="135"/>
      <c r="DSW282" s="135"/>
      <c r="DSX282" s="173"/>
      <c r="DSY282" s="173"/>
      <c r="DSZ282" s="173"/>
      <c r="DTA282" s="173"/>
      <c r="DTB282" s="173"/>
      <c r="DTC282" s="173"/>
      <c r="DTD282" s="173"/>
      <c r="DTE282" s="173"/>
      <c r="DTF282" s="173"/>
      <c r="DTG282" s="173"/>
      <c r="DTH282" s="125"/>
      <c r="DTI282" s="125"/>
      <c r="DTJ282" s="134"/>
      <c r="DTK282" s="135"/>
      <c r="DTL282" s="135"/>
      <c r="DTM282" s="135"/>
      <c r="DTN282" s="135"/>
      <c r="DTO282" s="173"/>
      <c r="DTP282" s="173"/>
      <c r="DTQ282" s="173"/>
      <c r="DTR282" s="173"/>
      <c r="DTS282" s="173"/>
      <c r="DTT282" s="173"/>
      <c r="DTU282" s="173"/>
      <c r="DTV282" s="173"/>
      <c r="DTW282" s="173"/>
      <c r="DTX282" s="173"/>
      <c r="DTY282" s="125"/>
      <c r="DTZ282" s="125"/>
      <c r="DUA282" s="134"/>
      <c r="DUB282" s="135"/>
      <c r="DUC282" s="135"/>
      <c r="DUD282" s="135"/>
      <c r="DUE282" s="135"/>
      <c r="DUF282" s="173"/>
      <c r="DUG282" s="173"/>
      <c r="DUH282" s="173"/>
      <c r="DUI282" s="173"/>
      <c r="DUJ282" s="173"/>
      <c r="DUK282" s="173"/>
      <c r="DUL282" s="173"/>
      <c r="DUM282" s="173"/>
      <c r="DUN282" s="173"/>
      <c r="DUO282" s="173"/>
      <c r="DUP282" s="125"/>
      <c r="DUQ282" s="125"/>
      <c r="DUR282" s="134"/>
      <c r="DUS282" s="135"/>
      <c r="DUT282" s="135"/>
      <c r="DUU282" s="135"/>
      <c r="DUV282" s="135"/>
      <c r="DUW282" s="173"/>
      <c r="DUX282" s="173"/>
      <c r="DUY282" s="173"/>
      <c r="DUZ282" s="173"/>
      <c r="DVA282" s="173"/>
      <c r="DVB282" s="173"/>
      <c r="DVC282" s="173"/>
      <c r="DVD282" s="173"/>
      <c r="DVE282" s="173"/>
      <c r="DVF282" s="173"/>
      <c r="DVG282" s="125"/>
      <c r="DVH282" s="125"/>
      <c r="DVI282" s="134"/>
      <c r="DVJ282" s="135"/>
      <c r="DVK282" s="135"/>
      <c r="DVL282" s="135"/>
      <c r="DVM282" s="135"/>
      <c r="DVN282" s="173"/>
      <c r="DVO282" s="173"/>
      <c r="DVP282" s="173"/>
      <c r="DVQ282" s="173"/>
      <c r="DVR282" s="173"/>
      <c r="DVS282" s="173"/>
      <c r="DVT282" s="173"/>
      <c r="DVU282" s="173"/>
      <c r="DVV282" s="173"/>
      <c r="DVW282" s="173"/>
      <c r="DVX282" s="125"/>
      <c r="DVY282" s="125"/>
      <c r="DVZ282" s="134"/>
      <c r="DWA282" s="135"/>
      <c r="DWB282" s="135"/>
      <c r="DWC282" s="135"/>
      <c r="DWD282" s="135"/>
      <c r="DWE282" s="173"/>
      <c r="DWF282" s="173"/>
      <c r="DWG282" s="173"/>
      <c r="DWH282" s="173"/>
      <c r="DWI282" s="173"/>
      <c r="DWJ282" s="173"/>
      <c r="DWK282" s="173"/>
      <c r="DWL282" s="173"/>
      <c r="DWM282" s="173"/>
      <c r="DWN282" s="173"/>
      <c r="DWO282" s="125"/>
      <c r="DWP282" s="125"/>
      <c r="DWQ282" s="134"/>
      <c r="DWR282" s="135"/>
      <c r="DWS282" s="135"/>
      <c r="DWT282" s="135"/>
      <c r="DWU282" s="135"/>
      <c r="DWV282" s="173"/>
      <c r="DWW282" s="173"/>
      <c r="DWX282" s="173"/>
      <c r="DWY282" s="173"/>
      <c r="DWZ282" s="173"/>
      <c r="DXA282" s="173"/>
      <c r="DXB282" s="173"/>
      <c r="DXC282" s="173"/>
      <c r="DXD282" s="173"/>
      <c r="DXE282" s="173"/>
      <c r="DXF282" s="125"/>
      <c r="DXG282" s="125"/>
      <c r="DXH282" s="134"/>
      <c r="DXI282" s="135"/>
      <c r="DXJ282" s="135"/>
      <c r="DXK282" s="135"/>
      <c r="DXL282" s="135"/>
      <c r="DXM282" s="173"/>
      <c r="DXN282" s="173"/>
      <c r="DXO282" s="173"/>
      <c r="DXP282" s="173"/>
      <c r="DXQ282" s="173"/>
      <c r="DXR282" s="173"/>
      <c r="DXS282" s="173"/>
      <c r="DXT282" s="173"/>
      <c r="DXU282" s="173"/>
      <c r="DXV282" s="173"/>
      <c r="DXW282" s="125"/>
      <c r="DXX282" s="125"/>
      <c r="DXY282" s="134"/>
      <c r="DXZ282" s="135"/>
      <c r="DYA282" s="135"/>
      <c r="DYB282" s="135"/>
      <c r="DYC282" s="135"/>
      <c r="DYD282" s="173"/>
      <c r="DYE282" s="173"/>
      <c r="DYF282" s="173"/>
      <c r="DYG282" s="173"/>
      <c r="DYH282" s="173"/>
      <c r="DYI282" s="173"/>
      <c r="DYJ282" s="173"/>
      <c r="DYK282" s="173"/>
      <c r="DYL282" s="173"/>
      <c r="DYM282" s="173"/>
      <c r="DYN282" s="125"/>
      <c r="DYO282" s="125"/>
      <c r="DYP282" s="134"/>
      <c r="DYQ282" s="135"/>
      <c r="DYR282" s="135"/>
      <c r="DYS282" s="135"/>
      <c r="DYT282" s="135"/>
      <c r="DYU282" s="173"/>
      <c r="DYV282" s="173"/>
      <c r="DYW282" s="173"/>
      <c r="DYX282" s="173"/>
      <c r="DYY282" s="173"/>
      <c r="DYZ282" s="173"/>
      <c r="DZA282" s="173"/>
      <c r="DZB282" s="173"/>
      <c r="DZC282" s="173"/>
      <c r="DZD282" s="173"/>
      <c r="DZE282" s="125"/>
      <c r="DZF282" s="125"/>
      <c r="DZG282" s="134"/>
      <c r="DZH282" s="135"/>
      <c r="DZI282" s="135"/>
      <c r="DZJ282" s="135"/>
      <c r="DZK282" s="135"/>
      <c r="DZL282" s="173"/>
      <c r="DZM282" s="173"/>
      <c r="DZN282" s="173"/>
      <c r="DZO282" s="173"/>
      <c r="DZP282" s="173"/>
      <c r="DZQ282" s="173"/>
      <c r="DZR282" s="173"/>
      <c r="DZS282" s="173"/>
      <c r="DZT282" s="173"/>
      <c r="DZU282" s="173"/>
      <c r="DZV282" s="125"/>
      <c r="DZW282" s="125"/>
      <c r="DZX282" s="134"/>
      <c r="DZY282" s="135"/>
      <c r="DZZ282" s="135"/>
      <c r="EAA282" s="135"/>
      <c r="EAB282" s="135"/>
      <c r="EAC282" s="173"/>
      <c r="EAD282" s="173"/>
      <c r="EAE282" s="173"/>
      <c r="EAF282" s="173"/>
      <c r="EAG282" s="173"/>
      <c r="EAH282" s="173"/>
      <c r="EAI282" s="173"/>
      <c r="EAJ282" s="173"/>
      <c r="EAK282" s="173"/>
      <c r="EAL282" s="173"/>
      <c r="EAM282" s="125"/>
      <c r="EAN282" s="125"/>
      <c r="EAO282" s="134"/>
      <c r="EAP282" s="135"/>
      <c r="EAQ282" s="135"/>
      <c r="EAR282" s="135"/>
      <c r="EAS282" s="135"/>
      <c r="EAT282" s="173"/>
      <c r="EAU282" s="173"/>
      <c r="EAV282" s="173"/>
      <c r="EAW282" s="173"/>
      <c r="EAX282" s="173"/>
      <c r="EAY282" s="173"/>
      <c r="EAZ282" s="173"/>
      <c r="EBA282" s="173"/>
      <c r="EBB282" s="173"/>
      <c r="EBC282" s="173"/>
      <c r="EBD282" s="125"/>
      <c r="EBE282" s="125"/>
      <c r="EBF282" s="134"/>
      <c r="EBG282" s="135"/>
      <c r="EBH282" s="135"/>
      <c r="EBI282" s="135"/>
      <c r="EBJ282" s="135"/>
      <c r="EBK282" s="173"/>
      <c r="EBL282" s="173"/>
      <c r="EBM282" s="173"/>
      <c r="EBN282" s="173"/>
      <c r="EBO282" s="173"/>
      <c r="EBP282" s="173"/>
      <c r="EBQ282" s="173"/>
      <c r="EBR282" s="173"/>
      <c r="EBS282" s="173"/>
      <c r="EBT282" s="173"/>
      <c r="EBU282" s="125"/>
      <c r="EBV282" s="125"/>
      <c r="EBW282" s="134"/>
      <c r="EBX282" s="135"/>
      <c r="EBY282" s="135"/>
      <c r="EBZ282" s="135"/>
      <c r="ECA282" s="135"/>
      <c r="ECB282" s="173"/>
      <c r="ECC282" s="173"/>
      <c r="ECD282" s="173"/>
      <c r="ECE282" s="173"/>
      <c r="ECF282" s="173"/>
      <c r="ECG282" s="173"/>
      <c r="ECH282" s="173"/>
      <c r="ECI282" s="173"/>
      <c r="ECJ282" s="173"/>
      <c r="ECK282" s="173"/>
      <c r="ECL282" s="125"/>
      <c r="ECM282" s="125"/>
      <c r="ECN282" s="134"/>
      <c r="ECO282" s="135"/>
      <c r="ECP282" s="135"/>
      <c r="ECQ282" s="135"/>
      <c r="ECR282" s="135"/>
      <c r="ECS282" s="173"/>
      <c r="ECT282" s="173"/>
      <c r="ECU282" s="173"/>
      <c r="ECV282" s="173"/>
      <c r="ECW282" s="173"/>
      <c r="ECX282" s="173"/>
      <c r="ECY282" s="173"/>
      <c r="ECZ282" s="173"/>
      <c r="EDA282" s="173"/>
      <c r="EDB282" s="173"/>
      <c r="EDC282" s="125"/>
      <c r="EDD282" s="125"/>
      <c r="EDE282" s="134"/>
      <c r="EDF282" s="135"/>
      <c r="EDG282" s="135"/>
      <c r="EDH282" s="135"/>
      <c r="EDI282" s="135"/>
      <c r="EDJ282" s="173"/>
      <c r="EDK282" s="173"/>
      <c r="EDL282" s="173"/>
      <c r="EDM282" s="173"/>
      <c r="EDN282" s="173"/>
      <c r="EDO282" s="173"/>
      <c r="EDP282" s="173"/>
      <c r="EDQ282" s="173"/>
      <c r="EDR282" s="173"/>
      <c r="EDS282" s="173"/>
      <c r="EDT282" s="125"/>
      <c r="EDU282" s="125"/>
      <c r="EDV282" s="134"/>
      <c r="EDW282" s="135"/>
      <c r="EDX282" s="135"/>
      <c r="EDY282" s="135"/>
      <c r="EDZ282" s="135"/>
      <c r="EEA282" s="173"/>
      <c r="EEB282" s="173"/>
      <c r="EEC282" s="173"/>
      <c r="EED282" s="173"/>
      <c r="EEE282" s="173"/>
      <c r="EEF282" s="173"/>
      <c r="EEG282" s="173"/>
      <c r="EEH282" s="173"/>
      <c r="EEI282" s="173"/>
      <c r="EEJ282" s="173"/>
      <c r="EEK282" s="125"/>
      <c r="EEL282" s="125"/>
      <c r="EEM282" s="134"/>
      <c r="EEN282" s="135"/>
      <c r="EEO282" s="135"/>
      <c r="EEP282" s="135"/>
      <c r="EEQ282" s="135"/>
      <c r="EER282" s="173"/>
      <c r="EES282" s="173"/>
      <c r="EET282" s="173"/>
      <c r="EEU282" s="173"/>
      <c r="EEV282" s="173"/>
      <c r="EEW282" s="173"/>
      <c r="EEX282" s="173"/>
      <c r="EEY282" s="173"/>
      <c r="EEZ282" s="173"/>
      <c r="EFA282" s="173"/>
      <c r="EFB282" s="125"/>
      <c r="EFC282" s="125"/>
      <c r="EFD282" s="134"/>
      <c r="EFE282" s="135"/>
      <c r="EFF282" s="135"/>
      <c r="EFG282" s="135"/>
      <c r="EFH282" s="135"/>
      <c r="EFI282" s="173"/>
      <c r="EFJ282" s="173"/>
      <c r="EFK282" s="173"/>
      <c r="EFL282" s="173"/>
      <c r="EFM282" s="173"/>
      <c r="EFN282" s="173"/>
      <c r="EFO282" s="173"/>
      <c r="EFP282" s="173"/>
      <c r="EFQ282" s="173"/>
      <c r="EFR282" s="173"/>
      <c r="EFS282" s="125"/>
      <c r="EFT282" s="125"/>
      <c r="EFU282" s="134"/>
      <c r="EFV282" s="135"/>
      <c r="EFW282" s="135"/>
      <c r="EFX282" s="135"/>
      <c r="EFY282" s="135"/>
      <c r="EFZ282" s="173"/>
      <c r="EGA282" s="173"/>
      <c r="EGB282" s="173"/>
      <c r="EGC282" s="173"/>
      <c r="EGD282" s="173"/>
      <c r="EGE282" s="173"/>
      <c r="EGF282" s="173"/>
      <c r="EGG282" s="173"/>
      <c r="EGH282" s="173"/>
      <c r="EGI282" s="173"/>
      <c r="EGJ282" s="125"/>
      <c r="EGK282" s="125"/>
      <c r="EGL282" s="134"/>
      <c r="EGM282" s="135"/>
      <c r="EGN282" s="135"/>
      <c r="EGO282" s="135"/>
      <c r="EGP282" s="135"/>
      <c r="EGQ282" s="173"/>
      <c r="EGR282" s="173"/>
      <c r="EGS282" s="173"/>
      <c r="EGT282" s="173"/>
      <c r="EGU282" s="173"/>
      <c r="EGV282" s="173"/>
      <c r="EGW282" s="173"/>
      <c r="EGX282" s="173"/>
      <c r="EGY282" s="173"/>
      <c r="EGZ282" s="173"/>
      <c r="EHA282" s="125"/>
      <c r="EHB282" s="125"/>
      <c r="EHC282" s="134"/>
      <c r="EHD282" s="135"/>
      <c r="EHE282" s="135"/>
      <c r="EHF282" s="135"/>
      <c r="EHG282" s="135"/>
      <c r="EHH282" s="173"/>
      <c r="EHI282" s="173"/>
      <c r="EHJ282" s="173"/>
      <c r="EHK282" s="173"/>
      <c r="EHL282" s="173"/>
      <c r="EHM282" s="173"/>
      <c r="EHN282" s="173"/>
      <c r="EHO282" s="173"/>
      <c r="EHP282" s="173"/>
      <c r="EHQ282" s="173"/>
      <c r="EHR282" s="125"/>
      <c r="EHS282" s="125"/>
      <c r="EHT282" s="134"/>
      <c r="EHU282" s="135"/>
      <c r="EHV282" s="135"/>
      <c r="EHW282" s="135"/>
      <c r="EHX282" s="135"/>
      <c r="EHY282" s="173"/>
      <c r="EHZ282" s="173"/>
      <c r="EIA282" s="173"/>
      <c r="EIB282" s="173"/>
      <c r="EIC282" s="173"/>
      <c r="EID282" s="173"/>
      <c r="EIE282" s="173"/>
      <c r="EIF282" s="173"/>
      <c r="EIG282" s="173"/>
      <c r="EIH282" s="173"/>
      <c r="EII282" s="125"/>
      <c r="EIJ282" s="125"/>
      <c r="EIK282" s="134"/>
      <c r="EIL282" s="135"/>
      <c r="EIM282" s="135"/>
      <c r="EIN282" s="135"/>
      <c r="EIO282" s="135"/>
      <c r="EIP282" s="173"/>
      <c r="EIQ282" s="173"/>
      <c r="EIR282" s="173"/>
      <c r="EIS282" s="173"/>
      <c r="EIT282" s="173"/>
      <c r="EIU282" s="173"/>
      <c r="EIV282" s="173"/>
      <c r="EIW282" s="173"/>
      <c r="EIX282" s="173"/>
      <c r="EIY282" s="173"/>
      <c r="EIZ282" s="125"/>
      <c r="EJA282" s="125"/>
      <c r="EJB282" s="134"/>
      <c r="EJC282" s="135"/>
      <c r="EJD282" s="135"/>
      <c r="EJE282" s="135"/>
      <c r="EJF282" s="135"/>
      <c r="EJG282" s="173"/>
      <c r="EJH282" s="173"/>
      <c r="EJI282" s="173"/>
      <c r="EJJ282" s="173"/>
      <c r="EJK282" s="173"/>
      <c r="EJL282" s="173"/>
      <c r="EJM282" s="173"/>
      <c r="EJN282" s="173"/>
      <c r="EJO282" s="173"/>
      <c r="EJP282" s="173"/>
      <c r="EJQ282" s="125"/>
      <c r="EJR282" s="125"/>
      <c r="EJS282" s="134"/>
      <c r="EJT282" s="135"/>
      <c r="EJU282" s="135"/>
      <c r="EJV282" s="135"/>
      <c r="EJW282" s="135"/>
      <c r="EJX282" s="173"/>
      <c r="EJY282" s="173"/>
      <c r="EJZ282" s="173"/>
      <c r="EKA282" s="173"/>
      <c r="EKB282" s="173"/>
      <c r="EKC282" s="173"/>
      <c r="EKD282" s="173"/>
      <c r="EKE282" s="173"/>
      <c r="EKF282" s="173"/>
      <c r="EKG282" s="173"/>
      <c r="EKH282" s="125"/>
      <c r="EKI282" s="125"/>
      <c r="EKJ282" s="134"/>
      <c r="EKK282" s="135"/>
      <c r="EKL282" s="135"/>
      <c r="EKM282" s="135"/>
      <c r="EKN282" s="135"/>
      <c r="EKO282" s="173"/>
      <c r="EKP282" s="173"/>
      <c r="EKQ282" s="173"/>
      <c r="EKR282" s="173"/>
      <c r="EKS282" s="173"/>
      <c r="EKT282" s="173"/>
      <c r="EKU282" s="173"/>
      <c r="EKV282" s="173"/>
      <c r="EKW282" s="173"/>
      <c r="EKX282" s="173"/>
      <c r="EKY282" s="125"/>
      <c r="EKZ282" s="125"/>
      <c r="ELA282" s="134"/>
      <c r="ELB282" s="135"/>
      <c r="ELC282" s="135"/>
      <c r="ELD282" s="135"/>
      <c r="ELE282" s="135"/>
      <c r="ELF282" s="173"/>
      <c r="ELG282" s="173"/>
      <c r="ELH282" s="173"/>
      <c r="ELI282" s="173"/>
      <c r="ELJ282" s="173"/>
      <c r="ELK282" s="173"/>
      <c r="ELL282" s="173"/>
      <c r="ELM282" s="173"/>
      <c r="ELN282" s="173"/>
      <c r="ELO282" s="173"/>
      <c r="ELP282" s="125"/>
      <c r="ELQ282" s="125"/>
      <c r="ELR282" s="134"/>
      <c r="ELS282" s="135"/>
      <c r="ELT282" s="135"/>
      <c r="ELU282" s="135"/>
      <c r="ELV282" s="135"/>
      <c r="ELW282" s="173"/>
      <c r="ELX282" s="173"/>
      <c r="ELY282" s="173"/>
      <c r="ELZ282" s="173"/>
      <c r="EMA282" s="173"/>
      <c r="EMB282" s="173"/>
      <c r="EMC282" s="173"/>
      <c r="EMD282" s="173"/>
      <c r="EME282" s="173"/>
      <c r="EMF282" s="173"/>
      <c r="EMG282" s="125"/>
      <c r="EMH282" s="125"/>
      <c r="EMI282" s="134"/>
      <c r="EMJ282" s="135"/>
      <c r="EMK282" s="135"/>
      <c r="EML282" s="135"/>
      <c r="EMM282" s="135"/>
      <c r="EMN282" s="173"/>
      <c r="EMO282" s="173"/>
      <c r="EMP282" s="173"/>
      <c r="EMQ282" s="173"/>
      <c r="EMR282" s="173"/>
      <c r="EMS282" s="173"/>
      <c r="EMT282" s="173"/>
      <c r="EMU282" s="173"/>
      <c r="EMV282" s="173"/>
      <c r="EMW282" s="173"/>
      <c r="EMX282" s="125"/>
      <c r="EMY282" s="125"/>
      <c r="EMZ282" s="134"/>
      <c r="ENA282" s="135"/>
      <c r="ENB282" s="135"/>
      <c r="ENC282" s="135"/>
      <c r="END282" s="135"/>
      <c r="ENE282" s="173"/>
      <c r="ENF282" s="173"/>
      <c r="ENG282" s="173"/>
      <c r="ENH282" s="173"/>
      <c r="ENI282" s="173"/>
      <c r="ENJ282" s="173"/>
      <c r="ENK282" s="173"/>
      <c r="ENL282" s="173"/>
      <c r="ENM282" s="173"/>
      <c r="ENN282" s="173"/>
      <c r="ENO282" s="125"/>
      <c r="ENP282" s="125"/>
      <c r="ENQ282" s="134"/>
      <c r="ENR282" s="135"/>
      <c r="ENS282" s="135"/>
      <c r="ENT282" s="135"/>
      <c r="ENU282" s="135"/>
      <c r="ENV282" s="173"/>
      <c r="ENW282" s="173"/>
      <c r="ENX282" s="173"/>
      <c r="ENY282" s="173"/>
      <c r="ENZ282" s="173"/>
      <c r="EOA282" s="173"/>
      <c r="EOB282" s="173"/>
      <c r="EOC282" s="173"/>
      <c r="EOD282" s="173"/>
      <c r="EOE282" s="173"/>
      <c r="EOF282" s="125"/>
      <c r="EOG282" s="125"/>
      <c r="EOH282" s="134"/>
      <c r="EOI282" s="135"/>
      <c r="EOJ282" s="135"/>
      <c r="EOK282" s="135"/>
      <c r="EOL282" s="135"/>
      <c r="EOM282" s="173"/>
      <c r="EON282" s="173"/>
      <c r="EOO282" s="173"/>
      <c r="EOP282" s="173"/>
      <c r="EOQ282" s="173"/>
      <c r="EOR282" s="173"/>
      <c r="EOS282" s="173"/>
      <c r="EOT282" s="173"/>
      <c r="EOU282" s="173"/>
      <c r="EOV282" s="173"/>
      <c r="EOW282" s="125"/>
      <c r="EOX282" s="125"/>
      <c r="EOY282" s="134"/>
      <c r="EOZ282" s="135"/>
      <c r="EPA282" s="135"/>
      <c r="EPB282" s="135"/>
      <c r="EPC282" s="135"/>
      <c r="EPD282" s="173"/>
      <c r="EPE282" s="173"/>
      <c r="EPF282" s="173"/>
      <c r="EPG282" s="173"/>
      <c r="EPH282" s="173"/>
      <c r="EPI282" s="173"/>
      <c r="EPJ282" s="173"/>
      <c r="EPK282" s="173"/>
      <c r="EPL282" s="173"/>
      <c r="EPM282" s="173"/>
      <c r="EPN282" s="125"/>
      <c r="EPO282" s="125"/>
      <c r="EPP282" s="134"/>
      <c r="EPQ282" s="135"/>
      <c r="EPR282" s="135"/>
      <c r="EPS282" s="135"/>
      <c r="EPT282" s="135"/>
      <c r="EPU282" s="173"/>
      <c r="EPV282" s="173"/>
      <c r="EPW282" s="173"/>
      <c r="EPX282" s="173"/>
      <c r="EPY282" s="173"/>
      <c r="EPZ282" s="173"/>
      <c r="EQA282" s="173"/>
      <c r="EQB282" s="173"/>
      <c r="EQC282" s="173"/>
      <c r="EQD282" s="173"/>
      <c r="EQE282" s="125"/>
      <c r="EQF282" s="125"/>
      <c r="EQG282" s="134"/>
      <c r="EQH282" s="135"/>
      <c r="EQI282" s="135"/>
      <c r="EQJ282" s="135"/>
      <c r="EQK282" s="135"/>
      <c r="EQL282" s="173"/>
      <c r="EQM282" s="173"/>
      <c r="EQN282" s="173"/>
      <c r="EQO282" s="173"/>
      <c r="EQP282" s="173"/>
      <c r="EQQ282" s="173"/>
      <c r="EQR282" s="173"/>
      <c r="EQS282" s="173"/>
      <c r="EQT282" s="173"/>
      <c r="EQU282" s="173"/>
      <c r="EQV282" s="125"/>
      <c r="EQW282" s="125"/>
      <c r="EQX282" s="134"/>
      <c r="EQY282" s="135"/>
      <c r="EQZ282" s="135"/>
      <c r="ERA282" s="135"/>
      <c r="ERB282" s="135"/>
      <c r="ERC282" s="173"/>
      <c r="ERD282" s="173"/>
      <c r="ERE282" s="173"/>
      <c r="ERF282" s="173"/>
      <c r="ERG282" s="173"/>
      <c r="ERH282" s="173"/>
      <c r="ERI282" s="173"/>
      <c r="ERJ282" s="173"/>
      <c r="ERK282" s="173"/>
      <c r="ERL282" s="173"/>
      <c r="ERM282" s="125"/>
      <c r="ERN282" s="125"/>
      <c r="ERO282" s="134"/>
      <c r="ERP282" s="135"/>
      <c r="ERQ282" s="135"/>
      <c r="ERR282" s="135"/>
      <c r="ERS282" s="135"/>
      <c r="ERT282" s="173"/>
      <c r="ERU282" s="173"/>
      <c r="ERV282" s="173"/>
      <c r="ERW282" s="173"/>
      <c r="ERX282" s="173"/>
      <c r="ERY282" s="173"/>
      <c r="ERZ282" s="173"/>
      <c r="ESA282" s="173"/>
      <c r="ESB282" s="173"/>
      <c r="ESC282" s="173"/>
      <c r="ESD282" s="125"/>
      <c r="ESE282" s="125"/>
      <c r="ESF282" s="134"/>
      <c r="ESG282" s="135"/>
      <c r="ESH282" s="135"/>
      <c r="ESI282" s="135"/>
      <c r="ESJ282" s="135"/>
      <c r="ESK282" s="173"/>
      <c r="ESL282" s="173"/>
      <c r="ESM282" s="173"/>
      <c r="ESN282" s="173"/>
      <c r="ESO282" s="173"/>
      <c r="ESP282" s="173"/>
      <c r="ESQ282" s="173"/>
      <c r="ESR282" s="173"/>
      <c r="ESS282" s="173"/>
      <c r="EST282" s="173"/>
      <c r="ESU282" s="125"/>
      <c r="ESV282" s="125"/>
      <c r="ESW282" s="134"/>
      <c r="ESX282" s="135"/>
      <c r="ESY282" s="135"/>
      <c r="ESZ282" s="135"/>
      <c r="ETA282" s="135"/>
      <c r="ETB282" s="173"/>
      <c r="ETC282" s="173"/>
      <c r="ETD282" s="173"/>
      <c r="ETE282" s="173"/>
      <c r="ETF282" s="173"/>
      <c r="ETG282" s="173"/>
      <c r="ETH282" s="173"/>
      <c r="ETI282" s="173"/>
      <c r="ETJ282" s="173"/>
      <c r="ETK282" s="173"/>
      <c r="ETL282" s="125"/>
      <c r="ETM282" s="125"/>
      <c r="ETN282" s="134"/>
      <c r="ETO282" s="135"/>
      <c r="ETP282" s="135"/>
      <c r="ETQ282" s="135"/>
      <c r="ETR282" s="135"/>
      <c r="ETS282" s="173"/>
      <c r="ETT282" s="173"/>
      <c r="ETU282" s="173"/>
      <c r="ETV282" s="173"/>
      <c r="ETW282" s="173"/>
      <c r="ETX282" s="173"/>
      <c r="ETY282" s="173"/>
      <c r="ETZ282" s="173"/>
      <c r="EUA282" s="173"/>
      <c r="EUB282" s="173"/>
      <c r="EUC282" s="125"/>
      <c r="EUD282" s="125"/>
      <c r="EUE282" s="134"/>
      <c r="EUF282" s="135"/>
      <c r="EUG282" s="135"/>
      <c r="EUH282" s="135"/>
      <c r="EUI282" s="135"/>
      <c r="EUJ282" s="173"/>
      <c r="EUK282" s="173"/>
      <c r="EUL282" s="173"/>
      <c r="EUM282" s="173"/>
      <c r="EUN282" s="173"/>
      <c r="EUO282" s="173"/>
      <c r="EUP282" s="173"/>
      <c r="EUQ282" s="173"/>
      <c r="EUR282" s="173"/>
      <c r="EUS282" s="173"/>
      <c r="EUT282" s="125"/>
      <c r="EUU282" s="125"/>
      <c r="EUV282" s="134"/>
      <c r="EUW282" s="135"/>
      <c r="EUX282" s="135"/>
      <c r="EUY282" s="135"/>
      <c r="EUZ282" s="135"/>
      <c r="EVA282" s="173"/>
      <c r="EVB282" s="173"/>
      <c r="EVC282" s="173"/>
      <c r="EVD282" s="173"/>
      <c r="EVE282" s="173"/>
      <c r="EVF282" s="173"/>
      <c r="EVG282" s="173"/>
      <c r="EVH282" s="173"/>
      <c r="EVI282" s="173"/>
      <c r="EVJ282" s="173"/>
      <c r="EVK282" s="125"/>
      <c r="EVL282" s="125"/>
      <c r="EVM282" s="134"/>
      <c r="EVN282" s="135"/>
      <c r="EVO282" s="135"/>
      <c r="EVP282" s="135"/>
      <c r="EVQ282" s="135"/>
      <c r="EVR282" s="173"/>
      <c r="EVS282" s="173"/>
      <c r="EVT282" s="173"/>
      <c r="EVU282" s="173"/>
      <c r="EVV282" s="173"/>
      <c r="EVW282" s="173"/>
      <c r="EVX282" s="173"/>
      <c r="EVY282" s="173"/>
      <c r="EVZ282" s="173"/>
      <c r="EWA282" s="173"/>
      <c r="EWB282" s="125"/>
      <c r="EWC282" s="125"/>
      <c r="EWD282" s="134"/>
      <c r="EWE282" s="135"/>
      <c r="EWF282" s="135"/>
      <c r="EWG282" s="135"/>
      <c r="EWH282" s="135"/>
      <c r="EWI282" s="173"/>
      <c r="EWJ282" s="173"/>
      <c r="EWK282" s="173"/>
      <c r="EWL282" s="173"/>
      <c r="EWM282" s="173"/>
      <c r="EWN282" s="173"/>
      <c r="EWO282" s="173"/>
      <c r="EWP282" s="173"/>
      <c r="EWQ282" s="173"/>
      <c r="EWR282" s="173"/>
      <c r="EWS282" s="125"/>
      <c r="EWT282" s="125"/>
      <c r="EWU282" s="134"/>
      <c r="EWV282" s="135"/>
      <c r="EWW282" s="135"/>
      <c r="EWX282" s="135"/>
      <c r="EWY282" s="135"/>
      <c r="EWZ282" s="173"/>
      <c r="EXA282" s="173"/>
      <c r="EXB282" s="173"/>
      <c r="EXC282" s="173"/>
      <c r="EXD282" s="173"/>
      <c r="EXE282" s="173"/>
      <c r="EXF282" s="173"/>
      <c r="EXG282" s="173"/>
      <c r="EXH282" s="173"/>
      <c r="EXI282" s="173"/>
      <c r="EXJ282" s="125"/>
      <c r="EXK282" s="125"/>
      <c r="EXL282" s="134"/>
      <c r="EXM282" s="135"/>
      <c r="EXN282" s="135"/>
      <c r="EXO282" s="135"/>
      <c r="EXP282" s="135"/>
      <c r="EXQ282" s="173"/>
      <c r="EXR282" s="173"/>
      <c r="EXS282" s="173"/>
      <c r="EXT282" s="173"/>
      <c r="EXU282" s="173"/>
      <c r="EXV282" s="173"/>
      <c r="EXW282" s="173"/>
      <c r="EXX282" s="173"/>
      <c r="EXY282" s="173"/>
      <c r="EXZ282" s="173"/>
      <c r="EYA282" s="125"/>
      <c r="EYB282" s="125"/>
      <c r="EYC282" s="134"/>
      <c r="EYD282" s="135"/>
      <c r="EYE282" s="135"/>
      <c r="EYF282" s="135"/>
      <c r="EYG282" s="135"/>
      <c r="EYH282" s="173"/>
      <c r="EYI282" s="173"/>
      <c r="EYJ282" s="173"/>
      <c r="EYK282" s="173"/>
      <c r="EYL282" s="173"/>
      <c r="EYM282" s="173"/>
      <c r="EYN282" s="173"/>
      <c r="EYO282" s="173"/>
      <c r="EYP282" s="173"/>
      <c r="EYQ282" s="173"/>
      <c r="EYR282" s="125"/>
      <c r="EYS282" s="125"/>
      <c r="EYT282" s="134"/>
      <c r="EYU282" s="135"/>
      <c r="EYV282" s="135"/>
      <c r="EYW282" s="135"/>
      <c r="EYX282" s="135"/>
      <c r="EYY282" s="173"/>
      <c r="EYZ282" s="173"/>
      <c r="EZA282" s="173"/>
      <c r="EZB282" s="173"/>
      <c r="EZC282" s="173"/>
      <c r="EZD282" s="173"/>
      <c r="EZE282" s="173"/>
      <c r="EZF282" s="173"/>
      <c r="EZG282" s="173"/>
      <c r="EZH282" s="173"/>
      <c r="EZI282" s="125"/>
      <c r="EZJ282" s="125"/>
      <c r="EZK282" s="134"/>
      <c r="EZL282" s="135"/>
      <c r="EZM282" s="135"/>
      <c r="EZN282" s="135"/>
      <c r="EZO282" s="135"/>
      <c r="EZP282" s="173"/>
      <c r="EZQ282" s="173"/>
      <c r="EZR282" s="173"/>
      <c r="EZS282" s="173"/>
      <c r="EZT282" s="173"/>
      <c r="EZU282" s="173"/>
      <c r="EZV282" s="173"/>
      <c r="EZW282" s="173"/>
      <c r="EZX282" s="173"/>
      <c r="EZY282" s="173"/>
      <c r="EZZ282" s="125"/>
      <c r="FAA282" s="125"/>
      <c r="FAB282" s="134"/>
      <c r="FAC282" s="135"/>
      <c r="FAD282" s="135"/>
      <c r="FAE282" s="135"/>
      <c r="FAF282" s="135"/>
      <c r="FAG282" s="173"/>
      <c r="FAH282" s="173"/>
      <c r="FAI282" s="173"/>
      <c r="FAJ282" s="173"/>
      <c r="FAK282" s="173"/>
      <c r="FAL282" s="173"/>
      <c r="FAM282" s="173"/>
      <c r="FAN282" s="173"/>
      <c r="FAO282" s="173"/>
      <c r="FAP282" s="173"/>
      <c r="FAQ282" s="125"/>
      <c r="FAR282" s="125"/>
      <c r="FAS282" s="134"/>
      <c r="FAT282" s="135"/>
      <c r="FAU282" s="135"/>
      <c r="FAV282" s="135"/>
      <c r="FAW282" s="135"/>
      <c r="FAX282" s="173"/>
      <c r="FAY282" s="173"/>
      <c r="FAZ282" s="173"/>
      <c r="FBA282" s="173"/>
      <c r="FBB282" s="173"/>
      <c r="FBC282" s="173"/>
      <c r="FBD282" s="173"/>
      <c r="FBE282" s="173"/>
      <c r="FBF282" s="173"/>
      <c r="FBG282" s="173"/>
      <c r="FBH282" s="125"/>
      <c r="FBI282" s="125"/>
      <c r="FBJ282" s="134"/>
      <c r="FBK282" s="135"/>
      <c r="FBL282" s="135"/>
      <c r="FBM282" s="135"/>
      <c r="FBN282" s="135"/>
      <c r="FBO282" s="173"/>
      <c r="FBP282" s="173"/>
      <c r="FBQ282" s="173"/>
      <c r="FBR282" s="173"/>
      <c r="FBS282" s="173"/>
      <c r="FBT282" s="173"/>
      <c r="FBU282" s="173"/>
      <c r="FBV282" s="173"/>
      <c r="FBW282" s="173"/>
      <c r="FBX282" s="173"/>
      <c r="FBY282" s="125"/>
      <c r="FBZ282" s="125"/>
      <c r="FCA282" s="134"/>
      <c r="FCB282" s="135"/>
      <c r="FCC282" s="135"/>
      <c r="FCD282" s="135"/>
      <c r="FCE282" s="135"/>
      <c r="FCF282" s="173"/>
      <c r="FCG282" s="173"/>
      <c r="FCH282" s="173"/>
      <c r="FCI282" s="173"/>
      <c r="FCJ282" s="173"/>
      <c r="FCK282" s="173"/>
      <c r="FCL282" s="173"/>
      <c r="FCM282" s="173"/>
      <c r="FCN282" s="173"/>
      <c r="FCO282" s="173"/>
      <c r="FCP282" s="125"/>
      <c r="FCQ282" s="125"/>
      <c r="FCR282" s="134"/>
      <c r="FCS282" s="135"/>
      <c r="FCT282" s="135"/>
      <c r="FCU282" s="135"/>
      <c r="FCV282" s="135"/>
      <c r="FCW282" s="173"/>
      <c r="FCX282" s="173"/>
      <c r="FCY282" s="173"/>
      <c r="FCZ282" s="173"/>
      <c r="FDA282" s="173"/>
      <c r="FDB282" s="173"/>
      <c r="FDC282" s="173"/>
      <c r="FDD282" s="173"/>
      <c r="FDE282" s="173"/>
      <c r="FDF282" s="173"/>
      <c r="FDG282" s="125"/>
      <c r="FDH282" s="125"/>
      <c r="FDI282" s="134"/>
      <c r="FDJ282" s="135"/>
      <c r="FDK282" s="135"/>
      <c r="FDL282" s="135"/>
      <c r="FDM282" s="135"/>
      <c r="FDN282" s="173"/>
      <c r="FDO282" s="173"/>
      <c r="FDP282" s="173"/>
      <c r="FDQ282" s="173"/>
      <c r="FDR282" s="173"/>
      <c r="FDS282" s="173"/>
      <c r="FDT282" s="173"/>
      <c r="FDU282" s="173"/>
      <c r="FDV282" s="173"/>
      <c r="FDW282" s="173"/>
      <c r="FDX282" s="125"/>
      <c r="FDY282" s="125"/>
      <c r="FDZ282" s="134"/>
      <c r="FEA282" s="135"/>
      <c r="FEB282" s="135"/>
      <c r="FEC282" s="135"/>
      <c r="FED282" s="135"/>
      <c r="FEE282" s="173"/>
      <c r="FEF282" s="173"/>
      <c r="FEG282" s="173"/>
      <c r="FEH282" s="173"/>
      <c r="FEI282" s="173"/>
      <c r="FEJ282" s="173"/>
      <c r="FEK282" s="173"/>
      <c r="FEL282" s="173"/>
      <c r="FEM282" s="173"/>
      <c r="FEN282" s="173"/>
      <c r="FEO282" s="125"/>
      <c r="FEP282" s="125"/>
      <c r="FEQ282" s="134"/>
      <c r="FER282" s="135"/>
      <c r="FES282" s="135"/>
      <c r="FET282" s="135"/>
      <c r="FEU282" s="135"/>
      <c r="FEV282" s="173"/>
      <c r="FEW282" s="173"/>
      <c r="FEX282" s="173"/>
      <c r="FEY282" s="173"/>
      <c r="FEZ282" s="173"/>
      <c r="FFA282" s="173"/>
      <c r="FFB282" s="173"/>
      <c r="FFC282" s="173"/>
      <c r="FFD282" s="173"/>
      <c r="FFE282" s="173"/>
      <c r="FFF282" s="125"/>
      <c r="FFG282" s="125"/>
      <c r="FFH282" s="134"/>
      <c r="FFI282" s="135"/>
      <c r="FFJ282" s="135"/>
      <c r="FFK282" s="135"/>
      <c r="FFL282" s="135"/>
      <c r="FFM282" s="173"/>
      <c r="FFN282" s="173"/>
      <c r="FFO282" s="173"/>
      <c r="FFP282" s="173"/>
      <c r="FFQ282" s="173"/>
      <c r="FFR282" s="173"/>
      <c r="FFS282" s="173"/>
      <c r="FFT282" s="173"/>
      <c r="FFU282" s="173"/>
      <c r="FFV282" s="173"/>
      <c r="FFW282" s="125"/>
      <c r="FFX282" s="125"/>
      <c r="FFY282" s="134"/>
      <c r="FFZ282" s="135"/>
      <c r="FGA282" s="135"/>
      <c r="FGB282" s="135"/>
      <c r="FGC282" s="135"/>
      <c r="FGD282" s="173"/>
      <c r="FGE282" s="173"/>
      <c r="FGF282" s="173"/>
      <c r="FGG282" s="173"/>
      <c r="FGH282" s="173"/>
      <c r="FGI282" s="173"/>
      <c r="FGJ282" s="173"/>
      <c r="FGK282" s="173"/>
      <c r="FGL282" s="173"/>
      <c r="FGM282" s="173"/>
      <c r="FGN282" s="125"/>
      <c r="FGO282" s="125"/>
      <c r="FGP282" s="134"/>
      <c r="FGQ282" s="135"/>
      <c r="FGR282" s="135"/>
      <c r="FGS282" s="135"/>
      <c r="FGT282" s="135"/>
      <c r="FGU282" s="173"/>
      <c r="FGV282" s="173"/>
      <c r="FGW282" s="173"/>
      <c r="FGX282" s="173"/>
      <c r="FGY282" s="173"/>
      <c r="FGZ282" s="173"/>
      <c r="FHA282" s="173"/>
      <c r="FHB282" s="173"/>
      <c r="FHC282" s="173"/>
      <c r="FHD282" s="173"/>
      <c r="FHE282" s="125"/>
      <c r="FHF282" s="125"/>
      <c r="FHG282" s="134"/>
      <c r="FHH282" s="135"/>
      <c r="FHI282" s="135"/>
      <c r="FHJ282" s="135"/>
      <c r="FHK282" s="135"/>
      <c r="FHL282" s="173"/>
      <c r="FHM282" s="173"/>
      <c r="FHN282" s="173"/>
      <c r="FHO282" s="173"/>
      <c r="FHP282" s="173"/>
      <c r="FHQ282" s="173"/>
      <c r="FHR282" s="173"/>
      <c r="FHS282" s="173"/>
      <c r="FHT282" s="173"/>
      <c r="FHU282" s="173"/>
      <c r="FHV282" s="125"/>
      <c r="FHW282" s="125"/>
      <c r="FHX282" s="134"/>
      <c r="FHY282" s="135"/>
      <c r="FHZ282" s="135"/>
      <c r="FIA282" s="135"/>
      <c r="FIB282" s="135"/>
      <c r="FIC282" s="173"/>
      <c r="FID282" s="173"/>
      <c r="FIE282" s="173"/>
      <c r="FIF282" s="173"/>
      <c r="FIG282" s="173"/>
      <c r="FIH282" s="173"/>
      <c r="FII282" s="173"/>
      <c r="FIJ282" s="173"/>
      <c r="FIK282" s="173"/>
      <c r="FIL282" s="173"/>
      <c r="FIM282" s="125"/>
      <c r="FIN282" s="125"/>
      <c r="FIO282" s="134"/>
      <c r="FIP282" s="135"/>
      <c r="FIQ282" s="135"/>
      <c r="FIR282" s="135"/>
      <c r="FIS282" s="135"/>
      <c r="FIT282" s="173"/>
      <c r="FIU282" s="173"/>
      <c r="FIV282" s="173"/>
      <c r="FIW282" s="173"/>
      <c r="FIX282" s="173"/>
      <c r="FIY282" s="173"/>
      <c r="FIZ282" s="173"/>
      <c r="FJA282" s="173"/>
      <c r="FJB282" s="173"/>
      <c r="FJC282" s="173"/>
      <c r="FJD282" s="125"/>
      <c r="FJE282" s="125"/>
      <c r="FJF282" s="134"/>
      <c r="FJG282" s="135"/>
      <c r="FJH282" s="135"/>
      <c r="FJI282" s="135"/>
      <c r="FJJ282" s="135"/>
      <c r="FJK282" s="173"/>
      <c r="FJL282" s="173"/>
      <c r="FJM282" s="173"/>
      <c r="FJN282" s="173"/>
      <c r="FJO282" s="173"/>
      <c r="FJP282" s="173"/>
      <c r="FJQ282" s="173"/>
      <c r="FJR282" s="173"/>
      <c r="FJS282" s="173"/>
      <c r="FJT282" s="173"/>
      <c r="FJU282" s="125"/>
      <c r="FJV282" s="125"/>
      <c r="FJW282" s="134"/>
      <c r="FJX282" s="135"/>
      <c r="FJY282" s="135"/>
      <c r="FJZ282" s="135"/>
      <c r="FKA282" s="135"/>
      <c r="FKB282" s="173"/>
      <c r="FKC282" s="173"/>
      <c r="FKD282" s="173"/>
      <c r="FKE282" s="173"/>
      <c r="FKF282" s="173"/>
      <c r="FKG282" s="173"/>
      <c r="FKH282" s="173"/>
      <c r="FKI282" s="173"/>
      <c r="FKJ282" s="173"/>
      <c r="FKK282" s="173"/>
      <c r="FKL282" s="125"/>
      <c r="FKM282" s="125"/>
      <c r="FKN282" s="134"/>
      <c r="FKO282" s="135"/>
      <c r="FKP282" s="135"/>
      <c r="FKQ282" s="135"/>
      <c r="FKR282" s="135"/>
      <c r="FKS282" s="173"/>
      <c r="FKT282" s="173"/>
      <c r="FKU282" s="173"/>
      <c r="FKV282" s="173"/>
      <c r="FKW282" s="173"/>
      <c r="FKX282" s="173"/>
      <c r="FKY282" s="173"/>
      <c r="FKZ282" s="173"/>
      <c r="FLA282" s="173"/>
      <c r="FLB282" s="173"/>
      <c r="FLC282" s="125"/>
      <c r="FLD282" s="125"/>
      <c r="FLE282" s="134"/>
      <c r="FLF282" s="135"/>
      <c r="FLG282" s="135"/>
      <c r="FLH282" s="135"/>
      <c r="FLI282" s="135"/>
      <c r="FLJ282" s="173"/>
      <c r="FLK282" s="173"/>
      <c r="FLL282" s="173"/>
      <c r="FLM282" s="173"/>
      <c r="FLN282" s="173"/>
      <c r="FLO282" s="173"/>
      <c r="FLP282" s="173"/>
      <c r="FLQ282" s="173"/>
      <c r="FLR282" s="173"/>
      <c r="FLS282" s="173"/>
      <c r="FLT282" s="125"/>
      <c r="FLU282" s="125"/>
      <c r="FLV282" s="134"/>
      <c r="FLW282" s="135"/>
      <c r="FLX282" s="135"/>
      <c r="FLY282" s="135"/>
      <c r="FLZ282" s="135"/>
      <c r="FMA282" s="173"/>
      <c r="FMB282" s="173"/>
      <c r="FMC282" s="173"/>
      <c r="FMD282" s="173"/>
      <c r="FME282" s="173"/>
      <c r="FMF282" s="173"/>
      <c r="FMG282" s="173"/>
      <c r="FMH282" s="173"/>
      <c r="FMI282" s="173"/>
      <c r="FMJ282" s="173"/>
      <c r="FMK282" s="125"/>
      <c r="FML282" s="125"/>
      <c r="FMM282" s="134"/>
      <c r="FMN282" s="135"/>
      <c r="FMO282" s="135"/>
      <c r="FMP282" s="135"/>
      <c r="FMQ282" s="135"/>
      <c r="FMR282" s="173"/>
      <c r="FMS282" s="173"/>
      <c r="FMT282" s="173"/>
      <c r="FMU282" s="173"/>
      <c r="FMV282" s="173"/>
      <c r="FMW282" s="173"/>
      <c r="FMX282" s="173"/>
      <c r="FMY282" s="173"/>
      <c r="FMZ282" s="173"/>
      <c r="FNA282" s="173"/>
      <c r="FNB282" s="125"/>
      <c r="FNC282" s="125"/>
      <c r="FND282" s="134"/>
      <c r="FNE282" s="135"/>
      <c r="FNF282" s="135"/>
      <c r="FNG282" s="135"/>
      <c r="FNH282" s="135"/>
      <c r="FNI282" s="173"/>
      <c r="FNJ282" s="173"/>
      <c r="FNK282" s="173"/>
      <c r="FNL282" s="173"/>
      <c r="FNM282" s="173"/>
      <c r="FNN282" s="173"/>
      <c r="FNO282" s="173"/>
      <c r="FNP282" s="173"/>
      <c r="FNQ282" s="173"/>
      <c r="FNR282" s="173"/>
      <c r="FNS282" s="125"/>
      <c r="FNT282" s="125"/>
      <c r="FNU282" s="134"/>
      <c r="FNV282" s="135"/>
      <c r="FNW282" s="135"/>
      <c r="FNX282" s="135"/>
      <c r="FNY282" s="135"/>
      <c r="FNZ282" s="173"/>
      <c r="FOA282" s="173"/>
      <c r="FOB282" s="173"/>
      <c r="FOC282" s="173"/>
      <c r="FOD282" s="173"/>
      <c r="FOE282" s="173"/>
      <c r="FOF282" s="173"/>
      <c r="FOG282" s="173"/>
      <c r="FOH282" s="173"/>
      <c r="FOI282" s="173"/>
      <c r="FOJ282" s="125"/>
      <c r="FOK282" s="125"/>
      <c r="FOL282" s="134"/>
      <c r="FOM282" s="135"/>
      <c r="FON282" s="135"/>
      <c r="FOO282" s="135"/>
      <c r="FOP282" s="135"/>
      <c r="FOQ282" s="173"/>
      <c r="FOR282" s="173"/>
      <c r="FOS282" s="173"/>
      <c r="FOT282" s="173"/>
      <c r="FOU282" s="173"/>
      <c r="FOV282" s="173"/>
      <c r="FOW282" s="173"/>
      <c r="FOX282" s="173"/>
      <c r="FOY282" s="173"/>
      <c r="FOZ282" s="173"/>
      <c r="FPA282" s="125"/>
      <c r="FPB282" s="125"/>
      <c r="FPC282" s="134"/>
      <c r="FPD282" s="135"/>
      <c r="FPE282" s="135"/>
      <c r="FPF282" s="135"/>
      <c r="FPG282" s="135"/>
      <c r="FPH282" s="173"/>
      <c r="FPI282" s="173"/>
      <c r="FPJ282" s="173"/>
      <c r="FPK282" s="173"/>
      <c r="FPL282" s="173"/>
      <c r="FPM282" s="173"/>
      <c r="FPN282" s="173"/>
      <c r="FPO282" s="173"/>
      <c r="FPP282" s="173"/>
      <c r="FPQ282" s="173"/>
      <c r="FPR282" s="125"/>
      <c r="FPS282" s="125"/>
      <c r="FPT282" s="134"/>
      <c r="FPU282" s="135"/>
      <c r="FPV282" s="135"/>
      <c r="FPW282" s="135"/>
      <c r="FPX282" s="135"/>
      <c r="FPY282" s="173"/>
      <c r="FPZ282" s="173"/>
      <c r="FQA282" s="173"/>
      <c r="FQB282" s="173"/>
      <c r="FQC282" s="173"/>
      <c r="FQD282" s="173"/>
      <c r="FQE282" s="173"/>
      <c r="FQF282" s="173"/>
      <c r="FQG282" s="173"/>
      <c r="FQH282" s="173"/>
      <c r="FQI282" s="125"/>
      <c r="FQJ282" s="125"/>
      <c r="FQK282" s="134"/>
      <c r="FQL282" s="135"/>
      <c r="FQM282" s="135"/>
      <c r="FQN282" s="135"/>
      <c r="FQO282" s="135"/>
      <c r="FQP282" s="173"/>
      <c r="FQQ282" s="173"/>
      <c r="FQR282" s="173"/>
      <c r="FQS282" s="173"/>
      <c r="FQT282" s="173"/>
      <c r="FQU282" s="173"/>
      <c r="FQV282" s="173"/>
      <c r="FQW282" s="173"/>
      <c r="FQX282" s="173"/>
      <c r="FQY282" s="173"/>
      <c r="FQZ282" s="125"/>
      <c r="FRA282" s="125"/>
      <c r="FRB282" s="134"/>
      <c r="FRC282" s="135"/>
      <c r="FRD282" s="135"/>
      <c r="FRE282" s="135"/>
      <c r="FRF282" s="135"/>
      <c r="FRG282" s="173"/>
      <c r="FRH282" s="173"/>
      <c r="FRI282" s="173"/>
      <c r="FRJ282" s="173"/>
      <c r="FRK282" s="173"/>
      <c r="FRL282" s="173"/>
      <c r="FRM282" s="173"/>
      <c r="FRN282" s="173"/>
      <c r="FRO282" s="173"/>
      <c r="FRP282" s="173"/>
      <c r="FRQ282" s="125"/>
      <c r="FRR282" s="125"/>
      <c r="FRS282" s="134"/>
      <c r="FRT282" s="135"/>
      <c r="FRU282" s="135"/>
      <c r="FRV282" s="135"/>
      <c r="FRW282" s="135"/>
      <c r="FRX282" s="173"/>
      <c r="FRY282" s="173"/>
      <c r="FRZ282" s="173"/>
      <c r="FSA282" s="173"/>
      <c r="FSB282" s="173"/>
      <c r="FSC282" s="173"/>
      <c r="FSD282" s="173"/>
      <c r="FSE282" s="173"/>
      <c r="FSF282" s="173"/>
      <c r="FSG282" s="173"/>
      <c r="FSH282" s="125"/>
      <c r="FSI282" s="125"/>
      <c r="FSJ282" s="134"/>
      <c r="FSK282" s="135"/>
      <c r="FSL282" s="135"/>
      <c r="FSM282" s="135"/>
      <c r="FSN282" s="135"/>
      <c r="FSO282" s="173"/>
      <c r="FSP282" s="173"/>
      <c r="FSQ282" s="173"/>
      <c r="FSR282" s="173"/>
      <c r="FSS282" s="173"/>
      <c r="FST282" s="173"/>
      <c r="FSU282" s="173"/>
      <c r="FSV282" s="173"/>
      <c r="FSW282" s="173"/>
      <c r="FSX282" s="173"/>
      <c r="FSY282" s="125"/>
      <c r="FSZ282" s="125"/>
      <c r="FTA282" s="134"/>
      <c r="FTB282" s="135"/>
      <c r="FTC282" s="135"/>
      <c r="FTD282" s="135"/>
      <c r="FTE282" s="135"/>
      <c r="FTF282" s="173"/>
      <c r="FTG282" s="173"/>
      <c r="FTH282" s="173"/>
      <c r="FTI282" s="173"/>
      <c r="FTJ282" s="173"/>
      <c r="FTK282" s="173"/>
      <c r="FTL282" s="173"/>
      <c r="FTM282" s="173"/>
      <c r="FTN282" s="173"/>
      <c r="FTO282" s="173"/>
      <c r="FTP282" s="125"/>
      <c r="FTQ282" s="125"/>
      <c r="FTR282" s="134"/>
      <c r="FTS282" s="135"/>
      <c r="FTT282" s="135"/>
      <c r="FTU282" s="135"/>
      <c r="FTV282" s="135"/>
      <c r="FTW282" s="173"/>
      <c r="FTX282" s="173"/>
      <c r="FTY282" s="173"/>
      <c r="FTZ282" s="173"/>
      <c r="FUA282" s="173"/>
      <c r="FUB282" s="173"/>
      <c r="FUC282" s="173"/>
      <c r="FUD282" s="173"/>
      <c r="FUE282" s="173"/>
      <c r="FUF282" s="173"/>
      <c r="FUG282" s="125"/>
      <c r="FUH282" s="125"/>
      <c r="FUI282" s="134"/>
      <c r="FUJ282" s="135"/>
      <c r="FUK282" s="135"/>
      <c r="FUL282" s="135"/>
      <c r="FUM282" s="135"/>
      <c r="FUN282" s="173"/>
      <c r="FUO282" s="173"/>
      <c r="FUP282" s="173"/>
      <c r="FUQ282" s="173"/>
      <c r="FUR282" s="173"/>
      <c r="FUS282" s="173"/>
      <c r="FUT282" s="173"/>
      <c r="FUU282" s="173"/>
      <c r="FUV282" s="173"/>
      <c r="FUW282" s="173"/>
      <c r="FUX282" s="125"/>
      <c r="FUY282" s="125"/>
      <c r="FUZ282" s="134"/>
      <c r="FVA282" s="135"/>
      <c r="FVB282" s="135"/>
      <c r="FVC282" s="135"/>
      <c r="FVD282" s="135"/>
      <c r="FVE282" s="173"/>
      <c r="FVF282" s="173"/>
      <c r="FVG282" s="173"/>
      <c r="FVH282" s="173"/>
      <c r="FVI282" s="173"/>
      <c r="FVJ282" s="173"/>
      <c r="FVK282" s="173"/>
      <c r="FVL282" s="173"/>
      <c r="FVM282" s="173"/>
      <c r="FVN282" s="173"/>
      <c r="FVO282" s="125"/>
      <c r="FVP282" s="125"/>
      <c r="FVQ282" s="134"/>
      <c r="FVR282" s="135"/>
      <c r="FVS282" s="135"/>
      <c r="FVT282" s="135"/>
      <c r="FVU282" s="135"/>
      <c r="FVV282" s="173"/>
      <c r="FVW282" s="173"/>
      <c r="FVX282" s="173"/>
      <c r="FVY282" s="173"/>
      <c r="FVZ282" s="173"/>
      <c r="FWA282" s="173"/>
      <c r="FWB282" s="173"/>
      <c r="FWC282" s="173"/>
      <c r="FWD282" s="173"/>
      <c r="FWE282" s="173"/>
      <c r="FWF282" s="125"/>
      <c r="FWG282" s="125"/>
      <c r="FWH282" s="134"/>
      <c r="FWI282" s="135"/>
      <c r="FWJ282" s="135"/>
      <c r="FWK282" s="135"/>
      <c r="FWL282" s="135"/>
      <c r="FWM282" s="173"/>
      <c r="FWN282" s="173"/>
      <c r="FWO282" s="173"/>
      <c r="FWP282" s="173"/>
      <c r="FWQ282" s="173"/>
      <c r="FWR282" s="173"/>
      <c r="FWS282" s="173"/>
      <c r="FWT282" s="173"/>
      <c r="FWU282" s="173"/>
      <c r="FWV282" s="173"/>
      <c r="FWW282" s="125"/>
      <c r="FWX282" s="125"/>
      <c r="FWY282" s="134"/>
      <c r="FWZ282" s="135"/>
      <c r="FXA282" s="135"/>
      <c r="FXB282" s="135"/>
      <c r="FXC282" s="135"/>
      <c r="FXD282" s="173"/>
      <c r="FXE282" s="173"/>
      <c r="FXF282" s="173"/>
      <c r="FXG282" s="173"/>
      <c r="FXH282" s="173"/>
      <c r="FXI282" s="173"/>
      <c r="FXJ282" s="173"/>
      <c r="FXK282" s="173"/>
      <c r="FXL282" s="173"/>
      <c r="FXM282" s="173"/>
      <c r="FXN282" s="125"/>
      <c r="FXO282" s="125"/>
      <c r="FXP282" s="134"/>
      <c r="FXQ282" s="135"/>
      <c r="FXR282" s="135"/>
      <c r="FXS282" s="135"/>
      <c r="FXT282" s="135"/>
      <c r="FXU282" s="173"/>
      <c r="FXV282" s="173"/>
      <c r="FXW282" s="173"/>
      <c r="FXX282" s="173"/>
      <c r="FXY282" s="173"/>
      <c r="FXZ282" s="173"/>
      <c r="FYA282" s="173"/>
      <c r="FYB282" s="173"/>
      <c r="FYC282" s="173"/>
      <c r="FYD282" s="173"/>
      <c r="FYE282" s="125"/>
      <c r="FYF282" s="125"/>
      <c r="FYG282" s="134"/>
      <c r="FYH282" s="135"/>
      <c r="FYI282" s="135"/>
      <c r="FYJ282" s="135"/>
      <c r="FYK282" s="135"/>
      <c r="FYL282" s="173"/>
      <c r="FYM282" s="173"/>
      <c r="FYN282" s="173"/>
      <c r="FYO282" s="173"/>
      <c r="FYP282" s="173"/>
      <c r="FYQ282" s="173"/>
      <c r="FYR282" s="173"/>
      <c r="FYS282" s="173"/>
      <c r="FYT282" s="173"/>
      <c r="FYU282" s="173"/>
      <c r="FYV282" s="125"/>
      <c r="FYW282" s="125"/>
      <c r="FYX282" s="134"/>
      <c r="FYY282" s="135"/>
      <c r="FYZ282" s="135"/>
      <c r="FZA282" s="135"/>
      <c r="FZB282" s="135"/>
      <c r="FZC282" s="173"/>
      <c r="FZD282" s="173"/>
      <c r="FZE282" s="173"/>
      <c r="FZF282" s="173"/>
      <c r="FZG282" s="173"/>
      <c r="FZH282" s="173"/>
      <c r="FZI282" s="173"/>
      <c r="FZJ282" s="173"/>
      <c r="FZK282" s="173"/>
      <c r="FZL282" s="173"/>
      <c r="FZM282" s="125"/>
      <c r="FZN282" s="125"/>
      <c r="FZO282" s="134"/>
      <c r="FZP282" s="135"/>
      <c r="FZQ282" s="135"/>
      <c r="FZR282" s="135"/>
      <c r="FZS282" s="135"/>
      <c r="FZT282" s="173"/>
      <c r="FZU282" s="173"/>
      <c r="FZV282" s="173"/>
      <c r="FZW282" s="173"/>
      <c r="FZX282" s="173"/>
      <c r="FZY282" s="173"/>
      <c r="FZZ282" s="173"/>
      <c r="GAA282" s="173"/>
      <c r="GAB282" s="173"/>
      <c r="GAC282" s="173"/>
      <c r="GAD282" s="125"/>
      <c r="GAE282" s="125"/>
      <c r="GAF282" s="134"/>
      <c r="GAG282" s="135"/>
      <c r="GAH282" s="135"/>
      <c r="GAI282" s="135"/>
      <c r="GAJ282" s="135"/>
      <c r="GAK282" s="173"/>
      <c r="GAL282" s="173"/>
      <c r="GAM282" s="173"/>
      <c r="GAN282" s="173"/>
      <c r="GAO282" s="173"/>
      <c r="GAP282" s="173"/>
      <c r="GAQ282" s="173"/>
      <c r="GAR282" s="173"/>
      <c r="GAS282" s="173"/>
      <c r="GAT282" s="173"/>
      <c r="GAU282" s="125"/>
      <c r="GAV282" s="125"/>
      <c r="GAW282" s="134"/>
      <c r="GAX282" s="135"/>
      <c r="GAY282" s="135"/>
      <c r="GAZ282" s="135"/>
      <c r="GBA282" s="135"/>
      <c r="GBB282" s="173"/>
      <c r="GBC282" s="173"/>
      <c r="GBD282" s="173"/>
      <c r="GBE282" s="173"/>
      <c r="GBF282" s="173"/>
      <c r="GBG282" s="173"/>
      <c r="GBH282" s="173"/>
      <c r="GBI282" s="173"/>
      <c r="GBJ282" s="173"/>
      <c r="GBK282" s="173"/>
      <c r="GBL282" s="125"/>
      <c r="GBM282" s="125"/>
      <c r="GBN282" s="134"/>
      <c r="GBO282" s="135"/>
      <c r="GBP282" s="135"/>
      <c r="GBQ282" s="135"/>
      <c r="GBR282" s="135"/>
      <c r="GBS282" s="173"/>
      <c r="GBT282" s="173"/>
      <c r="GBU282" s="173"/>
      <c r="GBV282" s="173"/>
      <c r="GBW282" s="173"/>
      <c r="GBX282" s="173"/>
      <c r="GBY282" s="173"/>
      <c r="GBZ282" s="173"/>
      <c r="GCA282" s="173"/>
      <c r="GCB282" s="173"/>
      <c r="GCC282" s="125"/>
      <c r="GCD282" s="125"/>
      <c r="GCE282" s="134"/>
      <c r="GCF282" s="135"/>
      <c r="GCG282" s="135"/>
      <c r="GCH282" s="135"/>
      <c r="GCI282" s="135"/>
      <c r="GCJ282" s="173"/>
      <c r="GCK282" s="173"/>
      <c r="GCL282" s="173"/>
      <c r="GCM282" s="173"/>
      <c r="GCN282" s="173"/>
      <c r="GCO282" s="173"/>
      <c r="GCP282" s="173"/>
      <c r="GCQ282" s="173"/>
      <c r="GCR282" s="173"/>
      <c r="GCS282" s="173"/>
      <c r="GCT282" s="125"/>
      <c r="GCU282" s="125"/>
      <c r="GCV282" s="134"/>
      <c r="GCW282" s="135"/>
      <c r="GCX282" s="135"/>
      <c r="GCY282" s="135"/>
      <c r="GCZ282" s="135"/>
      <c r="GDA282" s="173"/>
      <c r="GDB282" s="173"/>
      <c r="GDC282" s="173"/>
      <c r="GDD282" s="173"/>
      <c r="GDE282" s="173"/>
      <c r="GDF282" s="173"/>
      <c r="GDG282" s="173"/>
      <c r="GDH282" s="173"/>
      <c r="GDI282" s="173"/>
      <c r="GDJ282" s="173"/>
      <c r="GDK282" s="125"/>
      <c r="GDL282" s="125"/>
      <c r="GDM282" s="134"/>
      <c r="GDN282" s="135"/>
      <c r="GDO282" s="135"/>
      <c r="GDP282" s="135"/>
      <c r="GDQ282" s="135"/>
      <c r="GDR282" s="173"/>
      <c r="GDS282" s="173"/>
      <c r="GDT282" s="173"/>
      <c r="GDU282" s="173"/>
      <c r="GDV282" s="173"/>
      <c r="GDW282" s="173"/>
      <c r="GDX282" s="173"/>
      <c r="GDY282" s="173"/>
      <c r="GDZ282" s="173"/>
      <c r="GEA282" s="173"/>
      <c r="GEB282" s="125"/>
      <c r="GEC282" s="125"/>
      <c r="GED282" s="134"/>
      <c r="GEE282" s="135"/>
      <c r="GEF282" s="135"/>
      <c r="GEG282" s="135"/>
      <c r="GEH282" s="135"/>
      <c r="GEI282" s="173"/>
      <c r="GEJ282" s="173"/>
      <c r="GEK282" s="173"/>
      <c r="GEL282" s="173"/>
      <c r="GEM282" s="173"/>
      <c r="GEN282" s="173"/>
      <c r="GEO282" s="173"/>
      <c r="GEP282" s="173"/>
      <c r="GEQ282" s="173"/>
      <c r="GER282" s="173"/>
      <c r="GES282" s="125"/>
      <c r="GET282" s="125"/>
      <c r="GEU282" s="134"/>
      <c r="GEV282" s="135"/>
      <c r="GEW282" s="135"/>
      <c r="GEX282" s="135"/>
      <c r="GEY282" s="135"/>
      <c r="GEZ282" s="173"/>
      <c r="GFA282" s="173"/>
      <c r="GFB282" s="173"/>
      <c r="GFC282" s="173"/>
      <c r="GFD282" s="173"/>
      <c r="GFE282" s="173"/>
      <c r="GFF282" s="173"/>
      <c r="GFG282" s="173"/>
      <c r="GFH282" s="173"/>
      <c r="GFI282" s="173"/>
      <c r="GFJ282" s="125"/>
      <c r="GFK282" s="125"/>
      <c r="GFL282" s="134"/>
      <c r="GFM282" s="135"/>
      <c r="GFN282" s="135"/>
      <c r="GFO282" s="135"/>
      <c r="GFP282" s="135"/>
      <c r="GFQ282" s="173"/>
      <c r="GFR282" s="173"/>
      <c r="GFS282" s="173"/>
      <c r="GFT282" s="173"/>
      <c r="GFU282" s="173"/>
      <c r="GFV282" s="173"/>
      <c r="GFW282" s="173"/>
      <c r="GFX282" s="173"/>
      <c r="GFY282" s="173"/>
      <c r="GFZ282" s="173"/>
      <c r="GGA282" s="125"/>
      <c r="GGB282" s="125"/>
      <c r="GGC282" s="134"/>
      <c r="GGD282" s="135"/>
      <c r="GGE282" s="135"/>
      <c r="GGF282" s="135"/>
      <c r="GGG282" s="135"/>
      <c r="GGH282" s="173"/>
      <c r="GGI282" s="173"/>
      <c r="GGJ282" s="173"/>
      <c r="GGK282" s="173"/>
      <c r="GGL282" s="173"/>
      <c r="GGM282" s="173"/>
      <c r="GGN282" s="173"/>
      <c r="GGO282" s="173"/>
      <c r="GGP282" s="173"/>
      <c r="GGQ282" s="173"/>
      <c r="GGR282" s="125"/>
      <c r="GGS282" s="125"/>
      <c r="GGT282" s="134"/>
      <c r="GGU282" s="135"/>
      <c r="GGV282" s="135"/>
      <c r="GGW282" s="135"/>
      <c r="GGX282" s="135"/>
      <c r="GGY282" s="173"/>
      <c r="GGZ282" s="173"/>
      <c r="GHA282" s="173"/>
      <c r="GHB282" s="173"/>
      <c r="GHC282" s="173"/>
      <c r="GHD282" s="173"/>
      <c r="GHE282" s="173"/>
      <c r="GHF282" s="173"/>
      <c r="GHG282" s="173"/>
      <c r="GHH282" s="173"/>
      <c r="GHI282" s="125"/>
      <c r="GHJ282" s="125"/>
      <c r="GHK282" s="134"/>
      <c r="GHL282" s="135"/>
      <c r="GHM282" s="135"/>
      <c r="GHN282" s="135"/>
      <c r="GHO282" s="135"/>
      <c r="GHP282" s="173"/>
      <c r="GHQ282" s="173"/>
      <c r="GHR282" s="173"/>
      <c r="GHS282" s="173"/>
      <c r="GHT282" s="173"/>
      <c r="GHU282" s="173"/>
      <c r="GHV282" s="173"/>
      <c r="GHW282" s="173"/>
      <c r="GHX282" s="173"/>
      <c r="GHY282" s="173"/>
      <c r="GHZ282" s="125"/>
      <c r="GIA282" s="125"/>
      <c r="GIB282" s="134"/>
      <c r="GIC282" s="135"/>
      <c r="GID282" s="135"/>
      <c r="GIE282" s="135"/>
      <c r="GIF282" s="135"/>
      <c r="GIG282" s="173"/>
      <c r="GIH282" s="173"/>
      <c r="GII282" s="173"/>
      <c r="GIJ282" s="173"/>
      <c r="GIK282" s="173"/>
      <c r="GIL282" s="173"/>
      <c r="GIM282" s="173"/>
      <c r="GIN282" s="173"/>
      <c r="GIO282" s="173"/>
      <c r="GIP282" s="173"/>
      <c r="GIQ282" s="125"/>
      <c r="GIR282" s="125"/>
      <c r="GIS282" s="134"/>
      <c r="GIT282" s="135"/>
      <c r="GIU282" s="135"/>
      <c r="GIV282" s="135"/>
      <c r="GIW282" s="135"/>
      <c r="GIX282" s="173"/>
      <c r="GIY282" s="173"/>
      <c r="GIZ282" s="173"/>
      <c r="GJA282" s="173"/>
      <c r="GJB282" s="173"/>
      <c r="GJC282" s="173"/>
      <c r="GJD282" s="173"/>
      <c r="GJE282" s="173"/>
      <c r="GJF282" s="173"/>
      <c r="GJG282" s="173"/>
      <c r="GJH282" s="125"/>
      <c r="GJI282" s="125"/>
      <c r="GJJ282" s="134"/>
      <c r="GJK282" s="135"/>
      <c r="GJL282" s="135"/>
      <c r="GJM282" s="135"/>
      <c r="GJN282" s="135"/>
      <c r="GJO282" s="173"/>
      <c r="GJP282" s="173"/>
      <c r="GJQ282" s="173"/>
      <c r="GJR282" s="173"/>
      <c r="GJS282" s="173"/>
      <c r="GJT282" s="173"/>
      <c r="GJU282" s="173"/>
      <c r="GJV282" s="173"/>
      <c r="GJW282" s="173"/>
      <c r="GJX282" s="173"/>
      <c r="GJY282" s="125"/>
      <c r="GJZ282" s="125"/>
      <c r="GKA282" s="134"/>
      <c r="GKB282" s="135"/>
      <c r="GKC282" s="135"/>
      <c r="GKD282" s="135"/>
      <c r="GKE282" s="135"/>
      <c r="GKF282" s="173"/>
      <c r="GKG282" s="173"/>
      <c r="GKH282" s="173"/>
      <c r="GKI282" s="173"/>
      <c r="GKJ282" s="173"/>
      <c r="GKK282" s="173"/>
      <c r="GKL282" s="173"/>
      <c r="GKM282" s="173"/>
      <c r="GKN282" s="173"/>
      <c r="GKO282" s="173"/>
      <c r="GKP282" s="125"/>
      <c r="GKQ282" s="125"/>
      <c r="GKR282" s="134"/>
      <c r="GKS282" s="135"/>
      <c r="GKT282" s="135"/>
      <c r="GKU282" s="135"/>
      <c r="GKV282" s="135"/>
      <c r="GKW282" s="173"/>
      <c r="GKX282" s="173"/>
      <c r="GKY282" s="173"/>
      <c r="GKZ282" s="173"/>
      <c r="GLA282" s="173"/>
      <c r="GLB282" s="173"/>
      <c r="GLC282" s="173"/>
      <c r="GLD282" s="173"/>
      <c r="GLE282" s="173"/>
      <c r="GLF282" s="173"/>
      <c r="GLG282" s="125"/>
      <c r="GLH282" s="125"/>
      <c r="GLI282" s="134"/>
      <c r="GLJ282" s="135"/>
      <c r="GLK282" s="135"/>
      <c r="GLL282" s="135"/>
      <c r="GLM282" s="135"/>
      <c r="GLN282" s="173"/>
      <c r="GLO282" s="173"/>
      <c r="GLP282" s="173"/>
      <c r="GLQ282" s="173"/>
      <c r="GLR282" s="173"/>
      <c r="GLS282" s="173"/>
      <c r="GLT282" s="173"/>
      <c r="GLU282" s="173"/>
      <c r="GLV282" s="173"/>
      <c r="GLW282" s="173"/>
      <c r="GLX282" s="125"/>
      <c r="GLY282" s="125"/>
      <c r="GLZ282" s="134"/>
      <c r="GMA282" s="135"/>
      <c r="GMB282" s="135"/>
      <c r="GMC282" s="135"/>
      <c r="GMD282" s="135"/>
      <c r="GME282" s="173"/>
      <c r="GMF282" s="173"/>
      <c r="GMG282" s="173"/>
      <c r="GMH282" s="173"/>
      <c r="GMI282" s="173"/>
      <c r="GMJ282" s="173"/>
      <c r="GMK282" s="173"/>
      <c r="GML282" s="173"/>
      <c r="GMM282" s="173"/>
      <c r="GMN282" s="173"/>
      <c r="GMO282" s="125"/>
      <c r="GMP282" s="125"/>
      <c r="GMQ282" s="134"/>
      <c r="GMR282" s="135"/>
      <c r="GMS282" s="135"/>
      <c r="GMT282" s="135"/>
      <c r="GMU282" s="135"/>
      <c r="GMV282" s="173"/>
      <c r="GMW282" s="173"/>
      <c r="GMX282" s="173"/>
      <c r="GMY282" s="173"/>
      <c r="GMZ282" s="173"/>
      <c r="GNA282" s="173"/>
      <c r="GNB282" s="173"/>
      <c r="GNC282" s="173"/>
      <c r="GND282" s="173"/>
      <c r="GNE282" s="173"/>
      <c r="GNF282" s="125"/>
      <c r="GNG282" s="125"/>
      <c r="GNH282" s="134"/>
      <c r="GNI282" s="135"/>
      <c r="GNJ282" s="135"/>
      <c r="GNK282" s="135"/>
      <c r="GNL282" s="135"/>
      <c r="GNM282" s="173"/>
      <c r="GNN282" s="173"/>
      <c r="GNO282" s="173"/>
      <c r="GNP282" s="173"/>
      <c r="GNQ282" s="173"/>
      <c r="GNR282" s="173"/>
      <c r="GNS282" s="173"/>
      <c r="GNT282" s="173"/>
      <c r="GNU282" s="173"/>
      <c r="GNV282" s="173"/>
      <c r="GNW282" s="125"/>
      <c r="GNX282" s="125"/>
      <c r="GNY282" s="134"/>
      <c r="GNZ282" s="135"/>
      <c r="GOA282" s="135"/>
      <c r="GOB282" s="135"/>
      <c r="GOC282" s="135"/>
      <c r="GOD282" s="173"/>
      <c r="GOE282" s="173"/>
      <c r="GOF282" s="173"/>
      <c r="GOG282" s="173"/>
      <c r="GOH282" s="173"/>
      <c r="GOI282" s="173"/>
      <c r="GOJ282" s="173"/>
      <c r="GOK282" s="173"/>
      <c r="GOL282" s="173"/>
      <c r="GOM282" s="173"/>
      <c r="GON282" s="125"/>
      <c r="GOO282" s="125"/>
      <c r="GOP282" s="134"/>
      <c r="GOQ282" s="135"/>
      <c r="GOR282" s="135"/>
      <c r="GOS282" s="135"/>
      <c r="GOT282" s="135"/>
      <c r="GOU282" s="173"/>
      <c r="GOV282" s="173"/>
      <c r="GOW282" s="173"/>
      <c r="GOX282" s="173"/>
      <c r="GOY282" s="173"/>
      <c r="GOZ282" s="173"/>
      <c r="GPA282" s="173"/>
      <c r="GPB282" s="173"/>
      <c r="GPC282" s="173"/>
      <c r="GPD282" s="173"/>
      <c r="GPE282" s="125"/>
      <c r="GPF282" s="125"/>
      <c r="GPG282" s="134"/>
      <c r="GPH282" s="135"/>
      <c r="GPI282" s="135"/>
      <c r="GPJ282" s="135"/>
      <c r="GPK282" s="135"/>
      <c r="GPL282" s="173"/>
      <c r="GPM282" s="173"/>
      <c r="GPN282" s="173"/>
      <c r="GPO282" s="173"/>
      <c r="GPP282" s="173"/>
      <c r="GPQ282" s="173"/>
      <c r="GPR282" s="173"/>
      <c r="GPS282" s="173"/>
      <c r="GPT282" s="173"/>
      <c r="GPU282" s="173"/>
      <c r="GPV282" s="125"/>
      <c r="GPW282" s="125"/>
      <c r="GPX282" s="134"/>
      <c r="GPY282" s="135"/>
      <c r="GPZ282" s="135"/>
      <c r="GQA282" s="135"/>
      <c r="GQB282" s="135"/>
      <c r="GQC282" s="173"/>
      <c r="GQD282" s="173"/>
      <c r="GQE282" s="173"/>
      <c r="GQF282" s="173"/>
      <c r="GQG282" s="173"/>
      <c r="GQH282" s="173"/>
      <c r="GQI282" s="173"/>
      <c r="GQJ282" s="173"/>
      <c r="GQK282" s="173"/>
      <c r="GQL282" s="173"/>
      <c r="GQM282" s="125"/>
      <c r="GQN282" s="125"/>
      <c r="GQO282" s="134"/>
      <c r="GQP282" s="135"/>
      <c r="GQQ282" s="135"/>
      <c r="GQR282" s="135"/>
      <c r="GQS282" s="135"/>
      <c r="GQT282" s="173"/>
      <c r="GQU282" s="173"/>
      <c r="GQV282" s="173"/>
      <c r="GQW282" s="173"/>
      <c r="GQX282" s="173"/>
      <c r="GQY282" s="173"/>
      <c r="GQZ282" s="173"/>
      <c r="GRA282" s="173"/>
      <c r="GRB282" s="173"/>
      <c r="GRC282" s="173"/>
      <c r="GRD282" s="125"/>
      <c r="GRE282" s="125"/>
      <c r="GRF282" s="134"/>
      <c r="GRG282" s="135"/>
      <c r="GRH282" s="135"/>
      <c r="GRI282" s="135"/>
      <c r="GRJ282" s="135"/>
      <c r="GRK282" s="173"/>
      <c r="GRL282" s="173"/>
      <c r="GRM282" s="173"/>
      <c r="GRN282" s="173"/>
      <c r="GRO282" s="173"/>
      <c r="GRP282" s="173"/>
      <c r="GRQ282" s="173"/>
      <c r="GRR282" s="173"/>
      <c r="GRS282" s="173"/>
      <c r="GRT282" s="173"/>
      <c r="GRU282" s="125"/>
      <c r="GRV282" s="125"/>
      <c r="GRW282" s="134"/>
      <c r="GRX282" s="135"/>
      <c r="GRY282" s="135"/>
      <c r="GRZ282" s="135"/>
      <c r="GSA282" s="135"/>
      <c r="GSB282" s="173"/>
      <c r="GSC282" s="173"/>
      <c r="GSD282" s="173"/>
      <c r="GSE282" s="173"/>
      <c r="GSF282" s="173"/>
      <c r="GSG282" s="173"/>
      <c r="GSH282" s="173"/>
      <c r="GSI282" s="173"/>
      <c r="GSJ282" s="173"/>
      <c r="GSK282" s="173"/>
      <c r="GSL282" s="125"/>
      <c r="GSM282" s="125"/>
      <c r="GSN282" s="134"/>
      <c r="GSO282" s="135"/>
      <c r="GSP282" s="135"/>
      <c r="GSQ282" s="135"/>
      <c r="GSR282" s="135"/>
      <c r="GSS282" s="173"/>
      <c r="GST282" s="173"/>
      <c r="GSU282" s="173"/>
      <c r="GSV282" s="173"/>
      <c r="GSW282" s="173"/>
      <c r="GSX282" s="173"/>
      <c r="GSY282" s="173"/>
      <c r="GSZ282" s="173"/>
      <c r="GTA282" s="173"/>
      <c r="GTB282" s="173"/>
      <c r="GTC282" s="125"/>
      <c r="GTD282" s="125"/>
      <c r="GTE282" s="134"/>
      <c r="GTF282" s="135"/>
      <c r="GTG282" s="135"/>
      <c r="GTH282" s="135"/>
      <c r="GTI282" s="135"/>
      <c r="GTJ282" s="173"/>
      <c r="GTK282" s="173"/>
      <c r="GTL282" s="173"/>
      <c r="GTM282" s="173"/>
      <c r="GTN282" s="173"/>
      <c r="GTO282" s="173"/>
      <c r="GTP282" s="173"/>
      <c r="GTQ282" s="173"/>
      <c r="GTR282" s="173"/>
      <c r="GTS282" s="173"/>
      <c r="GTT282" s="125"/>
      <c r="GTU282" s="125"/>
      <c r="GTV282" s="134"/>
      <c r="GTW282" s="135"/>
      <c r="GTX282" s="135"/>
      <c r="GTY282" s="135"/>
      <c r="GTZ282" s="135"/>
      <c r="GUA282" s="173"/>
      <c r="GUB282" s="173"/>
      <c r="GUC282" s="173"/>
      <c r="GUD282" s="173"/>
      <c r="GUE282" s="173"/>
      <c r="GUF282" s="173"/>
      <c r="GUG282" s="173"/>
      <c r="GUH282" s="173"/>
      <c r="GUI282" s="173"/>
      <c r="GUJ282" s="173"/>
      <c r="GUK282" s="125"/>
      <c r="GUL282" s="125"/>
      <c r="GUM282" s="134"/>
      <c r="GUN282" s="135"/>
      <c r="GUO282" s="135"/>
      <c r="GUP282" s="135"/>
      <c r="GUQ282" s="135"/>
      <c r="GUR282" s="173"/>
      <c r="GUS282" s="173"/>
      <c r="GUT282" s="173"/>
      <c r="GUU282" s="173"/>
      <c r="GUV282" s="173"/>
      <c r="GUW282" s="173"/>
      <c r="GUX282" s="173"/>
      <c r="GUY282" s="173"/>
      <c r="GUZ282" s="173"/>
      <c r="GVA282" s="173"/>
      <c r="GVB282" s="125"/>
      <c r="GVC282" s="125"/>
      <c r="GVD282" s="134"/>
      <c r="GVE282" s="135"/>
      <c r="GVF282" s="135"/>
      <c r="GVG282" s="135"/>
      <c r="GVH282" s="135"/>
      <c r="GVI282" s="173"/>
      <c r="GVJ282" s="173"/>
      <c r="GVK282" s="173"/>
      <c r="GVL282" s="173"/>
      <c r="GVM282" s="173"/>
      <c r="GVN282" s="173"/>
      <c r="GVO282" s="173"/>
      <c r="GVP282" s="173"/>
      <c r="GVQ282" s="173"/>
      <c r="GVR282" s="173"/>
      <c r="GVS282" s="125"/>
      <c r="GVT282" s="125"/>
      <c r="GVU282" s="134"/>
      <c r="GVV282" s="135"/>
      <c r="GVW282" s="135"/>
      <c r="GVX282" s="135"/>
      <c r="GVY282" s="135"/>
      <c r="GVZ282" s="173"/>
      <c r="GWA282" s="173"/>
      <c r="GWB282" s="173"/>
      <c r="GWC282" s="173"/>
      <c r="GWD282" s="173"/>
      <c r="GWE282" s="173"/>
      <c r="GWF282" s="173"/>
      <c r="GWG282" s="173"/>
      <c r="GWH282" s="173"/>
      <c r="GWI282" s="173"/>
      <c r="GWJ282" s="125"/>
      <c r="GWK282" s="125"/>
      <c r="GWL282" s="134"/>
      <c r="GWM282" s="135"/>
      <c r="GWN282" s="135"/>
      <c r="GWO282" s="135"/>
      <c r="GWP282" s="135"/>
      <c r="GWQ282" s="173"/>
      <c r="GWR282" s="173"/>
      <c r="GWS282" s="173"/>
      <c r="GWT282" s="173"/>
      <c r="GWU282" s="173"/>
      <c r="GWV282" s="173"/>
      <c r="GWW282" s="173"/>
      <c r="GWX282" s="173"/>
      <c r="GWY282" s="173"/>
      <c r="GWZ282" s="173"/>
      <c r="GXA282" s="125"/>
      <c r="GXB282" s="125"/>
      <c r="GXC282" s="134"/>
      <c r="GXD282" s="135"/>
      <c r="GXE282" s="135"/>
      <c r="GXF282" s="135"/>
      <c r="GXG282" s="135"/>
      <c r="GXH282" s="173"/>
      <c r="GXI282" s="173"/>
      <c r="GXJ282" s="173"/>
      <c r="GXK282" s="173"/>
      <c r="GXL282" s="173"/>
      <c r="GXM282" s="173"/>
      <c r="GXN282" s="173"/>
      <c r="GXO282" s="173"/>
      <c r="GXP282" s="173"/>
      <c r="GXQ282" s="173"/>
      <c r="GXR282" s="125"/>
      <c r="GXS282" s="125"/>
      <c r="GXT282" s="134"/>
      <c r="GXU282" s="135"/>
      <c r="GXV282" s="135"/>
      <c r="GXW282" s="135"/>
      <c r="GXX282" s="135"/>
      <c r="GXY282" s="173"/>
      <c r="GXZ282" s="173"/>
      <c r="GYA282" s="173"/>
      <c r="GYB282" s="173"/>
      <c r="GYC282" s="173"/>
      <c r="GYD282" s="173"/>
      <c r="GYE282" s="173"/>
      <c r="GYF282" s="173"/>
      <c r="GYG282" s="173"/>
      <c r="GYH282" s="173"/>
      <c r="GYI282" s="125"/>
      <c r="GYJ282" s="125"/>
      <c r="GYK282" s="134"/>
      <c r="GYL282" s="135"/>
      <c r="GYM282" s="135"/>
      <c r="GYN282" s="135"/>
      <c r="GYO282" s="135"/>
      <c r="GYP282" s="173"/>
      <c r="GYQ282" s="173"/>
      <c r="GYR282" s="173"/>
      <c r="GYS282" s="173"/>
      <c r="GYT282" s="173"/>
      <c r="GYU282" s="173"/>
      <c r="GYV282" s="173"/>
      <c r="GYW282" s="173"/>
      <c r="GYX282" s="173"/>
      <c r="GYY282" s="173"/>
      <c r="GYZ282" s="125"/>
      <c r="GZA282" s="125"/>
      <c r="GZB282" s="134"/>
      <c r="GZC282" s="135"/>
      <c r="GZD282" s="135"/>
      <c r="GZE282" s="135"/>
      <c r="GZF282" s="135"/>
      <c r="GZG282" s="173"/>
      <c r="GZH282" s="173"/>
      <c r="GZI282" s="173"/>
      <c r="GZJ282" s="173"/>
      <c r="GZK282" s="173"/>
      <c r="GZL282" s="173"/>
      <c r="GZM282" s="173"/>
      <c r="GZN282" s="173"/>
      <c r="GZO282" s="173"/>
      <c r="GZP282" s="173"/>
      <c r="GZQ282" s="125"/>
      <c r="GZR282" s="125"/>
      <c r="GZS282" s="134"/>
      <c r="GZT282" s="135"/>
      <c r="GZU282" s="135"/>
      <c r="GZV282" s="135"/>
      <c r="GZW282" s="135"/>
      <c r="GZX282" s="173"/>
      <c r="GZY282" s="173"/>
      <c r="GZZ282" s="173"/>
      <c r="HAA282" s="173"/>
      <c r="HAB282" s="173"/>
      <c r="HAC282" s="173"/>
      <c r="HAD282" s="173"/>
      <c r="HAE282" s="173"/>
      <c r="HAF282" s="173"/>
      <c r="HAG282" s="173"/>
      <c r="HAH282" s="125"/>
      <c r="HAI282" s="125"/>
      <c r="HAJ282" s="134"/>
      <c r="HAK282" s="135"/>
      <c r="HAL282" s="135"/>
      <c r="HAM282" s="135"/>
      <c r="HAN282" s="135"/>
      <c r="HAO282" s="173"/>
      <c r="HAP282" s="173"/>
      <c r="HAQ282" s="173"/>
      <c r="HAR282" s="173"/>
      <c r="HAS282" s="173"/>
      <c r="HAT282" s="173"/>
      <c r="HAU282" s="173"/>
      <c r="HAV282" s="173"/>
      <c r="HAW282" s="173"/>
      <c r="HAX282" s="173"/>
      <c r="HAY282" s="125"/>
      <c r="HAZ282" s="125"/>
      <c r="HBA282" s="134"/>
      <c r="HBB282" s="135"/>
      <c r="HBC282" s="135"/>
      <c r="HBD282" s="135"/>
      <c r="HBE282" s="135"/>
      <c r="HBF282" s="173"/>
      <c r="HBG282" s="173"/>
      <c r="HBH282" s="173"/>
      <c r="HBI282" s="173"/>
      <c r="HBJ282" s="173"/>
      <c r="HBK282" s="173"/>
      <c r="HBL282" s="173"/>
      <c r="HBM282" s="173"/>
      <c r="HBN282" s="173"/>
      <c r="HBO282" s="173"/>
      <c r="HBP282" s="125"/>
      <c r="HBQ282" s="125"/>
      <c r="HBR282" s="134"/>
      <c r="HBS282" s="135"/>
      <c r="HBT282" s="135"/>
      <c r="HBU282" s="135"/>
      <c r="HBV282" s="135"/>
      <c r="HBW282" s="173"/>
      <c r="HBX282" s="173"/>
      <c r="HBY282" s="173"/>
      <c r="HBZ282" s="173"/>
      <c r="HCA282" s="173"/>
      <c r="HCB282" s="173"/>
      <c r="HCC282" s="173"/>
      <c r="HCD282" s="173"/>
      <c r="HCE282" s="173"/>
      <c r="HCF282" s="173"/>
      <c r="HCG282" s="125"/>
      <c r="HCH282" s="125"/>
      <c r="HCI282" s="134"/>
      <c r="HCJ282" s="135"/>
      <c r="HCK282" s="135"/>
      <c r="HCL282" s="135"/>
      <c r="HCM282" s="135"/>
      <c r="HCN282" s="173"/>
      <c r="HCO282" s="173"/>
      <c r="HCP282" s="173"/>
      <c r="HCQ282" s="173"/>
      <c r="HCR282" s="173"/>
      <c r="HCS282" s="173"/>
      <c r="HCT282" s="173"/>
      <c r="HCU282" s="173"/>
      <c r="HCV282" s="173"/>
      <c r="HCW282" s="173"/>
      <c r="HCX282" s="125"/>
      <c r="HCY282" s="125"/>
      <c r="HCZ282" s="134"/>
      <c r="HDA282" s="135"/>
      <c r="HDB282" s="135"/>
      <c r="HDC282" s="135"/>
      <c r="HDD282" s="135"/>
      <c r="HDE282" s="173"/>
      <c r="HDF282" s="173"/>
      <c r="HDG282" s="173"/>
      <c r="HDH282" s="173"/>
      <c r="HDI282" s="173"/>
      <c r="HDJ282" s="173"/>
      <c r="HDK282" s="173"/>
      <c r="HDL282" s="173"/>
      <c r="HDM282" s="173"/>
      <c r="HDN282" s="173"/>
      <c r="HDO282" s="125"/>
      <c r="HDP282" s="125"/>
      <c r="HDQ282" s="134"/>
      <c r="HDR282" s="135"/>
      <c r="HDS282" s="135"/>
      <c r="HDT282" s="135"/>
      <c r="HDU282" s="135"/>
      <c r="HDV282" s="173"/>
      <c r="HDW282" s="173"/>
      <c r="HDX282" s="173"/>
      <c r="HDY282" s="173"/>
      <c r="HDZ282" s="173"/>
      <c r="HEA282" s="173"/>
      <c r="HEB282" s="173"/>
      <c r="HEC282" s="173"/>
      <c r="HED282" s="173"/>
      <c r="HEE282" s="173"/>
      <c r="HEF282" s="125"/>
      <c r="HEG282" s="125"/>
      <c r="HEH282" s="134"/>
      <c r="HEI282" s="135"/>
      <c r="HEJ282" s="135"/>
      <c r="HEK282" s="135"/>
      <c r="HEL282" s="135"/>
      <c r="HEM282" s="173"/>
      <c r="HEN282" s="173"/>
      <c r="HEO282" s="173"/>
      <c r="HEP282" s="173"/>
      <c r="HEQ282" s="173"/>
      <c r="HER282" s="173"/>
      <c r="HES282" s="173"/>
      <c r="HET282" s="173"/>
      <c r="HEU282" s="173"/>
      <c r="HEV282" s="173"/>
      <c r="HEW282" s="125"/>
      <c r="HEX282" s="125"/>
      <c r="HEY282" s="134"/>
      <c r="HEZ282" s="135"/>
      <c r="HFA282" s="135"/>
      <c r="HFB282" s="135"/>
      <c r="HFC282" s="135"/>
      <c r="HFD282" s="173"/>
      <c r="HFE282" s="173"/>
      <c r="HFF282" s="173"/>
      <c r="HFG282" s="173"/>
      <c r="HFH282" s="173"/>
      <c r="HFI282" s="173"/>
      <c r="HFJ282" s="173"/>
      <c r="HFK282" s="173"/>
      <c r="HFL282" s="173"/>
      <c r="HFM282" s="173"/>
      <c r="HFN282" s="125"/>
      <c r="HFO282" s="125"/>
      <c r="HFP282" s="134"/>
      <c r="HFQ282" s="135"/>
      <c r="HFR282" s="135"/>
      <c r="HFS282" s="135"/>
      <c r="HFT282" s="135"/>
      <c r="HFU282" s="173"/>
      <c r="HFV282" s="173"/>
      <c r="HFW282" s="173"/>
      <c r="HFX282" s="173"/>
      <c r="HFY282" s="173"/>
      <c r="HFZ282" s="173"/>
      <c r="HGA282" s="173"/>
      <c r="HGB282" s="173"/>
      <c r="HGC282" s="173"/>
      <c r="HGD282" s="173"/>
      <c r="HGE282" s="125"/>
      <c r="HGF282" s="125"/>
      <c r="HGG282" s="134"/>
      <c r="HGH282" s="135"/>
      <c r="HGI282" s="135"/>
      <c r="HGJ282" s="135"/>
      <c r="HGK282" s="135"/>
      <c r="HGL282" s="173"/>
      <c r="HGM282" s="173"/>
      <c r="HGN282" s="173"/>
      <c r="HGO282" s="173"/>
      <c r="HGP282" s="173"/>
      <c r="HGQ282" s="173"/>
      <c r="HGR282" s="173"/>
      <c r="HGS282" s="173"/>
      <c r="HGT282" s="173"/>
      <c r="HGU282" s="173"/>
      <c r="HGV282" s="125"/>
      <c r="HGW282" s="125"/>
      <c r="HGX282" s="134"/>
      <c r="HGY282" s="135"/>
      <c r="HGZ282" s="135"/>
      <c r="HHA282" s="135"/>
      <c r="HHB282" s="135"/>
      <c r="HHC282" s="173"/>
      <c r="HHD282" s="173"/>
      <c r="HHE282" s="173"/>
      <c r="HHF282" s="173"/>
      <c r="HHG282" s="173"/>
      <c r="HHH282" s="173"/>
      <c r="HHI282" s="173"/>
      <c r="HHJ282" s="173"/>
      <c r="HHK282" s="173"/>
      <c r="HHL282" s="173"/>
      <c r="HHM282" s="125"/>
      <c r="HHN282" s="125"/>
      <c r="HHO282" s="134"/>
      <c r="HHP282" s="135"/>
      <c r="HHQ282" s="135"/>
      <c r="HHR282" s="135"/>
      <c r="HHS282" s="135"/>
      <c r="HHT282" s="173"/>
      <c r="HHU282" s="173"/>
      <c r="HHV282" s="173"/>
      <c r="HHW282" s="173"/>
      <c r="HHX282" s="173"/>
      <c r="HHY282" s="173"/>
      <c r="HHZ282" s="173"/>
      <c r="HIA282" s="173"/>
      <c r="HIB282" s="173"/>
      <c r="HIC282" s="173"/>
      <c r="HID282" s="125"/>
      <c r="HIE282" s="125"/>
      <c r="HIF282" s="134"/>
      <c r="HIG282" s="135"/>
      <c r="HIH282" s="135"/>
      <c r="HII282" s="135"/>
      <c r="HIJ282" s="135"/>
      <c r="HIK282" s="173"/>
      <c r="HIL282" s="173"/>
      <c r="HIM282" s="173"/>
      <c r="HIN282" s="173"/>
      <c r="HIO282" s="173"/>
      <c r="HIP282" s="173"/>
      <c r="HIQ282" s="173"/>
      <c r="HIR282" s="173"/>
      <c r="HIS282" s="173"/>
      <c r="HIT282" s="173"/>
      <c r="HIU282" s="125"/>
      <c r="HIV282" s="125"/>
      <c r="HIW282" s="134"/>
      <c r="HIX282" s="135"/>
      <c r="HIY282" s="135"/>
      <c r="HIZ282" s="135"/>
      <c r="HJA282" s="135"/>
      <c r="HJB282" s="173"/>
      <c r="HJC282" s="173"/>
      <c r="HJD282" s="173"/>
      <c r="HJE282" s="173"/>
      <c r="HJF282" s="173"/>
      <c r="HJG282" s="173"/>
      <c r="HJH282" s="173"/>
      <c r="HJI282" s="173"/>
      <c r="HJJ282" s="173"/>
      <c r="HJK282" s="173"/>
      <c r="HJL282" s="125"/>
      <c r="HJM282" s="125"/>
      <c r="HJN282" s="134"/>
      <c r="HJO282" s="135"/>
      <c r="HJP282" s="135"/>
      <c r="HJQ282" s="135"/>
      <c r="HJR282" s="135"/>
      <c r="HJS282" s="173"/>
      <c r="HJT282" s="173"/>
      <c r="HJU282" s="173"/>
      <c r="HJV282" s="173"/>
      <c r="HJW282" s="173"/>
      <c r="HJX282" s="173"/>
      <c r="HJY282" s="173"/>
      <c r="HJZ282" s="173"/>
      <c r="HKA282" s="173"/>
      <c r="HKB282" s="173"/>
      <c r="HKC282" s="125"/>
      <c r="HKD282" s="125"/>
      <c r="HKE282" s="134"/>
      <c r="HKF282" s="135"/>
      <c r="HKG282" s="135"/>
      <c r="HKH282" s="135"/>
      <c r="HKI282" s="135"/>
      <c r="HKJ282" s="173"/>
      <c r="HKK282" s="173"/>
      <c r="HKL282" s="173"/>
      <c r="HKM282" s="173"/>
      <c r="HKN282" s="173"/>
      <c r="HKO282" s="173"/>
      <c r="HKP282" s="173"/>
      <c r="HKQ282" s="173"/>
      <c r="HKR282" s="173"/>
      <c r="HKS282" s="173"/>
      <c r="HKT282" s="125"/>
      <c r="HKU282" s="125"/>
      <c r="HKV282" s="134"/>
      <c r="HKW282" s="135"/>
      <c r="HKX282" s="135"/>
      <c r="HKY282" s="135"/>
      <c r="HKZ282" s="135"/>
      <c r="HLA282" s="173"/>
      <c r="HLB282" s="173"/>
      <c r="HLC282" s="173"/>
      <c r="HLD282" s="173"/>
      <c r="HLE282" s="173"/>
      <c r="HLF282" s="173"/>
      <c r="HLG282" s="173"/>
      <c r="HLH282" s="173"/>
      <c r="HLI282" s="173"/>
      <c r="HLJ282" s="173"/>
      <c r="HLK282" s="125"/>
      <c r="HLL282" s="125"/>
      <c r="HLM282" s="134"/>
      <c r="HLN282" s="135"/>
      <c r="HLO282" s="135"/>
      <c r="HLP282" s="135"/>
      <c r="HLQ282" s="135"/>
      <c r="HLR282" s="173"/>
      <c r="HLS282" s="173"/>
      <c r="HLT282" s="173"/>
      <c r="HLU282" s="173"/>
      <c r="HLV282" s="173"/>
      <c r="HLW282" s="173"/>
      <c r="HLX282" s="173"/>
      <c r="HLY282" s="173"/>
      <c r="HLZ282" s="173"/>
      <c r="HMA282" s="173"/>
      <c r="HMB282" s="125"/>
      <c r="HMC282" s="125"/>
      <c r="HMD282" s="134"/>
      <c r="HME282" s="135"/>
      <c r="HMF282" s="135"/>
      <c r="HMG282" s="135"/>
      <c r="HMH282" s="135"/>
      <c r="HMI282" s="173"/>
      <c r="HMJ282" s="173"/>
      <c r="HMK282" s="173"/>
      <c r="HML282" s="173"/>
      <c r="HMM282" s="173"/>
      <c r="HMN282" s="173"/>
      <c r="HMO282" s="173"/>
      <c r="HMP282" s="173"/>
      <c r="HMQ282" s="173"/>
      <c r="HMR282" s="173"/>
      <c r="HMS282" s="125"/>
      <c r="HMT282" s="125"/>
      <c r="HMU282" s="134"/>
      <c r="HMV282" s="135"/>
      <c r="HMW282" s="135"/>
      <c r="HMX282" s="135"/>
      <c r="HMY282" s="135"/>
      <c r="HMZ282" s="173"/>
      <c r="HNA282" s="173"/>
      <c r="HNB282" s="173"/>
      <c r="HNC282" s="173"/>
      <c r="HND282" s="173"/>
      <c r="HNE282" s="173"/>
      <c r="HNF282" s="173"/>
      <c r="HNG282" s="173"/>
      <c r="HNH282" s="173"/>
      <c r="HNI282" s="173"/>
      <c r="HNJ282" s="125"/>
      <c r="HNK282" s="125"/>
      <c r="HNL282" s="134"/>
      <c r="HNM282" s="135"/>
      <c r="HNN282" s="135"/>
      <c r="HNO282" s="135"/>
      <c r="HNP282" s="135"/>
      <c r="HNQ282" s="173"/>
      <c r="HNR282" s="173"/>
      <c r="HNS282" s="173"/>
      <c r="HNT282" s="173"/>
      <c r="HNU282" s="173"/>
      <c r="HNV282" s="173"/>
      <c r="HNW282" s="173"/>
      <c r="HNX282" s="173"/>
      <c r="HNY282" s="173"/>
      <c r="HNZ282" s="173"/>
      <c r="HOA282" s="125"/>
      <c r="HOB282" s="125"/>
      <c r="HOC282" s="134"/>
      <c r="HOD282" s="135"/>
      <c r="HOE282" s="135"/>
      <c r="HOF282" s="135"/>
      <c r="HOG282" s="135"/>
      <c r="HOH282" s="173"/>
      <c r="HOI282" s="173"/>
      <c r="HOJ282" s="173"/>
      <c r="HOK282" s="173"/>
      <c r="HOL282" s="173"/>
      <c r="HOM282" s="173"/>
      <c r="HON282" s="173"/>
      <c r="HOO282" s="173"/>
      <c r="HOP282" s="173"/>
      <c r="HOQ282" s="173"/>
      <c r="HOR282" s="125"/>
      <c r="HOS282" s="125"/>
      <c r="HOT282" s="134"/>
      <c r="HOU282" s="135"/>
      <c r="HOV282" s="135"/>
      <c r="HOW282" s="135"/>
      <c r="HOX282" s="135"/>
      <c r="HOY282" s="173"/>
      <c r="HOZ282" s="173"/>
      <c r="HPA282" s="173"/>
      <c r="HPB282" s="173"/>
      <c r="HPC282" s="173"/>
      <c r="HPD282" s="173"/>
      <c r="HPE282" s="173"/>
      <c r="HPF282" s="173"/>
      <c r="HPG282" s="173"/>
      <c r="HPH282" s="173"/>
      <c r="HPI282" s="125"/>
      <c r="HPJ282" s="125"/>
      <c r="HPK282" s="134"/>
      <c r="HPL282" s="135"/>
      <c r="HPM282" s="135"/>
      <c r="HPN282" s="135"/>
      <c r="HPO282" s="135"/>
      <c r="HPP282" s="173"/>
      <c r="HPQ282" s="173"/>
      <c r="HPR282" s="173"/>
      <c r="HPS282" s="173"/>
      <c r="HPT282" s="173"/>
      <c r="HPU282" s="173"/>
      <c r="HPV282" s="173"/>
      <c r="HPW282" s="173"/>
      <c r="HPX282" s="173"/>
      <c r="HPY282" s="173"/>
      <c r="HPZ282" s="125"/>
      <c r="HQA282" s="125"/>
      <c r="HQB282" s="134"/>
      <c r="HQC282" s="135"/>
      <c r="HQD282" s="135"/>
      <c r="HQE282" s="135"/>
      <c r="HQF282" s="135"/>
      <c r="HQG282" s="173"/>
      <c r="HQH282" s="173"/>
      <c r="HQI282" s="173"/>
      <c r="HQJ282" s="173"/>
      <c r="HQK282" s="173"/>
      <c r="HQL282" s="173"/>
      <c r="HQM282" s="173"/>
      <c r="HQN282" s="173"/>
      <c r="HQO282" s="173"/>
      <c r="HQP282" s="173"/>
      <c r="HQQ282" s="125"/>
      <c r="HQR282" s="125"/>
      <c r="HQS282" s="134"/>
      <c r="HQT282" s="135"/>
      <c r="HQU282" s="135"/>
      <c r="HQV282" s="135"/>
      <c r="HQW282" s="135"/>
      <c r="HQX282" s="173"/>
      <c r="HQY282" s="173"/>
      <c r="HQZ282" s="173"/>
      <c r="HRA282" s="173"/>
      <c r="HRB282" s="173"/>
      <c r="HRC282" s="173"/>
      <c r="HRD282" s="173"/>
      <c r="HRE282" s="173"/>
      <c r="HRF282" s="173"/>
      <c r="HRG282" s="173"/>
      <c r="HRH282" s="125"/>
      <c r="HRI282" s="125"/>
      <c r="HRJ282" s="134"/>
      <c r="HRK282" s="135"/>
      <c r="HRL282" s="135"/>
      <c r="HRM282" s="135"/>
      <c r="HRN282" s="135"/>
      <c r="HRO282" s="173"/>
      <c r="HRP282" s="173"/>
      <c r="HRQ282" s="173"/>
      <c r="HRR282" s="173"/>
      <c r="HRS282" s="173"/>
      <c r="HRT282" s="173"/>
      <c r="HRU282" s="173"/>
      <c r="HRV282" s="173"/>
      <c r="HRW282" s="173"/>
      <c r="HRX282" s="173"/>
      <c r="HRY282" s="125"/>
      <c r="HRZ282" s="125"/>
      <c r="HSA282" s="134"/>
      <c r="HSB282" s="135"/>
      <c r="HSC282" s="135"/>
      <c r="HSD282" s="135"/>
      <c r="HSE282" s="135"/>
      <c r="HSF282" s="173"/>
      <c r="HSG282" s="173"/>
      <c r="HSH282" s="173"/>
      <c r="HSI282" s="173"/>
      <c r="HSJ282" s="173"/>
      <c r="HSK282" s="173"/>
      <c r="HSL282" s="173"/>
      <c r="HSM282" s="173"/>
      <c r="HSN282" s="173"/>
      <c r="HSO282" s="173"/>
      <c r="HSP282" s="125"/>
      <c r="HSQ282" s="125"/>
      <c r="HSR282" s="134"/>
      <c r="HSS282" s="135"/>
      <c r="HST282" s="135"/>
      <c r="HSU282" s="135"/>
      <c r="HSV282" s="135"/>
      <c r="HSW282" s="173"/>
      <c r="HSX282" s="173"/>
      <c r="HSY282" s="173"/>
      <c r="HSZ282" s="173"/>
      <c r="HTA282" s="173"/>
      <c r="HTB282" s="173"/>
      <c r="HTC282" s="173"/>
      <c r="HTD282" s="173"/>
      <c r="HTE282" s="173"/>
      <c r="HTF282" s="173"/>
      <c r="HTG282" s="125"/>
      <c r="HTH282" s="125"/>
      <c r="HTI282" s="134"/>
      <c r="HTJ282" s="135"/>
      <c r="HTK282" s="135"/>
      <c r="HTL282" s="135"/>
      <c r="HTM282" s="135"/>
      <c r="HTN282" s="173"/>
      <c r="HTO282" s="173"/>
      <c r="HTP282" s="173"/>
      <c r="HTQ282" s="173"/>
      <c r="HTR282" s="173"/>
      <c r="HTS282" s="173"/>
      <c r="HTT282" s="173"/>
      <c r="HTU282" s="173"/>
      <c r="HTV282" s="173"/>
      <c r="HTW282" s="173"/>
      <c r="HTX282" s="125"/>
      <c r="HTY282" s="125"/>
      <c r="HTZ282" s="134"/>
      <c r="HUA282" s="135"/>
      <c r="HUB282" s="135"/>
      <c r="HUC282" s="135"/>
      <c r="HUD282" s="135"/>
      <c r="HUE282" s="173"/>
      <c r="HUF282" s="173"/>
      <c r="HUG282" s="173"/>
      <c r="HUH282" s="173"/>
      <c r="HUI282" s="173"/>
      <c r="HUJ282" s="173"/>
      <c r="HUK282" s="173"/>
      <c r="HUL282" s="173"/>
      <c r="HUM282" s="173"/>
      <c r="HUN282" s="173"/>
      <c r="HUO282" s="125"/>
      <c r="HUP282" s="125"/>
      <c r="HUQ282" s="134"/>
      <c r="HUR282" s="135"/>
      <c r="HUS282" s="135"/>
      <c r="HUT282" s="135"/>
      <c r="HUU282" s="135"/>
      <c r="HUV282" s="173"/>
      <c r="HUW282" s="173"/>
      <c r="HUX282" s="173"/>
      <c r="HUY282" s="173"/>
      <c r="HUZ282" s="173"/>
      <c r="HVA282" s="173"/>
      <c r="HVB282" s="173"/>
      <c r="HVC282" s="173"/>
      <c r="HVD282" s="173"/>
      <c r="HVE282" s="173"/>
      <c r="HVF282" s="125"/>
      <c r="HVG282" s="125"/>
      <c r="HVH282" s="134"/>
      <c r="HVI282" s="135"/>
      <c r="HVJ282" s="135"/>
      <c r="HVK282" s="135"/>
      <c r="HVL282" s="135"/>
      <c r="HVM282" s="173"/>
      <c r="HVN282" s="173"/>
      <c r="HVO282" s="173"/>
      <c r="HVP282" s="173"/>
      <c r="HVQ282" s="173"/>
      <c r="HVR282" s="173"/>
      <c r="HVS282" s="173"/>
      <c r="HVT282" s="173"/>
      <c r="HVU282" s="173"/>
      <c r="HVV282" s="173"/>
      <c r="HVW282" s="125"/>
      <c r="HVX282" s="125"/>
      <c r="HVY282" s="134"/>
      <c r="HVZ282" s="135"/>
      <c r="HWA282" s="135"/>
      <c r="HWB282" s="135"/>
      <c r="HWC282" s="135"/>
      <c r="HWD282" s="173"/>
      <c r="HWE282" s="173"/>
      <c r="HWF282" s="173"/>
      <c r="HWG282" s="173"/>
      <c r="HWH282" s="173"/>
      <c r="HWI282" s="173"/>
      <c r="HWJ282" s="173"/>
      <c r="HWK282" s="173"/>
      <c r="HWL282" s="173"/>
      <c r="HWM282" s="173"/>
      <c r="HWN282" s="125"/>
      <c r="HWO282" s="125"/>
      <c r="HWP282" s="134"/>
      <c r="HWQ282" s="135"/>
      <c r="HWR282" s="135"/>
      <c r="HWS282" s="135"/>
      <c r="HWT282" s="135"/>
      <c r="HWU282" s="173"/>
      <c r="HWV282" s="173"/>
      <c r="HWW282" s="173"/>
      <c r="HWX282" s="173"/>
      <c r="HWY282" s="173"/>
      <c r="HWZ282" s="173"/>
      <c r="HXA282" s="173"/>
      <c r="HXB282" s="173"/>
      <c r="HXC282" s="173"/>
      <c r="HXD282" s="173"/>
      <c r="HXE282" s="125"/>
      <c r="HXF282" s="125"/>
      <c r="HXG282" s="134"/>
      <c r="HXH282" s="135"/>
      <c r="HXI282" s="135"/>
      <c r="HXJ282" s="135"/>
      <c r="HXK282" s="135"/>
      <c r="HXL282" s="173"/>
      <c r="HXM282" s="173"/>
      <c r="HXN282" s="173"/>
      <c r="HXO282" s="173"/>
      <c r="HXP282" s="173"/>
      <c r="HXQ282" s="173"/>
      <c r="HXR282" s="173"/>
      <c r="HXS282" s="173"/>
      <c r="HXT282" s="173"/>
      <c r="HXU282" s="173"/>
      <c r="HXV282" s="125"/>
      <c r="HXW282" s="125"/>
      <c r="HXX282" s="134"/>
      <c r="HXY282" s="135"/>
      <c r="HXZ282" s="135"/>
      <c r="HYA282" s="135"/>
      <c r="HYB282" s="135"/>
      <c r="HYC282" s="173"/>
      <c r="HYD282" s="173"/>
      <c r="HYE282" s="173"/>
      <c r="HYF282" s="173"/>
      <c r="HYG282" s="173"/>
      <c r="HYH282" s="173"/>
      <c r="HYI282" s="173"/>
      <c r="HYJ282" s="173"/>
      <c r="HYK282" s="173"/>
      <c r="HYL282" s="173"/>
      <c r="HYM282" s="125"/>
      <c r="HYN282" s="125"/>
      <c r="HYO282" s="134"/>
      <c r="HYP282" s="135"/>
      <c r="HYQ282" s="135"/>
      <c r="HYR282" s="135"/>
      <c r="HYS282" s="135"/>
      <c r="HYT282" s="173"/>
      <c r="HYU282" s="173"/>
      <c r="HYV282" s="173"/>
      <c r="HYW282" s="173"/>
      <c r="HYX282" s="173"/>
      <c r="HYY282" s="173"/>
      <c r="HYZ282" s="173"/>
      <c r="HZA282" s="173"/>
      <c r="HZB282" s="173"/>
      <c r="HZC282" s="173"/>
      <c r="HZD282" s="125"/>
      <c r="HZE282" s="125"/>
      <c r="HZF282" s="134"/>
      <c r="HZG282" s="135"/>
      <c r="HZH282" s="135"/>
      <c r="HZI282" s="135"/>
      <c r="HZJ282" s="135"/>
      <c r="HZK282" s="173"/>
      <c r="HZL282" s="173"/>
      <c r="HZM282" s="173"/>
      <c r="HZN282" s="173"/>
      <c r="HZO282" s="173"/>
      <c r="HZP282" s="173"/>
      <c r="HZQ282" s="173"/>
      <c r="HZR282" s="173"/>
      <c r="HZS282" s="173"/>
      <c r="HZT282" s="173"/>
      <c r="HZU282" s="125"/>
      <c r="HZV282" s="125"/>
      <c r="HZW282" s="134"/>
      <c r="HZX282" s="135"/>
      <c r="HZY282" s="135"/>
      <c r="HZZ282" s="135"/>
      <c r="IAA282" s="135"/>
      <c r="IAB282" s="173"/>
      <c r="IAC282" s="173"/>
      <c r="IAD282" s="173"/>
      <c r="IAE282" s="173"/>
      <c r="IAF282" s="173"/>
      <c r="IAG282" s="173"/>
      <c r="IAH282" s="173"/>
      <c r="IAI282" s="173"/>
      <c r="IAJ282" s="173"/>
      <c r="IAK282" s="173"/>
      <c r="IAL282" s="125"/>
      <c r="IAM282" s="125"/>
      <c r="IAN282" s="134"/>
      <c r="IAO282" s="135"/>
      <c r="IAP282" s="135"/>
      <c r="IAQ282" s="135"/>
      <c r="IAR282" s="135"/>
      <c r="IAS282" s="173"/>
      <c r="IAT282" s="173"/>
      <c r="IAU282" s="173"/>
      <c r="IAV282" s="173"/>
      <c r="IAW282" s="173"/>
      <c r="IAX282" s="173"/>
      <c r="IAY282" s="173"/>
      <c r="IAZ282" s="173"/>
      <c r="IBA282" s="173"/>
      <c r="IBB282" s="173"/>
      <c r="IBC282" s="125"/>
      <c r="IBD282" s="125"/>
      <c r="IBE282" s="134"/>
      <c r="IBF282" s="135"/>
      <c r="IBG282" s="135"/>
      <c r="IBH282" s="135"/>
      <c r="IBI282" s="135"/>
      <c r="IBJ282" s="173"/>
      <c r="IBK282" s="173"/>
      <c r="IBL282" s="173"/>
      <c r="IBM282" s="173"/>
      <c r="IBN282" s="173"/>
      <c r="IBO282" s="173"/>
      <c r="IBP282" s="173"/>
      <c r="IBQ282" s="173"/>
      <c r="IBR282" s="173"/>
      <c r="IBS282" s="173"/>
      <c r="IBT282" s="125"/>
      <c r="IBU282" s="125"/>
      <c r="IBV282" s="134"/>
      <c r="IBW282" s="135"/>
      <c r="IBX282" s="135"/>
      <c r="IBY282" s="135"/>
      <c r="IBZ282" s="135"/>
      <c r="ICA282" s="173"/>
      <c r="ICB282" s="173"/>
      <c r="ICC282" s="173"/>
      <c r="ICD282" s="173"/>
      <c r="ICE282" s="173"/>
      <c r="ICF282" s="173"/>
      <c r="ICG282" s="173"/>
      <c r="ICH282" s="173"/>
      <c r="ICI282" s="173"/>
      <c r="ICJ282" s="173"/>
      <c r="ICK282" s="125"/>
      <c r="ICL282" s="125"/>
      <c r="ICM282" s="134"/>
      <c r="ICN282" s="135"/>
      <c r="ICO282" s="135"/>
      <c r="ICP282" s="135"/>
      <c r="ICQ282" s="135"/>
      <c r="ICR282" s="173"/>
      <c r="ICS282" s="173"/>
      <c r="ICT282" s="173"/>
      <c r="ICU282" s="173"/>
      <c r="ICV282" s="173"/>
      <c r="ICW282" s="173"/>
      <c r="ICX282" s="173"/>
      <c r="ICY282" s="173"/>
      <c r="ICZ282" s="173"/>
      <c r="IDA282" s="173"/>
      <c r="IDB282" s="125"/>
      <c r="IDC282" s="125"/>
      <c r="IDD282" s="134"/>
      <c r="IDE282" s="135"/>
      <c r="IDF282" s="135"/>
      <c r="IDG282" s="135"/>
      <c r="IDH282" s="135"/>
      <c r="IDI282" s="173"/>
      <c r="IDJ282" s="173"/>
      <c r="IDK282" s="173"/>
      <c r="IDL282" s="173"/>
      <c r="IDM282" s="173"/>
      <c r="IDN282" s="173"/>
      <c r="IDO282" s="173"/>
      <c r="IDP282" s="173"/>
      <c r="IDQ282" s="173"/>
      <c r="IDR282" s="173"/>
      <c r="IDS282" s="125"/>
      <c r="IDT282" s="125"/>
      <c r="IDU282" s="134"/>
      <c r="IDV282" s="135"/>
      <c r="IDW282" s="135"/>
      <c r="IDX282" s="135"/>
      <c r="IDY282" s="135"/>
      <c r="IDZ282" s="173"/>
      <c r="IEA282" s="173"/>
      <c r="IEB282" s="173"/>
      <c r="IEC282" s="173"/>
      <c r="IED282" s="173"/>
      <c r="IEE282" s="173"/>
      <c r="IEF282" s="173"/>
      <c r="IEG282" s="173"/>
      <c r="IEH282" s="173"/>
      <c r="IEI282" s="173"/>
      <c r="IEJ282" s="125"/>
      <c r="IEK282" s="125"/>
      <c r="IEL282" s="134"/>
      <c r="IEM282" s="135"/>
      <c r="IEN282" s="135"/>
      <c r="IEO282" s="135"/>
      <c r="IEP282" s="135"/>
      <c r="IEQ282" s="173"/>
      <c r="IER282" s="173"/>
      <c r="IES282" s="173"/>
      <c r="IET282" s="173"/>
      <c r="IEU282" s="173"/>
      <c r="IEV282" s="173"/>
      <c r="IEW282" s="173"/>
      <c r="IEX282" s="173"/>
      <c r="IEY282" s="173"/>
      <c r="IEZ282" s="173"/>
      <c r="IFA282" s="125"/>
      <c r="IFB282" s="125"/>
      <c r="IFC282" s="134"/>
      <c r="IFD282" s="135"/>
      <c r="IFE282" s="135"/>
      <c r="IFF282" s="135"/>
      <c r="IFG282" s="135"/>
      <c r="IFH282" s="173"/>
      <c r="IFI282" s="173"/>
      <c r="IFJ282" s="173"/>
      <c r="IFK282" s="173"/>
      <c r="IFL282" s="173"/>
      <c r="IFM282" s="173"/>
      <c r="IFN282" s="173"/>
      <c r="IFO282" s="173"/>
      <c r="IFP282" s="173"/>
      <c r="IFQ282" s="173"/>
      <c r="IFR282" s="125"/>
      <c r="IFS282" s="125"/>
      <c r="IFT282" s="134"/>
      <c r="IFU282" s="135"/>
      <c r="IFV282" s="135"/>
      <c r="IFW282" s="135"/>
      <c r="IFX282" s="135"/>
      <c r="IFY282" s="173"/>
      <c r="IFZ282" s="173"/>
      <c r="IGA282" s="173"/>
      <c r="IGB282" s="173"/>
      <c r="IGC282" s="173"/>
      <c r="IGD282" s="173"/>
      <c r="IGE282" s="173"/>
      <c r="IGF282" s="173"/>
      <c r="IGG282" s="173"/>
      <c r="IGH282" s="173"/>
      <c r="IGI282" s="125"/>
      <c r="IGJ282" s="125"/>
      <c r="IGK282" s="134"/>
      <c r="IGL282" s="135"/>
      <c r="IGM282" s="135"/>
      <c r="IGN282" s="135"/>
      <c r="IGO282" s="135"/>
      <c r="IGP282" s="173"/>
      <c r="IGQ282" s="173"/>
      <c r="IGR282" s="173"/>
      <c r="IGS282" s="173"/>
      <c r="IGT282" s="173"/>
      <c r="IGU282" s="173"/>
      <c r="IGV282" s="173"/>
      <c r="IGW282" s="173"/>
      <c r="IGX282" s="173"/>
      <c r="IGY282" s="173"/>
      <c r="IGZ282" s="125"/>
      <c r="IHA282" s="125"/>
      <c r="IHB282" s="134"/>
      <c r="IHC282" s="135"/>
      <c r="IHD282" s="135"/>
      <c r="IHE282" s="135"/>
      <c r="IHF282" s="135"/>
      <c r="IHG282" s="173"/>
      <c r="IHH282" s="173"/>
      <c r="IHI282" s="173"/>
      <c r="IHJ282" s="173"/>
      <c r="IHK282" s="173"/>
      <c r="IHL282" s="173"/>
      <c r="IHM282" s="173"/>
      <c r="IHN282" s="173"/>
      <c r="IHO282" s="173"/>
      <c r="IHP282" s="173"/>
      <c r="IHQ282" s="125"/>
      <c r="IHR282" s="125"/>
      <c r="IHS282" s="134"/>
      <c r="IHT282" s="135"/>
      <c r="IHU282" s="135"/>
      <c r="IHV282" s="135"/>
      <c r="IHW282" s="135"/>
      <c r="IHX282" s="173"/>
      <c r="IHY282" s="173"/>
      <c r="IHZ282" s="173"/>
      <c r="IIA282" s="173"/>
      <c r="IIB282" s="173"/>
      <c r="IIC282" s="173"/>
      <c r="IID282" s="173"/>
      <c r="IIE282" s="173"/>
      <c r="IIF282" s="173"/>
      <c r="IIG282" s="173"/>
      <c r="IIH282" s="125"/>
      <c r="III282" s="125"/>
      <c r="IIJ282" s="134"/>
      <c r="IIK282" s="135"/>
      <c r="IIL282" s="135"/>
      <c r="IIM282" s="135"/>
      <c r="IIN282" s="135"/>
      <c r="IIO282" s="173"/>
      <c r="IIP282" s="173"/>
      <c r="IIQ282" s="173"/>
      <c r="IIR282" s="173"/>
      <c r="IIS282" s="173"/>
      <c r="IIT282" s="173"/>
      <c r="IIU282" s="173"/>
      <c r="IIV282" s="173"/>
      <c r="IIW282" s="173"/>
      <c r="IIX282" s="173"/>
      <c r="IIY282" s="125"/>
      <c r="IIZ282" s="125"/>
      <c r="IJA282" s="134"/>
      <c r="IJB282" s="135"/>
      <c r="IJC282" s="135"/>
      <c r="IJD282" s="135"/>
      <c r="IJE282" s="135"/>
      <c r="IJF282" s="173"/>
      <c r="IJG282" s="173"/>
      <c r="IJH282" s="173"/>
      <c r="IJI282" s="173"/>
      <c r="IJJ282" s="173"/>
      <c r="IJK282" s="173"/>
      <c r="IJL282" s="173"/>
      <c r="IJM282" s="173"/>
      <c r="IJN282" s="173"/>
      <c r="IJO282" s="173"/>
      <c r="IJP282" s="125"/>
      <c r="IJQ282" s="125"/>
      <c r="IJR282" s="134"/>
      <c r="IJS282" s="135"/>
      <c r="IJT282" s="135"/>
      <c r="IJU282" s="135"/>
      <c r="IJV282" s="135"/>
      <c r="IJW282" s="173"/>
      <c r="IJX282" s="173"/>
      <c r="IJY282" s="173"/>
      <c r="IJZ282" s="173"/>
      <c r="IKA282" s="173"/>
      <c r="IKB282" s="173"/>
      <c r="IKC282" s="173"/>
      <c r="IKD282" s="173"/>
      <c r="IKE282" s="173"/>
      <c r="IKF282" s="173"/>
      <c r="IKG282" s="125"/>
      <c r="IKH282" s="125"/>
      <c r="IKI282" s="134"/>
      <c r="IKJ282" s="135"/>
      <c r="IKK282" s="135"/>
      <c r="IKL282" s="135"/>
      <c r="IKM282" s="135"/>
      <c r="IKN282" s="173"/>
      <c r="IKO282" s="173"/>
      <c r="IKP282" s="173"/>
      <c r="IKQ282" s="173"/>
      <c r="IKR282" s="173"/>
      <c r="IKS282" s="173"/>
      <c r="IKT282" s="173"/>
      <c r="IKU282" s="173"/>
      <c r="IKV282" s="173"/>
      <c r="IKW282" s="173"/>
      <c r="IKX282" s="125"/>
      <c r="IKY282" s="125"/>
      <c r="IKZ282" s="134"/>
      <c r="ILA282" s="135"/>
      <c r="ILB282" s="135"/>
      <c r="ILC282" s="135"/>
      <c r="ILD282" s="135"/>
      <c r="ILE282" s="173"/>
      <c r="ILF282" s="173"/>
      <c r="ILG282" s="173"/>
      <c r="ILH282" s="173"/>
      <c r="ILI282" s="173"/>
      <c r="ILJ282" s="173"/>
      <c r="ILK282" s="173"/>
      <c r="ILL282" s="173"/>
      <c r="ILM282" s="173"/>
      <c r="ILN282" s="173"/>
      <c r="ILO282" s="125"/>
      <c r="ILP282" s="125"/>
      <c r="ILQ282" s="134"/>
      <c r="ILR282" s="135"/>
      <c r="ILS282" s="135"/>
      <c r="ILT282" s="135"/>
      <c r="ILU282" s="135"/>
      <c r="ILV282" s="173"/>
      <c r="ILW282" s="173"/>
      <c r="ILX282" s="173"/>
      <c r="ILY282" s="173"/>
      <c r="ILZ282" s="173"/>
      <c r="IMA282" s="173"/>
      <c r="IMB282" s="173"/>
      <c r="IMC282" s="173"/>
      <c r="IMD282" s="173"/>
      <c r="IME282" s="173"/>
      <c r="IMF282" s="125"/>
      <c r="IMG282" s="125"/>
      <c r="IMH282" s="134"/>
      <c r="IMI282" s="135"/>
      <c r="IMJ282" s="135"/>
      <c r="IMK282" s="135"/>
      <c r="IML282" s="135"/>
      <c r="IMM282" s="173"/>
      <c r="IMN282" s="173"/>
      <c r="IMO282" s="173"/>
      <c r="IMP282" s="173"/>
      <c r="IMQ282" s="173"/>
      <c r="IMR282" s="173"/>
      <c r="IMS282" s="173"/>
      <c r="IMT282" s="173"/>
      <c r="IMU282" s="173"/>
      <c r="IMV282" s="173"/>
      <c r="IMW282" s="125"/>
      <c r="IMX282" s="125"/>
      <c r="IMY282" s="134"/>
      <c r="IMZ282" s="135"/>
      <c r="INA282" s="135"/>
      <c r="INB282" s="135"/>
      <c r="INC282" s="135"/>
      <c r="IND282" s="173"/>
      <c r="INE282" s="173"/>
      <c r="INF282" s="173"/>
      <c r="ING282" s="173"/>
      <c r="INH282" s="173"/>
      <c r="INI282" s="173"/>
      <c r="INJ282" s="173"/>
      <c r="INK282" s="173"/>
      <c r="INL282" s="173"/>
      <c r="INM282" s="173"/>
      <c r="INN282" s="125"/>
      <c r="INO282" s="125"/>
      <c r="INP282" s="134"/>
      <c r="INQ282" s="135"/>
      <c r="INR282" s="135"/>
      <c r="INS282" s="135"/>
      <c r="INT282" s="135"/>
      <c r="INU282" s="173"/>
      <c r="INV282" s="173"/>
      <c r="INW282" s="173"/>
      <c r="INX282" s="173"/>
      <c r="INY282" s="173"/>
      <c r="INZ282" s="173"/>
      <c r="IOA282" s="173"/>
      <c r="IOB282" s="173"/>
      <c r="IOC282" s="173"/>
      <c r="IOD282" s="173"/>
      <c r="IOE282" s="125"/>
      <c r="IOF282" s="125"/>
      <c r="IOG282" s="134"/>
      <c r="IOH282" s="135"/>
      <c r="IOI282" s="135"/>
      <c r="IOJ282" s="135"/>
      <c r="IOK282" s="135"/>
      <c r="IOL282" s="173"/>
      <c r="IOM282" s="173"/>
      <c r="ION282" s="173"/>
      <c r="IOO282" s="173"/>
      <c r="IOP282" s="173"/>
      <c r="IOQ282" s="173"/>
      <c r="IOR282" s="173"/>
      <c r="IOS282" s="173"/>
      <c r="IOT282" s="173"/>
      <c r="IOU282" s="173"/>
      <c r="IOV282" s="125"/>
      <c r="IOW282" s="125"/>
      <c r="IOX282" s="134"/>
      <c r="IOY282" s="135"/>
      <c r="IOZ282" s="135"/>
      <c r="IPA282" s="135"/>
      <c r="IPB282" s="135"/>
      <c r="IPC282" s="173"/>
      <c r="IPD282" s="173"/>
      <c r="IPE282" s="173"/>
      <c r="IPF282" s="173"/>
      <c r="IPG282" s="173"/>
      <c r="IPH282" s="173"/>
      <c r="IPI282" s="173"/>
      <c r="IPJ282" s="173"/>
      <c r="IPK282" s="173"/>
      <c r="IPL282" s="173"/>
      <c r="IPM282" s="125"/>
      <c r="IPN282" s="125"/>
      <c r="IPO282" s="134"/>
      <c r="IPP282" s="135"/>
      <c r="IPQ282" s="135"/>
      <c r="IPR282" s="135"/>
      <c r="IPS282" s="135"/>
      <c r="IPT282" s="173"/>
      <c r="IPU282" s="173"/>
      <c r="IPV282" s="173"/>
      <c r="IPW282" s="173"/>
      <c r="IPX282" s="173"/>
      <c r="IPY282" s="173"/>
      <c r="IPZ282" s="173"/>
      <c r="IQA282" s="173"/>
      <c r="IQB282" s="173"/>
      <c r="IQC282" s="173"/>
      <c r="IQD282" s="125"/>
      <c r="IQE282" s="125"/>
      <c r="IQF282" s="134"/>
      <c r="IQG282" s="135"/>
      <c r="IQH282" s="135"/>
      <c r="IQI282" s="135"/>
      <c r="IQJ282" s="135"/>
      <c r="IQK282" s="173"/>
      <c r="IQL282" s="173"/>
      <c r="IQM282" s="173"/>
      <c r="IQN282" s="173"/>
      <c r="IQO282" s="173"/>
      <c r="IQP282" s="173"/>
      <c r="IQQ282" s="173"/>
      <c r="IQR282" s="173"/>
      <c r="IQS282" s="173"/>
      <c r="IQT282" s="173"/>
      <c r="IQU282" s="125"/>
      <c r="IQV282" s="125"/>
      <c r="IQW282" s="134"/>
      <c r="IQX282" s="135"/>
      <c r="IQY282" s="135"/>
      <c r="IQZ282" s="135"/>
      <c r="IRA282" s="135"/>
      <c r="IRB282" s="173"/>
      <c r="IRC282" s="173"/>
      <c r="IRD282" s="173"/>
      <c r="IRE282" s="173"/>
      <c r="IRF282" s="173"/>
      <c r="IRG282" s="173"/>
      <c r="IRH282" s="173"/>
      <c r="IRI282" s="173"/>
      <c r="IRJ282" s="173"/>
      <c r="IRK282" s="173"/>
      <c r="IRL282" s="125"/>
      <c r="IRM282" s="125"/>
      <c r="IRN282" s="134"/>
      <c r="IRO282" s="135"/>
      <c r="IRP282" s="135"/>
      <c r="IRQ282" s="135"/>
      <c r="IRR282" s="135"/>
      <c r="IRS282" s="173"/>
      <c r="IRT282" s="173"/>
      <c r="IRU282" s="173"/>
      <c r="IRV282" s="173"/>
      <c r="IRW282" s="173"/>
      <c r="IRX282" s="173"/>
      <c r="IRY282" s="173"/>
      <c r="IRZ282" s="173"/>
      <c r="ISA282" s="173"/>
      <c r="ISB282" s="173"/>
      <c r="ISC282" s="125"/>
      <c r="ISD282" s="125"/>
      <c r="ISE282" s="134"/>
      <c r="ISF282" s="135"/>
      <c r="ISG282" s="135"/>
      <c r="ISH282" s="135"/>
      <c r="ISI282" s="135"/>
      <c r="ISJ282" s="173"/>
      <c r="ISK282" s="173"/>
      <c r="ISL282" s="173"/>
      <c r="ISM282" s="173"/>
      <c r="ISN282" s="173"/>
      <c r="ISO282" s="173"/>
      <c r="ISP282" s="173"/>
      <c r="ISQ282" s="173"/>
      <c r="ISR282" s="173"/>
      <c r="ISS282" s="173"/>
      <c r="IST282" s="125"/>
      <c r="ISU282" s="125"/>
      <c r="ISV282" s="134"/>
      <c r="ISW282" s="135"/>
      <c r="ISX282" s="135"/>
      <c r="ISY282" s="135"/>
      <c r="ISZ282" s="135"/>
      <c r="ITA282" s="173"/>
      <c r="ITB282" s="173"/>
      <c r="ITC282" s="173"/>
      <c r="ITD282" s="173"/>
      <c r="ITE282" s="173"/>
      <c r="ITF282" s="173"/>
      <c r="ITG282" s="173"/>
      <c r="ITH282" s="173"/>
      <c r="ITI282" s="173"/>
      <c r="ITJ282" s="173"/>
      <c r="ITK282" s="125"/>
      <c r="ITL282" s="125"/>
      <c r="ITM282" s="134"/>
      <c r="ITN282" s="135"/>
      <c r="ITO282" s="135"/>
      <c r="ITP282" s="135"/>
      <c r="ITQ282" s="135"/>
      <c r="ITR282" s="173"/>
      <c r="ITS282" s="173"/>
      <c r="ITT282" s="173"/>
      <c r="ITU282" s="173"/>
      <c r="ITV282" s="173"/>
      <c r="ITW282" s="173"/>
      <c r="ITX282" s="173"/>
      <c r="ITY282" s="173"/>
      <c r="ITZ282" s="173"/>
      <c r="IUA282" s="173"/>
      <c r="IUB282" s="125"/>
      <c r="IUC282" s="125"/>
      <c r="IUD282" s="134"/>
      <c r="IUE282" s="135"/>
      <c r="IUF282" s="135"/>
      <c r="IUG282" s="135"/>
      <c r="IUH282" s="135"/>
      <c r="IUI282" s="173"/>
      <c r="IUJ282" s="173"/>
      <c r="IUK282" s="173"/>
      <c r="IUL282" s="173"/>
      <c r="IUM282" s="173"/>
      <c r="IUN282" s="173"/>
      <c r="IUO282" s="173"/>
      <c r="IUP282" s="173"/>
      <c r="IUQ282" s="173"/>
      <c r="IUR282" s="173"/>
      <c r="IUS282" s="125"/>
      <c r="IUT282" s="125"/>
      <c r="IUU282" s="134"/>
      <c r="IUV282" s="135"/>
      <c r="IUW282" s="135"/>
      <c r="IUX282" s="135"/>
      <c r="IUY282" s="135"/>
      <c r="IUZ282" s="173"/>
      <c r="IVA282" s="173"/>
      <c r="IVB282" s="173"/>
      <c r="IVC282" s="173"/>
      <c r="IVD282" s="173"/>
      <c r="IVE282" s="173"/>
      <c r="IVF282" s="173"/>
      <c r="IVG282" s="173"/>
      <c r="IVH282" s="173"/>
      <c r="IVI282" s="173"/>
      <c r="IVJ282" s="125"/>
      <c r="IVK282" s="125"/>
      <c r="IVL282" s="134"/>
      <c r="IVM282" s="135"/>
      <c r="IVN282" s="135"/>
      <c r="IVO282" s="135"/>
      <c r="IVP282" s="135"/>
      <c r="IVQ282" s="173"/>
      <c r="IVR282" s="173"/>
      <c r="IVS282" s="173"/>
      <c r="IVT282" s="173"/>
      <c r="IVU282" s="173"/>
      <c r="IVV282" s="173"/>
      <c r="IVW282" s="173"/>
      <c r="IVX282" s="173"/>
      <c r="IVY282" s="173"/>
      <c r="IVZ282" s="173"/>
      <c r="IWA282" s="125"/>
      <c r="IWB282" s="125"/>
      <c r="IWC282" s="134"/>
      <c r="IWD282" s="135"/>
      <c r="IWE282" s="135"/>
      <c r="IWF282" s="135"/>
      <c r="IWG282" s="135"/>
      <c r="IWH282" s="173"/>
      <c r="IWI282" s="173"/>
      <c r="IWJ282" s="173"/>
      <c r="IWK282" s="173"/>
      <c r="IWL282" s="173"/>
      <c r="IWM282" s="173"/>
      <c r="IWN282" s="173"/>
      <c r="IWO282" s="173"/>
      <c r="IWP282" s="173"/>
      <c r="IWQ282" s="173"/>
      <c r="IWR282" s="125"/>
      <c r="IWS282" s="125"/>
      <c r="IWT282" s="134"/>
      <c r="IWU282" s="135"/>
      <c r="IWV282" s="135"/>
      <c r="IWW282" s="135"/>
      <c r="IWX282" s="135"/>
      <c r="IWY282" s="173"/>
      <c r="IWZ282" s="173"/>
      <c r="IXA282" s="173"/>
      <c r="IXB282" s="173"/>
      <c r="IXC282" s="173"/>
      <c r="IXD282" s="173"/>
      <c r="IXE282" s="173"/>
      <c r="IXF282" s="173"/>
      <c r="IXG282" s="173"/>
      <c r="IXH282" s="173"/>
      <c r="IXI282" s="125"/>
      <c r="IXJ282" s="125"/>
      <c r="IXK282" s="134"/>
      <c r="IXL282" s="135"/>
      <c r="IXM282" s="135"/>
      <c r="IXN282" s="135"/>
      <c r="IXO282" s="135"/>
      <c r="IXP282" s="173"/>
      <c r="IXQ282" s="173"/>
      <c r="IXR282" s="173"/>
      <c r="IXS282" s="173"/>
      <c r="IXT282" s="173"/>
      <c r="IXU282" s="173"/>
      <c r="IXV282" s="173"/>
      <c r="IXW282" s="173"/>
      <c r="IXX282" s="173"/>
      <c r="IXY282" s="173"/>
      <c r="IXZ282" s="125"/>
      <c r="IYA282" s="125"/>
      <c r="IYB282" s="134"/>
      <c r="IYC282" s="135"/>
      <c r="IYD282" s="135"/>
      <c r="IYE282" s="135"/>
      <c r="IYF282" s="135"/>
      <c r="IYG282" s="173"/>
      <c r="IYH282" s="173"/>
      <c r="IYI282" s="173"/>
      <c r="IYJ282" s="173"/>
      <c r="IYK282" s="173"/>
      <c r="IYL282" s="173"/>
      <c r="IYM282" s="173"/>
      <c r="IYN282" s="173"/>
      <c r="IYO282" s="173"/>
      <c r="IYP282" s="173"/>
      <c r="IYQ282" s="125"/>
      <c r="IYR282" s="125"/>
      <c r="IYS282" s="134"/>
      <c r="IYT282" s="135"/>
      <c r="IYU282" s="135"/>
      <c r="IYV282" s="135"/>
      <c r="IYW282" s="135"/>
      <c r="IYX282" s="173"/>
      <c r="IYY282" s="173"/>
      <c r="IYZ282" s="173"/>
      <c r="IZA282" s="173"/>
      <c r="IZB282" s="173"/>
      <c r="IZC282" s="173"/>
      <c r="IZD282" s="173"/>
      <c r="IZE282" s="173"/>
      <c r="IZF282" s="173"/>
      <c r="IZG282" s="173"/>
      <c r="IZH282" s="125"/>
      <c r="IZI282" s="125"/>
      <c r="IZJ282" s="134"/>
      <c r="IZK282" s="135"/>
      <c r="IZL282" s="135"/>
      <c r="IZM282" s="135"/>
      <c r="IZN282" s="135"/>
      <c r="IZO282" s="173"/>
      <c r="IZP282" s="173"/>
      <c r="IZQ282" s="173"/>
      <c r="IZR282" s="173"/>
      <c r="IZS282" s="173"/>
      <c r="IZT282" s="173"/>
      <c r="IZU282" s="173"/>
      <c r="IZV282" s="173"/>
      <c r="IZW282" s="173"/>
      <c r="IZX282" s="173"/>
      <c r="IZY282" s="125"/>
      <c r="IZZ282" s="125"/>
      <c r="JAA282" s="134"/>
      <c r="JAB282" s="135"/>
      <c r="JAC282" s="135"/>
      <c r="JAD282" s="135"/>
      <c r="JAE282" s="135"/>
      <c r="JAF282" s="173"/>
      <c r="JAG282" s="173"/>
      <c r="JAH282" s="173"/>
      <c r="JAI282" s="173"/>
      <c r="JAJ282" s="173"/>
      <c r="JAK282" s="173"/>
      <c r="JAL282" s="173"/>
      <c r="JAM282" s="173"/>
      <c r="JAN282" s="173"/>
      <c r="JAO282" s="173"/>
      <c r="JAP282" s="125"/>
      <c r="JAQ282" s="125"/>
      <c r="JAR282" s="134"/>
      <c r="JAS282" s="135"/>
      <c r="JAT282" s="135"/>
      <c r="JAU282" s="135"/>
      <c r="JAV282" s="135"/>
      <c r="JAW282" s="173"/>
      <c r="JAX282" s="173"/>
      <c r="JAY282" s="173"/>
      <c r="JAZ282" s="173"/>
      <c r="JBA282" s="173"/>
      <c r="JBB282" s="173"/>
      <c r="JBC282" s="173"/>
      <c r="JBD282" s="173"/>
      <c r="JBE282" s="173"/>
      <c r="JBF282" s="173"/>
      <c r="JBG282" s="125"/>
      <c r="JBH282" s="125"/>
      <c r="JBI282" s="134"/>
      <c r="JBJ282" s="135"/>
      <c r="JBK282" s="135"/>
      <c r="JBL282" s="135"/>
      <c r="JBM282" s="135"/>
      <c r="JBN282" s="173"/>
      <c r="JBO282" s="173"/>
      <c r="JBP282" s="173"/>
      <c r="JBQ282" s="173"/>
      <c r="JBR282" s="173"/>
      <c r="JBS282" s="173"/>
      <c r="JBT282" s="173"/>
      <c r="JBU282" s="173"/>
      <c r="JBV282" s="173"/>
      <c r="JBW282" s="173"/>
      <c r="JBX282" s="125"/>
      <c r="JBY282" s="125"/>
      <c r="JBZ282" s="134"/>
      <c r="JCA282" s="135"/>
      <c r="JCB282" s="135"/>
      <c r="JCC282" s="135"/>
      <c r="JCD282" s="135"/>
      <c r="JCE282" s="173"/>
      <c r="JCF282" s="173"/>
      <c r="JCG282" s="173"/>
      <c r="JCH282" s="173"/>
      <c r="JCI282" s="173"/>
      <c r="JCJ282" s="173"/>
      <c r="JCK282" s="173"/>
      <c r="JCL282" s="173"/>
      <c r="JCM282" s="173"/>
      <c r="JCN282" s="173"/>
      <c r="JCO282" s="125"/>
      <c r="JCP282" s="125"/>
      <c r="JCQ282" s="134"/>
      <c r="JCR282" s="135"/>
      <c r="JCS282" s="135"/>
      <c r="JCT282" s="135"/>
      <c r="JCU282" s="135"/>
      <c r="JCV282" s="173"/>
      <c r="JCW282" s="173"/>
      <c r="JCX282" s="173"/>
      <c r="JCY282" s="173"/>
      <c r="JCZ282" s="173"/>
      <c r="JDA282" s="173"/>
      <c r="JDB282" s="173"/>
      <c r="JDC282" s="173"/>
      <c r="JDD282" s="173"/>
      <c r="JDE282" s="173"/>
      <c r="JDF282" s="125"/>
      <c r="JDG282" s="125"/>
      <c r="JDH282" s="134"/>
      <c r="JDI282" s="135"/>
      <c r="JDJ282" s="135"/>
      <c r="JDK282" s="135"/>
      <c r="JDL282" s="135"/>
      <c r="JDM282" s="173"/>
      <c r="JDN282" s="173"/>
      <c r="JDO282" s="173"/>
      <c r="JDP282" s="173"/>
      <c r="JDQ282" s="173"/>
      <c r="JDR282" s="173"/>
      <c r="JDS282" s="173"/>
      <c r="JDT282" s="173"/>
      <c r="JDU282" s="173"/>
      <c r="JDV282" s="173"/>
      <c r="JDW282" s="125"/>
      <c r="JDX282" s="125"/>
      <c r="JDY282" s="134"/>
      <c r="JDZ282" s="135"/>
      <c r="JEA282" s="135"/>
      <c r="JEB282" s="135"/>
      <c r="JEC282" s="135"/>
      <c r="JED282" s="173"/>
      <c r="JEE282" s="173"/>
      <c r="JEF282" s="173"/>
      <c r="JEG282" s="173"/>
      <c r="JEH282" s="173"/>
      <c r="JEI282" s="173"/>
      <c r="JEJ282" s="173"/>
      <c r="JEK282" s="173"/>
      <c r="JEL282" s="173"/>
      <c r="JEM282" s="173"/>
      <c r="JEN282" s="125"/>
      <c r="JEO282" s="125"/>
      <c r="JEP282" s="134"/>
      <c r="JEQ282" s="135"/>
      <c r="JER282" s="135"/>
      <c r="JES282" s="135"/>
      <c r="JET282" s="135"/>
      <c r="JEU282" s="173"/>
      <c r="JEV282" s="173"/>
      <c r="JEW282" s="173"/>
      <c r="JEX282" s="173"/>
      <c r="JEY282" s="173"/>
      <c r="JEZ282" s="173"/>
      <c r="JFA282" s="173"/>
      <c r="JFB282" s="173"/>
      <c r="JFC282" s="173"/>
      <c r="JFD282" s="173"/>
      <c r="JFE282" s="125"/>
      <c r="JFF282" s="125"/>
      <c r="JFG282" s="134"/>
      <c r="JFH282" s="135"/>
      <c r="JFI282" s="135"/>
      <c r="JFJ282" s="135"/>
      <c r="JFK282" s="135"/>
      <c r="JFL282" s="173"/>
      <c r="JFM282" s="173"/>
      <c r="JFN282" s="173"/>
      <c r="JFO282" s="173"/>
      <c r="JFP282" s="173"/>
      <c r="JFQ282" s="173"/>
      <c r="JFR282" s="173"/>
      <c r="JFS282" s="173"/>
      <c r="JFT282" s="173"/>
      <c r="JFU282" s="173"/>
      <c r="JFV282" s="125"/>
      <c r="JFW282" s="125"/>
      <c r="JFX282" s="134"/>
      <c r="JFY282" s="135"/>
      <c r="JFZ282" s="135"/>
      <c r="JGA282" s="135"/>
      <c r="JGB282" s="135"/>
      <c r="JGC282" s="173"/>
      <c r="JGD282" s="173"/>
      <c r="JGE282" s="173"/>
      <c r="JGF282" s="173"/>
      <c r="JGG282" s="173"/>
      <c r="JGH282" s="173"/>
      <c r="JGI282" s="173"/>
      <c r="JGJ282" s="173"/>
      <c r="JGK282" s="173"/>
      <c r="JGL282" s="173"/>
      <c r="JGM282" s="125"/>
      <c r="JGN282" s="125"/>
      <c r="JGO282" s="134"/>
      <c r="JGP282" s="135"/>
      <c r="JGQ282" s="135"/>
      <c r="JGR282" s="135"/>
      <c r="JGS282" s="135"/>
      <c r="JGT282" s="173"/>
      <c r="JGU282" s="173"/>
      <c r="JGV282" s="173"/>
      <c r="JGW282" s="173"/>
      <c r="JGX282" s="173"/>
      <c r="JGY282" s="173"/>
      <c r="JGZ282" s="173"/>
      <c r="JHA282" s="173"/>
      <c r="JHB282" s="173"/>
      <c r="JHC282" s="173"/>
      <c r="JHD282" s="125"/>
      <c r="JHE282" s="125"/>
      <c r="JHF282" s="134"/>
      <c r="JHG282" s="135"/>
      <c r="JHH282" s="135"/>
      <c r="JHI282" s="135"/>
      <c r="JHJ282" s="135"/>
      <c r="JHK282" s="173"/>
      <c r="JHL282" s="173"/>
      <c r="JHM282" s="173"/>
      <c r="JHN282" s="173"/>
      <c r="JHO282" s="173"/>
      <c r="JHP282" s="173"/>
      <c r="JHQ282" s="173"/>
      <c r="JHR282" s="173"/>
      <c r="JHS282" s="173"/>
      <c r="JHT282" s="173"/>
      <c r="JHU282" s="125"/>
      <c r="JHV282" s="125"/>
      <c r="JHW282" s="134"/>
      <c r="JHX282" s="135"/>
      <c r="JHY282" s="135"/>
      <c r="JHZ282" s="135"/>
      <c r="JIA282" s="135"/>
      <c r="JIB282" s="173"/>
      <c r="JIC282" s="173"/>
      <c r="JID282" s="173"/>
      <c r="JIE282" s="173"/>
      <c r="JIF282" s="173"/>
      <c r="JIG282" s="173"/>
      <c r="JIH282" s="173"/>
      <c r="JII282" s="173"/>
      <c r="JIJ282" s="173"/>
      <c r="JIK282" s="173"/>
      <c r="JIL282" s="125"/>
      <c r="JIM282" s="125"/>
      <c r="JIN282" s="134"/>
      <c r="JIO282" s="135"/>
      <c r="JIP282" s="135"/>
      <c r="JIQ282" s="135"/>
      <c r="JIR282" s="135"/>
      <c r="JIS282" s="173"/>
      <c r="JIT282" s="173"/>
      <c r="JIU282" s="173"/>
      <c r="JIV282" s="173"/>
      <c r="JIW282" s="173"/>
      <c r="JIX282" s="173"/>
      <c r="JIY282" s="173"/>
      <c r="JIZ282" s="173"/>
      <c r="JJA282" s="173"/>
      <c r="JJB282" s="173"/>
      <c r="JJC282" s="125"/>
      <c r="JJD282" s="125"/>
      <c r="JJE282" s="134"/>
      <c r="JJF282" s="135"/>
      <c r="JJG282" s="135"/>
      <c r="JJH282" s="135"/>
      <c r="JJI282" s="135"/>
      <c r="JJJ282" s="173"/>
      <c r="JJK282" s="173"/>
      <c r="JJL282" s="173"/>
      <c r="JJM282" s="173"/>
      <c r="JJN282" s="173"/>
      <c r="JJO282" s="173"/>
      <c r="JJP282" s="173"/>
      <c r="JJQ282" s="173"/>
      <c r="JJR282" s="173"/>
      <c r="JJS282" s="173"/>
      <c r="JJT282" s="125"/>
      <c r="JJU282" s="125"/>
      <c r="JJV282" s="134"/>
      <c r="JJW282" s="135"/>
      <c r="JJX282" s="135"/>
      <c r="JJY282" s="135"/>
      <c r="JJZ282" s="135"/>
      <c r="JKA282" s="173"/>
      <c r="JKB282" s="173"/>
      <c r="JKC282" s="173"/>
      <c r="JKD282" s="173"/>
      <c r="JKE282" s="173"/>
      <c r="JKF282" s="173"/>
      <c r="JKG282" s="173"/>
      <c r="JKH282" s="173"/>
      <c r="JKI282" s="173"/>
      <c r="JKJ282" s="173"/>
      <c r="JKK282" s="125"/>
      <c r="JKL282" s="125"/>
      <c r="JKM282" s="134"/>
      <c r="JKN282" s="135"/>
      <c r="JKO282" s="135"/>
      <c r="JKP282" s="135"/>
      <c r="JKQ282" s="135"/>
      <c r="JKR282" s="173"/>
      <c r="JKS282" s="173"/>
      <c r="JKT282" s="173"/>
      <c r="JKU282" s="173"/>
      <c r="JKV282" s="173"/>
      <c r="JKW282" s="173"/>
      <c r="JKX282" s="173"/>
      <c r="JKY282" s="173"/>
      <c r="JKZ282" s="173"/>
      <c r="JLA282" s="173"/>
      <c r="JLB282" s="125"/>
      <c r="JLC282" s="125"/>
      <c r="JLD282" s="134"/>
      <c r="JLE282" s="135"/>
      <c r="JLF282" s="135"/>
      <c r="JLG282" s="135"/>
      <c r="JLH282" s="135"/>
      <c r="JLI282" s="173"/>
      <c r="JLJ282" s="173"/>
      <c r="JLK282" s="173"/>
      <c r="JLL282" s="173"/>
      <c r="JLM282" s="173"/>
      <c r="JLN282" s="173"/>
      <c r="JLO282" s="173"/>
      <c r="JLP282" s="173"/>
      <c r="JLQ282" s="173"/>
      <c r="JLR282" s="173"/>
      <c r="JLS282" s="125"/>
      <c r="JLT282" s="125"/>
      <c r="JLU282" s="134"/>
      <c r="JLV282" s="135"/>
      <c r="JLW282" s="135"/>
      <c r="JLX282" s="135"/>
      <c r="JLY282" s="135"/>
      <c r="JLZ282" s="173"/>
      <c r="JMA282" s="173"/>
      <c r="JMB282" s="173"/>
      <c r="JMC282" s="173"/>
      <c r="JMD282" s="173"/>
      <c r="JME282" s="173"/>
      <c r="JMF282" s="173"/>
      <c r="JMG282" s="173"/>
      <c r="JMH282" s="173"/>
      <c r="JMI282" s="173"/>
      <c r="JMJ282" s="125"/>
      <c r="JMK282" s="125"/>
      <c r="JML282" s="134"/>
      <c r="JMM282" s="135"/>
      <c r="JMN282" s="135"/>
      <c r="JMO282" s="135"/>
      <c r="JMP282" s="135"/>
      <c r="JMQ282" s="173"/>
      <c r="JMR282" s="173"/>
      <c r="JMS282" s="173"/>
      <c r="JMT282" s="173"/>
      <c r="JMU282" s="173"/>
      <c r="JMV282" s="173"/>
      <c r="JMW282" s="173"/>
      <c r="JMX282" s="173"/>
      <c r="JMY282" s="173"/>
      <c r="JMZ282" s="173"/>
      <c r="JNA282" s="125"/>
      <c r="JNB282" s="125"/>
      <c r="JNC282" s="134"/>
      <c r="JND282" s="135"/>
      <c r="JNE282" s="135"/>
      <c r="JNF282" s="135"/>
      <c r="JNG282" s="135"/>
      <c r="JNH282" s="173"/>
      <c r="JNI282" s="173"/>
      <c r="JNJ282" s="173"/>
      <c r="JNK282" s="173"/>
      <c r="JNL282" s="173"/>
      <c r="JNM282" s="173"/>
      <c r="JNN282" s="173"/>
      <c r="JNO282" s="173"/>
      <c r="JNP282" s="173"/>
      <c r="JNQ282" s="173"/>
      <c r="JNR282" s="125"/>
      <c r="JNS282" s="125"/>
      <c r="JNT282" s="134"/>
      <c r="JNU282" s="135"/>
      <c r="JNV282" s="135"/>
      <c r="JNW282" s="135"/>
      <c r="JNX282" s="135"/>
      <c r="JNY282" s="173"/>
      <c r="JNZ282" s="173"/>
      <c r="JOA282" s="173"/>
      <c r="JOB282" s="173"/>
      <c r="JOC282" s="173"/>
      <c r="JOD282" s="173"/>
      <c r="JOE282" s="173"/>
      <c r="JOF282" s="173"/>
      <c r="JOG282" s="173"/>
      <c r="JOH282" s="173"/>
      <c r="JOI282" s="125"/>
      <c r="JOJ282" s="125"/>
      <c r="JOK282" s="134"/>
      <c r="JOL282" s="135"/>
      <c r="JOM282" s="135"/>
      <c r="JON282" s="135"/>
      <c r="JOO282" s="135"/>
      <c r="JOP282" s="173"/>
      <c r="JOQ282" s="173"/>
      <c r="JOR282" s="173"/>
      <c r="JOS282" s="173"/>
      <c r="JOT282" s="173"/>
      <c r="JOU282" s="173"/>
      <c r="JOV282" s="173"/>
      <c r="JOW282" s="173"/>
      <c r="JOX282" s="173"/>
      <c r="JOY282" s="173"/>
      <c r="JOZ282" s="125"/>
      <c r="JPA282" s="125"/>
      <c r="JPB282" s="134"/>
      <c r="JPC282" s="135"/>
      <c r="JPD282" s="135"/>
      <c r="JPE282" s="135"/>
      <c r="JPF282" s="135"/>
      <c r="JPG282" s="173"/>
      <c r="JPH282" s="173"/>
      <c r="JPI282" s="173"/>
      <c r="JPJ282" s="173"/>
      <c r="JPK282" s="173"/>
      <c r="JPL282" s="173"/>
      <c r="JPM282" s="173"/>
      <c r="JPN282" s="173"/>
      <c r="JPO282" s="173"/>
      <c r="JPP282" s="173"/>
      <c r="JPQ282" s="125"/>
      <c r="JPR282" s="125"/>
      <c r="JPS282" s="134"/>
      <c r="JPT282" s="135"/>
      <c r="JPU282" s="135"/>
      <c r="JPV282" s="135"/>
      <c r="JPW282" s="135"/>
      <c r="JPX282" s="173"/>
      <c r="JPY282" s="173"/>
      <c r="JPZ282" s="173"/>
      <c r="JQA282" s="173"/>
      <c r="JQB282" s="173"/>
      <c r="JQC282" s="173"/>
      <c r="JQD282" s="173"/>
      <c r="JQE282" s="173"/>
      <c r="JQF282" s="173"/>
      <c r="JQG282" s="173"/>
      <c r="JQH282" s="125"/>
      <c r="JQI282" s="125"/>
      <c r="JQJ282" s="134"/>
      <c r="JQK282" s="135"/>
      <c r="JQL282" s="135"/>
      <c r="JQM282" s="135"/>
      <c r="JQN282" s="135"/>
      <c r="JQO282" s="173"/>
      <c r="JQP282" s="173"/>
      <c r="JQQ282" s="173"/>
      <c r="JQR282" s="173"/>
      <c r="JQS282" s="173"/>
      <c r="JQT282" s="173"/>
      <c r="JQU282" s="173"/>
      <c r="JQV282" s="173"/>
      <c r="JQW282" s="173"/>
      <c r="JQX282" s="173"/>
      <c r="JQY282" s="125"/>
      <c r="JQZ282" s="125"/>
      <c r="JRA282" s="134"/>
      <c r="JRB282" s="135"/>
      <c r="JRC282" s="135"/>
      <c r="JRD282" s="135"/>
      <c r="JRE282" s="135"/>
      <c r="JRF282" s="173"/>
      <c r="JRG282" s="173"/>
      <c r="JRH282" s="173"/>
      <c r="JRI282" s="173"/>
      <c r="JRJ282" s="173"/>
      <c r="JRK282" s="173"/>
      <c r="JRL282" s="173"/>
      <c r="JRM282" s="173"/>
      <c r="JRN282" s="173"/>
      <c r="JRO282" s="173"/>
      <c r="JRP282" s="125"/>
      <c r="JRQ282" s="125"/>
      <c r="JRR282" s="134"/>
      <c r="JRS282" s="135"/>
      <c r="JRT282" s="135"/>
      <c r="JRU282" s="135"/>
      <c r="JRV282" s="135"/>
      <c r="JRW282" s="173"/>
      <c r="JRX282" s="173"/>
      <c r="JRY282" s="173"/>
      <c r="JRZ282" s="173"/>
      <c r="JSA282" s="173"/>
      <c r="JSB282" s="173"/>
      <c r="JSC282" s="173"/>
      <c r="JSD282" s="173"/>
      <c r="JSE282" s="173"/>
      <c r="JSF282" s="173"/>
      <c r="JSG282" s="125"/>
      <c r="JSH282" s="125"/>
      <c r="JSI282" s="134"/>
      <c r="JSJ282" s="135"/>
      <c r="JSK282" s="135"/>
      <c r="JSL282" s="135"/>
      <c r="JSM282" s="135"/>
      <c r="JSN282" s="173"/>
      <c r="JSO282" s="173"/>
      <c r="JSP282" s="173"/>
      <c r="JSQ282" s="173"/>
      <c r="JSR282" s="173"/>
      <c r="JSS282" s="173"/>
      <c r="JST282" s="173"/>
      <c r="JSU282" s="173"/>
      <c r="JSV282" s="173"/>
      <c r="JSW282" s="173"/>
      <c r="JSX282" s="125"/>
      <c r="JSY282" s="125"/>
      <c r="JSZ282" s="134"/>
      <c r="JTA282" s="135"/>
      <c r="JTB282" s="135"/>
      <c r="JTC282" s="135"/>
      <c r="JTD282" s="135"/>
      <c r="JTE282" s="173"/>
      <c r="JTF282" s="173"/>
      <c r="JTG282" s="173"/>
      <c r="JTH282" s="173"/>
      <c r="JTI282" s="173"/>
      <c r="JTJ282" s="173"/>
      <c r="JTK282" s="173"/>
      <c r="JTL282" s="173"/>
      <c r="JTM282" s="173"/>
      <c r="JTN282" s="173"/>
      <c r="JTO282" s="125"/>
      <c r="JTP282" s="125"/>
      <c r="JTQ282" s="134"/>
      <c r="JTR282" s="135"/>
      <c r="JTS282" s="135"/>
      <c r="JTT282" s="135"/>
      <c r="JTU282" s="135"/>
      <c r="JTV282" s="173"/>
      <c r="JTW282" s="173"/>
      <c r="JTX282" s="173"/>
      <c r="JTY282" s="173"/>
      <c r="JTZ282" s="173"/>
      <c r="JUA282" s="173"/>
      <c r="JUB282" s="173"/>
      <c r="JUC282" s="173"/>
      <c r="JUD282" s="173"/>
      <c r="JUE282" s="173"/>
      <c r="JUF282" s="125"/>
      <c r="JUG282" s="125"/>
      <c r="JUH282" s="134"/>
      <c r="JUI282" s="135"/>
      <c r="JUJ282" s="135"/>
      <c r="JUK282" s="135"/>
      <c r="JUL282" s="135"/>
      <c r="JUM282" s="173"/>
      <c r="JUN282" s="173"/>
      <c r="JUO282" s="173"/>
      <c r="JUP282" s="173"/>
      <c r="JUQ282" s="173"/>
      <c r="JUR282" s="173"/>
      <c r="JUS282" s="173"/>
      <c r="JUT282" s="173"/>
      <c r="JUU282" s="173"/>
      <c r="JUV282" s="173"/>
      <c r="JUW282" s="125"/>
      <c r="JUX282" s="125"/>
      <c r="JUY282" s="134"/>
      <c r="JUZ282" s="135"/>
      <c r="JVA282" s="135"/>
      <c r="JVB282" s="135"/>
      <c r="JVC282" s="135"/>
      <c r="JVD282" s="173"/>
      <c r="JVE282" s="173"/>
      <c r="JVF282" s="173"/>
      <c r="JVG282" s="173"/>
      <c r="JVH282" s="173"/>
      <c r="JVI282" s="173"/>
      <c r="JVJ282" s="173"/>
      <c r="JVK282" s="173"/>
      <c r="JVL282" s="173"/>
      <c r="JVM282" s="173"/>
      <c r="JVN282" s="125"/>
      <c r="JVO282" s="125"/>
      <c r="JVP282" s="134"/>
      <c r="JVQ282" s="135"/>
      <c r="JVR282" s="135"/>
      <c r="JVS282" s="135"/>
      <c r="JVT282" s="135"/>
      <c r="JVU282" s="173"/>
      <c r="JVV282" s="173"/>
      <c r="JVW282" s="173"/>
      <c r="JVX282" s="173"/>
      <c r="JVY282" s="173"/>
      <c r="JVZ282" s="173"/>
      <c r="JWA282" s="173"/>
      <c r="JWB282" s="173"/>
      <c r="JWC282" s="173"/>
      <c r="JWD282" s="173"/>
      <c r="JWE282" s="125"/>
      <c r="JWF282" s="125"/>
      <c r="JWG282" s="134"/>
      <c r="JWH282" s="135"/>
      <c r="JWI282" s="135"/>
      <c r="JWJ282" s="135"/>
      <c r="JWK282" s="135"/>
      <c r="JWL282" s="173"/>
      <c r="JWM282" s="173"/>
      <c r="JWN282" s="173"/>
      <c r="JWO282" s="173"/>
      <c r="JWP282" s="173"/>
      <c r="JWQ282" s="173"/>
      <c r="JWR282" s="173"/>
      <c r="JWS282" s="173"/>
      <c r="JWT282" s="173"/>
      <c r="JWU282" s="173"/>
      <c r="JWV282" s="125"/>
      <c r="JWW282" s="125"/>
      <c r="JWX282" s="134"/>
      <c r="JWY282" s="135"/>
      <c r="JWZ282" s="135"/>
      <c r="JXA282" s="135"/>
      <c r="JXB282" s="135"/>
      <c r="JXC282" s="173"/>
      <c r="JXD282" s="173"/>
      <c r="JXE282" s="173"/>
      <c r="JXF282" s="173"/>
      <c r="JXG282" s="173"/>
      <c r="JXH282" s="173"/>
      <c r="JXI282" s="173"/>
      <c r="JXJ282" s="173"/>
      <c r="JXK282" s="173"/>
      <c r="JXL282" s="173"/>
      <c r="JXM282" s="125"/>
      <c r="JXN282" s="125"/>
      <c r="JXO282" s="134"/>
      <c r="JXP282" s="135"/>
      <c r="JXQ282" s="135"/>
      <c r="JXR282" s="135"/>
      <c r="JXS282" s="135"/>
      <c r="JXT282" s="173"/>
      <c r="JXU282" s="173"/>
      <c r="JXV282" s="173"/>
      <c r="JXW282" s="173"/>
      <c r="JXX282" s="173"/>
      <c r="JXY282" s="173"/>
      <c r="JXZ282" s="173"/>
      <c r="JYA282" s="173"/>
      <c r="JYB282" s="173"/>
      <c r="JYC282" s="173"/>
      <c r="JYD282" s="125"/>
      <c r="JYE282" s="125"/>
      <c r="JYF282" s="134"/>
      <c r="JYG282" s="135"/>
      <c r="JYH282" s="135"/>
      <c r="JYI282" s="135"/>
      <c r="JYJ282" s="135"/>
      <c r="JYK282" s="173"/>
      <c r="JYL282" s="173"/>
      <c r="JYM282" s="173"/>
      <c r="JYN282" s="173"/>
      <c r="JYO282" s="173"/>
      <c r="JYP282" s="173"/>
      <c r="JYQ282" s="173"/>
      <c r="JYR282" s="173"/>
      <c r="JYS282" s="173"/>
      <c r="JYT282" s="173"/>
      <c r="JYU282" s="125"/>
      <c r="JYV282" s="125"/>
      <c r="JYW282" s="134"/>
      <c r="JYX282" s="135"/>
      <c r="JYY282" s="135"/>
      <c r="JYZ282" s="135"/>
      <c r="JZA282" s="135"/>
      <c r="JZB282" s="173"/>
      <c r="JZC282" s="173"/>
      <c r="JZD282" s="173"/>
      <c r="JZE282" s="173"/>
      <c r="JZF282" s="173"/>
      <c r="JZG282" s="173"/>
      <c r="JZH282" s="173"/>
      <c r="JZI282" s="173"/>
      <c r="JZJ282" s="173"/>
      <c r="JZK282" s="173"/>
      <c r="JZL282" s="125"/>
      <c r="JZM282" s="125"/>
      <c r="JZN282" s="134"/>
      <c r="JZO282" s="135"/>
      <c r="JZP282" s="135"/>
      <c r="JZQ282" s="135"/>
      <c r="JZR282" s="135"/>
      <c r="JZS282" s="173"/>
      <c r="JZT282" s="173"/>
      <c r="JZU282" s="173"/>
      <c r="JZV282" s="173"/>
      <c r="JZW282" s="173"/>
      <c r="JZX282" s="173"/>
      <c r="JZY282" s="173"/>
      <c r="JZZ282" s="173"/>
      <c r="KAA282" s="173"/>
      <c r="KAB282" s="173"/>
      <c r="KAC282" s="125"/>
      <c r="KAD282" s="125"/>
      <c r="KAE282" s="134"/>
      <c r="KAF282" s="135"/>
      <c r="KAG282" s="135"/>
      <c r="KAH282" s="135"/>
      <c r="KAI282" s="135"/>
      <c r="KAJ282" s="173"/>
      <c r="KAK282" s="173"/>
      <c r="KAL282" s="173"/>
      <c r="KAM282" s="173"/>
      <c r="KAN282" s="173"/>
      <c r="KAO282" s="173"/>
      <c r="KAP282" s="173"/>
      <c r="KAQ282" s="173"/>
      <c r="KAR282" s="173"/>
      <c r="KAS282" s="173"/>
      <c r="KAT282" s="125"/>
      <c r="KAU282" s="125"/>
      <c r="KAV282" s="134"/>
      <c r="KAW282" s="135"/>
      <c r="KAX282" s="135"/>
      <c r="KAY282" s="135"/>
      <c r="KAZ282" s="135"/>
      <c r="KBA282" s="173"/>
      <c r="KBB282" s="173"/>
      <c r="KBC282" s="173"/>
      <c r="KBD282" s="173"/>
      <c r="KBE282" s="173"/>
      <c r="KBF282" s="173"/>
      <c r="KBG282" s="173"/>
      <c r="KBH282" s="173"/>
      <c r="KBI282" s="173"/>
      <c r="KBJ282" s="173"/>
      <c r="KBK282" s="125"/>
      <c r="KBL282" s="125"/>
      <c r="KBM282" s="134"/>
      <c r="KBN282" s="135"/>
      <c r="KBO282" s="135"/>
      <c r="KBP282" s="135"/>
      <c r="KBQ282" s="135"/>
      <c r="KBR282" s="173"/>
      <c r="KBS282" s="173"/>
      <c r="KBT282" s="173"/>
      <c r="KBU282" s="173"/>
      <c r="KBV282" s="173"/>
      <c r="KBW282" s="173"/>
      <c r="KBX282" s="173"/>
      <c r="KBY282" s="173"/>
      <c r="KBZ282" s="173"/>
      <c r="KCA282" s="173"/>
      <c r="KCB282" s="125"/>
      <c r="KCC282" s="125"/>
      <c r="KCD282" s="134"/>
      <c r="KCE282" s="135"/>
      <c r="KCF282" s="135"/>
      <c r="KCG282" s="135"/>
      <c r="KCH282" s="135"/>
      <c r="KCI282" s="173"/>
      <c r="KCJ282" s="173"/>
      <c r="KCK282" s="173"/>
      <c r="KCL282" s="173"/>
      <c r="KCM282" s="173"/>
      <c r="KCN282" s="173"/>
      <c r="KCO282" s="173"/>
      <c r="KCP282" s="173"/>
      <c r="KCQ282" s="173"/>
      <c r="KCR282" s="173"/>
      <c r="KCS282" s="125"/>
      <c r="KCT282" s="125"/>
      <c r="KCU282" s="134"/>
      <c r="KCV282" s="135"/>
      <c r="KCW282" s="135"/>
      <c r="KCX282" s="135"/>
      <c r="KCY282" s="135"/>
      <c r="KCZ282" s="173"/>
      <c r="KDA282" s="173"/>
      <c r="KDB282" s="173"/>
      <c r="KDC282" s="173"/>
      <c r="KDD282" s="173"/>
      <c r="KDE282" s="173"/>
      <c r="KDF282" s="173"/>
      <c r="KDG282" s="173"/>
      <c r="KDH282" s="173"/>
      <c r="KDI282" s="173"/>
      <c r="KDJ282" s="125"/>
      <c r="KDK282" s="125"/>
      <c r="KDL282" s="134"/>
      <c r="KDM282" s="135"/>
      <c r="KDN282" s="135"/>
      <c r="KDO282" s="135"/>
      <c r="KDP282" s="135"/>
      <c r="KDQ282" s="173"/>
      <c r="KDR282" s="173"/>
      <c r="KDS282" s="173"/>
      <c r="KDT282" s="173"/>
      <c r="KDU282" s="173"/>
      <c r="KDV282" s="173"/>
      <c r="KDW282" s="173"/>
      <c r="KDX282" s="173"/>
      <c r="KDY282" s="173"/>
      <c r="KDZ282" s="173"/>
      <c r="KEA282" s="125"/>
      <c r="KEB282" s="125"/>
      <c r="KEC282" s="134"/>
      <c r="KED282" s="135"/>
      <c r="KEE282" s="135"/>
      <c r="KEF282" s="135"/>
      <c r="KEG282" s="135"/>
      <c r="KEH282" s="173"/>
      <c r="KEI282" s="173"/>
      <c r="KEJ282" s="173"/>
      <c r="KEK282" s="173"/>
      <c r="KEL282" s="173"/>
      <c r="KEM282" s="173"/>
      <c r="KEN282" s="173"/>
      <c r="KEO282" s="173"/>
      <c r="KEP282" s="173"/>
      <c r="KEQ282" s="173"/>
      <c r="KER282" s="125"/>
      <c r="KES282" s="125"/>
      <c r="KET282" s="134"/>
      <c r="KEU282" s="135"/>
      <c r="KEV282" s="135"/>
      <c r="KEW282" s="135"/>
      <c r="KEX282" s="135"/>
      <c r="KEY282" s="173"/>
      <c r="KEZ282" s="173"/>
      <c r="KFA282" s="173"/>
      <c r="KFB282" s="173"/>
      <c r="KFC282" s="173"/>
      <c r="KFD282" s="173"/>
      <c r="KFE282" s="173"/>
      <c r="KFF282" s="173"/>
      <c r="KFG282" s="173"/>
      <c r="KFH282" s="173"/>
      <c r="KFI282" s="125"/>
      <c r="KFJ282" s="125"/>
      <c r="KFK282" s="134"/>
      <c r="KFL282" s="135"/>
      <c r="KFM282" s="135"/>
      <c r="KFN282" s="135"/>
      <c r="KFO282" s="135"/>
      <c r="KFP282" s="173"/>
      <c r="KFQ282" s="173"/>
      <c r="KFR282" s="173"/>
      <c r="KFS282" s="173"/>
      <c r="KFT282" s="173"/>
      <c r="KFU282" s="173"/>
      <c r="KFV282" s="173"/>
      <c r="KFW282" s="173"/>
      <c r="KFX282" s="173"/>
      <c r="KFY282" s="173"/>
      <c r="KFZ282" s="125"/>
      <c r="KGA282" s="125"/>
      <c r="KGB282" s="134"/>
      <c r="KGC282" s="135"/>
      <c r="KGD282" s="135"/>
      <c r="KGE282" s="135"/>
      <c r="KGF282" s="135"/>
      <c r="KGG282" s="173"/>
      <c r="KGH282" s="173"/>
      <c r="KGI282" s="173"/>
      <c r="KGJ282" s="173"/>
      <c r="KGK282" s="173"/>
      <c r="KGL282" s="173"/>
      <c r="KGM282" s="173"/>
      <c r="KGN282" s="173"/>
      <c r="KGO282" s="173"/>
      <c r="KGP282" s="173"/>
      <c r="KGQ282" s="125"/>
      <c r="KGR282" s="125"/>
      <c r="KGS282" s="134"/>
      <c r="KGT282" s="135"/>
      <c r="KGU282" s="135"/>
      <c r="KGV282" s="135"/>
      <c r="KGW282" s="135"/>
      <c r="KGX282" s="173"/>
      <c r="KGY282" s="173"/>
      <c r="KGZ282" s="173"/>
      <c r="KHA282" s="173"/>
      <c r="KHB282" s="173"/>
      <c r="KHC282" s="173"/>
      <c r="KHD282" s="173"/>
      <c r="KHE282" s="173"/>
      <c r="KHF282" s="173"/>
      <c r="KHG282" s="173"/>
      <c r="KHH282" s="125"/>
      <c r="KHI282" s="125"/>
      <c r="KHJ282" s="134"/>
      <c r="KHK282" s="135"/>
      <c r="KHL282" s="135"/>
      <c r="KHM282" s="135"/>
      <c r="KHN282" s="135"/>
      <c r="KHO282" s="173"/>
      <c r="KHP282" s="173"/>
      <c r="KHQ282" s="173"/>
      <c r="KHR282" s="173"/>
      <c r="KHS282" s="173"/>
      <c r="KHT282" s="173"/>
      <c r="KHU282" s="173"/>
      <c r="KHV282" s="173"/>
      <c r="KHW282" s="173"/>
      <c r="KHX282" s="173"/>
      <c r="KHY282" s="125"/>
      <c r="KHZ282" s="125"/>
      <c r="KIA282" s="134"/>
      <c r="KIB282" s="135"/>
      <c r="KIC282" s="135"/>
      <c r="KID282" s="135"/>
      <c r="KIE282" s="135"/>
      <c r="KIF282" s="173"/>
      <c r="KIG282" s="173"/>
      <c r="KIH282" s="173"/>
      <c r="KII282" s="173"/>
      <c r="KIJ282" s="173"/>
      <c r="KIK282" s="173"/>
      <c r="KIL282" s="173"/>
      <c r="KIM282" s="173"/>
      <c r="KIN282" s="173"/>
      <c r="KIO282" s="173"/>
      <c r="KIP282" s="125"/>
      <c r="KIQ282" s="125"/>
      <c r="KIR282" s="134"/>
      <c r="KIS282" s="135"/>
      <c r="KIT282" s="135"/>
      <c r="KIU282" s="135"/>
      <c r="KIV282" s="135"/>
      <c r="KIW282" s="173"/>
      <c r="KIX282" s="173"/>
      <c r="KIY282" s="173"/>
      <c r="KIZ282" s="173"/>
      <c r="KJA282" s="173"/>
      <c r="KJB282" s="173"/>
      <c r="KJC282" s="173"/>
      <c r="KJD282" s="173"/>
      <c r="KJE282" s="173"/>
      <c r="KJF282" s="173"/>
      <c r="KJG282" s="125"/>
      <c r="KJH282" s="125"/>
      <c r="KJI282" s="134"/>
      <c r="KJJ282" s="135"/>
      <c r="KJK282" s="135"/>
      <c r="KJL282" s="135"/>
      <c r="KJM282" s="135"/>
      <c r="KJN282" s="173"/>
      <c r="KJO282" s="173"/>
      <c r="KJP282" s="173"/>
      <c r="KJQ282" s="173"/>
      <c r="KJR282" s="173"/>
      <c r="KJS282" s="173"/>
      <c r="KJT282" s="173"/>
      <c r="KJU282" s="173"/>
      <c r="KJV282" s="173"/>
      <c r="KJW282" s="173"/>
      <c r="KJX282" s="125"/>
      <c r="KJY282" s="125"/>
      <c r="KJZ282" s="134"/>
      <c r="KKA282" s="135"/>
      <c r="KKB282" s="135"/>
      <c r="KKC282" s="135"/>
      <c r="KKD282" s="135"/>
      <c r="KKE282" s="173"/>
      <c r="KKF282" s="173"/>
      <c r="KKG282" s="173"/>
      <c r="KKH282" s="173"/>
      <c r="KKI282" s="173"/>
      <c r="KKJ282" s="173"/>
      <c r="KKK282" s="173"/>
      <c r="KKL282" s="173"/>
      <c r="KKM282" s="173"/>
      <c r="KKN282" s="173"/>
      <c r="KKO282" s="125"/>
      <c r="KKP282" s="125"/>
      <c r="KKQ282" s="134"/>
      <c r="KKR282" s="135"/>
      <c r="KKS282" s="135"/>
      <c r="KKT282" s="135"/>
      <c r="KKU282" s="135"/>
      <c r="KKV282" s="173"/>
      <c r="KKW282" s="173"/>
      <c r="KKX282" s="173"/>
      <c r="KKY282" s="173"/>
      <c r="KKZ282" s="173"/>
      <c r="KLA282" s="173"/>
      <c r="KLB282" s="173"/>
      <c r="KLC282" s="173"/>
      <c r="KLD282" s="173"/>
      <c r="KLE282" s="173"/>
      <c r="KLF282" s="125"/>
      <c r="KLG282" s="125"/>
      <c r="KLH282" s="134"/>
      <c r="KLI282" s="135"/>
      <c r="KLJ282" s="135"/>
      <c r="KLK282" s="135"/>
      <c r="KLL282" s="135"/>
      <c r="KLM282" s="173"/>
      <c r="KLN282" s="173"/>
      <c r="KLO282" s="173"/>
      <c r="KLP282" s="173"/>
      <c r="KLQ282" s="173"/>
      <c r="KLR282" s="173"/>
      <c r="KLS282" s="173"/>
      <c r="KLT282" s="173"/>
      <c r="KLU282" s="173"/>
      <c r="KLV282" s="173"/>
      <c r="KLW282" s="125"/>
      <c r="KLX282" s="125"/>
      <c r="KLY282" s="134"/>
      <c r="KLZ282" s="135"/>
      <c r="KMA282" s="135"/>
      <c r="KMB282" s="135"/>
      <c r="KMC282" s="135"/>
      <c r="KMD282" s="173"/>
      <c r="KME282" s="173"/>
      <c r="KMF282" s="173"/>
      <c r="KMG282" s="173"/>
      <c r="KMH282" s="173"/>
      <c r="KMI282" s="173"/>
      <c r="KMJ282" s="173"/>
      <c r="KMK282" s="173"/>
      <c r="KML282" s="173"/>
      <c r="KMM282" s="173"/>
      <c r="KMN282" s="125"/>
      <c r="KMO282" s="125"/>
      <c r="KMP282" s="134"/>
      <c r="KMQ282" s="135"/>
      <c r="KMR282" s="135"/>
      <c r="KMS282" s="135"/>
      <c r="KMT282" s="135"/>
      <c r="KMU282" s="173"/>
      <c r="KMV282" s="173"/>
      <c r="KMW282" s="173"/>
      <c r="KMX282" s="173"/>
      <c r="KMY282" s="173"/>
      <c r="KMZ282" s="173"/>
      <c r="KNA282" s="173"/>
      <c r="KNB282" s="173"/>
      <c r="KNC282" s="173"/>
      <c r="KND282" s="173"/>
      <c r="KNE282" s="125"/>
      <c r="KNF282" s="125"/>
      <c r="KNG282" s="134"/>
      <c r="KNH282" s="135"/>
      <c r="KNI282" s="135"/>
      <c r="KNJ282" s="135"/>
      <c r="KNK282" s="135"/>
      <c r="KNL282" s="173"/>
      <c r="KNM282" s="173"/>
      <c r="KNN282" s="173"/>
      <c r="KNO282" s="173"/>
      <c r="KNP282" s="173"/>
      <c r="KNQ282" s="173"/>
      <c r="KNR282" s="173"/>
      <c r="KNS282" s="173"/>
      <c r="KNT282" s="173"/>
      <c r="KNU282" s="173"/>
      <c r="KNV282" s="125"/>
      <c r="KNW282" s="125"/>
      <c r="KNX282" s="134"/>
      <c r="KNY282" s="135"/>
      <c r="KNZ282" s="135"/>
      <c r="KOA282" s="135"/>
      <c r="KOB282" s="135"/>
      <c r="KOC282" s="173"/>
      <c r="KOD282" s="173"/>
      <c r="KOE282" s="173"/>
      <c r="KOF282" s="173"/>
      <c r="KOG282" s="173"/>
      <c r="KOH282" s="173"/>
      <c r="KOI282" s="173"/>
      <c r="KOJ282" s="173"/>
      <c r="KOK282" s="173"/>
      <c r="KOL282" s="173"/>
      <c r="KOM282" s="125"/>
      <c r="KON282" s="125"/>
      <c r="KOO282" s="134"/>
      <c r="KOP282" s="135"/>
      <c r="KOQ282" s="135"/>
      <c r="KOR282" s="135"/>
      <c r="KOS282" s="135"/>
      <c r="KOT282" s="173"/>
      <c r="KOU282" s="173"/>
      <c r="KOV282" s="173"/>
      <c r="KOW282" s="173"/>
      <c r="KOX282" s="173"/>
      <c r="KOY282" s="173"/>
      <c r="KOZ282" s="173"/>
      <c r="KPA282" s="173"/>
      <c r="KPB282" s="173"/>
      <c r="KPC282" s="173"/>
      <c r="KPD282" s="125"/>
      <c r="KPE282" s="125"/>
      <c r="KPF282" s="134"/>
      <c r="KPG282" s="135"/>
      <c r="KPH282" s="135"/>
      <c r="KPI282" s="135"/>
      <c r="KPJ282" s="135"/>
      <c r="KPK282" s="173"/>
      <c r="KPL282" s="173"/>
      <c r="KPM282" s="173"/>
      <c r="KPN282" s="173"/>
      <c r="KPO282" s="173"/>
      <c r="KPP282" s="173"/>
      <c r="KPQ282" s="173"/>
      <c r="KPR282" s="173"/>
      <c r="KPS282" s="173"/>
      <c r="KPT282" s="173"/>
      <c r="KPU282" s="125"/>
      <c r="KPV282" s="125"/>
      <c r="KPW282" s="134"/>
      <c r="KPX282" s="135"/>
      <c r="KPY282" s="135"/>
      <c r="KPZ282" s="135"/>
      <c r="KQA282" s="135"/>
      <c r="KQB282" s="173"/>
      <c r="KQC282" s="173"/>
      <c r="KQD282" s="173"/>
      <c r="KQE282" s="173"/>
      <c r="KQF282" s="173"/>
      <c r="KQG282" s="173"/>
      <c r="KQH282" s="173"/>
      <c r="KQI282" s="173"/>
      <c r="KQJ282" s="173"/>
      <c r="KQK282" s="173"/>
      <c r="KQL282" s="125"/>
      <c r="KQM282" s="125"/>
      <c r="KQN282" s="134"/>
      <c r="KQO282" s="135"/>
      <c r="KQP282" s="135"/>
      <c r="KQQ282" s="135"/>
      <c r="KQR282" s="135"/>
      <c r="KQS282" s="173"/>
      <c r="KQT282" s="173"/>
      <c r="KQU282" s="173"/>
      <c r="KQV282" s="173"/>
      <c r="KQW282" s="173"/>
      <c r="KQX282" s="173"/>
      <c r="KQY282" s="173"/>
      <c r="KQZ282" s="173"/>
      <c r="KRA282" s="173"/>
      <c r="KRB282" s="173"/>
      <c r="KRC282" s="125"/>
      <c r="KRD282" s="125"/>
      <c r="KRE282" s="134"/>
      <c r="KRF282" s="135"/>
      <c r="KRG282" s="135"/>
      <c r="KRH282" s="135"/>
      <c r="KRI282" s="135"/>
      <c r="KRJ282" s="173"/>
      <c r="KRK282" s="173"/>
      <c r="KRL282" s="173"/>
      <c r="KRM282" s="173"/>
      <c r="KRN282" s="173"/>
      <c r="KRO282" s="173"/>
      <c r="KRP282" s="173"/>
      <c r="KRQ282" s="173"/>
      <c r="KRR282" s="173"/>
      <c r="KRS282" s="173"/>
      <c r="KRT282" s="125"/>
      <c r="KRU282" s="125"/>
      <c r="KRV282" s="134"/>
      <c r="KRW282" s="135"/>
      <c r="KRX282" s="135"/>
      <c r="KRY282" s="135"/>
      <c r="KRZ282" s="135"/>
      <c r="KSA282" s="173"/>
      <c r="KSB282" s="173"/>
      <c r="KSC282" s="173"/>
      <c r="KSD282" s="173"/>
      <c r="KSE282" s="173"/>
      <c r="KSF282" s="173"/>
      <c r="KSG282" s="173"/>
      <c r="KSH282" s="173"/>
      <c r="KSI282" s="173"/>
      <c r="KSJ282" s="173"/>
      <c r="KSK282" s="125"/>
      <c r="KSL282" s="125"/>
      <c r="KSM282" s="134"/>
      <c r="KSN282" s="135"/>
      <c r="KSO282" s="135"/>
      <c r="KSP282" s="135"/>
      <c r="KSQ282" s="135"/>
      <c r="KSR282" s="173"/>
      <c r="KSS282" s="173"/>
      <c r="KST282" s="173"/>
      <c r="KSU282" s="173"/>
      <c r="KSV282" s="173"/>
      <c r="KSW282" s="173"/>
      <c r="KSX282" s="173"/>
      <c r="KSY282" s="173"/>
      <c r="KSZ282" s="173"/>
      <c r="KTA282" s="173"/>
      <c r="KTB282" s="125"/>
      <c r="KTC282" s="125"/>
      <c r="KTD282" s="134"/>
      <c r="KTE282" s="135"/>
      <c r="KTF282" s="135"/>
      <c r="KTG282" s="135"/>
      <c r="KTH282" s="135"/>
      <c r="KTI282" s="173"/>
      <c r="KTJ282" s="173"/>
      <c r="KTK282" s="173"/>
      <c r="KTL282" s="173"/>
      <c r="KTM282" s="173"/>
      <c r="KTN282" s="173"/>
      <c r="KTO282" s="173"/>
      <c r="KTP282" s="173"/>
      <c r="KTQ282" s="173"/>
      <c r="KTR282" s="173"/>
      <c r="KTS282" s="125"/>
      <c r="KTT282" s="125"/>
      <c r="KTU282" s="134"/>
      <c r="KTV282" s="135"/>
      <c r="KTW282" s="135"/>
      <c r="KTX282" s="135"/>
      <c r="KTY282" s="135"/>
      <c r="KTZ282" s="173"/>
      <c r="KUA282" s="173"/>
      <c r="KUB282" s="173"/>
      <c r="KUC282" s="173"/>
      <c r="KUD282" s="173"/>
      <c r="KUE282" s="173"/>
      <c r="KUF282" s="173"/>
      <c r="KUG282" s="173"/>
      <c r="KUH282" s="173"/>
      <c r="KUI282" s="173"/>
      <c r="KUJ282" s="125"/>
      <c r="KUK282" s="125"/>
      <c r="KUL282" s="134"/>
      <c r="KUM282" s="135"/>
      <c r="KUN282" s="135"/>
      <c r="KUO282" s="135"/>
      <c r="KUP282" s="135"/>
      <c r="KUQ282" s="173"/>
      <c r="KUR282" s="173"/>
      <c r="KUS282" s="173"/>
      <c r="KUT282" s="173"/>
      <c r="KUU282" s="173"/>
      <c r="KUV282" s="173"/>
      <c r="KUW282" s="173"/>
      <c r="KUX282" s="173"/>
      <c r="KUY282" s="173"/>
      <c r="KUZ282" s="173"/>
      <c r="KVA282" s="125"/>
      <c r="KVB282" s="125"/>
      <c r="KVC282" s="134"/>
      <c r="KVD282" s="135"/>
      <c r="KVE282" s="135"/>
      <c r="KVF282" s="135"/>
      <c r="KVG282" s="135"/>
      <c r="KVH282" s="173"/>
      <c r="KVI282" s="173"/>
      <c r="KVJ282" s="173"/>
      <c r="KVK282" s="173"/>
      <c r="KVL282" s="173"/>
      <c r="KVM282" s="173"/>
      <c r="KVN282" s="173"/>
      <c r="KVO282" s="173"/>
      <c r="KVP282" s="173"/>
      <c r="KVQ282" s="173"/>
      <c r="KVR282" s="125"/>
      <c r="KVS282" s="125"/>
      <c r="KVT282" s="134"/>
      <c r="KVU282" s="135"/>
      <c r="KVV282" s="135"/>
      <c r="KVW282" s="135"/>
      <c r="KVX282" s="135"/>
      <c r="KVY282" s="173"/>
      <c r="KVZ282" s="173"/>
      <c r="KWA282" s="173"/>
      <c r="KWB282" s="173"/>
      <c r="KWC282" s="173"/>
      <c r="KWD282" s="173"/>
      <c r="KWE282" s="173"/>
      <c r="KWF282" s="173"/>
      <c r="KWG282" s="173"/>
      <c r="KWH282" s="173"/>
      <c r="KWI282" s="125"/>
      <c r="KWJ282" s="125"/>
      <c r="KWK282" s="134"/>
      <c r="KWL282" s="135"/>
      <c r="KWM282" s="135"/>
      <c r="KWN282" s="135"/>
      <c r="KWO282" s="135"/>
      <c r="KWP282" s="173"/>
      <c r="KWQ282" s="173"/>
      <c r="KWR282" s="173"/>
      <c r="KWS282" s="173"/>
      <c r="KWT282" s="173"/>
      <c r="KWU282" s="173"/>
      <c r="KWV282" s="173"/>
      <c r="KWW282" s="173"/>
      <c r="KWX282" s="173"/>
      <c r="KWY282" s="173"/>
      <c r="KWZ282" s="125"/>
      <c r="KXA282" s="125"/>
      <c r="KXB282" s="134"/>
      <c r="KXC282" s="135"/>
      <c r="KXD282" s="135"/>
      <c r="KXE282" s="135"/>
      <c r="KXF282" s="135"/>
      <c r="KXG282" s="173"/>
      <c r="KXH282" s="173"/>
      <c r="KXI282" s="173"/>
      <c r="KXJ282" s="173"/>
      <c r="KXK282" s="173"/>
      <c r="KXL282" s="173"/>
      <c r="KXM282" s="173"/>
      <c r="KXN282" s="173"/>
      <c r="KXO282" s="173"/>
      <c r="KXP282" s="173"/>
      <c r="KXQ282" s="125"/>
      <c r="KXR282" s="125"/>
      <c r="KXS282" s="134"/>
      <c r="KXT282" s="135"/>
      <c r="KXU282" s="135"/>
      <c r="KXV282" s="135"/>
      <c r="KXW282" s="135"/>
      <c r="KXX282" s="173"/>
      <c r="KXY282" s="173"/>
      <c r="KXZ282" s="173"/>
      <c r="KYA282" s="173"/>
      <c r="KYB282" s="173"/>
      <c r="KYC282" s="173"/>
      <c r="KYD282" s="173"/>
      <c r="KYE282" s="173"/>
      <c r="KYF282" s="173"/>
      <c r="KYG282" s="173"/>
      <c r="KYH282" s="125"/>
      <c r="KYI282" s="125"/>
      <c r="KYJ282" s="134"/>
      <c r="KYK282" s="135"/>
      <c r="KYL282" s="135"/>
      <c r="KYM282" s="135"/>
      <c r="KYN282" s="135"/>
      <c r="KYO282" s="173"/>
      <c r="KYP282" s="173"/>
      <c r="KYQ282" s="173"/>
      <c r="KYR282" s="173"/>
      <c r="KYS282" s="173"/>
      <c r="KYT282" s="173"/>
      <c r="KYU282" s="173"/>
      <c r="KYV282" s="173"/>
      <c r="KYW282" s="173"/>
      <c r="KYX282" s="173"/>
      <c r="KYY282" s="125"/>
      <c r="KYZ282" s="125"/>
      <c r="KZA282" s="134"/>
      <c r="KZB282" s="135"/>
      <c r="KZC282" s="135"/>
      <c r="KZD282" s="135"/>
      <c r="KZE282" s="135"/>
      <c r="KZF282" s="173"/>
      <c r="KZG282" s="173"/>
      <c r="KZH282" s="173"/>
      <c r="KZI282" s="173"/>
      <c r="KZJ282" s="173"/>
      <c r="KZK282" s="173"/>
      <c r="KZL282" s="173"/>
      <c r="KZM282" s="173"/>
      <c r="KZN282" s="173"/>
      <c r="KZO282" s="173"/>
      <c r="KZP282" s="125"/>
      <c r="KZQ282" s="125"/>
      <c r="KZR282" s="134"/>
      <c r="KZS282" s="135"/>
      <c r="KZT282" s="135"/>
      <c r="KZU282" s="135"/>
      <c r="KZV282" s="135"/>
      <c r="KZW282" s="173"/>
      <c r="KZX282" s="173"/>
      <c r="KZY282" s="173"/>
      <c r="KZZ282" s="173"/>
      <c r="LAA282" s="173"/>
      <c r="LAB282" s="173"/>
      <c r="LAC282" s="173"/>
      <c r="LAD282" s="173"/>
      <c r="LAE282" s="173"/>
      <c r="LAF282" s="173"/>
      <c r="LAG282" s="125"/>
      <c r="LAH282" s="125"/>
      <c r="LAI282" s="134"/>
      <c r="LAJ282" s="135"/>
      <c r="LAK282" s="135"/>
      <c r="LAL282" s="135"/>
      <c r="LAM282" s="135"/>
      <c r="LAN282" s="173"/>
      <c r="LAO282" s="173"/>
      <c r="LAP282" s="173"/>
      <c r="LAQ282" s="173"/>
      <c r="LAR282" s="173"/>
      <c r="LAS282" s="173"/>
      <c r="LAT282" s="173"/>
      <c r="LAU282" s="173"/>
      <c r="LAV282" s="173"/>
      <c r="LAW282" s="173"/>
      <c r="LAX282" s="125"/>
      <c r="LAY282" s="125"/>
      <c r="LAZ282" s="134"/>
      <c r="LBA282" s="135"/>
      <c r="LBB282" s="135"/>
      <c r="LBC282" s="135"/>
      <c r="LBD282" s="135"/>
      <c r="LBE282" s="173"/>
      <c r="LBF282" s="173"/>
      <c r="LBG282" s="173"/>
      <c r="LBH282" s="173"/>
      <c r="LBI282" s="173"/>
      <c r="LBJ282" s="173"/>
      <c r="LBK282" s="173"/>
      <c r="LBL282" s="173"/>
      <c r="LBM282" s="173"/>
      <c r="LBN282" s="173"/>
      <c r="LBO282" s="125"/>
      <c r="LBP282" s="125"/>
      <c r="LBQ282" s="134"/>
      <c r="LBR282" s="135"/>
      <c r="LBS282" s="135"/>
      <c r="LBT282" s="135"/>
      <c r="LBU282" s="135"/>
      <c r="LBV282" s="173"/>
      <c r="LBW282" s="173"/>
      <c r="LBX282" s="173"/>
      <c r="LBY282" s="173"/>
      <c r="LBZ282" s="173"/>
      <c r="LCA282" s="173"/>
      <c r="LCB282" s="173"/>
      <c r="LCC282" s="173"/>
      <c r="LCD282" s="173"/>
      <c r="LCE282" s="173"/>
      <c r="LCF282" s="125"/>
      <c r="LCG282" s="125"/>
      <c r="LCH282" s="134"/>
      <c r="LCI282" s="135"/>
      <c r="LCJ282" s="135"/>
      <c r="LCK282" s="135"/>
      <c r="LCL282" s="135"/>
      <c r="LCM282" s="173"/>
      <c r="LCN282" s="173"/>
      <c r="LCO282" s="173"/>
      <c r="LCP282" s="173"/>
      <c r="LCQ282" s="173"/>
      <c r="LCR282" s="173"/>
      <c r="LCS282" s="173"/>
      <c r="LCT282" s="173"/>
      <c r="LCU282" s="173"/>
      <c r="LCV282" s="173"/>
      <c r="LCW282" s="125"/>
      <c r="LCX282" s="125"/>
      <c r="LCY282" s="134"/>
      <c r="LCZ282" s="135"/>
      <c r="LDA282" s="135"/>
      <c r="LDB282" s="135"/>
      <c r="LDC282" s="135"/>
      <c r="LDD282" s="173"/>
      <c r="LDE282" s="173"/>
      <c r="LDF282" s="173"/>
      <c r="LDG282" s="173"/>
      <c r="LDH282" s="173"/>
      <c r="LDI282" s="173"/>
      <c r="LDJ282" s="173"/>
      <c r="LDK282" s="173"/>
      <c r="LDL282" s="173"/>
      <c r="LDM282" s="173"/>
      <c r="LDN282" s="125"/>
      <c r="LDO282" s="125"/>
      <c r="LDP282" s="134"/>
      <c r="LDQ282" s="135"/>
      <c r="LDR282" s="135"/>
      <c r="LDS282" s="135"/>
      <c r="LDT282" s="135"/>
      <c r="LDU282" s="173"/>
      <c r="LDV282" s="173"/>
      <c r="LDW282" s="173"/>
      <c r="LDX282" s="173"/>
      <c r="LDY282" s="173"/>
      <c r="LDZ282" s="173"/>
      <c r="LEA282" s="173"/>
      <c r="LEB282" s="173"/>
      <c r="LEC282" s="173"/>
      <c r="LED282" s="173"/>
      <c r="LEE282" s="125"/>
      <c r="LEF282" s="125"/>
      <c r="LEG282" s="134"/>
      <c r="LEH282" s="135"/>
      <c r="LEI282" s="135"/>
      <c r="LEJ282" s="135"/>
      <c r="LEK282" s="135"/>
      <c r="LEL282" s="173"/>
      <c r="LEM282" s="173"/>
      <c r="LEN282" s="173"/>
      <c r="LEO282" s="173"/>
      <c r="LEP282" s="173"/>
      <c r="LEQ282" s="173"/>
      <c r="LER282" s="173"/>
      <c r="LES282" s="173"/>
      <c r="LET282" s="173"/>
      <c r="LEU282" s="173"/>
      <c r="LEV282" s="125"/>
      <c r="LEW282" s="125"/>
      <c r="LEX282" s="134"/>
      <c r="LEY282" s="135"/>
      <c r="LEZ282" s="135"/>
      <c r="LFA282" s="135"/>
      <c r="LFB282" s="135"/>
      <c r="LFC282" s="173"/>
      <c r="LFD282" s="173"/>
      <c r="LFE282" s="173"/>
      <c r="LFF282" s="173"/>
      <c r="LFG282" s="173"/>
      <c r="LFH282" s="173"/>
      <c r="LFI282" s="173"/>
      <c r="LFJ282" s="173"/>
      <c r="LFK282" s="173"/>
      <c r="LFL282" s="173"/>
      <c r="LFM282" s="125"/>
      <c r="LFN282" s="125"/>
      <c r="LFO282" s="134"/>
      <c r="LFP282" s="135"/>
      <c r="LFQ282" s="135"/>
      <c r="LFR282" s="135"/>
      <c r="LFS282" s="135"/>
      <c r="LFT282" s="173"/>
      <c r="LFU282" s="173"/>
      <c r="LFV282" s="173"/>
      <c r="LFW282" s="173"/>
      <c r="LFX282" s="173"/>
      <c r="LFY282" s="173"/>
      <c r="LFZ282" s="173"/>
      <c r="LGA282" s="173"/>
      <c r="LGB282" s="173"/>
      <c r="LGC282" s="173"/>
      <c r="LGD282" s="125"/>
      <c r="LGE282" s="125"/>
      <c r="LGF282" s="134"/>
      <c r="LGG282" s="135"/>
      <c r="LGH282" s="135"/>
      <c r="LGI282" s="135"/>
      <c r="LGJ282" s="135"/>
      <c r="LGK282" s="173"/>
      <c r="LGL282" s="173"/>
      <c r="LGM282" s="173"/>
      <c r="LGN282" s="173"/>
      <c r="LGO282" s="173"/>
      <c r="LGP282" s="173"/>
      <c r="LGQ282" s="173"/>
      <c r="LGR282" s="173"/>
      <c r="LGS282" s="173"/>
      <c r="LGT282" s="173"/>
      <c r="LGU282" s="125"/>
      <c r="LGV282" s="125"/>
      <c r="LGW282" s="134"/>
      <c r="LGX282" s="135"/>
      <c r="LGY282" s="135"/>
      <c r="LGZ282" s="135"/>
      <c r="LHA282" s="135"/>
      <c r="LHB282" s="173"/>
      <c r="LHC282" s="173"/>
      <c r="LHD282" s="173"/>
      <c r="LHE282" s="173"/>
      <c r="LHF282" s="173"/>
      <c r="LHG282" s="173"/>
      <c r="LHH282" s="173"/>
      <c r="LHI282" s="173"/>
      <c r="LHJ282" s="173"/>
      <c r="LHK282" s="173"/>
      <c r="LHL282" s="125"/>
      <c r="LHM282" s="125"/>
      <c r="LHN282" s="134"/>
      <c r="LHO282" s="135"/>
      <c r="LHP282" s="135"/>
      <c r="LHQ282" s="135"/>
      <c r="LHR282" s="135"/>
      <c r="LHS282" s="173"/>
      <c r="LHT282" s="173"/>
      <c r="LHU282" s="173"/>
      <c r="LHV282" s="173"/>
      <c r="LHW282" s="173"/>
      <c r="LHX282" s="173"/>
      <c r="LHY282" s="173"/>
      <c r="LHZ282" s="173"/>
      <c r="LIA282" s="173"/>
      <c r="LIB282" s="173"/>
      <c r="LIC282" s="125"/>
      <c r="LID282" s="125"/>
      <c r="LIE282" s="134"/>
      <c r="LIF282" s="135"/>
      <c r="LIG282" s="135"/>
      <c r="LIH282" s="135"/>
      <c r="LII282" s="135"/>
      <c r="LIJ282" s="173"/>
      <c r="LIK282" s="173"/>
      <c r="LIL282" s="173"/>
      <c r="LIM282" s="173"/>
      <c r="LIN282" s="173"/>
      <c r="LIO282" s="173"/>
      <c r="LIP282" s="173"/>
      <c r="LIQ282" s="173"/>
      <c r="LIR282" s="173"/>
      <c r="LIS282" s="173"/>
      <c r="LIT282" s="125"/>
      <c r="LIU282" s="125"/>
      <c r="LIV282" s="134"/>
      <c r="LIW282" s="135"/>
      <c r="LIX282" s="135"/>
      <c r="LIY282" s="135"/>
      <c r="LIZ282" s="135"/>
      <c r="LJA282" s="173"/>
      <c r="LJB282" s="173"/>
      <c r="LJC282" s="173"/>
      <c r="LJD282" s="173"/>
      <c r="LJE282" s="173"/>
      <c r="LJF282" s="173"/>
      <c r="LJG282" s="173"/>
      <c r="LJH282" s="173"/>
      <c r="LJI282" s="173"/>
      <c r="LJJ282" s="173"/>
      <c r="LJK282" s="125"/>
      <c r="LJL282" s="125"/>
      <c r="LJM282" s="134"/>
      <c r="LJN282" s="135"/>
      <c r="LJO282" s="135"/>
      <c r="LJP282" s="135"/>
      <c r="LJQ282" s="135"/>
      <c r="LJR282" s="173"/>
      <c r="LJS282" s="173"/>
      <c r="LJT282" s="173"/>
      <c r="LJU282" s="173"/>
      <c r="LJV282" s="173"/>
      <c r="LJW282" s="173"/>
      <c r="LJX282" s="173"/>
      <c r="LJY282" s="173"/>
      <c r="LJZ282" s="173"/>
      <c r="LKA282" s="173"/>
      <c r="LKB282" s="125"/>
      <c r="LKC282" s="125"/>
      <c r="LKD282" s="134"/>
      <c r="LKE282" s="135"/>
      <c r="LKF282" s="135"/>
      <c r="LKG282" s="135"/>
      <c r="LKH282" s="135"/>
      <c r="LKI282" s="173"/>
      <c r="LKJ282" s="173"/>
      <c r="LKK282" s="173"/>
      <c r="LKL282" s="173"/>
      <c r="LKM282" s="173"/>
      <c r="LKN282" s="173"/>
      <c r="LKO282" s="173"/>
      <c r="LKP282" s="173"/>
      <c r="LKQ282" s="173"/>
      <c r="LKR282" s="173"/>
      <c r="LKS282" s="125"/>
      <c r="LKT282" s="125"/>
      <c r="LKU282" s="134"/>
      <c r="LKV282" s="135"/>
      <c r="LKW282" s="135"/>
      <c r="LKX282" s="135"/>
      <c r="LKY282" s="135"/>
      <c r="LKZ282" s="173"/>
      <c r="LLA282" s="173"/>
      <c r="LLB282" s="173"/>
      <c r="LLC282" s="173"/>
      <c r="LLD282" s="173"/>
      <c r="LLE282" s="173"/>
      <c r="LLF282" s="173"/>
      <c r="LLG282" s="173"/>
      <c r="LLH282" s="173"/>
      <c r="LLI282" s="173"/>
      <c r="LLJ282" s="125"/>
      <c r="LLK282" s="125"/>
      <c r="LLL282" s="134"/>
      <c r="LLM282" s="135"/>
      <c r="LLN282" s="135"/>
      <c r="LLO282" s="135"/>
      <c r="LLP282" s="135"/>
      <c r="LLQ282" s="173"/>
      <c r="LLR282" s="173"/>
      <c r="LLS282" s="173"/>
      <c r="LLT282" s="173"/>
      <c r="LLU282" s="173"/>
      <c r="LLV282" s="173"/>
      <c r="LLW282" s="173"/>
      <c r="LLX282" s="173"/>
      <c r="LLY282" s="173"/>
      <c r="LLZ282" s="173"/>
      <c r="LMA282" s="125"/>
      <c r="LMB282" s="125"/>
      <c r="LMC282" s="134"/>
      <c r="LMD282" s="135"/>
      <c r="LME282" s="135"/>
      <c r="LMF282" s="135"/>
      <c r="LMG282" s="135"/>
      <c r="LMH282" s="173"/>
      <c r="LMI282" s="173"/>
      <c r="LMJ282" s="173"/>
      <c r="LMK282" s="173"/>
      <c r="LML282" s="173"/>
      <c r="LMM282" s="173"/>
      <c r="LMN282" s="173"/>
      <c r="LMO282" s="173"/>
      <c r="LMP282" s="173"/>
      <c r="LMQ282" s="173"/>
      <c r="LMR282" s="125"/>
      <c r="LMS282" s="125"/>
      <c r="LMT282" s="134"/>
      <c r="LMU282" s="135"/>
      <c r="LMV282" s="135"/>
      <c r="LMW282" s="135"/>
      <c r="LMX282" s="135"/>
      <c r="LMY282" s="173"/>
      <c r="LMZ282" s="173"/>
      <c r="LNA282" s="173"/>
      <c r="LNB282" s="173"/>
      <c r="LNC282" s="173"/>
      <c r="LND282" s="173"/>
      <c r="LNE282" s="173"/>
      <c r="LNF282" s="173"/>
      <c r="LNG282" s="173"/>
      <c r="LNH282" s="173"/>
      <c r="LNI282" s="125"/>
      <c r="LNJ282" s="125"/>
      <c r="LNK282" s="134"/>
      <c r="LNL282" s="135"/>
      <c r="LNM282" s="135"/>
      <c r="LNN282" s="135"/>
      <c r="LNO282" s="135"/>
      <c r="LNP282" s="173"/>
      <c r="LNQ282" s="173"/>
      <c r="LNR282" s="173"/>
      <c r="LNS282" s="173"/>
      <c r="LNT282" s="173"/>
      <c r="LNU282" s="173"/>
      <c r="LNV282" s="173"/>
      <c r="LNW282" s="173"/>
      <c r="LNX282" s="173"/>
      <c r="LNY282" s="173"/>
      <c r="LNZ282" s="125"/>
      <c r="LOA282" s="125"/>
      <c r="LOB282" s="134"/>
      <c r="LOC282" s="135"/>
      <c r="LOD282" s="135"/>
      <c r="LOE282" s="135"/>
      <c r="LOF282" s="135"/>
      <c r="LOG282" s="173"/>
      <c r="LOH282" s="173"/>
      <c r="LOI282" s="173"/>
      <c r="LOJ282" s="173"/>
      <c r="LOK282" s="173"/>
      <c r="LOL282" s="173"/>
      <c r="LOM282" s="173"/>
      <c r="LON282" s="173"/>
      <c r="LOO282" s="173"/>
      <c r="LOP282" s="173"/>
      <c r="LOQ282" s="125"/>
      <c r="LOR282" s="125"/>
      <c r="LOS282" s="134"/>
      <c r="LOT282" s="135"/>
      <c r="LOU282" s="135"/>
      <c r="LOV282" s="135"/>
      <c r="LOW282" s="135"/>
      <c r="LOX282" s="173"/>
      <c r="LOY282" s="173"/>
      <c r="LOZ282" s="173"/>
      <c r="LPA282" s="173"/>
      <c r="LPB282" s="173"/>
      <c r="LPC282" s="173"/>
      <c r="LPD282" s="173"/>
      <c r="LPE282" s="173"/>
      <c r="LPF282" s="173"/>
      <c r="LPG282" s="173"/>
      <c r="LPH282" s="125"/>
      <c r="LPI282" s="125"/>
      <c r="LPJ282" s="134"/>
      <c r="LPK282" s="135"/>
      <c r="LPL282" s="135"/>
      <c r="LPM282" s="135"/>
      <c r="LPN282" s="135"/>
      <c r="LPO282" s="173"/>
      <c r="LPP282" s="173"/>
      <c r="LPQ282" s="173"/>
      <c r="LPR282" s="173"/>
      <c r="LPS282" s="173"/>
      <c r="LPT282" s="173"/>
      <c r="LPU282" s="173"/>
      <c r="LPV282" s="173"/>
      <c r="LPW282" s="173"/>
      <c r="LPX282" s="173"/>
      <c r="LPY282" s="125"/>
      <c r="LPZ282" s="125"/>
      <c r="LQA282" s="134"/>
      <c r="LQB282" s="135"/>
      <c r="LQC282" s="135"/>
      <c r="LQD282" s="135"/>
      <c r="LQE282" s="135"/>
      <c r="LQF282" s="173"/>
      <c r="LQG282" s="173"/>
      <c r="LQH282" s="173"/>
      <c r="LQI282" s="173"/>
      <c r="LQJ282" s="173"/>
      <c r="LQK282" s="173"/>
      <c r="LQL282" s="173"/>
      <c r="LQM282" s="173"/>
      <c r="LQN282" s="173"/>
      <c r="LQO282" s="173"/>
      <c r="LQP282" s="125"/>
      <c r="LQQ282" s="125"/>
      <c r="LQR282" s="134"/>
      <c r="LQS282" s="135"/>
      <c r="LQT282" s="135"/>
      <c r="LQU282" s="135"/>
      <c r="LQV282" s="135"/>
      <c r="LQW282" s="173"/>
      <c r="LQX282" s="173"/>
      <c r="LQY282" s="173"/>
      <c r="LQZ282" s="173"/>
      <c r="LRA282" s="173"/>
      <c r="LRB282" s="173"/>
      <c r="LRC282" s="173"/>
      <c r="LRD282" s="173"/>
      <c r="LRE282" s="173"/>
      <c r="LRF282" s="173"/>
      <c r="LRG282" s="125"/>
      <c r="LRH282" s="125"/>
      <c r="LRI282" s="134"/>
      <c r="LRJ282" s="135"/>
      <c r="LRK282" s="135"/>
      <c r="LRL282" s="135"/>
      <c r="LRM282" s="135"/>
      <c r="LRN282" s="173"/>
      <c r="LRO282" s="173"/>
      <c r="LRP282" s="173"/>
      <c r="LRQ282" s="173"/>
      <c r="LRR282" s="173"/>
      <c r="LRS282" s="173"/>
      <c r="LRT282" s="173"/>
      <c r="LRU282" s="173"/>
      <c r="LRV282" s="173"/>
      <c r="LRW282" s="173"/>
      <c r="LRX282" s="125"/>
      <c r="LRY282" s="125"/>
      <c r="LRZ282" s="134"/>
      <c r="LSA282" s="135"/>
      <c r="LSB282" s="135"/>
      <c r="LSC282" s="135"/>
      <c r="LSD282" s="135"/>
      <c r="LSE282" s="173"/>
      <c r="LSF282" s="173"/>
      <c r="LSG282" s="173"/>
      <c r="LSH282" s="173"/>
      <c r="LSI282" s="173"/>
      <c r="LSJ282" s="173"/>
      <c r="LSK282" s="173"/>
      <c r="LSL282" s="173"/>
      <c r="LSM282" s="173"/>
      <c r="LSN282" s="173"/>
      <c r="LSO282" s="125"/>
      <c r="LSP282" s="125"/>
      <c r="LSQ282" s="134"/>
      <c r="LSR282" s="135"/>
      <c r="LSS282" s="135"/>
      <c r="LST282" s="135"/>
      <c r="LSU282" s="135"/>
      <c r="LSV282" s="173"/>
      <c r="LSW282" s="173"/>
      <c r="LSX282" s="173"/>
      <c r="LSY282" s="173"/>
      <c r="LSZ282" s="173"/>
      <c r="LTA282" s="173"/>
      <c r="LTB282" s="173"/>
      <c r="LTC282" s="173"/>
      <c r="LTD282" s="173"/>
      <c r="LTE282" s="173"/>
      <c r="LTF282" s="125"/>
      <c r="LTG282" s="125"/>
      <c r="LTH282" s="134"/>
      <c r="LTI282" s="135"/>
      <c r="LTJ282" s="135"/>
      <c r="LTK282" s="135"/>
      <c r="LTL282" s="135"/>
      <c r="LTM282" s="173"/>
      <c r="LTN282" s="173"/>
      <c r="LTO282" s="173"/>
      <c r="LTP282" s="173"/>
      <c r="LTQ282" s="173"/>
      <c r="LTR282" s="173"/>
      <c r="LTS282" s="173"/>
      <c r="LTT282" s="173"/>
      <c r="LTU282" s="173"/>
      <c r="LTV282" s="173"/>
      <c r="LTW282" s="125"/>
      <c r="LTX282" s="125"/>
      <c r="LTY282" s="134"/>
      <c r="LTZ282" s="135"/>
      <c r="LUA282" s="135"/>
      <c r="LUB282" s="135"/>
      <c r="LUC282" s="135"/>
      <c r="LUD282" s="173"/>
      <c r="LUE282" s="173"/>
      <c r="LUF282" s="173"/>
      <c r="LUG282" s="173"/>
      <c r="LUH282" s="173"/>
      <c r="LUI282" s="173"/>
      <c r="LUJ282" s="173"/>
      <c r="LUK282" s="173"/>
      <c r="LUL282" s="173"/>
      <c r="LUM282" s="173"/>
      <c r="LUN282" s="125"/>
      <c r="LUO282" s="125"/>
      <c r="LUP282" s="134"/>
      <c r="LUQ282" s="135"/>
      <c r="LUR282" s="135"/>
      <c r="LUS282" s="135"/>
      <c r="LUT282" s="135"/>
      <c r="LUU282" s="173"/>
      <c r="LUV282" s="173"/>
      <c r="LUW282" s="173"/>
      <c r="LUX282" s="173"/>
      <c r="LUY282" s="173"/>
      <c r="LUZ282" s="173"/>
      <c r="LVA282" s="173"/>
      <c r="LVB282" s="173"/>
      <c r="LVC282" s="173"/>
      <c r="LVD282" s="173"/>
      <c r="LVE282" s="125"/>
      <c r="LVF282" s="125"/>
      <c r="LVG282" s="134"/>
      <c r="LVH282" s="135"/>
      <c r="LVI282" s="135"/>
      <c r="LVJ282" s="135"/>
      <c r="LVK282" s="135"/>
      <c r="LVL282" s="173"/>
      <c r="LVM282" s="173"/>
      <c r="LVN282" s="173"/>
      <c r="LVO282" s="173"/>
      <c r="LVP282" s="173"/>
      <c r="LVQ282" s="173"/>
      <c r="LVR282" s="173"/>
      <c r="LVS282" s="173"/>
      <c r="LVT282" s="173"/>
      <c r="LVU282" s="173"/>
      <c r="LVV282" s="125"/>
      <c r="LVW282" s="125"/>
      <c r="LVX282" s="134"/>
      <c r="LVY282" s="135"/>
      <c r="LVZ282" s="135"/>
      <c r="LWA282" s="135"/>
      <c r="LWB282" s="135"/>
      <c r="LWC282" s="173"/>
      <c r="LWD282" s="173"/>
      <c r="LWE282" s="173"/>
      <c r="LWF282" s="173"/>
      <c r="LWG282" s="173"/>
      <c r="LWH282" s="173"/>
      <c r="LWI282" s="173"/>
      <c r="LWJ282" s="173"/>
      <c r="LWK282" s="173"/>
      <c r="LWL282" s="173"/>
      <c r="LWM282" s="125"/>
      <c r="LWN282" s="125"/>
      <c r="LWO282" s="134"/>
      <c r="LWP282" s="135"/>
      <c r="LWQ282" s="135"/>
      <c r="LWR282" s="135"/>
      <c r="LWS282" s="135"/>
      <c r="LWT282" s="173"/>
      <c r="LWU282" s="173"/>
      <c r="LWV282" s="173"/>
      <c r="LWW282" s="173"/>
      <c r="LWX282" s="173"/>
      <c r="LWY282" s="173"/>
      <c r="LWZ282" s="173"/>
      <c r="LXA282" s="173"/>
      <c r="LXB282" s="173"/>
      <c r="LXC282" s="173"/>
      <c r="LXD282" s="125"/>
      <c r="LXE282" s="125"/>
      <c r="LXF282" s="134"/>
      <c r="LXG282" s="135"/>
      <c r="LXH282" s="135"/>
      <c r="LXI282" s="135"/>
      <c r="LXJ282" s="135"/>
      <c r="LXK282" s="173"/>
      <c r="LXL282" s="173"/>
      <c r="LXM282" s="173"/>
      <c r="LXN282" s="173"/>
      <c r="LXO282" s="173"/>
      <c r="LXP282" s="173"/>
      <c r="LXQ282" s="173"/>
      <c r="LXR282" s="173"/>
      <c r="LXS282" s="173"/>
      <c r="LXT282" s="173"/>
      <c r="LXU282" s="125"/>
      <c r="LXV282" s="125"/>
      <c r="LXW282" s="134"/>
      <c r="LXX282" s="135"/>
      <c r="LXY282" s="135"/>
      <c r="LXZ282" s="135"/>
      <c r="LYA282" s="135"/>
      <c r="LYB282" s="173"/>
      <c r="LYC282" s="173"/>
      <c r="LYD282" s="173"/>
      <c r="LYE282" s="173"/>
      <c r="LYF282" s="173"/>
      <c r="LYG282" s="173"/>
      <c r="LYH282" s="173"/>
      <c r="LYI282" s="173"/>
      <c r="LYJ282" s="173"/>
      <c r="LYK282" s="173"/>
      <c r="LYL282" s="125"/>
      <c r="LYM282" s="125"/>
      <c r="LYN282" s="134"/>
      <c r="LYO282" s="135"/>
      <c r="LYP282" s="135"/>
      <c r="LYQ282" s="135"/>
      <c r="LYR282" s="135"/>
      <c r="LYS282" s="173"/>
      <c r="LYT282" s="173"/>
      <c r="LYU282" s="173"/>
      <c r="LYV282" s="173"/>
      <c r="LYW282" s="173"/>
      <c r="LYX282" s="173"/>
      <c r="LYY282" s="173"/>
      <c r="LYZ282" s="173"/>
      <c r="LZA282" s="173"/>
      <c r="LZB282" s="173"/>
      <c r="LZC282" s="125"/>
      <c r="LZD282" s="125"/>
      <c r="LZE282" s="134"/>
      <c r="LZF282" s="135"/>
      <c r="LZG282" s="135"/>
      <c r="LZH282" s="135"/>
      <c r="LZI282" s="135"/>
      <c r="LZJ282" s="173"/>
      <c r="LZK282" s="173"/>
      <c r="LZL282" s="173"/>
      <c r="LZM282" s="173"/>
      <c r="LZN282" s="173"/>
      <c r="LZO282" s="173"/>
      <c r="LZP282" s="173"/>
      <c r="LZQ282" s="173"/>
      <c r="LZR282" s="173"/>
      <c r="LZS282" s="173"/>
      <c r="LZT282" s="125"/>
      <c r="LZU282" s="125"/>
      <c r="LZV282" s="134"/>
      <c r="LZW282" s="135"/>
      <c r="LZX282" s="135"/>
      <c r="LZY282" s="135"/>
      <c r="LZZ282" s="135"/>
      <c r="MAA282" s="173"/>
      <c r="MAB282" s="173"/>
      <c r="MAC282" s="173"/>
      <c r="MAD282" s="173"/>
      <c r="MAE282" s="173"/>
      <c r="MAF282" s="173"/>
      <c r="MAG282" s="173"/>
      <c r="MAH282" s="173"/>
      <c r="MAI282" s="173"/>
      <c r="MAJ282" s="173"/>
      <c r="MAK282" s="125"/>
      <c r="MAL282" s="125"/>
      <c r="MAM282" s="134"/>
      <c r="MAN282" s="135"/>
      <c r="MAO282" s="135"/>
      <c r="MAP282" s="135"/>
      <c r="MAQ282" s="135"/>
      <c r="MAR282" s="173"/>
      <c r="MAS282" s="173"/>
      <c r="MAT282" s="173"/>
      <c r="MAU282" s="173"/>
      <c r="MAV282" s="173"/>
      <c r="MAW282" s="173"/>
      <c r="MAX282" s="173"/>
      <c r="MAY282" s="173"/>
      <c r="MAZ282" s="173"/>
      <c r="MBA282" s="173"/>
      <c r="MBB282" s="125"/>
      <c r="MBC282" s="125"/>
      <c r="MBD282" s="134"/>
      <c r="MBE282" s="135"/>
      <c r="MBF282" s="135"/>
      <c r="MBG282" s="135"/>
      <c r="MBH282" s="135"/>
      <c r="MBI282" s="173"/>
      <c r="MBJ282" s="173"/>
      <c r="MBK282" s="173"/>
      <c r="MBL282" s="173"/>
      <c r="MBM282" s="173"/>
      <c r="MBN282" s="173"/>
      <c r="MBO282" s="173"/>
      <c r="MBP282" s="173"/>
      <c r="MBQ282" s="173"/>
      <c r="MBR282" s="173"/>
      <c r="MBS282" s="125"/>
      <c r="MBT282" s="125"/>
      <c r="MBU282" s="134"/>
      <c r="MBV282" s="135"/>
      <c r="MBW282" s="135"/>
      <c r="MBX282" s="135"/>
      <c r="MBY282" s="135"/>
      <c r="MBZ282" s="173"/>
      <c r="MCA282" s="173"/>
      <c r="MCB282" s="173"/>
      <c r="MCC282" s="173"/>
      <c r="MCD282" s="173"/>
      <c r="MCE282" s="173"/>
      <c r="MCF282" s="173"/>
      <c r="MCG282" s="173"/>
      <c r="MCH282" s="173"/>
      <c r="MCI282" s="173"/>
      <c r="MCJ282" s="125"/>
      <c r="MCK282" s="125"/>
      <c r="MCL282" s="134"/>
      <c r="MCM282" s="135"/>
      <c r="MCN282" s="135"/>
      <c r="MCO282" s="135"/>
      <c r="MCP282" s="135"/>
      <c r="MCQ282" s="173"/>
      <c r="MCR282" s="173"/>
      <c r="MCS282" s="173"/>
      <c r="MCT282" s="173"/>
      <c r="MCU282" s="173"/>
      <c r="MCV282" s="173"/>
      <c r="MCW282" s="173"/>
      <c r="MCX282" s="173"/>
      <c r="MCY282" s="173"/>
      <c r="MCZ282" s="173"/>
      <c r="MDA282" s="125"/>
      <c r="MDB282" s="125"/>
      <c r="MDC282" s="134"/>
      <c r="MDD282" s="135"/>
      <c r="MDE282" s="135"/>
      <c r="MDF282" s="135"/>
      <c r="MDG282" s="135"/>
      <c r="MDH282" s="173"/>
      <c r="MDI282" s="173"/>
      <c r="MDJ282" s="173"/>
      <c r="MDK282" s="173"/>
      <c r="MDL282" s="173"/>
      <c r="MDM282" s="173"/>
      <c r="MDN282" s="173"/>
      <c r="MDO282" s="173"/>
      <c r="MDP282" s="173"/>
      <c r="MDQ282" s="173"/>
      <c r="MDR282" s="125"/>
      <c r="MDS282" s="125"/>
      <c r="MDT282" s="134"/>
      <c r="MDU282" s="135"/>
      <c r="MDV282" s="135"/>
      <c r="MDW282" s="135"/>
      <c r="MDX282" s="135"/>
      <c r="MDY282" s="173"/>
      <c r="MDZ282" s="173"/>
      <c r="MEA282" s="173"/>
      <c r="MEB282" s="173"/>
      <c r="MEC282" s="173"/>
      <c r="MED282" s="173"/>
      <c r="MEE282" s="173"/>
      <c r="MEF282" s="173"/>
      <c r="MEG282" s="173"/>
      <c r="MEH282" s="173"/>
      <c r="MEI282" s="125"/>
      <c r="MEJ282" s="125"/>
      <c r="MEK282" s="134"/>
      <c r="MEL282" s="135"/>
      <c r="MEM282" s="135"/>
      <c r="MEN282" s="135"/>
      <c r="MEO282" s="135"/>
      <c r="MEP282" s="173"/>
      <c r="MEQ282" s="173"/>
      <c r="MER282" s="173"/>
      <c r="MES282" s="173"/>
      <c r="MET282" s="173"/>
      <c r="MEU282" s="173"/>
      <c r="MEV282" s="173"/>
      <c r="MEW282" s="173"/>
      <c r="MEX282" s="173"/>
      <c r="MEY282" s="173"/>
      <c r="MEZ282" s="125"/>
      <c r="MFA282" s="125"/>
      <c r="MFB282" s="134"/>
      <c r="MFC282" s="135"/>
      <c r="MFD282" s="135"/>
      <c r="MFE282" s="135"/>
      <c r="MFF282" s="135"/>
      <c r="MFG282" s="173"/>
      <c r="MFH282" s="173"/>
      <c r="MFI282" s="173"/>
      <c r="MFJ282" s="173"/>
      <c r="MFK282" s="173"/>
      <c r="MFL282" s="173"/>
      <c r="MFM282" s="173"/>
      <c r="MFN282" s="173"/>
      <c r="MFO282" s="173"/>
      <c r="MFP282" s="173"/>
      <c r="MFQ282" s="125"/>
      <c r="MFR282" s="125"/>
      <c r="MFS282" s="134"/>
      <c r="MFT282" s="135"/>
      <c r="MFU282" s="135"/>
      <c r="MFV282" s="135"/>
      <c r="MFW282" s="135"/>
      <c r="MFX282" s="173"/>
      <c r="MFY282" s="173"/>
      <c r="MFZ282" s="173"/>
      <c r="MGA282" s="173"/>
      <c r="MGB282" s="173"/>
      <c r="MGC282" s="173"/>
      <c r="MGD282" s="173"/>
      <c r="MGE282" s="173"/>
      <c r="MGF282" s="173"/>
      <c r="MGG282" s="173"/>
      <c r="MGH282" s="125"/>
      <c r="MGI282" s="125"/>
      <c r="MGJ282" s="134"/>
      <c r="MGK282" s="135"/>
      <c r="MGL282" s="135"/>
      <c r="MGM282" s="135"/>
      <c r="MGN282" s="135"/>
      <c r="MGO282" s="173"/>
      <c r="MGP282" s="173"/>
      <c r="MGQ282" s="173"/>
      <c r="MGR282" s="173"/>
      <c r="MGS282" s="173"/>
      <c r="MGT282" s="173"/>
      <c r="MGU282" s="173"/>
      <c r="MGV282" s="173"/>
      <c r="MGW282" s="173"/>
      <c r="MGX282" s="173"/>
      <c r="MGY282" s="125"/>
      <c r="MGZ282" s="125"/>
      <c r="MHA282" s="134"/>
      <c r="MHB282" s="135"/>
      <c r="MHC282" s="135"/>
      <c r="MHD282" s="135"/>
      <c r="MHE282" s="135"/>
      <c r="MHF282" s="173"/>
      <c r="MHG282" s="173"/>
      <c r="MHH282" s="173"/>
      <c r="MHI282" s="173"/>
      <c r="MHJ282" s="173"/>
      <c r="MHK282" s="173"/>
      <c r="MHL282" s="173"/>
      <c r="MHM282" s="173"/>
      <c r="MHN282" s="173"/>
      <c r="MHO282" s="173"/>
      <c r="MHP282" s="125"/>
      <c r="MHQ282" s="125"/>
      <c r="MHR282" s="134"/>
      <c r="MHS282" s="135"/>
      <c r="MHT282" s="135"/>
      <c r="MHU282" s="135"/>
      <c r="MHV282" s="135"/>
      <c r="MHW282" s="173"/>
      <c r="MHX282" s="173"/>
      <c r="MHY282" s="173"/>
      <c r="MHZ282" s="173"/>
      <c r="MIA282" s="173"/>
      <c r="MIB282" s="173"/>
      <c r="MIC282" s="173"/>
      <c r="MID282" s="173"/>
      <c r="MIE282" s="173"/>
      <c r="MIF282" s="173"/>
      <c r="MIG282" s="125"/>
      <c r="MIH282" s="125"/>
      <c r="MII282" s="134"/>
      <c r="MIJ282" s="135"/>
      <c r="MIK282" s="135"/>
      <c r="MIL282" s="135"/>
      <c r="MIM282" s="135"/>
      <c r="MIN282" s="173"/>
      <c r="MIO282" s="173"/>
      <c r="MIP282" s="173"/>
      <c r="MIQ282" s="173"/>
      <c r="MIR282" s="173"/>
      <c r="MIS282" s="173"/>
      <c r="MIT282" s="173"/>
      <c r="MIU282" s="173"/>
      <c r="MIV282" s="173"/>
      <c r="MIW282" s="173"/>
      <c r="MIX282" s="125"/>
      <c r="MIY282" s="125"/>
      <c r="MIZ282" s="134"/>
      <c r="MJA282" s="135"/>
      <c r="MJB282" s="135"/>
      <c r="MJC282" s="135"/>
      <c r="MJD282" s="135"/>
      <c r="MJE282" s="173"/>
      <c r="MJF282" s="173"/>
      <c r="MJG282" s="173"/>
      <c r="MJH282" s="173"/>
      <c r="MJI282" s="173"/>
      <c r="MJJ282" s="173"/>
      <c r="MJK282" s="173"/>
      <c r="MJL282" s="173"/>
      <c r="MJM282" s="173"/>
      <c r="MJN282" s="173"/>
      <c r="MJO282" s="125"/>
      <c r="MJP282" s="125"/>
      <c r="MJQ282" s="134"/>
      <c r="MJR282" s="135"/>
      <c r="MJS282" s="135"/>
      <c r="MJT282" s="135"/>
      <c r="MJU282" s="135"/>
      <c r="MJV282" s="173"/>
      <c r="MJW282" s="173"/>
      <c r="MJX282" s="173"/>
      <c r="MJY282" s="173"/>
      <c r="MJZ282" s="173"/>
      <c r="MKA282" s="173"/>
      <c r="MKB282" s="173"/>
      <c r="MKC282" s="173"/>
      <c r="MKD282" s="173"/>
      <c r="MKE282" s="173"/>
      <c r="MKF282" s="125"/>
      <c r="MKG282" s="125"/>
      <c r="MKH282" s="134"/>
      <c r="MKI282" s="135"/>
      <c r="MKJ282" s="135"/>
      <c r="MKK282" s="135"/>
      <c r="MKL282" s="135"/>
      <c r="MKM282" s="173"/>
      <c r="MKN282" s="173"/>
      <c r="MKO282" s="173"/>
      <c r="MKP282" s="173"/>
      <c r="MKQ282" s="173"/>
      <c r="MKR282" s="173"/>
      <c r="MKS282" s="173"/>
      <c r="MKT282" s="173"/>
      <c r="MKU282" s="173"/>
      <c r="MKV282" s="173"/>
      <c r="MKW282" s="125"/>
      <c r="MKX282" s="125"/>
      <c r="MKY282" s="134"/>
      <c r="MKZ282" s="135"/>
      <c r="MLA282" s="135"/>
      <c r="MLB282" s="135"/>
      <c r="MLC282" s="135"/>
      <c r="MLD282" s="173"/>
      <c r="MLE282" s="173"/>
      <c r="MLF282" s="173"/>
      <c r="MLG282" s="173"/>
      <c r="MLH282" s="173"/>
      <c r="MLI282" s="173"/>
      <c r="MLJ282" s="173"/>
      <c r="MLK282" s="173"/>
      <c r="MLL282" s="173"/>
      <c r="MLM282" s="173"/>
      <c r="MLN282" s="125"/>
      <c r="MLO282" s="125"/>
      <c r="MLP282" s="134"/>
      <c r="MLQ282" s="135"/>
      <c r="MLR282" s="135"/>
      <c r="MLS282" s="135"/>
      <c r="MLT282" s="135"/>
      <c r="MLU282" s="173"/>
      <c r="MLV282" s="173"/>
      <c r="MLW282" s="173"/>
      <c r="MLX282" s="173"/>
      <c r="MLY282" s="173"/>
      <c r="MLZ282" s="173"/>
      <c r="MMA282" s="173"/>
      <c r="MMB282" s="173"/>
      <c r="MMC282" s="173"/>
      <c r="MMD282" s="173"/>
      <c r="MME282" s="125"/>
      <c r="MMF282" s="125"/>
      <c r="MMG282" s="134"/>
      <c r="MMH282" s="135"/>
      <c r="MMI282" s="135"/>
      <c r="MMJ282" s="135"/>
      <c r="MMK282" s="135"/>
      <c r="MML282" s="173"/>
      <c r="MMM282" s="173"/>
      <c r="MMN282" s="173"/>
      <c r="MMO282" s="173"/>
      <c r="MMP282" s="173"/>
      <c r="MMQ282" s="173"/>
      <c r="MMR282" s="173"/>
      <c r="MMS282" s="173"/>
      <c r="MMT282" s="173"/>
      <c r="MMU282" s="173"/>
      <c r="MMV282" s="125"/>
      <c r="MMW282" s="125"/>
      <c r="MMX282" s="134"/>
      <c r="MMY282" s="135"/>
      <c r="MMZ282" s="135"/>
      <c r="MNA282" s="135"/>
      <c r="MNB282" s="135"/>
      <c r="MNC282" s="173"/>
      <c r="MND282" s="173"/>
      <c r="MNE282" s="173"/>
      <c r="MNF282" s="173"/>
      <c r="MNG282" s="173"/>
      <c r="MNH282" s="173"/>
      <c r="MNI282" s="173"/>
      <c r="MNJ282" s="173"/>
      <c r="MNK282" s="173"/>
      <c r="MNL282" s="173"/>
      <c r="MNM282" s="125"/>
      <c r="MNN282" s="125"/>
      <c r="MNO282" s="134"/>
      <c r="MNP282" s="135"/>
      <c r="MNQ282" s="135"/>
      <c r="MNR282" s="135"/>
      <c r="MNS282" s="135"/>
      <c r="MNT282" s="173"/>
      <c r="MNU282" s="173"/>
      <c r="MNV282" s="173"/>
      <c r="MNW282" s="173"/>
      <c r="MNX282" s="173"/>
      <c r="MNY282" s="173"/>
      <c r="MNZ282" s="173"/>
      <c r="MOA282" s="173"/>
      <c r="MOB282" s="173"/>
      <c r="MOC282" s="173"/>
      <c r="MOD282" s="125"/>
      <c r="MOE282" s="125"/>
      <c r="MOF282" s="134"/>
      <c r="MOG282" s="135"/>
      <c r="MOH282" s="135"/>
      <c r="MOI282" s="135"/>
      <c r="MOJ282" s="135"/>
      <c r="MOK282" s="173"/>
      <c r="MOL282" s="173"/>
      <c r="MOM282" s="173"/>
      <c r="MON282" s="173"/>
      <c r="MOO282" s="173"/>
      <c r="MOP282" s="173"/>
      <c r="MOQ282" s="173"/>
      <c r="MOR282" s="173"/>
      <c r="MOS282" s="173"/>
      <c r="MOT282" s="173"/>
      <c r="MOU282" s="125"/>
      <c r="MOV282" s="125"/>
      <c r="MOW282" s="134"/>
      <c r="MOX282" s="135"/>
      <c r="MOY282" s="135"/>
      <c r="MOZ282" s="135"/>
      <c r="MPA282" s="135"/>
      <c r="MPB282" s="173"/>
      <c r="MPC282" s="173"/>
      <c r="MPD282" s="173"/>
      <c r="MPE282" s="173"/>
      <c r="MPF282" s="173"/>
      <c r="MPG282" s="173"/>
      <c r="MPH282" s="173"/>
      <c r="MPI282" s="173"/>
      <c r="MPJ282" s="173"/>
      <c r="MPK282" s="173"/>
      <c r="MPL282" s="125"/>
      <c r="MPM282" s="125"/>
      <c r="MPN282" s="134"/>
      <c r="MPO282" s="135"/>
      <c r="MPP282" s="135"/>
      <c r="MPQ282" s="135"/>
      <c r="MPR282" s="135"/>
      <c r="MPS282" s="173"/>
      <c r="MPT282" s="173"/>
      <c r="MPU282" s="173"/>
      <c r="MPV282" s="173"/>
      <c r="MPW282" s="173"/>
      <c r="MPX282" s="173"/>
      <c r="MPY282" s="173"/>
      <c r="MPZ282" s="173"/>
      <c r="MQA282" s="173"/>
      <c r="MQB282" s="173"/>
      <c r="MQC282" s="125"/>
      <c r="MQD282" s="125"/>
      <c r="MQE282" s="134"/>
      <c r="MQF282" s="135"/>
      <c r="MQG282" s="135"/>
      <c r="MQH282" s="135"/>
      <c r="MQI282" s="135"/>
      <c r="MQJ282" s="173"/>
      <c r="MQK282" s="173"/>
      <c r="MQL282" s="173"/>
      <c r="MQM282" s="173"/>
      <c r="MQN282" s="173"/>
      <c r="MQO282" s="173"/>
      <c r="MQP282" s="173"/>
      <c r="MQQ282" s="173"/>
      <c r="MQR282" s="173"/>
      <c r="MQS282" s="173"/>
      <c r="MQT282" s="125"/>
      <c r="MQU282" s="125"/>
      <c r="MQV282" s="134"/>
      <c r="MQW282" s="135"/>
      <c r="MQX282" s="135"/>
      <c r="MQY282" s="135"/>
      <c r="MQZ282" s="135"/>
      <c r="MRA282" s="173"/>
      <c r="MRB282" s="173"/>
      <c r="MRC282" s="173"/>
      <c r="MRD282" s="173"/>
      <c r="MRE282" s="173"/>
      <c r="MRF282" s="173"/>
      <c r="MRG282" s="173"/>
      <c r="MRH282" s="173"/>
      <c r="MRI282" s="173"/>
      <c r="MRJ282" s="173"/>
      <c r="MRK282" s="125"/>
      <c r="MRL282" s="125"/>
      <c r="MRM282" s="134"/>
      <c r="MRN282" s="135"/>
      <c r="MRO282" s="135"/>
      <c r="MRP282" s="135"/>
      <c r="MRQ282" s="135"/>
      <c r="MRR282" s="173"/>
      <c r="MRS282" s="173"/>
      <c r="MRT282" s="173"/>
      <c r="MRU282" s="173"/>
      <c r="MRV282" s="173"/>
      <c r="MRW282" s="173"/>
      <c r="MRX282" s="173"/>
      <c r="MRY282" s="173"/>
      <c r="MRZ282" s="173"/>
      <c r="MSA282" s="173"/>
      <c r="MSB282" s="125"/>
      <c r="MSC282" s="125"/>
      <c r="MSD282" s="134"/>
      <c r="MSE282" s="135"/>
      <c r="MSF282" s="135"/>
      <c r="MSG282" s="135"/>
      <c r="MSH282" s="135"/>
      <c r="MSI282" s="173"/>
      <c r="MSJ282" s="173"/>
      <c r="MSK282" s="173"/>
      <c r="MSL282" s="173"/>
      <c r="MSM282" s="173"/>
      <c r="MSN282" s="173"/>
      <c r="MSO282" s="173"/>
      <c r="MSP282" s="173"/>
      <c r="MSQ282" s="173"/>
      <c r="MSR282" s="173"/>
      <c r="MSS282" s="125"/>
      <c r="MST282" s="125"/>
      <c r="MSU282" s="134"/>
      <c r="MSV282" s="135"/>
      <c r="MSW282" s="135"/>
      <c r="MSX282" s="135"/>
      <c r="MSY282" s="135"/>
      <c r="MSZ282" s="173"/>
      <c r="MTA282" s="173"/>
      <c r="MTB282" s="173"/>
      <c r="MTC282" s="173"/>
      <c r="MTD282" s="173"/>
      <c r="MTE282" s="173"/>
      <c r="MTF282" s="173"/>
      <c r="MTG282" s="173"/>
      <c r="MTH282" s="173"/>
      <c r="MTI282" s="173"/>
      <c r="MTJ282" s="125"/>
      <c r="MTK282" s="125"/>
      <c r="MTL282" s="134"/>
      <c r="MTM282" s="135"/>
      <c r="MTN282" s="135"/>
      <c r="MTO282" s="135"/>
      <c r="MTP282" s="135"/>
      <c r="MTQ282" s="173"/>
      <c r="MTR282" s="173"/>
      <c r="MTS282" s="173"/>
      <c r="MTT282" s="173"/>
      <c r="MTU282" s="173"/>
      <c r="MTV282" s="173"/>
      <c r="MTW282" s="173"/>
      <c r="MTX282" s="173"/>
      <c r="MTY282" s="173"/>
      <c r="MTZ282" s="173"/>
      <c r="MUA282" s="125"/>
      <c r="MUB282" s="125"/>
      <c r="MUC282" s="134"/>
      <c r="MUD282" s="135"/>
      <c r="MUE282" s="135"/>
      <c r="MUF282" s="135"/>
      <c r="MUG282" s="135"/>
      <c r="MUH282" s="173"/>
      <c r="MUI282" s="173"/>
      <c r="MUJ282" s="173"/>
      <c r="MUK282" s="173"/>
      <c r="MUL282" s="173"/>
      <c r="MUM282" s="173"/>
      <c r="MUN282" s="173"/>
      <c r="MUO282" s="173"/>
      <c r="MUP282" s="173"/>
      <c r="MUQ282" s="173"/>
      <c r="MUR282" s="125"/>
      <c r="MUS282" s="125"/>
      <c r="MUT282" s="134"/>
      <c r="MUU282" s="135"/>
      <c r="MUV282" s="135"/>
      <c r="MUW282" s="135"/>
      <c r="MUX282" s="135"/>
      <c r="MUY282" s="173"/>
      <c r="MUZ282" s="173"/>
      <c r="MVA282" s="173"/>
      <c r="MVB282" s="173"/>
      <c r="MVC282" s="173"/>
      <c r="MVD282" s="173"/>
      <c r="MVE282" s="173"/>
      <c r="MVF282" s="173"/>
      <c r="MVG282" s="173"/>
      <c r="MVH282" s="173"/>
      <c r="MVI282" s="125"/>
      <c r="MVJ282" s="125"/>
      <c r="MVK282" s="134"/>
      <c r="MVL282" s="135"/>
      <c r="MVM282" s="135"/>
      <c r="MVN282" s="135"/>
      <c r="MVO282" s="135"/>
      <c r="MVP282" s="173"/>
      <c r="MVQ282" s="173"/>
      <c r="MVR282" s="173"/>
      <c r="MVS282" s="173"/>
      <c r="MVT282" s="173"/>
      <c r="MVU282" s="173"/>
      <c r="MVV282" s="173"/>
      <c r="MVW282" s="173"/>
      <c r="MVX282" s="173"/>
      <c r="MVY282" s="173"/>
      <c r="MVZ282" s="125"/>
      <c r="MWA282" s="125"/>
      <c r="MWB282" s="134"/>
      <c r="MWC282" s="135"/>
      <c r="MWD282" s="135"/>
      <c r="MWE282" s="135"/>
      <c r="MWF282" s="135"/>
      <c r="MWG282" s="173"/>
      <c r="MWH282" s="173"/>
      <c r="MWI282" s="173"/>
      <c r="MWJ282" s="173"/>
      <c r="MWK282" s="173"/>
      <c r="MWL282" s="173"/>
      <c r="MWM282" s="173"/>
      <c r="MWN282" s="173"/>
      <c r="MWO282" s="173"/>
      <c r="MWP282" s="173"/>
      <c r="MWQ282" s="125"/>
      <c r="MWR282" s="125"/>
      <c r="MWS282" s="134"/>
      <c r="MWT282" s="135"/>
      <c r="MWU282" s="135"/>
      <c r="MWV282" s="135"/>
      <c r="MWW282" s="135"/>
      <c r="MWX282" s="173"/>
      <c r="MWY282" s="173"/>
      <c r="MWZ282" s="173"/>
      <c r="MXA282" s="173"/>
      <c r="MXB282" s="173"/>
      <c r="MXC282" s="173"/>
      <c r="MXD282" s="173"/>
      <c r="MXE282" s="173"/>
      <c r="MXF282" s="173"/>
      <c r="MXG282" s="173"/>
      <c r="MXH282" s="125"/>
      <c r="MXI282" s="125"/>
      <c r="MXJ282" s="134"/>
      <c r="MXK282" s="135"/>
      <c r="MXL282" s="135"/>
      <c r="MXM282" s="135"/>
      <c r="MXN282" s="135"/>
      <c r="MXO282" s="173"/>
      <c r="MXP282" s="173"/>
      <c r="MXQ282" s="173"/>
      <c r="MXR282" s="173"/>
      <c r="MXS282" s="173"/>
      <c r="MXT282" s="173"/>
      <c r="MXU282" s="173"/>
      <c r="MXV282" s="173"/>
      <c r="MXW282" s="173"/>
      <c r="MXX282" s="173"/>
      <c r="MXY282" s="125"/>
      <c r="MXZ282" s="125"/>
      <c r="MYA282" s="134"/>
      <c r="MYB282" s="135"/>
      <c r="MYC282" s="135"/>
      <c r="MYD282" s="135"/>
      <c r="MYE282" s="135"/>
      <c r="MYF282" s="173"/>
      <c r="MYG282" s="173"/>
      <c r="MYH282" s="173"/>
      <c r="MYI282" s="173"/>
      <c r="MYJ282" s="173"/>
      <c r="MYK282" s="173"/>
      <c r="MYL282" s="173"/>
      <c r="MYM282" s="173"/>
      <c r="MYN282" s="173"/>
      <c r="MYO282" s="173"/>
      <c r="MYP282" s="125"/>
      <c r="MYQ282" s="125"/>
      <c r="MYR282" s="134"/>
      <c r="MYS282" s="135"/>
      <c r="MYT282" s="135"/>
      <c r="MYU282" s="135"/>
      <c r="MYV282" s="135"/>
      <c r="MYW282" s="173"/>
      <c r="MYX282" s="173"/>
      <c r="MYY282" s="173"/>
      <c r="MYZ282" s="173"/>
      <c r="MZA282" s="173"/>
      <c r="MZB282" s="173"/>
      <c r="MZC282" s="173"/>
      <c r="MZD282" s="173"/>
      <c r="MZE282" s="173"/>
      <c r="MZF282" s="173"/>
      <c r="MZG282" s="125"/>
      <c r="MZH282" s="125"/>
      <c r="MZI282" s="134"/>
      <c r="MZJ282" s="135"/>
      <c r="MZK282" s="135"/>
      <c r="MZL282" s="135"/>
      <c r="MZM282" s="135"/>
      <c r="MZN282" s="173"/>
      <c r="MZO282" s="173"/>
      <c r="MZP282" s="173"/>
      <c r="MZQ282" s="173"/>
      <c r="MZR282" s="173"/>
      <c r="MZS282" s="173"/>
      <c r="MZT282" s="173"/>
      <c r="MZU282" s="173"/>
      <c r="MZV282" s="173"/>
      <c r="MZW282" s="173"/>
      <c r="MZX282" s="125"/>
      <c r="MZY282" s="125"/>
      <c r="MZZ282" s="134"/>
      <c r="NAA282" s="135"/>
      <c r="NAB282" s="135"/>
      <c r="NAC282" s="135"/>
      <c r="NAD282" s="135"/>
      <c r="NAE282" s="173"/>
      <c r="NAF282" s="173"/>
      <c r="NAG282" s="173"/>
      <c r="NAH282" s="173"/>
      <c r="NAI282" s="173"/>
      <c r="NAJ282" s="173"/>
      <c r="NAK282" s="173"/>
      <c r="NAL282" s="173"/>
      <c r="NAM282" s="173"/>
      <c r="NAN282" s="173"/>
      <c r="NAO282" s="125"/>
      <c r="NAP282" s="125"/>
      <c r="NAQ282" s="134"/>
      <c r="NAR282" s="135"/>
      <c r="NAS282" s="135"/>
      <c r="NAT282" s="135"/>
      <c r="NAU282" s="135"/>
      <c r="NAV282" s="173"/>
      <c r="NAW282" s="173"/>
      <c r="NAX282" s="173"/>
      <c r="NAY282" s="173"/>
      <c r="NAZ282" s="173"/>
      <c r="NBA282" s="173"/>
      <c r="NBB282" s="173"/>
      <c r="NBC282" s="173"/>
      <c r="NBD282" s="173"/>
      <c r="NBE282" s="173"/>
      <c r="NBF282" s="125"/>
      <c r="NBG282" s="125"/>
      <c r="NBH282" s="134"/>
      <c r="NBI282" s="135"/>
      <c r="NBJ282" s="135"/>
      <c r="NBK282" s="135"/>
      <c r="NBL282" s="135"/>
      <c r="NBM282" s="173"/>
      <c r="NBN282" s="173"/>
      <c r="NBO282" s="173"/>
      <c r="NBP282" s="173"/>
      <c r="NBQ282" s="173"/>
      <c r="NBR282" s="173"/>
      <c r="NBS282" s="173"/>
      <c r="NBT282" s="173"/>
      <c r="NBU282" s="173"/>
      <c r="NBV282" s="173"/>
      <c r="NBW282" s="125"/>
      <c r="NBX282" s="125"/>
      <c r="NBY282" s="134"/>
      <c r="NBZ282" s="135"/>
      <c r="NCA282" s="135"/>
      <c r="NCB282" s="135"/>
      <c r="NCC282" s="135"/>
      <c r="NCD282" s="173"/>
      <c r="NCE282" s="173"/>
      <c r="NCF282" s="173"/>
      <c r="NCG282" s="173"/>
      <c r="NCH282" s="173"/>
      <c r="NCI282" s="173"/>
      <c r="NCJ282" s="173"/>
      <c r="NCK282" s="173"/>
      <c r="NCL282" s="173"/>
      <c r="NCM282" s="173"/>
      <c r="NCN282" s="125"/>
      <c r="NCO282" s="125"/>
      <c r="NCP282" s="134"/>
      <c r="NCQ282" s="135"/>
      <c r="NCR282" s="135"/>
      <c r="NCS282" s="135"/>
      <c r="NCT282" s="135"/>
      <c r="NCU282" s="173"/>
      <c r="NCV282" s="173"/>
      <c r="NCW282" s="173"/>
      <c r="NCX282" s="173"/>
      <c r="NCY282" s="173"/>
      <c r="NCZ282" s="173"/>
      <c r="NDA282" s="173"/>
      <c r="NDB282" s="173"/>
      <c r="NDC282" s="173"/>
      <c r="NDD282" s="173"/>
      <c r="NDE282" s="125"/>
      <c r="NDF282" s="125"/>
      <c r="NDG282" s="134"/>
      <c r="NDH282" s="135"/>
      <c r="NDI282" s="135"/>
      <c r="NDJ282" s="135"/>
      <c r="NDK282" s="135"/>
      <c r="NDL282" s="173"/>
      <c r="NDM282" s="173"/>
      <c r="NDN282" s="173"/>
      <c r="NDO282" s="173"/>
      <c r="NDP282" s="173"/>
      <c r="NDQ282" s="173"/>
      <c r="NDR282" s="173"/>
      <c r="NDS282" s="173"/>
      <c r="NDT282" s="173"/>
      <c r="NDU282" s="173"/>
      <c r="NDV282" s="125"/>
      <c r="NDW282" s="125"/>
      <c r="NDX282" s="134"/>
      <c r="NDY282" s="135"/>
      <c r="NDZ282" s="135"/>
      <c r="NEA282" s="135"/>
      <c r="NEB282" s="135"/>
      <c r="NEC282" s="173"/>
      <c r="NED282" s="173"/>
      <c r="NEE282" s="173"/>
      <c r="NEF282" s="173"/>
      <c r="NEG282" s="173"/>
      <c r="NEH282" s="173"/>
      <c r="NEI282" s="173"/>
      <c r="NEJ282" s="173"/>
      <c r="NEK282" s="173"/>
      <c r="NEL282" s="173"/>
      <c r="NEM282" s="125"/>
      <c r="NEN282" s="125"/>
      <c r="NEO282" s="134"/>
      <c r="NEP282" s="135"/>
      <c r="NEQ282" s="135"/>
      <c r="NER282" s="135"/>
      <c r="NES282" s="135"/>
      <c r="NET282" s="173"/>
      <c r="NEU282" s="173"/>
      <c r="NEV282" s="173"/>
      <c r="NEW282" s="173"/>
      <c r="NEX282" s="173"/>
      <c r="NEY282" s="173"/>
      <c r="NEZ282" s="173"/>
      <c r="NFA282" s="173"/>
      <c r="NFB282" s="173"/>
      <c r="NFC282" s="173"/>
      <c r="NFD282" s="125"/>
      <c r="NFE282" s="125"/>
      <c r="NFF282" s="134"/>
      <c r="NFG282" s="135"/>
      <c r="NFH282" s="135"/>
      <c r="NFI282" s="135"/>
      <c r="NFJ282" s="135"/>
      <c r="NFK282" s="173"/>
      <c r="NFL282" s="173"/>
      <c r="NFM282" s="173"/>
      <c r="NFN282" s="173"/>
      <c r="NFO282" s="173"/>
      <c r="NFP282" s="173"/>
      <c r="NFQ282" s="173"/>
      <c r="NFR282" s="173"/>
      <c r="NFS282" s="173"/>
      <c r="NFT282" s="173"/>
      <c r="NFU282" s="125"/>
      <c r="NFV282" s="125"/>
      <c r="NFW282" s="134"/>
      <c r="NFX282" s="135"/>
      <c r="NFY282" s="135"/>
      <c r="NFZ282" s="135"/>
      <c r="NGA282" s="135"/>
      <c r="NGB282" s="173"/>
      <c r="NGC282" s="173"/>
      <c r="NGD282" s="173"/>
      <c r="NGE282" s="173"/>
      <c r="NGF282" s="173"/>
      <c r="NGG282" s="173"/>
      <c r="NGH282" s="173"/>
      <c r="NGI282" s="173"/>
      <c r="NGJ282" s="173"/>
      <c r="NGK282" s="173"/>
      <c r="NGL282" s="125"/>
      <c r="NGM282" s="125"/>
      <c r="NGN282" s="134"/>
      <c r="NGO282" s="135"/>
      <c r="NGP282" s="135"/>
      <c r="NGQ282" s="135"/>
      <c r="NGR282" s="135"/>
      <c r="NGS282" s="173"/>
      <c r="NGT282" s="173"/>
      <c r="NGU282" s="173"/>
      <c r="NGV282" s="173"/>
      <c r="NGW282" s="173"/>
      <c r="NGX282" s="173"/>
      <c r="NGY282" s="173"/>
      <c r="NGZ282" s="173"/>
      <c r="NHA282" s="173"/>
      <c r="NHB282" s="173"/>
      <c r="NHC282" s="125"/>
      <c r="NHD282" s="125"/>
      <c r="NHE282" s="134"/>
      <c r="NHF282" s="135"/>
      <c r="NHG282" s="135"/>
      <c r="NHH282" s="135"/>
      <c r="NHI282" s="135"/>
      <c r="NHJ282" s="173"/>
      <c r="NHK282" s="173"/>
      <c r="NHL282" s="173"/>
      <c r="NHM282" s="173"/>
      <c r="NHN282" s="173"/>
      <c r="NHO282" s="173"/>
      <c r="NHP282" s="173"/>
      <c r="NHQ282" s="173"/>
      <c r="NHR282" s="173"/>
      <c r="NHS282" s="173"/>
      <c r="NHT282" s="125"/>
      <c r="NHU282" s="125"/>
      <c r="NHV282" s="134"/>
      <c r="NHW282" s="135"/>
      <c r="NHX282" s="135"/>
      <c r="NHY282" s="135"/>
      <c r="NHZ282" s="135"/>
      <c r="NIA282" s="173"/>
      <c r="NIB282" s="173"/>
      <c r="NIC282" s="173"/>
      <c r="NID282" s="173"/>
      <c r="NIE282" s="173"/>
      <c r="NIF282" s="173"/>
      <c r="NIG282" s="173"/>
      <c r="NIH282" s="173"/>
      <c r="NII282" s="173"/>
      <c r="NIJ282" s="173"/>
      <c r="NIK282" s="125"/>
      <c r="NIL282" s="125"/>
      <c r="NIM282" s="134"/>
      <c r="NIN282" s="135"/>
      <c r="NIO282" s="135"/>
      <c r="NIP282" s="135"/>
      <c r="NIQ282" s="135"/>
      <c r="NIR282" s="173"/>
      <c r="NIS282" s="173"/>
      <c r="NIT282" s="173"/>
      <c r="NIU282" s="173"/>
      <c r="NIV282" s="173"/>
      <c r="NIW282" s="173"/>
      <c r="NIX282" s="173"/>
      <c r="NIY282" s="173"/>
      <c r="NIZ282" s="173"/>
      <c r="NJA282" s="173"/>
      <c r="NJB282" s="125"/>
      <c r="NJC282" s="125"/>
      <c r="NJD282" s="134"/>
      <c r="NJE282" s="135"/>
      <c r="NJF282" s="135"/>
      <c r="NJG282" s="135"/>
      <c r="NJH282" s="135"/>
      <c r="NJI282" s="173"/>
      <c r="NJJ282" s="173"/>
      <c r="NJK282" s="173"/>
      <c r="NJL282" s="173"/>
      <c r="NJM282" s="173"/>
      <c r="NJN282" s="173"/>
      <c r="NJO282" s="173"/>
      <c r="NJP282" s="173"/>
      <c r="NJQ282" s="173"/>
      <c r="NJR282" s="173"/>
      <c r="NJS282" s="125"/>
      <c r="NJT282" s="125"/>
      <c r="NJU282" s="134"/>
      <c r="NJV282" s="135"/>
      <c r="NJW282" s="135"/>
      <c r="NJX282" s="135"/>
      <c r="NJY282" s="135"/>
      <c r="NJZ282" s="173"/>
      <c r="NKA282" s="173"/>
      <c r="NKB282" s="173"/>
      <c r="NKC282" s="173"/>
      <c r="NKD282" s="173"/>
      <c r="NKE282" s="173"/>
      <c r="NKF282" s="173"/>
      <c r="NKG282" s="173"/>
      <c r="NKH282" s="173"/>
      <c r="NKI282" s="173"/>
      <c r="NKJ282" s="125"/>
      <c r="NKK282" s="125"/>
      <c r="NKL282" s="134"/>
      <c r="NKM282" s="135"/>
      <c r="NKN282" s="135"/>
      <c r="NKO282" s="135"/>
      <c r="NKP282" s="135"/>
      <c r="NKQ282" s="173"/>
      <c r="NKR282" s="173"/>
      <c r="NKS282" s="173"/>
      <c r="NKT282" s="173"/>
      <c r="NKU282" s="173"/>
      <c r="NKV282" s="173"/>
      <c r="NKW282" s="173"/>
      <c r="NKX282" s="173"/>
      <c r="NKY282" s="173"/>
      <c r="NKZ282" s="173"/>
      <c r="NLA282" s="125"/>
      <c r="NLB282" s="125"/>
      <c r="NLC282" s="134"/>
      <c r="NLD282" s="135"/>
      <c r="NLE282" s="135"/>
      <c r="NLF282" s="135"/>
      <c r="NLG282" s="135"/>
      <c r="NLH282" s="173"/>
      <c r="NLI282" s="173"/>
      <c r="NLJ282" s="173"/>
      <c r="NLK282" s="173"/>
      <c r="NLL282" s="173"/>
      <c r="NLM282" s="173"/>
      <c r="NLN282" s="173"/>
      <c r="NLO282" s="173"/>
      <c r="NLP282" s="173"/>
      <c r="NLQ282" s="173"/>
      <c r="NLR282" s="125"/>
      <c r="NLS282" s="125"/>
      <c r="NLT282" s="134"/>
      <c r="NLU282" s="135"/>
      <c r="NLV282" s="135"/>
      <c r="NLW282" s="135"/>
      <c r="NLX282" s="135"/>
      <c r="NLY282" s="173"/>
      <c r="NLZ282" s="173"/>
      <c r="NMA282" s="173"/>
      <c r="NMB282" s="173"/>
      <c r="NMC282" s="173"/>
      <c r="NMD282" s="173"/>
      <c r="NME282" s="173"/>
      <c r="NMF282" s="173"/>
      <c r="NMG282" s="173"/>
      <c r="NMH282" s="173"/>
      <c r="NMI282" s="125"/>
      <c r="NMJ282" s="125"/>
      <c r="NMK282" s="134"/>
      <c r="NML282" s="135"/>
      <c r="NMM282" s="135"/>
      <c r="NMN282" s="135"/>
      <c r="NMO282" s="135"/>
      <c r="NMP282" s="173"/>
      <c r="NMQ282" s="173"/>
      <c r="NMR282" s="173"/>
      <c r="NMS282" s="173"/>
      <c r="NMT282" s="173"/>
      <c r="NMU282" s="173"/>
      <c r="NMV282" s="173"/>
      <c r="NMW282" s="173"/>
      <c r="NMX282" s="173"/>
      <c r="NMY282" s="173"/>
      <c r="NMZ282" s="125"/>
      <c r="NNA282" s="125"/>
      <c r="NNB282" s="134"/>
      <c r="NNC282" s="135"/>
      <c r="NND282" s="135"/>
      <c r="NNE282" s="135"/>
      <c r="NNF282" s="135"/>
      <c r="NNG282" s="173"/>
      <c r="NNH282" s="173"/>
      <c r="NNI282" s="173"/>
      <c r="NNJ282" s="173"/>
      <c r="NNK282" s="173"/>
      <c r="NNL282" s="173"/>
      <c r="NNM282" s="173"/>
      <c r="NNN282" s="173"/>
      <c r="NNO282" s="173"/>
      <c r="NNP282" s="173"/>
      <c r="NNQ282" s="125"/>
      <c r="NNR282" s="125"/>
      <c r="NNS282" s="134"/>
      <c r="NNT282" s="135"/>
      <c r="NNU282" s="135"/>
      <c r="NNV282" s="135"/>
      <c r="NNW282" s="135"/>
      <c r="NNX282" s="173"/>
      <c r="NNY282" s="173"/>
      <c r="NNZ282" s="173"/>
      <c r="NOA282" s="173"/>
      <c r="NOB282" s="173"/>
      <c r="NOC282" s="173"/>
      <c r="NOD282" s="173"/>
      <c r="NOE282" s="173"/>
      <c r="NOF282" s="173"/>
      <c r="NOG282" s="173"/>
      <c r="NOH282" s="125"/>
      <c r="NOI282" s="125"/>
      <c r="NOJ282" s="134"/>
      <c r="NOK282" s="135"/>
      <c r="NOL282" s="135"/>
      <c r="NOM282" s="135"/>
      <c r="NON282" s="135"/>
      <c r="NOO282" s="173"/>
      <c r="NOP282" s="173"/>
      <c r="NOQ282" s="173"/>
      <c r="NOR282" s="173"/>
      <c r="NOS282" s="173"/>
      <c r="NOT282" s="173"/>
      <c r="NOU282" s="173"/>
      <c r="NOV282" s="173"/>
      <c r="NOW282" s="173"/>
      <c r="NOX282" s="173"/>
      <c r="NOY282" s="125"/>
      <c r="NOZ282" s="125"/>
      <c r="NPA282" s="134"/>
      <c r="NPB282" s="135"/>
      <c r="NPC282" s="135"/>
      <c r="NPD282" s="135"/>
      <c r="NPE282" s="135"/>
      <c r="NPF282" s="173"/>
      <c r="NPG282" s="173"/>
      <c r="NPH282" s="173"/>
      <c r="NPI282" s="173"/>
      <c r="NPJ282" s="173"/>
      <c r="NPK282" s="173"/>
      <c r="NPL282" s="173"/>
      <c r="NPM282" s="173"/>
      <c r="NPN282" s="173"/>
      <c r="NPO282" s="173"/>
      <c r="NPP282" s="125"/>
      <c r="NPQ282" s="125"/>
      <c r="NPR282" s="134"/>
      <c r="NPS282" s="135"/>
      <c r="NPT282" s="135"/>
      <c r="NPU282" s="135"/>
      <c r="NPV282" s="135"/>
      <c r="NPW282" s="173"/>
      <c r="NPX282" s="173"/>
      <c r="NPY282" s="173"/>
      <c r="NPZ282" s="173"/>
      <c r="NQA282" s="173"/>
      <c r="NQB282" s="173"/>
      <c r="NQC282" s="173"/>
      <c r="NQD282" s="173"/>
      <c r="NQE282" s="173"/>
      <c r="NQF282" s="173"/>
      <c r="NQG282" s="125"/>
      <c r="NQH282" s="125"/>
      <c r="NQI282" s="134"/>
      <c r="NQJ282" s="135"/>
      <c r="NQK282" s="135"/>
      <c r="NQL282" s="135"/>
      <c r="NQM282" s="135"/>
      <c r="NQN282" s="173"/>
      <c r="NQO282" s="173"/>
      <c r="NQP282" s="173"/>
      <c r="NQQ282" s="173"/>
      <c r="NQR282" s="173"/>
      <c r="NQS282" s="173"/>
      <c r="NQT282" s="173"/>
      <c r="NQU282" s="173"/>
      <c r="NQV282" s="173"/>
      <c r="NQW282" s="173"/>
      <c r="NQX282" s="125"/>
      <c r="NQY282" s="125"/>
      <c r="NQZ282" s="134"/>
      <c r="NRA282" s="135"/>
      <c r="NRB282" s="135"/>
      <c r="NRC282" s="135"/>
      <c r="NRD282" s="135"/>
      <c r="NRE282" s="173"/>
      <c r="NRF282" s="173"/>
      <c r="NRG282" s="173"/>
      <c r="NRH282" s="173"/>
      <c r="NRI282" s="173"/>
      <c r="NRJ282" s="173"/>
      <c r="NRK282" s="173"/>
      <c r="NRL282" s="173"/>
      <c r="NRM282" s="173"/>
      <c r="NRN282" s="173"/>
      <c r="NRO282" s="125"/>
      <c r="NRP282" s="125"/>
      <c r="NRQ282" s="134"/>
      <c r="NRR282" s="135"/>
      <c r="NRS282" s="135"/>
      <c r="NRT282" s="135"/>
      <c r="NRU282" s="135"/>
      <c r="NRV282" s="173"/>
      <c r="NRW282" s="173"/>
      <c r="NRX282" s="173"/>
      <c r="NRY282" s="173"/>
      <c r="NRZ282" s="173"/>
      <c r="NSA282" s="173"/>
      <c r="NSB282" s="173"/>
      <c r="NSC282" s="173"/>
      <c r="NSD282" s="173"/>
      <c r="NSE282" s="173"/>
      <c r="NSF282" s="125"/>
      <c r="NSG282" s="125"/>
      <c r="NSH282" s="134"/>
      <c r="NSI282" s="135"/>
      <c r="NSJ282" s="135"/>
      <c r="NSK282" s="135"/>
      <c r="NSL282" s="135"/>
      <c r="NSM282" s="173"/>
      <c r="NSN282" s="173"/>
      <c r="NSO282" s="173"/>
      <c r="NSP282" s="173"/>
      <c r="NSQ282" s="173"/>
      <c r="NSR282" s="173"/>
      <c r="NSS282" s="173"/>
      <c r="NST282" s="173"/>
      <c r="NSU282" s="173"/>
      <c r="NSV282" s="173"/>
      <c r="NSW282" s="125"/>
      <c r="NSX282" s="125"/>
      <c r="NSY282" s="134"/>
      <c r="NSZ282" s="135"/>
      <c r="NTA282" s="135"/>
      <c r="NTB282" s="135"/>
      <c r="NTC282" s="135"/>
      <c r="NTD282" s="173"/>
      <c r="NTE282" s="173"/>
      <c r="NTF282" s="173"/>
      <c r="NTG282" s="173"/>
      <c r="NTH282" s="173"/>
      <c r="NTI282" s="173"/>
      <c r="NTJ282" s="173"/>
      <c r="NTK282" s="173"/>
      <c r="NTL282" s="173"/>
      <c r="NTM282" s="173"/>
      <c r="NTN282" s="125"/>
      <c r="NTO282" s="125"/>
      <c r="NTP282" s="134"/>
      <c r="NTQ282" s="135"/>
      <c r="NTR282" s="135"/>
      <c r="NTS282" s="135"/>
      <c r="NTT282" s="135"/>
      <c r="NTU282" s="173"/>
      <c r="NTV282" s="173"/>
      <c r="NTW282" s="173"/>
      <c r="NTX282" s="173"/>
      <c r="NTY282" s="173"/>
      <c r="NTZ282" s="173"/>
      <c r="NUA282" s="173"/>
      <c r="NUB282" s="173"/>
      <c r="NUC282" s="173"/>
      <c r="NUD282" s="173"/>
      <c r="NUE282" s="125"/>
      <c r="NUF282" s="125"/>
      <c r="NUG282" s="134"/>
      <c r="NUH282" s="135"/>
      <c r="NUI282" s="135"/>
      <c r="NUJ282" s="135"/>
      <c r="NUK282" s="135"/>
      <c r="NUL282" s="173"/>
      <c r="NUM282" s="173"/>
      <c r="NUN282" s="173"/>
      <c r="NUO282" s="173"/>
      <c r="NUP282" s="173"/>
      <c r="NUQ282" s="173"/>
      <c r="NUR282" s="173"/>
      <c r="NUS282" s="173"/>
      <c r="NUT282" s="173"/>
      <c r="NUU282" s="173"/>
      <c r="NUV282" s="125"/>
      <c r="NUW282" s="125"/>
      <c r="NUX282" s="134"/>
      <c r="NUY282" s="135"/>
      <c r="NUZ282" s="135"/>
      <c r="NVA282" s="135"/>
      <c r="NVB282" s="135"/>
      <c r="NVC282" s="173"/>
      <c r="NVD282" s="173"/>
      <c r="NVE282" s="173"/>
      <c r="NVF282" s="173"/>
      <c r="NVG282" s="173"/>
      <c r="NVH282" s="173"/>
      <c r="NVI282" s="173"/>
      <c r="NVJ282" s="173"/>
      <c r="NVK282" s="173"/>
      <c r="NVL282" s="173"/>
      <c r="NVM282" s="125"/>
      <c r="NVN282" s="125"/>
      <c r="NVO282" s="134"/>
      <c r="NVP282" s="135"/>
      <c r="NVQ282" s="135"/>
      <c r="NVR282" s="135"/>
      <c r="NVS282" s="135"/>
      <c r="NVT282" s="173"/>
      <c r="NVU282" s="173"/>
      <c r="NVV282" s="173"/>
      <c r="NVW282" s="173"/>
      <c r="NVX282" s="173"/>
      <c r="NVY282" s="173"/>
      <c r="NVZ282" s="173"/>
      <c r="NWA282" s="173"/>
      <c r="NWB282" s="173"/>
      <c r="NWC282" s="173"/>
      <c r="NWD282" s="125"/>
      <c r="NWE282" s="125"/>
      <c r="NWF282" s="134"/>
      <c r="NWG282" s="135"/>
      <c r="NWH282" s="135"/>
      <c r="NWI282" s="135"/>
      <c r="NWJ282" s="135"/>
      <c r="NWK282" s="173"/>
      <c r="NWL282" s="173"/>
      <c r="NWM282" s="173"/>
      <c r="NWN282" s="173"/>
      <c r="NWO282" s="173"/>
      <c r="NWP282" s="173"/>
      <c r="NWQ282" s="173"/>
      <c r="NWR282" s="173"/>
      <c r="NWS282" s="173"/>
      <c r="NWT282" s="173"/>
      <c r="NWU282" s="125"/>
      <c r="NWV282" s="125"/>
      <c r="NWW282" s="134"/>
      <c r="NWX282" s="135"/>
      <c r="NWY282" s="135"/>
      <c r="NWZ282" s="135"/>
      <c r="NXA282" s="135"/>
      <c r="NXB282" s="173"/>
      <c r="NXC282" s="173"/>
      <c r="NXD282" s="173"/>
      <c r="NXE282" s="173"/>
      <c r="NXF282" s="173"/>
      <c r="NXG282" s="173"/>
      <c r="NXH282" s="173"/>
      <c r="NXI282" s="173"/>
      <c r="NXJ282" s="173"/>
      <c r="NXK282" s="173"/>
      <c r="NXL282" s="125"/>
      <c r="NXM282" s="125"/>
      <c r="NXN282" s="134"/>
      <c r="NXO282" s="135"/>
      <c r="NXP282" s="135"/>
      <c r="NXQ282" s="135"/>
      <c r="NXR282" s="135"/>
      <c r="NXS282" s="173"/>
      <c r="NXT282" s="173"/>
      <c r="NXU282" s="173"/>
      <c r="NXV282" s="173"/>
      <c r="NXW282" s="173"/>
      <c r="NXX282" s="173"/>
      <c r="NXY282" s="173"/>
      <c r="NXZ282" s="173"/>
      <c r="NYA282" s="173"/>
      <c r="NYB282" s="173"/>
      <c r="NYC282" s="125"/>
      <c r="NYD282" s="125"/>
      <c r="NYE282" s="134"/>
      <c r="NYF282" s="135"/>
      <c r="NYG282" s="135"/>
      <c r="NYH282" s="135"/>
      <c r="NYI282" s="135"/>
      <c r="NYJ282" s="173"/>
      <c r="NYK282" s="173"/>
      <c r="NYL282" s="173"/>
      <c r="NYM282" s="173"/>
      <c r="NYN282" s="173"/>
      <c r="NYO282" s="173"/>
      <c r="NYP282" s="173"/>
      <c r="NYQ282" s="173"/>
      <c r="NYR282" s="173"/>
      <c r="NYS282" s="173"/>
      <c r="NYT282" s="125"/>
      <c r="NYU282" s="125"/>
      <c r="NYV282" s="134"/>
      <c r="NYW282" s="135"/>
      <c r="NYX282" s="135"/>
      <c r="NYY282" s="135"/>
      <c r="NYZ282" s="135"/>
      <c r="NZA282" s="173"/>
      <c r="NZB282" s="173"/>
      <c r="NZC282" s="173"/>
      <c r="NZD282" s="173"/>
      <c r="NZE282" s="173"/>
      <c r="NZF282" s="173"/>
      <c r="NZG282" s="173"/>
      <c r="NZH282" s="173"/>
      <c r="NZI282" s="173"/>
      <c r="NZJ282" s="173"/>
      <c r="NZK282" s="125"/>
      <c r="NZL282" s="125"/>
      <c r="NZM282" s="134"/>
      <c r="NZN282" s="135"/>
      <c r="NZO282" s="135"/>
      <c r="NZP282" s="135"/>
      <c r="NZQ282" s="135"/>
      <c r="NZR282" s="173"/>
      <c r="NZS282" s="173"/>
      <c r="NZT282" s="173"/>
      <c r="NZU282" s="173"/>
      <c r="NZV282" s="173"/>
      <c r="NZW282" s="173"/>
      <c r="NZX282" s="173"/>
      <c r="NZY282" s="173"/>
      <c r="NZZ282" s="173"/>
      <c r="OAA282" s="173"/>
      <c r="OAB282" s="125"/>
      <c r="OAC282" s="125"/>
      <c r="OAD282" s="134"/>
      <c r="OAE282" s="135"/>
      <c r="OAF282" s="135"/>
      <c r="OAG282" s="135"/>
      <c r="OAH282" s="135"/>
      <c r="OAI282" s="173"/>
      <c r="OAJ282" s="173"/>
      <c r="OAK282" s="173"/>
      <c r="OAL282" s="173"/>
      <c r="OAM282" s="173"/>
      <c r="OAN282" s="173"/>
      <c r="OAO282" s="173"/>
      <c r="OAP282" s="173"/>
      <c r="OAQ282" s="173"/>
      <c r="OAR282" s="173"/>
      <c r="OAS282" s="125"/>
      <c r="OAT282" s="125"/>
      <c r="OAU282" s="134"/>
      <c r="OAV282" s="135"/>
      <c r="OAW282" s="135"/>
      <c r="OAX282" s="135"/>
      <c r="OAY282" s="135"/>
      <c r="OAZ282" s="173"/>
      <c r="OBA282" s="173"/>
      <c r="OBB282" s="173"/>
      <c r="OBC282" s="173"/>
      <c r="OBD282" s="173"/>
      <c r="OBE282" s="173"/>
      <c r="OBF282" s="173"/>
      <c r="OBG282" s="173"/>
      <c r="OBH282" s="173"/>
      <c r="OBI282" s="173"/>
      <c r="OBJ282" s="125"/>
      <c r="OBK282" s="125"/>
      <c r="OBL282" s="134"/>
      <c r="OBM282" s="135"/>
      <c r="OBN282" s="135"/>
      <c r="OBO282" s="135"/>
      <c r="OBP282" s="135"/>
      <c r="OBQ282" s="173"/>
      <c r="OBR282" s="173"/>
      <c r="OBS282" s="173"/>
      <c r="OBT282" s="173"/>
      <c r="OBU282" s="173"/>
      <c r="OBV282" s="173"/>
      <c r="OBW282" s="173"/>
      <c r="OBX282" s="173"/>
      <c r="OBY282" s="173"/>
      <c r="OBZ282" s="173"/>
      <c r="OCA282" s="125"/>
      <c r="OCB282" s="125"/>
      <c r="OCC282" s="134"/>
      <c r="OCD282" s="135"/>
      <c r="OCE282" s="135"/>
      <c r="OCF282" s="135"/>
      <c r="OCG282" s="135"/>
      <c r="OCH282" s="173"/>
      <c r="OCI282" s="173"/>
      <c r="OCJ282" s="173"/>
      <c r="OCK282" s="173"/>
      <c r="OCL282" s="173"/>
      <c r="OCM282" s="173"/>
      <c r="OCN282" s="173"/>
      <c r="OCO282" s="173"/>
      <c r="OCP282" s="173"/>
      <c r="OCQ282" s="173"/>
      <c r="OCR282" s="125"/>
      <c r="OCS282" s="125"/>
      <c r="OCT282" s="134"/>
      <c r="OCU282" s="135"/>
      <c r="OCV282" s="135"/>
      <c r="OCW282" s="135"/>
      <c r="OCX282" s="135"/>
      <c r="OCY282" s="173"/>
      <c r="OCZ282" s="173"/>
      <c r="ODA282" s="173"/>
      <c r="ODB282" s="173"/>
      <c r="ODC282" s="173"/>
      <c r="ODD282" s="173"/>
      <c r="ODE282" s="173"/>
      <c r="ODF282" s="173"/>
      <c r="ODG282" s="173"/>
      <c r="ODH282" s="173"/>
      <c r="ODI282" s="125"/>
      <c r="ODJ282" s="125"/>
      <c r="ODK282" s="134"/>
      <c r="ODL282" s="135"/>
      <c r="ODM282" s="135"/>
      <c r="ODN282" s="135"/>
      <c r="ODO282" s="135"/>
      <c r="ODP282" s="173"/>
      <c r="ODQ282" s="173"/>
      <c r="ODR282" s="173"/>
      <c r="ODS282" s="173"/>
      <c r="ODT282" s="173"/>
      <c r="ODU282" s="173"/>
      <c r="ODV282" s="173"/>
      <c r="ODW282" s="173"/>
      <c r="ODX282" s="173"/>
      <c r="ODY282" s="173"/>
      <c r="ODZ282" s="125"/>
      <c r="OEA282" s="125"/>
      <c r="OEB282" s="134"/>
      <c r="OEC282" s="135"/>
      <c r="OED282" s="135"/>
      <c r="OEE282" s="135"/>
      <c r="OEF282" s="135"/>
      <c r="OEG282" s="173"/>
      <c r="OEH282" s="173"/>
      <c r="OEI282" s="173"/>
      <c r="OEJ282" s="173"/>
      <c r="OEK282" s="173"/>
      <c r="OEL282" s="173"/>
      <c r="OEM282" s="173"/>
      <c r="OEN282" s="173"/>
      <c r="OEO282" s="173"/>
      <c r="OEP282" s="173"/>
      <c r="OEQ282" s="125"/>
      <c r="OER282" s="125"/>
      <c r="OES282" s="134"/>
      <c r="OET282" s="135"/>
      <c r="OEU282" s="135"/>
      <c r="OEV282" s="135"/>
      <c r="OEW282" s="135"/>
      <c r="OEX282" s="173"/>
      <c r="OEY282" s="173"/>
      <c r="OEZ282" s="173"/>
      <c r="OFA282" s="173"/>
      <c r="OFB282" s="173"/>
      <c r="OFC282" s="173"/>
      <c r="OFD282" s="173"/>
      <c r="OFE282" s="173"/>
      <c r="OFF282" s="173"/>
      <c r="OFG282" s="173"/>
      <c r="OFH282" s="125"/>
      <c r="OFI282" s="125"/>
      <c r="OFJ282" s="134"/>
      <c r="OFK282" s="135"/>
      <c r="OFL282" s="135"/>
      <c r="OFM282" s="135"/>
      <c r="OFN282" s="135"/>
      <c r="OFO282" s="173"/>
      <c r="OFP282" s="173"/>
      <c r="OFQ282" s="173"/>
      <c r="OFR282" s="173"/>
      <c r="OFS282" s="173"/>
      <c r="OFT282" s="173"/>
      <c r="OFU282" s="173"/>
      <c r="OFV282" s="173"/>
      <c r="OFW282" s="173"/>
      <c r="OFX282" s="173"/>
      <c r="OFY282" s="125"/>
      <c r="OFZ282" s="125"/>
      <c r="OGA282" s="134"/>
      <c r="OGB282" s="135"/>
      <c r="OGC282" s="135"/>
      <c r="OGD282" s="135"/>
      <c r="OGE282" s="135"/>
      <c r="OGF282" s="173"/>
      <c r="OGG282" s="173"/>
      <c r="OGH282" s="173"/>
      <c r="OGI282" s="173"/>
      <c r="OGJ282" s="173"/>
      <c r="OGK282" s="173"/>
      <c r="OGL282" s="173"/>
      <c r="OGM282" s="173"/>
      <c r="OGN282" s="173"/>
      <c r="OGO282" s="173"/>
      <c r="OGP282" s="125"/>
      <c r="OGQ282" s="125"/>
      <c r="OGR282" s="134"/>
      <c r="OGS282" s="135"/>
      <c r="OGT282" s="135"/>
      <c r="OGU282" s="135"/>
      <c r="OGV282" s="135"/>
      <c r="OGW282" s="173"/>
      <c r="OGX282" s="173"/>
      <c r="OGY282" s="173"/>
      <c r="OGZ282" s="173"/>
      <c r="OHA282" s="173"/>
      <c r="OHB282" s="173"/>
      <c r="OHC282" s="173"/>
      <c r="OHD282" s="173"/>
      <c r="OHE282" s="173"/>
      <c r="OHF282" s="173"/>
      <c r="OHG282" s="125"/>
      <c r="OHH282" s="125"/>
      <c r="OHI282" s="134"/>
      <c r="OHJ282" s="135"/>
      <c r="OHK282" s="135"/>
      <c r="OHL282" s="135"/>
      <c r="OHM282" s="135"/>
      <c r="OHN282" s="173"/>
      <c r="OHO282" s="173"/>
      <c r="OHP282" s="173"/>
      <c r="OHQ282" s="173"/>
      <c r="OHR282" s="173"/>
      <c r="OHS282" s="173"/>
      <c r="OHT282" s="173"/>
      <c r="OHU282" s="173"/>
      <c r="OHV282" s="173"/>
      <c r="OHW282" s="173"/>
      <c r="OHX282" s="125"/>
      <c r="OHY282" s="125"/>
      <c r="OHZ282" s="134"/>
      <c r="OIA282" s="135"/>
      <c r="OIB282" s="135"/>
      <c r="OIC282" s="135"/>
      <c r="OID282" s="135"/>
      <c r="OIE282" s="173"/>
      <c r="OIF282" s="173"/>
      <c r="OIG282" s="173"/>
      <c r="OIH282" s="173"/>
      <c r="OII282" s="173"/>
      <c r="OIJ282" s="173"/>
      <c r="OIK282" s="173"/>
      <c r="OIL282" s="173"/>
      <c r="OIM282" s="173"/>
      <c r="OIN282" s="173"/>
      <c r="OIO282" s="125"/>
      <c r="OIP282" s="125"/>
      <c r="OIQ282" s="134"/>
      <c r="OIR282" s="135"/>
      <c r="OIS282" s="135"/>
      <c r="OIT282" s="135"/>
      <c r="OIU282" s="135"/>
      <c r="OIV282" s="173"/>
      <c r="OIW282" s="173"/>
      <c r="OIX282" s="173"/>
      <c r="OIY282" s="173"/>
      <c r="OIZ282" s="173"/>
      <c r="OJA282" s="173"/>
      <c r="OJB282" s="173"/>
      <c r="OJC282" s="173"/>
      <c r="OJD282" s="173"/>
      <c r="OJE282" s="173"/>
      <c r="OJF282" s="125"/>
      <c r="OJG282" s="125"/>
      <c r="OJH282" s="134"/>
      <c r="OJI282" s="135"/>
      <c r="OJJ282" s="135"/>
      <c r="OJK282" s="135"/>
      <c r="OJL282" s="135"/>
      <c r="OJM282" s="173"/>
      <c r="OJN282" s="173"/>
      <c r="OJO282" s="173"/>
      <c r="OJP282" s="173"/>
      <c r="OJQ282" s="173"/>
      <c r="OJR282" s="173"/>
      <c r="OJS282" s="173"/>
      <c r="OJT282" s="173"/>
      <c r="OJU282" s="173"/>
      <c r="OJV282" s="173"/>
      <c r="OJW282" s="125"/>
      <c r="OJX282" s="125"/>
      <c r="OJY282" s="134"/>
      <c r="OJZ282" s="135"/>
      <c r="OKA282" s="135"/>
      <c r="OKB282" s="135"/>
      <c r="OKC282" s="135"/>
      <c r="OKD282" s="173"/>
      <c r="OKE282" s="173"/>
      <c r="OKF282" s="173"/>
      <c r="OKG282" s="173"/>
      <c r="OKH282" s="173"/>
      <c r="OKI282" s="173"/>
      <c r="OKJ282" s="173"/>
      <c r="OKK282" s="173"/>
      <c r="OKL282" s="173"/>
      <c r="OKM282" s="173"/>
      <c r="OKN282" s="125"/>
      <c r="OKO282" s="125"/>
      <c r="OKP282" s="134"/>
      <c r="OKQ282" s="135"/>
      <c r="OKR282" s="135"/>
      <c r="OKS282" s="135"/>
      <c r="OKT282" s="135"/>
      <c r="OKU282" s="173"/>
      <c r="OKV282" s="173"/>
      <c r="OKW282" s="173"/>
      <c r="OKX282" s="173"/>
      <c r="OKY282" s="173"/>
      <c r="OKZ282" s="173"/>
      <c r="OLA282" s="173"/>
      <c r="OLB282" s="173"/>
      <c r="OLC282" s="173"/>
      <c r="OLD282" s="173"/>
      <c r="OLE282" s="125"/>
      <c r="OLF282" s="125"/>
      <c r="OLG282" s="134"/>
      <c r="OLH282" s="135"/>
      <c r="OLI282" s="135"/>
      <c r="OLJ282" s="135"/>
      <c r="OLK282" s="135"/>
      <c r="OLL282" s="173"/>
      <c r="OLM282" s="173"/>
      <c r="OLN282" s="173"/>
      <c r="OLO282" s="173"/>
      <c r="OLP282" s="173"/>
      <c r="OLQ282" s="173"/>
      <c r="OLR282" s="173"/>
      <c r="OLS282" s="173"/>
      <c r="OLT282" s="173"/>
      <c r="OLU282" s="173"/>
      <c r="OLV282" s="125"/>
      <c r="OLW282" s="125"/>
      <c r="OLX282" s="134"/>
      <c r="OLY282" s="135"/>
      <c r="OLZ282" s="135"/>
      <c r="OMA282" s="135"/>
      <c r="OMB282" s="135"/>
      <c r="OMC282" s="173"/>
      <c r="OMD282" s="173"/>
      <c r="OME282" s="173"/>
      <c r="OMF282" s="173"/>
      <c r="OMG282" s="173"/>
      <c r="OMH282" s="173"/>
      <c r="OMI282" s="173"/>
      <c r="OMJ282" s="173"/>
      <c r="OMK282" s="173"/>
      <c r="OML282" s="173"/>
      <c r="OMM282" s="125"/>
      <c r="OMN282" s="125"/>
      <c r="OMO282" s="134"/>
      <c r="OMP282" s="135"/>
      <c r="OMQ282" s="135"/>
      <c r="OMR282" s="135"/>
      <c r="OMS282" s="135"/>
      <c r="OMT282" s="173"/>
      <c r="OMU282" s="173"/>
      <c r="OMV282" s="173"/>
      <c r="OMW282" s="173"/>
      <c r="OMX282" s="173"/>
      <c r="OMY282" s="173"/>
      <c r="OMZ282" s="173"/>
      <c r="ONA282" s="173"/>
      <c r="ONB282" s="173"/>
      <c r="ONC282" s="173"/>
      <c r="OND282" s="125"/>
      <c r="ONE282" s="125"/>
      <c r="ONF282" s="134"/>
      <c r="ONG282" s="135"/>
      <c r="ONH282" s="135"/>
      <c r="ONI282" s="135"/>
      <c r="ONJ282" s="135"/>
      <c r="ONK282" s="173"/>
      <c r="ONL282" s="173"/>
      <c r="ONM282" s="173"/>
      <c r="ONN282" s="173"/>
      <c r="ONO282" s="173"/>
      <c r="ONP282" s="173"/>
      <c r="ONQ282" s="173"/>
      <c r="ONR282" s="173"/>
      <c r="ONS282" s="173"/>
      <c r="ONT282" s="173"/>
      <c r="ONU282" s="125"/>
      <c r="ONV282" s="125"/>
      <c r="ONW282" s="134"/>
      <c r="ONX282" s="135"/>
      <c r="ONY282" s="135"/>
      <c r="ONZ282" s="135"/>
      <c r="OOA282" s="135"/>
      <c r="OOB282" s="173"/>
      <c r="OOC282" s="173"/>
      <c r="OOD282" s="173"/>
      <c r="OOE282" s="173"/>
      <c r="OOF282" s="173"/>
      <c r="OOG282" s="173"/>
      <c r="OOH282" s="173"/>
      <c r="OOI282" s="173"/>
      <c r="OOJ282" s="173"/>
      <c r="OOK282" s="173"/>
      <c r="OOL282" s="125"/>
      <c r="OOM282" s="125"/>
      <c r="OON282" s="134"/>
      <c r="OOO282" s="135"/>
      <c r="OOP282" s="135"/>
      <c r="OOQ282" s="135"/>
      <c r="OOR282" s="135"/>
      <c r="OOS282" s="173"/>
      <c r="OOT282" s="173"/>
      <c r="OOU282" s="173"/>
      <c r="OOV282" s="173"/>
      <c r="OOW282" s="173"/>
      <c r="OOX282" s="173"/>
      <c r="OOY282" s="173"/>
      <c r="OOZ282" s="173"/>
      <c r="OPA282" s="173"/>
      <c r="OPB282" s="173"/>
      <c r="OPC282" s="125"/>
      <c r="OPD282" s="125"/>
      <c r="OPE282" s="134"/>
      <c r="OPF282" s="135"/>
      <c r="OPG282" s="135"/>
      <c r="OPH282" s="135"/>
      <c r="OPI282" s="135"/>
      <c r="OPJ282" s="173"/>
      <c r="OPK282" s="173"/>
      <c r="OPL282" s="173"/>
      <c r="OPM282" s="173"/>
      <c r="OPN282" s="173"/>
      <c r="OPO282" s="173"/>
      <c r="OPP282" s="173"/>
      <c r="OPQ282" s="173"/>
      <c r="OPR282" s="173"/>
      <c r="OPS282" s="173"/>
      <c r="OPT282" s="125"/>
      <c r="OPU282" s="125"/>
      <c r="OPV282" s="134"/>
      <c r="OPW282" s="135"/>
      <c r="OPX282" s="135"/>
      <c r="OPY282" s="135"/>
      <c r="OPZ282" s="135"/>
      <c r="OQA282" s="173"/>
      <c r="OQB282" s="173"/>
      <c r="OQC282" s="173"/>
      <c r="OQD282" s="173"/>
      <c r="OQE282" s="173"/>
      <c r="OQF282" s="173"/>
      <c r="OQG282" s="173"/>
      <c r="OQH282" s="173"/>
      <c r="OQI282" s="173"/>
      <c r="OQJ282" s="173"/>
      <c r="OQK282" s="125"/>
      <c r="OQL282" s="125"/>
      <c r="OQM282" s="134"/>
      <c r="OQN282" s="135"/>
      <c r="OQO282" s="135"/>
      <c r="OQP282" s="135"/>
      <c r="OQQ282" s="135"/>
      <c r="OQR282" s="173"/>
      <c r="OQS282" s="173"/>
      <c r="OQT282" s="173"/>
      <c r="OQU282" s="173"/>
      <c r="OQV282" s="173"/>
      <c r="OQW282" s="173"/>
      <c r="OQX282" s="173"/>
      <c r="OQY282" s="173"/>
      <c r="OQZ282" s="173"/>
      <c r="ORA282" s="173"/>
      <c r="ORB282" s="125"/>
      <c r="ORC282" s="125"/>
      <c r="ORD282" s="134"/>
      <c r="ORE282" s="135"/>
      <c r="ORF282" s="135"/>
      <c r="ORG282" s="135"/>
      <c r="ORH282" s="135"/>
      <c r="ORI282" s="173"/>
      <c r="ORJ282" s="173"/>
      <c r="ORK282" s="173"/>
      <c r="ORL282" s="173"/>
      <c r="ORM282" s="173"/>
      <c r="ORN282" s="173"/>
      <c r="ORO282" s="173"/>
      <c r="ORP282" s="173"/>
      <c r="ORQ282" s="173"/>
      <c r="ORR282" s="173"/>
      <c r="ORS282" s="125"/>
      <c r="ORT282" s="125"/>
      <c r="ORU282" s="134"/>
      <c r="ORV282" s="135"/>
      <c r="ORW282" s="135"/>
      <c r="ORX282" s="135"/>
      <c r="ORY282" s="135"/>
      <c r="ORZ282" s="173"/>
      <c r="OSA282" s="173"/>
      <c r="OSB282" s="173"/>
      <c r="OSC282" s="173"/>
      <c r="OSD282" s="173"/>
      <c r="OSE282" s="173"/>
      <c r="OSF282" s="173"/>
      <c r="OSG282" s="173"/>
      <c r="OSH282" s="173"/>
      <c r="OSI282" s="173"/>
      <c r="OSJ282" s="125"/>
      <c r="OSK282" s="125"/>
      <c r="OSL282" s="134"/>
      <c r="OSM282" s="135"/>
      <c r="OSN282" s="135"/>
      <c r="OSO282" s="135"/>
      <c r="OSP282" s="135"/>
      <c r="OSQ282" s="173"/>
      <c r="OSR282" s="173"/>
      <c r="OSS282" s="173"/>
      <c r="OST282" s="173"/>
      <c r="OSU282" s="173"/>
      <c r="OSV282" s="173"/>
      <c r="OSW282" s="173"/>
      <c r="OSX282" s="173"/>
      <c r="OSY282" s="173"/>
      <c r="OSZ282" s="173"/>
      <c r="OTA282" s="125"/>
      <c r="OTB282" s="125"/>
      <c r="OTC282" s="134"/>
      <c r="OTD282" s="135"/>
      <c r="OTE282" s="135"/>
      <c r="OTF282" s="135"/>
      <c r="OTG282" s="135"/>
      <c r="OTH282" s="173"/>
      <c r="OTI282" s="173"/>
      <c r="OTJ282" s="173"/>
      <c r="OTK282" s="173"/>
      <c r="OTL282" s="173"/>
      <c r="OTM282" s="173"/>
      <c r="OTN282" s="173"/>
      <c r="OTO282" s="173"/>
      <c r="OTP282" s="173"/>
      <c r="OTQ282" s="173"/>
      <c r="OTR282" s="125"/>
      <c r="OTS282" s="125"/>
      <c r="OTT282" s="134"/>
      <c r="OTU282" s="135"/>
      <c r="OTV282" s="135"/>
      <c r="OTW282" s="135"/>
      <c r="OTX282" s="135"/>
      <c r="OTY282" s="173"/>
      <c r="OTZ282" s="173"/>
      <c r="OUA282" s="173"/>
      <c r="OUB282" s="173"/>
      <c r="OUC282" s="173"/>
      <c r="OUD282" s="173"/>
      <c r="OUE282" s="173"/>
      <c r="OUF282" s="173"/>
      <c r="OUG282" s="173"/>
      <c r="OUH282" s="173"/>
      <c r="OUI282" s="125"/>
      <c r="OUJ282" s="125"/>
      <c r="OUK282" s="134"/>
      <c r="OUL282" s="135"/>
      <c r="OUM282" s="135"/>
      <c r="OUN282" s="135"/>
      <c r="OUO282" s="135"/>
      <c r="OUP282" s="173"/>
      <c r="OUQ282" s="173"/>
      <c r="OUR282" s="173"/>
      <c r="OUS282" s="173"/>
      <c r="OUT282" s="173"/>
      <c r="OUU282" s="173"/>
      <c r="OUV282" s="173"/>
      <c r="OUW282" s="173"/>
      <c r="OUX282" s="173"/>
      <c r="OUY282" s="173"/>
      <c r="OUZ282" s="125"/>
      <c r="OVA282" s="125"/>
      <c r="OVB282" s="134"/>
      <c r="OVC282" s="135"/>
      <c r="OVD282" s="135"/>
      <c r="OVE282" s="135"/>
      <c r="OVF282" s="135"/>
      <c r="OVG282" s="173"/>
      <c r="OVH282" s="173"/>
      <c r="OVI282" s="173"/>
      <c r="OVJ282" s="173"/>
      <c r="OVK282" s="173"/>
      <c r="OVL282" s="173"/>
      <c r="OVM282" s="173"/>
      <c r="OVN282" s="173"/>
      <c r="OVO282" s="173"/>
      <c r="OVP282" s="173"/>
      <c r="OVQ282" s="125"/>
      <c r="OVR282" s="125"/>
      <c r="OVS282" s="134"/>
      <c r="OVT282" s="135"/>
      <c r="OVU282" s="135"/>
      <c r="OVV282" s="135"/>
      <c r="OVW282" s="135"/>
      <c r="OVX282" s="173"/>
      <c r="OVY282" s="173"/>
      <c r="OVZ282" s="173"/>
      <c r="OWA282" s="173"/>
      <c r="OWB282" s="173"/>
      <c r="OWC282" s="173"/>
      <c r="OWD282" s="173"/>
      <c r="OWE282" s="173"/>
      <c r="OWF282" s="173"/>
      <c r="OWG282" s="173"/>
      <c r="OWH282" s="125"/>
      <c r="OWI282" s="125"/>
      <c r="OWJ282" s="134"/>
      <c r="OWK282" s="135"/>
      <c r="OWL282" s="135"/>
      <c r="OWM282" s="135"/>
      <c r="OWN282" s="135"/>
      <c r="OWO282" s="173"/>
      <c r="OWP282" s="173"/>
      <c r="OWQ282" s="173"/>
      <c r="OWR282" s="173"/>
      <c r="OWS282" s="173"/>
      <c r="OWT282" s="173"/>
      <c r="OWU282" s="173"/>
      <c r="OWV282" s="173"/>
      <c r="OWW282" s="173"/>
      <c r="OWX282" s="173"/>
      <c r="OWY282" s="125"/>
      <c r="OWZ282" s="125"/>
      <c r="OXA282" s="134"/>
      <c r="OXB282" s="135"/>
      <c r="OXC282" s="135"/>
      <c r="OXD282" s="135"/>
      <c r="OXE282" s="135"/>
      <c r="OXF282" s="173"/>
      <c r="OXG282" s="173"/>
      <c r="OXH282" s="173"/>
      <c r="OXI282" s="173"/>
      <c r="OXJ282" s="173"/>
      <c r="OXK282" s="173"/>
      <c r="OXL282" s="173"/>
      <c r="OXM282" s="173"/>
      <c r="OXN282" s="173"/>
      <c r="OXO282" s="173"/>
      <c r="OXP282" s="125"/>
      <c r="OXQ282" s="125"/>
      <c r="OXR282" s="134"/>
      <c r="OXS282" s="135"/>
      <c r="OXT282" s="135"/>
      <c r="OXU282" s="135"/>
      <c r="OXV282" s="135"/>
      <c r="OXW282" s="173"/>
      <c r="OXX282" s="173"/>
      <c r="OXY282" s="173"/>
      <c r="OXZ282" s="173"/>
      <c r="OYA282" s="173"/>
      <c r="OYB282" s="173"/>
      <c r="OYC282" s="173"/>
      <c r="OYD282" s="173"/>
      <c r="OYE282" s="173"/>
      <c r="OYF282" s="173"/>
      <c r="OYG282" s="125"/>
      <c r="OYH282" s="125"/>
      <c r="OYI282" s="134"/>
      <c r="OYJ282" s="135"/>
      <c r="OYK282" s="135"/>
      <c r="OYL282" s="135"/>
      <c r="OYM282" s="135"/>
      <c r="OYN282" s="173"/>
      <c r="OYO282" s="173"/>
      <c r="OYP282" s="173"/>
      <c r="OYQ282" s="173"/>
      <c r="OYR282" s="173"/>
      <c r="OYS282" s="173"/>
      <c r="OYT282" s="173"/>
      <c r="OYU282" s="173"/>
      <c r="OYV282" s="173"/>
      <c r="OYW282" s="173"/>
      <c r="OYX282" s="125"/>
      <c r="OYY282" s="125"/>
      <c r="OYZ282" s="134"/>
      <c r="OZA282" s="135"/>
      <c r="OZB282" s="135"/>
      <c r="OZC282" s="135"/>
      <c r="OZD282" s="135"/>
      <c r="OZE282" s="173"/>
      <c r="OZF282" s="173"/>
      <c r="OZG282" s="173"/>
      <c r="OZH282" s="173"/>
      <c r="OZI282" s="173"/>
      <c r="OZJ282" s="173"/>
      <c r="OZK282" s="173"/>
      <c r="OZL282" s="173"/>
      <c r="OZM282" s="173"/>
      <c r="OZN282" s="173"/>
      <c r="OZO282" s="125"/>
      <c r="OZP282" s="125"/>
      <c r="OZQ282" s="134"/>
      <c r="OZR282" s="135"/>
      <c r="OZS282" s="135"/>
      <c r="OZT282" s="135"/>
      <c r="OZU282" s="135"/>
      <c r="OZV282" s="173"/>
      <c r="OZW282" s="173"/>
      <c r="OZX282" s="173"/>
      <c r="OZY282" s="173"/>
      <c r="OZZ282" s="173"/>
      <c r="PAA282" s="173"/>
      <c r="PAB282" s="173"/>
      <c r="PAC282" s="173"/>
      <c r="PAD282" s="173"/>
      <c r="PAE282" s="173"/>
      <c r="PAF282" s="125"/>
      <c r="PAG282" s="125"/>
      <c r="PAH282" s="134"/>
      <c r="PAI282" s="135"/>
      <c r="PAJ282" s="135"/>
      <c r="PAK282" s="135"/>
      <c r="PAL282" s="135"/>
      <c r="PAM282" s="173"/>
      <c r="PAN282" s="173"/>
      <c r="PAO282" s="173"/>
      <c r="PAP282" s="173"/>
      <c r="PAQ282" s="173"/>
      <c r="PAR282" s="173"/>
      <c r="PAS282" s="173"/>
      <c r="PAT282" s="173"/>
      <c r="PAU282" s="173"/>
      <c r="PAV282" s="173"/>
      <c r="PAW282" s="125"/>
      <c r="PAX282" s="125"/>
      <c r="PAY282" s="134"/>
      <c r="PAZ282" s="135"/>
      <c r="PBA282" s="135"/>
      <c r="PBB282" s="135"/>
      <c r="PBC282" s="135"/>
      <c r="PBD282" s="173"/>
      <c r="PBE282" s="173"/>
      <c r="PBF282" s="173"/>
      <c r="PBG282" s="173"/>
      <c r="PBH282" s="173"/>
      <c r="PBI282" s="173"/>
      <c r="PBJ282" s="173"/>
      <c r="PBK282" s="173"/>
      <c r="PBL282" s="173"/>
      <c r="PBM282" s="173"/>
      <c r="PBN282" s="125"/>
      <c r="PBO282" s="125"/>
      <c r="PBP282" s="134"/>
      <c r="PBQ282" s="135"/>
      <c r="PBR282" s="135"/>
      <c r="PBS282" s="135"/>
      <c r="PBT282" s="135"/>
      <c r="PBU282" s="173"/>
      <c r="PBV282" s="173"/>
      <c r="PBW282" s="173"/>
      <c r="PBX282" s="173"/>
      <c r="PBY282" s="173"/>
      <c r="PBZ282" s="173"/>
      <c r="PCA282" s="173"/>
      <c r="PCB282" s="173"/>
      <c r="PCC282" s="173"/>
      <c r="PCD282" s="173"/>
      <c r="PCE282" s="125"/>
      <c r="PCF282" s="125"/>
      <c r="PCG282" s="134"/>
      <c r="PCH282" s="135"/>
      <c r="PCI282" s="135"/>
      <c r="PCJ282" s="135"/>
      <c r="PCK282" s="135"/>
      <c r="PCL282" s="173"/>
      <c r="PCM282" s="173"/>
      <c r="PCN282" s="173"/>
      <c r="PCO282" s="173"/>
      <c r="PCP282" s="173"/>
      <c r="PCQ282" s="173"/>
      <c r="PCR282" s="173"/>
      <c r="PCS282" s="173"/>
      <c r="PCT282" s="173"/>
      <c r="PCU282" s="173"/>
      <c r="PCV282" s="125"/>
      <c r="PCW282" s="125"/>
      <c r="PCX282" s="134"/>
      <c r="PCY282" s="135"/>
      <c r="PCZ282" s="135"/>
      <c r="PDA282" s="135"/>
      <c r="PDB282" s="135"/>
      <c r="PDC282" s="173"/>
      <c r="PDD282" s="173"/>
      <c r="PDE282" s="173"/>
      <c r="PDF282" s="173"/>
      <c r="PDG282" s="173"/>
      <c r="PDH282" s="173"/>
      <c r="PDI282" s="173"/>
      <c r="PDJ282" s="173"/>
      <c r="PDK282" s="173"/>
      <c r="PDL282" s="173"/>
      <c r="PDM282" s="125"/>
      <c r="PDN282" s="125"/>
      <c r="PDO282" s="134"/>
      <c r="PDP282" s="135"/>
      <c r="PDQ282" s="135"/>
      <c r="PDR282" s="135"/>
      <c r="PDS282" s="135"/>
      <c r="PDT282" s="173"/>
      <c r="PDU282" s="173"/>
      <c r="PDV282" s="173"/>
      <c r="PDW282" s="173"/>
      <c r="PDX282" s="173"/>
      <c r="PDY282" s="173"/>
      <c r="PDZ282" s="173"/>
      <c r="PEA282" s="173"/>
      <c r="PEB282" s="173"/>
      <c r="PEC282" s="173"/>
      <c r="PED282" s="125"/>
      <c r="PEE282" s="125"/>
      <c r="PEF282" s="134"/>
      <c r="PEG282" s="135"/>
      <c r="PEH282" s="135"/>
      <c r="PEI282" s="135"/>
      <c r="PEJ282" s="135"/>
      <c r="PEK282" s="173"/>
      <c r="PEL282" s="173"/>
      <c r="PEM282" s="173"/>
      <c r="PEN282" s="173"/>
      <c r="PEO282" s="173"/>
      <c r="PEP282" s="173"/>
      <c r="PEQ282" s="173"/>
      <c r="PER282" s="173"/>
      <c r="PES282" s="173"/>
      <c r="PET282" s="173"/>
      <c r="PEU282" s="125"/>
      <c r="PEV282" s="125"/>
      <c r="PEW282" s="134"/>
      <c r="PEX282" s="135"/>
      <c r="PEY282" s="135"/>
      <c r="PEZ282" s="135"/>
      <c r="PFA282" s="135"/>
      <c r="PFB282" s="173"/>
      <c r="PFC282" s="173"/>
      <c r="PFD282" s="173"/>
      <c r="PFE282" s="173"/>
      <c r="PFF282" s="173"/>
      <c r="PFG282" s="173"/>
      <c r="PFH282" s="173"/>
      <c r="PFI282" s="173"/>
      <c r="PFJ282" s="173"/>
      <c r="PFK282" s="173"/>
      <c r="PFL282" s="125"/>
      <c r="PFM282" s="125"/>
      <c r="PFN282" s="134"/>
      <c r="PFO282" s="135"/>
      <c r="PFP282" s="135"/>
      <c r="PFQ282" s="135"/>
      <c r="PFR282" s="135"/>
      <c r="PFS282" s="173"/>
      <c r="PFT282" s="173"/>
      <c r="PFU282" s="173"/>
      <c r="PFV282" s="173"/>
      <c r="PFW282" s="173"/>
      <c r="PFX282" s="173"/>
      <c r="PFY282" s="173"/>
      <c r="PFZ282" s="173"/>
      <c r="PGA282" s="173"/>
      <c r="PGB282" s="173"/>
      <c r="PGC282" s="125"/>
      <c r="PGD282" s="125"/>
      <c r="PGE282" s="134"/>
      <c r="PGF282" s="135"/>
      <c r="PGG282" s="135"/>
      <c r="PGH282" s="135"/>
      <c r="PGI282" s="135"/>
      <c r="PGJ282" s="173"/>
      <c r="PGK282" s="173"/>
      <c r="PGL282" s="173"/>
      <c r="PGM282" s="173"/>
      <c r="PGN282" s="173"/>
      <c r="PGO282" s="173"/>
      <c r="PGP282" s="173"/>
      <c r="PGQ282" s="173"/>
      <c r="PGR282" s="173"/>
      <c r="PGS282" s="173"/>
      <c r="PGT282" s="125"/>
      <c r="PGU282" s="125"/>
      <c r="PGV282" s="134"/>
      <c r="PGW282" s="135"/>
      <c r="PGX282" s="135"/>
      <c r="PGY282" s="135"/>
      <c r="PGZ282" s="135"/>
      <c r="PHA282" s="173"/>
      <c r="PHB282" s="173"/>
      <c r="PHC282" s="173"/>
      <c r="PHD282" s="173"/>
      <c r="PHE282" s="173"/>
      <c r="PHF282" s="173"/>
      <c r="PHG282" s="173"/>
      <c r="PHH282" s="173"/>
      <c r="PHI282" s="173"/>
      <c r="PHJ282" s="173"/>
      <c r="PHK282" s="125"/>
      <c r="PHL282" s="125"/>
      <c r="PHM282" s="134"/>
      <c r="PHN282" s="135"/>
      <c r="PHO282" s="135"/>
      <c r="PHP282" s="135"/>
      <c r="PHQ282" s="135"/>
      <c r="PHR282" s="173"/>
      <c r="PHS282" s="173"/>
      <c r="PHT282" s="173"/>
      <c r="PHU282" s="173"/>
      <c r="PHV282" s="173"/>
      <c r="PHW282" s="173"/>
      <c r="PHX282" s="173"/>
      <c r="PHY282" s="173"/>
      <c r="PHZ282" s="173"/>
      <c r="PIA282" s="173"/>
      <c r="PIB282" s="125"/>
      <c r="PIC282" s="125"/>
      <c r="PID282" s="134"/>
      <c r="PIE282" s="135"/>
      <c r="PIF282" s="135"/>
      <c r="PIG282" s="135"/>
      <c r="PIH282" s="135"/>
      <c r="PII282" s="173"/>
      <c r="PIJ282" s="173"/>
      <c r="PIK282" s="173"/>
      <c r="PIL282" s="173"/>
      <c r="PIM282" s="173"/>
      <c r="PIN282" s="173"/>
      <c r="PIO282" s="173"/>
      <c r="PIP282" s="173"/>
      <c r="PIQ282" s="173"/>
      <c r="PIR282" s="173"/>
      <c r="PIS282" s="125"/>
      <c r="PIT282" s="125"/>
      <c r="PIU282" s="134"/>
      <c r="PIV282" s="135"/>
      <c r="PIW282" s="135"/>
      <c r="PIX282" s="135"/>
      <c r="PIY282" s="135"/>
      <c r="PIZ282" s="173"/>
      <c r="PJA282" s="173"/>
      <c r="PJB282" s="173"/>
      <c r="PJC282" s="173"/>
      <c r="PJD282" s="173"/>
      <c r="PJE282" s="173"/>
      <c r="PJF282" s="173"/>
      <c r="PJG282" s="173"/>
      <c r="PJH282" s="173"/>
      <c r="PJI282" s="173"/>
      <c r="PJJ282" s="125"/>
      <c r="PJK282" s="125"/>
      <c r="PJL282" s="134"/>
      <c r="PJM282" s="135"/>
      <c r="PJN282" s="135"/>
      <c r="PJO282" s="135"/>
      <c r="PJP282" s="135"/>
      <c r="PJQ282" s="173"/>
      <c r="PJR282" s="173"/>
      <c r="PJS282" s="173"/>
      <c r="PJT282" s="173"/>
      <c r="PJU282" s="173"/>
      <c r="PJV282" s="173"/>
      <c r="PJW282" s="173"/>
      <c r="PJX282" s="173"/>
      <c r="PJY282" s="173"/>
      <c r="PJZ282" s="173"/>
      <c r="PKA282" s="125"/>
      <c r="PKB282" s="125"/>
      <c r="PKC282" s="134"/>
      <c r="PKD282" s="135"/>
      <c r="PKE282" s="135"/>
      <c r="PKF282" s="135"/>
      <c r="PKG282" s="135"/>
      <c r="PKH282" s="173"/>
      <c r="PKI282" s="173"/>
      <c r="PKJ282" s="173"/>
      <c r="PKK282" s="173"/>
      <c r="PKL282" s="173"/>
      <c r="PKM282" s="173"/>
      <c r="PKN282" s="173"/>
      <c r="PKO282" s="173"/>
      <c r="PKP282" s="173"/>
      <c r="PKQ282" s="173"/>
      <c r="PKR282" s="125"/>
      <c r="PKS282" s="125"/>
      <c r="PKT282" s="134"/>
      <c r="PKU282" s="135"/>
      <c r="PKV282" s="135"/>
      <c r="PKW282" s="135"/>
      <c r="PKX282" s="135"/>
      <c r="PKY282" s="173"/>
      <c r="PKZ282" s="173"/>
      <c r="PLA282" s="173"/>
      <c r="PLB282" s="173"/>
      <c r="PLC282" s="173"/>
      <c r="PLD282" s="173"/>
      <c r="PLE282" s="173"/>
      <c r="PLF282" s="173"/>
      <c r="PLG282" s="173"/>
      <c r="PLH282" s="173"/>
      <c r="PLI282" s="125"/>
      <c r="PLJ282" s="125"/>
      <c r="PLK282" s="134"/>
      <c r="PLL282" s="135"/>
      <c r="PLM282" s="135"/>
      <c r="PLN282" s="135"/>
      <c r="PLO282" s="135"/>
      <c r="PLP282" s="173"/>
      <c r="PLQ282" s="173"/>
      <c r="PLR282" s="173"/>
      <c r="PLS282" s="173"/>
      <c r="PLT282" s="173"/>
      <c r="PLU282" s="173"/>
      <c r="PLV282" s="173"/>
      <c r="PLW282" s="173"/>
      <c r="PLX282" s="173"/>
      <c r="PLY282" s="173"/>
      <c r="PLZ282" s="125"/>
      <c r="PMA282" s="125"/>
      <c r="PMB282" s="134"/>
      <c r="PMC282" s="135"/>
      <c r="PMD282" s="135"/>
      <c r="PME282" s="135"/>
      <c r="PMF282" s="135"/>
      <c r="PMG282" s="173"/>
      <c r="PMH282" s="173"/>
      <c r="PMI282" s="173"/>
      <c r="PMJ282" s="173"/>
      <c r="PMK282" s="173"/>
      <c r="PML282" s="173"/>
      <c r="PMM282" s="173"/>
      <c r="PMN282" s="173"/>
      <c r="PMO282" s="173"/>
      <c r="PMP282" s="173"/>
      <c r="PMQ282" s="125"/>
      <c r="PMR282" s="125"/>
      <c r="PMS282" s="134"/>
      <c r="PMT282" s="135"/>
      <c r="PMU282" s="135"/>
      <c r="PMV282" s="135"/>
      <c r="PMW282" s="135"/>
      <c r="PMX282" s="173"/>
      <c r="PMY282" s="173"/>
      <c r="PMZ282" s="173"/>
      <c r="PNA282" s="173"/>
      <c r="PNB282" s="173"/>
      <c r="PNC282" s="173"/>
      <c r="PND282" s="173"/>
      <c r="PNE282" s="173"/>
      <c r="PNF282" s="173"/>
      <c r="PNG282" s="173"/>
      <c r="PNH282" s="125"/>
      <c r="PNI282" s="125"/>
      <c r="PNJ282" s="134"/>
      <c r="PNK282" s="135"/>
      <c r="PNL282" s="135"/>
      <c r="PNM282" s="135"/>
      <c r="PNN282" s="135"/>
      <c r="PNO282" s="173"/>
      <c r="PNP282" s="173"/>
      <c r="PNQ282" s="173"/>
      <c r="PNR282" s="173"/>
      <c r="PNS282" s="173"/>
      <c r="PNT282" s="173"/>
      <c r="PNU282" s="173"/>
      <c r="PNV282" s="173"/>
      <c r="PNW282" s="173"/>
      <c r="PNX282" s="173"/>
      <c r="PNY282" s="125"/>
      <c r="PNZ282" s="125"/>
      <c r="POA282" s="134"/>
      <c r="POB282" s="135"/>
      <c r="POC282" s="135"/>
      <c r="POD282" s="135"/>
      <c r="POE282" s="135"/>
      <c r="POF282" s="173"/>
      <c r="POG282" s="173"/>
      <c r="POH282" s="173"/>
      <c r="POI282" s="173"/>
      <c r="POJ282" s="173"/>
      <c r="POK282" s="173"/>
      <c r="POL282" s="173"/>
      <c r="POM282" s="173"/>
      <c r="PON282" s="173"/>
      <c r="POO282" s="173"/>
      <c r="POP282" s="125"/>
      <c r="POQ282" s="125"/>
      <c r="POR282" s="134"/>
      <c r="POS282" s="135"/>
      <c r="POT282" s="135"/>
      <c r="POU282" s="135"/>
      <c r="POV282" s="135"/>
      <c r="POW282" s="173"/>
      <c r="POX282" s="173"/>
      <c r="POY282" s="173"/>
      <c r="POZ282" s="173"/>
      <c r="PPA282" s="173"/>
      <c r="PPB282" s="173"/>
      <c r="PPC282" s="173"/>
      <c r="PPD282" s="173"/>
      <c r="PPE282" s="173"/>
      <c r="PPF282" s="173"/>
      <c r="PPG282" s="125"/>
      <c r="PPH282" s="125"/>
      <c r="PPI282" s="134"/>
      <c r="PPJ282" s="135"/>
      <c r="PPK282" s="135"/>
      <c r="PPL282" s="135"/>
      <c r="PPM282" s="135"/>
      <c r="PPN282" s="173"/>
      <c r="PPO282" s="173"/>
      <c r="PPP282" s="173"/>
      <c r="PPQ282" s="173"/>
      <c r="PPR282" s="173"/>
      <c r="PPS282" s="173"/>
      <c r="PPT282" s="173"/>
      <c r="PPU282" s="173"/>
      <c r="PPV282" s="173"/>
      <c r="PPW282" s="173"/>
      <c r="PPX282" s="125"/>
      <c r="PPY282" s="125"/>
      <c r="PPZ282" s="134"/>
      <c r="PQA282" s="135"/>
      <c r="PQB282" s="135"/>
      <c r="PQC282" s="135"/>
      <c r="PQD282" s="135"/>
      <c r="PQE282" s="173"/>
      <c r="PQF282" s="173"/>
      <c r="PQG282" s="173"/>
      <c r="PQH282" s="173"/>
      <c r="PQI282" s="173"/>
      <c r="PQJ282" s="173"/>
      <c r="PQK282" s="173"/>
      <c r="PQL282" s="173"/>
      <c r="PQM282" s="173"/>
      <c r="PQN282" s="173"/>
      <c r="PQO282" s="125"/>
      <c r="PQP282" s="125"/>
      <c r="PQQ282" s="134"/>
      <c r="PQR282" s="135"/>
      <c r="PQS282" s="135"/>
      <c r="PQT282" s="135"/>
      <c r="PQU282" s="135"/>
      <c r="PQV282" s="173"/>
      <c r="PQW282" s="173"/>
      <c r="PQX282" s="173"/>
      <c r="PQY282" s="173"/>
      <c r="PQZ282" s="173"/>
      <c r="PRA282" s="173"/>
      <c r="PRB282" s="173"/>
      <c r="PRC282" s="173"/>
      <c r="PRD282" s="173"/>
      <c r="PRE282" s="173"/>
      <c r="PRF282" s="125"/>
      <c r="PRG282" s="125"/>
      <c r="PRH282" s="134"/>
      <c r="PRI282" s="135"/>
      <c r="PRJ282" s="135"/>
      <c r="PRK282" s="135"/>
      <c r="PRL282" s="135"/>
      <c r="PRM282" s="173"/>
      <c r="PRN282" s="173"/>
      <c r="PRO282" s="173"/>
      <c r="PRP282" s="173"/>
      <c r="PRQ282" s="173"/>
      <c r="PRR282" s="173"/>
      <c r="PRS282" s="173"/>
      <c r="PRT282" s="173"/>
      <c r="PRU282" s="173"/>
      <c r="PRV282" s="173"/>
      <c r="PRW282" s="125"/>
      <c r="PRX282" s="125"/>
      <c r="PRY282" s="134"/>
      <c r="PRZ282" s="135"/>
      <c r="PSA282" s="135"/>
      <c r="PSB282" s="135"/>
      <c r="PSC282" s="135"/>
      <c r="PSD282" s="173"/>
      <c r="PSE282" s="173"/>
      <c r="PSF282" s="173"/>
      <c r="PSG282" s="173"/>
      <c r="PSH282" s="173"/>
      <c r="PSI282" s="173"/>
      <c r="PSJ282" s="173"/>
      <c r="PSK282" s="173"/>
      <c r="PSL282" s="173"/>
      <c r="PSM282" s="173"/>
      <c r="PSN282" s="125"/>
      <c r="PSO282" s="125"/>
      <c r="PSP282" s="134"/>
      <c r="PSQ282" s="135"/>
      <c r="PSR282" s="135"/>
      <c r="PSS282" s="135"/>
      <c r="PST282" s="135"/>
      <c r="PSU282" s="173"/>
      <c r="PSV282" s="173"/>
      <c r="PSW282" s="173"/>
      <c r="PSX282" s="173"/>
      <c r="PSY282" s="173"/>
      <c r="PSZ282" s="173"/>
      <c r="PTA282" s="173"/>
      <c r="PTB282" s="173"/>
      <c r="PTC282" s="173"/>
      <c r="PTD282" s="173"/>
      <c r="PTE282" s="125"/>
      <c r="PTF282" s="125"/>
      <c r="PTG282" s="134"/>
      <c r="PTH282" s="135"/>
      <c r="PTI282" s="135"/>
      <c r="PTJ282" s="135"/>
      <c r="PTK282" s="135"/>
      <c r="PTL282" s="173"/>
      <c r="PTM282" s="173"/>
      <c r="PTN282" s="173"/>
      <c r="PTO282" s="173"/>
      <c r="PTP282" s="173"/>
      <c r="PTQ282" s="173"/>
      <c r="PTR282" s="173"/>
      <c r="PTS282" s="173"/>
      <c r="PTT282" s="173"/>
      <c r="PTU282" s="173"/>
      <c r="PTV282" s="125"/>
      <c r="PTW282" s="125"/>
      <c r="PTX282" s="134"/>
      <c r="PTY282" s="135"/>
      <c r="PTZ282" s="135"/>
      <c r="PUA282" s="135"/>
      <c r="PUB282" s="135"/>
      <c r="PUC282" s="173"/>
      <c r="PUD282" s="173"/>
      <c r="PUE282" s="173"/>
      <c r="PUF282" s="173"/>
      <c r="PUG282" s="173"/>
      <c r="PUH282" s="173"/>
      <c r="PUI282" s="173"/>
      <c r="PUJ282" s="173"/>
      <c r="PUK282" s="173"/>
      <c r="PUL282" s="173"/>
      <c r="PUM282" s="125"/>
      <c r="PUN282" s="125"/>
      <c r="PUO282" s="134"/>
      <c r="PUP282" s="135"/>
      <c r="PUQ282" s="135"/>
      <c r="PUR282" s="135"/>
      <c r="PUS282" s="135"/>
      <c r="PUT282" s="173"/>
      <c r="PUU282" s="173"/>
      <c r="PUV282" s="173"/>
      <c r="PUW282" s="173"/>
      <c r="PUX282" s="173"/>
      <c r="PUY282" s="173"/>
      <c r="PUZ282" s="173"/>
      <c r="PVA282" s="173"/>
      <c r="PVB282" s="173"/>
      <c r="PVC282" s="173"/>
      <c r="PVD282" s="125"/>
      <c r="PVE282" s="125"/>
      <c r="PVF282" s="134"/>
      <c r="PVG282" s="135"/>
      <c r="PVH282" s="135"/>
      <c r="PVI282" s="135"/>
      <c r="PVJ282" s="135"/>
      <c r="PVK282" s="173"/>
      <c r="PVL282" s="173"/>
      <c r="PVM282" s="173"/>
      <c r="PVN282" s="173"/>
      <c r="PVO282" s="173"/>
      <c r="PVP282" s="173"/>
      <c r="PVQ282" s="173"/>
      <c r="PVR282" s="173"/>
      <c r="PVS282" s="173"/>
      <c r="PVT282" s="173"/>
      <c r="PVU282" s="125"/>
      <c r="PVV282" s="125"/>
      <c r="PVW282" s="134"/>
      <c r="PVX282" s="135"/>
      <c r="PVY282" s="135"/>
      <c r="PVZ282" s="135"/>
      <c r="PWA282" s="135"/>
      <c r="PWB282" s="173"/>
      <c r="PWC282" s="173"/>
      <c r="PWD282" s="173"/>
      <c r="PWE282" s="173"/>
      <c r="PWF282" s="173"/>
      <c r="PWG282" s="173"/>
      <c r="PWH282" s="173"/>
      <c r="PWI282" s="173"/>
      <c r="PWJ282" s="173"/>
      <c r="PWK282" s="173"/>
      <c r="PWL282" s="125"/>
      <c r="PWM282" s="125"/>
      <c r="PWN282" s="134"/>
      <c r="PWO282" s="135"/>
      <c r="PWP282" s="135"/>
      <c r="PWQ282" s="135"/>
      <c r="PWR282" s="135"/>
      <c r="PWS282" s="173"/>
      <c r="PWT282" s="173"/>
      <c r="PWU282" s="173"/>
      <c r="PWV282" s="173"/>
      <c r="PWW282" s="173"/>
      <c r="PWX282" s="173"/>
      <c r="PWY282" s="173"/>
      <c r="PWZ282" s="173"/>
      <c r="PXA282" s="173"/>
      <c r="PXB282" s="173"/>
      <c r="PXC282" s="125"/>
      <c r="PXD282" s="125"/>
      <c r="PXE282" s="134"/>
      <c r="PXF282" s="135"/>
      <c r="PXG282" s="135"/>
      <c r="PXH282" s="135"/>
      <c r="PXI282" s="135"/>
      <c r="PXJ282" s="173"/>
      <c r="PXK282" s="173"/>
      <c r="PXL282" s="173"/>
      <c r="PXM282" s="173"/>
      <c r="PXN282" s="173"/>
      <c r="PXO282" s="173"/>
      <c r="PXP282" s="173"/>
      <c r="PXQ282" s="173"/>
      <c r="PXR282" s="173"/>
      <c r="PXS282" s="173"/>
      <c r="PXT282" s="125"/>
      <c r="PXU282" s="125"/>
      <c r="PXV282" s="134"/>
      <c r="PXW282" s="135"/>
      <c r="PXX282" s="135"/>
      <c r="PXY282" s="135"/>
      <c r="PXZ282" s="135"/>
      <c r="PYA282" s="173"/>
      <c r="PYB282" s="173"/>
      <c r="PYC282" s="173"/>
      <c r="PYD282" s="173"/>
      <c r="PYE282" s="173"/>
      <c r="PYF282" s="173"/>
      <c r="PYG282" s="173"/>
      <c r="PYH282" s="173"/>
      <c r="PYI282" s="173"/>
      <c r="PYJ282" s="173"/>
      <c r="PYK282" s="125"/>
      <c r="PYL282" s="125"/>
      <c r="PYM282" s="134"/>
      <c r="PYN282" s="135"/>
      <c r="PYO282" s="135"/>
      <c r="PYP282" s="135"/>
      <c r="PYQ282" s="135"/>
      <c r="PYR282" s="173"/>
      <c r="PYS282" s="173"/>
      <c r="PYT282" s="173"/>
      <c r="PYU282" s="173"/>
      <c r="PYV282" s="173"/>
      <c r="PYW282" s="173"/>
      <c r="PYX282" s="173"/>
      <c r="PYY282" s="173"/>
      <c r="PYZ282" s="173"/>
      <c r="PZA282" s="173"/>
      <c r="PZB282" s="125"/>
      <c r="PZC282" s="125"/>
      <c r="PZD282" s="134"/>
      <c r="PZE282" s="135"/>
      <c r="PZF282" s="135"/>
      <c r="PZG282" s="135"/>
      <c r="PZH282" s="135"/>
      <c r="PZI282" s="173"/>
      <c r="PZJ282" s="173"/>
      <c r="PZK282" s="173"/>
      <c r="PZL282" s="173"/>
      <c r="PZM282" s="173"/>
      <c r="PZN282" s="173"/>
      <c r="PZO282" s="173"/>
      <c r="PZP282" s="173"/>
      <c r="PZQ282" s="173"/>
      <c r="PZR282" s="173"/>
      <c r="PZS282" s="125"/>
      <c r="PZT282" s="125"/>
      <c r="PZU282" s="134"/>
      <c r="PZV282" s="135"/>
      <c r="PZW282" s="135"/>
      <c r="PZX282" s="135"/>
      <c r="PZY282" s="135"/>
      <c r="PZZ282" s="173"/>
      <c r="QAA282" s="173"/>
      <c r="QAB282" s="173"/>
      <c r="QAC282" s="173"/>
      <c r="QAD282" s="173"/>
      <c r="QAE282" s="173"/>
      <c r="QAF282" s="173"/>
      <c r="QAG282" s="173"/>
      <c r="QAH282" s="173"/>
      <c r="QAI282" s="173"/>
      <c r="QAJ282" s="125"/>
      <c r="QAK282" s="125"/>
      <c r="QAL282" s="134"/>
      <c r="QAM282" s="135"/>
      <c r="QAN282" s="135"/>
      <c r="QAO282" s="135"/>
      <c r="QAP282" s="135"/>
      <c r="QAQ282" s="173"/>
      <c r="QAR282" s="173"/>
      <c r="QAS282" s="173"/>
      <c r="QAT282" s="173"/>
      <c r="QAU282" s="173"/>
      <c r="QAV282" s="173"/>
      <c r="QAW282" s="173"/>
      <c r="QAX282" s="173"/>
      <c r="QAY282" s="173"/>
      <c r="QAZ282" s="173"/>
      <c r="QBA282" s="125"/>
      <c r="QBB282" s="125"/>
      <c r="QBC282" s="134"/>
      <c r="QBD282" s="135"/>
      <c r="QBE282" s="135"/>
      <c r="QBF282" s="135"/>
      <c r="QBG282" s="135"/>
      <c r="QBH282" s="173"/>
      <c r="QBI282" s="173"/>
      <c r="QBJ282" s="173"/>
      <c r="QBK282" s="173"/>
      <c r="QBL282" s="173"/>
      <c r="QBM282" s="173"/>
      <c r="QBN282" s="173"/>
      <c r="QBO282" s="173"/>
      <c r="QBP282" s="173"/>
      <c r="QBQ282" s="173"/>
      <c r="QBR282" s="125"/>
      <c r="QBS282" s="125"/>
      <c r="QBT282" s="134"/>
      <c r="QBU282" s="135"/>
      <c r="QBV282" s="135"/>
      <c r="QBW282" s="135"/>
      <c r="QBX282" s="135"/>
      <c r="QBY282" s="173"/>
      <c r="QBZ282" s="173"/>
      <c r="QCA282" s="173"/>
      <c r="QCB282" s="173"/>
      <c r="QCC282" s="173"/>
      <c r="QCD282" s="173"/>
      <c r="QCE282" s="173"/>
      <c r="QCF282" s="173"/>
      <c r="QCG282" s="173"/>
      <c r="QCH282" s="173"/>
      <c r="QCI282" s="125"/>
      <c r="QCJ282" s="125"/>
      <c r="QCK282" s="134"/>
      <c r="QCL282" s="135"/>
      <c r="QCM282" s="135"/>
      <c r="QCN282" s="135"/>
      <c r="QCO282" s="135"/>
      <c r="QCP282" s="173"/>
      <c r="QCQ282" s="173"/>
      <c r="QCR282" s="173"/>
      <c r="QCS282" s="173"/>
      <c r="QCT282" s="173"/>
      <c r="QCU282" s="173"/>
      <c r="QCV282" s="173"/>
      <c r="QCW282" s="173"/>
      <c r="QCX282" s="173"/>
      <c r="QCY282" s="173"/>
      <c r="QCZ282" s="125"/>
      <c r="QDA282" s="125"/>
      <c r="QDB282" s="134"/>
      <c r="QDC282" s="135"/>
      <c r="QDD282" s="135"/>
      <c r="QDE282" s="135"/>
      <c r="QDF282" s="135"/>
      <c r="QDG282" s="173"/>
      <c r="QDH282" s="173"/>
      <c r="QDI282" s="173"/>
      <c r="QDJ282" s="173"/>
      <c r="QDK282" s="173"/>
      <c r="QDL282" s="173"/>
      <c r="QDM282" s="173"/>
      <c r="QDN282" s="173"/>
      <c r="QDO282" s="173"/>
      <c r="QDP282" s="173"/>
      <c r="QDQ282" s="125"/>
      <c r="QDR282" s="125"/>
      <c r="QDS282" s="134"/>
      <c r="QDT282" s="135"/>
      <c r="QDU282" s="135"/>
      <c r="QDV282" s="135"/>
      <c r="QDW282" s="135"/>
      <c r="QDX282" s="173"/>
      <c r="QDY282" s="173"/>
      <c r="QDZ282" s="173"/>
      <c r="QEA282" s="173"/>
      <c r="QEB282" s="173"/>
      <c r="QEC282" s="173"/>
      <c r="QED282" s="173"/>
      <c r="QEE282" s="173"/>
      <c r="QEF282" s="173"/>
      <c r="QEG282" s="173"/>
      <c r="QEH282" s="125"/>
      <c r="QEI282" s="125"/>
      <c r="QEJ282" s="134"/>
      <c r="QEK282" s="135"/>
      <c r="QEL282" s="135"/>
      <c r="QEM282" s="135"/>
      <c r="QEN282" s="135"/>
      <c r="QEO282" s="173"/>
      <c r="QEP282" s="173"/>
      <c r="QEQ282" s="173"/>
      <c r="QER282" s="173"/>
      <c r="QES282" s="173"/>
      <c r="QET282" s="173"/>
      <c r="QEU282" s="173"/>
      <c r="QEV282" s="173"/>
      <c r="QEW282" s="173"/>
      <c r="QEX282" s="173"/>
      <c r="QEY282" s="125"/>
      <c r="QEZ282" s="125"/>
      <c r="QFA282" s="134"/>
      <c r="QFB282" s="135"/>
      <c r="QFC282" s="135"/>
      <c r="QFD282" s="135"/>
      <c r="QFE282" s="135"/>
      <c r="QFF282" s="173"/>
      <c r="QFG282" s="173"/>
      <c r="QFH282" s="173"/>
      <c r="QFI282" s="173"/>
      <c r="QFJ282" s="173"/>
      <c r="QFK282" s="173"/>
      <c r="QFL282" s="173"/>
      <c r="QFM282" s="173"/>
      <c r="QFN282" s="173"/>
      <c r="QFO282" s="173"/>
      <c r="QFP282" s="125"/>
      <c r="QFQ282" s="125"/>
      <c r="QFR282" s="134"/>
      <c r="QFS282" s="135"/>
      <c r="QFT282" s="135"/>
      <c r="QFU282" s="135"/>
      <c r="QFV282" s="135"/>
      <c r="QFW282" s="173"/>
      <c r="QFX282" s="173"/>
      <c r="QFY282" s="173"/>
      <c r="QFZ282" s="173"/>
      <c r="QGA282" s="173"/>
      <c r="QGB282" s="173"/>
      <c r="QGC282" s="173"/>
      <c r="QGD282" s="173"/>
      <c r="QGE282" s="173"/>
      <c r="QGF282" s="173"/>
      <c r="QGG282" s="125"/>
      <c r="QGH282" s="125"/>
      <c r="QGI282" s="134"/>
      <c r="QGJ282" s="135"/>
      <c r="QGK282" s="135"/>
      <c r="QGL282" s="135"/>
      <c r="QGM282" s="135"/>
      <c r="QGN282" s="173"/>
      <c r="QGO282" s="173"/>
      <c r="QGP282" s="173"/>
      <c r="QGQ282" s="173"/>
      <c r="QGR282" s="173"/>
      <c r="QGS282" s="173"/>
      <c r="QGT282" s="173"/>
      <c r="QGU282" s="173"/>
      <c r="QGV282" s="173"/>
      <c r="QGW282" s="173"/>
      <c r="QGX282" s="125"/>
      <c r="QGY282" s="125"/>
      <c r="QGZ282" s="134"/>
      <c r="QHA282" s="135"/>
      <c r="QHB282" s="135"/>
      <c r="QHC282" s="135"/>
      <c r="QHD282" s="135"/>
      <c r="QHE282" s="173"/>
      <c r="QHF282" s="173"/>
      <c r="QHG282" s="173"/>
      <c r="QHH282" s="173"/>
      <c r="QHI282" s="173"/>
      <c r="QHJ282" s="173"/>
      <c r="QHK282" s="173"/>
      <c r="QHL282" s="173"/>
      <c r="QHM282" s="173"/>
      <c r="QHN282" s="173"/>
      <c r="QHO282" s="125"/>
      <c r="QHP282" s="125"/>
      <c r="QHQ282" s="134"/>
      <c r="QHR282" s="135"/>
      <c r="QHS282" s="135"/>
      <c r="QHT282" s="135"/>
      <c r="QHU282" s="135"/>
      <c r="QHV282" s="173"/>
      <c r="QHW282" s="173"/>
      <c r="QHX282" s="173"/>
      <c r="QHY282" s="173"/>
      <c r="QHZ282" s="173"/>
      <c r="QIA282" s="173"/>
      <c r="QIB282" s="173"/>
      <c r="QIC282" s="173"/>
      <c r="QID282" s="173"/>
      <c r="QIE282" s="173"/>
      <c r="QIF282" s="125"/>
      <c r="QIG282" s="125"/>
      <c r="QIH282" s="134"/>
      <c r="QII282" s="135"/>
      <c r="QIJ282" s="135"/>
      <c r="QIK282" s="135"/>
      <c r="QIL282" s="135"/>
      <c r="QIM282" s="173"/>
      <c r="QIN282" s="173"/>
      <c r="QIO282" s="173"/>
      <c r="QIP282" s="173"/>
      <c r="QIQ282" s="173"/>
      <c r="QIR282" s="173"/>
      <c r="QIS282" s="173"/>
      <c r="QIT282" s="173"/>
      <c r="QIU282" s="173"/>
      <c r="QIV282" s="173"/>
      <c r="QIW282" s="125"/>
      <c r="QIX282" s="125"/>
      <c r="QIY282" s="134"/>
      <c r="QIZ282" s="135"/>
      <c r="QJA282" s="135"/>
      <c r="QJB282" s="135"/>
      <c r="QJC282" s="135"/>
      <c r="QJD282" s="173"/>
      <c r="QJE282" s="173"/>
      <c r="QJF282" s="173"/>
      <c r="QJG282" s="173"/>
      <c r="QJH282" s="173"/>
      <c r="QJI282" s="173"/>
      <c r="QJJ282" s="173"/>
      <c r="QJK282" s="173"/>
      <c r="QJL282" s="173"/>
      <c r="QJM282" s="173"/>
      <c r="QJN282" s="125"/>
      <c r="QJO282" s="125"/>
      <c r="QJP282" s="134"/>
      <c r="QJQ282" s="135"/>
      <c r="QJR282" s="135"/>
      <c r="QJS282" s="135"/>
      <c r="QJT282" s="135"/>
      <c r="QJU282" s="173"/>
      <c r="QJV282" s="173"/>
      <c r="QJW282" s="173"/>
      <c r="QJX282" s="173"/>
      <c r="QJY282" s="173"/>
      <c r="QJZ282" s="173"/>
      <c r="QKA282" s="173"/>
      <c r="QKB282" s="173"/>
      <c r="QKC282" s="173"/>
      <c r="QKD282" s="173"/>
      <c r="QKE282" s="125"/>
      <c r="QKF282" s="125"/>
      <c r="QKG282" s="134"/>
      <c r="QKH282" s="135"/>
      <c r="QKI282" s="135"/>
      <c r="QKJ282" s="135"/>
      <c r="QKK282" s="135"/>
      <c r="QKL282" s="173"/>
      <c r="QKM282" s="173"/>
      <c r="QKN282" s="173"/>
      <c r="QKO282" s="173"/>
      <c r="QKP282" s="173"/>
      <c r="QKQ282" s="173"/>
      <c r="QKR282" s="173"/>
      <c r="QKS282" s="173"/>
      <c r="QKT282" s="173"/>
      <c r="QKU282" s="173"/>
      <c r="QKV282" s="125"/>
      <c r="QKW282" s="125"/>
      <c r="QKX282" s="134"/>
      <c r="QKY282" s="135"/>
      <c r="QKZ282" s="135"/>
      <c r="QLA282" s="135"/>
      <c r="QLB282" s="135"/>
      <c r="QLC282" s="173"/>
      <c r="QLD282" s="173"/>
      <c r="QLE282" s="173"/>
      <c r="QLF282" s="173"/>
      <c r="QLG282" s="173"/>
      <c r="QLH282" s="173"/>
      <c r="QLI282" s="173"/>
      <c r="QLJ282" s="173"/>
      <c r="QLK282" s="173"/>
      <c r="QLL282" s="173"/>
      <c r="QLM282" s="125"/>
      <c r="QLN282" s="125"/>
      <c r="QLO282" s="134"/>
      <c r="QLP282" s="135"/>
      <c r="QLQ282" s="135"/>
      <c r="QLR282" s="135"/>
      <c r="QLS282" s="135"/>
      <c r="QLT282" s="173"/>
      <c r="QLU282" s="173"/>
      <c r="QLV282" s="173"/>
      <c r="QLW282" s="173"/>
      <c r="QLX282" s="173"/>
      <c r="QLY282" s="173"/>
      <c r="QLZ282" s="173"/>
      <c r="QMA282" s="173"/>
      <c r="QMB282" s="173"/>
      <c r="QMC282" s="173"/>
      <c r="QMD282" s="125"/>
      <c r="QME282" s="125"/>
      <c r="QMF282" s="134"/>
      <c r="QMG282" s="135"/>
      <c r="QMH282" s="135"/>
      <c r="QMI282" s="135"/>
      <c r="QMJ282" s="135"/>
      <c r="QMK282" s="173"/>
      <c r="QML282" s="173"/>
      <c r="QMM282" s="173"/>
      <c r="QMN282" s="173"/>
      <c r="QMO282" s="173"/>
      <c r="QMP282" s="173"/>
      <c r="QMQ282" s="173"/>
      <c r="QMR282" s="173"/>
      <c r="QMS282" s="173"/>
      <c r="QMT282" s="173"/>
      <c r="QMU282" s="125"/>
      <c r="QMV282" s="125"/>
      <c r="QMW282" s="134"/>
      <c r="QMX282" s="135"/>
      <c r="QMY282" s="135"/>
      <c r="QMZ282" s="135"/>
      <c r="QNA282" s="135"/>
      <c r="QNB282" s="173"/>
      <c r="QNC282" s="173"/>
      <c r="QND282" s="173"/>
      <c r="QNE282" s="173"/>
      <c r="QNF282" s="173"/>
      <c r="QNG282" s="173"/>
      <c r="QNH282" s="173"/>
      <c r="QNI282" s="173"/>
      <c r="QNJ282" s="173"/>
      <c r="QNK282" s="173"/>
      <c r="QNL282" s="125"/>
      <c r="QNM282" s="125"/>
      <c r="QNN282" s="134"/>
      <c r="QNO282" s="135"/>
      <c r="QNP282" s="135"/>
      <c r="QNQ282" s="135"/>
      <c r="QNR282" s="135"/>
      <c r="QNS282" s="173"/>
      <c r="QNT282" s="173"/>
      <c r="QNU282" s="173"/>
      <c r="QNV282" s="173"/>
      <c r="QNW282" s="173"/>
      <c r="QNX282" s="173"/>
      <c r="QNY282" s="173"/>
      <c r="QNZ282" s="173"/>
      <c r="QOA282" s="173"/>
      <c r="QOB282" s="173"/>
      <c r="QOC282" s="125"/>
      <c r="QOD282" s="125"/>
      <c r="QOE282" s="134"/>
      <c r="QOF282" s="135"/>
      <c r="QOG282" s="135"/>
      <c r="QOH282" s="135"/>
      <c r="QOI282" s="135"/>
      <c r="QOJ282" s="173"/>
      <c r="QOK282" s="173"/>
      <c r="QOL282" s="173"/>
      <c r="QOM282" s="173"/>
      <c r="QON282" s="173"/>
      <c r="QOO282" s="173"/>
      <c r="QOP282" s="173"/>
      <c r="QOQ282" s="173"/>
      <c r="QOR282" s="173"/>
      <c r="QOS282" s="173"/>
      <c r="QOT282" s="125"/>
      <c r="QOU282" s="125"/>
      <c r="QOV282" s="134"/>
      <c r="QOW282" s="135"/>
      <c r="QOX282" s="135"/>
      <c r="QOY282" s="135"/>
      <c r="QOZ282" s="135"/>
      <c r="QPA282" s="173"/>
      <c r="QPB282" s="173"/>
      <c r="QPC282" s="173"/>
      <c r="QPD282" s="173"/>
      <c r="QPE282" s="173"/>
      <c r="QPF282" s="173"/>
      <c r="QPG282" s="173"/>
      <c r="QPH282" s="173"/>
      <c r="QPI282" s="173"/>
      <c r="QPJ282" s="173"/>
      <c r="QPK282" s="125"/>
      <c r="QPL282" s="125"/>
      <c r="QPM282" s="134"/>
      <c r="QPN282" s="135"/>
      <c r="QPO282" s="135"/>
      <c r="QPP282" s="135"/>
      <c r="QPQ282" s="135"/>
      <c r="QPR282" s="173"/>
      <c r="QPS282" s="173"/>
      <c r="QPT282" s="173"/>
      <c r="QPU282" s="173"/>
      <c r="QPV282" s="173"/>
      <c r="QPW282" s="173"/>
      <c r="QPX282" s="173"/>
      <c r="QPY282" s="173"/>
      <c r="QPZ282" s="173"/>
      <c r="QQA282" s="173"/>
      <c r="QQB282" s="125"/>
      <c r="QQC282" s="125"/>
      <c r="QQD282" s="134"/>
      <c r="QQE282" s="135"/>
      <c r="QQF282" s="135"/>
      <c r="QQG282" s="135"/>
      <c r="QQH282" s="135"/>
      <c r="QQI282" s="173"/>
      <c r="QQJ282" s="173"/>
      <c r="QQK282" s="173"/>
      <c r="QQL282" s="173"/>
      <c r="QQM282" s="173"/>
      <c r="QQN282" s="173"/>
      <c r="QQO282" s="173"/>
      <c r="QQP282" s="173"/>
      <c r="QQQ282" s="173"/>
      <c r="QQR282" s="173"/>
      <c r="QQS282" s="125"/>
      <c r="QQT282" s="125"/>
      <c r="QQU282" s="134"/>
      <c r="QQV282" s="135"/>
      <c r="QQW282" s="135"/>
      <c r="QQX282" s="135"/>
      <c r="QQY282" s="135"/>
      <c r="QQZ282" s="173"/>
      <c r="QRA282" s="173"/>
      <c r="QRB282" s="173"/>
      <c r="QRC282" s="173"/>
      <c r="QRD282" s="173"/>
      <c r="QRE282" s="173"/>
      <c r="QRF282" s="173"/>
      <c r="QRG282" s="173"/>
      <c r="QRH282" s="173"/>
      <c r="QRI282" s="173"/>
      <c r="QRJ282" s="125"/>
      <c r="QRK282" s="125"/>
      <c r="QRL282" s="134"/>
      <c r="QRM282" s="135"/>
      <c r="QRN282" s="135"/>
      <c r="QRO282" s="135"/>
      <c r="QRP282" s="135"/>
      <c r="QRQ282" s="173"/>
      <c r="QRR282" s="173"/>
      <c r="QRS282" s="173"/>
      <c r="QRT282" s="173"/>
      <c r="QRU282" s="173"/>
      <c r="QRV282" s="173"/>
      <c r="QRW282" s="173"/>
      <c r="QRX282" s="173"/>
      <c r="QRY282" s="173"/>
      <c r="QRZ282" s="173"/>
      <c r="QSA282" s="125"/>
      <c r="QSB282" s="125"/>
      <c r="QSC282" s="134"/>
      <c r="QSD282" s="135"/>
      <c r="QSE282" s="135"/>
      <c r="QSF282" s="135"/>
      <c r="QSG282" s="135"/>
      <c r="QSH282" s="173"/>
      <c r="QSI282" s="173"/>
      <c r="QSJ282" s="173"/>
      <c r="QSK282" s="173"/>
      <c r="QSL282" s="173"/>
      <c r="QSM282" s="173"/>
      <c r="QSN282" s="173"/>
      <c r="QSO282" s="173"/>
      <c r="QSP282" s="173"/>
      <c r="QSQ282" s="173"/>
      <c r="QSR282" s="125"/>
      <c r="QSS282" s="125"/>
      <c r="QST282" s="134"/>
      <c r="QSU282" s="135"/>
      <c r="QSV282" s="135"/>
      <c r="QSW282" s="135"/>
      <c r="QSX282" s="135"/>
      <c r="QSY282" s="173"/>
      <c r="QSZ282" s="173"/>
      <c r="QTA282" s="173"/>
      <c r="QTB282" s="173"/>
      <c r="QTC282" s="173"/>
      <c r="QTD282" s="173"/>
      <c r="QTE282" s="173"/>
      <c r="QTF282" s="173"/>
      <c r="QTG282" s="173"/>
      <c r="QTH282" s="173"/>
      <c r="QTI282" s="125"/>
      <c r="QTJ282" s="125"/>
      <c r="QTK282" s="134"/>
      <c r="QTL282" s="135"/>
      <c r="QTM282" s="135"/>
      <c r="QTN282" s="135"/>
      <c r="QTO282" s="135"/>
      <c r="QTP282" s="173"/>
      <c r="QTQ282" s="173"/>
      <c r="QTR282" s="173"/>
      <c r="QTS282" s="173"/>
      <c r="QTT282" s="173"/>
      <c r="QTU282" s="173"/>
      <c r="QTV282" s="173"/>
      <c r="QTW282" s="173"/>
      <c r="QTX282" s="173"/>
      <c r="QTY282" s="173"/>
      <c r="QTZ282" s="125"/>
      <c r="QUA282" s="125"/>
      <c r="QUB282" s="134"/>
      <c r="QUC282" s="135"/>
      <c r="QUD282" s="135"/>
      <c r="QUE282" s="135"/>
      <c r="QUF282" s="135"/>
      <c r="QUG282" s="173"/>
      <c r="QUH282" s="173"/>
      <c r="QUI282" s="173"/>
      <c r="QUJ282" s="173"/>
      <c r="QUK282" s="173"/>
      <c r="QUL282" s="173"/>
      <c r="QUM282" s="173"/>
      <c r="QUN282" s="173"/>
      <c r="QUO282" s="173"/>
      <c r="QUP282" s="173"/>
      <c r="QUQ282" s="125"/>
      <c r="QUR282" s="125"/>
      <c r="QUS282" s="134"/>
      <c r="QUT282" s="135"/>
      <c r="QUU282" s="135"/>
      <c r="QUV282" s="135"/>
      <c r="QUW282" s="135"/>
      <c r="QUX282" s="173"/>
      <c r="QUY282" s="173"/>
      <c r="QUZ282" s="173"/>
      <c r="QVA282" s="173"/>
      <c r="QVB282" s="173"/>
      <c r="QVC282" s="173"/>
      <c r="QVD282" s="173"/>
      <c r="QVE282" s="173"/>
      <c r="QVF282" s="173"/>
      <c r="QVG282" s="173"/>
      <c r="QVH282" s="125"/>
      <c r="QVI282" s="125"/>
      <c r="QVJ282" s="134"/>
      <c r="QVK282" s="135"/>
      <c r="QVL282" s="135"/>
      <c r="QVM282" s="135"/>
      <c r="QVN282" s="135"/>
      <c r="QVO282" s="173"/>
      <c r="QVP282" s="173"/>
      <c r="QVQ282" s="173"/>
      <c r="QVR282" s="173"/>
      <c r="QVS282" s="173"/>
      <c r="QVT282" s="173"/>
      <c r="QVU282" s="173"/>
      <c r="QVV282" s="173"/>
      <c r="QVW282" s="173"/>
      <c r="QVX282" s="173"/>
      <c r="QVY282" s="125"/>
      <c r="QVZ282" s="125"/>
      <c r="QWA282" s="134"/>
      <c r="QWB282" s="135"/>
      <c r="QWC282" s="135"/>
      <c r="QWD282" s="135"/>
      <c r="QWE282" s="135"/>
      <c r="QWF282" s="173"/>
      <c r="QWG282" s="173"/>
      <c r="QWH282" s="173"/>
      <c r="QWI282" s="173"/>
      <c r="QWJ282" s="173"/>
      <c r="QWK282" s="173"/>
      <c r="QWL282" s="173"/>
      <c r="QWM282" s="173"/>
      <c r="QWN282" s="173"/>
      <c r="QWO282" s="173"/>
      <c r="QWP282" s="125"/>
      <c r="QWQ282" s="125"/>
      <c r="QWR282" s="134"/>
      <c r="QWS282" s="135"/>
      <c r="QWT282" s="135"/>
      <c r="QWU282" s="135"/>
      <c r="QWV282" s="135"/>
      <c r="QWW282" s="173"/>
      <c r="QWX282" s="173"/>
      <c r="QWY282" s="173"/>
      <c r="QWZ282" s="173"/>
      <c r="QXA282" s="173"/>
      <c r="QXB282" s="173"/>
      <c r="QXC282" s="173"/>
      <c r="QXD282" s="173"/>
      <c r="QXE282" s="173"/>
      <c r="QXF282" s="173"/>
      <c r="QXG282" s="125"/>
      <c r="QXH282" s="125"/>
      <c r="QXI282" s="134"/>
      <c r="QXJ282" s="135"/>
      <c r="QXK282" s="135"/>
      <c r="QXL282" s="135"/>
      <c r="QXM282" s="135"/>
      <c r="QXN282" s="173"/>
      <c r="QXO282" s="173"/>
      <c r="QXP282" s="173"/>
      <c r="QXQ282" s="173"/>
      <c r="QXR282" s="173"/>
      <c r="QXS282" s="173"/>
      <c r="QXT282" s="173"/>
      <c r="QXU282" s="173"/>
      <c r="QXV282" s="173"/>
      <c r="QXW282" s="173"/>
      <c r="QXX282" s="125"/>
      <c r="QXY282" s="125"/>
      <c r="QXZ282" s="134"/>
      <c r="QYA282" s="135"/>
      <c r="QYB282" s="135"/>
      <c r="QYC282" s="135"/>
      <c r="QYD282" s="135"/>
      <c r="QYE282" s="173"/>
      <c r="QYF282" s="173"/>
      <c r="QYG282" s="173"/>
      <c r="QYH282" s="173"/>
      <c r="QYI282" s="173"/>
      <c r="QYJ282" s="173"/>
      <c r="QYK282" s="173"/>
      <c r="QYL282" s="173"/>
      <c r="QYM282" s="173"/>
      <c r="QYN282" s="173"/>
      <c r="QYO282" s="125"/>
      <c r="QYP282" s="125"/>
      <c r="QYQ282" s="134"/>
      <c r="QYR282" s="135"/>
      <c r="QYS282" s="135"/>
      <c r="QYT282" s="135"/>
      <c r="QYU282" s="135"/>
      <c r="QYV282" s="173"/>
      <c r="QYW282" s="173"/>
      <c r="QYX282" s="173"/>
      <c r="QYY282" s="173"/>
      <c r="QYZ282" s="173"/>
      <c r="QZA282" s="173"/>
      <c r="QZB282" s="173"/>
      <c r="QZC282" s="173"/>
      <c r="QZD282" s="173"/>
      <c r="QZE282" s="173"/>
      <c r="QZF282" s="125"/>
      <c r="QZG282" s="125"/>
      <c r="QZH282" s="134"/>
      <c r="QZI282" s="135"/>
      <c r="QZJ282" s="135"/>
      <c r="QZK282" s="135"/>
      <c r="QZL282" s="135"/>
      <c r="QZM282" s="173"/>
      <c r="QZN282" s="173"/>
      <c r="QZO282" s="173"/>
      <c r="QZP282" s="173"/>
      <c r="QZQ282" s="173"/>
      <c r="QZR282" s="173"/>
      <c r="QZS282" s="173"/>
      <c r="QZT282" s="173"/>
      <c r="QZU282" s="173"/>
      <c r="QZV282" s="173"/>
      <c r="QZW282" s="125"/>
      <c r="QZX282" s="125"/>
      <c r="QZY282" s="134"/>
      <c r="QZZ282" s="135"/>
      <c r="RAA282" s="135"/>
      <c r="RAB282" s="135"/>
      <c r="RAC282" s="135"/>
      <c r="RAD282" s="173"/>
      <c r="RAE282" s="173"/>
      <c r="RAF282" s="173"/>
      <c r="RAG282" s="173"/>
      <c r="RAH282" s="173"/>
      <c r="RAI282" s="173"/>
      <c r="RAJ282" s="173"/>
      <c r="RAK282" s="173"/>
      <c r="RAL282" s="173"/>
      <c r="RAM282" s="173"/>
      <c r="RAN282" s="125"/>
      <c r="RAO282" s="125"/>
      <c r="RAP282" s="134"/>
      <c r="RAQ282" s="135"/>
      <c r="RAR282" s="135"/>
      <c r="RAS282" s="135"/>
      <c r="RAT282" s="135"/>
      <c r="RAU282" s="173"/>
      <c r="RAV282" s="173"/>
      <c r="RAW282" s="173"/>
      <c r="RAX282" s="173"/>
      <c r="RAY282" s="173"/>
      <c r="RAZ282" s="173"/>
      <c r="RBA282" s="173"/>
      <c r="RBB282" s="173"/>
      <c r="RBC282" s="173"/>
      <c r="RBD282" s="173"/>
      <c r="RBE282" s="125"/>
      <c r="RBF282" s="125"/>
      <c r="RBG282" s="134"/>
      <c r="RBH282" s="135"/>
      <c r="RBI282" s="135"/>
      <c r="RBJ282" s="135"/>
      <c r="RBK282" s="135"/>
      <c r="RBL282" s="173"/>
      <c r="RBM282" s="173"/>
      <c r="RBN282" s="173"/>
      <c r="RBO282" s="173"/>
      <c r="RBP282" s="173"/>
      <c r="RBQ282" s="173"/>
      <c r="RBR282" s="173"/>
      <c r="RBS282" s="173"/>
      <c r="RBT282" s="173"/>
      <c r="RBU282" s="173"/>
      <c r="RBV282" s="125"/>
      <c r="RBW282" s="125"/>
      <c r="RBX282" s="134"/>
      <c r="RBY282" s="135"/>
      <c r="RBZ282" s="135"/>
      <c r="RCA282" s="135"/>
      <c r="RCB282" s="135"/>
      <c r="RCC282" s="173"/>
      <c r="RCD282" s="173"/>
      <c r="RCE282" s="173"/>
      <c r="RCF282" s="173"/>
      <c r="RCG282" s="173"/>
      <c r="RCH282" s="173"/>
      <c r="RCI282" s="173"/>
      <c r="RCJ282" s="173"/>
      <c r="RCK282" s="173"/>
      <c r="RCL282" s="173"/>
      <c r="RCM282" s="125"/>
      <c r="RCN282" s="125"/>
      <c r="RCO282" s="134"/>
      <c r="RCP282" s="135"/>
      <c r="RCQ282" s="135"/>
      <c r="RCR282" s="135"/>
      <c r="RCS282" s="135"/>
      <c r="RCT282" s="173"/>
      <c r="RCU282" s="173"/>
      <c r="RCV282" s="173"/>
      <c r="RCW282" s="173"/>
      <c r="RCX282" s="173"/>
      <c r="RCY282" s="173"/>
      <c r="RCZ282" s="173"/>
      <c r="RDA282" s="173"/>
      <c r="RDB282" s="173"/>
      <c r="RDC282" s="173"/>
      <c r="RDD282" s="125"/>
      <c r="RDE282" s="125"/>
      <c r="RDF282" s="134"/>
      <c r="RDG282" s="135"/>
      <c r="RDH282" s="135"/>
      <c r="RDI282" s="135"/>
      <c r="RDJ282" s="135"/>
      <c r="RDK282" s="173"/>
      <c r="RDL282" s="173"/>
      <c r="RDM282" s="173"/>
      <c r="RDN282" s="173"/>
      <c r="RDO282" s="173"/>
      <c r="RDP282" s="173"/>
      <c r="RDQ282" s="173"/>
      <c r="RDR282" s="173"/>
      <c r="RDS282" s="173"/>
      <c r="RDT282" s="173"/>
      <c r="RDU282" s="125"/>
      <c r="RDV282" s="125"/>
      <c r="RDW282" s="134"/>
      <c r="RDX282" s="135"/>
      <c r="RDY282" s="135"/>
      <c r="RDZ282" s="135"/>
      <c r="REA282" s="135"/>
      <c r="REB282" s="173"/>
      <c r="REC282" s="173"/>
      <c r="RED282" s="173"/>
      <c r="REE282" s="173"/>
      <c r="REF282" s="173"/>
      <c r="REG282" s="173"/>
      <c r="REH282" s="173"/>
      <c r="REI282" s="173"/>
      <c r="REJ282" s="173"/>
      <c r="REK282" s="173"/>
      <c r="REL282" s="125"/>
      <c r="REM282" s="125"/>
      <c r="REN282" s="134"/>
      <c r="REO282" s="135"/>
      <c r="REP282" s="135"/>
      <c r="REQ282" s="135"/>
      <c r="RER282" s="135"/>
      <c r="RES282" s="173"/>
      <c r="RET282" s="173"/>
      <c r="REU282" s="173"/>
      <c r="REV282" s="173"/>
      <c r="REW282" s="173"/>
      <c r="REX282" s="173"/>
      <c r="REY282" s="173"/>
      <c r="REZ282" s="173"/>
      <c r="RFA282" s="173"/>
      <c r="RFB282" s="173"/>
      <c r="RFC282" s="125"/>
      <c r="RFD282" s="125"/>
      <c r="RFE282" s="134"/>
      <c r="RFF282" s="135"/>
      <c r="RFG282" s="135"/>
      <c r="RFH282" s="135"/>
      <c r="RFI282" s="135"/>
      <c r="RFJ282" s="173"/>
      <c r="RFK282" s="173"/>
      <c r="RFL282" s="173"/>
      <c r="RFM282" s="173"/>
      <c r="RFN282" s="173"/>
      <c r="RFO282" s="173"/>
      <c r="RFP282" s="173"/>
      <c r="RFQ282" s="173"/>
      <c r="RFR282" s="173"/>
      <c r="RFS282" s="173"/>
      <c r="RFT282" s="125"/>
      <c r="RFU282" s="125"/>
      <c r="RFV282" s="134"/>
      <c r="RFW282" s="135"/>
      <c r="RFX282" s="135"/>
      <c r="RFY282" s="135"/>
      <c r="RFZ282" s="135"/>
      <c r="RGA282" s="173"/>
      <c r="RGB282" s="173"/>
      <c r="RGC282" s="173"/>
      <c r="RGD282" s="173"/>
      <c r="RGE282" s="173"/>
      <c r="RGF282" s="173"/>
      <c r="RGG282" s="173"/>
      <c r="RGH282" s="173"/>
      <c r="RGI282" s="173"/>
      <c r="RGJ282" s="173"/>
      <c r="RGK282" s="125"/>
      <c r="RGL282" s="125"/>
      <c r="RGM282" s="134"/>
      <c r="RGN282" s="135"/>
      <c r="RGO282" s="135"/>
      <c r="RGP282" s="135"/>
      <c r="RGQ282" s="135"/>
      <c r="RGR282" s="173"/>
      <c r="RGS282" s="173"/>
      <c r="RGT282" s="173"/>
      <c r="RGU282" s="173"/>
      <c r="RGV282" s="173"/>
      <c r="RGW282" s="173"/>
      <c r="RGX282" s="173"/>
      <c r="RGY282" s="173"/>
      <c r="RGZ282" s="173"/>
      <c r="RHA282" s="173"/>
      <c r="RHB282" s="125"/>
      <c r="RHC282" s="125"/>
      <c r="RHD282" s="134"/>
      <c r="RHE282" s="135"/>
      <c r="RHF282" s="135"/>
      <c r="RHG282" s="135"/>
      <c r="RHH282" s="135"/>
      <c r="RHI282" s="173"/>
      <c r="RHJ282" s="173"/>
      <c r="RHK282" s="173"/>
      <c r="RHL282" s="173"/>
      <c r="RHM282" s="173"/>
      <c r="RHN282" s="173"/>
      <c r="RHO282" s="173"/>
      <c r="RHP282" s="173"/>
      <c r="RHQ282" s="173"/>
      <c r="RHR282" s="173"/>
      <c r="RHS282" s="125"/>
      <c r="RHT282" s="125"/>
      <c r="RHU282" s="134"/>
      <c r="RHV282" s="135"/>
      <c r="RHW282" s="135"/>
      <c r="RHX282" s="135"/>
      <c r="RHY282" s="135"/>
      <c r="RHZ282" s="173"/>
      <c r="RIA282" s="173"/>
      <c r="RIB282" s="173"/>
      <c r="RIC282" s="173"/>
      <c r="RID282" s="173"/>
      <c r="RIE282" s="173"/>
      <c r="RIF282" s="173"/>
      <c r="RIG282" s="173"/>
      <c r="RIH282" s="173"/>
      <c r="RII282" s="173"/>
      <c r="RIJ282" s="125"/>
      <c r="RIK282" s="125"/>
      <c r="RIL282" s="134"/>
      <c r="RIM282" s="135"/>
      <c r="RIN282" s="135"/>
      <c r="RIO282" s="135"/>
      <c r="RIP282" s="135"/>
      <c r="RIQ282" s="173"/>
      <c r="RIR282" s="173"/>
      <c r="RIS282" s="173"/>
      <c r="RIT282" s="173"/>
      <c r="RIU282" s="173"/>
      <c r="RIV282" s="173"/>
      <c r="RIW282" s="173"/>
      <c r="RIX282" s="173"/>
      <c r="RIY282" s="173"/>
      <c r="RIZ282" s="173"/>
      <c r="RJA282" s="125"/>
      <c r="RJB282" s="125"/>
      <c r="RJC282" s="134"/>
      <c r="RJD282" s="135"/>
      <c r="RJE282" s="135"/>
      <c r="RJF282" s="135"/>
      <c r="RJG282" s="135"/>
      <c r="RJH282" s="173"/>
      <c r="RJI282" s="173"/>
      <c r="RJJ282" s="173"/>
      <c r="RJK282" s="173"/>
      <c r="RJL282" s="173"/>
      <c r="RJM282" s="173"/>
      <c r="RJN282" s="173"/>
      <c r="RJO282" s="173"/>
      <c r="RJP282" s="173"/>
      <c r="RJQ282" s="173"/>
      <c r="RJR282" s="125"/>
      <c r="RJS282" s="125"/>
      <c r="RJT282" s="134"/>
      <c r="RJU282" s="135"/>
      <c r="RJV282" s="135"/>
      <c r="RJW282" s="135"/>
      <c r="RJX282" s="135"/>
      <c r="RJY282" s="173"/>
      <c r="RJZ282" s="173"/>
      <c r="RKA282" s="173"/>
      <c r="RKB282" s="173"/>
      <c r="RKC282" s="173"/>
      <c r="RKD282" s="173"/>
      <c r="RKE282" s="173"/>
      <c r="RKF282" s="173"/>
      <c r="RKG282" s="173"/>
      <c r="RKH282" s="173"/>
      <c r="RKI282" s="125"/>
      <c r="RKJ282" s="125"/>
      <c r="RKK282" s="134"/>
      <c r="RKL282" s="135"/>
      <c r="RKM282" s="135"/>
      <c r="RKN282" s="135"/>
      <c r="RKO282" s="135"/>
      <c r="RKP282" s="173"/>
      <c r="RKQ282" s="173"/>
      <c r="RKR282" s="173"/>
      <c r="RKS282" s="173"/>
      <c r="RKT282" s="173"/>
      <c r="RKU282" s="173"/>
      <c r="RKV282" s="173"/>
      <c r="RKW282" s="173"/>
      <c r="RKX282" s="173"/>
      <c r="RKY282" s="173"/>
      <c r="RKZ282" s="125"/>
      <c r="RLA282" s="125"/>
      <c r="RLB282" s="134"/>
      <c r="RLC282" s="135"/>
      <c r="RLD282" s="135"/>
      <c r="RLE282" s="135"/>
      <c r="RLF282" s="135"/>
      <c r="RLG282" s="173"/>
      <c r="RLH282" s="173"/>
      <c r="RLI282" s="173"/>
      <c r="RLJ282" s="173"/>
      <c r="RLK282" s="173"/>
      <c r="RLL282" s="173"/>
      <c r="RLM282" s="173"/>
      <c r="RLN282" s="173"/>
      <c r="RLO282" s="173"/>
      <c r="RLP282" s="173"/>
      <c r="RLQ282" s="125"/>
      <c r="RLR282" s="125"/>
      <c r="RLS282" s="134"/>
      <c r="RLT282" s="135"/>
      <c r="RLU282" s="135"/>
      <c r="RLV282" s="135"/>
      <c r="RLW282" s="135"/>
      <c r="RLX282" s="173"/>
      <c r="RLY282" s="173"/>
      <c r="RLZ282" s="173"/>
      <c r="RMA282" s="173"/>
      <c r="RMB282" s="173"/>
      <c r="RMC282" s="173"/>
      <c r="RMD282" s="173"/>
      <c r="RME282" s="173"/>
      <c r="RMF282" s="173"/>
      <c r="RMG282" s="173"/>
      <c r="RMH282" s="125"/>
      <c r="RMI282" s="125"/>
      <c r="RMJ282" s="134"/>
      <c r="RMK282" s="135"/>
      <c r="RML282" s="135"/>
      <c r="RMM282" s="135"/>
      <c r="RMN282" s="135"/>
      <c r="RMO282" s="173"/>
      <c r="RMP282" s="173"/>
      <c r="RMQ282" s="173"/>
      <c r="RMR282" s="173"/>
      <c r="RMS282" s="173"/>
      <c r="RMT282" s="173"/>
      <c r="RMU282" s="173"/>
      <c r="RMV282" s="173"/>
      <c r="RMW282" s="173"/>
      <c r="RMX282" s="173"/>
      <c r="RMY282" s="125"/>
      <c r="RMZ282" s="125"/>
      <c r="RNA282" s="134"/>
      <c r="RNB282" s="135"/>
      <c r="RNC282" s="135"/>
      <c r="RND282" s="135"/>
      <c r="RNE282" s="135"/>
      <c r="RNF282" s="173"/>
      <c r="RNG282" s="173"/>
      <c r="RNH282" s="173"/>
      <c r="RNI282" s="173"/>
      <c r="RNJ282" s="173"/>
      <c r="RNK282" s="173"/>
      <c r="RNL282" s="173"/>
      <c r="RNM282" s="173"/>
      <c r="RNN282" s="173"/>
      <c r="RNO282" s="173"/>
      <c r="RNP282" s="125"/>
      <c r="RNQ282" s="125"/>
      <c r="RNR282" s="134"/>
      <c r="RNS282" s="135"/>
      <c r="RNT282" s="135"/>
      <c r="RNU282" s="135"/>
      <c r="RNV282" s="135"/>
      <c r="RNW282" s="173"/>
      <c r="RNX282" s="173"/>
      <c r="RNY282" s="173"/>
      <c r="RNZ282" s="173"/>
      <c r="ROA282" s="173"/>
      <c r="ROB282" s="173"/>
      <c r="ROC282" s="173"/>
      <c r="ROD282" s="173"/>
      <c r="ROE282" s="173"/>
      <c r="ROF282" s="173"/>
      <c r="ROG282" s="125"/>
      <c r="ROH282" s="125"/>
      <c r="ROI282" s="134"/>
      <c r="ROJ282" s="135"/>
      <c r="ROK282" s="135"/>
      <c r="ROL282" s="135"/>
      <c r="ROM282" s="135"/>
      <c r="RON282" s="173"/>
      <c r="ROO282" s="173"/>
      <c r="ROP282" s="173"/>
      <c r="ROQ282" s="173"/>
      <c r="ROR282" s="173"/>
      <c r="ROS282" s="173"/>
      <c r="ROT282" s="173"/>
      <c r="ROU282" s="173"/>
      <c r="ROV282" s="173"/>
      <c r="ROW282" s="173"/>
      <c r="ROX282" s="125"/>
      <c r="ROY282" s="125"/>
      <c r="ROZ282" s="134"/>
      <c r="RPA282" s="135"/>
      <c r="RPB282" s="135"/>
      <c r="RPC282" s="135"/>
      <c r="RPD282" s="135"/>
      <c r="RPE282" s="173"/>
      <c r="RPF282" s="173"/>
      <c r="RPG282" s="173"/>
      <c r="RPH282" s="173"/>
      <c r="RPI282" s="173"/>
      <c r="RPJ282" s="173"/>
      <c r="RPK282" s="173"/>
      <c r="RPL282" s="173"/>
      <c r="RPM282" s="173"/>
      <c r="RPN282" s="173"/>
      <c r="RPO282" s="125"/>
      <c r="RPP282" s="125"/>
      <c r="RPQ282" s="134"/>
      <c r="RPR282" s="135"/>
      <c r="RPS282" s="135"/>
      <c r="RPT282" s="135"/>
      <c r="RPU282" s="135"/>
      <c r="RPV282" s="173"/>
      <c r="RPW282" s="173"/>
      <c r="RPX282" s="173"/>
      <c r="RPY282" s="173"/>
      <c r="RPZ282" s="173"/>
      <c r="RQA282" s="173"/>
      <c r="RQB282" s="173"/>
      <c r="RQC282" s="173"/>
      <c r="RQD282" s="173"/>
      <c r="RQE282" s="173"/>
      <c r="RQF282" s="125"/>
      <c r="RQG282" s="125"/>
      <c r="RQH282" s="134"/>
      <c r="RQI282" s="135"/>
      <c r="RQJ282" s="135"/>
      <c r="RQK282" s="135"/>
      <c r="RQL282" s="135"/>
      <c r="RQM282" s="173"/>
      <c r="RQN282" s="173"/>
      <c r="RQO282" s="173"/>
      <c r="RQP282" s="173"/>
      <c r="RQQ282" s="173"/>
      <c r="RQR282" s="173"/>
      <c r="RQS282" s="173"/>
      <c r="RQT282" s="173"/>
      <c r="RQU282" s="173"/>
      <c r="RQV282" s="173"/>
      <c r="RQW282" s="125"/>
      <c r="RQX282" s="125"/>
      <c r="RQY282" s="134"/>
      <c r="RQZ282" s="135"/>
      <c r="RRA282" s="135"/>
      <c r="RRB282" s="135"/>
      <c r="RRC282" s="135"/>
      <c r="RRD282" s="173"/>
      <c r="RRE282" s="173"/>
      <c r="RRF282" s="173"/>
      <c r="RRG282" s="173"/>
      <c r="RRH282" s="173"/>
      <c r="RRI282" s="173"/>
      <c r="RRJ282" s="173"/>
      <c r="RRK282" s="173"/>
      <c r="RRL282" s="173"/>
      <c r="RRM282" s="173"/>
      <c r="RRN282" s="125"/>
      <c r="RRO282" s="125"/>
      <c r="RRP282" s="134"/>
      <c r="RRQ282" s="135"/>
      <c r="RRR282" s="135"/>
      <c r="RRS282" s="135"/>
      <c r="RRT282" s="135"/>
      <c r="RRU282" s="173"/>
      <c r="RRV282" s="173"/>
      <c r="RRW282" s="173"/>
      <c r="RRX282" s="173"/>
      <c r="RRY282" s="173"/>
      <c r="RRZ282" s="173"/>
      <c r="RSA282" s="173"/>
      <c r="RSB282" s="173"/>
      <c r="RSC282" s="173"/>
      <c r="RSD282" s="173"/>
      <c r="RSE282" s="125"/>
      <c r="RSF282" s="125"/>
      <c r="RSG282" s="134"/>
      <c r="RSH282" s="135"/>
      <c r="RSI282" s="135"/>
      <c r="RSJ282" s="135"/>
      <c r="RSK282" s="135"/>
      <c r="RSL282" s="173"/>
      <c r="RSM282" s="173"/>
      <c r="RSN282" s="173"/>
      <c r="RSO282" s="173"/>
      <c r="RSP282" s="173"/>
      <c r="RSQ282" s="173"/>
      <c r="RSR282" s="173"/>
      <c r="RSS282" s="173"/>
      <c r="RST282" s="173"/>
      <c r="RSU282" s="173"/>
      <c r="RSV282" s="125"/>
      <c r="RSW282" s="125"/>
      <c r="RSX282" s="134"/>
      <c r="RSY282" s="135"/>
      <c r="RSZ282" s="135"/>
      <c r="RTA282" s="135"/>
      <c r="RTB282" s="135"/>
      <c r="RTC282" s="173"/>
      <c r="RTD282" s="173"/>
      <c r="RTE282" s="173"/>
      <c r="RTF282" s="173"/>
      <c r="RTG282" s="173"/>
      <c r="RTH282" s="173"/>
      <c r="RTI282" s="173"/>
      <c r="RTJ282" s="173"/>
      <c r="RTK282" s="173"/>
      <c r="RTL282" s="173"/>
      <c r="RTM282" s="125"/>
      <c r="RTN282" s="125"/>
      <c r="RTO282" s="134"/>
      <c r="RTP282" s="135"/>
      <c r="RTQ282" s="135"/>
      <c r="RTR282" s="135"/>
      <c r="RTS282" s="135"/>
      <c r="RTT282" s="173"/>
      <c r="RTU282" s="173"/>
      <c r="RTV282" s="173"/>
      <c r="RTW282" s="173"/>
      <c r="RTX282" s="173"/>
      <c r="RTY282" s="173"/>
      <c r="RTZ282" s="173"/>
      <c r="RUA282" s="173"/>
      <c r="RUB282" s="173"/>
      <c r="RUC282" s="173"/>
      <c r="RUD282" s="125"/>
      <c r="RUE282" s="125"/>
      <c r="RUF282" s="134"/>
      <c r="RUG282" s="135"/>
      <c r="RUH282" s="135"/>
      <c r="RUI282" s="135"/>
      <c r="RUJ282" s="135"/>
      <c r="RUK282" s="173"/>
      <c r="RUL282" s="173"/>
      <c r="RUM282" s="173"/>
      <c r="RUN282" s="173"/>
      <c r="RUO282" s="173"/>
      <c r="RUP282" s="173"/>
      <c r="RUQ282" s="173"/>
      <c r="RUR282" s="173"/>
      <c r="RUS282" s="173"/>
      <c r="RUT282" s="173"/>
      <c r="RUU282" s="125"/>
      <c r="RUV282" s="125"/>
      <c r="RUW282" s="134"/>
      <c r="RUX282" s="135"/>
      <c r="RUY282" s="135"/>
      <c r="RUZ282" s="135"/>
      <c r="RVA282" s="135"/>
      <c r="RVB282" s="173"/>
      <c r="RVC282" s="173"/>
      <c r="RVD282" s="173"/>
      <c r="RVE282" s="173"/>
      <c r="RVF282" s="173"/>
      <c r="RVG282" s="173"/>
      <c r="RVH282" s="173"/>
      <c r="RVI282" s="173"/>
      <c r="RVJ282" s="173"/>
      <c r="RVK282" s="173"/>
      <c r="RVL282" s="125"/>
      <c r="RVM282" s="125"/>
      <c r="RVN282" s="134"/>
      <c r="RVO282" s="135"/>
      <c r="RVP282" s="135"/>
      <c r="RVQ282" s="135"/>
      <c r="RVR282" s="135"/>
      <c r="RVS282" s="173"/>
      <c r="RVT282" s="173"/>
      <c r="RVU282" s="173"/>
      <c r="RVV282" s="173"/>
      <c r="RVW282" s="173"/>
      <c r="RVX282" s="173"/>
      <c r="RVY282" s="173"/>
      <c r="RVZ282" s="173"/>
      <c r="RWA282" s="173"/>
      <c r="RWB282" s="173"/>
      <c r="RWC282" s="125"/>
      <c r="RWD282" s="125"/>
      <c r="RWE282" s="134"/>
      <c r="RWF282" s="135"/>
      <c r="RWG282" s="135"/>
      <c r="RWH282" s="135"/>
      <c r="RWI282" s="135"/>
      <c r="RWJ282" s="173"/>
      <c r="RWK282" s="173"/>
      <c r="RWL282" s="173"/>
      <c r="RWM282" s="173"/>
      <c r="RWN282" s="173"/>
      <c r="RWO282" s="173"/>
      <c r="RWP282" s="173"/>
      <c r="RWQ282" s="173"/>
      <c r="RWR282" s="173"/>
      <c r="RWS282" s="173"/>
      <c r="RWT282" s="125"/>
      <c r="RWU282" s="125"/>
      <c r="RWV282" s="134"/>
      <c r="RWW282" s="135"/>
      <c r="RWX282" s="135"/>
      <c r="RWY282" s="135"/>
      <c r="RWZ282" s="135"/>
      <c r="RXA282" s="173"/>
      <c r="RXB282" s="173"/>
      <c r="RXC282" s="173"/>
      <c r="RXD282" s="173"/>
      <c r="RXE282" s="173"/>
      <c r="RXF282" s="173"/>
      <c r="RXG282" s="173"/>
      <c r="RXH282" s="173"/>
      <c r="RXI282" s="173"/>
      <c r="RXJ282" s="173"/>
      <c r="RXK282" s="125"/>
      <c r="RXL282" s="125"/>
      <c r="RXM282" s="134"/>
      <c r="RXN282" s="135"/>
      <c r="RXO282" s="135"/>
      <c r="RXP282" s="135"/>
      <c r="RXQ282" s="135"/>
      <c r="RXR282" s="173"/>
      <c r="RXS282" s="173"/>
      <c r="RXT282" s="173"/>
      <c r="RXU282" s="173"/>
      <c r="RXV282" s="173"/>
      <c r="RXW282" s="173"/>
      <c r="RXX282" s="173"/>
      <c r="RXY282" s="173"/>
      <c r="RXZ282" s="173"/>
      <c r="RYA282" s="173"/>
      <c r="RYB282" s="125"/>
      <c r="RYC282" s="125"/>
      <c r="RYD282" s="134"/>
      <c r="RYE282" s="135"/>
      <c r="RYF282" s="135"/>
      <c r="RYG282" s="135"/>
      <c r="RYH282" s="135"/>
      <c r="RYI282" s="173"/>
      <c r="RYJ282" s="173"/>
      <c r="RYK282" s="173"/>
      <c r="RYL282" s="173"/>
      <c r="RYM282" s="173"/>
      <c r="RYN282" s="173"/>
      <c r="RYO282" s="173"/>
      <c r="RYP282" s="173"/>
      <c r="RYQ282" s="173"/>
      <c r="RYR282" s="173"/>
      <c r="RYS282" s="125"/>
      <c r="RYT282" s="125"/>
      <c r="RYU282" s="134"/>
      <c r="RYV282" s="135"/>
      <c r="RYW282" s="135"/>
      <c r="RYX282" s="135"/>
      <c r="RYY282" s="135"/>
      <c r="RYZ282" s="173"/>
      <c r="RZA282" s="173"/>
      <c r="RZB282" s="173"/>
      <c r="RZC282" s="173"/>
      <c r="RZD282" s="173"/>
      <c r="RZE282" s="173"/>
      <c r="RZF282" s="173"/>
      <c r="RZG282" s="173"/>
      <c r="RZH282" s="173"/>
      <c r="RZI282" s="173"/>
      <c r="RZJ282" s="125"/>
      <c r="RZK282" s="125"/>
      <c r="RZL282" s="134"/>
      <c r="RZM282" s="135"/>
      <c r="RZN282" s="135"/>
      <c r="RZO282" s="135"/>
      <c r="RZP282" s="135"/>
      <c r="RZQ282" s="173"/>
      <c r="RZR282" s="173"/>
      <c r="RZS282" s="173"/>
      <c r="RZT282" s="173"/>
      <c r="RZU282" s="173"/>
      <c r="RZV282" s="173"/>
      <c r="RZW282" s="173"/>
      <c r="RZX282" s="173"/>
      <c r="RZY282" s="173"/>
      <c r="RZZ282" s="173"/>
      <c r="SAA282" s="125"/>
      <c r="SAB282" s="125"/>
      <c r="SAC282" s="134"/>
      <c r="SAD282" s="135"/>
      <c r="SAE282" s="135"/>
      <c r="SAF282" s="135"/>
      <c r="SAG282" s="135"/>
      <c r="SAH282" s="173"/>
      <c r="SAI282" s="173"/>
      <c r="SAJ282" s="173"/>
      <c r="SAK282" s="173"/>
      <c r="SAL282" s="173"/>
      <c r="SAM282" s="173"/>
      <c r="SAN282" s="173"/>
      <c r="SAO282" s="173"/>
      <c r="SAP282" s="173"/>
      <c r="SAQ282" s="173"/>
      <c r="SAR282" s="125"/>
      <c r="SAS282" s="125"/>
      <c r="SAT282" s="134"/>
      <c r="SAU282" s="135"/>
      <c r="SAV282" s="135"/>
      <c r="SAW282" s="135"/>
      <c r="SAX282" s="135"/>
      <c r="SAY282" s="173"/>
      <c r="SAZ282" s="173"/>
      <c r="SBA282" s="173"/>
      <c r="SBB282" s="173"/>
      <c r="SBC282" s="173"/>
      <c r="SBD282" s="173"/>
      <c r="SBE282" s="173"/>
      <c r="SBF282" s="173"/>
      <c r="SBG282" s="173"/>
      <c r="SBH282" s="173"/>
      <c r="SBI282" s="125"/>
      <c r="SBJ282" s="125"/>
      <c r="SBK282" s="134"/>
      <c r="SBL282" s="135"/>
      <c r="SBM282" s="135"/>
      <c r="SBN282" s="135"/>
      <c r="SBO282" s="135"/>
      <c r="SBP282" s="173"/>
      <c r="SBQ282" s="173"/>
      <c r="SBR282" s="173"/>
      <c r="SBS282" s="173"/>
      <c r="SBT282" s="173"/>
      <c r="SBU282" s="173"/>
      <c r="SBV282" s="173"/>
      <c r="SBW282" s="173"/>
      <c r="SBX282" s="173"/>
      <c r="SBY282" s="173"/>
      <c r="SBZ282" s="125"/>
      <c r="SCA282" s="125"/>
      <c r="SCB282" s="134"/>
      <c r="SCC282" s="135"/>
      <c r="SCD282" s="135"/>
      <c r="SCE282" s="135"/>
      <c r="SCF282" s="135"/>
      <c r="SCG282" s="173"/>
      <c r="SCH282" s="173"/>
      <c r="SCI282" s="173"/>
      <c r="SCJ282" s="173"/>
      <c r="SCK282" s="173"/>
      <c r="SCL282" s="173"/>
      <c r="SCM282" s="173"/>
      <c r="SCN282" s="173"/>
      <c r="SCO282" s="173"/>
      <c r="SCP282" s="173"/>
      <c r="SCQ282" s="125"/>
      <c r="SCR282" s="125"/>
      <c r="SCS282" s="134"/>
      <c r="SCT282" s="135"/>
      <c r="SCU282" s="135"/>
      <c r="SCV282" s="135"/>
      <c r="SCW282" s="135"/>
      <c r="SCX282" s="173"/>
      <c r="SCY282" s="173"/>
      <c r="SCZ282" s="173"/>
      <c r="SDA282" s="173"/>
      <c r="SDB282" s="173"/>
      <c r="SDC282" s="173"/>
      <c r="SDD282" s="173"/>
      <c r="SDE282" s="173"/>
      <c r="SDF282" s="173"/>
      <c r="SDG282" s="173"/>
      <c r="SDH282" s="125"/>
      <c r="SDI282" s="125"/>
      <c r="SDJ282" s="134"/>
      <c r="SDK282" s="135"/>
      <c r="SDL282" s="135"/>
      <c r="SDM282" s="135"/>
      <c r="SDN282" s="135"/>
      <c r="SDO282" s="173"/>
      <c r="SDP282" s="173"/>
      <c r="SDQ282" s="173"/>
      <c r="SDR282" s="173"/>
      <c r="SDS282" s="173"/>
      <c r="SDT282" s="173"/>
      <c r="SDU282" s="173"/>
      <c r="SDV282" s="173"/>
      <c r="SDW282" s="173"/>
      <c r="SDX282" s="173"/>
      <c r="SDY282" s="125"/>
      <c r="SDZ282" s="125"/>
      <c r="SEA282" s="134"/>
      <c r="SEB282" s="135"/>
      <c r="SEC282" s="135"/>
      <c r="SED282" s="135"/>
      <c r="SEE282" s="135"/>
      <c r="SEF282" s="173"/>
      <c r="SEG282" s="173"/>
      <c r="SEH282" s="173"/>
      <c r="SEI282" s="173"/>
      <c r="SEJ282" s="173"/>
      <c r="SEK282" s="173"/>
      <c r="SEL282" s="173"/>
      <c r="SEM282" s="173"/>
      <c r="SEN282" s="173"/>
      <c r="SEO282" s="173"/>
      <c r="SEP282" s="125"/>
      <c r="SEQ282" s="125"/>
      <c r="SER282" s="134"/>
      <c r="SES282" s="135"/>
      <c r="SET282" s="135"/>
      <c r="SEU282" s="135"/>
      <c r="SEV282" s="135"/>
      <c r="SEW282" s="173"/>
      <c r="SEX282" s="173"/>
      <c r="SEY282" s="173"/>
      <c r="SEZ282" s="173"/>
      <c r="SFA282" s="173"/>
      <c r="SFB282" s="173"/>
      <c r="SFC282" s="173"/>
      <c r="SFD282" s="173"/>
      <c r="SFE282" s="173"/>
      <c r="SFF282" s="173"/>
      <c r="SFG282" s="125"/>
      <c r="SFH282" s="125"/>
      <c r="SFI282" s="134"/>
      <c r="SFJ282" s="135"/>
      <c r="SFK282" s="135"/>
      <c r="SFL282" s="135"/>
      <c r="SFM282" s="135"/>
      <c r="SFN282" s="173"/>
      <c r="SFO282" s="173"/>
      <c r="SFP282" s="173"/>
      <c r="SFQ282" s="173"/>
      <c r="SFR282" s="173"/>
      <c r="SFS282" s="173"/>
      <c r="SFT282" s="173"/>
      <c r="SFU282" s="173"/>
      <c r="SFV282" s="173"/>
      <c r="SFW282" s="173"/>
      <c r="SFX282" s="125"/>
      <c r="SFY282" s="125"/>
      <c r="SFZ282" s="134"/>
      <c r="SGA282" s="135"/>
      <c r="SGB282" s="135"/>
      <c r="SGC282" s="135"/>
      <c r="SGD282" s="135"/>
      <c r="SGE282" s="173"/>
      <c r="SGF282" s="173"/>
      <c r="SGG282" s="173"/>
      <c r="SGH282" s="173"/>
      <c r="SGI282" s="173"/>
      <c r="SGJ282" s="173"/>
      <c r="SGK282" s="173"/>
      <c r="SGL282" s="173"/>
      <c r="SGM282" s="173"/>
      <c r="SGN282" s="173"/>
      <c r="SGO282" s="125"/>
      <c r="SGP282" s="125"/>
      <c r="SGQ282" s="134"/>
      <c r="SGR282" s="135"/>
      <c r="SGS282" s="135"/>
      <c r="SGT282" s="135"/>
      <c r="SGU282" s="135"/>
      <c r="SGV282" s="173"/>
      <c r="SGW282" s="173"/>
      <c r="SGX282" s="173"/>
      <c r="SGY282" s="173"/>
      <c r="SGZ282" s="173"/>
      <c r="SHA282" s="173"/>
      <c r="SHB282" s="173"/>
      <c r="SHC282" s="173"/>
      <c r="SHD282" s="173"/>
      <c r="SHE282" s="173"/>
      <c r="SHF282" s="125"/>
      <c r="SHG282" s="125"/>
      <c r="SHH282" s="134"/>
      <c r="SHI282" s="135"/>
      <c r="SHJ282" s="135"/>
      <c r="SHK282" s="135"/>
      <c r="SHL282" s="135"/>
      <c r="SHM282" s="173"/>
      <c r="SHN282" s="173"/>
      <c r="SHO282" s="173"/>
      <c r="SHP282" s="173"/>
      <c r="SHQ282" s="173"/>
      <c r="SHR282" s="173"/>
      <c r="SHS282" s="173"/>
      <c r="SHT282" s="173"/>
      <c r="SHU282" s="173"/>
      <c r="SHV282" s="173"/>
      <c r="SHW282" s="125"/>
      <c r="SHX282" s="125"/>
      <c r="SHY282" s="134"/>
      <c r="SHZ282" s="135"/>
      <c r="SIA282" s="135"/>
      <c r="SIB282" s="135"/>
      <c r="SIC282" s="135"/>
      <c r="SID282" s="173"/>
      <c r="SIE282" s="173"/>
      <c r="SIF282" s="173"/>
      <c r="SIG282" s="173"/>
      <c r="SIH282" s="173"/>
      <c r="SII282" s="173"/>
      <c r="SIJ282" s="173"/>
      <c r="SIK282" s="173"/>
      <c r="SIL282" s="173"/>
      <c r="SIM282" s="173"/>
      <c r="SIN282" s="125"/>
      <c r="SIO282" s="125"/>
      <c r="SIP282" s="134"/>
      <c r="SIQ282" s="135"/>
      <c r="SIR282" s="135"/>
      <c r="SIS282" s="135"/>
      <c r="SIT282" s="135"/>
      <c r="SIU282" s="173"/>
      <c r="SIV282" s="173"/>
      <c r="SIW282" s="173"/>
      <c r="SIX282" s="173"/>
      <c r="SIY282" s="173"/>
      <c r="SIZ282" s="173"/>
      <c r="SJA282" s="173"/>
      <c r="SJB282" s="173"/>
      <c r="SJC282" s="173"/>
      <c r="SJD282" s="173"/>
      <c r="SJE282" s="125"/>
      <c r="SJF282" s="125"/>
      <c r="SJG282" s="134"/>
      <c r="SJH282" s="135"/>
      <c r="SJI282" s="135"/>
      <c r="SJJ282" s="135"/>
      <c r="SJK282" s="135"/>
      <c r="SJL282" s="173"/>
      <c r="SJM282" s="173"/>
      <c r="SJN282" s="173"/>
      <c r="SJO282" s="173"/>
      <c r="SJP282" s="173"/>
      <c r="SJQ282" s="173"/>
      <c r="SJR282" s="173"/>
      <c r="SJS282" s="173"/>
      <c r="SJT282" s="173"/>
      <c r="SJU282" s="173"/>
      <c r="SJV282" s="125"/>
      <c r="SJW282" s="125"/>
      <c r="SJX282" s="134"/>
      <c r="SJY282" s="135"/>
      <c r="SJZ282" s="135"/>
      <c r="SKA282" s="135"/>
      <c r="SKB282" s="135"/>
      <c r="SKC282" s="173"/>
      <c r="SKD282" s="173"/>
      <c r="SKE282" s="173"/>
      <c r="SKF282" s="173"/>
      <c r="SKG282" s="173"/>
      <c r="SKH282" s="173"/>
      <c r="SKI282" s="173"/>
      <c r="SKJ282" s="173"/>
      <c r="SKK282" s="173"/>
      <c r="SKL282" s="173"/>
      <c r="SKM282" s="125"/>
      <c r="SKN282" s="125"/>
      <c r="SKO282" s="134"/>
      <c r="SKP282" s="135"/>
      <c r="SKQ282" s="135"/>
      <c r="SKR282" s="135"/>
      <c r="SKS282" s="135"/>
      <c r="SKT282" s="173"/>
      <c r="SKU282" s="173"/>
      <c r="SKV282" s="173"/>
      <c r="SKW282" s="173"/>
      <c r="SKX282" s="173"/>
      <c r="SKY282" s="173"/>
      <c r="SKZ282" s="173"/>
      <c r="SLA282" s="173"/>
      <c r="SLB282" s="173"/>
      <c r="SLC282" s="173"/>
      <c r="SLD282" s="125"/>
      <c r="SLE282" s="125"/>
      <c r="SLF282" s="134"/>
      <c r="SLG282" s="135"/>
      <c r="SLH282" s="135"/>
      <c r="SLI282" s="135"/>
      <c r="SLJ282" s="135"/>
      <c r="SLK282" s="173"/>
      <c r="SLL282" s="173"/>
      <c r="SLM282" s="173"/>
      <c r="SLN282" s="173"/>
      <c r="SLO282" s="173"/>
      <c r="SLP282" s="173"/>
      <c r="SLQ282" s="173"/>
      <c r="SLR282" s="173"/>
      <c r="SLS282" s="173"/>
      <c r="SLT282" s="173"/>
      <c r="SLU282" s="125"/>
      <c r="SLV282" s="125"/>
      <c r="SLW282" s="134"/>
      <c r="SLX282" s="135"/>
      <c r="SLY282" s="135"/>
      <c r="SLZ282" s="135"/>
      <c r="SMA282" s="135"/>
      <c r="SMB282" s="173"/>
      <c r="SMC282" s="173"/>
      <c r="SMD282" s="173"/>
      <c r="SME282" s="173"/>
      <c r="SMF282" s="173"/>
      <c r="SMG282" s="173"/>
      <c r="SMH282" s="173"/>
      <c r="SMI282" s="173"/>
      <c r="SMJ282" s="173"/>
      <c r="SMK282" s="173"/>
      <c r="SML282" s="125"/>
      <c r="SMM282" s="125"/>
      <c r="SMN282" s="134"/>
      <c r="SMO282" s="135"/>
      <c r="SMP282" s="135"/>
      <c r="SMQ282" s="135"/>
      <c r="SMR282" s="135"/>
      <c r="SMS282" s="173"/>
      <c r="SMT282" s="173"/>
      <c r="SMU282" s="173"/>
      <c r="SMV282" s="173"/>
      <c r="SMW282" s="173"/>
      <c r="SMX282" s="173"/>
      <c r="SMY282" s="173"/>
      <c r="SMZ282" s="173"/>
      <c r="SNA282" s="173"/>
      <c r="SNB282" s="173"/>
      <c r="SNC282" s="125"/>
      <c r="SND282" s="125"/>
      <c r="SNE282" s="134"/>
      <c r="SNF282" s="135"/>
      <c r="SNG282" s="135"/>
      <c r="SNH282" s="135"/>
      <c r="SNI282" s="135"/>
      <c r="SNJ282" s="173"/>
      <c r="SNK282" s="173"/>
      <c r="SNL282" s="173"/>
      <c r="SNM282" s="173"/>
      <c r="SNN282" s="173"/>
      <c r="SNO282" s="173"/>
      <c r="SNP282" s="173"/>
      <c r="SNQ282" s="173"/>
      <c r="SNR282" s="173"/>
      <c r="SNS282" s="173"/>
      <c r="SNT282" s="125"/>
      <c r="SNU282" s="125"/>
      <c r="SNV282" s="134"/>
      <c r="SNW282" s="135"/>
      <c r="SNX282" s="135"/>
      <c r="SNY282" s="135"/>
      <c r="SNZ282" s="135"/>
      <c r="SOA282" s="173"/>
      <c r="SOB282" s="173"/>
      <c r="SOC282" s="173"/>
      <c r="SOD282" s="173"/>
      <c r="SOE282" s="173"/>
      <c r="SOF282" s="173"/>
      <c r="SOG282" s="173"/>
      <c r="SOH282" s="173"/>
      <c r="SOI282" s="173"/>
      <c r="SOJ282" s="173"/>
      <c r="SOK282" s="125"/>
      <c r="SOL282" s="125"/>
      <c r="SOM282" s="134"/>
      <c r="SON282" s="135"/>
      <c r="SOO282" s="135"/>
      <c r="SOP282" s="135"/>
      <c r="SOQ282" s="135"/>
      <c r="SOR282" s="173"/>
      <c r="SOS282" s="173"/>
      <c r="SOT282" s="173"/>
      <c r="SOU282" s="173"/>
      <c r="SOV282" s="173"/>
      <c r="SOW282" s="173"/>
      <c r="SOX282" s="173"/>
      <c r="SOY282" s="173"/>
      <c r="SOZ282" s="173"/>
      <c r="SPA282" s="173"/>
      <c r="SPB282" s="125"/>
      <c r="SPC282" s="125"/>
      <c r="SPD282" s="134"/>
      <c r="SPE282" s="135"/>
      <c r="SPF282" s="135"/>
      <c r="SPG282" s="135"/>
      <c r="SPH282" s="135"/>
      <c r="SPI282" s="173"/>
      <c r="SPJ282" s="173"/>
      <c r="SPK282" s="173"/>
      <c r="SPL282" s="173"/>
      <c r="SPM282" s="173"/>
      <c r="SPN282" s="173"/>
      <c r="SPO282" s="173"/>
      <c r="SPP282" s="173"/>
      <c r="SPQ282" s="173"/>
      <c r="SPR282" s="173"/>
      <c r="SPS282" s="125"/>
      <c r="SPT282" s="125"/>
      <c r="SPU282" s="134"/>
      <c r="SPV282" s="135"/>
      <c r="SPW282" s="135"/>
      <c r="SPX282" s="135"/>
      <c r="SPY282" s="135"/>
      <c r="SPZ282" s="173"/>
      <c r="SQA282" s="173"/>
      <c r="SQB282" s="173"/>
      <c r="SQC282" s="173"/>
      <c r="SQD282" s="173"/>
      <c r="SQE282" s="173"/>
      <c r="SQF282" s="173"/>
      <c r="SQG282" s="173"/>
      <c r="SQH282" s="173"/>
      <c r="SQI282" s="173"/>
      <c r="SQJ282" s="125"/>
      <c r="SQK282" s="125"/>
      <c r="SQL282" s="134"/>
      <c r="SQM282" s="135"/>
      <c r="SQN282" s="135"/>
      <c r="SQO282" s="135"/>
      <c r="SQP282" s="135"/>
      <c r="SQQ282" s="173"/>
      <c r="SQR282" s="173"/>
      <c r="SQS282" s="173"/>
      <c r="SQT282" s="173"/>
      <c r="SQU282" s="173"/>
      <c r="SQV282" s="173"/>
      <c r="SQW282" s="173"/>
      <c r="SQX282" s="173"/>
      <c r="SQY282" s="173"/>
      <c r="SQZ282" s="173"/>
      <c r="SRA282" s="125"/>
      <c r="SRB282" s="125"/>
      <c r="SRC282" s="134"/>
      <c r="SRD282" s="135"/>
      <c r="SRE282" s="135"/>
      <c r="SRF282" s="135"/>
      <c r="SRG282" s="135"/>
      <c r="SRH282" s="173"/>
      <c r="SRI282" s="173"/>
      <c r="SRJ282" s="173"/>
      <c r="SRK282" s="173"/>
      <c r="SRL282" s="173"/>
      <c r="SRM282" s="173"/>
      <c r="SRN282" s="173"/>
      <c r="SRO282" s="173"/>
      <c r="SRP282" s="173"/>
      <c r="SRQ282" s="173"/>
      <c r="SRR282" s="125"/>
      <c r="SRS282" s="125"/>
      <c r="SRT282" s="134"/>
      <c r="SRU282" s="135"/>
      <c r="SRV282" s="135"/>
      <c r="SRW282" s="135"/>
      <c r="SRX282" s="135"/>
      <c r="SRY282" s="173"/>
      <c r="SRZ282" s="173"/>
      <c r="SSA282" s="173"/>
      <c r="SSB282" s="173"/>
      <c r="SSC282" s="173"/>
      <c r="SSD282" s="173"/>
      <c r="SSE282" s="173"/>
      <c r="SSF282" s="173"/>
      <c r="SSG282" s="173"/>
      <c r="SSH282" s="173"/>
      <c r="SSI282" s="125"/>
      <c r="SSJ282" s="125"/>
      <c r="SSK282" s="134"/>
      <c r="SSL282" s="135"/>
      <c r="SSM282" s="135"/>
      <c r="SSN282" s="135"/>
      <c r="SSO282" s="135"/>
      <c r="SSP282" s="173"/>
      <c r="SSQ282" s="173"/>
      <c r="SSR282" s="173"/>
      <c r="SSS282" s="173"/>
      <c r="SST282" s="173"/>
      <c r="SSU282" s="173"/>
      <c r="SSV282" s="173"/>
      <c r="SSW282" s="173"/>
      <c r="SSX282" s="173"/>
      <c r="SSY282" s="173"/>
      <c r="SSZ282" s="125"/>
      <c r="STA282" s="125"/>
      <c r="STB282" s="134"/>
      <c r="STC282" s="135"/>
      <c r="STD282" s="135"/>
      <c r="STE282" s="135"/>
      <c r="STF282" s="135"/>
      <c r="STG282" s="173"/>
      <c r="STH282" s="173"/>
      <c r="STI282" s="173"/>
      <c r="STJ282" s="173"/>
      <c r="STK282" s="173"/>
      <c r="STL282" s="173"/>
      <c r="STM282" s="173"/>
      <c r="STN282" s="173"/>
      <c r="STO282" s="173"/>
      <c r="STP282" s="173"/>
      <c r="STQ282" s="125"/>
      <c r="STR282" s="125"/>
      <c r="STS282" s="134"/>
      <c r="STT282" s="135"/>
      <c r="STU282" s="135"/>
      <c r="STV282" s="135"/>
      <c r="STW282" s="135"/>
      <c r="STX282" s="173"/>
      <c r="STY282" s="173"/>
      <c r="STZ282" s="173"/>
      <c r="SUA282" s="173"/>
      <c r="SUB282" s="173"/>
      <c r="SUC282" s="173"/>
      <c r="SUD282" s="173"/>
      <c r="SUE282" s="173"/>
      <c r="SUF282" s="173"/>
      <c r="SUG282" s="173"/>
      <c r="SUH282" s="125"/>
      <c r="SUI282" s="125"/>
      <c r="SUJ282" s="134"/>
      <c r="SUK282" s="135"/>
      <c r="SUL282" s="135"/>
      <c r="SUM282" s="135"/>
      <c r="SUN282" s="135"/>
      <c r="SUO282" s="173"/>
      <c r="SUP282" s="173"/>
      <c r="SUQ282" s="173"/>
      <c r="SUR282" s="173"/>
      <c r="SUS282" s="173"/>
      <c r="SUT282" s="173"/>
      <c r="SUU282" s="173"/>
      <c r="SUV282" s="173"/>
      <c r="SUW282" s="173"/>
      <c r="SUX282" s="173"/>
      <c r="SUY282" s="125"/>
      <c r="SUZ282" s="125"/>
      <c r="SVA282" s="134"/>
      <c r="SVB282" s="135"/>
      <c r="SVC282" s="135"/>
      <c r="SVD282" s="135"/>
      <c r="SVE282" s="135"/>
      <c r="SVF282" s="173"/>
      <c r="SVG282" s="173"/>
      <c r="SVH282" s="173"/>
      <c r="SVI282" s="173"/>
      <c r="SVJ282" s="173"/>
      <c r="SVK282" s="173"/>
      <c r="SVL282" s="173"/>
      <c r="SVM282" s="173"/>
      <c r="SVN282" s="173"/>
      <c r="SVO282" s="173"/>
      <c r="SVP282" s="125"/>
      <c r="SVQ282" s="125"/>
      <c r="SVR282" s="134"/>
      <c r="SVS282" s="135"/>
      <c r="SVT282" s="135"/>
      <c r="SVU282" s="135"/>
      <c r="SVV282" s="135"/>
      <c r="SVW282" s="173"/>
      <c r="SVX282" s="173"/>
      <c r="SVY282" s="173"/>
      <c r="SVZ282" s="173"/>
      <c r="SWA282" s="173"/>
      <c r="SWB282" s="173"/>
      <c r="SWC282" s="173"/>
      <c r="SWD282" s="173"/>
      <c r="SWE282" s="173"/>
      <c r="SWF282" s="173"/>
      <c r="SWG282" s="125"/>
      <c r="SWH282" s="125"/>
      <c r="SWI282" s="134"/>
      <c r="SWJ282" s="135"/>
      <c r="SWK282" s="135"/>
      <c r="SWL282" s="135"/>
      <c r="SWM282" s="135"/>
      <c r="SWN282" s="173"/>
      <c r="SWO282" s="173"/>
      <c r="SWP282" s="173"/>
      <c r="SWQ282" s="173"/>
      <c r="SWR282" s="173"/>
      <c r="SWS282" s="173"/>
      <c r="SWT282" s="173"/>
      <c r="SWU282" s="173"/>
      <c r="SWV282" s="173"/>
      <c r="SWW282" s="173"/>
      <c r="SWX282" s="125"/>
      <c r="SWY282" s="125"/>
      <c r="SWZ282" s="134"/>
      <c r="SXA282" s="135"/>
      <c r="SXB282" s="135"/>
      <c r="SXC282" s="135"/>
      <c r="SXD282" s="135"/>
      <c r="SXE282" s="173"/>
      <c r="SXF282" s="173"/>
      <c r="SXG282" s="173"/>
      <c r="SXH282" s="173"/>
      <c r="SXI282" s="173"/>
      <c r="SXJ282" s="173"/>
      <c r="SXK282" s="173"/>
      <c r="SXL282" s="173"/>
      <c r="SXM282" s="173"/>
      <c r="SXN282" s="173"/>
      <c r="SXO282" s="125"/>
      <c r="SXP282" s="125"/>
      <c r="SXQ282" s="134"/>
      <c r="SXR282" s="135"/>
      <c r="SXS282" s="135"/>
      <c r="SXT282" s="135"/>
      <c r="SXU282" s="135"/>
      <c r="SXV282" s="173"/>
      <c r="SXW282" s="173"/>
      <c r="SXX282" s="173"/>
      <c r="SXY282" s="173"/>
      <c r="SXZ282" s="173"/>
      <c r="SYA282" s="173"/>
      <c r="SYB282" s="173"/>
      <c r="SYC282" s="173"/>
      <c r="SYD282" s="173"/>
      <c r="SYE282" s="173"/>
      <c r="SYF282" s="125"/>
      <c r="SYG282" s="125"/>
      <c r="SYH282" s="134"/>
      <c r="SYI282" s="135"/>
      <c r="SYJ282" s="135"/>
      <c r="SYK282" s="135"/>
      <c r="SYL282" s="135"/>
      <c r="SYM282" s="173"/>
      <c r="SYN282" s="173"/>
      <c r="SYO282" s="173"/>
      <c r="SYP282" s="173"/>
      <c r="SYQ282" s="173"/>
      <c r="SYR282" s="173"/>
      <c r="SYS282" s="173"/>
      <c r="SYT282" s="173"/>
      <c r="SYU282" s="173"/>
      <c r="SYV282" s="173"/>
      <c r="SYW282" s="125"/>
      <c r="SYX282" s="125"/>
      <c r="SYY282" s="134"/>
      <c r="SYZ282" s="135"/>
      <c r="SZA282" s="135"/>
      <c r="SZB282" s="135"/>
      <c r="SZC282" s="135"/>
      <c r="SZD282" s="173"/>
      <c r="SZE282" s="173"/>
      <c r="SZF282" s="173"/>
      <c r="SZG282" s="173"/>
      <c r="SZH282" s="173"/>
      <c r="SZI282" s="173"/>
      <c r="SZJ282" s="173"/>
      <c r="SZK282" s="173"/>
      <c r="SZL282" s="173"/>
      <c r="SZM282" s="173"/>
      <c r="SZN282" s="125"/>
      <c r="SZO282" s="125"/>
      <c r="SZP282" s="134"/>
      <c r="SZQ282" s="135"/>
      <c r="SZR282" s="135"/>
      <c r="SZS282" s="135"/>
      <c r="SZT282" s="135"/>
      <c r="SZU282" s="173"/>
      <c r="SZV282" s="173"/>
      <c r="SZW282" s="173"/>
      <c r="SZX282" s="173"/>
      <c r="SZY282" s="173"/>
      <c r="SZZ282" s="173"/>
      <c r="TAA282" s="173"/>
      <c r="TAB282" s="173"/>
      <c r="TAC282" s="173"/>
      <c r="TAD282" s="173"/>
      <c r="TAE282" s="125"/>
      <c r="TAF282" s="125"/>
      <c r="TAG282" s="134"/>
      <c r="TAH282" s="135"/>
      <c r="TAI282" s="135"/>
      <c r="TAJ282" s="135"/>
      <c r="TAK282" s="135"/>
      <c r="TAL282" s="173"/>
      <c r="TAM282" s="173"/>
      <c r="TAN282" s="173"/>
      <c r="TAO282" s="173"/>
      <c r="TAP282" s="173"/>
      <c r="TAQ282" s="173"/>
      <c r="TAR282" s="173"/>
      <c r="TAS282" s="173"/>
      <c r="TAT282" s="173"/>
      <c r="TAU282" s="173"/>
      <c r="TAV282" s="125"/>
      <c r="TAW282" s="125"/>
      <c r="TAX282" s="134"/>
      <c r="TAY282" s="135"/>
      <c r="TAZ282" s="135"/>
      <c r="TBA282" s="135"/>
      <c r="TBB282" s="135"/>
      <c r="TBC282" s="173"/>
      <c r="TBD282" s="173"/>
      <c r="TBE282" s="173"/>
      <c r="TBF282" s="173"/>
      <c r="TBG282" s="173"/>
      <c r="TBH282" s="173"/>
      <c r="TBI282" s="173"/>
      <c r="TBJ282" s="173"/>
      <c r="TBK282" s="173"/>
      <c r="TBL282" s="173"/>
      <c r="TBM282" s="125"/>
      <c r="TBN282" s="125"/>
      <c r="TBO282" s="134"/>
      <c r="TBP282" s="135"/>
      <c r="TBQ282" s="135"/>
      <c r="TBR282" s="135"/>
      <c r="TBS282" s="135"/>
      <c r="TBT282" s="173"/>
      <c r="TBU282" s="173"/>
      <c r="TBV282" s="173"/>
      <c r="TBW282" s="173"/>
      <c r="TBX282" s="173"/>
      <c r="TBY282" s="173"/>
      <c r="TBZ282" s="173"/>
      <c r="TCA282" s="173"/>
      <c r="TCB282" s="173"/>
      <c r="TCC282" s="173"/>
      <c r="TCD282" s="125"/>
      <c r="TCE282" s="125"/>
      <c r="TCF282" s="134"/>
      <c r="TCG282" s="135"/>
      <c r="TCH282" s="135"/>
      <c r="TCI282" s="135"/>
      <c r="TCJ282" s="135"/>
      <c r="TCK282" s="173"/>
      <c r="TCL282" s="173"/>
      <c r="TCM282" s="173"/>
      <c r="TCN282" s="173"/>
      <c r="TCO282" s="173"/>
      <c r="TCP282" s="173"/>
      <c r="TCQ282" s="173"/>
      <c r="TCR282" s="173"/>
      <c r="TCS282" s="173"/>
      <c r="TCT282" s="173"/>
      <c r="TCU282" s="125"/>
      <c r="TCV282" s="125"/>
      <c r="TCW282" s="134"/>
      <c r="TCX282" s="135"/>
      <c r="TCY282" s="135"/>
      <c r="TCZ282" s="135"/>
      <c r="TDA282" s="135"/>
      <c r="TDB282" s="173"/>
      <c r="TDC282" s="173"/>
      <c r="TDD282" s="173"/>
      <c r="TDE282" s="173"/>
      <c r="TDF282" s="173"/>
      <c r="TDG282" s="173"/>
      <c r="TDH282" s="173"/>
      <c r="TDI282" s="173"/>
      <c r="TDJ282" s="173"/>
      <c r="TDK282" s="173"/>
      <c r="TDL282" s="125"/>
      <c r="TDM282" s="125"/>
      <c r="TDN282" s="134"/>
      <c r="TDO282" s="135"/>
      <c r="TDP282" s="135"/>
      <c r="TDQ282" s="135"/>
      <c r="TDR282" s="135"/>
      <c r="TDS282" s="173"/>
      <c r="TDT282" s="173"/>
      <c r="TDU282" s="173"/>
      <c r="TDV282" s="173"/>
      <c r="TDW282" s="173"/>
      <c r="TDX282" s="173"/>
      <c r="TDY282" s="173"/>
      <c r="TDZ282" s="173"/>
      <c r="TEA282" s="173"/>
      <c r="TEB282" s="173"/>
      <c r="TEC282" s="125"/>
      <c r="TED282" s="125"/>
      <c r="TEE282" s="134"/>
      <c r="TEF282" s="135"/>
      <c r="TEG282" s="135"/>
      <c r="TEH282" s="135"/>
      <c r="TEI282" s="135"/>
      <c r="TEJ282" s="173"/>
      <c r="TEK282" s="173"/>
      <c r="TEL282" s="173"/>
      <c r="TEM282" s="173"/>
      <c r="TEN282" s="173"/>
      <c r="TEO282" s="173"/>
      <c r="TEP282" s="173"/>
      <c r="TEQ282" s="173"/>
      <c r="TER282" s="173"/>
      <c r="TES282" s="173"/>
      <c r="TET282" s="125"/>
      <c r="TEU282" s="125"/>
      <c r="TEV282" s="134"/>
      <c r="TEW282" s="135"/>
      <c r="TEX282" s="135"/>
      <c r="TEY282" s="135"/>
      <c r="TEZ282" s="135"/>
      <c r="TFA282" s="173"/>
      <c r="TFB282" s="173"/>
      <c r="TFC282" s="173"/>
      <c r="TFD282" s="173"/>
      <c r="TFE282" s="173"/>
      <c r="TFF282" s="173"/>
      <c r="TFG282" s="173"/>
      <c r="TFH282" s="173"/>
      <c r="TFI282" s="173"/>
      <c r="TFJ282" s="173"/>
      <c r="TFK282" s="125"/>
      <c r="TFL282" s="125"/>
      <c r="TFM282" s="134"/>
      <c r="TFN282" s="135"/>
      <c r="TFO282" s="135"/>
      <c r="TFP282" s="135"/>
      <c r="TFQ282" s="135"/>
      <c r="TFR282" s="173"/>
      <c r="TFS282" s="173"/>
      <c r="TFT282" s="173"/>
      <c r="TFU282" s="173"/>
      <c r="TFV282" s="173"/>
      <c r="TFW282" s="173"/>
      <c r="TFX282" s="173"/>
      <c r="TFY282" s="173"/>
      <c r="TFZ282" s="173"/>
      <c r="TGA282" s="173"/>
      <c r="TGB282" s="125"/>
      <c r="TGC282" s="125"/>
      <c r="TGD282" s="134"/>
      <c r="TGE282" s="135"/>
      <c r="TGF282" s="135"/>
      <c r="TGG282" s="135"/>
      <c r="TGH282" s="135"/>
      <c r="TGI282" s="173"/>
      <c r="TGJ282" s="173"/>
      <c r="TGK282" s="173"/>
      <c r="TGL282" s="173"/>
      <c r="TGM282" s="173"/>
      <c r="TGN282" s="173"/>
      <c r="TGO282" s="173"/>
      <c r="TGP282" s="173"/>
      <c r="TGQ282" s="173"/>
      <c r="TGR282" s="173"/>
      <c r="TGS282" s="125"/>
      <c r="TGT282" s="125"/>
      <c r="TGU282" s="134"/>
      <c r="TGV282" s="135"/>
      <c r="TGW282" s="135"/>
      <c r="TGX282" s="135"/>
      <c r="TGY282" s="135"/>
      <c r="TGZ282" s="173"/>
      <c r="THA282" s="173"/>
      <c r="THB282" s="173"/>
      <c r="THC282" s="173"/>
      <c r="THD282" s="173"/>
      <c r="THE282" s="173"/>
      <c r="THF282" s="173"/>
      <c r="THG282" s="173"/>
      <c r="THH282" s="173"/>
      <c r="THI282" s="173"/>
      <c r="THJ282" s="125"/>
      <c r="THK282" s="125"/>
      <c r="THL282" s="134"/>
      <c r="THM282" s="135"/>
      <c r="THN282" s="135"/>
      <c r="THO282" s="135"/>
      <c r="THP282" s="135"/>
      <c r="THQ282" s="173"/>
      <c r="THR282" s="173"/>
      <c r="THS282" s="173"/>
      <c r="THT282" s="173"/>
      <c r="THU282" s="173"/>
      <c r="THV282" s="173"/>
      <c r="THW282" s="173"/>
      <c r="THX282" s="173"/>
      <c r="THY282" s="173"/>
      <c r="THZ282" s="173"/>
      <c r="TIA282" s="125"/>
      <c r="TIB282" s="125"/>
      <c r="TIC282" s="134"/>
      <c r="TID282" s="135"/>
      <c r="TIE282" s="135"/>
      <c r="TIF282" s="135"/>
      <c r="TIG282" s="135"/>
      <c r="TIH282" s="173"/>
      <c r="TII282" s="173"/>
      <c r="TIJ282" s="173"/>
      <c r="TIK282" s="173"/>
      <c r="TIL282" s="173"/>
      <c r="TIM282" s="173"/>
      <c r="TIN282" s="173"/>
      <c r="TIO282" s="173"/>
      <c r="TIP282" s="173"/>
      <c r="TIQ282" s="173"/>
      <c r="TIR282" s="125"/>
      <c r="TIS282" s="125"/>
      <c r="TIT282" s="134"/>
      <c r="TIU282" s="135"/>
      <c r="TIV282" s="135"/>
      <c r="TIW282" s="135"/>
      <c r="TIX282" s="135"/>
      <c r="TIY282" s="173"/>
      <c r="TIZ282" s="173"/>
      <c r="TJA282" s="173"/>
      <c r="TJB282" s="173"/>
      <c r="TJC282" s="173"/>
      <c r="TJD282" s="173"/>
      <c r="TJE282" s="173"/>
      <c r="TJF282" s="173"/>
      <c r="TJG282" s="173"/>
      <c r="TJH282" s="173"/>
      <c r="TJI282" s="125"/>
      <c r="TJJ282" s="125"/>
      <c r="TJK282" s="134"/>
      <c r="TJL282" s="135"/>
      <c r="TJM282" s="135"/>
      <c r="TJN282" s="135"/>
      <c r="TJO282" s="135"/>
      <c r="TJP282" s="173"/>
      <c r="TJQ282" s="173"/>
      <c r="TJR282" s="173"/>
      <c r="TJS282" s="173"/>
      <c r="TJT282" s="173"/>
      <c r="TJU282" s="173"/>
      <c r="TJV282" s="173"/>
      <c r="TJW282" s="173"/>
      <c r="TJX282" s="173"/>
      <c r="TJY282" s="173"/>
      <c r="TJZ282" s="125"/>
      <c r="TKA282" s="125"/>
      <c r="TKB282" s="134"/>
      <c r="TKC282" s="135"/>
      <c r="TKD282" s="135"/>
      <c r="TKE282" s="135"/>
      <c r="TKF282" s="135"/>
      <c r="TKG282" s="173"/>
      <c r="TKH282" s="173"/>
      <c r="TKI282" s="173"/>
      <c r="TKJ282" s="173"/>
      <c r="TKK282" s="173"/>
      <c r="TKL282" s="173"/>
      <c r="TKM282" s="173"/>
      <c r="TKN282" s="173"/>
      <c r="TKO282" s="173"/>
      <c r="TKP282" s="173"/>
      <c r="TKQ282" s="125"/>
      <c r="TKR282" s="125"/>
      <c r="TKS282" s="134"/>
      <c r="TKT282" s="135"/>
      <c r="TKU282" s="135"/>
      <c r="TKV282" s="135"/>
      <c r="TKW282" s="135"/>
      <c r="TKX282" s="173"/>
      <c r="TKY282" s="173"/>
      <c r="TKZ282" s="173"/>
      <c r="TLA282" s="173"/>
      <c r="TLB282" s="173"/>
      <c r="TLC282" s="173"/>
      <c r="TLD282" s="173"/>
      <c r="TLE282" s="173"/>
      <c r="TLF282" s="173"/>
      <c r="TLG282" s="173"/>
      <c r="TLH282" s="125"/>
      <c r="TLI282" s="125"/>
      <c r="TLJ282" s="134"/>
      <c r="TLK282" s="135"/>
      <c r="TLL282" s="135"/>
      <c r="TLM282" s="135"/>
      <c r="TLN282" s="135"/>
      <c r="TLO282" s="173"/>
      <c r="TLP282" s="173"/>
      <c r="TLQ282" s="173"/>
      <c r="TLR282" s="173"/>
      <c r="TLS282" s="173"/>
      <c r="TLT282" s="173"/>
      <c r="TLU282" s="173"/>
      <c r="TLV282" s="173"/>
      <c r="TLW282" s="173"/>
      <c r="TLX282" s="173"/>
      <c r="TLY282" s="125"/>
      <c r="TLZ282" s="125"/>
      <c r="TMA282" s="134"/>
      <c r="TMB282" s="135"/>
      <c r="TMC282" s="135"/>
      <c r="TMD282" s="135"/>
      <c r="TME282" s="135"/>
      <c r="TMF282" s="173"/>
      <c r="TMG282" s="173"/>
      <c r="TMH282" s="173"/>
      <c r="TMI282" s="173"/>
      <c r="TMJ282" s="173"/>
      <c r="TMK282" s="173"/>
      <c r="TML282" s="173"/>
      <c r="TMM282" s="173"/>
      <c r="TMN282" s="173"/>
      <c r="TMO282" s="173"/>
      <c r="TMP282" s="125"/>
      <c r="TMQ282" s="125"/>
      <c r="TMR282" s="134"/>
      <c r="TMS282" s="135"/>
      <c r="TMT282" s="135"/>
      <c r="TMU282" s="135"/>
      <c r="TMV282" s="135"/>
      <c r="TMW282" s="173"/>
      <c r="TMX282" s="173"/>
      <c r="TMY282" s="173"/>
      <c r="TMZ282" s="173"/>
      <c r="TNA282" s="173"/>
      <c r="TNB282" s="173"/>
      <c r="TNC282" s="173"/>
      <c r="TND282" s="173"/>
      <c r="TNE282" s="173"/>
      <c r="TNF282" s="173"/>
      <c r="TNG282" s="125"/>
      <c r="TNH282" s="125"/>
      <c r="TNI282" s="134"/>
      <c r="TNJ282" s="135"/>
      <c r="TNK282" s="135"/>
      <c r="TNL282" s="135"/>
      <c r="TNM282" s="135"/>
      <c r="TNN282" s="173"/>
      <c r="TNO282" s="173"/>
      <c r="TNP282" s="173"/>
      <c r="TNQ282" s="173"/>
      <c r="TNR282" s="173"/>
      <c r="TNS282" s="173"/>
      <c r="TNT282" s="173"/>
      <c r="TNU282" s="173"/>
      <c r="TNV282" s="173"/>
      <c r="TNW282" s="173"/>
      <c r="TNX282" s="125"/>
      <c r="TNY282" s="125"/>
      <c r="TNZ282" s="134"/>
      <c r="TOA282" s="135"/>
      <c r="TOB282" s="135"/>
      <c r="TOC282" s="135"/>
      <c r="TOD282" s="135"/>
      <c r="TOE282" s="173"/>
      <c r="TOF282" s="173"/>
      <c r="TOG282" s="173"/>
      <c r="TOH282" s="173"/>
      <c r="TOI282" s="173"/>
      <c r="TOJ282" s="173"/>
      <c r="TOK282" s="173"/>
      <c r="TOL282" s="173"/>
      <c r="TOM282" s="173"/>
      <c r="TON282" s="173"/>
      <c r="TOO282" s="125"/>
      <c r="TOP282" s="125"/>
      <c r="TOQ282" s="134"/>
      <c r="TOR282" s="135"/>
      <c r="TOS282" s="135"/>
      <c r="TOT282" s="135"/>
      <c r="TOU282" s="135"/>
      <c r="TOV282" s="173"/>
      <c r="TOW282" s="173"/>
      <c r="TOX282" s="173"/>
      <c r="TOY282" s="173"/>
      <c r="TOZ282" s="173"/>
      <c r="TPA282" s="173"/>
      <c r="TPB282" s="173"/>
      <c r="TPC282" s="173"/>
      <c r="TPD282" s="173"/>
      <c r="TPE282" s="173"/>
      <c r="TPF282" s="125"/>
      <c r="TPG282" s="125"/>
      <c r="TPH282" s="134"/>
      <c r="TPI282" s="135"/>
      <c r="TPJ282" s="135"/>
      <c r="TPK282" s="135"/>
      <c r="TPL282" s="135"/>
      <c r="TPM282" s="173"/>
      <c r="TPN282" s="173"/>
      <c r="TPO282" s="173"/>
      <c r="TPP282" s="173"/>
      <c r="TPQ282" s="173"/>
      <c r="TPR282" s="173"/>
      <c r="TPS282" s="173"/>
      <c r="TPT282" s="173"/>
      <c r="TPU282" s="173"/>
      <c r="TPV282" s="173"/>
      <c r="TPW282" s="125"/>
      <c r="TPX282" s="125"/>
      <c r="TPY282" s="134"/>
      <c r="TPZ282" s="135"/>
      <c r="TQA282" s="135"/>
      <c r="TQB282" s="135"/>
      <c r="TQC282" s="135"/>
      <c r="TQD282" s="173"/>
      <c r="TQE282" s="173"/>
      <c r="TQF282" s="173"/>
      <c r="TQG282" s="173"/>
      <c r="TQH282" s="173"/>
      <c r="TQI282" s="173"/>
      <c r="TQJ282" s="173"/>
      <c r="TQK282" s="173"/>
      <c r="TQL282" s="173"/>
      <c r="TQM282" s="173"/>
      <c r="TQN282" s="125"/>
      <c r="TQO282" s="125"/>
      <c r="TQP282" s="134"/>
      <c r="TQQ282" s="135"/>
      <c r="TQR282" s="135"/>
      <c r="TQS282" s="135"/>
      <c r="TQT282" s="135"/>
      <c r="TQU282" s="173"/>
      <c r="TQV282" s="173"/>
      <c r="TQW282" s="173"/>
      <c r="TQX282" s="173"/>
      <c r="TQY282" s="173"/>
      <c r="TQZ282" s="173"/>
      <c r="TRA282" s="173"/>
      <c r="TRB282" s="173"/>
      <c r="TRC282" s="173"/>
      <c r="TRD282" s="173"/>
      <c r="TRE282" s="125"/>
      <c r="TRF282" s="125"/>
      <c r="TRG282" s="134"/>
      <c r="TRH282" s="135"/>
      <c r="TRI282" s="135"/>
      <c r="TRJ282" s="135"/>
      <c r="TRK282" s="135"/>
      <c r="TRL282" s="173"/>
      <c r="TRM282" s="173"/>
      <c r="TRN282" s="173"/>
      <c r="TRO282" s="173"/>
      <c r="TRP282" s="173"/>
      <c r="TRQ282" s="173"/>
      <c r="TRR282" s="173"/>
      <c r="TRS282" s="173"/>
      <c r="TRT282" s="173"/>
      <c r="TRU282" s="173"/>
      <c r="TRV282" s="125"/>
      <c r="TRW282" s="125"/>
      <c r="TRX282" s="134"/>
      <c r="TRY282" s="135"/>
      <c r="TRZ282" s="135"/>
      <c r="TSA282" s="135"/>
      <c r="TSB282" s="135"/>
      <c r="TSC282" s="173"/>
      <c r="TSD282" s="173"/>
      <c r="TSE282" s="173"/>
      <c r="TSF282" s="173"/>
      <c r="TSG282" s="173"/>
      <c r="TSH282" s="173"/>
      <c r="TSI282" s="173"/>
      <c r="TSJ282" s="173"/>
      <c r="TSK282" s="173"/>
      <c r="TSL282" s="173"/>
      <c r="TSM282" s="125"/>
      <c r="TSN282" s="125"/>
      <c r="TSO282" s="134"/>
      <c r="TSP282" s="135"/>
      <c r="TSQ282" s="135"/>
      <c r="TSR282" s="135"/>
      <c r="TSS282" s="135"/>
      <c r="TST282" s="173"/>
      <c r="TSU282" s="173"/>
      <c r="TSV282" s="173"/>
      <c r="TSW282" s="173"/>
      <c r="TSX282" s="173"/>
      <c r="TSY282" s="173"/>
      <c r="TSZ282" s="173"/>
      <c r="TTA282" s="173"/>
      <c r="TTB282" s="173"/>
      <c r="TTC282" s="173"/>
      <c r="TTD282" s="125"/>
      <c r="TTE282" s="125"/>
      <c r="TTF282" s="134"/>
      <c r="TTG282" s="135"/>
      <c r="TTH282" s="135"/>
      <c r="TTI282" s="135"/>
      <c r="TTJ282" s="135"/>
      <c r="TTK282" s="173"/>
      <c r="TTL282" s="173"/>
      <c r="TTM282" s="173"/>
      <c r="TTN282" s="173"/>
      <c r="TTO282" s="173"/>
      <c r="TTP282" s="173"/>
      <c r="TTQ282" s="173"/>
      <c r="TTR282" s="173"/>
      <c r="TTS282" s="173"/>
      <c r="TTT282" s="173"/>
      <c r="TTU282" s="125"/>
      <c r="TTV282" s="125"/>
      <c r="TTW282" s="134"/>
      <c r="TTX282" s="135"/>
      <c r="TTY282" s="135"/>
      <c r="TTZ282" s="135"/>
      <c r="TUA282" s="135"/>
      <c r="TUB282" s="173"/>
      <c r="TUC282" s="173"/>
      <c r="TUD282" s="173"/>
      <c r="TUE282" s="173"/>
      <c r="TUF282" s="173"/>
      <c r="TUG282" s="173"/>
      <c r="TUH282" s="173"/>
      <c r="TUI282" s="173"/>
      <c r="TUJ282" s="173"/>
      <c r="TUK282" s="173"/>
      <c r="TUL282" s="125"/>
      <c r="TUM282" s="125"/>
      <c r="TUN282" s="134"/>
      <c r="TUO282" s="135"/>
      <c r="TUP282" s="135"/>
      <c r="TUQ282" s="135"/>
      <c r="TUR282" s="135"/>
      <c r="TUS282" s="173"/>
      <c r="TUT282" s="173"/>
      <c r="TUU282" s="173"/>
      <c r="TUV282" s="173"/>
      <c r="TUW282" s="173"/>
      <c r="TUX282" s="173"/>
      <c r="TUY282" s="173"/>
      <c r="TUZ282" s="173"/>
      <c r="TVA282" s="173"/>
      <c r="TVB282" s="173"/>
      <c r="TVC282" s="125"/>
      <c r="TVD282" s="125"/>
      <c r="TVE282" s="134"/>
      <c r="TVF282" s="135"/>
      <c r="TVG282" s="135"/>
      <c r="TVH282" s="135"/>
      <c r="TVI282" s="135"/>
      <c r="TVJ282" s="173"/>
      <c r="TVK282" s="173"/>
      <c r="TVL282" s="173"/>
      <c r="TVM282" s="173"/>
      <c r="TVN282" s="173"/>
      <c r="TVO282" s="173"/>
      <c r="TVP282" s="173"/>
      <c r="TVQ282" s="173"/>
      <c r="TVR282" s="173"/>
      <c r="TVS282" s="173"/>
      <c r="TVT282" s="125"/>
      <c r="TVU282" s="125"/>
      <c r="TVV282" s="134"/>
      <c r="TVW282" s="135"/>
      <c r="TVX282" s="135"/>
      <c r="TVY282" s="135"/>
      <c r="TVZ282" s="135"/>
      <c r="TWA282" s="173"/>
      <c r="TWB282" s="173"/>
      <c r="TWC282" s="173"/>
      <c r="TWD282" s="173"/>
      <c r="TWE282" s="173"/>
      <c r="TWF282" s="173"/>
      <c r="TWG282" s="173"/>
      <c r="TWH282" s="173"/>
      <c r="TWI282" s="173"/>
      <c r="TWJ282" s="173"/>
      <c r="TWK282" s="125"/>
      <c r="TWL282" s="125"/>
      <c r="TWM282" s="134"/>
      <c r="TWN282" s="135"/>
      <c r="TWO282" s="135"/>
      <c r="TWP282" s="135"/>
      <c r="TWQ282" s="135"/>
      <c r="TWR282" s="173"/>
      <c r="TWS282" s="173"/>
      <c r="TWT282" s="173"/>
      <c r="TWU282" s="173"/>
      <c r="TWV282" s="173"/>
      <c r="TWW282" s="173"/>
      <c r="TWX282" s="173"/>
      <c r="TWY282" s="173"/>
      <c r="TWZ282" s="173"/>
      <c r="TXA282" s="173"/>
      <c r="TXB282" s="125"/>
      <c r="TXC282" s="125"/>
      <c r="TXD282" s="134"/>
      <c r="TXE282" s="135"/>
      <c r="TXF282" s="135"/>
      <c r="TXG282" s="135"/>
      <c r="TXH282" s="135"/>
      <c r="TXI282" s="173"/>
      <c r="TXJ282" s="173"/>
      <c r="TXK282" s="173"/>
      <c r="TXL282" s="173"/>
      <c r="TXM282" s="173"/>
      <c r="TXN282" s="173"/>
      <c r="TXO282" s="173"/>
      <c r="TXP282" s="173"/>
      <c r="TXQ282" s="173"/>
      <c r="TXR282" s="173"/>
      <c r="TXS282" s="125"/>
      <c r="TXT282" s="125"/>
      <c r="TXU282" s="134"/>
      <c r="TXV282" s="135"/>
      <c r="TXW282" s="135"/>
      <c r="TXX282" s="135"/>
      <c r="TXY282" s="135"/>
      <c r="TXZ282" s="173"/>
      <c r="TYA282" s="173"/>
      <c r="TYB282" s="173"/>
      <c r="TYC282" s="173"/>
      <c r="TYD282" s="173"/>
      <c r="TYE282" s="173"/>
      <c r="TYF282" s="173"/>
      <c r="TYG282" s="173"/>
      <c r="TYH282" s="173"/>
      <c r="TYI282" s="173"/>
      <c r="TYJ282" s="125"/>
      <c r="TYK282" s="125"/>
      <c r="TYL282" s="134"/>
      <c r="TYM282" s="135"/>
      <c r="TYN282" s="135"/>
      <c r="TYO282" s="135"/>
      <c r="TYP282" s="135"/>
      <c r="TYQ282" s="173"/>
      <c r="TYR282" s="173"/>
      <c r="TYS282" s="173"/>
      <c r="TYT282" s="173"/>
      <c r="TYU282" s="173"/>
      <c r="TYV282" s="173"/>
      <c r="TYW282" s="173"/>
      <c r="TYX282" s="173"/>
      <c r="TYY282" s="173"/>
      <c r="TYZ282" s="173"/>
      <c r="TZA282" s="125"/>
      <c r="TZB282" s="125"/>
      <c r="TZC282" s="134"/>
      <c r="TZD282" s="135"/>
      <c r="TZE282" s="135"/>
      <c r="TZF282" s="135"/>
      <c r="TZG282" s="135"/>
      <c r="TZH282" s="173"/>
      <c r="TZI282" s="173"/>
      <c r="TZJ282" s="173"/>
      <c r="TZK282" s="173"/>
      <c r="TZL282" s="173"/>
      <c r="TZM282" s="173"/>
      <c r="TZN282" s="173"/>
      <c r="TZO282" s="173"/>
      <c r="TZP282" s="173"/>
      <c r="TZQ282" s="173"/>
      <c r="TZR282" s="125"/>
      <c r="TZS282" s="125"/>
      <c r="TZT282" s="134"/>
      <c r="TZU282" s="135"/>
      <c r="TZV282" s="135"/>
      <c r="TZW282" s="135"/>
      <c r="TZX282" s="135"/>
      <c r="TZY282" s="173"/>
      <c r="TZZ282" s="173"/>
      <c r="UAA282" s="173"/>
      <c r="UAB282" s="173"/>
      <c r="UAC282" s="173"/>
      <c r="UAD282" s="173"/>
      <c r="UAE282" s="173"/>
      <c r="UAF282" s="173"/>
      <c r="UAG282" s="173"/>
      <c r="UAH282" s="173"/>
      <c r="UAI282" s="125"/>
      <c r="UAJ282" s="125"/>
      <c r="UAK282" s="134"/>
      <c r="UAL282" s="135"/>
      <c r="UAM282" s="135"/>
      <c r="UAN282" s="135"/>
      <c r="UAO282" s="135"/>
      <c r="UAP282" s="173"/>
      <c r="UAQ282" s="173"/>
      <c r="UAR282" s="173"/>
      <c r="UAS282" s="173"/>
      <c r="UAT282" s="173"/>
      <c r="UAU282" s="173"/>
      <c r="UAV282" s="173"/>
      <c r="UAW282" s="173"/>
      <c r="UAX282" s="173"/>
      <c r="UAY282" s="173"/>
      <c r="UAZ282" s="125"/>
      <c r="UBA282" s="125"/>
      <c r="UBB282" s="134"/>
      <c r="UBC282" s="135"/>
      <c r="UBD282" s="135"/>
      <c r="UBE282" s="135"/>
      <c r="UBF282" s="135"/>
      <c r="UBG282" s="173"/>
      <c r="UBH282" s="173"/>
      <c r="UBI282" s="173"/>
      <c r="UBJ282" s="173"/>
      <c r="UBK282" s="173"/>
      <c r="UBL282" s="173"/>
      <c r="UBM282" s="173"/>
      <c r="UBN282" s="173"/>
      <c r="UBO282" s="173"/>
      <c r="UBP282" s="173"/>
      <c r="UBQ282" s="125"/>
      <c r="UBR282" s="125"/>
      <c r="UBS282" s="134"/>
      <c r="UBT282" s="135"/>
      <c r="UBU282" s="135"/>
      <c r="UBV282" s="135"/>
      <c r="UBW282" s="135"/>
      <c r="UBX282" s="173"/>
      <c r="UBY282" s="173"/>
      <c r="UBZ282" s="173"/>
      <c r="UCA282" s="173"/>
      <c r="UCB282" s="173"/>
      <c r="UCC282" s="173"/>
      <c r="UCD282" s="173"/>
      <c r="UCE282" s="173"/>
      <c r="UCF282" s="173"/>
      <c r="UCG282" s="173"/>
      <c r="UCH282" s="125"/>
      <c r="UCI282" s="125"/>
      <c r="UCJ282" s="134"/>
      <c r="UCK282" s="135"/>
      <c r="UCL282" s="135"/>
      <c r="UCM282" s="135"/>
      <c r="UCN282" s="135"/>
      <c r="UCO282" s="173"/>
      <c r="UCP282" s="173"/>
      <c r="UCQ282" s="173"/>
      <c r="UCR282" s="173"/>
      <c r="UCS282" s="173"/>
      <c r="UCT282" s="173"/>
      <c r="UCU282" s="173"/>
      <c r="UCV282" s="173"/>
      <c r="UCW282" s="173"/>
      <c r="UCX282" s="173"/>
      <c r="UCY282" s="125"/>
      <c r="UCZ282" s="125"/>
      <c r="UDA282" s="134"/>
      <c r="UDB282" s="135"/>
      <c r="UDC282" s="135"/>
      <c r="UDD282" s="135"/>
      <c r="UDE282" s="135"/>
      <c r="UDF282" s="173"/>
      <c r="UDG282" s="173"/>
      <c r="UDH282" s="173"/>
      <c r="UDI282" s="173"/>
      <c r="UDJ282" s="173"/>
      <c r="UDK282" s="173"/>
      <c r="UDL282" s="173"/>
      <c r="UDM282" s="173"/>
      <c r="UDN282" s="173"/>
      <c r="UDO282" s="173"/>
      <c r="UDP282" s="125"/>
      <c r="UDQ282" s="125"/>
      <c r="UDR282" s="134"/>
      <c r="UDS282" s="135"/>
      <c r="UDT282" s="135"/>
      <c r="UDU282" s="135"/>
      <c r="UDV282" s="135"/>
      <c r="UDW282" s="173"/>
      <c r="UDX282" s="173"/>
      <c r="UDY282" s="173"/>
      <c r="UDZ282" s="173"/>
      <c r="UEA282" s="173"/>
      <c r="UEB282" s="173"/>
      <c r="UEC282" s="173"/>
      <c r="UED282" s="173"/>
      <c r="UEE282" s="173"/>
      <c r="UEF282" s="173"/>
      <c r="UEG282" s="125"/>
      <c r="UEH282" s="125"/>
      <c r="UEI282" s="134"/>
      <c r="UEJ282" s="135"/>
      <c r="UEK282" s="135"/>
      <c r="UEL282" s="135"/>
      <c r="UEM282" s="135"/>
      <c r="UEN282" s="173"/>
      <c r="UEO282" s="173"/>
      <c r="UEP282" s="173"/>
      <c r="UEQ282" s="173"/>
      <c r="UER282" s="173"/>
      <c r="UES282" s="173"/>
      <c r="UET282" s="173"/>
      <c r="UEU282" s="173"/>
      <c r="UEV282" s="173"/>
      <c r="UEW282" s="173"/>
      <c r="UEX282" s="125"/>
      <c r="UEY282" s="125"/>
      <c r="UEZ282" s="134"/>
      <c r="UFA282" s="135"/>
      <c r="UFB282" s="135"/>
      <c r="UFC282" s="135"/>
      <c r="UFD282" s="135"/>
      <c r="UFE282" s="173"/>
      <c r="UFF282" s="173"/>
      <c r="UFG282" s="173"/>
      <c r="UFH282" s="173"/>
      <c r="UFI282" s="173"/>
      <c r="UFJ282" s="173"/>
      <c r="UFK282" s="173"/>
      <c r="UFL282" s="173"/>
      <c r="UFM282" s="173"/>
      <c r="UFN282" s="173"/>
      <c r="UFO282" s="125"/>
      <c r="UFP282" s="125"/>
      <c r="UFQ282" s="134"/>
      <c r="UFR282" s="135"/>
      <c r="UFS282" s="135"/>
      <c r="UFT282" s="135"/>
      <c r="UFU282" s="135"/>
      <c r="UFV282" s="173"/>
      <c r="UFW282" s="173"/>
      <c r="UFX282" s="173"/>
      <c r="UFY282" s="173"/>
      <c r="UFZ282" s="173"/>
      <c r="UGA282" s="173"/>
      <c r="UGB282" s="173"/>
      <c r="UGC282" s="173"/>
      <c r="UGD282" s="173"/>
      <c r="UGE282" s="173"/>
      <c r="UGF282" s="125"/>
      <c r="UGG282" s="125"/>
      <c r="UGH282" s="134"/>
      <c r="UGI282" s="135"/>
      <c r="UGJ282" s="135"/>
      <c r="UGK282" s="135"/>
      <c r="UGL282" s="135"/>
      <c r="UGM282" s="173"/>
      <c r="UGN282" s="173"/>
      <c r="UGO282" s="173"/>
      <c r="UGP282" s="173"/>
      <c r="UGQ282" s="173"/>
      <c r="UGR282" s="173"/>
      <c r="UGS282" s="173"/>
      <c r="UGT282" s="173"/>
      <c r="UGU282" s="173"/>
      <c r="UGV282" s="173"/>
      <c r="UGW282" s="125"/>
      <c r="UGX282" s="125"/>
      <c r="UGY282" s="134"/>
      <c r="UGZ282" s="135"/>
      <c r="UHA282" s="135"/>
      <c r="UHB282" s="135"/>
      <c r="UHC282" s="135"/>
      <c r="UHD282" s="173"/>
      <c r="UHE282" s="173"/>
      <c r="UHF282" s="173"/>
      <c r="UHG282" s="173"/>
      <c r="UHH282" s="173"/>
      <c r="UHI282" s="173"/>
      <c r="UHJ282" s="173"/>
      <c r="UHK282" s="173"/>
      <c r="UHL282" s="173"/>
      <c r="UHM282" s="173"/>
      <c r="UHN282" s="125"/>
      <c r="UHO282" s="125"/>
      <c r="UHP282" s="134"/>
      <c r="UHQ282" s="135"/>
      <c r="UHR282" s="135"/>
      <c r="UHS282" s="135"/>
      <c r="UHT282" s="135"/>
      <c r="UHU282" s="173"/>
      <c r="UHV282" s="173"/>
      <c r="UHW282" s="173"/>
      <c r="UHX282" s="173"/>
      <c r="UHY282" s="173"/>
      <c r="UHZ282" s="173"/>
      <c r="UIA282" s="173"/>
      <c r="UIB282" s="173"/>
      <c r="UIC282" s="173"/>
      <c r="UID282" s="173"/>
      <c r="UIE282" s="125"/>
      <c r="UIF282" s="125"/>
      <c r="UIG282" s="134"/>
      <c r="UIH282" s="135"/>
      <c r="UII282" s="135"/>
      <c r="UIJ282" s="135"/>
      <c r="UIK282" s="135"/>
      <c r="UIL282" s="173"/>
      <c r="UIM282" s="173"/>
      <c r="UIN282" s="173"/>
      <c r="UIO282" s="173"/>
      <c r="UIP282" s="173"/>
      <c r="UIQ282" s="173"/>
      <c r="UIR282" s="173"/>
      <c r="UIS282" s="173"/>
      <c r="UIT282" s="173"/>
      <c r="UIU282" s="173"/>
      <c r="UIV282" s="125"/>
      <c r="UIW282" s="125"/>
      <c r="UIX282" s="134"/>
      <c r="UIY282" s="135"/>
      <c r="UIZ282" s="135"/>
      <c r="UJA282" s="135"/>
      <c r="UJB282" s="135"/>
      <c r="UJC282" s="173"/>
      <c r="UJD282" s="173"/>
      <c r="UJE282" s="173"/>
      <c r="UJF282" s="173"/>
      <c r="UJG282" s="173"/>
      <c r="UJH282" s="173"/>
      <c r="UJI282" s="173"/>
      <c r="UJJ282" s="173"/>
      <c r="UJK282" s="173"/>
      <c r="UJL282" s="173"/>
      <c r="UJM282" s="125"/>
      <c r="UJN282" s="125"/>
      <c r="UJO282" s="134"/>
      <c r="UJP282" s="135"/>
      <c r="UJQ282" s="135"/>
      <c r="UJR282" s="135"/>
      <c r="UJS282" s="135"/>
      <c r="UJT282" s="173"/>
      <c r="UJU282" s="173"/>
      <c r="UJV282" s="173"/>
      <c r="UJW282" s="173"/>
      <c r="UJX282" s="173"/>
      <c r="UJY282" s="173"/>
      <c r="UJZ282" s="173"/>
      <c r="UKA282" s="173"/>
      <c r="UKB282" s="173"/>
      <c r="UKC282" s="173"/>
      <c r="UKD282" s="125"/>
      <c r="UKE282" s="125"/>
      <c r="UKF282" s="134"/>
      <c r="UKG282" s="135"/>
      <c r="UKH282" s="135"/>
      <c r="UKI282" s="135"/>
      <c r="UKJ282" s="135"/>
      <c r="UKK282" s="173"/>
      <c r="UKL282" s="173"/>
      <c r="UKM282" s="173"/>
      <c r="UKN282" s="173"/>
      <c r="UKO282" s="173"/>
      <c r="UKP282" s="173"/>
      <c r="UKQ282" s="173"/>
      <c r="UKR282" s="173"/>
      <c r="UKS282" s="173"/>
      <c r="UKT282" s="173"/>
      <c r="UKU282" s="125"/>
      <c r="UKV282" s="125"/>
      <c r="UKW282" s="134"/>
      <c r="UKX282" s="135"/>
      <c r="UKY282" s="135"/>
      <c r="UKZ282" s="135"/>
      <c r="ULA282" s="135"/>
      <c r="ULB282" s="173"/>
      <c r="ULC282" s="173"/>
      <c r="ULD282" s="173"/>
      <c r="ULE282" s="173"/>
      <c r="ULF282" s="173"/>
      <c r="ULG282" s="173"/>
      <c r="ULH282" s="173"/>
      <c r="ULI282" s="173"/>
      <c r="ULJ282" s="173"/>
      <c r="ULK282" s="173"/>
      <c r="ULL282" s="125"/>
      <c r="ULM282" s="125"/>
      <c r="ULN282" s="134"/>
      <c r="ULO282" s="135"/>
      <c r="ULP282" s="135"/>
      <c r="ULQ282" s="135"/>
      <c r="ULR282" s="135"/>
      <c r="ULS282" s="173"/>
      <c r="ULT282" s="173"/>
      <c r="ULU282" s="173"/>
      <c r="ULV282" s="173"/>
      <c r="ULW282" s="173"/>
      <c r="ULX282" s="173"/>
      <c r="ULY282" s="173"/>
      <c r="ULZ282" s="173"/>
      <c r="UMA282" s="173"/>
      <c r="UMB282" s="173"/>
      <c r="UMC282" s="125"/>
      <c r="UMD282" s="125"/>
      <c r="UME282" s="134"/>
      <c r="UMF282" s="135"/>
      <c r="UMG282" s="135"/>
      <c r="UMH282" s="135"/>
      <c r="UMI282" s="135"/>
      <c r="UMJ282" s="173"/>
      <c r="UMK282" s="173"/>
      <c r="UML282" s="173"/>
      <c r="UMM282" s="173"/>
      <c r="UMN282" s="173"/>
      <c r="UMO282" s="173"/>
      <c r="UMP282" s="173"/>
      <c r="UMQ282" s="173"/>
      <c r="UMR282" s="173"/>
      <c r="UMS282" s="173"/>
      <c r="UMT282" s="125"/>
      <c r="UMU282" s="125"/>
      <c r="UMV282" s="134"/>
      <c r="UMW282" s="135"/>
      <c r="UMX282" s="135"/>
      <c r="UMY282" s="135"/>
      <c r="UMZ282" s="135"/>
      <c r="UNA282" s="173"/>
      <c r="UNB282" s="173"/>
      <c r="UNC282" s="173"/>
      <c r="UND282" s="173"/>
      <c r="UNE282" s="173"/>
      <c r="UNF282" s="173"/>
      <c r="UNG282" s="173"/>
      <c r="UNH282" s="173"/>
      <c r="UNI282" s="173"/>
      <c r="UNJ282" s="173"/>
      <c r="UNK282" s="125"/>
      <c r="UNL282" s="125"/>
      <c r="UNM282" s="134"/>
      <c r="UNN282" s="135"/>
      <c r="UNO282" s="135"/>
      <c r="UNP282" s="135"/>
      <c r="UNQ282" s="135"/>
      <c r="UNR282" s="173"/>
      <c r="UNS282" s="173"/>
      <c r="UNT282" s="173"/>
      <c r="UNU282" s="173"/>
      <c r="UNV282" s="173"/>
      <c r="UNW282" s="173"/>
      <c r="UNX282" s="173"/>
      <c r="UNY282" s="173"/>
      <c r="UNZ282" s="173"/>
      <c r="UOA282" s="173"/>
      <c r="UOB282" s="125"/>
      <c r="UOC282" s="125"/>
      <c r="UOD282" s="134"/>
      <c r="UOE282" s="135"/>
      <c r="UOF282" s="135"/>
      <c r="UOG282" s="135"/>
      <c r="UOH282" s="135"/>
      <c r="UOI282" s="173"/>
      <c r="UOJ282" s="173"/>
      <c r="UOK282" s="173"/>
      <c r="UOL282" s="173"/>
      <c r="UOM282" s="173"/>
      <c r="UON282" s="173"/>
      <c r="UOO282" s="173"/>
      <c r="UOP282" s="173"/>
      <c r="UOQ282" s="173"/>
      <c r="UOR282" s="173"/>
      <c r="UOS282" s="125"/>
      <c r="UOT282" s="125"/>
      <c r="UOU282" s="134"/>
      <c r="UOV282" s="135"/>
      <c r="UOW282" s="135"/>
      <c r="UOX282" s="135"/>
      <c r="UOY282" s="135"/>
      <c r="UOZ282" s="173"/>
      <c r="UPA282" s="173"/>
      <c r="UPB282" s="173"/>
      <c r="UPC282" s="173"/>
      <c r="UPD282" s="173"/>
      <c r="UPE282" s="173"/>
      <c r="UPF282" s="173"/>
      <c r="UPG282" s="173"/>
      <c r="UPH282" s="173"/>
      <c r="UPI282" s="173"/>
      <c r="UPJ282" s="125"/>
      <c r="UPK282" s="125"/>
      <c r="UPL282" s="134"/>
      <c r="UPM282" s="135"/>
      <c r="UPN282" s="135"/>
      <c r="UPO282" s="135"/>
      <c r="UPP282" s="135"/>
      <c r="UPQ282" s="173"/>
      <c r="UPR282" s="173"/>
      <c r="UPS282" s="173"/>
      <c r="UPT282" s="173"/>
      <c r="UPU282" s="173"/>
      <c r="UPV282" s="173"/>
      <c r="UPW282" s="173"/>
      <c r="UPX282" s="173"/>
      <c r="UPY282" s="173"/>
      <c r="UPZ282" s="173"/>
      <c r="UQA282" s="125"/>
      <c r="UQB282" s="125"/>
      <c r="UQC282" s="134"/>
      <c r="UQD282" s="135"/>
      <c r="UQE282" s="135"/>
      <c r="UQF282" s="135"/>
      <c r="UQG282" s="135"/>
      <c r="UQH282" s="173"/>
      <c r="UQI282" s="173"/>
      <c r="UQJ282" s="173"/>
      <c r="UQK282" s="173"/>
      <c r="UQL282" s="173"/>
      <c r="UQM282" s="173"/>
      <c r="UQN282" s="173"/>
      <c r="UQO282" s="173"/>
      <c r="UQP282" s="173"/>
      <c r="UQQ282" s="173"/>
      <c r="UQR282" s="125"/>
      <c r="UQS282" s="125"/>
      <c r="UQT282" s="134"/>
      <c r="UQU282" s="135"/>
      <c r="UQV282" s="135"/>
      <c r="UQW282" s="135"/>
      <c r="UQX282" s="135"/>
      <c r="UQY282" s="173"/>
      <c r="UQZ282" s="173"/>
      <c r="URA282" s="173"/>
      <c r="URB282" s="173"/>
      <c r="URC282" s="173"/>
      <c r="URD282" s="173"/>
      <c r="URE282" s="173"/>
      <c r="URF282" s="173"/>
      <c r="URG282" s="173"/>
      <c r="URH282" s="173"/>
      <c r="URI282" s="125"/>
      <c r="URJ282" s="125"/>
      <c r="URK282" s="134"/>
      <c r="URL282" s="135"/>
      <c r="URM282" s="135"/>
      <c r="URN282" s="135"/>
      <c r="URO282" s="135"/>
      <c r="URP282" s="173"/>
      <c r="URQ282" s="173"/>
      <c r="URR282" s="173"/>
      <c r="URS282" s="173"/>
      <c r="URT282" s="173"/>
      <c r="URU282" s="173"/>
      <c r="URV282" s="173"/>
      <c r="URW282" s="173"/>
      <c r="URX282" s="173"/>
      <c r="URY282" s="173"/>
      <c r="URZ282" s="125"/>
      <c r="USA282" s="125"/>
      <c r="USB282" s="134"/>
      <c r="USC282" s="135"/>
      <c r="USD282" s="135"/>
      <c r="USE282" s="135"/>
      <c r="USF282" s="135"/>
      <c r="USG282" s="173"/>
      <c r="USH282" s="173"/>
      <c r="USI282" s="173"/>
      <c r="USJ282" s="173"/>
      <c r="USK282" s="173"/>
      <c r="USL282" s="173"/>
      <c r="USM282" s="173"/>
      <c r="USN282" s="173"/>
      <c r="USO282" s="173"/>
      <c r="USP282" s="173"/>
      <c r="USQ282" s="125"/>
      <c r="USR282" s="125"/>
      <c r="USS282" s="134"/>
      <c r="UST282" s="135"/>
      <c r="USU282" s="135"/>
      <c r="USV282" s="135"/>
      <c r="USW282" s="135"/>
      <c r="USX282" s="173"/>
      <c r="USY282" s="173"/>
      <c r="USZ282" s="173"/>
      <c r="UTA282" s="173"/>
      <c r="UTB282" s="173"/>
      <c r="UTC282" s="173"/>
      <c r="UTD282" s="173"/>
      <c r="UTE282" s="173"/>
      <c r="UTF282" s="173"/>
      <c r="UTG282" s="173"/>
      <c r="UTH282" s="125"/>
      <c r="UTI282" s="125"/>
      <c r="UTJ282" s="134"/>
      <c r="UTK282" s="135"/>
      <c r="UTL282" s="135"/>
      <c r="UTM282" s="135"/>
      <c r="UTN282" s="135"/>
      <c r="UTO282" s="173"/>
      <c r="UTP282" s="173"/>
      <c r="UTQ282" s="173"/>
      <c r="UTR282" s="173"/>
      <c r="UTS282" s="173"/>
      <c r="UTT282" s="173"/>
      <c r="UTU282" s="173"/>
      <c r="UTV282" s="173"/>
      <c r="UTW282" s="173"/>
      <c r="UTX282" s="173"/>
      <c r="UTY282" s="125"/>
      <c r="UTZ282" s="125"/>
      <c r="UUA282" s="134"/>
      <c r="UUB282" s="135"/>
      <c r="UUC282" s="135"/>
      <c r="UUD282" s="135"/>
      <c r="UUE282" s="135"/>
      <c r="UUF282" s="173"/>
      <c r="UUG282" s="173"/>
      <c r="UUH282" s="173"/>
      <c r="UUI282" s="173"/>
      <c r="UUJ282" s="173"/>
      <c r="UUK282" s="173"/>
      <c r="UUL282" s="173"/>
      <c r="UUM282" s="173"/>
      <c r="UUN282" s="173"/>
      <c r="UUO282" s="173"/>
      <c r="UUP282" s="125"/>
      <c r="UUQ282" s="125"/>
      <c r="UUR282" s="134"/>
      <c r="UUS282" s="135"/>
      <c r="UUT282" s="135"/>
      <c r="UUU282" s="135"/>
      <c r="UUV282" s="135"/>
      <c r="UUW282" s="173"/>
      <c r="UUX282" s="173"/>
      <c r="UUY282" s="173"/>
      <c r="UUZ282" s="173"/>
      <c r="UVA282" s="173"/>
      <c r="UVB282" s="173"/>
      <c r="UVC282" s="173"/>
      <c r="UVD282" s="173"/>
      <c r="UVE282" s="173"/>
      <c r="UVF282" s="173"/>
      <c r="UVG282" s="125"/>
      <c r="UVH282" s="125"/>
      <c r="UVI282" s="134"/>
      <c r="UVJ282" s="135"/>
      <c r="UVK282" s="135"/>
      <c r="UVL282" s="135"/>
      <c r="UVM282" s="135"/>
      <c r="UVN282" s="173"/>
      <c r="UVO282" s="173"/>
      <c r="UVP282" s="173"/>
      <c r="UVQ282" s="173"/>
      <c r="UVR282" s="173"/>
      <c r="UVS282" s="173"/>
      <c r="UVT282" s="173"/>
      <c r="UVU282" s="173"/>
      <c r="UVV282" s="173"/>
      <c r="UVW282" s="173"/>
      <c r="UVX282" s="125"/>
      <c r="UVY282" s="125"/>
      <c r="UVZ282" s="134"/>
      <c r="UWA282" s="135"/>
      <c r="UWB282" s="135"/>
      <c r="UWC282" s="135"/>
      <c r="UWD282" s="135"/>
      <c r="UWE282" s="173"/>
      <c r="UWF282" s="173"/>
      <c r="UWG282" s="173"/>
      <c r="UWH282" s="173"/>
      <c r="UWI282" s="173"/>
      <c r="UWJ282" s="173"/>
      <c r="UWK282" s="173"/>
      <c r="UWL282" s="173"/>
      <c r="UWM282" s="173"/>
      <c r="UWN282" s="173"/>
      <c r="UWO282" s="125"/>
      <c r="UWP282" s="125"/>
      <c r="UWQ282" s="134"/>
      <c r="UWR282" s="135"/>
      <c r="UWS282" s="135"/>
      <c r="UWT282" s="135"/>
      <c r="UWU282" s="135"/>
      <c r="UWV282" s="173"/>
      <c r="UWW282" s="173"/>
      <c r="UWX282" s="173"/>
      <c r="UWY282" s="173"/>
      <c r="UWZ282" s="173"/>
      <c r="UXA282" s="173"/>
      <c r="UXB282" s="173"/>
      <c r="UXC282" s="173"/>
      <c r="UXD282" s="173"/>
      <c r="UXE282" s="173"/>
      <c r="UXF282" s="125"/>
      <c r="UXG282" s="125"/>
      <c r="UXH282" s="134"/>
      <c r="UXI282" s="135"/>
      <c r="UXJ282" s="135"/>
      <c r="UXK282" s="135"/>
      <c r="UXL282" s="135"/>
      <c r="UXM282" s="173"/>
      <c r="UXN282" s="173"/>
      <c r="UXO282" s="173"/>
      <c r="UXP282" s="173"/>
      <c r="UXQ282" s="173"/>
      <c r="UXR282" s="173"/>
      <c r="UXS282" s="173"/>
      <c r="UXT282" s="173"/>
      <c r="UXU282" s="173"/>
      <c r="UXV282" s="173"/>
      <c r="UXW282" s="125"/>
      <c r="UXX282" s="125"/>
      <c r="UXY282" s="134"/>
      <c r="UXZ282" s="135"/>
      <c r="UYA282" s="135"/>
      <c r="UYB282" s="135"/>
      <c r="UYC282" s="135"/>
      <c r="UYD282" s="173"/>
      <c r="UYE282" s="173"/>
      <c r="UYF282" s="173"/>
      <c r="UYG282" s="173"/>
      <c r="UYH282" s="173"/>
      <c r="UYI282" s="173"/>
      <c r="UYJ282" s="173"/>
      <c r="UYK282" s="173"/>
      <c r="UYL282" s="173"/>
      <c r="UYM282" s="173"/>
      <c r="UYN282" s="125"/>
      <c r="UYO282" s="125"/>
      <c r="UYP282" s="134"/>
      <c r="UYQ282" s="135"/>
      <c r="UYR282" s="135"/>
      <c r="UYS282" s="135"/>
      <c r="UYT282" s="135"/>
      <c r="UYU282" s="173"/>
      <c r="UYV282" s="173"/>
      <c r="UYW282" s="173"/>
      <c r="UYX282" s="173"/>
      <c r="UYY282" s="173"/>
      <c r="UYZ282" s="173"/>
      <c r="UZA282" s="173"/>
      <c r="UZB282" s="173"/>
      <c r="UZC282" s="173"/>
      <c r="UZD282" s="173"/>
      <c r="UZE282" s="125"/>
      <c r="UZF282" s="125"/>
      <c r="UZG282" s="134"/>
      <c r="UZH282" s="135"/>
      <c r="UZI282" s="135"/>
      <c r="UZJ282" s="135"/>
      <c r="UZK282" s="135"/>
      <c r="UZL282" s="173"/>
      <c r="UZM282" s="173"/>
      <c r="UZN282" s="173"/>
      <c r="UZO282" s="173"/>
      <c r="UZP282" s="173"/>
      <c r="UZQ282" s="173"/>
      <c r="UZR282" s="173"/>
      <c r="UZS282" s="173"/>
      <c r="UZT282" s="173"/>
      <c r="UZU282" s="173"/>
      <c r="UZV282" s="125"/>
      <c r="UZW282" s="125"/>
      <c r="UZX282" s="134"/>
      <c r="UZY282" s="135"/>
      <c r="UZZ282" s="135"/>
      <c r="VAA282" s="135"/>
      <c r="VAB282" s="135"/>
      <c r="VAC282" s="173"/>
      <c r="VAD282" s="173"/>
      <c r="VAE282" s="173"/>
      <c r="VAF282" s="173"/>
      <c r="VAG282" s="173"/>
      <c r="VAH282" s="173"/>
      <c r="VAI282" s="173"/>
      <c r="VAJ282" s="173"/>
      <c r="VAK282" s="173"/>
      <c r="VAL282" s="173"/>
      <c r="VAM282" s="125"/>
      <c r="VAN282" s="125"/>
      <c r="VAO282" s="134"/>
      <c r="VAP282" s="135"/>
      <c r="VAQ282" s="135"/>
      <c r="VAR282" s="135"/>
      <c r="VAS282" s="135"/>
      <c r="VAT282" s="173"/>
      <c r="VAU282" s="173"/>
      <c r="VAV282" s="173"/>
      <c r="VAW282" s="173"/>
      <c r="VAX282" s="173"/>
      <c r="VAY282" s="173"/>
      <c r="VAZ282" s="173"/>
      <c r="VBA282" s="173"/>
      <c r="VBB282" s="173"/>
      <c r="VBC282" s="173"/>
      <c r="VBD282" s="125"/>
      <c r="VBE282" s="125"/>
      <c r="VBF282" s="134"/>
      <c r="VBG282" s="135"/>
      <c r="VBH282" s="135"/>
      <c r="VBI282" s="135"/>
      <c r="VBJ282" s="135"/>
      <c r="VBK282" s="173"/>
      <c r="VBL282" s="173"/>
      <c r="VBM282" s="173"/>
      <c r="VBN282" s="173"/>
      <c r="VBO282" s="173"/>
      <c r="VBP282" s="173"/>
      <c r="VBQ282" s="173"/>
      <c r="VBR282" s="173"/>
      <c r="VBS282" s="173"/>
      <c r="VBT282" s="173"/>
      <c r="VBU282" s="125"/>
      <c r="VBV282" s="125"/>
      <c r="VBW282" s="134"/>
      <c r="VBX282" s="135"/>
      <c r="VBY282" s="135"/>
      <c r="VBZ282" s="135"/>
      <c r="VCA282" s="135"/>
      <c r="VCB282" s="173"/>
      <c r="VCC282" s="173"/>
      <c r="VCD282" s="173"/>
      <c r="VCE282" s="173"/>
      <c r="VCF282" s="173"/>
      <c r="VCG282" s="173"/>
      <c r="VCH282" s="173"/>
      <c r="VCI282" s="173"/>
      <c r="VCJ282" s="173"/>
      <c r="VCK282" s="173"/>
      <c r="VCL282" s="125"/>
      <c r="VCM282" s="125"/>
      <c r="VCN282" s="134"/>
      <c r="VCO282" s="135"/>
      <c r="VCP282" s="135"/>
      <c r="VCQ282" s="135"/>
      <c r="VCR282" s="135"/>
      <c r="VCS282" s="173"/>
      <c r="VCT282" s="173"/>
      <c r="VCU282" s="173"/>
      <c r="VCV282" s="173"/>
      <c r="VCW282" s="173"/>
      <c r="VCX282" s="173"/>
      <c r="VCY282" s="173"/>
      <c r="VCZ282" s="173"/>
      <c r="VDA282" s="173"/>
      <c r="VDB282" s="173"/>
      <c r="VDC282" s="125"/>
      <c r="VDD282" s="125"/>
      <c r="VDE282" s="134"/>
      <c r="VDF282" s="135"/>
      <c r="VDG282" s="135"/>
      <c r="VDH282" s="135"/>
      <c r="VDI282" s="135"/>
      <c r="VDJ282" s="173"/>
      <c r="VDK282" s="173"/>
      <c r="VDL282" s="173"/>
      <c r="VDM282" s="173"/>
      <c r="VDN282" s="173"/>
      <c r="VDO282" s="173"/>
      <c r="VDP282" s="173"/>
      <c r="VDQ282" s="173"/>
      <c r="VDR282" s="173"/>
      <c r="VDS282" s="173"/>
      <c r="VDT282" s="125"/>
      <c r="VDU282" s="125"/>
      <c r="VDV282" s="134"/>
      <c r="VDW282" s="135"/>
      <c r="VDX282" s="135"/>
      <c r="VDY282" s="135"/>
      <c r="VDZ282" s="135"/>
      <c r="VEA282" s="173"/>
      <c r="VEB282" s="173"/>
      <c r="VEC282" s="173"/>
      <c r="VED282" s="173"/>
      <c r="VEE282" s="173"/>
      <c r="VEF282" s="173"/>
      <c r="VEG282" s="173"/>
      <c r="VEH282" s="173"/>
      <c r="VEI282" s="173"/>
      <c r="VEJ282" s="173"/>
      <c r="VEK282" s="125"/>
      <c r="VEL282" s="125"/>
      <c r="VEM282" s="134"/>
      <c r="VEN282" s="135"/>
      <c r="VEO282" s="135"/>
      <c r="VEP282" s="135"/>
      <c r="VEQ282" s="135"/>
      <c r="VER282" s="173"/>
      <c r="VES282" s="173"/>
      <c r="VET282" s="173"/>
      <c r="VEU282" s="173"/>
      <c r="VEV282" s="173"/>
      <c r="VEW282" s="173"/>
      <c r="VEX282" s="173"/>
      <c r="VEY282" s="173"/>
      <c r="VEZ282" s="173"/>
      <c r="VFA282" s="173"/>
      <c r="VFB282" s="125"/>
      <c r="VFC282" s="125"/>
      <c r="VFD282" s="134"/>
      <c r="VFE282" s="135"/>
      <c r="VFF282" s="135"/>
      <c r="VFG282" s="135"/>
      <c r="VFH282" s="135"/>
      <c r="VFI282" s="173"/>
      <c r="VFJ282" s="173"/>
      <c r="VFK282" s="173"/>
      <c r="VFL282" s="173"/>
      <c r="VFM282" s="173"/>
      <c r="VFN282" s="173"/>
      <c r="VFO282" s="173"/>
      <c r="VFP282" s="173"/>
      <c r="VFQ282" s="173"/>
      <c r="VFR282" s="173"/>
      <c r="VFS282" s="125"/>
      <c r="VFT282" s="125"/>
      <c r="VFU282" s="134"/>
      <c r="VFV282" s="135"/>
      <c r="VFW282" s="135"/>
      <c r="VFX282" s="135"/>
      <c r="VFY282" s="135"/>
      <c r="VFZ282" s="173"/>
      <c r="VGA282" s="173"/>
      <c r="VGB282" s="173"/>
      <c r="VGC282" s="173"/>
      <c r="VGD282" s="173"/>
      <c r="VGE282" s="173"/>
      <c r="VGF282" s="173"/>
      <c r="VGG282" s="173"/>
      <c r="VGH282" s="173"/>
      <c r="VGI282" s="173"/>
      <c r="VGJ282" s="125"/>
      <c r="VGK282" s="125"/>
      <c r="VGL282" s="134"/>
      <c r="VGM282" s="135"/>
      <c r="VGN282" s="135"/>
      <c r="VGO282" s="135"/>
      <c r="VGP282" s="135"/>
      <c r="VGQ282" s="173"/>
      <c r="VGR282" s="173"/>
      <c r="VGS282" s="173"/>
      <c r="VGT282" s="173"/>
      <c r="VGU282" s="173"/>
      <c r="VGV282" s="173"/>
      <c r="VGW282" s="173"/>
      <c r="VGX282" s="173"/>
      <c r="VGY282" s="173"/>
      <c r="VGZ282" s="173"/>
      <c r="VHA282" s="125"/>
      <c r="VHB282" s="125"/>
      <c r="VHC282" s="134"/>
      <c r="VHD282" s="135"/>
      <c r="VHE282" s="135"/>
      <c r="VHF282" s="135"/>
      <c r="VHG282" s="135"/>
      <c r="VHH282" s="173"/>
      <c r="VHI282" s="173"/>
      <c r="VHJ282" s="173"/>
      <c r="VHK282" s="173"/>
      <c r="VHL282" s="173"/>
      <c r="VHM282" s="173"/>
      <c r="VHN282" s="173"/>
      <c r="VHO282" s="173"/>
      <c r="VHP282" s="173"/>
      <c r="VHQ282" s="173"/>
      <c r="VHR282" s="125"/>
      <c r="VHS282" s="125"/>
      <c r="VHT282" s="134"/>
      <c r="VHU282" s="135"/>
      <c r="VHV282" s="135"/>
      <c r="VHW282" s="135"/>
      <c r="VHX282" s="135"/>
      <c r="VHY282" s="173"/>
      <c r="VHZ282" s="173"/>
      <c r="VIA282" s="173"/>
      <c r="VIB282" s="173"/>
      <c r="VIC282" s="173"/>
      <c r="VID282" s="173"/>
      <c r="VIE282" s="173"/>
      <c r="VIF282" s="173"/>
      <c r="VIG282" s="173"/>
      <c r="VIH282" s="173"/>
      <c r="VII282" s="125"/>
      <c r="VIJ282" s="125"/>
      <c r="VIK282" s="134"/>
      <c r="VIL282" s="135"/>
      <c r="VIM282" s="135"/>
      <c r="VIN282" s="135"/>
      <c r="VIO282" s="135"/>
      <c r="VIP282" s="173"/>
      <c r="VIQ282" s="173"/>
      <c r="VIR282" s="173"/>
      <c r="VIS282" s="173"/>
      <c r="VIT282" s="173"/>
      <c r="VIU282" s="173"/>
      <c r="VIV282" s="173"/>
      <c r="VIW282" s="173"/>
      <c r="VIX282" s="173"/>
      <c r="VIY282" s="173"/>
      <c r="VIZ282" s="125"/>
      <c r="VJA282" s="125"/>
      <c r="VJB282" s="134"/>
      <c r="VJC282" s="135"/>
      <c r="VJD282" s="135"/>
      <c r="VJE282" s="135"/>
      <c r="VJF282" s="135"/>
      <c r="VJG282" s="173"/>
      <c r="VJH282" s="173"/>
      <c r="VJI282" s="173"/>
      <c r="VJJ282" s="173"/>
      <c r="VJK282" s="173"/>
      <c r="VJL282" s="173"/>
      <c r="VJM282" s="173"/>
      <c r="VJN282" s="173"/>
      <c r="VJO282" s="173"/>
      <c r="VJP282" s="173"/>
      <c r="VJQ282" s="125"/>
      <c r="VJR282" s="125"/>
      <c r="VJS282" s="134"/>
      <c r="VJT282" s="135"/>
      <c r="VJU282" s="135"/>
      <c r="VJV282" s="135"/>
      <c r="VJW282" s="135"/>
      <c r="VJX282" s="173"/>
      <c r="VJY282" s="173"/>
      <c r="VJZ282" s="173"/>
      <c r="VKA282" s="173"/>
      <c r="VKB282" s="173"/>
      <c r="VKC282" s="173"/>
      <c r="VKD282" s="173"/>
      <c r="VKE282" s="173"/>
      <c r="VKF282" s="173"/>
      <c r="VKG282" s="173"/>
      <c r="VKH282" s="125"/>
      <c r="VKI282" s="125"/>
      <c r="VKJ282" s="134"/>
      <c r="VKK282" s="135"/>
      <c r="VKL282" s="135"/>
      <c r="VKM282" s="135"/>
      <c r="VKN282" s="135"/>
      <c r="VKO282" s="173"/>
      <c r="VKP282" s="173"/>
      <c r="VKQ282" s="173"/>
      <c r="VKR282" s="173"/>
      <c r="VKS282" s="173"/>
      <c r="VKT282" s="173"/>
      <c r="VKU282" s="173"/>
      <c r="VKV282" s="173"/>
      <c r="VKW282" s="173"/>
      <c r="VKX282" s="173"/>
      <c r="VKY282" s="125"/>
      <c r="VKZ282" s="125"/>
      <c r="VLA282" s="134"/>
      <c r="VLB282" s="135"/>
      <c r="VLC282" s="135"/>
      <c r="VLD282" s="135"/>
      <c r="VLE282" s="135"/>
      <c r="VLF282" s="173"/>
      <c r="VLG282" s="173"/>
      <c r="VLH282" s="173"/>
      <c r="VLI282" s="173"/>
      <c r="VLJ282" s="173"/>
      <c r="VLK282" s="173"/>
      <c r="VLL282" s="173"/>
      <c r="VLM282" s="173"/>
      <c r="VLN282" s="173"/>
      <c r="VLO282" s="173"/>
      <c r="VLP282" s="125"/>
      <c r="VLQ282" s="125"/>
      <c r="VLR282" s="134"/>
      <c r="VLS282" s="135"/>
      <c r="VLT282" s="135"/>
      <c r="VLU282" s="135"/>
      <c r="VLV282" s="135"/>
      <c r="VLW282" s="173"/>
      <c r="VLX282" s="173"/>
      <c r="VLY282" s="173"/>
      <c r="VLZ282" s="173"/>
      <c r="VMA282" s="173"/>
      <c r="VMB282" s="173"/>
      <c r="VMC282" s="173"/>
      <c r="VMD282" s="173"/>
      <c r="VME282" s="173"/>
      <c r="VMF282" s="173"/>
      <c r="VMG282" s="125"/>
      <c r="VMH282" s="125"/>
      <c r="VMI282" s="134"/>
      <c r="VMJ282" s="135"/>
      <c r="VMK282" s="135"/>
      <c r="VML282" s="135"/>
      <c r="VMM282" s="135"/>
      <c r="VMN282" s="173"/>
      <c r="VMO282" s="173"/>
      <c r="VMP282" s="173"/>
      <c r="VMQ282" s="173"/>
      <c r="VMR282" s="173"/>
      <c r="VMS282" s="173"/>
      <c r="VMT282" s="173"/>
      <c r="VMU282" s="173"/>
      <c r="VMV282" s="173"/>
      <c r="VMW282" s="173"/>
      <c r="VMX282" s="125"/>
      <c r="VMY282" s="125"/>
      <c r="VMZ282" s="134"/>
      <c r="VNA282" s="135"/>
      <c r="VNB282" s="135"/>
      <c r="VNC282" s="135"/>
      <c r="VND282" s="135"/>
      <c r="VNE282" s="173"/>
      <c r="VNF282" s="173"/>
      <c r="VNG282" s="173"/>
      <c r="VNH282" s="173"/>
      <c r="VNI282" s="173"/>
      <c r="VNJ282" s="173"/>
      <c r="VNK282" s="173"/>
      <c r="VNL282" s="173"/>
      <c r="VNM282" s="173"/>
      <c r="VNN282" s="173"/>
      <c r="VNO282" s="125"/>
      <c r="VNP282" s="125"/>
      <c r="VNQ282" s="134"/>
      <c r="VNR282" s="135"/>
      <c r="VNS282" s="135"/>
      <c r="VNT282" s="135"/>
      <c r="VNU282" s="135"/>
      <c r="VNV282" s="173"/>
      <c r="VNW282" s="173"/>
      <c r="VNX282" s="173"/>
      <c r="VNY282" s="173"/>
      <c r="VNZ282" s="173"/>
      <c r="VOA282" s="173"/>
      <c r="VOB282" s="173"/>
      <c r="VOC282" s="173"/>
      <c r="VOD282" s="173"/>
      <c r="VOE282" s="173"/>
      <c r="VOF282" s="125"/>
      <c r="VOG282" s="125"/>
      <c r="VOH282" s="134"/>
      <c r="VOI282" s="135"/>
      <c r="VOJ282" s="135"/>
      <c r="VOK282" s="135"/>
      <c r="VOL282" s="135"/>
      <c r="VOM282" s="173"/>
      <c r="VON282" s="173"/>
      <c r="VOO282" s="173"/>
      <c r="VOP282" s="173"/>
      <c r="VOQ282" s="173"/>
      <c r="VOR282" s="173"/>
      <c r="VOS282" s="173"/>
      <c r="VOT282" s="173"/>
      <c r="VOU282" s="173"/>
      <c r="VOV282" s="173"/>
      <c r="VOW282" s="125"/>
      <c r="VOX282" s="125"/>
      <c r="VOY282" s="134"/>
      <c r="VOZ282" s="135"/>
      <c r="VPA282" s="135"/>
      <c r="VPB282" s="135"/>
      <c r="VPC282" s="135"/>
      <c r="VPD282" s="173"/>
      <c r="VPE282" s="173"/>
      <c r="VPF282" s="173"/>
      <c r="VPG282" s="173"/>
      <c r="VPH282" s="173"/>
      <c r="VPI282" s="173"/>
      <c r="VPJ282" s="173"/>
      <c r="VPK282" s="173"/>
      <c r="VPL282" s="173"/>
      <c r="VPM282" s="173"/>
      <c r="VPN282" s="125"/>
      <c r="VPO282" s="125"/>
      <c r="VPP282" s="134"/>
      <c r="VPQ282" s="135"/>
      <c r="VPR282" s="135"/>
      <c r="VPS282" s="135"/>
      <c r="VPT282" s="135"/>
      <c r="VPU282" s="173"/>
      <c r="VPV282" s="173"/>
      <c r="VPW282" s="173"/>
      <c r="VPX282" s="173"/>
      <c r="VPY282" s="173"/>
      <c r="VPZ282" s="173"/>
      <c r="VQA282" s="173"/>
      <c r="VQB282" s="173"/>
      <c r="VQC282" s="173"/>
      <c r="VQD282" s="173"/>
      <c r="VQE282" s="125"/>
      <c r="VQF282" s="125"/>
      <c r="VQG282" s="134"/>
      <c r="VQH282" s="135"/>
      <c r="VQI282" s="135"/>
      <c r="VQJ282" s="135"/>
      <c r="VQK282" s="135"/>
      <c r="VQL282" s="173"/>
      <c r="VQM282" s="173"/>
      <c r="VQN282" s="173"/>
      <c r="VQO282" s="173"/>
      <c r="VQP282" s="173"/>
      <c r="VQQ282" s="173"/>
      <c r="VQR282" s="173"/>
      <c r="VQS282" s="173"/>
      <c r="VQT282" s="173"/>
      <c r="VQU282" s="173"/>
      <c r="VQV282" s="125"/>
      <c r="VQW282" s="125"/>
      <c r="VQX282" s="134"/>
      <c r="VQY282" s="135"/>
      <c r="VQZ282" s="135"/>
      <c r="VRA282" s="135"/>
      <c r="VRB282" s="135"/>
      <c r="VRC282" s="173"/>
      <c r="VRD282" s="173"/>
      <c r="VRE282" s="173"/>
      <c r="VRF282" s="173"/>
      <c r="VRG282" s="173"/>
      <c r="VRH282" s="173"/>
      <c r="VRI282" s="173"/>
      <c r="VRJ282" s="173"/>
      <c r="VRK282" s="173"/>
      <c r="VRL282" s="173"/>
      <c r="VRM282" s="125"/>
      <c r="VRN282" s="125"/>
      <c r="VRO282" s="134"/>
      <c r="VRP282" s="135"/>
      <c r="VRQ282" s="135"/>
      <c r="VRR282" s="135"/>
      <c r="VRS282" s="135"/>
      <c r="VRT282" s="173"/>
      <c r="VRU282" s="173"/>
      <c r="VRV282" s="173"/>
      <c r="VRW282" s="173"/>
      <c r="VRX282" s="173"/>
      <c r="VRY282" s="173"/>
      <c r="VRZ282" s="173"/>
      <c r="VSA282" s="173"/>
      <c r="VSB282" s="173"/>
      <c r="VSC282" s="173"/>
      <c r="VSD282" s="125"/>
      <c r="VSE282" s="125"/>
      <c r="VSF282" s="134"/>
      <c r="VSG282" s="135"/>
      <c r="VSH282" s="135"/>
      <c r="VSI282" s="135"/>
      <c r="VSJ282" s="135"/>
      <c r="VSK282" s="173"/>
      <c r="VSL282" s="173"/>
      <c r="VSM282" s="173"/>
      <c r="VSN282" s="173"/>
      <c r="VSO282" s="173"/>
      <c r="VSP282" s="173"/>
      <c r="VSQ282" s="173"/>
      <c r="VSR282" s="173"/>
      <c r="VSS282" s="173"/>
      <c r="VST282" s="173"/>
      <c r="VSU282" s="125"/>
      <c r="VSV282" s="125"/>
      <c r="VSW282" s="134"/>
      <c r="VSX282" s="135"/>
      <c r="VSY282" s="135"/>
      <c r="VSZ282" s="135"/>
      <c r="VTA282" s="135"/>
      <c r="VTB282" s="173"/>
      <c r="VTC282" s="173"/>
      <c r="VTD282" s="173"/>
      <c r="VTE282" s="173"/>
      <c r="VTF282" s="173"/>
      <c r="VTG282" s="173"/>
      <c r="VTH282" s="173"/>
      <c r="VTI282" s="173"/>
      <c r="VTJ282" s="173"/>
      <c r="VTK282" s="173"/>
      <c r="VTL282" s="125"/>
      <c r="VTM282" s="125"/>
      <c r="VTN282" s="134"/>
      <c r="VTO282" s="135"/>
      <c r="VTP282" s="135"/>
      <c r="VTQ282" s="135"/>
      <c r="VTR282" s="135"/>
      <c r="VTS282" s="173"/>
      <c r="VTT282" s="173"/>
      <c r="VTU282" s="173"/>
      <c r="VTV282" s="173"/>
      <c r="VTW282" s="173"/>
      <c r="VTX282" s="173"/>
      <c r="VTY282" s="173"/>
      <c r="VTZ282" s="173"/>
      <c r="VUA282" s="173"/>
      <c r="VUB282" s="173"/>
      <c r="VUC282" s="125"/>
      <c r="VUD282" s="125"/>
      <c r="VUE282" s="134"/>
      <c r="VUF282" s="135"/>
      <c r="VUG282" s="135"/>
      <c r="VUH282" s="135"/>
      <c r="VUI282" s="135"/>
      <c r="VUJ282" s="173"/>
      <c r="VUK282" s="173"/>
      <c r="VUL282" s="173"/>
      <c r="VUM282" s="173"/>
      <c r="VUN282" s="173"/>
      <c r="VUO282" s="173"/>
      <c r="VUP282" s="173"/>
      <c r="VUQ282" s="173"/>
      <c r="VUR282" s="173"/>
      <c r="VUS282" s="173"/>
      <c r="VUT282" s="125"/>
      <c r="VUU282" s="125"/>
      <c r="VUV282" s="134"/>
      <c r="VUW282" s="135"/>
      <c r="VUX282" s="135"/>
      <c r="VUY282" s="135"/>
      <c r="VUZ282" s="135"/>
      <c r="VVA282" s="173"/>
      <c r="VVB282" s="173"/>
      <c r="VVC282" s="173"/>
      <c r="VVD282" s="173"/>
      <c r="VVE282" s="173"/>
      <c r="VVF282" s="173"/>
      <c r="VVG282" s="173"/>
      <c r="VVH282" s="173"/>
      <c r="VVI282" s="173"/>
      <c r="VVJ282" s="173"/>
      <c r="VVK282" s="125"/>
      <c r="VVL282" s="125"/>
      <c r="VVM282" s="134"/>
      <c r="VVN282" s="135"/>
      <c r="VVO282" s="135"/>
      <c r="VVP282" s="135"/>
      <c r="VVQ282" s="135"/>
      <c r="VVR282" s="173"/>
      <c r="VVS282" s="173"/>
      <c r="VVT282" s="173"/>
      <c r="VVU282" s="173"/>
      <c r="VVV282" s="173"/>
      <c r="VVW282" s="173"/>
      <c r="VVX282" s="173"/>
      <c r="VVY282" s="173"/>
      <c r="VVZ282" s="173"/>
      <c r="VWA282" s="173"/>
      <c r="VWB282" s="125"/>
      <c r="VWC282" s="125"/>
      <c r="VWD282" s="134"/>
      <c r="VWE282" s="135"/>
      <c r="VWF282" s="135"/>
      <c r="VWG282" s="135"/>
      <c r="VWH282" s="135"/>
      <c r="VWI282" s="173"/>
      <c r="VWJ282" s="173"/>
      <c r="VWK282" s="173"/>
      <c r="VWL282" s="173"/>
      <c r="VWM282" s="173"/>
      <c r="VWN282" s="173"/>
      <c r="VWO282" s="173"/>
      <c r="VWP282" s="173"/>
      <c r="VWQ282" s="173"/>
      <c r="VWR282" s="173"/>
      <c r="VWS282" s="125"/>
      <c r="VWT282" s="125"/>
      <c r="VWU282" s="134"/>
      <c r="VWV282" s="135"/>
      <c r="VWW282" s="135"/>
      <c r="VWX282" s="135"/>
      <c r="VWY282" s="135"/>
      <c r="VWZ282" s="173"/>
      <c r="VXA282" s="173"/>
      <c r="VXB282" s="173"/>
      <c r="VXC282" s="173"/>
      <c r="VXD282" s="173"/>
      <c r="VXE282" s="173"/>
      <c r="VXF282" s="173"/>
      <c r="VXG282" s="173"/>
      <c r="VXH282" s="173"/>
      <c r="VXI282" s="173"/>
      <c r="VXJ282" s="125"/>
      <c r="VXK282" s="125"/>
      <c r="VXL282" s="134"/>
      <c r="VXM282" s="135"/>
      <c r="VXN282" s="135"/>
      <c r="VXO282" s="135"/>
      <c r="VXP282" s="135"/>
      <c r="VXQ282" s="173"/>
      <c r="VXR282" s="173"/>
      <c r="VXS282" s="173"/>
      <c r="VXT282" s="173"/>
      <c r="VXU282" s="173"/>
      <c r="VXV282" s="173"/>
      <c r="VXW282" s="173"/>
      <c r="VXX282" s="173"/>
      <c r="VXY282" s="173"/>
      <c r="VXZ282" s="173"/>
      <c r="VYA282" s="125"/>
      <c r="VYB282" s="125"/>
      <c r="VYC282" s="134"/>
      <c r="VYD282" s="135"/>
      <c r="VYE282" s="135"/>
      <c r="VYF282" s="135"/>
      <c r="VYG282" s="135"/>
      <c r="VYH282" s="173"/>
      <c r="VYI282" s="173"/>
      <c r="VYJ282" s="173"/>
      <c r="VYK282" s="173"/>
      <c r="VYL282" s="173"/>
      <c r="VYM282" s="173"/>
      <c r="VYN282" s="173"/>
      <c r="VYO282" s="173"/>
      <c r="VYP282" s="173"/>
      <c r="VYQ282" s="173"/>
      <c r="VYR282" s="125"/>
      <c r="VYS282" s="125"/>
      <c r="VYT282" s="134"/>
      <c r="VYU282" s="135"/>
      <c r="VYV282" s="135"/>
      <c r="VYW282" s="135"/>
      <c r="VYX282" s="135"/>
      <c r="VYY282" s="173"/>
      <c r="VYZ282" s="173"/>
      <c r="VZA282" s="173"/>
      <c r="VZB282" s="173"/>
      <c r="VZC282" s="173"/>
      <c r="VZD282" s="173"/>
      <c r="VZE282" s="173"/>
      <c r="VZF282" s="173"/>
      <c r="VZG282" s="173"/>
      <c r="VZH282" s="173"/>
      <c r="VZI282" s="125"/>
      <c r="VZJ282" s="125"/>
      <c r="VZK282" s="134"/>
      <c r="VZL282" s="135"/>
      <c r="VZM282" s="135"/>
      <c r="VZN282" s="135"/>
      <c r="VZO282" s="135"/>
      <c r="VZP282" s="173"/>
      <c r="VZQ282" s="173"/>
      <c r="VZR282" s="173"/>
      <c r="VZS282" s="173"/>
      <c r="VZT282" s="173"/>
      <c r="VZU282" s="173"/>
      <c r="VZV282" s="173"/>
      <c r="VZW282" s="173"/>
      <c r="VZX282" s="173"/>
      <c r="VZY282" s="173"/>
      <c r="VZZ282" s="125"/>
      <c r="WAA282" s="125"/>
      <c r="WAB282" s="134"/>
      <c r="WAC282" s="135"/>
      <c r="WAD282" s="135"/>
      <c r="WAE282" s="135"/>
      <c r="WAF282" s="135"/>
      <c r="WAG282" s="173"/>
      <c r="WAH282" s="173"/>
      <c r="WAI282" s="173"/>
      <c r="WAJ282" s="173"/>
      <c r="WAK282" s="173"/>
      <c r="WAL282" s="173"/>
      <c r="WAM282" s="173"/>
      <c r="WAN282" s="173"/>
      <c r="WAO282" s="173"/>
      <c r="WAP282" s="173"/>
      <c r="WAQ282" s="125"/>
      <c r="WAR282" s="125"/>
      <c r="WAS282" s="134"/>
      <c r="WAT282" s="135"/>
      <c r="WAU282" s="135"/>
      <c r="WAV282" s="135"/>
      <c r="WAW282" s="135"/>
      <c r="WAX282" s="173"/>
      <c r="WAY282" s="173"/>
      <c r="WAZ282" s="173"/>
      <c r="WBA282" s="173"/>
      <c r="WBB282" s="173"/>
      <c r="WBC282" s="173"/>
      <c r="WBD282" s="173"/>
      <c r="WBE282" s="173"/>
      <c r="WBF282" s="173"/>
      <c r="WBG282" s="173"/>
      <c r="WBH282" s="125"/>
      <c r="WBI282" s="125"/>
      <c r="WBJ282" s="134"/>
      <c r="WBK282" s="135"/>
      <c r="WBL282" s="135"/>
      <c r="WBM282" s="135"/>
      <c r="WBN282" s="135"/>
      <c r="WBO282" s="173"/>
      <c r="WBP282" s="173"/>
      <c r="WBQ282" s="173"/>
      <c r="WBR282" s="173"/>
      <c r="WBS282" s="173"/>
      <c r="WBT282" s="173"/>
      <c r="WBU282" s="173"/>
      <c r="WBV282" s="173"/>
      <c r="WBW282" s="173"/>
      <c r="WBX282" s="173"/>
      <c r="WBY282" s="125"/>
      <c r="WBZ282" s="125"/>
      <c r="WCA282" s="134"/>
      <c r="WCB282" s="135"/>
      <c r="WCC282" s="135"/>
      <c r="WCD282" s="135"/>
      <c r="WCE282" s="135"/>
      <c r="WCF282" s="173"/>
      <c r="WCG282" s="173"/>
      <c r="WCH282" s="173"/>
      <c r="WCI282" s="173"/>
      <c r="WCJ282" s="173"/>
      <c r="WCK282" s="173"/>
      <c r="WCL282" s="173"/>
      <c r="WCM282" s="173"/>
      <c r="WCN282" s="173"/>
      <c r="WCO282" s="173"/>
      <c r="WCP282" s="125"/>
      <c r="WCQ282" s="125"/>
      <c r="WCR282" s="134"/>
      <c r="WCS282" s="135"/>
      <c r="WCT282" s="135"/>
      <c r="WCU282" s="135"/>
      <c r="WCV282" s="135"/>
      <c r="WCW282" s="173"/>
      <c r="WCX282" s="173"/>
      <c r="WCY282" s="173"/>
      <c r="WCZ282" s="173"/>
      <c r="WDA282" s="173"/>
      <c r="WDB282" s="173"/>
      <c r="WDC282" s="173"/>
      <c r="WDD282" s="173"/>
      <c r="WDE282" s="173"/>
      <c r="WDF282" s="173"/>
      <c r="WDG282" s="125"/>
      <c r="WDH282" s="125"/>
      <c r="WDI282" s="134"/>
      <c r="WDJ282" s="135"/>
      <c r="WDK282" s="135"/>
      <c r="WDL282" s="135"/>
      <c r="WDM282" s="135"/>
      <c r="WDN282" s="173"/>
      <c r="WDO282" s="173"/>
      <c r="WDP282" s="173"/>
      <c r="WDQ282" s="173"/>
      <c r="WDR282" s="173"/>
      <c r="WDS282" s="173"/>
      <c r="WDT282" s="173"/>
      <c r="WDU282" s="173"/>
      <c r="WDV282" s="173"/>
      <c r="WDW282" s="173"/>
      <c r="WDX282" s="125"/>
      <c r="WDY282" s="125"/>
      <c r="WDZ282" s="134"/>
      <c r="WEA282" s="135"/>
      <c r="WEB282" s="135"/>
      <c r="WEC282" s="135"/>
      <c r="WED282" s="135"/>
      <c r="WEE282" s="173"/>
      <c r="WEF282" s="173"/>
      <c r="WEG282" s="173"/>
      <c r="WEH282" s="173"/>
      <c r="WEI282" s="173"/>
      <c r="WEJ282" s="173"/>
      <c r="WEK282" s="173"/>
      <c r="WEL282" s="173"/>
      <c r="WEM282" s="173"/>
      <c r="WEN282" s="173"/>
      <c r="WEO282" s="125"/>
      <c r="WEP282" s="125"/>
      <c r="WEQ282" s="134"/>
      <c r="WER282" s="135"/>
      <c r="WES282" s="135"/>
      <c r="WET282" s="135"/>
      <c r="WEU282" s="135"/>
      <c r="WEV282" s="173"/>
      <c r="WEW282" s="173"/>
      <c r="WEX282" s="173"/>
      <c r="WEY282" s="173"/>
      <c r="WEZ282" s="173"/>
      <c r="WFA282" s="173"/>
      <c r="WFB282" s="173"/>
      <c r="WFC282" s="173"/>
      <c r="WFD282" s="173"/>
      <c r="WFE282" s="173"/>
      <c r="WFF282" s="125"/>
      <c r="WFG282" s="125"/>
      <c r="WFH282" s="134"/>
      <c r="WFI282" s="135"/>
      <c r="WFJ282" s="135"/>
      <c r="WFK282" s="135"/>
      <c r="WFL282" s="135"/>
      <c r="WFM282" s="173"/>
      <c r="WFN282" s="173"/>
      <c r="WFO282" s="173"/>
      <c r="WFP282" s="173"/>
      <c r="WFQ282" s="173"/>
      <c r="WFR282" s="173"/>
      <c r="WFS282" s="173"/>
      <c r="WFT282" s="173"/>
      <c r="WFU282" s="173"/>
      <c r="WFV282" s="173"/>
      <c r="WFW282" s="125"/>
      <c r="WFX282" s="125"/>
      <c r="WFY282" s="134"/>
      <c r="WFZ282" s="135"/>
      <c r="WGA282" s="135"/>
      <c r="WGB282" s="135"/>
      <c r="WGC282" s="135"/>
      <c r="WGD282" s="173"/>
      <c r="WGE282" s="173"/>
      <c r="WGF282" s="173"/>
      <c r="WGG282" s="173"/>
      <c r="WGH282" s="173"/>
      <c r="WGI282" s="173"/>
      <c r="WGJ282" s="173"/>
      <c r="WGK282" s="173"/>
      <c r="WGL282" s="173"/>
      <c r="WGM282" s="173"/>
      <c r="WGN282" s="125"/>
      <c r="WGO282" s="125"/>
      <c r="WGP282" s="134"/>
      <c r="WGQ282" s="135"/>
      <c r="WGR282" s="135"/>
      <c r="WGS282" s="135"/>
      <c r="WGT282" s="135"/>
      <c r="WGU282" s="173"/>
      <c r="WGV282" s="173"/>
      <c r="WGW282" s="173"/>
      <c r="WGX282" s="173"/>
      <c r="WGY282" s="173"/>
      <c r="WGZ282" s="173"/>
      <c r="WHA282" s="173"/>
      <c r="WHB282" s="173"/>
      <c r="WHC282" s="173"/>
      <c r="WHD282" s="173"/>
      <c r="WHE282" s="125"/>
      <c r="WHF282" s="125"/>
      <c r="WHG282" s="134"/>
      <c r="WHH282" s="135"/>
      <c r="WHI282" s="135"/>
      <c r="WHJ282" s="135"/>
      <c r="WHK282" s="135"/>
      <c r="WHL282" s="173"/>
      <c r="WHM282" s="173"/>
      <c r="WHN282" s="173"/>
      <c r="WHO282" s="173"/>
      <c r="WHP282" s="173"/>
      <c r="WHQ282" s="173"/>
      <c r="WHR282" s="173"/>
      <c r="WHS282" s="173"/>
      <c r="WHT282" s="173"/>
      <c r="WHU282" s="173"/>
      <c r="WHV282" s="125"/>
      <c r="WHW282" s="125"/>
      <c r="WHX282" s="134"/>
      <c r="WHY282" s="135"/>
      <c r="WHZ282" s="135"/>
      <c r="WIA282" s="135"/>
      <c r="WIB282" s="135"/>
      <c r="WIC282" s="173"/>
      <c r="WID282" s="173"/>
      <c r="WIE282" s="173"/>
      <c r="WIF282" s="173"/>
      <c r="WIG282" s="173"/>
      <c r="WIH282" s="173"/>
      <c r="WII282" s="173"/>
      <c r="WIJ282" s="173"/>
      <c r="WIK282" s="173"/>
      <c r="WIL282" s="173"/>
      <c r="WIM282" s="125"/>
      <c r="WIN282" s="125"/>
      <c r="WIO282" s="134"/>
      <c r="WIP282" s="135"/>
      <c r="WIQ282" s="135"/>
      <c r="WIR282" s="135"/>
      <c r="WIS282" s="135"/>
      <c r="WIT282" s="173"/>
      <c r="WIU282" s="173"/>
      <c r="WIV282" s="173"/>
      <c r="WIW282" s="173"/>
      <c r="WIX282" s="173"/>
      <c r="WIY282" s="173"/>
      <c r="WIZ282" s="173"/>
      <c r="WJA282" s="173"/>
      <c r="WJB282" s="173"/>
      <c r="WJC282" s="173"/>
      <c r="WJD282" s="125"/>
      <c r="WJE282" s="125"/>
      <c r="WJF282" s="134"/>
      <c r="WJG282" s="135"/>
      <c r="WJH282" s="135"/>
      <c r="WJI282" s="135"/>
      <c r="WJJ282" s="135"/>
      <c r="WJK282" s="173"/>
      <c r="WJL282" s="173"/>
      <c r="WJM282" s="173"/>
      <c r="WJN282" s="173"/>
      <c r="WJO282" s="173"/>
      <c r="WJP282" s="173"/>
      <c r="WJQ282" s="173"/>
      <c r="WJR282" s="173"/>
      <c r="WJS282" s="173"/>
      <c r="WJT282" s="173"/>
      <c r="WJU282" s="125"/>
      <c r="WJV282" s="125"/>
      <c r="WJW282" s="134"/>
      <c r="WJX282" s="135"/>
      <c r="WJY282" s="135"/>
      <c r="WJZ282" s="135"/>
      <c r="WKA282" s="135"/>
      <c r="WKB282" s="173"/>
      <c r="WKC282" s="173"/>
      <c r="WKD282" s="173"/>
      <c r="WKE282" s="173"/>
      <c r="WKF282" s="173"/>
      <c r="WKG282" s="173"/>
      <c r="WKH282" s="173"/>
      <c r="WKI282" s="173"/>
      <c r="WKJ282" s="173"/>
      <c r="WKK282" s="173"/>
      <c r="WKL282" s="125"/>
      <c r="WKM282" s="125"/>
      <c r="WKN282" s="134"/>
      <c r="WKO282" s="135"/>
      <c r="WKP282" s="135"/>
      <c r="WKQ282" s="135"/>
      <c r="WKR282" s="135"/>
      <c r="WKS282" s="173"/>
      <c r="WKT282" s="173"/>
      <c r="WKU282" s="173"/>
      <c r="WKV282" s="173"/>
      <c r="WKW282" s="173"/>
      <c r="WKX282" s="173"/>
      <c r="WKY282" s="173"/>
      <c r="WKZ282" s="173"/>
      <c r="WLA282" s="173"/>
      <c r="WLB282" s="173"/>
      <c r="WLC282" s="125"/>
      <c r="WLD282" s="125"/>
      <c r="WLE282" s="134"/>
      <c r="WLF282" s="135"/>
      <c r="WLG282" s="135"/>
      <c r="WLH282" s="135"/>
      <c r="WLI282" s="135"/>
      <c r="WLJ282" s="173"/>
      <c r="WLK282" s="173"/>
      <c r="WLL282" s="173"/>
      <c r="WLM282" s="173"/>
      <c r="WLN282" s="173"/>
      <c r="WLO282" s="173"/>
      <c r="WLP282" s="173"/>
      <c r="WLQ282" s="173"/>
      <c r="WLR282" s="173"/>
      <c r="WLS282" s="173"/>
      <c r="WLT282" s="125"/>
      <c r="WLU282" s="125"/>
      <c r="WLV282" s="134"/>
      <c r="WLW282" s="135"/>
      <c r="WLX282" s="135"/>
      <c r="WLY282" s="135"/>
      <c r="WLZ282" s="135"/>
      <c r="WMA282" s="173"/>
      <c r="WMB282" s="173"/>
      <c r="WMC282" s="173"/>
      <c r="WMD282" s="173"/>
      <c r="WME282" s="173"/>
      <c r="WMF282" s="173"/>
      <c r="WMG282" s="173"/>
      <c r="WMH282" s="173"/>
      <c r="WMI282" s="173"/>
      <c r="WMJ282" s="173"/>
      <c r="WMK282" s="125"/>
      <c r="WML282" s="125"/>
      <c r="WMM282" s="134"/>
      <c r="WMN282" s="135"/>
      <c r="WMO282" s="135"/>
      <c r="WMP282" s="135"/>
      <c r="WMQ282" s="135"/>
      <c r="WMR282" s="173"/>
      <c r="WMS282" s="173"/>
      <c r="WMT282" s="173"/>
      <c r="WMU282" s="173"/>
      <c r="WMV282" s="173"/>
      <c r="WMW282" s="173"/>
      <c r="WMX282" s="173"/>
      <c r="WMY282" s="173"/>
      <c r="WMZ282" s="173"/>
      <c r="WNA282" s="173"/>
      <c r="WNB282" s="125"/>
      <c r="WNC282" s="125"/>
      <c r="WND282" s="134"/>
      <c r="WNE282" s="135"/>
      <c r="WNF282" s="135"/>
      <c r="WNG282" s="135"/>
      <c r="WNH282" s="135"/>
      <c r="WNI282" s="173"/>
      <c r="WNJ282" s="173"/>
      <c r="WNK282" s="173"/>
      <c r="WNL282" s="173"/>
      <c r="WNM282" s="173"/>
      <c r="WNN282" s="173"/>
      <c r="WNO282" s="173"/>
      <c r="WNP282" s="173"/>
      <c r="WNQ282" s="173"/>
      <c r="WNR282" s="173"/>
      <c r="WNS282" s="125"/>
      <c r="WNT282" s="125"/>
      <c r="WNU282" s="134"/>
      <c r="WNV282" s="135"/>
      <c r="WNW282" s="135"/>
      <c r="WNX282" s="135"/>
      <c r="WNY282" s="135"/>
      <c r="WNZ282" s="173"/>
      <c r="WOA282" s="173"/>
      <c r="WOB282" s="173"/>
      <c r="WOC282" s="173"/>
      <c r="WOD282" s="173"/>
      <c r="WOE282" s="173"/>
      <c r="WOF282" s="173"/>
      <c r="WOG282" s="173"/>
      <c r="WOH282" s="173"/>
      <c r="WOI282" s="173"/>
      <c r="WOJ282" s="125"/>
      <c r="WOK282" s="125"/>
      <c r="WOL282" s="134"/>
      <c r="WOM282" s="135"/>
      <c r="WON282" s="135"/>
      <c r="WOO282" s="135"/>
      <c r="WOP282" s="135"/>
      <c r="WOQ282" s="173"/>
      <c r="WOR282" s="173"/>
      <c r="WOS282" s="173"/>
      <c r="WOT282" s="173"/>
      <c r="WOU282" s="173"/>
      <c r="WOV282" s="173"/>
      <c r="WOW282" s="173"/>
      <c r="WOX282" s="173"/>
      <c r="WOY282" s="173"/>
      <c r="WOZ282" s="173"/>
      <c r="WPA282" s="125"/>
      <c r="WPB282" s="125"/>
      <c r="WPC282" s="134"/>
      <c r="WPD282" s="135"/>
      <c r="WPE282" s="135"/>
      <c r="WPF282" s="135"/>
      <c r="WPG282" s="135"/>
      <c r="WPH282" s="173"/>
      <c r="WPI282" s="173"/>
      <c r="WPJ282" s="173"/>
      <c r="WPK282" s="173"/>
      <c r="WPL282" s="173"/>
      <c r="WPM282" s="173"/>
      <c r="WPN282" s="173"/>
      <c r="WPO282" s="173"/>
      <c r="WPP282" s="173"/>
      <c r="WPQ282" s="173"/>
      <c r="WPR282" s="125"/>
      <c r="WPS282" s="125"/>
      <c r="WPT282" s="134"/>
      <c r="WPU282" s="135"/>
      <c r="WPV282" s="135"/>
      <c r="WPW282" s="135"/>
      <c r="WPX282" s="135"/>
      <c r="WPY282" s="173"/>
      <c r="WPZ282" s="173"/>
      <c r="WQA282" s="173"/>
      <c r="WQB282" s="173"/>
      <c r="WQC282" s="173"/>
      <c r="WQD282" s="173"/>
      <c r="WQE282" s="173"/>
      <c r="WQF282" s="173"/>
      <c r="WQG282" s="173"/>
      <c r="WQH282" s="173"/>
      <c r="WQI282" s="125"/>
      <c r="WQJ282" s="125"/>
      <c r="WQK282" s="134"/>
      <c r="WQL282" s="135"/>
      <c r="WQM282" s="135"/>
      <c r="WQN282" s="135"/>
      <c r="WQO282" s="135"/>
      <c r="WQP282" s="173"/>
      <c r="WQQ282" s="173"/>
      <c r="WQR282" s="173"/>
      <c r="WQS282" s="173"/>
      <c r="WQT282" s="173"/>
      <c r="WQU282" s="173"/>
      <c r="WQV282" s="173"/>
      <c r="WQW282" s="173"/>
      <c r="WQX282" s="173"/>
      <c r="WQY282" s="173"/>
      <c r="WQZ282" s="125"/>
      <c r="WRA282" s="125"/>
      <c r="WRB282" s="134"/>
      <c r="WRC282" s="135"/>
      <c r="WRD282" s="135"/>
      <c r="WRE282" s="135"/>
      <c r="WRF282" s="135"/>
      <c r="WRG282" s="173"/>
      <c r="WRH282" s="173"/>
      <c r="WRI282" s="173"/>
      <c r="WRJ282" s="173"/>
      <c r="WRK282" s="173"/>
      <c r="WRL282" s="173"/>
      <c r="WRM282" s="173"/>
      <c r="WRN282" s="173"/>
      <c r="WRO282" s="173"/>
      <c r="WRP282" s="173"/>
      <c r="WRQ282" s="125"/>
      <c r="WRR282" s="125"/>
      <c r="WRS282" s="134"/>
      <c r="WRT282" s="135"/>
      <c r="WRU282" s="135"/>
      <c r="WRV282" s="135"/>
      <c r="WRW282" s="135"/>
      <c r="WRX282" s="173"/>
      <c r="WRY282" s="173"/>
      <c r="WRZ282" s="173"/>
      <c r="WSA282" s="173"/>
      <c r="WSB282" s="173"/>
      <c r="WSC282" s="173"/>
      <c r="WSD282" s="173"/>
      <c r="WSE282" s="173"/>
      <c r="WSF282" s="173"/>
      <c r="WSG282" s="173"/>
      <c r="WSH282" s="125"/>
      <c r="WSI282" s="125"/>
      <c r="WSJ282" s="134"/>
      <c r="WSK282" s="135"/>
      <c r="WSL282" s="135"/>
      <c r="WSM282" s="135"/>
      <c r="WSN282" s="135"/>
      <c r="WSO282" s="173"/>
      <c r="WSP282" s="173"/>
      <c r="WSQ282" s="173"/>
      <c r="WSR282" s="173"/>
      <c r="WSS282" s="173"/>
      <c r="WST282" s="173"/>
      <c r="WSU282" s="173"/>
      <c r="WSV282" s="173"/>
      <c r="WSW282" s="173"/>
      <c r="WSX282" s="173"/>
      <c r="WSY282" s="125"/>
      <c r="WSZ282" s="125"/>
      <c r="WTA282" s="134"/>
      <c r="WTB282" s="135"/>
      <c r="WTC282" s="135"/>
      <c r="WTD282" s="135"/>
      <c r="WTE282" s="135"/>
      <c r="WTF282" s="173"/>
      <c r="WTG282" s="173"/>
      <c r="WTH282" s="173"/>
      <c r="WTI282" s="173"/>
      <c r="WTJ282" s="173"/>
      <c r="WTK282" s="173"/>
      <c r="WTL282" s="173"/>
      <c r="WTM282" s="173"/>
      <c r="WTN282" s="173"/>
      <c r="WTO282" s="173"/>
      <c r="WTP282" s="125"/>
      <c r="WTQ282" s="125"/>
      <c r="WTR282" s="134"/>
      <c r="WTS282" s="135"/>
      <c r="WTT282" s="135"/>
      <c r="WTU282" s="135"/>
      <c r="WTV282" s="135"/>
      <c r="WTW282" s="173"/>
      <c r="WTX282" s="173"/>
      <c r="WTY282" s="173"/>
      <c r="WTZ282" s="173"/>
      <c r="WUA282" s="173"/>
      <c r="WUB282" s="173"/>
      <c r="WUC282" s="173"/>
      <c r="WUD282" s="173"/>
      <c r="WUE282" s="173"/>
      <c r="WUF282" s="173"/>
      <c r="WUG282" s="125"/>
      <c r="WUH282" s="125"/>
      <c r="WUI282" s="134"/>
      <c r="WUJ282" s="135"/>
      <c r="WUK282" s="135"/>
      <c r="WUL282" s="135"/>
      <c r="WUM282" s="135"/>
      <c r="WUN282" s="173"/>
      <c r="WUO282" s="173"/>
      <c r="WUP282" s="173"/>
      <c r="WUQ282" s="173"/>
      <c r="WUR282" s="173"/>
      <c r="WUS282" s="173"/>
      <c r="WUT282" s="173"/>
      <c r="WUU282" s="173"/>
      <c r="WUV282" s="173"/>
      <c r="WUW282" s="173"/>
      <c r="WUX282" s="125"/>
      <c r="WUY282" s="125"/>
      <c r="WUZ282" s="134"/>
      <c r="WVA282" s="135"/>
      <c r="WVB282" s="135"/>
      <c r="WVC282" s="135"/>
      <c r="WVD282" s="135"/>
      <c r="WVE282" s="173"/>
      <c r="WVF282" s="173"/>
      <c r="WVG282" s="173"/>
      <c r="WVH282" s="173"/>
      <c r="WVI282" s="173"/>
      <c r="WVJ282" s="173"/>
      <c r="WVK282" s="173"/>
      <c r="WVL282" s="173"/>
      <c r="WVM282" s="173"/>
      <c r="WVN282" s="173"/>
      <c r="WVO282" s="125"/>
      <c r="WVP282" s="125"/>
      <c r="WVQ282" s="134"/>
      <c r="WVR282" s="135"/>
      <c r="WVS282" s="135"/>
      <c r="WVT282" s="135"/>
      <c r="WVU282" s="135"/>
      <c r="WVV282" s="173"/>
      <c r="WVW282" s="173"/>
      <c r="WVX282" s="173"/>
      <c r="WVY282" s="173"/>
      <c r="WVZ282" s="173"/>
      <c r="WWA282" s="173"/>
      <c r="WWB282" s="173"/>
      <c r="WWC282" s="173"/>
      <c r="WWD282" s="173"/>
      <c r="WWE282" s="173"/>
      <c r="WWF282" s="125"/>
      <c r="WWG282" s="125"/>
      <c r="WWH282" s="134"/>
      <c r="WWI282" s="135"/>
      <c r="WWJ282" s="135"/>
      <c r="WWK282" s="135"/>
      <c r="WWL282" s="135"/>
      <c r="WWM282" s="173"/>
      <c r="WWN282" s="173"/>
      <c r="WWO282" s="173"/>
      <c r="WWP282" s="173"/>
      <c r="WWQ282" s="173"/>
      <c r="WWR282" s="173"/>
      <c r="WWS282" s="173"/>
      <c r="WWT282" s="173"/>
      <c r="WWU282" s="173"/>
      <c r="WWV282" s="173"/>
      <c r="WWW282" s="125"/>
      <c r="WWX282" s="125"/>
      <c r="WWY282" s="134"/>
      <c r="WWZ282" s="135"/>
      <c r="WXA282" s="135"/>
      <c r="WXB282" s="135"/>
      <c r="WXC282" s="135"/>
      <c r="WXD282" s="173"/>
      <c r="WXE282" s="173"/>
      <c r="WXF282" s="173"/>
      <c r="WXG282" s="173"/>
      <c r="WXH282" s="173"/>
      <c r="WXI282" s="173"/>
      <c r="WXJ282" s="173"/>
      <c r="WXK282" s="173"/>
      <c r="WXL282" s="173"/>
      <c r="WXM282" s="173"/>
      <c r="WXN282" s="125"/>
      <c r="WXO282" s="125"/>
      <c r="WXP282" s="134"/>
      <c r="WXQ282" s="135"/>
      <c r="WXR282" s="135"/>
      <c r="WXS282" s="135"/>
      <c r="WXT282" s="135"/>
      <c r="WXU282" s="173"/>
      <c r="WXV282" s="173"/>
      <c r="WXW282" s="173"/>
      <c r="WXX282" s="173"/>
      <c r="WXY282" s="173"/>
      <c r="WXZ282" s="173"/>
      <c r="WYA282" s="173"/>
      <c r="WYB282" s="173"/>
      <c r="WYC282" s="173"/>
      <c r="WYD282" s="173"/>
      <c r="WYE282" s="125"/>
      <c r="WYF282" s="125"/>
      <c r="WYG282" s="134"/>
      <c r="WYH282" s="135"/>
      <c r="WYI282" s="135"/>
      <c r="WYJ282" s="135"/>
      <c r="WYK282" s="135"/>
      <c r="WYL282" s="173"/>
      <c r="WYM282" s="173"/>
      <c r="WYN282" s="173"/>
      <c r="WYO282" s="173"/>
      <c r="WYP282" s="173"/>
      <c r="WYQ282" s="173"/>
      <c r="WYR282" s="173"/>
      <c r="WYS282" s="173"/>
      <c r="WYT282" s="173"/>
      <c r="WYU282" s="173"/>
      <c r="WYV282" s="125"/>
      <c r="WYW282" s="125"/>
      <c r="WYX282" s="134"/>
      <c r="WYY282" s="135"/>
      <c r="WYZ282" s="135"/>
      <c r="WZA282" s="135"/>
      <c r="WZB282" s="135"/>
      <c r="WZC282" s="173"/>
      <c r="WZD282" s="173"/>
      <c r="WZE282" s="173"/>
      <c r="WZF282" s="173"/>
      <c r="WZG282" s="173"/>
      <c r="WZH282" s="173"/>
      <c r="WZI282" s="173"/>
      <c r="WZJ282" s="173"/>
      <c r="WZK282" s="173"/>
      <c r="WZL282" s="173"/>
      <c r="WZM282" s="125"/>
      <c r="WZN282" s="125"/>
      <c r="WZO282" s="134"/>
      <c r="WZP282" s="135"/>
      <c r="WZQ282" s="135"/>
      <c r="WZR282" s="135"/>
      <c r="WZS282" s="135"/>
      <c r="WZT282" s="173"/>
      <c r="WZU282" s="173"/>
      <c r="WZV282" s="173"/>
      <c r="WZW282" s="173"/>
      <c r="WZX282" s="173"/>
      <c r="WZY282" s="173"/>
      <c r="WZZ282" s="173"/>
      <c r="XAA282" s="173"/>
      <c r="XAB282" s="173"/>
      <c r="XAC282" s="173"/>
      <c r="XAD282" s="125"/>
      <c r="XAE282" s="125"/>
      <c r="XAF282" s="134"/>
      <c r="XAG282" s="135"/>
      <c r="XAH282" s="135"/>
      <c r="XAI282" s="135"/>
      <c r="XAJ282" s="135"/>
      <c r="XAK282" s="173"/>
      <c r="XAL282" s="173"/>
      <c r="XAM282" s="173"/>
      <c r="XAN282" s="173"/>
      <c r="XAO282" s="173"/>
      <c r="XAP282" s="173"/>
      <c r="XAQ282" s="173"/>
      <c r="XAR282" s="173"/>
      <c r="XAS282" s="173"/>
      <c r="XAT282" s="173"/>
      <c r="XAU282" s="125"/>
      <c r="XAV282" s="125"/>
      <c r="XAW282" s="134"/>
      <c r="XAX282" s="135"/>
      <c r="XAY282" s="135"/>
      <c r="XAZ282" s="135"/>
      <c r="XBA282" s="135"/>
      <c r="XBB282" s="173"/>
      <c r="XBC282" s="173"/>
      <c r="XBD282" s="173"/>
      <c r="XBE282" s="173"/>
      <c r="XBF282" s="173"/>
      <c r="XBG282" s="173"/>
      <c r="XBH282" s="173"/>
      <c r="XBI282" s="173"/>
      <c r="XBJ282" s="173"/>
      <c r="XBK282" s="173"/>
      <c r="XBL282" s="125"/>
      <c r="XBM282" s="125"/>
      <c r="XBN282" s="134"/>
      <c r="XBO282" s="135"/>
      <c r="XBP282" s="135"/>
      <c r="XBQ282" s="135"/>
      <c r="XBR282" s="135"/>
      <c r="XBS282" s="173"/>
      <c r="XBT282" s="173"/>
      <c r="XBU282" s="173"/>
      <c r="XBV282" s="173"/>
      <c r="XBW282" s="173"/>
      <c r="XBX282" s="173"/>
      <c r="XBY282" s="173"/>
      <c r="XBZ282" s="173"/>
      <c r="XCA282" s="173"/>
      <c r="XCB282" s="173"/>
      <c r="XCC282" s="125"/>
      <c r="XCD282" s="125"/>
      <c r="XCE282" s="134"/>
      <c r="XCF282" s="135"/>
      <c r="XCG282" s="135"/>
      <c r="XCH282" s="135"/>
      <c r="XCI282" s="135"/>
      <c r="XCJ282" s="173"/>
      <c r="XCK282" s="173"/>
      <c r="XCL282" s="173"/>
      <c r="XCM282" s="173"/>
      <c r="XCN282" s="173"/>
      <c r="XCO282" s="173"/>
      <c r="XCP282" s="173"/>
      <c r="XCQ282" s="173"/>
      <c r="XCR282" s="173"/>
      <c r="XCS282" s="173"/>
      <c r="XCT282" s="125"/>
      <c r="XCU282" s="125"/>
      <c r="XCV282" s="134"/>
      <c r="XCW282" s="135"/>
      <c r="XCX282" s="135"/>
      <c r="XCY282" s="135"/>
      <c r="XCZ282" s="135"/>
      <c r="XDA282" s="173"/>
      <c r="XDB282" s="173"/>
      <c r="XDC282" s="173"/>
      <c r="XDD282" s="173"/>
      <c r="XDE282" s="173"/>
      <c r="XDF282" s="173"/>
      <c r="XDG282" s="173"/>
      <c r="XDH282" s="173"/>
      <c r="XDI282" s="173"/>
      <c r="XDJ282" s="173"/>
      <c r="XDK282" s="125"/>
      <c r="XDL282" s="125"/>
      <c r="XDM282" s="134"/>
      <c r="XDN282" s="135"/>
      <c r="XDO282" s="135"/>
      <c r="XDP282" s="135"/>
      <c r="XDQ282" s="135"/>
      <c r="XDR282" s="173"/>
      <c r="XDS282" s="173"/>
      <c r="XDT282" s="173"/>
      <c r="XDU282" s="173"/>
      <c r="XDV282" s="173"/>
      <c r="XDW282" s="173"/>
      <c r="XDX282" s="173"/>
      <c r="XDY282" s="173"/>
      <c r="XDZ282" s="173"/>
      <c r="XEA282" s="173"/>
      <c r="XEB282" s="125"/>
      <c r="XEC282" s="125"/>
      <c r="XED282" s="134"/>
      <c r="XEE282" s="135"/>
      <c r="XEF282" s="135"/>
      <c r="XEG282" s="135"/>
      <c r="XEH282" s="135"/>
      <c r="XEI282" s="173"/>
      <c r="XEJ282" s="173"/>
      <c r="XEK282" s="173"/>
      <c r="XEL282" s="173"/>
      <c r="XEM282" s="173"/>
      <c r="XEN282" s="173"/>
      <c r="XEO282" s="173"/>
      <c r="XEP282" s="173"/>
      <c r="XEQ282" s="173"/>
      <c r="XER282" s="173"/>
      <c r="XES282" s="125"/>
      <c r="XET282" s="125"/>
      <c r="XEU282" s="134"/>
      <c r="XEV282" s="135"/>
      <c r="XEW282" s="135"/>
      <c r="XEX282" s="135"/>
      <c r="XEY282" s="135"/>
      <c r="XEZ282" s="173"/>
      <c r="XFA282" s="173"/>
      <c r="XFB282" s="173"/>
    </row>
    <row r="283" spans="1:16382" hidden="1">
      <c r="C283" s="164" t="s">
        <v>184</v>
      </c>
      <c r="G283" s="164" t="s">
        <v>176</v>
      </c>
      <c r="J283" s="194" t="e">
        <f t="shared" ref="J283:R283" si="189">J282/I282-1</f>
        <v>#DIV/0!</v>
      </c>
      <c r="K283" s="194" t="e">
        <f t="shared" si="189"/>
        <v>#DIV/0!</v>
      </c>
      <c r="L283" s="194" t="e">
        <f t="shared" si="189"/>
        <v>#DIV/0!</v>
      </c>
      <c r="M283" s="194" t="e">
        <f t="shared" si="189"/>
        <v>#DIV/0!</v>
      </c>
      <c r="N283" s="194" t="e">
        <f t="shared" si="189"/>
        <v>#DIV/0!</v>
      </c>
      <c r="O283" s="194" t="e">
        <f t="shared" si="189"/>
        <v>#DIV/0!</v>
      </c>
      <c r="P283" s="194" t="e">
        <f t="shared" si="189"/>
        <v>#DIV/0!</v>
      </c>
      <c r="Q283" s="194" t="e">
        <f t="shared" si="189"/>
        <v>#DIV/0!</v>
      </c>
      <c r="R283" s="194" t="e">
        <f t="shared" si="189"/>
        <v>#DIV/0!</v>
      </c>
      <c r="S283"/>
      <c r="T283"/>
      <c r="U283"/>
      <c r="V283"/>
      <c r="W283"/>
      <c r="X283"/>
      <c r="Y283"/>
      <c r="AA283"/>
      <c r="AB283"/>
      <c r="AC283"/>
      <c r="AD283"/>
      <c r="AE283"/>
      <c r="AF283"/>
    </row>
    <row r="284" spans="1:16382" hidden="1">
      <c r="A284" s="4" t="str">
        <f>'[7]Input sheet'!A114</f>
        <v>Turkey</v>
      </c>
      <c r="B284" s="129" t="str">
        <f>'[7]Input sheet'!B114</f>
        <v>Salaries</v>
      </c>
      <c r="C284" s="4" t="str">
        <f>'[7]Input sheet'!C114</f>
        <v>Total Gross Income Generated by Total Tourism Employment by Sector</v>
      </c>
      <c r="D284" s="2" t="str">
        <f>'[7]Input sheet'!D114</f>
        <v>Accommodation</v>
      </c>
      <c r="G284" s="1" t="str">
        <f>Home!$B$2&amp;" Million"</f>
        <v>Foriant Million</v>
      </c>
      <c r="H284" s="169">
        <f t="shared" ref="H284" si="190">(H253*H211)/1000</f>
        <v>0</v>
      </c>
      <c r="I284" s="169">
        <f t="shared" ref="I284:M284" si="191">(I253*I211)/1000</f>
        <v>0</v>
      </c>
      <c r="J284" s="169">
        <f t="shared" si="191"/>
        <v>0</v>
      </c>
      <c r="K284" s="169">
        <f>(K253*K211)/1000</f>
        <v>0</v>
      </c>
      <c r="L284" s="169">
        <f>(L253*L211)/1000</f>
        <v>0</v>
      </c>
      <c r="M284" s="169">
        <f t="shared" si="191"/>
        <v>0</v>
      </c>
      <c r="N284" s="203" t="e">
        <f>N253*N211/1000</f>
        <v>#DIV/0!</v>
      </c>
      <c r="O284" s="203" t="e">
        <f>O253*O211/1000</f>
        <v>#DIV/0!</v>
      </c>
      <c r="P284" s="203" t="e">
        <f>P253*P211/1000</f>
        <v>#DIV/0!</v>
      </c>
      <c r="Q284" s="203" t="e">
        <f>Q253*Q211/1000</f>
        <v>#DIV/0!</v>
      </c>
      <c r="R284" s="203" t="e">
        <f>R253*R211/1000</f>
        <v>#DIV/0!</v>
      </c>
      <c r="S284"/>
      <c r="T284"/>
      <c r="U284"/>
      <c r="V284"/>
      <c r="W284"/>
      <c r="X284"/>
      <c r="Y284"/>
      <c r="AA284"/>
      <c r="AB284"/>
      <c r="AC284"/>
      <c r="AD284"/>
      <c r="AE284"/>
      <c r="AF284"/>
    </row>
    <row r="285" spans="1:16382" hidden="1">
      <c r="C285" s="164" t="s">
        <v>184</v>
      </c>
      <c r="G285" s="164" t="s">
        <v>176</v>
      </c>
      <c r="J285" s="194" t="e">
        <f t="shared" ref="J285:R285" si="192">J284/I284-1</f>
        <v>#DIV/0!</v>
      </c>
      <c r="K285" s="194" t="e">
        <f t="shared" si="192"/>
        <v>#DIV/0!</v>
      </c>
      <c r="L285" s="194" t="e">
        <f t="shared" si="192"/>
        <v>#DIV/0!</v>
      </c>
      <c r="M285" s="194" t="e">
        <f t="shared" si="192"/>
        <v>#DIV/0!</v>
      </c>
      <c r="N285" s="194" t="e">
        <f t="shared" si="192"/>
        <v>#DIV/0!</v>
      </c>
      <c r="O285" s="194" t="e">
        <f t="shared" si="192"/>
        <v>#DIV/0!</v>
      </c>
      <c r="P285" s="194" t="e">
        <f t="shared" si="192"/>
        <v>#DIV/0!</v>
      </c>
      <c r="Q285" s="194" t="e">
        <f t="shared" si="192"/>
        <v>#DIV/0!</v>
      </c>
      <c r="R285" s="194" t="e">
        <f t="shared" si="192"/>
        <v>#DIV/0!</v>
      </c>
      <c r="S285"/>
      <c r="T285"/>
      <c r="U285"/>
      <c r="V285"/>
      <c r="W285"/>
      <c r="X285"/>
      <c r="Y285"/>
      <c r="AA285"/>
      <c r="AB285"/>
      <c r="AC285"/>
      <c r="AD285"/>
      <c r="AE285"/>
      <c r="AF285"/>
    </row>
    <row r="286" spans="1:16382" hidden="1">
      <c r="A286" s="4" t="str">
        <f>'[7]Input sheet'!A115</f>
        <v>Turkey</v>
      </c>
      <c r="B286" s="129" t="str">
        <f>'[7]Input sheet'!B115</f>
        <v>Salaries</v>
      </c>
      <c r="C286" s="4" t="str">
        <f>'[7]Input sheet'!C115</f>
        <v>Total Gross Income Generated by Total Tourism Employment by Sector</v>
      </c>
      <c r="D286" s="2" t="str">
        <f>'[7]Input sheet'!D115</f>
        <v>Entertainment &amp; Sightseeing</v>
      </c>
      <c r="G286" s="1" t="str">
        <f>Home!$B$2&amp;" Million"</f>
        <v>Foriant Million</v>
      </c>
      <c r="H286" s="169">
        <f t="shared" ref="H286" si="193">(H255*H213)/1000</f>
        <v>0</v>
      </c>
      <c r="I286" s="169">
        <f t="shared" ref="I286:M286" si="194">(I255*I213)/1000</f>
        <v>0</v>
      </c>
      <c r="J286" s="169">
        <f t="shared" si="194"/>
        <v>0</v>
      </c>
      <c r="K286" s="169">
        <f t="shared" si="194"/>
        <v>0</v>
      </c>
      <c r="L286" s="169">
        <f>(L255*L213)/1000</f>
        <v>0</v>
      </c>
      <c r="M286" s="169">
        <f t="shared" si="194"/>
        <v>0</v>
      </c>
      <c r="N286" s="203" t="e">
        <f>N255*N213/1000</f>
        <v>#DIV/0!</v>
      </c>
      <c r="O286" s="203" t="e">
        <f>O255*O213/1000</f>
        <v>#DIV/0!</v>
      </c>
      <c r="P286" s="203" t="e">
        <f>P255*P213/1000</f>
        <v>#DIV/0!</v>
      </c>
      <c r="Q286" s="203" t="e">
        <f>Q255*Q213/1000</f>
        <v>#DIV/0!</v>
      </c>
      <c r="R286" s="203" t="e">
        <f>R255*R213/1000</f>
        <v>#DIV/0!</v>
      </c>
      <c r="S286"/>
      <c r="T286"/>
      <c r="U286"/>
      <c r="V286"/>
      <c r="W286"/>
      <c r="X286"/>
      <c r="Y286"/>
      <c r="AA286"/>
      <c r="AB286"/>
      <c r="AC286"/>
      <c r="AD286"/>
      <c r="AE286"/>
      <c r="AF286"/>
    </row>
    <row r="287" spans="1:16382" hidden="1">
      <c r="C287" s="164" t="s">
        <v>184</v>
      </c>
      <c r="G287" s="164" t="s">
        <v>176</v>
      </c>
      <c r="J287" s="194" t="e">
        <f t="shared" ref="J287:R287" si="195">J286/I286-1</f>
        <v>#DIV/0!</v>
      </c>
      <c r="K287" s="194" t="e">
        <f t="shared" si="195"/>
        <v>#DIV/0!</v>
      </c>
      <c r="L287" s="194" t="e">
        <f t="shared" si="195"/>
        <v>#DIV/0!</v>
      </c>
      <c r="M287" s="194" t="e">
        <f t="shared" si="195"/>
        <v>#DIV/0!</v>
      </c>
      <c r="N287" s="194" t="e">
        <f t="shared" si="195"/>
        <v>#DIV/0!</v>
      </c>
      <c r="O287" s="194" t="e">
        <f t="shared" si="195"/>
        <v>#DIV/0!</v>
      </c>
      <c r="P287" s="194" t="e">
        <f t="shared" si="195"/>
        <v>#DIV/0!</v>
      </c>
      <c r="Q287" s="194" t="e">
        <f t="shared" si="195"/>
        <v>#DIV/0!</v>
      </c>
      <c r="R287" s="194" t="e">
        <f t="shared" si="195"/>
        <v>#DIV/0!</v>
      </c>
      <c r="S287"/>
      <c r="T287"/>
      <c r="U287"/>
      <c r="V287"/>
      <c r="W287"/>
      <c r="X287"/>
      <c r="Y287"/>
      <c r="AA287"/>
      <c r="AB287"/>
      <c r="AC287"/>
      <c r="AD287"/>
      <c r="AE287"/>
      <c r="AF287"/>
    </row>
    <row r="288" spans="1:16382" hidden="1">
      <c r="A288" s="4" t="str">
        <f>'[7]Input sheet'!A116</f>
        <v>Turkey</v>
      </c>
      <c r="B288" s="129" t="str">
        <f>'[7]Input sheet'!B116</f>
        <v>Salaries</v>
      </c>
      <c r="C288" s="4" t="str">
        <f>'[7]Input sheet'!C116</f>
        <v>Total Gross Income Generated by Total Tourism Employment by Sector</v>
      </c>
      <c r="D288" s="2" t="str">
        <f>'[7]Input sheet'!D116</f>
        <v>Foodservice</v>
      </c>
      <c r="G288" s="1" t="str">
        <f>Home!$B$2&amp;" Million"</f>
        <v>Foriant Million</v>
      </c>
      <c r="H288" s="169">
        <f t="shared" ref="H288" si="196">(H257*H215)/1000</f>
        <v>0</v>
      </c>
      <c r="I288" s="169">
        <f t="shared" ref="I288:M288" si="197">(I257*I215)/1000</f>
        <v>0</v>
      </c>
      <c r="J288" s="169">
        <f t="shared" si="197"/>
        <v>0</v>
      </c>
      <c r="K288" s="169">
        <f t="shared" si="197"/>
        <v>0</v>
      </c>
      <c r="L288" s="169">
        <f>(L257*L215)/1000</f>
        <v>0</v>
      </c>
      <c r="M288" s="169">
        <f t="shared" si="197"/>
        <v>0</v>
      </c>
      <c r="N288" s="203" t="e">
        <f>N257*N215/1000</f>
        <v>#DIV/0!</v>
      </c>
      <c r="O288" s="203" t="e">
        <f>O257*O215/1000</f>
        <v>#DIV/0!</v>
      </c>
      <c r="P288" s="203" t="e">
        <f>P257*P215/1000</f>
        <v>#DIV/0!</v>
      </c>
      <c r="Q288" s="203" t="e">
        <f>Q257*Q215/1000</f>
        <v>#DIV/0!</v>
      </c>
      <c r="R288" s="203" t="e">
        <f>R257*R215/1000</f>
        <v>#DIV/0!</v>
      </c>
      <c r="S288"/>
      <c r="T288"/>
      <c r="U288"/>
      <c r="V288"/>
      <c r="W288"/>
      <c r="X288"/>
      <c r="Y288"/>
      <c r="AA288"/>
      <c r="AB288"/>
      <c r="AC288"/>
      <c r="AD288"/>
      <c r="AE288"/>
      <c r="AF288"/>
    </row>
    <row r="289" spans="1:16382" hidden="1">
      <c r="C289" s="164" t="s">
        <v>184</v>
      </c>
      <c r="G289" s="164" t="s">
        <v>176</v>
      </c>
      <c r="J289" s="194" t="e">
        <f t="shared" ref="J289:R289" si="198">J288/I288-1</f>
        <v>#DIV/0!</v>
      </c>
      <c r="K289" s="194" t="e">
        <f t="shared" si="198"/>
        <v>#DIV/0!</v>
      </c>
      <c r="L289" s="194" t="e">
        <f t="shared" si="198"/>
        <v>#DIV/0!</v>
      </c>
      <c r="M289" s="194" t="e">
        <f t="shared" si="198"/>
        <v>#DIV/0!</v>
      </c>
      <c r="N289" s="194" t="e">
        <f t="shared" si="198"/>
        <v>#DIV/0!</v>
      </c>
      <c r="O289" s="194" t="e">
        <f t="shared" si="198"/>
        <v>#DIV/0!</v>
      </c>
      <c r="P289" s="194" t="e">
        <f t="shared" si="198"/>
        <v>#DIV/0!</v>
      </c>
      <c r="Q289" s="194" t="e">
        <f t="shared" si="198"/>
        <v>#DIV/0!</v>
      </c>
      <c r="R289" s="194" t="e">
        <f t="shared" si="198"/>
        <v>#DIV/0!</v>
      </c>
      <c r="S289"/>
      <c r="T289"/>
      <c r="U289"/>
      <c r="V289"/>
      <c r="W289"/>
      <c r="X289"/>
      <c r="Y289"/>
      <c r="AA289"/>
      <c r="AB289"/>
      <c r="AC289"/>
      <c r="AD289"/>
      <c r="AE289"/>
      <c r="AF289"/>
    </row>
    <row r="290" spans="1:16382" hidden="1">
      <c r="A290" s="4" t="str">
        <f>'[7]Input sheet'!A117</f>
        <v>Turkey</v>
      </c>
      <c r="B290" s="129" t="str">
        <f>'[7]Input sheet'!B117</f>
        <v>Salaries</v>
      </c>
      <c r="C290" s="4" t="str">
        <f>'[7]Input sheet'!C117</f>
        <v>Total Gross Income Generated by Total Tourism Employment by Sector</v>
      </c>
      <c r="D290" s="2" t="str">
        <f>'[7]Input sheet'!D117</f>
        <v>Retail</v>
      </c>
      <c r="G290" s="1" t="str">
        <f>Home!$B$2&amp;" Million"</f>
        <v>Foriant Million</v>
      </c>
      <c r="H290" s="169">
        <f t="shared" ref="H290" si="199">(H259*H217)/1000</f>
        <v>0</v>
      </c>
      <c r="I290" s="169">
        <f t="shared" ref="I290:K290" si="200">(I259*I217)/1000</f>
        <v>0</v>
      </c>
      <c r="J290" s="169">
        <f t="shared" si="200"/>
        <v>0</v>
      </c>
      <c r="K290" s="169">
        <f t="shared" si="200"/>
        <v>0</v>
      </c>
      <c r="L290" s="169">
        <f>(L259*L217)/1000</f>
        <v>0</v>
      </c>
      <c r="M290" s="169">
        <f>(M259*M217)/1000</f>
        <v>0</v>
      </c>
      <c r="N290" s="203" t="e">
        <f>N259*N217/1000</f>
        <v>#DIV/0!</v>
      </c>
      <c r="O290" s="203" t="e">
        <f>O259*O217/1000</f>
        <v>#DIV/0!</v>
      </c>
      <c r="P290" s="203" t="e">
        <f>P259*P217/1000</f>
        <v>#DIV/0!</v>
      </c>
      <c r="Q290" s="203" t="e">
        <f>Q259*Q217/1000</f>
        <v>#DIV/0!</v>
      </c>
      <c r="R290" s="203" t="e">
        <f>R259*R217/1000</f>
        <v>#DIV/0!</v>
      </c>
      <c r="S290"/>
      <c r="T290"/>
      <c r="U290"/>
      <c r="V290"/>
      <c r="W290"/>
      <c r="X290"/>
      <c r="Y290"/>
      <c r="AA290"/>
      <c r="AB290"/>
      <c r="AC290"/>
      <c r="AD290"/>
      <c r="AE290"/>
      <c r="AF290"/>
    </row>
    <row r="291" spans="1:16382" hidden="1">
      <c r="C291" s="164" t="s">
        <v>184</v>
      </c>
      <c r="G291" s="164" t="s">
        <v>176</v>
      </c>
      <c r="J291" s="194" t="e">
        <f t="shared" ref="J291:R291" si="201">J290/I290-1</f>
        <v>#DIV/0!</v>
      </c>
      <c r="K291" s="194" t="e">
        <f t="shared" si="201"/>
        <v>#DIV/0!</v>
      </c>
      <c r="L291" s="194" t="e">
        <f t="shared" si="201"/>
        <v>#DIV/0!</v>
      </c>
      <c r="M291" s="194" t="e">
        <f t="shared" si="201"/>
        <v>#DIV/0!</v>
      </c>
      <c r="N291" s="194" t="e">
        <f t="shared" si="201"/>
        <v>#DIV/0!</v>
      </c>
      <c r="O291" s="194" t="e">
        <f t="shared" si="201"/>
        <v>#DIV/0!</v>
      </c>
      <c r="P291" s="194" t="e">
        <f t="shared" si="201"/>
        <v>#DIV/0!</v>
      </c>
      <c r="Q291" s="194" t="e">
        <f t="shared" si="201"/>
        <v>#DIV/0!</v>
      </c>
      <c r="R291" s="194" t="e">
        <f t="shared" si="201"/>
        <v>#DIV/0!</v>
      </c>
      <c r="S291"/>
      <c r="T291"/>
      <c r="U291"/>
      <c r="V291"/>
      <c r="W291"/>
      <c r="X291"/>
      <c r="Y291"/>
      <c r="AA291"/>
      <c r="AB291"/>
      <c r="AC291"/>
      <c r="AD291"/>
      <c r="AE291"/>
      <c r="AF291"/>
    </row>
    <row r="292" spans="1:16382" hidden="1">
      <c r="A292" s="4" t="str">
        <f>'[7]Input sheet'!A118</f>
        <v>Turkey</v>
      </c>
      <c r="B292" s="129" t="str">
        <f>'[7]Input sheet'!B118</f>
        <v>Salaries</v>
      </c>
      <c r="C292" s="4" t="str">
        <f>'[7]Input sheet'!C118</f>
        <v>Total Gross Income Generated by Total Tourism Employment by Sector</v>
      </c>
      <c r="D292" s="2" t="str">
        <f>'[7]Input sheet'!D118</f>
        <v>Transportation</v>
      </c>
      <c r="G292" s="1" t="str">
        <f>Home!$B$2&amp;" Million"</f>
        <v>Foriant Million</v>
      </c>
      <c r="H292" s="169">
        <f t="shared" ref="H292" si="202">(H261*H219)/1000</f>
        <v>0</v>
      </c>
      <c r="I292" s="169">
        <f t="shared" ref="I292:M292" si="203">(I261*I219)/1000</f>
        <v>0</v>
      </c>
      <c r="J292" s="169">
        <f t="shared" si="203"/>
        <v>0</v>
      </c>
      <c r="K292" s="169">
        <f t="shared" si="203"/>
        <v>0</v>
      </c>
      <c r="L292" s="169">
        <f>(L261*L219)/1000</f>
        <v>0</v>
      </c>
      <c r="M292" s="169">
        <f t="shared" si="203"/>
        <v>0</v>
      </c>
      <c r="N292" s="203" t="e">
        <f>N261*N219/1000</f>
        <v>#DIV/0!</v>
      </c>
      <c r="O292" s="203" t="e">
        <f>O261*O219/1000</f>
        <v>#DIV/0!</v>
      </c>
      <c r="P292" s="203" t="e">
        <f>P261*P219/1000</f>
        <v>#DIV/0!</v>
      </c>
      <c r="Q292" s="203" t="e">
        <f>Q261*Q219/1000</f>
        <v>#DIV/0!</v>
      </c>
      <c r="R292" s="203" t="e">
        <f>R261*R219/1000</f>
        <v>#DIV/0!</v>
      </c>
      <c r="S292"/>
      <c r="T292"/>
      <c r="U292"/>
      <c r="V292"/>
      <c r="W292"/>
      <c r="X292"/>
      <c r="Y292"/>
      <c r="AA292"/>
      <c r="AB292"/>
      <c r="AC292"/>
      <c r="AD292"/>
      <c r="AE292"/>
      <c r="AF292"/>
    </row>
    <row r="293" spans="1:16382" hidden="1">
      <c r="C293" s="164" t="s">
        <v>184</v>
      </c>
      <c r="G293" s="164" t="s">
        <v>176</v>
      </c>
      <c r="J293" s="194" t="e">
        <f t="shared" ref="J293:R293" si="204">J292/I292-1</f>
        <v>#DIV/0!</v>
      </c>
      <c r="K293" s="194" t="e">
        <f t="shared" si="204"/>
        <v>#DIV/0!</v>
      </c>
      <c r="L293" s="194" t="e">
        <f t="shared" si="204"/>
        <v>#DIV/0!</v>
      </c>
      <c r="M293" s="194" t="e">
        <f t="shared" si="204"/>
        <v>#DIV/0!</v>
      </c>
      <c r="N293" s="194" t="e">
        <f t="shared" si="204"/>
        <v>#DIV/0!</v>
      </c>
      <c r="O293" s="194" t="e">
        <f t="shared" si="204"/>
        <v>#DIV/0!</v>
      </c>
      <c r="P293" s="194" t="e">
        <f t="shared" si="204"/>
        <v>#DIV/0!</v>
      </c>
      <c r="Q293" s="194" t="e">
        <f t="shared" si="204"/>
        <v>#DIV/0!</v>
      </c>
      <c r="R293" s="194" t="e">
        <f t="shared" si="204"/>
        <v>#DIV/0!</v>
      </c>
      <c r="S293"/>
      <c r="T293"/>
      <c r="U293"/>
      <c r="V293"/>
      <c r="W293"/>
      <c r="X293"/>
      <c r="Y293"/>
      <c r="AA293"/>
      <c r="AB293"/>
      <c r="AC293"/>
      <c r="AD293"/>
      <c r="AE293"/>
      <c r="AF293"/>
    </row>
    <row r="294" spans="1:16382" hidden="1">
      <c r="A294" s="4" t="str">
        <f>'[7]Input sheet'!A119</f>
        <v>Turkey</v>
      </c>
      <c r="B294" s="129" t="str">
        <f>'[7]Input sheet'!B119</f>
        <v>Salaries</v>
      </c>
      <c r="C294" s="4" t="str">
        <f>'[7]Input sheet'!C119</f>
        <v>Total Gross Income Generated by Total Tourism Employment by Sector</v>
      </c>
      <c r="D294" s="2" t="str">
        <f>'[7]Input sheet'!D119</f>
        <v>Travel Intermediation</v>
      </c>
      <c r="G294" s="1" t="str">
        <f>Home!$B$2&amp;" Million"</f>
        <v>Foriant Million</v>
      </c>
      <c r="H294" s="169">
        <f t="shared" ref="H294" si="205">(H263*H221)/1000</f>
        <v>0</v>
      </c>
      <c r="I294" s="169">
        <f t="shared" ref="I294:K294" si="206">(I263*I221)/1000</f>
        <v>0</v>
      </c>
      <c r="J294" s="169">
        <f t="shared" si="206"/>
        <v>0</v>
      </c>
      <c r="K294" s="169">
        <f t="shared" si="206"/>
        <v>0</v>
      </c>
      <c r="L294" s="169">
        <f>(L263*L221)/1000</f>
        <v>0</v>
      </c>
      <c r="M294" s="169">
        <f>(M263*M221)/1000</f>
        <v>0</v>
      </c>
      <c r="N294" s="203" t="e">
        <f>N263*N221/1000</f>
        <v>#DIV/0!</v>
      </c>
      <c r="O294" s="203" t="e">
        <f>O263*O221/1000</f>
        <v>#DIV/0!</v>
      </c>
      <c r="P294" s="203" t="e">
        <f>P263*P221/1000</f>
        <v>#DIV/0!</v>
      </c>
      <c r="Q294" s="203" t="e">
        <f>Q263*Q221/1000</f>
        <v>#DIV/0!</v>
      </c>
      <c r="R294" s="203" t="e">
        <f>R263*R221/1000</f>
        <v>#DIV/0!</v>
      </c>
      <c r="S294"/>
      <c r="T294"/>
      <c r="U294"/>
      <c r="V294"/>
      <c r="W294"/>
      <c r="X294"/>
      <c r="Y294"/>
      <c r="AA294"/>
      <c r="AB294"/>
      <c r="AC294"/>
      <c r="AD294"/>
      <c r="AE294"/>
      <c r="AF294"/>
    </row>
    <row r="295" spans="1:16382" hidden="1">
      <c r="C295" s="164" t="s">
        <v>184</v>
      </c>
      <c r="G295" s="164" t="s">
        <v>176</v>
      </c>
      <c r="J295" s="194" t="e">
        <f t="shared" ref="J295:R295" si="207">J294/I294-1</f>
        <v>#DIV/0!</v>
      </c>
      <c r="K295" s="194" t="e">
        <f t="shared" si="207"/>
        <v>#DIV/0!</v>
      </c>
      <c r="L295" s="194" t="e">
        <f t="shared" si="207"/>
        <v>#DIV/0!</v>
      </c>
      <c r="M295" s="194" t="e">
        <f t="shared" si="207"/>
        <v>#DIV/0!</v>
      </c>
      <c r="N295" s="194" t="e">
        <f t="shared" si="207"/>
        <v>#DIV/0!</v>
      </c>
      <c r="O295" s="194" t="e">
        <f t="shared" si="207"/>
        <v>#DIV/0!</v>
      </c>
      <c r="P295" s="194" t="e">
        <f t="shared" si="207"/>
        <v>#DIV/0!</v>
      </c>
      <c r="Q295" s="194" t="e">
        <f t="shared" si="207"/>
        <v>#DIV/0!</v>
      </c>
      <c r="R295" s="194" t="e">
        <f t="shared" si="207"/>
        <v>#DIV/0!</v>
      </c>
      <c r="S295"/>
      <c r="T295"/>
      <c r="U295"/>
      <c r="V295"/>
      <c r="W295"/>
      <c r="X295"/>
      <c r="Y295"/>
      <c r="AA295"/>
      <c r="AB295"/>
      <c r="AC295"/>
      <c r="AD295"/>
      <c r="AE295"/>
      <c r="AF295"/>
    </row>
    <row r="296" spans="1:16382" hidden="1">
      <c r="A296" s="4" t="str">
        <f>'[7]Input sheet'!A120</f>
        <v>Turkey</v>
      </c>
      <c r="B296" s="129" t="str">
        <f>'[7]Input sheet'!B120</f>
        <v>Salaries</v>
      </c>
      <c r="C296" s="4" t="str">
        <f>'[7]Input sheet'!C120</f>
        <v>Total Gross Income Generated by Total Tourism Employment by Sector</v>
      </c>
      <c r="D296" s="2" t="str">
        <f>'[7]Input sheet'!D120</f>
        <v>Other Sectors</v>
      </c>
      <c r="G296" s="1" t="str">
        <f>Home!$B$2&amp;" Million"</f>
        <v>Foriant Million</v>
      </c>
      <c r="H296" s="169">
        <f t="shared" ref="H296" si="208">(H265*H223)/1000</f>
        <v>0</v>
      </c>
      <c r="I296" s="169">
        <f t="shared" ref="I296:K296" si="209">(I265*I223)/1000</f>
        <v>0</v>
      </c>
      <c r="J296" s="169">
        <f t="shared" si="209"/>
        <v>0</v>
      </c>
      <c r="K296" s="169">
        <f t="shared" si="209"/>
        <v>0</v>
      </c>
      <c r="L296" s="169">
        <f>(L265*L223)/1000</f>
        <v>0</v>
      </c>
      <c r="M296" s="169">
        <f>(M265*M223)/1000</f>
        <v>0</v>
      </c>
      <c r="N296" s="203" t="e">
        <f>N265*N223/1000</f>
        <v>#DIV/0!</v>
      </c>
      <c r="O296" s="203" t="e">
        <f>O265*O223/1000</f>
        <v>#DIV/0!</v>
      </c>
      <c r="P296" s="203" t="e">
        <f>P265*P223/1000</f>
        <v>#DIV/0!</v>
      </c>
      <c r="Q296" s="203" t="e">
        <f>Q265*Q223/1000</f>
        <v>#DIV/0!</v>
      </c>
      <c r="R296" s="203" t="e">
        <f>R265*R223/1000</f>
        <v>#DIV/0!</v>
      </c>
      <c r="S296"/>
      <c r="T296"/>
      <c r="U296"/>
      <c r="V296"/>
      <c r="W296"/>
      <c r="X296"/>
      <c r="Y296"/>
      <c r="AA296"/>
      <c r="AB296"/>
      <c r="AC296"/>
      <c r="AD296"/>
      <c r="AE296"/>
      <c r="AF296"/>
    </row>
    <row r="297" spans="1:16382" hidden="1">
      <c r="C297" s="164" t="s">
        <v>184</v>
      </c>
      <c r="G297" s="164" t="s">
        <v>176</v>
      </c>
      <c r="J297" s="194" t="e">
        <f t="shared" ref="J297:R297" si="210">J296/I296-1</f>
        <v>#DIV/0!</v>
      </c>
      <c r="K297" s="194" t="e">
        <f t="shared" si="210"/>
        <v>#DIV/0!</v>
      </c>
      <c r="L297" s="194" t="e">
        <f t="shared" si="210"/>
        <v>#DIV/0!</v>
      </c>
      <c r="M297" s="194" t="e">
        <f t="shared" si="210"/>
        <v>#DIV/0!</v>
      </c>
      <c r="N297" s="194" t="e">
        <f t="shared" si="210"/>
        <v>#DIV/0!</v>
      </c>
      <c r="O297" s="194" t="e">
        <f t="shared" si="210"/>
        <v>#DIV/0!</v>
      </c>
      <c r="P297" s="194" t="e">
        <f t="shared" si="210"/>
        <v>#DIV/0!</v>
      </c>
      <c r="Q297" s="194" t="e">
        <f t="shared" si="210"/>
        <v>#DIV/0!</v>
      </c>
      <c r="R297" s="194" t="e">
        <f t="shared" si="210"/>
        <v>#DIV/0!</v>
      </c>
      <c r="S297"/>
      <c r="T297"/>
      <c r="U297"/>
      <c r="V297"/>
      <c r="W297"/>
      <c r="X297"/>
      <c r="Y297"/>
      <c r="AA297"/>
      <c r="AB297"/>
      <c r="AC297"/>
      <c r="AD297"/>
      <c r="AE297"/>
      <c r="AF297"/>
    </row>
    <row r="298" spans="1:16382">
      <c r="A298" s="122" t="str">
        <f>'[7]Input sheet'!A121</f>
        <v>Turkey</v>
      </c>
      <c r="B298" s="122" t="str">
        <f>'[7]Input sheet'!B121</f>
        <v>Tourism Spend Factors</v>
      </c>
      <c r="C298" s="123"/>
      <c r="D298" s="123"/>
      <c r="E298" s="123"/>
      <c r="F298" s="123"/>
      <c r="G298" s="123"/>
      <c r="H298" s="124"/>
      <c r="I298" s="124"/>
      <c r="J298" s="124"/>
      <c r="K298" s="124"/>
      <c r="L298" s="124"/>
      <c r="M298" s="124"/>
      <c r="N298" s="124"/>
      <c r="O298" s="124"/>
      <c r="P298" s="124"/>
      <c r="Q298" s="124"/>
      <c r="R298" s="124"/>
      <c r="S298"/>
      <c r="T298"/>
      <c r="U298"/>
      <c r="V298"/>
      <c r="W298"/>
      <c r="X298"/>
      <c r="Y298"/>
      <c r="AA298"/>
      <c r="AB298"/>
      <c r="AC298"/>
      <c r="AD298"/>
      <c r="AE298"/>
      <c r="AF298"/>
    </row>
    <row r="299" spans="1:16382">
      <c r="C299" s="164" t="s">
        <v>184</v>
      </c>
      <c r="G299" s="164"/>
      <c r="J299" s="182"/>
      <c r="K299" s="182"/>
      <c r="L299" s="182"/>
      <c r="M299" s="182"/>
      <c r="S299"/>
      <c r="T299"/>
      <c r="U299"/>
      <c r="V299"/>
      <c r="W299"/>
      <c r="X299"/>
      <c r="Y299"/>
      <c r="AA299"/>
      <c r="AB299"/>
      <c r="AC299"/>
      <c r="AD299"/>
      <c r="AE299"/>
      <c r="AF299"/>
    </row>
    <row r="300" spans="1:16382" customFormat="1">
      <c r="A300" s="125" t="str">
        <f>'[7]Input sheet'!A122</f>
        <v>Turkey</v>
      </c>
      <c r="B300" s="125" t="str">
        <f>'[7]Input sheet'!B122</f>
        <v>Tourism Spend Factors</v>
      </c>
      <c r="C300" s="134" t="str">
        <f>'[7]Input sheet'!C122</f>
        <v>Average National Tourism Spend per Day of Trip</v>
      </c>
      <c r="D300" s="135"/>
      <c r="E300" s="135"/>
      <c r="F300" s="135"/>
      <c r="G300" s="134"/>
      <c r="H300" s="167"/>
      <c r="I300" s="167"/>
      <c r="J300" s="167"/>
      <c r="K300" s="167"/>
      <c r="L300" s="167"/>
      <c r="M300" s="167"/>
      <c r="N300" s="167"/>
      <c r="O300" s="167"/>
      <c r="P300" s="167"/>
      <c r="Q300" s="167"/>
      <c r="R300" s="167"/>
      <c r="AG300" s="173"/>
      <c r="AH300" s="173"/>
      <c r="AI300" s="173"/>
      <c r="AJ300" s="125"/>
      <c r="AK300" s="125"/>
      <c r="AL300" s="134"/>
      <c r="AM300" s="135"/>
      <c r="AN300" s="135"/>
      <c r="AO300" s="135"/>
      <c r="AP300" s="135"/>
      <c r="AQ300" s="173"/>
      <c r="AR300" s="173"/>
      <c r="AS300" s="173"/>
      <c r="AT300" s="173"/>
      <c r="AU300" s="173"/>
      <c r="AV300" s="173"/>
      <c r="AW300" s="173"/>
      <c r="AX300" s="173"/>
      <c r="AY300" s="173"/>
      <c r="AZ300" s="173"/>
      <c r="BA300" s="125"/>
      <c r="BB300" s="125"/>
      <c r="BC300" s="134"/>
      <c r="BD300" s="135"/>
      <c r="BE300" s="135"/>
      <c r="BF300" s="135"/>
      <c r="BG300" s="135"/>
      <c r="BH300" s="173"/>
      <c r="BI300" s="173"/>
      <c r="BJ300" s="173"/>
      <c r="BK300" s="173"/>
      <c r="BL300" s="173"/>
      <c r="BM300" s="173"/>
      <c r="BN300" s="173"/>
      <c r="BO300" s="173"/>
      <c r="BP300" s="173"/>
      <c r="BQ300" s="173"/>
      <c r="BR300" s="125"/>
      <c r="BS300" s="125"/>
      <c r="BT300" s="134"/>
      <c r="BU300" s="135"/>
      <c r="BV300" s="135"/>
      <c r="BW300" s="135"/>
      <c r="BX300" s="135"/>
      <c r="BY300" s="173"/>
      <c r="BZ300" s="173"/>
      <c r="CA300" s="173"/>
      <c r="CB300" s="173"/>
      <c r="CC300" s="173"/>
      <c r="CD300" s="173"/>
      <c r="CE300" s="173"/>
      <c r="CF300" s="173"/>
      <c r="CG300" s="173"/>
      <c r="CH300" s="173"/>
      <c r="CI300" s="125"/>
      <c r="CJ300" s="125"/>
      <c r="CK300" s="134"/>
      <c r="CL300" s="135"/>
      <c r="CM300" s="135"/>
      <c r="CN300" s="135"/>
      <c r="CO300" s="135"/>
      <c r="CP300" s="173"/>
      <c r="CQ300" s="173"/>
      <c r="CR300" s="173"/>
      <c r="CS300" s="173"/>
      <c r="CT300" s="173"/>
      <c r="CU300" s="173"/>
      <c r="CV300" s="173"/>
      <c r="CW300" s="173"/>
      <c r="CX300" s="173"/>
      <c r="CY300" s="173"/>
      <c r="CZ300" s="125"/>
      <c r="DA300" s="125"/>
      <c r="DB300" s="134"/>
      <c r="DC300" s="135"/>
      <c r="DD300" s="135"/>
      <c r="DE300" s="135"/>
      <c r="DF300" s="135"/>
      <c r="DG300" s="173"/>
      <c r="DH300" s="173"/>
      <c r="DI300" s="173"/>
      <c r="DJ300" s="173"/>
      <c r="DK300" s="173"/>
      <c r="DL300" s="173"/>
      <c r="DM300" s="173"/>
      <c r="DN300" s="173"/>
      <c r="DO300" s="173"/>
      <c r="DP300" s="173"/>
      <c r="DQ300" s="125"/>
      <c r="DR300" s="125"/>
      <c r="DS300" s="134"/>
      <c r="DT300" s="135"/>
      <c r="DU300" s="135"/>
      <c r="DV300" s="135"/>
      <c r="DW300" s="135"/>
      <c r="DX300" s="173"/>
      <c r="DY300" s="173"/>
      <c r="DZ300" s="173"/>
      <c r="EA300" s="173"/>
      <c r="EB300" s="173"/>
      <c r="EC300" s="173"/>
      <c r="ED300" s="173"/>
      <c r="EE300" s="173"/>
      <c r="EF300" s="173"/>
      <c r="EG300" s="173"/>
      <c r="EH300" s="125"/>
      <c r="EI300" s="125"/>
      <c r="EJ300" s="134"/>
      <c r="EK300" s="135"/>
      <c r="EL300" s="135"/>
      <c r="EM300" s="135"/>
      <c r="EN300" s="135"/>
      <c r="EO300" s="173"/>
      <c r="EP300" s="173"/>
      <c r="EQ300" s="173"/>
      <c r="ER300" s="173"/>
      <c r="ES300" s="173"/>
      <c r="ET300" s="173"/>
      <c r="EU300" s="173"/>
      <c r="EV300" s="173"/>
      <c r="EW300" s="173"/>
      <c r="EX300" s="173"/>
      <c r="EY300" s="125"/>
      <c r="EZ300" s="125"/>
      <c r="FA300" s="134"/>
      <c r="FB300" s="135"/>
      <c r="FC300" s="135"/>
      <c r="FD300" s="135"/>
      <c r="FE300" s="135"/>
      <c r="FF300" s="173"/>
      <c r="FG300" s="173"/>
      <c r="FH300" s="173"/>
      <c r="FI300" s="173"/>
      <c r="FJ300" s="173"/>
      <c r="FK300" s="173"/>
      <c r="FL300" s="173"/>
      <c r="FM300" s="173"/>
      <c r="FN300" s="173"/>
      <c r="FO300" s="173"/>
      <c r="FP300" s="125"/>
      <c r="FQ300" s="125"/>
      <c r="FR300" s="134"/>
      <c r="FS300" s="135"/>
      <c r="FT300" s="135"/>
      <c r="FU300" s="135"/>
      <c r="FV300" s="135"/>
      <c r="FW300" s="173"/>
      <c r="FX300" s="173"/>
      <c r="FY300" s="173"/>
      <c r="FZ300" s="173"/>
      <c r="GA300" s="173"/>
      <c r="GB300" s="173"/>
      <c r="GC300" s="173"/>
      <c r="GD300" s="173"/>
      <c r="GE300" s="173"/>
      <c r="GF300" s="173"/>
      <c r="GG300" s="125"/>
      <c r="GH300" s="125"/>
      <c r="GI300" s="134"/>
      <c r="GJ300" s="135"/>
      <c r="GK300" s="135"/>
      <c r="GL300" s="135"/>
      <c r="GM300" s="135"/>
      <c r="GN300" s="173"/>
      <c r="GO300" s="173"/>
      <c r="GP300" s="173"/>
      <c r="GQ300" s="173"/>
      <c r="GR300" s="173"/>
      <c r="GS300" s="173"/>
      <c r="GT300" s="173"/>
      <c r="GU300" s="173"/>
      <c r="GV300" s="173"/>
      <c r="GW300" s="173"/>
      <c r="GX300" s="125"/>
      <c r="GY300" s="125"/>
      <c r="GZ300" s="134"/>
      <c r="HA300" s="135"/>
      <c r="HB300" s="135"/>
      <c r="HC300" s="135"/>
      <c r="HD300" s="135"/>
      <c r="HE300" s="173"/>
      <c r="HF300" s="173"/>
      <c r="HG300" s="173"/>
      <c r="HH300" s="173"/>
      <c r="HI300" s="173"/>
      <c r="HJ300" s="173"/>
      <c r="HK300" s="173"/>
      <c r="HL300" s="173"/>
      <c r="HM300" s="173"/>
      <c r="HN300" s="173"/>
      <c r="HO300" s="125"/>
      <c r="HP300" s="125"/>
      <c r="HQ300" s="134"/>
      <c r="HR300" s="135"/>
      <c r="HS300" s="135"/>
      <c r="HT300" s="135"/>
      <c r="HU300" s="135"/>
      <c r="HV300" s="173"/>
      <c r="HW300" s="173"/>
      <c r="HX300" s="173"/>
      <c r="HY300" s="173"/>
      <c r="HZ300" s="173"/>
      <c r="IA300" s="173"/>
      <c r="IB300" s="173"/>
      <c r="IC300" s="173"/>
      <c r="ID300" s="173"/>
      <c r="IE300" s="173"/>
      <c r="IF300" s="125"/>
      <c r="IG300" s="125"/>
      <c r="IH300" s="134"/>
      <c r="II300" s="135"/>
      <c r="IJ300" s="135"/>
      <c r="IK300" s="135"/>
      <c r="IL300" s="135"/>
      <c r="IM300" s="173"/>
      <c r="IN300" s="173"/>
      <c r="IO300" s="173"/>
      <c r="IP300" s="173"/>
      <c r="IQ300" s="173"/>
      <c r="IR300" s="173"/>
      <c r="IS300" s="173"/>
      <c r="IT300" s="173"/>
      <c r="IU300" s="173"/>
      <c r="IV300" s="173"/>
      <c r="IW300" s="125"/>
      <c r="IX300" s="125"/>
      <c r="IY300" s="134"/>
      <c r="IZ300" s="135"/>
      <c r="JA300" s="135"/>
      <c r="JB300" s="135"/>
      <c r="JC300" s="135"/>
      <c r="JD300" s="173"/>
      <c r="JE300" s="173"/>
      <c r="JF300" s="173"/>
      <c r="JG300" s="173"/>
      <c r="JH300" s="173"/>
      <c r="JI300" s="173"/>
      <c r="JJ300" s="173"/>
      <c r="JK300" s="173"/>
      <c r="JL300" s="173"/>
      <c r="JM300" s="173"/>
      <c r="JN300" s="125"/>
      <c r="JO300" s="125"/>
      <c r="JP300" s="134"/>
      <c r="JQ300" s="135"/>
      <c r="JR300" s="135"/>
      <c r="JS300" s="135"/>
      <c r="JT300" s="135"/>
      <c r="JU300" s="173"/>
      <c r="JV300" s="173"/>
      <c r="JW300" s="173"/>
      <c r="JX300" s="173"/>
      <c r="JY300" s="173"/>
      <c r="JZ300" s="173"/>
      <c r="KA300" s="173"/>
      <c r="KB300" s="173"/>
      <c r="KC300" s="173"/>
      <c r="KD300" s="173"/>
      <c r="KE300" s="125"/>
      <c r="KF300" s="125"/>
      <c r="KG300" s="134"/>
      <c r="KH300" s="135"/>
      <c r="KI300" s="135"/>
      <c r="KJ300" s="135"/>
      <c r="KK300" s="135"/>
      <c r="KL300" s="173"/>
      <c r="KM300" s="173"/>
      <c r="KN300" s="173"/>
      <c r="KO300" s="173"/>
      <c r="KP300" s="173"/>
      <c r="KQ300" s="173"/>
      <c r="KR300" s="173"/>
      <c r="KS300" s="173"/>
      <c r="KT300" s="173"/>
      <c r="KU300" s="173"/>
      <c r="KV300" s="125"/>
      <c r="KW300" s="125"/>
      <c r="KX300" s="134"/>
      <c r="KY300" s="135"/>
      <c r="KZ300" s="135"/>
      <c r="LA300" s="135"/>
      <c r="LB300" s="135"/>
      <c r="LC300" s="173"/>
      <c r="LD300" s="173"/>
      <c r="LE300" s="173"/>
      <c r="LF300" s="173"/>
      <c r="LG300" s="173"/>
      <c r="LH300" s="173"/>
      <c r="LI300" s="173"/>
      <c r="LJ300" s="173"/>
      <c r="LK300" s="173"/>
      <c r="LL300" s="173"/>
      <c r="LM300" s="125"/>
      <c r="LN300" s="125"/>
      <c r="LO300" s="134"/>
      <c r="LP300" s="135"/>
      <c r="LQ300" s="135"/>
      <c r="LR300" s="135"/>
      <c r="LS300" s="135"/>
      <c r="LT300" s="173"/>
      <c r="LU300" s="173"/>
      <c r="LV300" s="173"/>
      <c r="LW300" s="173"/>
      <c r="LX300" s="173"/>
      <c r="LY300" s="173"/>
      <c r="LZ300" s="173"/>
      <c r="MA300" s="173"/>
      <c r="MB300" s="173"/>
      <c r="MC300" s="173"/>
      <c r="MD300" s="125"/>
      <c r="ME300" s="125"/>
      <c r="MF300" s="134"/>
      <c r="MG300" s="135"/>
      <c r="MH300" s="135"/>
      <c r="MI300" s="135"/>
      <c r="MJ300" s="135"/>
      <c r="MK300" s="173"/>
      <c r="ML300" s="173"/>
      <c r="MM300" s="173"/>
      <c r="MN300" s="173"/>
      <c r="MO300" s="173"/>
      <c r="MP300" s="173"/>
      <c r="MQ300" s="173"/>
      <c r="MR300" s="173"/>
      <c r="MS300" s="173"/>
      <c r="MT300" s="173"/>
      <c r="MU300" s="125"/>
      <c r="MV300" s="125"/>
      <c r="MW300" s="134"/>
      <c r="MX300" s="135"/>
      <c r="MY300" s="135"/>
      <c r="MZ300" s="135"/>
      <c r="NA300" s="135"/>
      <c r="NB300" s="173"/>
      <c r="NC300" s="173"/>
      <c r="ND300" s="173"/>
      <c r="NE300" s="173"/>
      <c r="NF300" s="173"/>
      <c r="NG300" s="173"/>
      <c r="NH300" s="173"/>
      <c r="NI300" s="173"/>
      <c r="NJ300" s="173"/>
      <c r="NK300" s="173"/>
      <c r="NL300" s="125"/>
      <c r="NM300" s="125"/>
      <c r="NN300" s="134"/>
      <c r="NO300" s="135"/>
      <c r="NP300" s="135"/>
      <c r="NQ300" s="135"/>
      <c r="NR300" s="135"/>
      <c r="NS300" s="173"/>
      <c r="NT300" s="173"/>
      <c r="NU300" s="173"/>
      <c r="NV300" s="173"/>
      <c r="NW300" s="173"/>
      <c r="NX300" s="173"/>
      <c r="NY300" s="173"/>
      <c r="NZ300" s="173"/>
      <c r="OA300" s="173"/>
      <c r="OB300" s="173"/>
      <c r="OC300" s="125"/>
      <c r="OD300" s="125"/>
      <c r="OE300" s="134"/>
      <c r="OF300" s="135"/>
      <c r="OG300" s="135"/>
      <c r="OH300" s="135"/>
      <c r="OI300" s="135"/>
      <c r="OJ300" s="173"/>
      <c r="OK300" s="173"/>
      <c r="OL300" s="173"/>
      <c r="OM300" s="173"/>
      <c r="ON300" s="173"/>
      <c r="OO300" s="173"/>
      <c r="OP300" s="173"/>
      <c r="OQ300" s="173"/>
      <c r="OR300" s="173"/>
      <c r="OS300" s="173"/>
      <c r="OT300" s="125"/>
      <c r="OU300" s="125"/>
      <c r="OV300" s="134"/>
      <c r="OW300" s="135"/>
      <c r="OX300" s="135"/>
      <c r="OY300" s="135"/>
      <c r="OZ300" s="135"/>
      <c r="PA300" s="173"/>
      <c r="PB300" s="173"/>
      <c r="PC300" s="173"/>
      <c r="PD300" s="173"/>
      <c r="PE300" s="173"/>
      <c r="PF300" s="173"/>
      <c r="PG300" s="173"/>
      <c r="PH300" s="173"/>
      <c r="PI300" s="173"/>
      <c r="PJ300" s="173"/>
      <c r="PK300" s="125"/>
      <c r="PL300" s="125"/>
      <c r="PM300" s="134"/>
      <c r="PN300" s="135"/>
      <c r="PO300" s="135"/>
      <c r="PP300" s="135"/>
      <c r="PQ300" s="135"/>
      <c r="PR300" s="173"/>
      <c r="PS300" s="173"/>
      <c r="PT300" s="173"/>
      <c r="PU300" s="173"/>
      <c r="PV300" s="173"/>
      <c r="PW300" s="173"/>
      <c r="PX300" s="173"/>
      <c r="PY300" s="173"/>
      <c r="PZ300" s="173"/>
      <c r="QA300" s="173"/>
      <c r="QB300" s="125"/>
      <c r="QC300" s="125"/>
      <c r="QD300" s="134"/>
      <c r="QE300" s="135"/>
      <c r="QF300" s="135"/>
      <c r="QG300" s="135"/>
      <c r="QH300" s="135"/>
      <c r="QI300" s="173"/>
      <c r="QJ300" s="173"/>
      <c r="QK300" s="173"/>
      <c r="QL300" s="173"/>
      <c r="QM300" s="173"/>
      <c r="QN300" s="173"/>
      <c r="QO300" s="173"/>
      <c r="QP300" s="173"/>
      <c r="QQ300" s="173"/>
      <c r="QR300" s="173"/>
      <c r="QS300" s="125"/>
      <c r="QT300" s="125"/>
      <c r="QU300" s="134"/>
      <c r="QV300" s="135"/>
      <c r="QW300" s="135"/>
      <c r="QX300" s="135"/>
      <c r="QY300" s="135"/>
      <c r="QZ300" s="173"/>
      <c r="RA300" s="173"/>
      <c r="RB300" s="173"/>
      <c r="RC300" s="173"/>
      <c r="RD300" s="173"/>
      <c r="RE300" s="173"/>
      <c r="RF300" s="173"/>
      <c r="RG300" s="173"/>
      <c r="RH300" s="173"/>
      <c r="RI300" s="173"/>
      <c r="RJ300" s="125"/>
      <c r="RK300" s="125"/>
      <c r="RL300" s="134"/>
      <c r="RM300" s="135"/>
      <c r="RN300" s="135"/>
      <c r="RO300" s="135"/>
      <c r="RP300" s="135"/>
      <c r="RQ300" s="173"/>
      <c r="RR300" s="173"/>
      <c r="RS300" s="173"/>
      <c r="RT300" s="173"/>
      <c r="RU300" s="173"/>
      <c r="RV300" s="173"/>
      <c r="RW300" s="173"/>
      <c r="RX300" s="173"/>
      <c r="RY300" s="173"/>
      <c r="RZ300" s="173"/>
      <c r="SA300" s="125"/>
      <c r="SB300" s="125"/>
      <c r="SC300" s="134"/>
      <c r="SD300" s="135"/>
      <c r="SE300" s="135"/>
      <c r="SF300" s="135"/>
      <c r="SG300" s="135"/>
      <c r="SH300" s="173"/>
      <c r="SI300" s="173"/>
      <c r="SJ300" s="173"/>
      <c r="SK300" s="173"/>
      <c r="SL300" s="173"/>
      <c r="SM300" s="173"/>
      <c r="SN300" s="173"/>
      <c r="SO300" s="173"/>
      <c r="SP300" s="173"/>
      <c r="SQ300" s="173"/>
      <c r="SR300" s="125"/>
      <c r="SS300" s="125"/>
      <c r="ST300" s="134"/>
      <c r="SU300" s="135"/>
      <c r="SV300" s="135"/>
      <c r="SW300" s="135"/>
      <c r="SX300" s="135"/>
      <c r="SY300" s="173"/>
      <c r="SZ300" s="173"/>
      <c r="TA300" s="173"/>
      <c r="TB300" s="173"/>
      <c r="TC300" s="173"/>
      <c r="TD300" s="173"/>
      <c r="TE300" s="173"/>
      <c r="TF300" s="173"/>
      <c r="TG300" s="173"/>
      <c r="TH300" s="173"/>
      <c r="TI300" s="125"/>
      <c r="TJ300" s="125"/>
      <c r="TK300" s="134"/>
      <c r="TL300" s="135"/>
      <c r="TM300" s="135"/>
      <c r="TN300" s="135"/>
      <c r="TO300" s="135"/>
      <c r="TP300" s="173"/>
      <c r="TQ300" s="173"/>
      <c r="TR300" s="173"/>
      <c r="TS300" s="173"/>
      <c r="TT300" s="173"/>
      <c r="TU300" s="173"/>
      <c r="TV300" s="173"/>
      <c r="TW300" s="173"/>
      <c r="TX300" s="173"/>
      <c r="TY300" s="173"/>
      <c r="TZ300" s="125"/>
      <c r="UA300" s="125"/>
      <c r="UB300" s="134"/>
      <c r="UC300" s="135"/>
      <c r="UD300" s="135"/>
      <c r="UE300" s="135"/>
      <c r="UF300" s="135"/>
      <c r="UG300" s="173"/>
      <c r="UH300" s="173"/>
      <c r="UI300" s="173"/>
      <c r="UJ300" s="173"/>
      <c r="UK300" s="173"/>
      <c r="UL300" s="173"/>
      <c r="UM300" s="173"/>
      <c r="UN300" s="173"/>
      <c r="UO300" s="173"/>
      <c r="UP300" s="173"/>
      <c r="UQ300" s="125"/>
      <c r="UR300" s="125"/>
      <c r="US300" s="134"/>
      <c r="UT300" s="135"/>
      <c r="UU300" s="135"/>
      <c r="UV300" s="135"/>
      <c r="UW300" s="135"/>
      <c r="UX300" s="173"/>
      <c r="UY300" s="173"/>
      <c r="UZ300" s="173"/>
      <c r="VA300" s="173"/>
      <c r="VB300" s="173"/>
      <c r="VC300" s="173"/>
      <c r="VD300" s="173"/>
      <c r="VE300" s="173"/>
      <c r="VF300" s="173"/>
      <c r="VG300" s="173"/>
      <c r="VH300" s="125"/>
      <c r="VI300" s="125"/>
      <c r="VJ300" s="134"/>
      <c r="VK300" s="135"/>
      <c r="VL300" s="135"/>
      <c r="VM300" s="135"/>
      <c r="VN300" s="135"/>
      <c r="VO300" s="173"/>
      <c r="VP300" s="173"/>
      <c r="VQ300" s="173"/>
      <c r="VR300" s="173"/>
      <c r="VS300" s="173"/>
      <c r="VT300" s="173"/>
      <c r="VU300" s="173"/>
      <c r="VV300" s="173"/>
      <c r="VW300" s="173"/>
      <c r="VX300" s="173"/>
      <c r="VY300" s="125"/>
      <c r="VZ300" s="125"/>
      <c r="WA300" s="134"/>
      <c r="WB300" s="135"/>
      <c r="WC300" s="135"/>
      <c r="WD300" s="135"/>
      <c r="WE300" s="135"/>
      <c r="WF300" s="173"/>
      <c r="WG300" s="173"/>
      <c r="WH300" s="173"/>
      <c r="WI300" s="173"/>
      <c r="WJ300" s="173"/>
      <c r="WK300" s="173"/>
      <c r="WL300" s="173"/>
      <c r="WM300" s="173"/>
      <c r="WN300" s="173"/>
      <c r="WO300" s="173"/>
      <c r="WP300" s="125"/>
      <c r="WQ300" s="125"/>
      <c r="WR300" s="134"/>
      <c r="WS300" s="135"/>
      <c r="WT300" s="135"/>
      <c r="WU300" s="135"/>
      <c r="WV300" s="135"/>
      <c r="WW300" s="173"/>
      <c r="WX300" s="173"/>
      <c r="WY300" s="173"/>
      <c r="WZ300" s="173"/>
      <c r="XA300" s="173"/>
      <c r="XB300" s="173"/>
      <c r="XC300" s="173"/>
      <c r="XD300" s="173"/>
      <c r="XE300" s="173"/>
      <c r="XF300" s="173"/>
      <c r="XG300" s="125"/>
      <c r="XH300" s="125"/>
      <c r="XI300" s="134"/>
      <c r="XJ300" s="135"/>
      <c r="XK300" s="135"/>
      <c r="XL300" s="135"/>
      <c r="XM300" s="135"/>
      <c r="XN300" s="173"/>
      <c r="XO300" s="173"/>
      <c r="XP300" s="173"/>
      <c r="XQ300" s="173"/>
      <c r="XR300" s="173"/>
      <c r="XS300" s="173"/>
      <c r="XT300" s="173"/>
      <c r="XU300" s="173"/>
      <c r="XV300" s="173"/>
      <c r="XW300" s="173"/>
      <c r="XX300" s="125"/>
      <c r="XY300" s="125"/>
      <c r="XZ300" s="134"/>
      <c r="YA300" s="135"/>
      <c r="YB300" s="135"/>
      <c r="YC300" s="135"/>
      <c r="YD300" s="135"/>
      <c r="YE300" s="173"/>
      <c r="YF300" s="173"/>
      <c r="YG300" s="173"/>
      <c r="YH300" s="173"/>
      <c r="YI300" s="173"/>
      <c r="YJ300" s="173"/>
      <c r="YK300" s="173"/>
      <c r="YL300" s="173"/>
      <c r="YM300" s="173"/>
      <c r="YN300" s="173"/>
      <c r="YO300" s="125"/>
      <c r="YP300" s="125"/>
      <c r="YQ300" s="134"/>
      <c r="YR300" s="135"/>
      <c r="YS300" s="135"/>
      <c r="YT300" s="135"/>
      <c r="YU300" s="135"/>
      <c r="YV300" s="173"/>
      <c r="YW300" s="173"/>
      <c r="YX300" s="173"/>
      <c r="YY300" s="173"/>
      <c r="YZ300" s="173"/>
      <c r="ZA300" s="173"/>
      <c r="ZB300" s="173"/>
      <c r="ZC300" s="173"/>
      <c r="ZD300" s="173"/>
      <c r="ZE300" s="173"/>
      <c r="ZF300" s="125"/>
      <c r="ZG300" s="125"/>
      <c r="ZH300" s="134"/>
      <c r="ZI300" s="135"/>
      <c r="ZJ300" s="135"/>
      <c r="ZK300" s="135"/>
      <c r="ZL300" s="135"/>
      <c r="ZM300" s="173"/>
      <c r="ZN300" s="173"/>
      <c r="ZO300" s="173"/>
      <c r="ZP300" s="173"/>
      <c r="ZQ300" s="173"/>
      <c r="ZR300" s="173"/>
      <c r="ZS300" s="173"/>
      <c r="ZT300" s="173"/>
      <c r="ZU300" s="173"/>
      <c r="ZV300" s="173"/>
      <c r="ZW300" s="125"/>
      <c r="ZX300" s="125"/>
      <c r="ZY300" s="134"/>
      <c r="ZZ300" s="135"/>
      <c r="AAA300" s="135"/>
      <c r="AAB300" s="135"/>
      <c r="AAC300" s="135"/>
      <c r="AAD300" s="173"/>
      <c r="AAE300" s="173"/>
      <c r="AAF300" s="173"/>
      <c r="AAG300" s="173"/>
      <c r="AAH300" s="173"/>
      <c r="AAI300" s="173"/>
      <c r="AAJ300" s="173"/>
      <c r="AAK300" s="173"/>
      <c r="AAL300" s="173"/>
      <c r="AAM300" s="173"/>
      <c r="AAN300" s="125"/>
      <c r="AAO300" s="125"/>
      <c r="AAP300" s="134"/>
      <c r="AAQ300" s="135"/>
      <c r="AAR300" s="135"/>
      <c r="AAS300" s="135"/>
      <c r="AAT300" s="135"/>
      <c r="AAU300" s="173"/>
      <c r="AAV300" s="173"/>
      <c r="AAW300" s="173"/>
      <c r="AAX300" s="173"/>
      <c r="AAY300" s="173"/>
      <c r="AAZ300" s="173"/>
      <c r="ABA300" s="173"/>
      <c r="ABB300" s="173"/>
      <c r="ABC300" s="173"/>
      <c r="ABD300" s="173"/>
      <c r="ABE300" s="125"/>
      <c r="ABF300" s="125"/>
      <c r="ABG300" s="134"/>
      <c r="ABH300" s="135"/>
      <c r="ABI300" s="135"/>
      <c r="ABJ300" s="135"/>
      <c r="ABK300" s="135"/>
      <c r="ABL300" s="173"/>
      <c r="ABM300" s="173"/>
      <c r="ABN300" s="173"/>
      <c r="ABO300" s="173"/>
      <c r="ABP300" s="173"/>
      <c r="ABQ300" s="173"/>
      <c r="ABR300" s="173"/>
      <c r="ABS300" s="173"/>
      <c r="ABT300" s="173"/>
      <c r="ABU300" s="173"/>
      <c r="ABV300" s="125"/>
      <c r="ABW300" s="125"/>
      <c r="ABX300" s="134"/>
      <c r="ABY300" s="135"/>
      <c r="ABZ300" s="135"/>
      <c r="ACA300" s="135"/>
      <c r="ACB300" s="135"/>
      <c r="ACC300" s="173"/>
      <c r="ACD300" s="173"/>
      <c r="ACE300" s="173"/>
      <c r="ACF300" s="173"/>
      <c r="ACG300" s="173"/>
      <c r="ACH300" s="173"/>
      <c r="ACI300" s="173"/>
      <c r="ACJ300" s="173"/>
      <c r="ACK300" s="173"/>
      <c r="ACL300" s="173"/>
      <c r="ACM300" s="125"/>
      <c r="ACN300" s="125"/>
      <c r="ACO300" s="134"/>
      <c r="ACP300" s="135"/>
      <c r="ACQ300" s="135"/>
      <c r="ACR300" s="135"/>
      <c r="ACS300" s="135"/>
      <c r="ACT300" s="173"/>
      <c r="ACU300" s="173"/>
      <c r="ACV300" s="173"/>
      <c r="ACW300" s="173"/>
      <c r="ACX300" s="173"/>
      <c r="ACY300" s="173"/>
      <c r="ACZ300" s="173"/>
      <c r="ADA300" s="173"/>
      <c r="ADB300" s="173"/>
      <c r="ADC300" s="173"/>
      <c r="ADD300" s="125"/>
      <c r="ADE300" s="125"/>
      <c r="ADF300" s="134"/>
      <c r="ADG300" s="135"/>
      <c r="ADH300" s="135"/>
      <c r="ADI300" s="135"/>
      <c r="ADJ300" s="135"/>
      <c r="ADK300" s="173"/>
      <c r="ADL300" s="173"/>
      <c r="ADM300" s="173"/>
      <c r="ADN300" s="173"/>
      <c r="ADO300" s="173"/>
      <c r="ADP300" s="173"/>
      <c r="ADQ300" s="173"/>
      <c r="ADR300" s="173"/>
      <c r="ADS300" s="173"/>
      <c r="ADT300" s="173"/>
      <c r="ADU300" s="125"/>
      <c r="ADV300" s="125"/>
      <c r="ADW300" s="134"/>
      <c r="ADX300" s="135"/>
      <c r="ADY300" s="135"/>
      <c r="ADZ300" s="135"/>
      <c r="AEA300" s="135"/>
      <c r="AEB300" s="173"/>
      <c r="AEC300" s="173"/>
      <c r="AED300" s="173"/>
      <c r="AEE300" s="173"/>
      <c r="AEF300" s="173"/>
      <c r="AEG300" s="173"/>
      <c r="AEH300" s="173"/>
      <c r="AEI300" s="173"/>
      <c r="AEJ300" s="173"/>
      <c r="AEK300" s="173"/>
      <c r="AEL300" s="125"/>
      <c r="AEM300" s="125"/>
      <c r="AEN300" s="134"/>
      <c r="AEO300" s="135"/>
      <c r="AEP300" s="135"/>
      <c r="AEQ300" s="135"/>
      <c r="AER300" s="135"/>
      <c r="AES300" s="173"/>
      <c r="AET300" s="173"/>
      <c r="AEU300" s="173"/>
      <c r="AEV300" s="173"/>
      <c r="AEW300" s="173"/>
      <c r="AEX300" s="173"/>
      <c r="AEY300" s="173"/>
      <c r="AEZ300" s="173"/>
      <c r="AFA300" s="173"/>
      <c r="AFB300" s="173"/>
      <c r="AFC300" s="125"/>
      <c r="AFD300" s="125"/>
      <c r="AFE300" s="134"/>
      <c r="AFF300" s="135"/>
      <c r="AFG300" s="135"/>
      <c r="AFH300" s="135"/>
      <c r="AFI300" s="135"/>
      <c r="AFJ300" s="173"/>
      <c r="AFK300" s="173"/>
      <c r="AFL300" s="173"/>
      <c r="AFM300" s="173"/>
      <c r="AFN300" s="173"/>
      <c r="AFO300" s="173"/>
      <c r="AFP300" s="173"/>
      <c r="AFQ300" s="173"/>
      <c r="AFR300" s="173"/>
      <c r="AFS300" s="173"/>
      <c r="AFT300" s="125"/>
      <c r="AFU300" s="125"/>
      <c r="AFV300" s="134"/>
      <c r="AFW300" s="135"/>
      <c r="AFX300" s="135"/>
      <c r="AFY300" s="135"/>
      <c r="AFZ300" s="135"/>
      <c r="AGA300" s="173"/>
      <c r="AGB300" s="173"/>
      <c r="AGC300" s="173"/>
      <c r="AGD300" s="173"/>
      <c r="AGE300" s="173"/>
      <c r="AGF300" s="173"/>
      <c r="AGG300" s="173"/>
      <c r="AGH300" s="173"/>
      <c r="AGI300" s="173"/>
      <c r="AGJ300" s="173"/>
      <c r="AGK300" s="125"/>
      <c r="AGL300" s="125"/>
      <c r="AGM300" s="134"/>
      <c r="AGN300" s="135"/>
      <c r="AGO300" s="135"/>
      <c r="AGP300" s="135"/>
      <c r="AGQ300" s="135"/>
      <c r="AGR300" s="173"/>
      <c r="AGS300" s="173"/>
      <c r="AGT300" s="173"/>
      <c r="AGU300" s="173"/>
      <c r="AGV300" s="173"/>
      <c r="AGW300" s="173"/>
      <c r="AGX300" s="173"/>
      <c r="AGY300" s="173"/>
      <c r="AGZ300" s="173"/>
      <c r="AHA300" s="173"/>
      <c r="AHB300" s="125"/>
      <c r="AHC300" s="125"/>
      <c r="AHD300" s="134"/>
      <c r="AHE300" s="135"/>
      <c r="AHF300" s="135"/>
      <c r="AHG300" s="135"/>
      <c r="AHH300" s="135"/>
      <c r="AHI300" s="173"/>
      <c r="AHJ300" s="173"/>
      <c r="AHK300" s="173"/>
      <c r="AHL300" s="173"/>
      <c r="AHM300" s="173"/>
      <c r="AHN300" s="173"/>
      <c r="AHO300" s="173"/>
      <c r="AHP300" s="173"/>
      <c r="AHQ300" s="173"/>
      <c r="AHR300" s="173"/>
      <c r="AHS300" s="125"/>
      <c r="AHT300" s="125"/>
      <c r="AHU300" s="134"/>
      <c r="AHV300" s="135"/>
      <c r="AHW300" s="135"/>
      <c r="AHX300" s="135"/>
      <c r="AHY300" s="135"/>
      <c r="AHZ300" s="173"/>
      <c r="AIA300" s="173"/>
      <c r="AIB300" s="173"/>
      <c r="AIC300" s="173"/>
      <c r="AID300" s="173"/>
      <c r="AIE300" s="173"/>
      <c r="AIF300" s="173"/>
      <c r="AIG300" s="173"/>
      <c r="AIH300" s="173"/>
      <c r="AII300" s="173"/>
      <c r="AIJ300" s="125"/>
      <c r="AIK300" s="125"/>
      <c r="AIL300" s="134"/>
      <c r="AIM300" s="135"/>
      <c r="AIN300" s="135"/>
      <c r="AIO300" s="135"/>
      <c r="AIP300" s="135"/>
      <c r="AIQ300" s="173"/>
      <c r="AIR300" s="173"/>
      <c r="AIS300" s="173"/>
      <c r="AIT300" s="173"/>
      <c r="AIU300" s="173"/>
      <c r="AIV300" s="173"/>
      <c r="AIW300" s="173"/>
      <c r="AIX300" s="173"/>
      <c r="AIY300" s="173"/>
      <c r="AIZ300" s="173"/>
      <c r="AJA300" s="125"/>
      <c r="AJB300" s="125"/>
      <c r="AJC300" s="134"/>
      <c r="AJD300" s="135"/>
      <c r="AJE300" s="135"/>
      <c r="AJF300" s="135"/>
      <c r="AJG300" s="135"/>
      <c r="AJH300" s="173"/>
      <c r="AJI300" s="173"/>
      <c r="AJJ300" s="173"/>
      <c r="AJK300" s="173"/>
      <c r="AJL300" s="173"/>
      <c r="AJM300" s="173"/>
      <c r="AJN300" s="173"/>
      <c r="AJO300" s="173"/>
      <c r="AJP300" s="173"/>
      <c r="AJQ300" s="173"/>
      <c r="AJR300" s="125"/>
      <c r="AJS300" s="125"/>
      <c r="AJT300" s="134"/>
      <c r="AJU300" s="135"/>
      <c r="AJV300" s="135"/>
      <c r="AJW300" s="135"/>
      <c r="AJX300" s="135"/>
      <c r="AJY300" s="173"/>
      <c r="AJZ300" s="173"/>
      <c r="AKA300" s="173"/>
      <c r="AKB300" s="173"/>
      <c r="AKC300" s="173"/>
      <c r="AKD300" s="173"/>
      <c r="AKE300" s="173"/>
      <c r="AKF300" s="173"/>
      <c r="AKG300" s="173"/>
      <c r="AKH300" s="173"/>
      <c r="AKI300" s="125"/>
      <c r="AKJ300" s="125"/>
      <c r="AKK300" s="134"/>
      <c r="AKL300" s="135"/>
      <c r="AKM300" s="135"/>
      <c r="AKN300" s="135"/>
      <c r="AKO300" s="135"/>
      <c r="AKP300" s="173"/>
      <c r="AKQ300" s="173"/>
      <c r="AKR300" s="173"/>
      <c r="AKS300" s="173"/>
      <c r="AKT300" s="173"/>
      <c r="AKU300" s="173"/>
      <c r="AKV300" s="173"/>
      <c r="AKW300" s="173"/>
      <c r="AKX300" s="173"/>
      <c r="AKY300" s="173"/>
      <c r="AKZ300" s="125"/>
      <c r="ALA300" s="125"/>
      <c r="ALB300" s="134"/>
      <c r="ALC300" s="135"/>
      <c r="ALD300" s="135"/>
      <c r="ALE300" s="135"/>
      <c r="ALF300" s="135"/>
      <c r="ALG300" s="173"/>
      <c r="ALH300" s="173"/>
      <c r="ALI300" s="173"/>
      <c r="ALJ300" s="173"/>
      <c r="ALK300" s="173"/>
      <c r="ALL300" s="173"/>
      <c r="ALM300" s="173"/>
      <c r="ALN300" s="173"/>
      <c r="ALO300" s="173"/>
      <c r="ALP300" s="173"/>
      <c r="ALQ300" s="125"/>
      <c r="ALR300" s="125"/>
      <c r="ALS300" s="134"/>
      <c r="ALT300" s="135"/>
      <c r="ALU300" s="135"/>
      <c r="ALV300" s="135"/>
      <c r="ALW300" s="135"/>
      <c r="ALX300" s="173"/>
      <c r="ALY300" s="173"/>
      <c r="ALZ300" s="173"/>
      <c r="AMA300" s="173"/>
      <c r="AMB300" s="173"/>
      <c r="AMC300" s="173"/>
      <c r="AMD300" s="173"/>
      <c r="AME300" s="173"/>
      <c r="AMF300" s="173"/>
      <c r="AMG300" s="173"/>
      <c r="AMH300" s="125"/>
      <c r="AMI300" s="125"/>
      <c r="AMJ300" s="134"/>
      <c r="AMK300" s="135"/>
      <c r="AML300" s="135"/>
      <c r="AMM300" s="135"/>
      <c r="AMN300" s="135"/>
      <c r="AMO300" s="173"/>
      <c r="AMP300" s="173"/>
      <c r="AMQ300" s="173"/>
      <c r="AMR300" s="173"/>
      <c r="AMS300" s="173"/>
      <c r="AMT300" s="173"/>
      <c r="AMU300" s="173"/>
      <c r="AMV300" s="173"/>
      <c r="AMW300" s="173"/>
      <c r="AMX300" s="173"/>
      <c r="AMY300" s="125"/>
      <c r="AMZ300" s="125"/>
      <c r="ANA300" s="134"/>
      <c r="ANB300" s="135"/>
      <c r="ANC300" s="135"/>
      <c r="AND300" s="135"/>
      <c r="ANE300" s="135"/>
      <c r="ANF300" s="173"/>
      <c r="ANG300" s="173"/>
      <c r="ANH300" s="173"/>
      <c r="ANI300" s="173"/>
      <c r="ANJ300" s="173"/>
      <c r="ANK300" s="173"/>
      <c r="ANL300" s="173"/>
      <c r="ANM300" s="173"/>
      <c r="ANN300" s="173"/>
      <c r="ANO300" s="173"/>
      <c r="ANP300" s="125"/>
      <c r="ANQ300" s="125"/>
      <c r="ANR300" s="134"/>
      <c r="ANS300" s="135"/>
      <c r="ANT300" s="135"/>
      <c r="ANU300" s="135"/>
      <c r="ANV300" s="135"/>
      <c r="ANW300" s="173"/>
      <c r="ANX300" s="173"/>
      <c r="ANY300" s="173"/>
      <c r="ANZ300" s="173"/>
      <c r="AOA300" s="173"/>
      <c r="AOB300" s="173"/>
      <c r="AOC300" s="173"/>
      <c r="AOD300" s="173"/>
      <c r="AOE300" s="173"/>
      <c r="AOF300" s="173"/>
      <c r="AOG300" s="125"/>
      <c r="AOH300" s="125"/>
      <c r="AOI300" s="134"/>
      <c r="AOJ300" s="135"/>
      <c r="AOK300" s="135"/>
      <c r="AOL300" s="135"/>
      <c r="AOM300" s="135"/>
      <c r="AON300" s="173"/>
      <c r="AOO300" s="173"/>
      <c r="AOP300" s="173"/>
      <c r="AOQ300" s="173"/>
      <c r="AOR300" s="173"/>
      <c r="AOS300" s="173"/>
      <c r="AOT300" s="173"/>
      <c r="AOU300" s="173"/>
      <c r="AOV300" s="173"/>
      <c r="AOW300" s="173"/>
      <c r="AOX300" s="125"/>
      <c r="AOY300" s="125"/>
      <c r="AOZ300" s="134"/>
      <c r="APA300" s="135"/>
      <c r="APB300" s="135"/>
      <c r="APC300" s="135"/>
      <c r="APD300" s="135"/>
      <c r="APE300" s="173"/>
      <c r="APF300" s="173"/>
      <c r="APG300" s="173"/>
      <c r="APH300" s="173"/>
      <c r="API300" s="173"/>
      <c r="APJ300" s="173"/>
      <c r="APK300" s="173"/>
      <c r="APL300" s="173"/>
      <c r="APM300" s="173"/>
      <c r="APN300" s="173"/>
      <c r="APO300" s="125"/>
      <c r="APP300" s="125"/>
      <c r="APQ300" s="134"/>
      <c r="APR300" s="135"/>
      <c r="APS300" s="135"/>
      <c r="APT300" s="135"/>
      <c r="APU300" s="135"/>
      <c r="APV300" s="173"/>
      <c r="APW300" s="173"/>
      <c r="APX300" s="173"/>
      <c r="APY300" s="173"/>
      <c r="APZ300" s="173"/>
      <c r="AQA300" s="173"/>
      <c r="AQB300" s="173"/>
      <c r="AQC300" s="173"/>
      <c r="AQD300" s="173"/>
      <c r="AQE300" s="173"/>
      <c r="AQF300" s="125"/>
      <c r="AQG300" s="125"/>
      <c r="AQH300" s="134"/>
      <c r="AQI300" s="135"/>
      <c r="AQJ300" s="135"/>
      <c r="AQK300" s="135"/>
      <c r="AQL300" s="135"/>
      <c r="AQM300" s="173"/>
      <c r="AQN300" s="173"/>
      <c r="AQO300" s="173"/>
      <c r="AQP300" s="173"/>
      <c r="AQQ300" s="173"/>
      <c r="AQR300" s="173"/>
      <c r="AQS300" s="173"/>
      <c r="AQT300" s="173"/>
      <c r="AQU300" s="173"/>
      <c r="AQV300" s="173"/>
      <c r="AQW300" s="125"/>
      <c r="AQX300" s="125"/>
      <c r="AQY300" s="134"/>
      <c r="AQZ300" s="135"/>
      <c r="ARA300" s="135"/>
      <c r="ARB300" s="135"/>
      <c r="ARC300" s="135"/>
      <c r="ARD300" s="173"/>
      <c r="ARE300" s="173"/>
      <c r="ARF300" s="173"/>
      <c r="ARG300" s="173"/>
      <c r="ARH300" s="173"/>
      <c r="ARI300" s="173"/>
      <c r="ARJ300" s="173"/>
      <c r="ARK300" s="173"/>
      <c r="ARL300" s="173"/>
      <c r="ARM300" s="173"/>
      <c r="ARN300" s="125"/>
      <c r="ARO300" s="125"/>
      <c r="ARP300" s="134"/>
      <c r="ARQ300" s="135"/>
      <c r="ARR300" s="135"/>
      <c r="ARS300" s="135"/>
      <c r="ART300" s="135"/>
      <c r="ARU300" s="173"/>
      <c r="ARV300" s="173"/>
      <c r="ARW300" s="173"/>
      <c r="ARX300" s="173"/>
      <c r="ARY300" s="173"/>
      <c r="ARZ300" s="173"/>
      <c r="ASA300" s="173"/>
      <c r="ASB300" s="173"/>
      <c r="ASC300" s="173"/>
      <c r="ASD300" s="173"/>
      <c r="ASE300" s="125"/>
      <c r="ASF300" s="125"/>
      <c r="ASG300" s="134"/>
      <c r="ASH300" s="135"/>
      <c r="ASI300" s="135"/>
      <c r="ASJ300" s="135"/>
      <c r="ASK300" s="135"/>
      <c r="ASL300" s="173"/>
      <c r="ASM300" s="173"/>
      <c r="ASN300" s="173"/>
      <c r="ASO300" s="173"/>
      <c r="ASP300" s="173"/>
      <c r="ASQ300" s="173"/>
      <c r="ASR300" s="173"/>
      <c r="ASS300" s="173"/>
      <c r="AST300" s="173"/>
      <c r="ASU300" s="173"/>
      <c r="ASV300" s="125"/>
      <c r="ASW300" s="125"/>
      <c r="ASX300" s="134"/>
      <c r="ASY300" s="135"/>
      <c r="ASZ300" s="135"/>
      <c r="ATA300" s="135"/>
      <c r="ATB300" s="135"/>
      <c r="ATC300" s="173"/>
      <c r="ATD300" s="173"/>
      <c r="ATE300" s="173"/>
      <c r="ATF300" s="173"/>
      <c r="ATG300" s="173"/>
      <c r="ATH300" s="173"/>
      <c r="ATI300" s="173"/>
      <c r="ATJ300" s="173"/>
      <c r="ATK300" s="173"/>
      <c r="ATL300" s="173"/>
      <c r="ATM300" s="125"/>
      <c r="ATN300" s="125"/>
      <c r="ATO300" s="134"/>
      <c r="ATP300" s="135"/>
      <c r="ATQ300" s="135"/>
      <c r="ATR300" s="135"/>
      <c r="ATS300" s="135"/>
      <c r="ATT300" s="173"/>
      <c r="ATU300" s="173"/>
      <c r="ATV300" s="173"/>
      <c r="ATW300" s="173"/>
      <c r="ATX300" s="173"/>
      <c r="ATY300" s="173"/>
      <c r="ATZ300" s="173"/>
      <c r="AUA300" s="173"/>
      <c r="AUB300" s="173"/>
      <c r="AUC300" s="173"/>
      <c r="AUD300" s="125"/>
      <c r="AUE300" s="125"/>
      <c r="AUF300" s="134"/>
      <c r="AUG300" s="135"/>
      <c r="AUH300" s="135"/>
      <c r="AUI300" s="135"/>
      <c r="AUJ300" s="135"/>
      <c r="AUK300" s="173"/>
      <c r="AUL300" s="173"/>
      <c r="AUM300" s="173"/>
      <c r="AUN300" s="173"/>
      <c r="AUO300" s="173"/>
      <c r="AUP300" s="173"/>
      <c r="AUQ300" s="173"/>
      <c r="AUR300" s="173"/>
      <c r="AUS300" s="173"/>
      <c r="AUT300" s="173"/>
      <c r="AUU300" s="125"/>
      <c r="AUV300" s="125"/>
      <c r="AUW300" s="134"/>
      <c r="AUX300" s="135"/>
      <c r="AUY300" s="135"/>
      <c r="AUZ300" s="135"/>
      <c r="AVA300" s="135"/>
      <c r="AVB300" s="173"/>
      <c r="AVC300" s="173"/>
      <c r="AVD300" s="173"/>
      <c r="AVE300" s="173"/>
      <c r="AVF300" s="173"/>
      <c r="AVG300" s="173"/>
      <c r="AVH300" s="173"/>
      <c r="AVI300" s="173"/>
      <c r="AVJ300" s="173"/>
      <c r="AVK300" s="173"/>
      <c r="AVL300" s="125"/>
      <c r="AVM300" s="125"/>
      <c r="AVN300" s="134"/>
      <c r="AVO300" s="135"/>
      <c r="AVP300" s="135"/>
      <c r="AVQ300" s="135"/>
      <c r="AVR300" s="135"/>
      <c r="AVS300" s="173"/>
      <c r="AVT300" s="173"/>
      <c r="AVU300" s="173"/>
      <c r="AVV300" s="173"/>
      <c r="AVW300" s="173"/>
      <c r="AVX300" s="173"/>
      <c r="AVY300" s="173"/>
      <c r="AVZ300" s="173"/>
      <c r="AWA300" s="173"/>
      <c r="AWB300" s="173"/>
      <c r="AWC300" s="125"/>
      <c r="AWD300" s="125"/>
      <c r="AWE300" s="134"/>
      <c r="AWF300" s="135"/>
      <c r="AWG300" s="135"/>
      <c r="AWH300" s="135"/>
      <c r="AWI300" s="135"/>
      <c r="AWJ300" s="173"/>
      <c r="AWK300" s="173"/>
      <c r="AWL300" s="173"/>
      <c r="AWM300" s="173"/>
      <c r="AWN300" s="173"/>
      <c r="AWO300" s="173"/>
      <c r="AWP300" s="173"/>
      <c r="AWQ300" s="173"/>
      <c r="AWR300" s="173"/>
      <c r="AWS300" s="173"/>
      <c r="AWT300" s="125"/>
      <c r="AWU300" s="125"/>
      <c r="AWV300" s="134"/>
      <c r="AWW300" s="135"/>
      <c r="AWX300" s="135"/>
      <c r="AWY300" s="135"/>
      <c r="AWZ300" s="135"/>
      <c r="AXA300" s="173"/>
      <c r="AXB300" s="173"/>
      <c r="AXC300" s="173"/>
      <c r="AXD300" s="173"/>
      <c r="AXE300" s="173"/>
      <c r="AXF300" s="173"/>
      <c r="AXG300" s="173"/>
      <c r="AXH300" s="173"/>
      <c r="AXI300" s="173"/>
      <c r="AXJ300" s="173"/>
      <c r="AXK300" s="125"/>
      <c r="AXL300" s="125"/>
      <c r="AXM300" s="134"/>
      <c r="AXN300" s="135"/>
      <c r="AXO300" s="135"/>
      <c r="AXP300" s="135"/>
      <c r="AXQ300" s="135"/>
      <c r="AXR300" s="173"/>
      <c r="AXS300" s="173"/>
      <c r="AXT300" s="173"/>
      <c r="AXU300" s="173"/>
      <c r="AXV300" s="173"/>
      <c r="AXW300" s="173"/>
      <c r="AXX300" s="173"/>
      <c r="AXY300" s="173"/>
      <c r="AXZ300" s="173"/>
      <c r="AYA300" s="173"/>
      <c r="AYB300" s="125"/>
      <c r="AYC300" s="125"/>
      <c r="AYD300" s="134"/>
      <c r="AYE300" s="135"/>
      <c r="AYF300" s="135"/>
      <c r="AYG300" s="135"/>
      <c r="AYH300" s="135"/>
      <c r="AYI300" s="173"/>
      <c r="AYJ300" s="173"/>
      <c r="AYK300" s="173"/>
      <c r="AYL300" s="173"/>
      <c r="AYM300" s="173"/>
      <c r="AYN300" s="173"/>
      <c r="AYO300" s="173"/>
      <c r="AYP300" s="173"/>
      <c r="AYQ300" s="173"/>
      <c r="AYR300" s="173"/>
      <c r="AYS300" s="125"/>
      <c r="AYT300" s="125"/>
      <c r="AYU300" s="134"/>
      <c r="AYV300" s="135"/>
      <c r="AYW300" s="135"/>
      <c r="AYX300" s="135"/>
      <c r="AYY300" s="135"/>
      <c r="AYZ300" s="173"/>
      <c r="AZA300" s="173"/>
      <c r="AZB300" s="173"/>
      <c r="AZC300" s="173"/>
      <c r="AZD300" s="173"/>
      <c r="AZE300" s="173"/>
      <c r="AZF300" s="173"/>
      <c r="AZG300" s="173"/>
      <c r="AZH300" s="173"/>
      <c r="AZI300" s="173"/>
      <c r="AZJ300" s="125"/>
      <c r="AZK300" s="125"/>
      <c r="AZL300" s="134"/>
      <c r="AZM300" s="135"/>
      <c r="AZN300" s="135"/>
      <c r="AZO300" s="135"/>
      <c r="AZP300" s="135"/>
      <c r="AZQ300" s="173"/>
      <c r="AZR300" s="173"/>
      <c r="AZS300" s="173"/>
      <c r="AZT300" s="173"/>
      <c r="AZU300" s="173"/>
      <c r="AZV300" s="173"/>
      <c r="AZW300" s="173"/>
      <c r="AZX300" s="173"/>
      <c r="AZY300" s="173"/>
      <c r="AZZ300" s="173"/>
      <c r="BAA300" s="125"/>
      <c r="BAB300" s="125"/>
      <c r="BAC300" s="134"/>
      <c r="BAD300" s="135"/>
      <c r="BAE300" s="135"/>
      <c r="BAF300" s="135"/>
      <c r="BAG300" s="135"/>
      <c r="BAH300" s="173"/>
      <c r="BAI300" s="173"/>
      <c r="BAJ300" s="173"/>
      <c r="BAK300" s="173"/>
      <c r="BAL300" s="173"/>
      <c r="BAM300" s="173"/>
      <c r="BAN300" s="173"/>
      <c r="BAO300" s="173"/>
      <c r="BAP300" s="173"/>
      <c r="BAQ300" s="173"/>
      <c r="BAR300" s="125"/>
      <c r="BAS300" s="125"/>
      <c r="BAT300" s="134"/>
      <c r="BAU300" s="135"/>
      <c r="BAV300" s="135"/>
      <c r="BAW300" s="135"/>
      <c r="BAX300" s="135"/>
      <c r="BAY300" s="173"/>
      <c r="BAZ300" s="173"/>
      <c r="BBA300" s="173"/>
      <c r="BBB300" s="173"/>
      <c r="BBC300" s="173"/>
      <c r="BBD300" s="173"/>
      <c r="BBE300" s="173"/>
      <c r="BBF300" s="173"/>
      <c r="BBG300" s="173"/>
      <c r="BBH300" s="173"/>
      <c r="BBI300" s="125"/>
      <c r="BBJ300" s="125"/>
      <c r="BBK300" s="134"/>
      <c r="BBL300" s="135"/>
      <c r="BBM300" s="135"/>
      <c r="BBN300" s="135"/>
      <c r="BBO300" s="135"/>
      <c r="BBP300" s="173"/>
      <c r="BBQ300" s="173"/>
      <c r="BBR300" s="173"/>
      <c r="BBS300" s="173"/>
      <c r="BBT300" s="173"/>
      <c r="BBU300" s="173"/>
      <c r="BBV300" s="173"/>
      <c r="BBW300" s="173"/>
      <c r="BBX300" s="173"/>
      <c r="BBY300" s="173"/>
      <c r="BBZ300" s="125"/>
      <c r="BCA300" s="125"/>
      <c r="BCB300" s="134"/>
      <c r="BCC300" s="135"/>
      <c r="BCD300" s="135"/>
      <c r="BCE300" s="135"/>
      <c r="BCF300" s="135"/>
      <c r="BCG300" s="173"/>
      <c r="BCH300" s="173"/>
      <c r="BCI300" s="173"/>
      <c r="BCJ300" s="173"/>
      <c r="BCK300" s="173"/>
      <c r="BCL300" s="173"/>
      <c r="BCM300" s="173"/>
      <c r="BCN300" s="173"/>
      <c r="BCO300" s="173"/>
      <c r="BCP300" s="173"/>
      <c r="BCQ300" s="125"/>
      <c r="BCR300" s="125"/>
      <c r="BCS300" s="134"/>
      <c r="BCT300" s="135"/>
      <c r="BCU300" s="135"/>
      <c r="BCV300" s="135"/>
      <c r="BCW300" s="135"/>
      <c r="BCX300" s="173"/>
      <c r="BCY300" s="173"/>
      <c r="BCZ300" s="173"/>
      <c r="BDA300" s="173"/>
      <c r="BDB300" s="173"/>
      <c r="BDC300" s="173"/>
      <c r="BDD300" s="173"/>
      <c r="BDE300" s="173"/>
      <c r="BDF300" s="173"/>
      <c r="BDG300" s="173"/>
      <c r="BDH300" s="125"/>
      <c r="BDI300" s="125"/>
      <c r="BDJ300" s="134"/>
      <c r="BDK300" s="135"/>
      <c r="BDL300" s="135"/>
      <c r="BDM300" s="135"/>
      <c r="BDN300" s="135"/>
      <c r="BDO300" s="173"/>
      <c r="BDP300" s="173"/>
      <c r="BDQ300" s="173"/>
      <c r="BDR300" s="173"/>
      <c r="BDS300" s="173"/>
      <c r="BDT300" s="173"/>
      <c r="BDU300" s="173"/>
      <c r="BDV300" s="173"/>
      <c r="BDW300" s="173"/>
      <c r="BDX300" s="173"/>
      <c r="BDY300" s="125"/>
      <c r="BDZ300" s="125"/>
      <c r="BEA300" s="134"/>
      <c r="BEB300" s="135"/>
      <c r="BEC300" s="135"/>
      <c r="BED300" s="135"/>
      <c r="BEE300" s="135"/>
      <c r="BEF300" s="173"/>
      <c r="BEG300" s="173"/>
      <c r="BEH300" s="173"/>
      <c r="BEI300" s="173"/>
      <c r="BEJ300" s="173"/>
      <c r="BEK300" s="173"/>
      <c r="BEL300" s="173"/>
      <c r="BEM300" s="173"/>
      <c r="BEN300" s="173"/>
      <c r="BEO300" s="173"/>
      <c r="BEP300" s="125"/>
      <c r="BEQ300" s="125"/>
      <c r="BER300" s="134"/>
      <c r="BES300" s="135"/>
      <c r="BET300" s="135"/>
      <c r="BEU300" s="135"/>
      <c r="BEV300" s="135"/>
      <c r="BEW300" s="173"/>
      <c r="BEX300" s="173"/>
      <c r="BEY300" s="173"/>
      <c r="BEZ300" s="173"/>
      <c r="BFA300" s="173"/>
      <c r="BFB300" s="173"/>
      <c r="BFC300" s="173"/>
      <c r="BFD300" s="173"/>
      <c r="BFE300" s="173"/>
      <c r="BFF300" s="173"/>
      <c r="BFG300" s="125"/>
      <c r="BFH300" s="125"/>
      <c r="BFI300" s="134"/>
      <c r="BFJ300" s="135"/>
      <c r="BFK300" s="135"/>
      <c r="BFL300" s="135"/>
      <c r="BFM300" s="135"/>
      <c r="BFN300" s="173"/>
      <c r="BFO300" s="173"/>
      <c r="BFP300" s="173"/>
      <c r="BFQ300" s="173"/>
      <c r="BFR300" s="173"/>
      <c r="BFS300" s="173"/>
      <c r="BFT300" s="173"/>
      <c r="BFU300" s="173"/>
      <c r="BFV300" s="173"/>
      <c r="BFW300" s="173"/>
      <c r="BFX300" s="125"/>
      <c r="BFY300" s="125"/>
      <c r="BFZ300" s="134"/>
      <c r="BGA300" s="135"/>
      <c r="BGB300" s="135"/>
      <c r="BGC300" s="135"/>
      <c r="BGD300" s="135"/>
      <c r="BGE300" s="173"/>
      <c r="BGF300" s="173"/>
      <c r="BGG300" s="173"/>
      <c r="BGH300" s="173"/>
      <c r="BGI300" s="173"/>
      <c r="BGJ300" s="173"/>
      <c r="BGK300" s="173"/>
      <c r="BGL300" s="173"/>
      <c r="BGM300" s="173"/>
      <c r="BGN300" s="173"/>
      <c r="BGO300" s="125"/>
      <c r="BGP300" s="125"/>
      <c r="BGQ300" s="134"/>
      <c r="BGR300" s="135"/>
      <c r="BGS300" s="135"/>
      <c r="BGT300" s="135"/>
      <c r="BGU300" s="135"/>
      <c r="BGV300" s="173"/>
      <c r="BGW300" s="173"/>
      <c r="BGX300" s="173"/>
      <c r="BGY300" s="173"/>
      <c r="BGZ300" s="173"/>
      <c r="BHA300" s="173"/>
      <c r="BHB300" s="173"/>
      <c r="BHC300" s="173"/>
      <c r="BHD300" s="173"/>
      <c r="BHE300" s="173"/>
      <c r="BHF300" s="125"/>
      <c r="BHG300" s="125"/>
      <c r="BHH300" s="134"/>
      <c r="BHI300" s="135"/>
      <c r="BHJ300" s="135"/>
      <c r="BHK300" s="135"/>
      <c r="BHL300" s="135"/>
      <c r="BHM300" s="173"/>
      <c r="BHN300" s="173"/>
      <c r="BHO300" s="173"/>
      <c r="BHP300" s="173"/>
      <c r="BHQ300" s="173"/>
      <c r="BHR300" s="173"/>
      <c r="BHS300" s="173"/>
      <c r="BHT300" s="173"/>
      <c r="BHU300" s="173"/>
      <c r="BHV300" s="173"/>
      <c r="BHW300" s="125"/>
      <c r="BHX300" s="125"/>
      <c r="BHY300" s="134"/>
      <c r="BHZ300" s="135"/>
      <c r="BIA300" s="135"/>
      <c r="BIB300" s="135"/>
      <c r="BIC300" s="135"/>
      <c r="BID300" s="173"/>
      <c r="BIE300" s="173"/>
      <c r="BIF300" s="173"/>
      <c r="BIG300" s="173"/>
      <c r="BIH300" s="173"/>
      <c r="BII300" s="173"/>
      <c r="BIJ300" s="173"/>
      <c r="BIK300" s="173"/>
      <c r="BIL300" s="173"/>
      <c r="BIM300" s="173"/>
      <c r="BIN300" s="125"/>
      <c r="BIO300" s="125"/>
      <c r="BIP300" s="134"/>
      <c r="BIQ300" s="135"/>
      <c r="BIR300" s="135"/>
      <c r="BIS300" s="135"/>
      <c r="BIT300" s="135"/>
      <c r="BIU300" s="173"/>
      <c r="BIV300" s="173"/>
      <c r="BIW300" s="173"/>
      <c r="BIX300" s="173"/>
      <c r="BIY300" s="173"/>
      <c r="BIZ300" s="173"/>
      <c r="BJA300" s="173"/>
      <c r="BJB300" s="173"/>
      <c r="BJC300" s="173"/>
      <c r="BJD300" s="173"/>
      <c r="BJE300" s="125"/>
      <c r="BJF300" s="125"/>
      <c r="BJG300" s="134"/>
      <c r="BJH300" s="135"/>
      <c r="BJI300" s="135"/>
      <c r="BJJ300" s="135"/>
      <c r="BJK300" s="135"/>
      <c r="BJL300" s="173"/>
      <c r="BJM300" s="173"/>
      <c r="BJN300" s="173"/>
      <c r="BJO300" s="173"/>
      <c r="BJP300" s="173"/>
      <c r="BJQ300" s="173"/>
      <c r="BJR300" s="173"/>
      <c r="BJS300" s="173"/>
      <c r="BJT300" s="173"/>
      <c r="BJU300" s="173"/>
      <c r="BJV300" s="125"/>
      <c r="BJW300" s="125"/>
      <c r="BJX300" s="134"/>
      <c r="BJY300" s="135"/>
      <c r="BJZ300" s="135"/>
      <c r="BKA300" s="135"/>
      <c r="BKB300" s="135"/>
      <c r="BKC300" s="173"/>
      <c r="BKD300" s="173"/>
      <c r="BKE300" s="173"/>
      <c r="BKF300" s="173"/>
      <c r="BKG300" s="173"/>
      <c r="BKH300" s="173"/>
      <c r="BKI300" s="173"/>
      <c r="BKJ300" s="173"/>
      <c r="BKK300" s="173"/>
      <c r="BKL300" s="173"/>
      <c r="BKM300" s="125"/>
      <c r="BKN300" s="125"/>
      <c r="BKO300" s="134"/>
      <c r="BKP300" s="135"/>
      <c r="BKQ300" s="135"/>
      <c r="BKR300" s="135"/>
      <c r="BKS300" s="135"/>
      <c r="BKT300" s="173"/>
      <c r="BKU300" s="173"/>
      <c r="BKV300" s="173"/>
      <c r="BKW300" s="173"/>
      <c r="BKX300" s="173"/>
      <c r="BKY300" s="173"/>
      <c r="BKZ300" s="173"/>
      <c r="BLA300" s="173"/>
      <c r="BLB300" s="173"/>
      <c r="BLC300" s="173"/>
      <c r="BLD300" s="125"/>
      <c r="BLE300" s="125"/>
      <c r="BLF300" s="134"/>
      <c r="BLG300" s="135"/>
      <c r="BLH300" s="135"/>
      <c r="BLI300" s="135"/>
      <c r="BLJ300" s="135"/>
      <c r="BLK300" s="173"/>
      <c r="BLL300" s="173"/>
      <c r="BLM300" s="173"/>
      <c r="BLN300" s="173"/>
      <c r="BLO300" s="173"/>
      <c r="BLP300" s="173"/>
      <c r="BLQ300" s="173"/>
      <c r="BLR300" s="173"/>
      <c r="BLS300" s="173"/>
      <c r="BLT300" s="173"/>
      <c r="BLU300" s="125"/>
      <c r="BLV300" s="125"/>
      <c r="BLW300" s="134"/>
      <c r="BLX300" s="135"/>
      <c r="BLY300" s="135"/>
      <c r="BLZ300" s="135"/>
      <c r="BMA300" s="135"/>
      <c r="BMB300" s="173"/>
      <c r="BMC300" s="173"/>
      <c r="BMD300" s="173"/>
      <c r="BME300" s="173"/>
      <c r="BMF300" s="173"/>
      <c r="BMG300" s="173"/>
      <c r="BMH300" s="173"/>
      <c r="BMI300" s="173"/>
      <c r="BMJ300" s="173"/>
      <c r="BMK300" s="173"/>
      <c r="BML300" s="125"/>
      <c r="BMM300" s="125"/>
      <c r="BMN300" s="134"/>
      <c r="BMO300" s="135"/>
      <c r="BMP300" s="135"/>
      <c r="BMQ300" s="135"/>
      <c r="BMR300" s="135"/>
      <c r="BMS300" s="173"/>
      <c r="BMT300" s="173"/>
      <c r="BMU300" s="173"/>
      <c r="BMV300" s="173"/>
      <c r="BMW300" s="173"/>
      <c r="BMX300" s="173"/>
      <c r="BMY300" s="173"/>
      <c r="BMZ300" s="173"/>
      <c r="BNA300" s="173"/>
      <c r="BNB300" s="173"/>
      <c r="BNC300" s="125"/>
      <c r="BND300" s="125"/>
      <c r="BNE300" s="134"/>
      <c r="BNF300" s="135"/>
      <c r="BNG300" s="135"/>
      <c r="BNH300" s="135"/>
      <c r="BNI300" s="135"/>
      <c r="BNJ300" s="173"/>
      <c r="BNK300" s="173"/>
      <c r="BNL300" s="173"/>
      <c r="BNM300" s="173"/>
      <c r="BNN300" s="173"/>
      <c r="BNO300" s="173"/>
      <c r="BNP300" s="173"/>
      <c r="BNQ300" s="173"/>
      <c r="BNR300" s="173"/>
      <c r="BNS300" s="173"/>
      <c r="BNT300" s="125"/>
      <c r="BNU300" s="125"/>
      <c r="BNV300" s="134"/>
      <c r="BNW300" s="135"/>
      <c r="BNX300" s="135"/>
      <c r="BNY300" s="135"/>
      <c r="BNZ300" s="135"/>
      <c r="BOA300" s="173"/>
      <c r="BOB300" s="173"/>
      <c r="BOC300" s="173"/>
      <c r="BOD300" s="173"/>
      <c r="BOE300" s="173"/>
      <c r="BOF300" s="173"/>
      <c r="BOG300" s="173"/>
      <c r="BOH300" s="173"/>
      <c r="BOI300" s="173"/>
      <c r="BOJ300" s="173"/>
      <c r="BOK300" s="125"/>
      <c r="BOL300" s="125"/>
      <c r="BOM300" s="134"/>
      <c r="BON300" s="135"/>
      <c r="BOO300" s="135"/>
      <c r="BOP300" s="135"/>
      <c r="BOQ300" s="135"/>
      <c r="BOR300" s="173"/>
      <c r="BOS300" s="173"/>
      <c r="BOT300" s="173"/>
      <c r="BOU300" s="173"/>
      <c r="BOV300" s="173"/>
      <c r="BOW300" s="173"/>
      <c r="BOX300" s="173"/>
      <c r="BOY300" s="173"/>
      <c r="BOZ300" s="173"/>
      <c r="BPA300" s="173"/>
      <c r="BPB300" s="125"/>
      <c r="BPC300" s="125"/>
      <c r="BPD300" s="134"/>
      <c r="BPE300" s="135"/>
      <c r="BPF300" s="135"/>
      <c r="BPG300" s="135"/>
      <c r="BPH300" s="135"/>
      <c r="BPI300" s="173"/>
      <c r="BPJ300" s="173"/>
      <c r="BPK300" s="173"/>
      <c r="BPL300" s="173"/>
      <c r="BPM300" s="173"/>
      <c r="BPN300" s="173"/>
      <c r="BPO300" s="173"/>
      <c r="BPP300" s="173"/>
      <c r="BPQ300" s="173"/>
      <c r="BPR300" s="173"/>
      <c r="BPS300" s="125"/>
      <c r="BPT300" s="125"/>
      <c r="BPU300" s="134"/>
      <c r="BPV300" s="135"/>
      <c r="BPW300" s="135"/>
      <c r="BPX300" s="135"/>
      <c r="BPY300" s="135"/>
      <c r="BPZ300" s="173"/>
      <c r="BQA300" s="173"/>
      <c r="BQB300" s="173"/>
      <c r="BQC300" s="173"/>
      <c r="BQD300" s="173"/>
      <c r="BQE300" s="173"/>
      <c r="BQF300" s="173"/>
      <c r="BQG300" s="173"/>
      <c r="BQH300" s="173"/>
      <c r="BQI300" s="173"/>
      <c r="BQJ300" s="125"/>
      <c r="BQK300" s="125"/>
      <c r="BQL300" s="134"/>
      <c r="BQM300" s="135"/>
      <c r="BQN300" s="135"/>
      <c r="BQO300" s="135"/>
      <c r="BQP300" s="135"/>
      <c r="BQQ300" s="173"/>
      <c r="BQR300" s="173"/>
      <c r="BQS300" s="173"/>
      <c r="BQT300" s="173"/>
      <c r="BQU300" s="173"/>
      <c r="BQV300" s="173"/>
      <c r="BQW300" s="173"/>
      <c r="BQX300" s="173"/>
      <c r="BQY300" s="173"/>
      <c r="BQZ300" s="173"/>
      <c r="BRA300" s="125"/>
      <c r="BRB300" s="125"/>
      <c r="BRC300" s="134"/>
      <c r="BRD300" s="135"/>
      <c r="BRE300" s="135"/>
      <c r="BRF300" s="135"/>
      <c r="BRG300" s="135"/>
      <c r="BRH300" s="173"/>
      <c r="BRI300" s="173"/>
      <c r="BRJ300" s="173"/>
      <c r="BRK300" s="173"/>
      <c r="BRL300" s="173"/>
      <c r="BRM300" s="173"/>
      <c r="BRN300" s="173"/>
      <c r="BRO300" s="173"/>
      <c r="BRP300" s="173"/>
      <c r="BRQ300" s="173"/>
      <c r="BRR300" s="125"/>
      <c r="BRS300" s="125"/>
      <c r="BRT300" s="134"/>
      <c r="BRU300" s="135"/>
      <c r="BRV300" s="135"/>
      <c r="BRW300" s="135"/>
      <c r="BRX300" s="135"/>
      <c r="BRY300" s="173"/>
      <c r="BRZ300" s="173"/>
      <c r="BSA300" s="173"/>
      <c r="BSB300" s="173"/>
      <c r="BSC300" s="173"/>
      <c r="BSD300" s="173"/>
      <c r="BSE300" s="173"/>
      <c r="BSF300" s="173"/>
      <c r="BSG300" s="173"/>
      <c r="BSH300" s="173"/>
      <c r="BSI300" s="125"/>
      <c r="BSJ300" s="125"/>
      <c r="BSK300" s="134"/>
      <c r="BSL300" s="135"/>
      <c r="BSM300" s="135"/>
      <c r="BSN300" s="135"/>
      <c r="BSO300" s="135"/>
      <c r="BSP300" s="173"/>
      <c r="BSQ300" s="173"/>
      <c r="BSR300" s="173"/>
      <c r="BSS300" s="173"/>
      <c r="BST300" s="173"/>
      <c r="BSU300" s="173"/>
      <c r="BSV300" s="173"/>
      <c r="BSW300" s="173"/>
      <c r="BSX300" s="173"/>
      <c r="BSY300" s="173"/>
      <c r="BSZ300" s="125"/>
      <c r="BTA300" s="125"/>
      <c r="BTB300" s="134"/>
      <c r="BTC300" s="135"/>
      <c r="BTD300" s="135"/>
      <c r="BTE300" s="135"/>
      <c r="BTF300" s="135"/>
      <c r="BTG300" s="173"/>
      <c r="BTH300" s="173"/>
      <c r="BTI300" s="173"/>
      <c r="BTJ300" s="173"/>
      <c r="BTK300" s="173"/>
      <c r="BTL300" s="173"/>
      <c r="BTM300" s="173"/>
      <c r="BTN300" s="173"/>
      <c r="BTO300" s="173"/>
      <c r="BTP300" s="173"/>
      <c r="BTQ300" s="125"/>
      <c r="BTR300" s="125"/>
      <c r="BTS300" s="134"/>
      <c r="BTT300" s="135"/>
      <c r="BTU300" s="135"/>
      <c r="BTV300" s="135"/>
      <c r="BTW300" s="135"/>
      <c r="BTX300" s="173"/>
      <c r="BTY300" s="173"/>
      <c r="BTZ300" s="173"/>
      <c r="BUA300" s="173"/>
      <c r="BUB300" s="173"/>
      <c r="BUC300" s="173"/>
      <c r="BUD300" s="173"/>
      <c r="BUE300" s="173"/>
      <c r="BUF300" s="173"/>
      <c r="BUG300" s="173"/>
      <c r="BUH300" s="125"/>
      <c r="BUI300" s="125"/>
      <c r="BUJ300" s="134"/>
      <c r="BUK300" s="135"/>
      <c r="BUL300" s="135"/>
      <c r="BUM300" s="135"/>
      <c r="BUN300" s="135"/>
      <c r="BUO300" s="173"/>
      <c r="BUP300" s="173"/>
      <c r="BUQ300" s="173"/>
      <c r="BUR300" s="173"/>
      <c r="BUS300" s="173"/>
      <c r="BUT300" s="173"/>
      <c r="BUU300" s="173"/>
      <c r="BUV300" s="173"/>
      <c r="BUW300" s="173"/>
      <c r="BUX300" s="173"/>
      <c r="BUY300" s="125"/>
      <c r="BUZ300" s="125"/>
      <c r="BVA300" s="134"/>
      <c r="BVB300" s="135"/>
      <c r="BVC300" s="135"/>
      <c r="BVD300" s="135"/>
      <c r="BVE300" s="135"/>
      <c r="BVF300" s="173"/>
      <c r="BVG300" s="173"/>
      <c r="BVH300" s="173"/>
      <c r="BVI300" s="173"/>
      <c r="BVJ300" s="173"/>
      <c r="BVK300" s="173"/>
      <c r="BVL300" s="173"/>
      <c r="BVM300" s="173"/>
      <c r="BVN300" s="173"/>
      <c r="BVO300" s="173"/>
      <c r="BVP300" s="125"/>
      <c r="BVQ300" s="125"/>
      <c r="BVR300" s="134"/>
      <c r="BVS300" s="135"/>
      <c r="BVT300" s="135"/>
      <c r="BVU300" s="135"/>
      <c r="BVV300" s="135"/>
      <c r="BVW300" s="173"/>
      <c r="BVX300" s="173"/>
      <c r="BVY300" s="173"/>
      <c r="BVZ300" s="173"/>
      <c r="BWA300" s="173"/>
      <c r="BWB300" s="173"/>
      <c r="BWC300" s="173"/>
      <c r="BWD300" s="173"/>
      <c r="BWE300" s="173"/>
      <c r="BWF300" s="173"/>
      <c r="BWG300" s="125"/>
      <c r="BWH300" s="125"/>
      <c r="BWI300" s="134"/>
      <c r="BWJ300" s="135"/>
      <c r="BWK300" s="135"/>
      <c r="BWL300" s="135"/>
      <c r="BWM300" s="135"/>
      <c r="BWN300" s="173"/>
      <c r="BWO300" s="173"/>
      <c r="BWP300" s="173"/>
      <c r="BWQ300" s="173"/>
      <c r="BWR300" s="173"/>
      <c r="BWS300" s="173"/>
      <c r="BWT300" s="173"/>
      <c r="BWU300" s="173"/>
      <c r="BWV300" s="173"/>
      <c r="BWW300" s="173"/>
      <c r="BWX300" s="125"/>
      <c r="BWY300" s="125"/>
      <c r="BWZ300" s="134"/>
      <c r="BXA300" s="135"/>
      <c r="BXB300" s="135"/>
      <c r="BXC300" s="135"/>
      <c r="BXD300" s="135"/>
      <c r="BXE300" s="173"/>
      <c r="BXF300" s="173"/>
      <c r="BXG300" s="173"/>
      <c r="BXH300" s="173"/>
      <c r="BXI300" s="173"/>
      <c r="BXJ300" s="173"/>
      <c r="BXK300" s="173"/>
      <c r="BXL300" s="173"/>
      <c r="BXM300" s="173"/>
      <c r="BXN300" s="173"/>
      <c r="BXO300" s="125"/>
      <c r="BXP300" s="125"/>
      <c r="BXQ300" s="134"/>
      <c r="BXR300" s="135"/>
      <c r="BXS300" s="135"/>
      <c r="BXT300" s="135"/>
      <c r="BXU300" s="135"/>
      <c r="BXV300" s="173"/>
      <c r="BXW300" s="173"/>
      <c r="BXX300" s="173"/>
      <c r="BXY300" s="173"/>
      <c r="BXZ300" s="173"/>
      <c r="BYA300" s="173"/>
      <c r="BYB300" s="173"/>
      <c r="BYC300" s="173"/>
      <c r="BYD300" s="173"/>
      <c r="BYE300" s="173"/>
      <c r="BYF300" s="125"/>
      <c r="BYG300" s="125"/>
      <c r="BYH300" s="134"/>
      <c r="BYI300" s="135"/>
      <c r="BYJ300" s="135"/>
      <c r="BYK300" s="135"/>
      <c r="BYL300" s="135"/>
      <c r="BYM300" s="173"/>
      <c r="BYN300" s="173"/>
      <c r="BYO300" s="173"/>
      <c r="BYP300" s="173"/>
      <c r="BYQ300" s="173"/>
      <c r="BYR300" s="173"/>
      <c r="BYS300" s="173"/>
      <c r="BYT300" s="173"/>
      <c r="BYU300" s="173"/>
      <c r="BYV300" s="173"/>
      <c r="BYW300" s="125"/>
      <c r="BYX300" s="125"/>
      <c r="BYY300" s="134"/>
      <c r="BYZ300" s="135"/>
      <c r="BZA300" s="135"/>
      <c r="BZB300" s="135"/>
      <c r="BZC300" s="135"/>
      <c r="BZD300" s="173"/>
      <c r="BZE300" s="173"/>
      <c r="BZF300" s="173"/>
      <c r="BZG300" s="173"/>
      <c r="BZH300" s="173"/>
      <c r="BZI300" s="173"/>
      <c r="BZJ300" s="173"/>
      <c r="BZK300" s="173"/>
      <c r="BZL300" s="173"/>
      <c r="BZM300" s="173"/>
      <c r="BZN300" s="125"/>
      <c r="BZO300" s="125"/>
      <c r="BZP300" s="134"/>
      <c r="BZQ300" s="135"/>
      <c r="BZR300" s="135"/>
      <c r="BZS300" s="135"/>
      <c r="BZT300" s="135"/>
      <c r="BZU300" s="173"/>
      <c r="BZV300" s="173"/>
      <c r="BZW300" s="173"/>
      <c r="BZX300" s="173"/>
      <c r="BZY300" s="173"/>
      <c r="BZZ300" s="173"/>
      <c r="CAA300" s="173"/>
      <c r="CAB300" s="173"/>
      <c r="CAC300" s="173"/>
      <c r="CAD300" s="173"/>
      <c r="CAE300" s="125"/>
      <c r="CAF300" s="125"/>
      <c r="CAG300" s="134"/>
      <c r="CAH300" s="135"/>
      <c r="CAI300" s="135"/>
      <c r="CAJ300" s="135"/>
      <c r="CAK300" s="135"/>
      <c r="CAL300" s="173"/>
      <c r="CAM300" s="173"/>
      <c r="CAN300" s="173"/>
      <c r="CAO300" s="173"/>
      <c r="CAP300" s="173"/>
      <c r="CAQ300" s="173"/>
      <c r="CAR300" s="173"/>
      <c r="CAS300" s="173"/>
      <c r="CAT300" s="173"/>
      <c r="CAU300" s="173"/>
      <c r="CAV300" s="125"/>
      <c r="CAW300" s="125"/>
      <c r="CAX300" s="134"/>
      <c r="CAY300" s="135"/>
      <c r="CAZ300" s="135"/>
      <c r="CBA300" s="135"/>
      <c r="CBB300" s="135"/>
      <c r="CBC300" s="173"/>
      <c r="CBD300" s="173"/>
      <c r="CBE300" s="173"/>
      <c r="CBF300" s="173"/>
      <c r="CBG300" s="173"/>
      <c r="CBH300" s="173"/>
      <c r="CBI300" s="173"/>
      <c r="CBJ300" s="173"/>
      <c r="CBK300" s="173"/>
      <c r="CBL300" s="173"/>
      <c r="CBM300" s="125"/>
      <c r="CBN300" s="125"/>
      <c r="CBO300" s="134"/>
      <c r="CBP300" s="135"/>
      <c r="CBQ300" s="135"/>
      <c r="CBR300" s="135"/>
      <c r="CBS300" s="135"/>
      <c r="CBT300" s="173"/>
      <c r="CBU300" s="173"/>
      <c r="CBV300" s="173"/>
      <c r="CBW300" s="173"/>
      <c r="CBX300" s="173"/>
      <c r="CBY300" s="173"/>
      <c r="CBZ300" s="173"/>
      <c r="CCA300" s="173"/>
      <c r="CCB300" s="173"/>
      <c r="CCC300" s="173"/>
      <c r="CCD300" s="125"/>
      <c r="CCE300" s="125"/>
      <c r="CCF300" s="134"/>
      <c r="CCG300" s="135"/>
      <c r="CCH300" s="135"/>
      <c r="CCI300" s="135"/>
      <c r="CCJ300" s="135"/>
      <c r="CCK300" s="173"/>
      <c r="CCL300" s="173"/>
      <c r="CCM300" s="173"/>
      <c r="CCN300" s="173"/>
      <c r="CCO300" s="173"/>
      <c r="CCP300" s="173"/>
      <c r="CCQ300" s="173"/>
      <c r="CCR300" s="173"/>
      <c r="CCS300" s="173"/>
      <c r="CCT300" s="173"/>
      <c r="CCU300" s="125"/>
      <c r="CCV300" s="125"/>
      <c r="CCW300" s="134"/>
      <c r="CCX300" s="135"/>
      <c r="CCY300" s="135"/>
      <c r="CCZ300" s="135"/>
      <c r="CDA300" s="135"/>
      <c r="CDB300" s="173"/>
      <c r="CDC300" s="173"/>
      <c r="CDD300" s="173"/>
      <c r="CDE300" s="173"/>
      <c r="CDF300" s="173"/>
      <c r="CDG300" s="173"/>
      <c r="CDH300" s="173"/>
      <c r="CDI300" s="173"/>
      <c r="CDJ300" s="173"/>
      <c r="CDK300" s="173"/>
      <c r="CDL300" s="125"/>
      <c r="CDM300" s="125"/>
      <c r="CDN300" s="134"/>
      <c r="CDO300" s="135"/>
      <c r="CDP300" s="135"/>
      <c r="CDQ300" s="135"/>
      <c r="CDR300" s="135"/>
      <c r="CDS300" s="173"/>
      <c r="CDT300" s="173"/>
      <c r="CDU300" s="173"/>
      <c r="CDV300" s="173"/>
      <c r="CDW300" s="173"/>
      <c r="CDX300" s="173"/>
      <c r="CDY300" s="173"/>
      <c r="CDZ300" s="173"/>
      <c r="CEA300" s="173"/>
      <c r="CEB300" s="173"/>
      <c r="CEC300" s="125"/>
      <c r="CED300" s="125"/>
      <c r="CEE300" s="134"/>
      <c r="CEF300" s="135"/>
      <c r="CEG300" s="135"/>
      <c r="CEH300" s="135"/>
      <c r="CEI300" s="135"/>
      <c r="CEJ300" s="173"/>
      <c r="CEK300" s="173"/>
      <c r="CEL300" s="173"/>
      <c r="CEM300" s="173"/>
      <c r="CEN300" s="173"/>
      <c r="CEO300" s="173"/>
      <c r="CEP300" s="173"/>
      <c r="CEQ300" s="173"/>
      <c r="CER300" s="173"/>
      <c r="CES300" s="173"/>
      <c r="CET300" s="125"/>
      <c r="CEU300" s="125"/>
      <c r="CEV300" s="134"/>
      <c r="CEW300" s="135"/>
      <c r="CEX300" s="135"/>
      <c r="CEY300" s="135"/>
      <c r="CEZ300" s="135"/>
      <c r="CFA300" s="173"/>
      <c r="CFB300" s="173"/>
      <c r="CFC300" s="173"/>
      <c r="CFD300" s="173"/>
      <c r="CFE300" s="173"/>
      <c r="CFF300" s="173"/>
      <c r="CFG300" s="173"/>
      <c r="CFH300" s="173"/>
      <c r="CFI300" s="173"/>
      <c r="CFJ300" s="173"/>
      <c r="CFK300" s="125"/>
      <c r="CFL300" s="125"/>
      <c r="CFM300" s="134"/>
      <c r="CFN300" s="135"/>
      <c r="CFO300" s="135"/>
      <c r="CFP300" s="135"/>
      <c r="CFQ300" s="135"/>
      <c r="CFR300" s="173"/>
      <c r="CFS300" s="173"/>
      <c r="CFT300" s="173"/>
      <c r="CFU300" s="173"/>
      <c r="CFV300" s="173"/>
      <c r="CFW300" s="173"/>
      <c r="CFX300" s="173"/>
      <c r="CFY300" s="173"/>
      <c r="CFZ300" s="173"/>
      <c r="CGA300" s="173"/>
      <c r="CGB300" s="125"/>
      <c r="CGC300" s="125"/>
      <c r="CGD300" s="134"/>
      <c r="CGE300" s="135"/>
      <c r="CGF300" s="135"/>
      <c r="CGG300" s="135"/>
      <c r="CGH300" s="135"/>
      <c r="CGI300" s="173"/>
      <c r="CGJ300" s="173"/>
      <c r="CGK300" s="173"/>
      <c r="CGL300" s="173"/>
      <c r="CGM300" s="173"/>
      <c r="CGN300" s="173"/>
      <c r="CGO300" s="173"/>
      <c r="CGP300" s="173"/>
      <c r="CGQ300" s="173"/>
      <c r="CGR300" s="173"/>
      <c r="CGS300" s="125"/>
      <c r="CGT300" s="125"/>
      <c r="CGU300" s="134"/>
      <c r="CGV300" s="135"/>
      <c r="CGW300" s="135"/>
      <c r="CGX300" s="135"/>
      <c r="CGY300" s="135"/>
      <c r="CGZ300" s="173"/>
      <c r="CHA300" s="173"/>
      <c r="CHB300" s="173"/>
      <c r="CHC300" s="173"/>
      <c r="CHD300" s="173"/>
      <c r="CHE300" s="173"/>
      <c r="CHF300" s="173"/>
      <c r="CHG300" s="173"/>
      <c r="CHH300" s="173"/>
      <c r="CHI300" s="173"/>
      <c r="CHJ300" s="125"/>
      <c r="CHK300" s="125"/>
      <c r="CHL300" s="134"/>
      <c r="CHM300" s="135"/>
      <c r="CHN300" s="135"/>
      <c r="CHO300" s="135"/>
      <c r="CHP300" s="135"/>
      <c r="CHQ300" s="173"/>
      <c r="CHR300" s="173"/>
      <c r="CHS300" s="173"/>
      <c r="CHT300" s="173"/>
      <c r="CHU300" s="173"/>
      <c r="CHV300" s="173"/>
      <c r="CHW300" s="173"/>
      <c r="CHX300" s="173"/>
      <c r="CHY300" s="173"/>
      <c r="CHZ300" s="173"/>
      <c r="CIA300" s="125"/>
      <c r="CIB300" s="125"/>
      <c r="CIC300" s="134"/>
      <c r="CID300" s="135"/>
      <c r="CIE300" s="135"/>
      <c r="CIF300" s="135"/>
      <c r="CIG300" s="135"/>
      <c r="CIH300" s="173"/>
      <c r="CII300" s="173"/>
      <c r="CIJ300" s="173"/>
      <c r="CIK300" s="173"/>
      <c r="CIL300" s="173"/>
      <c r="CIM300" s="173"/>
      <c r="CIN300" s="173"/>
      <c r="CIO300" s="173"/>
      <c r="CIP300" s="173"/>
      <c r="CIQ300" s="173"/>
      <c r="CIR300" s="125"/>
      <c r="CIS300" s="125"/>
      <c r="CIT300" s="134"/>
      <c r="CIU300" s="135"/>
      <c r="CIV300" s="135"/>
      <c r="CIW300" s="135"/>
      <c r="CIX300" s="135"/>
      <c r="CIY300" s="173"/>
      <c r="CIZ300" s="173"/>
      <c r="CJA300" s="173"/>
      <c r="CJB300" s="173"/>
      <c r="CJC300" s="173"/>
      <c r="CJD300" s="173"/>
      <c r="CJE300" s="173"/>
      <c r="CJF300" s="173"/>
      <c r="CJG300" s="173"/>
      <c r="CJH300" s="173"/>
      <c r="CJI300" s="125"/>
      <c r="CJJ300" s="125"/>
      <c r="CJK300" s="134"/>
      <c r="CJL300" s="135"/>
      <c r="CJM300" s="135"/>
      <c r="CJN300" s="135"/>
      <c r="CJO300" s="135"/>
      <c r="CJP300" s="173"/>
      <c r="CJQ300" s="173"/>
      <c r="CJR300" s="173"/>
      <c r="CJS300" s="173"/>
      <c r="CJT300" s="173"/>
      <c r="CJU300" s="173"/>
      <c r="CJV300" s="173"/>
      <c r="CJW300" s="173"/>
      <c r="CJX300" s="173"/>
      <c r="CJY300" s="173"/>
      <c r="CJZ300" s="125"/>
      <c r="CKA300" s="125"/>
      <c r="CKB300" s="134"/>
      <c r="CKC300" s="135"/>
      <c r="CKD300" s="135"/>
      <c r="CKE300" s="135"/>
      <c r="CKF300" s="135"/>
      <c r="CKG300" s="173"/>
      <c r="CKH300" s="173"/>
      <c r="CKI300" s="173"/>
      <c r="CKJ300" s="173"/>
      <c r="CKK300" s="173"/>
      <c r="CKL300" s="173"/>
      <c r="CKM300" s="173"/>
      <c r="CKN300" s="173"/>
      <c r="CKO300" s="173"/>
      <c r="CKP300" s="173"/>
      <c r="CKQ300" s="125"/>
      <c r="CKR300" s="125"/>
      <c r="CKS300" s="134"/>
      <c r="CKT300" s="135"/>
      <c r="CKU300" s="135"/>
      <c r="CKV300" s="135"/>
      <c r="CKW300" s="135"/>
      <c r="CKX300" s="173"/>
      <c r="CKY300" s="173"/>
      <c r="CKZ300" s="173"/>
      <c r="CLA300" s="173"/>
      <c r="CLB300" s="173"/>
      <c r="CLC300" s="173"/>
      <c r="CLD300" s="173"/>
      <c r="CLE300" s="173"/>
      <c r="CLF300" s="173"/>
      <c r="CLG300" s="173"/>
      <c r="CLH300" s="125"/>
      <c r="CLI300" s="125"/>
      <c r="CLJ300" s="134"/>
      <c r="CLK300" s="135"/>
      <c r="CLL300" s="135"/>
      <c r="CLM300" s="135"/>
      <c r="CLN300" s="135"/>
      <c r="CLO300" s="173"/>
      <c r="CLP300" s="173"/>
      <c r="CLQ300" s="173"/>
      <c r="CLR300" s="173"/>
      <c r="CLS300" s="173"/>
      <c r="CLT300" s="173"/>
      <c r="CLU300" s="173"/>
      <c r="CLV300" s="173"/>
      <c r="CLW300" s="173"/>
      <c r="CLX300" s="173"/>
      <c r="CLY300" s="125"/>
      <c r="CLZ300" s="125"/>
      <c r="CMA300" s="134"/>
      <c r="CMB300" s="135"/>
      <c r="CMC300" s="135"/>
      <c r="CMD300" s="135"/>
      <c r="CME300" s="135"/>
      <c r="CMF300" s="173"/>
      <c r="CMG300" s="173"/>
      <c r="CMH300" s="173"/>
      <c r="CMI300" s="173"/>
      <c r="CMJ300" s="173"/>
      <c r="CMK300" s="173"/>
      <c r="CML300" s="173"/>
      <c r="CMM300" s="173"/>
      <c r="CMN300" s="173"/>
      <c r="CMO300" s="173"/>
      <c r="CMP300" s="125"/>
      <c r="CMQ300" s="125"/>
      <c r="CMR300" s="134"/>
      <c r="CMS300" s="135"/>
      <c r="CMT300" s="135"/>
      <c r="CMU300" s="135"/>
      <c r="CMV300" s="135"/>
      <c r="CMW300" s="173"/>
      <c r="CMX300" s="173"/>
      <c r="CMY300" s="173"/>
      <c r="CMZ300" s="173"/>
      <c r="CNA300" s="173"/>
      <c r="CNB300" s="173"/>
      <c r="CNC300" s="173"/>
      <c r="CND300" s="173"/>
      <c r="CNE300" s="173"/>
      <c r="CNF300" s="173"/>
      <c r="CNG300" s="125"/>
      <c r="CNH300" s="125"/>
      <c r="CNI300" s="134"/>
      <c r="CNJ300" s="135"/>
      <c r="CNK300" s="135"/>
      <c r="CNL300" s="135"/>
      <c r="CNM300" s="135"/>
      <c r="CNN300" s="173"/>
      <c r="CNO300" s="173"/>
      <c r="CNP300" s="173"/>
      <c r="CNQ300" s="173"/>
      <c r="CNR300" s="173"/>
      <c r="CNS300" s="173"/>
      <c r="CNT300" s="173"/>
      <c r="CNU300" s="173"/>
      <c r="CNV300" s="173"/>
      <c r="CNW300" s="173"/>
      <c r="CNX300" s="125"/>
      <c r="CNY300" s="125"/>
      <c r="CNZ300" s="134"/>
      <c r="COA300" s="135"/>
      <c r="COB300" s="135"/>
      <c r="COC300" s="135"/>
      <c r="COD300" s="135"/>
      <c r="COE300" s="173"/>
      <c r="COF300" s="173"/>
      <c r="COG300" s="173"/>
      <c r="COH300" s="173"/>
      <c r="COI300" s="173"/>
      <c r="COJ300" s="173"/>
      <c r="COK300" s="173"/>
      <c r="COL300" s="173"/>
      <c r="COM300" s="173"/>
      <c r="CON300" s="173"/>
      <c r="COO300" s="125"/>
      <c r="COP300" s="125"/>
      <c r="COQ300" s="134"/>
      <c r="COR300" s="135"/>
      <c r="COS300" s="135"/>
      <c r="COT300" s="135"/>
      <c r="COU300" s="135"/>
      <c r="COV300" s="173"/>
      <c r="COW300" s="173"/>
      <c r="COX300" s="173"/>
      <c r="COY300" s="173"/>
      <c r="COZ300" s="173"/>
      <c r="CPA300" s="173"/>
      <c r="CPB300" s="173"/>
      <c r="CPC300" s="173"/>
      <c r="CPD300" s="173"/>
      <c r="CPE300" s="173"/>
      <c r="CPF300" s="125"/>
      <c r="CPG300" s="125"/>
      <c r="CPH300" s="134"/>
      <c r="CPI300" s="135"/>
      <c r="CPJ300" s="135"/>
      <c r="CPK300" s="135"/>
      <c r="CPL300" s="135"/>
      <c r="CPM300" s="173"/>
      <c r="CPN300" s="173"/>
      <c r="CPO300" s="173"/>
      <c r="CPP300" s="173"/>
      <c r="CPQ300" s="173"/>
      <c r="CPR300" s="173"/>
      <c r="CPS300" s="173"/>
      <c r="CPT300" s="173"/>
      <c r="CPU300" s="173"/>
      <c r="CPV300" s="173"/>
      <c r="CPW300" s="125"/>
      <c r="CPX300" s="125"/>
      <c r="CPY300" s="134"/>
      <c r="CPZ300" s="135"/>
      <c r="CQA300" s="135"/>
      <c r="CQB300" s="135"/>
      <c r="CQC300" s="135"/>
      <c r="CQD300" s="173"/>
      <c r="CQE300" s="173"/>
      <c r="CQF300" s="173"/>
      <c r="CQG300" s="173"/>
      <c r="CQH300" s="173"/>
      <c r="CQI300" s="173"/>
      <c r="CQJ300" s="173"/>
      <c r="CQK300" s="173"/>
      <c r="CQL300" s="173"/>
      <c r="CQM300" s="173"/>
      <c r="CQN300" s="125"/>
      <c r="CQO300" s="125"/>
      <c r="CQP300" s="134"/>
      <c r="CQQ300" s="135"/>
      <c r="CQR300" s="135"/>
      <c r="CQS300" s="135"/>
      <c r="CQT300" s="135"/>
      <c r="CQU300" s="173"/>
      <c r="CQV300" s="173"/>
      <c r="CQW300" s="173"/>
      <c r="CQX300" s="173"/>
      <c r="CQY300" s="173"/>
      <c r="CQZ300" s="173"/>
      <c r="CRA300" s="173"/>
      <c r="CRB300" s="173"/>
      <c r="CRC300" s="173"/>
      <c r="CRD300" s="173"/>
      <c r="CRE300" s="125"/>
      <c r="CRF300" s="125"/>
      <c r="CRG300" s="134"/>
      <c r="CRH300" s="135"/>
      <c r="CRI300" s="135"/>
      <c r="CRJ300" s="135"/>
      <c r="CRK300" s="135"/>
      <c r="CRL300" s="173"/>
      <c r="CRM300" s="173"/>
      <c r="CRN300" s="173"/>
      <c r="CRO300" s="173"/>
      <c r="CRP300" s="173"/>
      <c r="CRQ300" s="173"/>
      <c r="CRR300" s="173"/>
      <c r="CRS300" s="173"/>
      <c r="CRT300" s="173"/>
      <c r="CRU300" s="173"/>
      <c r="CRV300" s="125"/>
      <c r="CRW300" s="125"/>
      <c r="CRX300" s="134"/>
      <c r="CRY300" s="135"/>
      <c r="CRZ300" s="135"/>
      <c r="CSA300" s="135"/>
      <c r="CSB300" s="135"/>
      <c r="CSC300" s="173"/>
      <c r="CSD300" s="173"/>
      <c r="CSE300" s="173"/>
      <c r="CSF300" s="173"/>
      <c r="CSG300" s="173"/>
      <c r="CSH300" s="173"/>
      <c r="CSI300" s="173"/>
      <c r="CSJ300" s="173"/>
      <c r="CSK300" s="173"/>
      <c r="CSL300" s="173"/>
      <c r="CSM300" s="125"/>
      <c r="CSN300" s="125"/>
      <c r="CSO300" s="134"/>
      <c r="CSP300" s="135"/>
      <c r="CSQ300" s="135"/>
      <c r="CSR300" s="135"/>
      <c r="CSS300" s="135"/>
      <c r="CST300" s="173"/>
      <c r="CSU300" s="173"/>
      <c r="CSV300" s="173"/>
      <c r="CSW300" s="173"/>
      <c r="CSX300" s="173"/>
      <c r="CSY300" s="173"/>
      <c r="CSZ300" s="173"/>
      <c r="CTA300" s="173"/>
      <c r="CTB300" s="173"/>
      <c r="CTC300" s="173"/>
      <c r="CTD300" s="125"/>
      <c r="CTE300" s="125"/>
      <c r="CTF300" s="134"/>
      <c r="CTG300" s="135"/>
      <c r="CTH300" s="135"/>
      <c r="CTI300" s="135"/>
      <c r="CTJ300" s="135"/>
      <c r="CTK300" s="173"/>
      <c r="CTL300" s="173"/>
      <c r="CTM300" s="173"/>
      <c r="CTN300" s="173"/>
      <c r="CTO300" s="173"/>
      <c r="CTP300" s="173"/>
      <c r="CTQ300" s="173"/>
      <c r="CTR300" s="173"/>
      <c r="CTS300" s="173"/>
      <c r="CTT300" s="173"/>
      <c r="CTU300" s="125"/>
      <c r="CTV300" s="125"/>
      <c r="CTW300" s="134"/>
      <c r="CTX300" s="135"/>
      <c r="CTY300" s="135"/>
      <c r="CTZ300" s="135"/>
      <c r="CUA300" s="135"/>
      <c r="CUB300" s="173"/>
      <c r="CUC300" s="173"/>
      <c r="CUD300" s="173"/>
      <c r="CUE300" s="173"/>
      <c r="CUF300" s="173"/>
      <c r="CUG300" s="173"/>
      <c r="CUH300" s="173"/>
      <c r="CUI300" s="173"/>
      <c r="CUJ300" s="173"/>
      <c r="CUK300" s="173"/>
      <c r="CUL300" s="125"/>
      <c r="CUM300" s="125"/>
      <c r="CUN300" s="134"/>
      <c r="CUO300" s="135"/>
      <c r="CUP300" s="135"/>
      <c r="CUQ300" s="135"/>
      <c r="CUR300" s="135"/>
      <c r="CUS300" s="173"/>
      <c r="CUT300" s="173"/>
      <c r="CUU300" s="173"/>
      <c r="CUV300" s="173"/>
      <c r="CUW300" s="173"/>
      <c r="CUX300" s="173"/>
      <c r="CUY300" s="173"/>
      <c r="CUZ300" s="173"/>
      <c r="CVA300" s="173"/>
      <c r="CVB300" s="173"/>
      <c r="CVC300" s="125"/>
      <c r="CVD300" s="125"/>
      <c r="CVE300" s="134"/>
      <c r="CVF300" s="135"/>
      <c r="CVG300" s="135"/>
      <c r="CVH300" s="135"/>
      <c r="CVI300" s="135"/>
      <c r="CVJ300" s="173"/>
      <c r="CVK300" s="173"/>
      <c r="CVL300" s="173"/>
      <c r="CVM300" s="173"/>
      <c r="CVN300" s="173"/>
      <c r="CVO300" s="173"/>
      <c r="CVP300" s="173"/>
      <c r="CVQ300" s="173"/>
      <c r="CVR300" s="173"/>
      <c r="CVS300" s="173"/>
      <c r="CVT300" s="125"/>
      <c r="CVU300" s="125"/>
      <c r="CVV300" s="134"/>
      <c r="CVW300" s="135"/>
      <c r="CVX300" s="135"/>
      <c r="CVY300" s="135"/>
      <c r="CVZ300" s="135"/>
      <c r="CWA300" s="173"/>
      <c r="CWB300" s="173"/>
      <c r="CWC300" s="173"/>
      <c r="CWD300" s="173"/>
      <c r="CWE300" s="173"/>
      <c r="CWF300" s="173"/>
      <c r="CWG300" s="173"/>
      <c r="CWH300" s="173"/>
      <c r="CWI300" s="173"/>
      <c r="CWJ300" s="173"/>
      <c r="CWK300" s="125"/>
      <c r="CWL300" s="125"/>
      <c r="CWM300" s="134"/>
      <c r="CWN300" s="135"/>
      <c r="CWO300" s="135"/>
      <c r="CWP300" s="135"/>
      <c r="CWQ300" s="135"/>
      <c r="CWR300" s="173"/>
      <c r="CWS300" s="173"/>
      <c r="CWT300" s="173"/>
      <c r="CWU300" s="173"/>
      <c r="CWV300" s="173"/>
      <c r="CWW300" s="173"/>
      <c r="CWX300" s="173"/>
      <c r="CWY300" s="173"/>
      <c r="CWZ300" s="173"/>
      <c r="CXA300" s="173"/>
      <c r="CXB300" s="125"/>
      <c r="CXC300" s="125"/>
      <c r="CXD300" s="134"/>
      <c r="CXE300" s="135"/>
      <c r="CXF300" s="135"/>
      <c r="CXG300" s="135"/>
      <c r="CXH300" s="135"/>
      <c r="CXI300" s="173"/>
      <c r="CXJ300" s="173"/>
      <c r="CXK300" s="173"/>
      <c r="CXL300" s="173"/>
      <c r="CXM300" s="173"/>
      <c r="CXN300" s="173"/>
      <c r="CXO300" s="173"/>
      <c r="CXP300" s="173"/>
      <c r="CXQ300" s="173"/>
      <c r="CXR300" s="173"/>
      <c r="CXS300" s="125"/>
      <c r="CXT300" s="125"/>
      <c r="CXU300" s="134"/>
      <c r="CXV300" s="135"/>
      <c r="CXW300" s="135"/>
      <c r="CXX300" s="135"/>
      <c r="CXY300" s="135"/>
      <c r="CXZ300" s="173"/>
      <c r="CYA300" s="173"/>
      <c r="CYB300" s="173"/>
      <c r="CYC300" s="173"/>
      <c r="CYD300" s="173"/>
      <c r="CYE300" s="173"/>
      <c r="CYF300" s="173"/>
      <c r="CYG300" s="173"/>
      <c r="CYH300" s="173"/>
      <c r="CYI300" s="173"/>
      <c r="CYJ300" s="125"/>
      <c r="CYK300" s="125"/>
      <c r="CYL300" s="134"/>
      <c r="CYM300" s="135"/>
      <c r="CYN300" s="135"/>
      <c r="CYO300" s="135"/>
      <c r="CYP300" s="135"/>
      <c r="CYQ300" s="173"/>
      <c r="CYR300" s="173"/>
      <c r="CYS300" s="173"/>
      <c r="CYT300" s="173"/>
      <c r="CYU300" s="173"/>
      <c r="CYV300" s="173"/>
      <c r="CYW300" s="173"/>
      <c r="CYX300" s="173"/>
      <c r="CYY300" s="173"/>
      <c r="CYZ300" s="173"/>
      <c r="CZA300" s="125"/>
      <c r="CZB300" s="125"/>
      <c r="CZC300" s="134"/>
      <c r="CZD300" s="135"/>
      <c r="CZE300" s="135"/>
      <c r="CZF300" s="135"/>
      <c r="CZG300" s="135"/>
      <c r="CZH300" s="173"/>
      <c r="CZI300" s="173"/>
      <c r="CZJ300" s="173"/>
      <c r="CZK300" s="173"/>
      <c r="CZL300" s="173"/>
      <c r="CZM300" s="173"/>
      <c r="CZN300" s="173"/>
      <c r="CZO300" s="173"/>
      <c r="CZP300" s="173"/>
      <c r="CZQ300" s="173"/>
      <c r="CZR300" s="125"/>
      <c r="CZS300" s="125"/>
      <c r="CZT300" s="134"/>
      <c r="CZU300" s="135"/>
      <c r="CZV300" s="135"/>
      <c r="CZW300" s="135"/>
      <c r="CZX300" s="135"/>
      <c r="CZY300" s="173"/>
      <c r="CZZ300" s="173"/>
      <c r="DAA300" s="173"/>
      <c r="DAB300" s="173"/>
      <c r="DAC300" s="173"/>
      <c r="DAD300" s="173"/>
      <c r="DAE300" s="173"/>
      <c r="DAF300" s="173"/>
      <c r="DAG300" s="173"/>
      <c r="DAH300" s="173"/>
      <c r="DAI300" s="125"/>
      <c r="DAJ300" s="125"/>
      <c r="DAK300" s="134"/>
      <c r="DAL300" s="135"/>
      <c r="DAM300" s="135"/>
      <c r="DAN300" s="135"/>
      <c r="DAO300" s="135"/>
      <c r="DAP300" s="173"/>
      <c r="DAQ300" s="173"/>
      <c r="DAR300" s="173"/>
      <c r="DAS300" s="173"/>
      <c r="DAT300" s="173"/>
      <c r="DAU300" s="173"/>
      <c r="DAV300" s="173"/>
      <c r="DAW300" s="173"/>
      <c r="DAX300" s="173"/>
      <c r="DAY300" s="173"/>
      <c r="DAZ300" s="125"/>
      <c r="DBA300" s="125"/>
      <c r="DBB300" s="134"/>
      <c r="DBC300" s="135"/>
      <c r="DBD300" s="135"/>
      <c r="DBE300" s="135"/>
      <c r="DBF300" s="135"/>
      <c r="DBG300" s="173"/>
      <c r="DBH300" s="173"/>
      <c r="DBI300" s="173"/>
      <c r="DBJ300" s="173"/>
      <c r="DBK300" s="173"/>
      <c r="DBL300" s="173"/>
      <c r="DBM300" s="173"/>
      <c r="DBN300" s="173"/>
      <c r="DBO300" s="173"/>
      <c r="DBP300" s="173"/>
      <c r="DBQ300" s="125"/>
      <c r="DBR300" s="125"/>
      <c r="DBS300" s="134"/>
      <c r="DBT300" s="135"/>
      <c r="DBU300" s="135"/>
      <c r="DBV300" s="135"/>
      <c r="DBW300" s="135"/>
      <c r="DBX300" s="173"/>
      <c r="DBY300" s="173"/>
      <c r="DBZ300" s="173"/>
      <c r="DCA300" s="173"/>
      <c r="DCB300" s="173"/>
      <c r="DCC300" s="173"/>
      <c r="DCD300" s="173"/>
      <c r="DCE300" s="173"/>
      <c r="DCF300" s="173"/>
      <c r="DCG300" s="173"/>
      <c r="DCH300" s="125"/>
      <c r="DCI300" s="125"/>
      <c r="DCJ300" s="134"/>
      <c r="DCK300" s="135"/>
      <c r="DCL300" s="135"/>
      <c r="DCM300" s="135"/>
      <c r="DCN300" s="135"/>
      <c r="DCO300" s="173"/>
      <c r="DCP300" s="173"/>
      <c r="DCQ300" s="173"/>
      <c r="DCR300" s="173"/>
      <c r="DCS300" s="173"/>
      <c r="DCT300" s="173"/>
      <c r="DCU300" s="173"/>
      <c r="DCV300" s="173"/>
      <c r="DCW300" s="173"/>
      <c r="DCX300" s="173"/>
      <c r="DCY300" s="125"/>
      <c r="DCZ300" s="125"/>
      <c r="DDA300" s="134"/>
      <c r="DDB300" s="135"/>
      <c r="DDC300" s="135"/>
      <c r="DDD300" s="135"/>
      <c r="DDE300" s="135"/>
      <c r="DDF300" s="173"/>
      <c r="DDG300" s="173"/>
      <c r="DDH300" s="173"/>
      <c r="DDI300" s="173"/>
      <c r="DDJ300" s="173"/>
      <c r="DDK300" s="173"/>
      <c r="DDL300" s="173"/>
      <c r="DDM300" s="173"/>
      <c r="DDN300" s="173"/>
      <c r="DDO300" s="173"/>
      <c r="DDP300" s="125"/>
      <c r="DDQ300" s="125"/>
      <c r="DDR300" s="134"/>
      <c r="DDS300" s="135"/>
      <c r="DDT300" s="135"/>
      <c r="DDU300" s="135"/>
      <c r="DDV300" s="135"/>
      <c r="DDW300" s="173"/>
      <c r="DDX300" s="173"/>
      <c r="DDY300" s="173"/>
      <c r="DDZ300" s="173"/>
      <c r="DEA300" s="173"/>
      <c r="DEB300" s="173"/>
      <c r="DEC300" s="173"/>
      <c r="DED300" s="173"/>
      <c r="DEE300" s="173"/>
      <c r="DEF300" s="173"/>
      <c r="DEG300" s="125"/>
      <c r="DEH300" s="125"/>
      <c r="DEI300" s="134"/>
      <c r="DEJ300" s="135"/>
      <c r="DEK300" s="135"/>
      <c r="DEL300" s="135"/>
      <c r="DEM300" s="135"/>
      <c r="DEN300" s="173"/>
      <c r="DEO300" s="173"/>
      <c r="DEP300" s="173"/>
      <c r="DEQ300" s="173"/>
      <c r="DER300" s="173"/>
      <c r="DES300" s="173"/>
      <c r="DET300" s="173"/>
      <c r="DEU300" s="173"/>
      <c r="DEV300" s="173"/>
      <c r="DEW300" s="173"/>
      <c r="DEX300" s="125"/>
      <c r="DEY300" s="125"/>
      <c r="DEZ300" s="134"/>
      <c r="DFA300" s="135"/>
      <c r="DFB300" s="135"/>
      <c r="DFC300" s="135"/>
      <c r="DFD300" s="135"/>
      <c r="DFE300" s="173"/>
      <c r="DFF300" s="173"/>
      <c r="DFG300" s="173"/>
      <c r="DFH300" s="173"/>
      <c r="DFI300" s="173"/>
      <c r="DFJ300" s="173"/>
      <c r="DFK300" s="173"/>
      <c r="DFL300" s="173"/>
      <c r="DFM300" s="173"/>
      <c r="DFN300" s="173"/>
      <c r="DFO300" s="125"/>
      <c r="DFP300" s="125"/>
      <c r="DFQ300" s="134"/>
      <c r="DFR300" s="135"/>
      <c r="DFS300" s="135"/>
      <c r="DFT300" s="135"/>
      <c r="DFU300" s="135"/>
      <c r="DFV300" s="173"/>
      <c r="DFW300" s="173"/>
      <c r="DFX300" s="173"/>
      <c r="DFY300" s="173"/>
      <c r="DFZ300" s="173"/>
      <c r="DGA300" s="173"/>
      <c r="DGB300" s="173"/>
      <c r="DGC300" s="173"/>
      <c r="DGD300" s="173"/>
      <c r="DGE300" s="173"/>
      <c r="DGF300" s="125"/>
      <c r="DGG300" s="125"/>
      <c r="DGH300" s="134"/>
      <c r="DGI300" s="135"/>
      <c r="DGJ300" s="135"/>
      <c r="DGK300" s="135"/>
      <c r="DGL300" s="135"/>
      <c r="DGM300" s="173"/>
      <c r="DGN300" s="173"/>
      <c r="DGO300" s="173"/>
      <c r="DGP300" s="173"/>
      <c r="DGQ300" s="173"/>
      <c r="DGR300" s="173"/>
      <c r="DGS300" s="173"/>
      <c r="DGT300" s="173"/>
      <c r="DGU300" s="173"/>
      <c r="DGV300" s="173"/>
      <c r="DGW300" s="125"/>
      <c r="DGX300" s="125"/>
      <c r="DGY300" s="134"/>
      <c r="DGZ300" s="135"/>
      <c r="DHA300" s="135"/>
      <c r="DHB300" s="135"/>
      <c r="DHC300" s="135"/>
      <c r="DHD300" s="173"/>
      <c r="DHE300" s="173"/>
      <c r="DHF300" s="173"/>
      <c r="DHG300" s="173"/>
      <c r="DHH300" s="173"/>
      <c r="DHI300" s="173"/>
      <c r="DHJ300" s="173"/>
      <c r="DHK300" s="173"/>
      <c r="DHL300" s="173"/>
      <c r="DHM300" s="173"/>
      <c r="DHN300" s="125"/>
      <c r="DHO300" s="125"/>
      <c r="DHP300" s="134"/>
      <c r="DHQ300" s="135"/>
      <c r="DHR300" s="135"/>
      <c r="DHS300" s="135"/>
      <c r="DHT300" s="135"/>
      <c r="DHU300" s="173"/>
      <c r="DHV300" s="173"/>
      <c r="DHW300" s="173"/>
      <c r="DHX300" s="173"/>
      <c r="DHY300" s="173"/>
      <c r="DHZ300" s="173"/>
      <c r="DIA300" s="173"/>
      <c r="DIB300" s="173"/>
      <c r="DIC300" s="173"/>
      <c r="DID300" s="173"/>
      <c r="DIE300" s="125"/>
      <c r="DIF300" s="125"/>
      <c r="DIG300" s="134"/>
      <c r="DIH300" s="135"/>
      <c r="DII300" s="135"/>
      <c r="DIJ300" s="135"/>
      <c r="DIK300" s="135"/>
      <c r="DIL300" s="173"/>
      <c r="DIM300" s="173"/>
      <c r="DIN300" s="173"/>
      <c r="DIO300" s="173"/>
      <c r="DIP300" s="173"/>
      <c r="DIQ300" s="173"/>
      <c r="DIR300" s="173"/>
      <c r="DIS300" s="173"/>
      <c r="DIT300" s="173"/>
      <c r="DIU300" s="173"/>
      <c r="DIV300" s="125"/>
      <c r="DIW300" s="125"/>
      <c r="DIX300" s="134"/>
      <c r="DIY300" s="135"/>
      <c r="DIZ300" s="135"/>
      <c r="DJA300" s="135"/>
      <c r="DJB300" s="135"/>
      <c r="DJC300" s="173"/>
      <c r="DJD300" s="173"/>
      <c r="DJE300" s="173"/>
      <c r="DJF300" s="173"/>
      <c r="DJG300" s="173"/>
      <c r="DJH300" s="173"/>
      <c r="DJI300" s="173"/>
      <c r="DJJ300" s="173"/>
      <c r="DJK300" s="173"/>
      <c r="DJL300" s="173"/>
      <c r="DJM300" s="125"/>
      <c r="DJN300" s="125"/>
      <c r="DJO300" s="134"/>
      <c r="DJP300" s="135"/>
      <c r="DJQ300" s="135"/>
      <c r="DJR300" s="135"/>
      <c r="DJS300" s="135"/>
      <c r="DJT300" s="173"/>
      <c r="DJU300" s="173"/>
      <c r="DJV300" s="173"/>
      <c r="DJW300" s="173"/>
      <c r="DJX300" s="173"/>
      <c r="DJY300" s="173"/>
      <c r="DJZ300" s="173"/>
      <c r="DKA300" s="173"/>
      <c r="DKB300" s="173"/>
      <c r="DKC300" s="173"/>
      <c r="DKD300" s="125"/>
      <c r="DKE300" s="125"/>
      <c r="DKF300" s="134"/>
      <c r="DKG300" s="135"/>
      <c r="DKH300" s="135"/>
      <c r="DKI300" s="135"/>
      <c r="DKJ300" s="135"/>
      <c r="DKK300" s="173"/>
      <c r="DKL300" s="173"/>
      <c r="DKM300" s="173"/>
      <c r="DKN300" s="173"/>
      <c r="DKO300" s="173"/>
      <c r="DKP300" s="173"/>
      <c r="DKQ300" s="173"/>
      <c r="DKR300" s="173"/>
      <c r="DKS300" s="173"/>
      <c r="DKT300" s="173"/>
      <c r="DKU300" s="125"/>
      <c r="DKV300" s="125"/>
      <c r="DKW300" s="134"/>
      <c r="DKX300" s="135"/>
      <c r="DKY300" s="135"/>
      <c r="DKZ300" s="135"/>
      <c r="DLA300" s="135"/>
      <c r="DLB300" s="173"/>
      <c r="DLC300" s="173"/>
      <c r="DLD300" s="173"/>
      <c r="DLE300" s="173"/>
      <c r="DLF300" s="173"/>
      <c r="DLG300" s="173"/>
      <c r="DLH300" s="173"/>
      <c r="DLI300" s="173"/>
      <c r="DLJ300" s="173"/>
      <c r="DLK300" s="173"/>
      <c r="DLL300" s="125"/>
      <c r="DLM300" s="125"/>
      <c r="DLN300" s="134"/>
      <c r="DLO300" s="135"/>
      <c r="DLP300" s="135"/>
      <c r="DLQ300" s="135"/>
      <c r="DLR300" s="135"/>
      <c r="DLS300" s="173"/>
      <c r="DLT300" s="173"/>
      <c r="DLU300" s="173"/>
      <c r="DLV300" s="173"/>
      <c r="DLW300" s="173"/>
      <c r="DLX300" s="173"/>
      <c r="DLY300" s="173"/>
      <c r="DLZ300" s="173"/>
      <c r="DMA300" s="173"/>
      <c r="DMB300" s="173"/>
      <c r="DMC300" s="125"/>
      <c r="DMD300" s="125"/>
      <c r="DME300" s="134"/>
      <c r="DMF300" s="135"/>
      <c r="DMG300" s="135"/>
      <c r="DMH300" s="135"/>
      <c r="DMI300" s="135"/>
      <c r="DMJ300" s="173"/>
      <c r="DMK300" s="173"/>
      <c r="DML300" s="173"/>
      <c r="DMM300" s="173"/>
      <c r="DMN300" s="173"/>
      <c r="DMO300" s="173"/>
      <c r="DMP300" s="173"/>
      <c r="DMQ300" s="173"/>
      <c r="DMR300" s="173"/>
      <c r="DMS300" s="173"/>
      <c r="DMT300" s="125"/>
      <c r="DMU300" s="125"/>
      <c r="DMV300" s="134"/>
      <c r="DMW300" s="135"/>
      <c r="DMX300" s="135"/>
      <c r="DMY300" s="135"/>
      <c r="DMZ300" s="135"/>
      <c r="DNA300" s="173"/>
      <c r="DNB300" s="173"/>
      <c r="DNC300" s="173"/>
      <c r="DND300" s="173"/>
      <c r="DNE300" s="173"/>
      <c r="DNF300" s="173"/>
      <c r="DNG300" s="173"/>
      <c r="DNH300" s="173"/>
      <c r="DNI300" s="173"/>
      <c r="DNJ300" s="173"/>
      <c r="DNK300" s="125"/>
      <c r="DNL300" s="125"/>
      <c r="DNM300" s="134"/>
      <c r="DNN300" s="135"/>
      <c r="DNO300" s="135"/>
      <c r="DNP300" s="135"/>
      <c r="DNQ300" s="135"/>
      <c r="DNR300" s="173"/>
      <c r="DNS300" s="173"/>
      <c r="DNT300" s="173"/>
      <c r="DNU300" s="173"/>
      <c r="DNV300" s="173"/>
      <c r="DNW300" s="173"/>
      <c r="DNX300" s="173"/>
      <c r="DNY300" s="173"/>
      <c r="DNZ300" s="173"/>
      <c r="DOA300" s="173"/>
      <c r="DOB300" s="125"/>
      <c r="DOC300" s="125"/>
      <c r="DOD300" s="134"/>
      <c r="DOE300" s="135"/>
      <c r="DOF300" s="135"/>
      <c r="DOG300" s="135"/>
      <c r="DOH300" s="135"/>
      <c r="DOI300" s="173"/>
      <c r="DOJ300" s="173"/>
      <c r="DOK300" s="173"/>
      <c r="DOL300" s="173"/>
      <c r="DOM300" s="173"/>
      <c r="DON300" s="173"/>
      <c r="DOO300" s="173"/>
      <c r="DOP300" s="173"/>
      <c r="DOQ300" s="173"/>
      <c r="DOR300" s="173"/>
      <c r="DOS300" s="125"/>
      <c r="DOT300" s="125"/>
      <c r="DOU300" s="134"/>
      <c r="DOV300" s="135"/>
      <c r="DOW300" s="135"/>
      <c r="DOX300" s="135"/>
      <c r="DOY300" s="135"/>
      <c r="DOZ300" s="173"/>
      <c r="DPA300" s="173"/>
      <c r="DPB300" s="173"/>
      <c r="DPC300" s="173"/>
      <c r="DPD300" s="173"/>
      <c r="DPE300" s="173"/>
      <c r="DPF300" s="173"/>
      <c r="DPG300" s="173"/>
      <c r="DPH300" s="173"/>
      <c r="DPI300" s="173"/>
      <c r="DPJ300" s="125"/>
      <c r="DPK300" s="125"/>
      <c r="DPL300" s="134"/>
      <c r="DPM300" s="135"/>
      <c r="DPN300" s="135"/>
      <c r="DPO300" s="135"/>
      <c r="DPP300" s="135"/>
      <c r="DPQ300" s="173"/>
      <c r="DPR300" s="173"/>
      <c r="DPS300" s="173"/>
      <c r="DPT300" s="173"/>
      <c r="DPU300" s="173"/>
      <c r="DPV300" s="173"/>
      <c r="DPW300" s="173"/>
      <c r="DPX300" s="173"/>
      <c r="DPY300" s="173"/>
      <c r="DPZ300" s="173"/>
      <c r="DQA300" s="125"/>
      <c r="DQB300" s="125"/>
      <c r="DQC300" s="134"/>
      <c r="DQD300" s="135"/>
      <c r="DQE300" s="135"/>
      <c r="DQF300" s="135"/>
      <c r="DQG300" s="135"/>
      <c r="DQH300" s="173"/>
      <c r="DQI300" s="173"/>
      <c r="DQJ300" s="173"/>
      <c r="DQK300" s="173"/>
      <c r="DQL300" s="173"/>
      <c r="DQM300" s="173"/>
      <c r="DQN300" s="173"/>
      <c r="DQO300" s="173"/>
      <c r="DQP300" s="173"/>
      <c r="DQQ300" s="173"/>
      <c r="DQR300" s="125"/>
      <c r="DQS300" s="125"/>
      <c r="DQT300" s="134"/>
      <c r="DQU300" s="135"/>
      <c r="DQV300" s="135"/>
      <c r="DQW300" s="135"/>
      <c r="DQX300" s="135"/>
      <c r="DQY300" s="173"/>
      <c r="DQZ300" s="173"/>
      <c r="DRA300" s="173"/>
      <c r="DRB300" s="173"/>
      <c r="DRC300" s="173"/>
      <c r="DRD300" s="173"/>
      <c r="DRE300" s="173"/>
      <c r="DRF300" s="173"/>
      <c r="DRG300" s="173"/>
      <c r="DRH300" s="173"/>
      <c r="DRI300" s="125"/>
      <c r="DRJ300" s="125"/>
      <c r="DRK300" s="134"/>
      <c r="DRL300" s="135"/>
      <c r="DRM300" s="135"/>
      <c r="DRN300" s="135"/>
      <c r="DRO300" s="135"/>
      <c r="DRP300" s="173"/>
      <c r="DRQ300" s="173"/>
      <c r="DRR300" s="173"/>
      <c r="DRS300" s="173"/>
      <c r="DRT300" s="173"/>
      <c r="DRU300" s="173"/>
      <c r="DRV300" s="173"/>
      <c r="DRW300" s="173"/>
      <c r="DRX300" s="173"/>
      <c r="DRY300" s="173"/>
      <c r="DRZ300" s="125"/>
      <c r="DSA300" s="125"/>
      <c r="DSB300" s="134"/>
      <c r="DSC300" s="135"/>
      <c r="DSD300" s="135"/>
      <c r="DSE300" s="135"/>
      <c r="DSF300" s="135"/>
      <c r="DSG300" s="173"/>
      <c r="DSH300" s="173"/>
      <c r="DSI300" s="173"/>
      <c r="DSJ300" s="173"/>
      <c r="DSK300" s="173"/>
      <c r="DSL300" s="173"/>
      <c r="DSM300" s="173"/>
      <c r="DSN300" s="173"/>
      <c r="DSO300" s="173"/>
      <c r="DSP300" s="173"/>
      <c r="DSQ300" s="125"/>
      <c r="DSR300" s="125"/>
      <c r="DSS300" s="134"/>
      <c r="DST300" s="135"/>
      <c r="DSU300" s="135"/>
      <c r="DSV300" s="135"/>
      <c r="DSW300" s="135"/>
      <c r="DSX300" s="173"/>
      <c r="DSY300" s="173"/>
      <c r="DSZ300" s="173"/>
      <c r="DTA300" s="173"/>
      <c r="DTB300" s="173"/>
      <c r="DTC300" s="173"/>
      <c r="DTD300" s="173"/>
      <c r="DTE300" s="173"/>
      <c r="DTF300" s="173"/>
      <c r="DTG300" s="173"/>
      <c r="DTH300" s="125"/>
      <c r="DTI300" s="125"/>
      <c r="DTJ300" s="134"/>
      <c r="DTK300" s="135"/>
      <c r="DTL300" s="135"/>
      <c r="DTM300" s="135"/>
      <c r="DTN300" s="135"/>
      <c r="DTO300" s="173"/>
      <c r="DTP300" s="173"/>
      <c r="DTQ300" s="173"/>
      <c r="DTR300" s="173"/>
      <c r="DTS300" s="173"/>
      <c r="DTT300" s="173"/>
      <c r="DTU300" s="173"/>
      <c r="DTV300" s="173"/>
      <c r="DTW300" s="173"/>
      <c r="DTX300" s="173"/>
      <c r="DTY300" s="125"/>
      <c r="DTZ300" s="125"/>
      <c r="DUA300" s="134"/>
      <c r="DUB300" s="135"/>
      <c r="DUC300" s="135"/>
      <c r="DUD300" s="135"/>
      <c r="DUE300" s="135"/>
      <c r="DUF300" s="173"/>
      <c r="DUG300" s="173"/>
      <c r="DUH300" s="173"/>
      <c r="DUI300" s="173"/>
      <c r="DUJ300" s="173"/>
      <c r="DUK300" s="173"/>
      <c r="DUL300" s="173"/>
      <c r="DUM300" s="173"/>
      <c r="DUN300" s="173"/>
      <c r="DUO300" s="173"/>
      <c r="DUP300" s="125"/>
      <c r="DUQ300" s="125"/>
      <c r="DUR300" s="134"/>
      <c r="DUS300" s="135"/>
      <c r="DUT300" s="135"/>
      <c r="DUU300" s="135"/>
      <c r="DUV300" s="135"/>
      <c r="DUW300" s="173"/>
      <c r="DUX300" s="173"/>
      <c r="DUY300" s="173"/>
      <c r="DUZ300" s="173"/>
      <c r="DVA300" s="173"/>
      <c r="DVB300" s="173"/>
      <c r="DVC300" s="173"/>
      <c r="DVD300" s="173"/>
      <c r="DVE300" s="173"/>
      <c r="DVF300" s="173"/>
      <c r="DVG300" s="125"/>
      <c r="DVH300" s="125"/>
      <c r="DVI300" s="134"/>
      <c r="DVJ300" s="135"/>
      <c r="DVK300" s="135"/>
      <c r="DVL300" s="135"/>
      <c r="DVM300" s="135"/>
      <c r="DVN300" s="173"/>
      <c r="DVO300" s="173"/>
      <c r="DVP300" s="173"/>
      <c r="DVQ300" s="173"/>
      <c r="DVR300" s="173"/>
      <c r="DVS300" s="173"/>
      <c r="DVT300" s="173"/>
      <c r="DVU300" s="173"/>
      <c r="DVV300" s="173"/>
      <c r="DVW300" s="173"/>
      <c r="DVX300" s="125"/>
      <c r="DVY300" s="125"/>
      <c r="DVZ300" s="134"/>
      <c r="DWA300" s="135"/>
      <c r="DWB300" s="135"/>
      <c r="DWC300" s="135"/>
      <c r="DWD300" s="135"/>
      <c r="DWE300" s="173"/>
      <c r="DWF300" s="173"/>
      <c r="DWG300" s="173"/>
      <c r="DWH300" s="173"/>
      <c r="DWI300" s="173"/>
      <c r="DWJ300" s="173"/>
      <c r="DWK300" s="173"/>
      <c r="DWL300" s="173"/>
      <c r="DWM300" s="173"/>
      <c r="DWN300" s="173"/>
      <c r="DWO300" s="125"/>
      <c r="DWP300" s="125"/>
      <c r="DWQ300" s="134"/>
      <c r="DWR300" s="135"/>
      <c r="DWS300" s="135"/>
      <c r="DWT300" s="135"/>
      <c r="DWU300" s="135"/>
      <c r="DWV300" s="173"/>
      <c r="DWW300" s="173"/>
      <c r="DWX300" s="173"/>
      <c r="DWY300" s="173"/>
      <c r="DWZ300" s="173"/>
      <c r="DXA300" s="173"/>
      <c r="DXB300" s="173"/>
      <c r="DXC300" s="173"/>
      <c r="DXD300" s="173"/>
      <c r="DXE300" s="173"/>
      <c r="DXF300" s="125"/>
      <c r="DXG300" s="125"/>
      <c r="DXH300" s="134"/>
      <c r="DXI300" s="135"/>
      <c r="DXJ300" s="135"/>
      <c r="DXK300" s="135"/>
      <c r="DXL300" s="135"/>
      <c r="DXM300" s="173"/>
      <c r="DXN300" s="173"/>
      <c r="DXO300" s="173"/>
      <c r="DXP300" s="173"/>
      <c r="DXQ300" s="173"/>
      <c r="DXR300" s="173"/>
      <c r="DXS300" s="173"/>
      <c r="DXT300" s="173"/>
      <c r="DXU300" s="173"/>
      <c r="DXV300" s="173"/>
      <c r="DXW300" s="125"/>
      <c r="DXX300" s="125"/>
      <c r="DXY300" s="134"/>
      <c r="DXZ300" s="135"/>
      <c r="DYA300" s="135"/>
      <c r="DYB300" s="135"/>
      <c r="DYC300" s="135"/>
      <c r="DYD300" s="173"/>
      <c r="DYE300" s="173"/>
      <c r="DYF300" s="173"/>
      <c r="DYG300" s="173"/>
      <c r="DYH300" s="173"/>
      <c r="DYI300" s="173"/>
      <c r="DYJ300" s="173"/>
      <c r="DYK300" s="173"/>
      <c r="DYL300" s="173"/>
      <c r="DYM300" s="173"/>
      <c r="DYN300" s="125"/>
      <c r="DYO300" s="125"/>
      <c r="DYP300" s="134"/>
      <c r="DYQ300" s="135"/>
      <c r="DYR300" s="135"/>
      <c r="DYS300" s="135"/>
      <c r="DYT300" s="135"/>
      <c r="DYU300" s="173"/>
      <c r="DYV300" s="173"/>
      <c r="DYW300" s="173"/>
      <c r="DYX300" s="173"/>
      <c r="DYY300" s="173"/>
      <c r="DYZ300" s="173"/>
      <c r="DZA300" s="173"/>
      <c r="DZB300" s="173"/>
      <c r="DZC300" s="173"/>
      <c r="DZD300" s="173"/>
      <c r="DZE300" s="125"/>
      <c r="DZF300" s="125"/>
      <c r="DZG300" s="134"/>
      <c r="DZH300" s="135"/>
      <c r="DZI300" s="135"/>
      <c r="DZJ300" s="135"/>
      <c r="DZK300" s="135"/>
      <c r="DZL300" s="173"/>
      <c r="DZM300" s="173"/>
      <c r="DZN300" s="173"/>
      <c r="DZO300" s="173"/>
      <c r="DZP300" s="173"/>
      <c r="DZQ300" s="173"/>
      <c r="DZR300" s="173"/>
      <c r="DZS300" s="173"/>
      <c r="DZT300" s="173"/>
      <c r="DZU300" s="173"/>
      <c r="DZV300" s="125"/>
      <c r="DZW300" s="125"/>
      <c r="DZX300" s="134"/>
      <c r="DZY300" s="135"/>
      <c r="DZZ300" s="135"/>
      <c r="EAA300" s="135"/>
      <c r="EAB300" s="135"/>
      <c r="EAC300" s="173"/>
      <c r="EAD300" s="173"/>
      <c r="EAE300" s="173"/>
      <c r="EAF300" s="173"/>
      <c r="EAG300" s="173"/>
      <c r="EAH300" s="173"/>
      <c r="EAI300" s="173"/>
      <c r="EAJ300" s="173"/>
      <c r="EAK300" s="173"/>
      <c r="EAL300" s="173"/>
      <c r="EAM300" s="125"/>
      <c r="EAN300" s="125"/>
      <c r="EAO300" s="134"/>
      <c r="EAP300" s="135"/>
      <c r="EAQ300" s="135"/>
      <c r="EAR300" s="135"/>
      <c r="EAS300" s="135"/>
      <c r="EAT300" s="173"/>
      <c r="EAU300" s="173"/>
      <c r="EAV300" s="173"/>
      <c r="EAW300" s="173"/>
      <c r="EAX300" s="173"/>
      <c r="EAY300" s="173"/>
      <c r="EAZ300" s="173"/>
      <c r="EBA300" s="173"/>
      <c r="EBB300" s="173"/>
      <c r="EBC300" s="173"/>
      <c r="EBD300" s="125"/>
      <c r="EBE300" s="125"/>
      <c r="EBF300" s="134"/>
      <c r="EBG300" s="135"/>
      <c r="EBH300" s="135"/>
      <c r="EBI300" s="135"/>
      <c r="EBJ300" s="135"/>
      <c r="EBK300" s="173"/>
      <c r="EBL300" s="173"/>
      <c r="EBM300" s="173"/>
      <c r="EBN300" s="173"/>
      <c r="EBO300" s="173"/>
      <c r="EBP300" s="173"/>
      <c r="EBQ300" s="173"/>
      <c r="EBR300" s="173"/>
      <c r="EBS300" s="173"/>
      <c r="EBT300" s="173"/>
      <c r="EBU300" s="125"/>
      <c r="EBV300" s="125"/>
      <c r="EBW300" s="134"/>
      <c r="EBX300" s="135"/>
      <c r="EBY300" s="135"/>
      <c r="EBZ300" s="135"/>
      <c r="ECA300" s="135"/>
      <c r="ECB300" s="173"/>
      <c r="ECC300" s="173"/>
      <c r="ECD300" s="173"/>
      <c r="ECE300" s="173"/>
      <c r="ECF300" s="173"/>
      <c r="ECG300" s="173"/>
      <c r="ECH300" s="173"/>
      <c r="ECI300" s="173"/>
      <c r="ECJ300" s="173"/>
      <c r="ECK300" s="173"/>
      <c r="ECL300" s="125"/>
      <c r="ECM300" s="125"/>
      <c r="ECN300" s="134"/>
      <c r="ECO300" s="135"/>
      <c r="ECP300" s="135"/>
      <c r="ECQ300" s="135"/>
      <c r="ECR300" s="135"/>
      <c r="ECS300" s="173"/>
      <c r="ECT300" s="173"/>
      <c r="ECU300" s="173"/>
      <c r="ECV300" s="173"/>
      <c r="ECW300" s="173"/>
      <c r="ECX300" s="173"/>
      <c r="ECY300" s="173"/>
      <c r="ECZ300" s="173"/>
      <c r="EDA300" s="173"/>
      <c r="EDB300" s="173"/>
      <c r="EDC300" s="125"/>
      <c r="EDD300" s="125"/>
      <c r="EDE300" s="134"/>
      <c r="EDF300" s="135"/>
      <c r="EDG300" s="135"/>
      <c r="EDH300" s="135"/>
      <c r="EDI300" s="135"/>
      <c r="EDJ300" s="173"/>
      <c r="EDK300" s="173"/>
      <c r="EDL300" s="173"/>
      <c r="EDM300" s="173"/>
      <c r="EDN300" s="173"/>
      <c r="EDO300" s="173"/>
      <c r="EDP300" s="173"/>
      <c r="EDQ300" s="173"/>
      <c r="EDR300" s="173"/>
      <c r="EDS300" s="173"/>
      <c r="EDT300" s="125"/>
      <c r="EDU300" s="125"/>
      <c r="EDV300" s="134"/>
      <c r="EDW300" s="135"/>
      <c r="EDX300" s="135"/>
      <c r="EDY300" s="135"/>
      <c r="EDZ300" s="135"/>
      <c r="EEA300" s="173"/>
      <c r="EEB300" s="173"/>
      <c r="EEC300" s="173"/>
      <c r="EED300" s="173"/>
      <c r="EEE300" s="173"/>
      <c r="EEF300" s="173"/>
      <c r="EEG300" s="173"/>
      <c r="EEH300" s="173"/>
      <c r="EEI300" s="173"/>
      <c r="EEJ300" s="173"/>
      <c r="EEK300" s="125"/>
      <c r="EEL300" s="125"/>
      <c r="EEM300" s="134"/>
      <c r="EEN300" s="135"/>
      <c r="EEO300" s="135"/>
      <c r="EEP300" s="135"/>
      <c r="EEQ300" s="135"/>
      <c r="EER300" s="173"/>
      <c r="EES300" s="173"/>
      <c r="EET300" s="173"/>
      <c r="EEU300" s="173"/>
      <c r="EEV300" s="173"/>
      <c r="EEW300" s="173"/>
      <c r="EEX300" s="173"/>
      <c r="EEY300" s="173"/>
      <c r="EEZ300" s="173"/>
      <c r="EFA300" s="173"/>
      <c r="EFB300" s="125"/>
      <c r="EFC300" s="125"/>
      <c r="EFD300" s="134"/>
      <c r="EFE300" s="135"/>
      <c r="EFF300" s="135"/>
      <c r="EFG300" s="135"/>
      <c r="EFH300" s="135"/>
      <c r="EFI300" s="173"/>
      <c r="EFJ300" s="173"/>
      <c r="EFK300" s="173"/>
      <c r="EFL300" s="173"/>
      <c r="EFM300" s="173"/>
      <c r="EFN300" s="173"/>
      <c r="EFO300" s="173"/>
      <c r="EFP300" s="173"/>
      <c r="EFQ300" s="173"/>
      <c r="EFR300" s="173"/>
      <c r="EFS300" s="125"/>
      <c r="EFT300" s="125"/>
      <c r="EFU300" s="134"/>
      <c r="EFV300" s="135"/>
      <c r="EFW300" s="135"/>
      <c r="EFX300" s="135"/>
      <c r="EFY300" s="135"/>
      <c r="EFZ300" s="173"/>
      <c r="EGA300" s="173"/>
      <c r="EGB300" s="173"/>
      <c r="EGC300" s="173"/>
      <c r="EGD300" s="173"/>
      <c r="EGE300" s="173"/>
      <c r="EGF300" s="173"/>
      <c r="EGG300" s="173"/>
      <c r="EGH300" s="173"/>
      <c r="EGI300" s="173"/>
      <c r="EGJ300" s="125"/>
      <c r="EGK300" s="125"/>
      <c r="EGL300" s="134"/>
      <c r="EGM300" s="135"/>
      <c r="EGN300" s="135"/>
      <c r="EGO300" s="135"/>
      <c r="EGP300" s="135"/>
      <c r="EGQ300" s="173"/>
      <c r="EGR300" s="173"/>
      <c r="EGS300" s="173"/>
      <c r="EGT300" s="173"/>
      <c r="EGU300" s="173"/>
      <c r="EGV300" s="173"/>
      <c r="EGW300" s="173"/>
      <c r="EGX300" s="173"/>
      <c r="EGY300" s="173"/>
      <c r="EGZ300" s="173"/>
      <c r="EHA300" s="125"/>
      <c r="EHB300" s="125"/>
      <c r="EHC300" s="134"/>
      <c r="EHD300" s="135"/>
      <c r="EHE300" s="135"/>
      <c r="EHF300" s="135"/>
      <c r="EHG300" s="135"/>
      <c r="EHH300" s="173"/>
      <c r="EHI300" s="173"/>
      <c r="EHJ300" s="173"/>
      <c r="EHK300" s="173"/>
      <c r="EHL300" s="173"/>
      <c r="EHM300" s="173"/>
      <c r="EHN300" s="173"/>
      <c r="EHO300" s="173"/>
      <c r="EHP300" s="173"/>
      <c r="EHQ300" s="173"/>
      <c r="EHR300" s="125"/>
      <c r="EHS300" s="125"/>
      <c r="EHT300" s="134"/>
      <c r="EHU300" s="135"/>
      <c r="EHV300" s="135"/>
      <c r="EHW300" s="135"/>
      <c r="EHX300" s="135"/>
      <c r="EHY300" s="173"/>
      <c r="EHZ300" s="173"/>
      <c r="EIA300" s="173"/>
      <c r="EIB300" s="173"/>
      <c r="EIC300" s="173"/>
      <c r="EID300" s="173"/>
      <c r="EIE300" s="173"/>
      <c r="EIF300" s="173"/>
      <c r="EIG300" s="173"/>
      <c r="EIH300" s="173"/>
      <c r="EII300" s="125"/>
      <c r="EIJ300" s="125"/>
      <c r="EIK300" s="134"/>
      <c r="EIL300" s="135"/>
      <c r="EIM300" s="135"/>
      <c r="EIN300" s="135"/>
      <c r="EIO300" s="135"/>
      <c r="EIP300" s="173"/>
      <c r="EIQ300" s="173"/>
      <c r="EIR300" s="173"/>
      <c r="EIS300" s="173"/>
      <c r="EIT300" s="173"/>
      <c r="EIU300" s="173"/>
      <c r="EIV300" s="173"/>
      <c r="EIW300" s="173"/>
      <c r="EIX300" s="173"/>
      <c r="EIY300" s="173"/>
      <c r="EIZ300" s="125"/>
      <c r="EJA300" s="125"/>
      <c r="EJB300" s="134"/>
      <c r="EJC300" s="135"/>
      <c r="EJD300" s="135"/>
      <c r="EJE300" s="135"/>
      <c r="EJF300" s="135"/>
      <c r="EJG300" s="173"/>
      <c r="EJH300" s="173"/>
      <c r="EJI300" s="173"/>
      <c r="EJJ300" s="173"/>
      <c r="EJK300" s="173"/>
      <c r="EJL300" s="173"/>
      <c r="EJM300" s="173"/>
      <c r="EJN300" s="173"/>
      <c r="EJO300" s="173"/>
      <c r="EJP300" s="173"/>
      <c r="EJQ300" s="125"/>
      <c r="EJR300" s="125"/>
      <c r="EJS300" s="134"/>
      <c r="EJT300" s="135"/>
      <c r="EJU300" s="135"/>
      <c r="EJV300" s="135"/>
      <c r="EJW300" s="135"/>
      <c r="EJX300" s="173"/>
      <c r="EJY300" s="173"/>
      <c r="EJZ300" s="173"/>
      <c r="EKA300" s="173"/>
      <c r="EKB300" s="173"/>
      <c r="EKC300" s="173"/>
      <c r="EKD300" s="173"/>
      <c r="EKE300" s="173"/>
      <c r="EKF300" s="173"/>
      <c r="EKG300" s="173"/>
      <c r="EKH300" s="125"/>
      <c r="EKI300" s="125"/>
      <c r="EKJ300" s="134"/>
      <c r="EKK300" s="135"/>
      <c r="EKL300" s="135"/>
      <c r="EKM300" s="135"/>
      <c r="EKN300" s="135"/>
      <c r="EKO300" s="173"/>
      <c r="EKP300" s="173"/>
      <c r="EKQ300" s="173"/>
      <c r="EKR300" s="173"/>
      <c r="EKS300" s="173"/>
      <c r="EKT300" s="173"/>
      <c r="EKU300" s="173"/>
      <c r="EKV300" s="173"/>
      <c r="EKW300" s="173"/>
      <c r="EKX300" s="173"/>
      <c r="EKY300" s="125"/>
      <c r="EKZ300" s="125"/>
      <c r="ELA300" s="134"/>
      <c r="ELB300" s="135"/>
      <c r="ELC300" s="135"/>
      <c r="ELD300" s="135"/>
      <c r="ELE300" s="135"/>
      <c r="ELF300" s="173"/>
      <c r="ELG300" s="173"/>
      <c r="ELH300" s="173"/>
      <c r="ELI300" s="173"/>
      <c r="ELJ300" s="173"/>
      <c r="ELK300" s="173"/>
      <c r="ELL300" s="173"/>
      <c r="ELM300" s="173"/>
      <c r="ELN300" s="173"/>
      <c r="ELO300" s="173"/>
      <c r="ELP300" s="125"/>
      <c r="ELQ300" s="125"/>
      <c r="ELR300" s="134"/>
      <c r="ELS300" s="135"/>
      <c r="ELT300" s="135"/>
      <c r="ELU300" s="135"/>
      <c r="ELV300" s="135"/>
      <c r="ELW300" s="173"/>
      <c r="ELX300" s="173"/>
      <c r="ELY300" s="173"/>
      <c r="ELZ300" s="173"/>
      <c r="EMA300" s="173"/>
      <c r="EMB300" s="173"/>
      <c r="EMC300" s="173"/>
      <c r="EMD300" s="173"/>
      <c r="EME300" s="173"/>
      <c r="EMF300" s="173"/>
      <c r="EMG300" s="125"/>
      <c r="EMH300" s="125"/>
      <c r="EMI300" s="134"/>
      <c r="EMJ300" s="135"/>
      <c r="EMK300" s="135"/>
      <c r="EML300" s="135"/>
      <c r="EMM300" s="135"/>
      <c r="EMN300" s="173"/>
      <c r="EMO300" s="173"/>
      <c r="EMP300" s="173"/>
      <c r="EMQ300" s="173"/>
      <c r="EMR300" s="173"/>
      <c r="EMS300" s="173"/>
      <c r="EMT300" s="173"/>
      <c r="EMU300" s="173"/>
      <c r="EMV300" s="173"/>
      <c r="EMW300" s="173"/>
      <c r="EMX300" s="125"/>
      <c r="EMY300" s="125"/>
      <c r="EMZ300" s="134"/>
      <c r="ENA300" s="135"/>
      <c r="ENB300" s="135"/>
      <c r="ENC300" s="135"/>
      <c r="END300" s="135"/>
      <c r="ENE300" s="173"/>
      <c r="ENF300" s="173"/>
      <c r="ENG300" s="173"/>
      <c r="ENH300" s="173"/>
      <c r="ENI300" s="173"/>
      <c r="ENJ300" s="173"/>
      <c r="ENK300" s="173"/>
      <c r="ENL300" s="173"/>
      <c r="ENM300" s="173"/>
      <c r="ENN300" s="173"/>
      <c r="ENO300" s="125"/>
      <c r="ENP300" s="125"/>
      <c r="ENQ300" s="134"/>
      <c r="ENR300" s="135"/>
      <c r="ENS300" s="135"/>
      <c r="ENT300" s="135"/>
      <c r="ENU300" s="135"/>
      <c r="ENV300" s="173"/>
      <c r="ENW300" s="173"/>
      <c r="ENX300" s="173"/>
      <c r="ENY300" s="173"/>
      <c r="ENZ300" s="173"/>
      <c r="EOA300" s="173"/>
      <c r="EOB300" s="173"/>
      <c r="EOC300" s="173"/>
      <c r="EOD300" s="173"/>
      <c r="EOE300" s="173"/>
      <c r="EOF300" s="125"/>
      <c r="EOG300" s="125"/>
      <c r="EOH300" s="134"/>
      <c r="EOI300" s="135"/>
      <c r="EOJ300" s="135"/>
      <c r="EOK300" s="135"/>
      <c r="EOL300" s="135"/>
      <c r="EOM300" s="173"/>
      <c r="EON300" s="173"/>
      <c r="EOO300" s="173"/>
      <c r="EOP300" s="173"/>
      <c r="EOQ300" s="173"/>
      <c r="EOR300" s="173"/>
      <c r="EOS300" s="173"/>
      <c r="EOT300" s="173"/>
      <c r="EOU300" s="173"/>
      <c r="EOV300" s="173"/>
      <c r="EOW300" s="125"/>
      <c r="EOX300" s="125"/>
      <c r="EOY300" s="134"/>
      <c r="EOZ300" s="135"/>
      <c r="EPA300" s="135"/>
      <c r="EPB300" s="135"/>
      <c r="EPC300" s="135"/>
      <c r="EPD300" s="173"/>
      <c r="EPE300" s="173"/>
      <c r="EPF300" s="173"/>
      <c r="EPG300" s="173"/>
      <c r="EPH300" s="173"/>
      <c r="EPI300" s="173"/>
      <c r="EPJ300" s="173"/>
      <c r="EPK300" s="173"/>
      <c r="EPL300" s="173"/>
      <c r="EPM300" s="173"/>
      <c r="EPN300" s="125"/>
      <c r="EPO300" s="125"/>
      <c r="EPP300" s="134"/>
      <c r="EPQ300" s="135"/>
      <c r="EPR300" s="135"/>
      <c r="EPS300" s="135"/>
      <c r="EPT300" s="135"/>
      <c r="EPU300" s="173"/>
      <c r="EPV300" s="173"/>
      <c r="EPW300" s="173"/>
      <c r="EPX300" s="173"/>
      <c r="EPY300" s="173"/>
      <c r="EPZ300" s="173"/>
      <c r="EQA300" s="173"/>
      <c r="EQB300" s="173"/>
      <c r="EQC300" s="173"/>
      <c r="EQD300" s="173"/>
      <c r="EQE300" s="125"/>
      <c r="EQF300" s="125"/>
      <c r="EQG300" s="134"/>
      <c r="EQH300" s="135"/>
      <c r="EQI300" s="135"/>
      <c r="EQJ300" s="135"/>
      <c r="EQK300" s="135"/>
      <c r="EQL300" s="173"/>
      <c r="EQM300" s="173"/>
      <c r="EQN300" s="173"/>
      <c r="EQO300" s="173"/>
      <c r="EQP300" s="173"/>
      <c r="EQQ300" s="173"/>
      <c r="EQR300" s="173"/>
      <c r="EQS300" s="173"/>
      <c r="EQT300" s="173"/>
      <c r="EQU300" s="173"/>
      <c r="EQV300" s="125"/>
      <c r="EQW300" s="125"/>
      <c r="EQX300" s="134"/>
      <c r="EQY300" s="135"/>
      <c r="EQZ300" s="135"/>
      <c r="ERA300" s="135"/>
      <c r="ERB300" s="135"/>
      <c r="ERC300" s="173"/>
      <c r="ERD300" s="173"/>
      <c r="ERE300" s="173"/>
      <c r="ERF300" s="173"/>
      <c r="ERG300" s="173"/>
      <c r="ERH300" s="173"/>
      <c r="ERI300" s="173"/>
      <c r="ERJ300" s="173"/>
      <c r="ERK300" s="173"/>
      <c r="ERL300" s="173"/>
      <c r="ERM300" s="125"/>
      <c r="ERN300" s="125"/>
      <c r="ERO300" s="134"/>
      <c r="ERP300" s="135"/>
      <c r="ERQ300" s="135"/>
      <c r="ERR300" s="135"/>
      <c r="ERS300" s="135"/>
      <c r="ERT300" s="173"/>
      <c r="ERU300" s="173"/>
      <c r="ERV300" s="173"/>
      <c r="ERW300" s="173"/>
      <c r="ERX300" s="173"/>
      <c r="ERY300" s="173"/>
      <c r="ERZ300" s="173"/>
      <c r="ESA300" s="173"/>
      <c r="ESB300" s="173"/>
      <c r="ESC300" s="173"/>
      <c r="ESD300" s="125"/>
      <c r="ESE300" s="125"/>
      <c r="ESF300" s="134"/>
      <c r="ESG300" s="135"/>
      <c r="ESH300" s="135"/>
      <c r="ESI300" s="135"/>
      <c r="ESJ300" s="135"/>
      <c r="ESK300" s="173"/>
      <c r="ESL300" s="173"/>
      <c r="ESM300" s="173"/>
      <c r="ESN300" s="173"/>
      <c r="ESO300" s="173"/>
      <c r="ESP300" s="173"/>
      <c r="ESQ300" s="173"/>
      <c r="ESR300" s="173"/>
      <c r="ESS300" s="173"/>
      <c r="EST300" s="173"/>
      <c r="ESU300" s="125"/>
      <c r="ESV300" s="125"/>
      <c r="ESW300" s="134"/>
      <c r="ESX300" s="135"/>
      <c r="ESY300" s="135"/>
      <c r="ESZ300" s="135"/>
      <c r="ETA300" s="135"/>
      <c r="ETB300" s="173"/>
      <c r="ETC300" s="173"/>
      <c r="ETD300" s="173"/>
      <c r="ETE300" s="173"/>
      <c r="ETF300" s="173"/>
      <c r="ETG300" s="173"/>
      <c r="ETH300" s="173"/>
      <c r="ETI300" s="173"/>
      <c r="ETJ300" s="173"/>
      <c r="ETK300" s="173"/>
      <c r="ETL300" s="125"/>
      <c r="ETM300" s="125"/>
      <c r="ETN300" s="134"/>
      <c r="ETO300" s="135"/>
      <c r="ETP300" s="135"/>
      <c r="ETQ300" s="135"/>
      <c r="ETR300" s="135"/>
      <c r="ETS300" s="173"/>
      <c r="ETT300" s="173"/>
      <c r="ETU300" s="173"/>
      <c r="ETV300" s="173"/>
      <c r="ETW300" s="173"/>
      <c r="ETX300" s="173"/>
      <c r="ETY300" s="173"/>
      <c r="ETZ300" s="173"/>
      <c r="EUA300" s="173"/>
      <c r="EUB300" s="173"/>
      <c r="EUC300" s="125"/>
      <c r="EUD300" s="125"/>
      <c r="EUE300" s="134"/>
      <c r="EUF300" s="135"/>
      <c r="EUG300" s="135"/>
      <c r="EUH300" s="135"/>
      <c r="EUI300" s="135"/>
      <c r="EUJ300" s="173"/>
      <c r="EUK300" s="173"/>
      <c r="EUL300" s="173"/>
      <c r="EUM300" s="173"/>
      <c r="EUN300" s="173"/>
      <c r="EUO300" s="173"/>
      <c r="EUP300" s="173"/>
      <c r="EUQ300" s="173"/>
      <c r="EUR300" s="173"/>
      <c r="EUS300" s="173"/>
      <c r="EUT300" s="125"/>
      <c r="EUU300" s="125"/>
      <c r="EUV300" s="134"/>
      <c r="EUW300" s="135"/>
      <c r="EUX300" s="135"/>
      <c r="EUY300" s="135"/>
      <c r="EUZ300" s="135"/>
      <c r="EVA300" s="173"/>
      <c r="EVB300" s="173"/>
      <c r="EVC300" s="173"/>
      <c r="EVD300" s="173"/>
      <c r="EVE300" s="173"/>
      <c r="EVF300" s="173"/>
      <c r="EVG300" s="173"/>
      <c r="EVH300" s="173"/>
      <c r="EVI300" s="173"/>
      <c r="EVJ300" s="173"/>
      <c r="EVK300" s="125"/>
      <c r="EVL300" s="125"/>
      <c r="EVM300" s="134"/>
      <c r="EVN300" s="135"/>
      <c r="EVO300" s="135"/>
      <c r="EVP300" s="135"/>
      <c r="EVQ300" s="135"/>
      <c r="EVR300" s="173"/>
      <c r="EVS300" s="173"/>
      <c r="EVT300" s="173"/>
      <c r="EVU300" s="173"/>
      <c r="EVV300" s="173"/>
      <c r="EVW300" s="173"/>
      <c r="EVX300" s="173"/>
      <c r="EVY300" s="173"/>
      <c r="EVZ300" s="173"/>
      <c r="EWA300" s="173"/>
      <c r="EWB300" s="125"/>
      <c r="EWC300" s="125"/>
      <c r="EWD300" s="134"/>
      <c r="EWE300" s="135"/>
      <c r="EWF300" s="135"/>
      <c r="EWG300" s="135"/>
      <c r="EWH300" s="135"/>
      <c r="EWI300" s="173"/>
      <c r="EWJ300" s="173"/>
      <c r="EWK300" s="173"/>
      <c r="EWL300" s="173"/>
      <c r="EWM300" s="173"/>
      <c r="EWN300" s="173"/>
      <c r="EWO300" s="173"/>
      <c r="EWP300" s="173"/>
      <c r="EWQ300" s="173"/>
      <c r="EWR300" s="173"/>
      <c r="EWS300" s="125"/>
      <c r="EWT300" s="125"/>
      <c r="EWU300" s="134"/>
      <c r="EWV300" s="135"/>
      <c r="EWW300" s="135"/>
      <c r="EWX300" s="135"/>
      <c r="EWY300" s="135"/>
      <c r="EWZ300" s="173"/>
      <c r="EXA300" s="173"/>
      <c r="EXB300" s="173"/>
      <c r="EXC300" s="173"/>
      <c r="EXD300" s="173"/>
      <c r="EXE300" s="173"/>
      <c r="EXF300" s="173"/>
      <c r="EXG300" s="173"/>
      <c r="EXH300" s="173"/>
      <c r="EXI300" s="173"/>
      <c r="EXJ300" s="125"/>
      <c r="EXK300" s="125"/>
      <c r="EXL300" s="134"/>
      <c r="EXM300" s="135"/>
      <c r="EXN300" s="135"/>
      <c r="EXO300" s="135"/>
      <c r="EXP300" s="135"/>
      <c r="EXQ300" s="173"/>
      <c r="EXR300" s="173"/>
      <c r="EXS300" s="173"/>
      <c r="EXT300" s="173"/>
      <c r="EXU300" s="173"/>
      <c r="EXV300" s="173"/>
      <c r="EXW300" s="173"/>
      <c r="EXX300" s="173"/>
      <c r="EXY300" s="173"/>
      <c r="EXZ300" s="173"/>
      <c r="EYA300" s="125"/>
      <c r="EYB300" s="125"/>
      <c r="EYC300" s="134"/>
      <c r="EYD300" s="135"/>
      <c r="EYE300" s="135"/>
      <c r="EYF300" s="135"/>
      <c r="EYG300" s="135"/>
      <c r="EYH300" s="173"/>
      <c r="EYI300" s="173"/>
      <c r="EYJ300" s="173"/>
      <c r="EYK300" s="173"/>
      <c r="EYL300" s="173"/>
      <c r="EYM300" s="173"/>
      <c r="EYN300" s="173"/>
      <c r="EYO300" s="173"/>
      <c r="EYP300" s="173"/>
      <c r="EYQ300" s="173"/>
      <c r="EYR300" s="125"/>
      <c r="EYS300" s="125"/>
      <c r="EYT300" s="134"/>
      <c r="EYU300" s="135"/>
      <c r="EYV300" s="135"/>
      <c r="EYW300" s="135"/>
      <c r="EYX300" s="135"/>
      <c r="EYY300" s="173"/>
      <c r="EYZ300" s="173"/>
      <c r="EZA300" s="173"/>
      <c r="EZB300" s="173"/>
      <c r="EZC300" s="173"/>
      <c r="EZD300" s="173"/>
      <c r="EZE300" s="173"/>
      <c r="EZF300" s="173"/>
      <c r="EZG300" s="173"/>
      <c r="EZH300" s="173"/>
      <c r="EZI300" s="125"/>
      <c r="EZJ300" s="125"/>
      <c r="EZK300" s="134"/>
      <c r="EZL300" s="135"/>
      <c r="EZM300" s="135"/>
      <c r="EZN300" s="135"/>
      <c r="EZO300" s="135"/>
      <c r="EZP300" s="173"/>
      <c r="EZQ300" s="173"/>
      <c r="EZR300" s="173"/>
      <c r="EZS300" s="173"/>
      <c r="EZT300" s="173"/>
      <c r="EZU300" s="173"/>
      <c r="EZV300" s="173"/>
      <c r="EZW300" s="173"/>
      <c r="EZX300" s="173"/>
      <c r="EZY300" s="173"/>
      <c r="EZZ300" s="125"/>
      <c r="FAA300" s="125"/>
      <c r="FAB300" s="134"/>
      <c r="FAC300" s="135"/>
      <c r="FAD300" s="135"/>
      <c r="FAE300" s="135"/>
      <c r="FAF300" s="135"/>
      <c r="FAG300" s="173"/>
      <c r="FAH300" s="173"/>
      <c r="FAI300" s="173"/>
      <c r="FAJ300" s="173"/>
      <c r="FAK300" s="173"/>
      <c r="FAL300" s="173"/>
      <c r="FAM300" s="173"/>
      <c r="FAN300" s="173"/>
      <c r="FAO300" s="173"/>
      <c r="FAP300" s="173"/>
      <c r="FAQ300" s="125"/>
      <c r="FAR300" s="125"/>
      <c r="FAS300" s="134"/>
      <c r="FAT300" s="135"/>
      <c r="FAU300" s="135"/>
      <c r="FAV300" s="135"/>
      <c r="FAW300" s="135"/>
      <c r="FAX300" s="173"/>
      <c r="FAY300" s="173"/>
      <c r="FAZ300" s="173"/>
      <c r="FBA300" s="173"/>
      <c r="FBB300" s="173"/>
      <c r="FBC300" s="173"/>
      <c r="FBD300" s="173"/>
      <c r="FBE300" s="173"/>
      <c r="FBF300" s="173"/>
      <c r="FBG300" s="173"/>
      <c r="FBH300" s="125"/>
      <c r="FBI300" s="125"/>
      <c r="FBJ300" s="134"/>
      <c r="FBK300" s="135"/>
      <c r="FBL300" s="135"/>
      <c r="FBM300" s="135"/>
      <c r="FBN300" s="135"/>
      <c r="FBO300" s="173"/>
      <c r="FBP300" s="173"/>
      <c r="FBQ300" s="173"/>
      <c r="FBR300" s="173"/>
      <c r="FBS300" s="173"/>
      <c r="FBT300" s="173"/>
      <c r="FBU300" s="173"/>
      <c r="FBV300" s="173"/>
      <c r="FBW300" s="173"/>
      <c r="FBX300" s="173"/>
      <c r="FBY300" s="125"/>
      <c r="FBZ300" s="125"/>
      <c r="FCA300" s="134"/>
      <c r="FCB300" s="135"/>
      <c r="FCC300" s="135"/>
      <c r="FCD300" s="135"/>
      <c r="FCE300" s="135"/>
      <c r="FCF300" s="173"/>
      <c r="FCG300" s="173"/>
      <c r="FCH300" s="173"/>
      <c r="FCI300" s="173"/>
      <c r="FCJ300" s="173"/>
      <c r="FCK300" s="173"/>
      <c r="FCL300" s="173"/>
      <c r="FCM300" s="173"/>
      <c r="FCN300" s="173"/>
      <c r="FCO300" s="173"/>
      <c r="FCP300" s="125"/>
      <c r="FCQ300" s="125"/>
      <c r="FCR300" s="134"/>
      <c r="FCS300" s="135"/>
      <c r="FCT300" s="135"/>
      <c r="FCU300" s="135"/>
      <c r="FCV300" s="135"/>
      <c r="FCW300" s="173"/>
      <c r="FCX300" s="173"/>
      <c r="FCY300" s="173"/>
      <c r="FCZ300" s="173"/>
      <c r="FDA300" s="173"/>
      <c r="FDB300" s="173"/>
      <c r="FDC300" s="173"/>
      <c r="FDD300" s="173"/>
      <c r="FDE300" s="173"/>
      <c r="FDF300" s="173"/>
      <c r="FDG300" s="125"/>
      <c r="FDH300" s="125"/>
      <c r="FDI300" s="134"/>
      <c r="FDJ300" s="135"/>
      <c r="FDK300" s="135"/>
      <c r="FDL300" s="135"/>
      <c r="FDM300" s="135"/>
      <c r="FDN300" s="173"/>
      <c r="FDO300" s="173"/>
      <c r="FDP300" s="173"/>
      <c r="FDQ300" s="173"/>
      <c r="FDR300" s="173"/>
      <c r="FDS300" s="173"/>
      <c r="FDT300" s="173"/>
      <c r="FDU300" s="173"/>
      <c r="FDV300" s="173"/>
      <c r="FDW300" s="173"/>
      <c r="FDX300" s="125"/>
      <c r="FDY300" s="125"/>
      <c r="FDZ300" s="134"/>
      <c r="FEA300" s="135"/>
      <c r="FEB300" s="135"/>
      <c r="FEC300" s="135"/>
      <c r="FED300" s="135"/>
      <c r="FEE300" s="173"/>
      <c r="FEF300" s="173"/>
      <c r="FEG300" s="173"/>
      <c r="FEH300" s="173"/>
      <c r="FEI300" s="173"/>
      <c r="FEJ300" s="173"/>
      <c r="FEK300" s="173"/>
      <c r="FEL300" s="173"/>
      <c r="FEM300" s="173"/>
      <c r="FEN300" s="173"/>
      <c r="FEO300" s="125"/>
      <c r="FEP300" s="125"/>
      <c r="FEQ300" s="134"/>
      <c r="FER300" s="135"/>
      <c r="FES300" s="135"/>
      <c r="FET300" s="135"/>
      <c r="FEU300" s="135"/>
      <c r="FEV300" s="173"/>
      <c r="FEW300" s="173"/>
      <c r="FEX300" s="173"/>
      <c r="FEY300" s="173"/>
      <c r="FEZ300" s="173"/>
      <c r="FFA300" s="173"/>
      <c r="FFB300" s="173"/>
      <c r="FFC300" s="173"/>
      <c r="FFD300" s="173"/>
      <c r="FFE300" s="173"/>
      <c r="FFF300" s="125"/>
      <c r="FFG300" s="125"/>
      <c r="FFH300" s="134"/>
      <c r="FFI300" s="135"/>
      <c r="FFJ300" s="135"/>
      <c r="FFK300" s="135"/>
      <c r="FFL300" s="135"/>
      <c r="FFM300" s="173"/>
      <c r="FFN300" s="173"/>
      <c r="FFO300" s="173"/>
      <c r="FFP300" s="173"/>
      <c r="FFQ300" s="173"/>
      <c r="FFR300" s="173"/>
      <c r="FFS300" s="173"/>
      <c r="FFT300" s="173"/>
      <c r="FFU300" s="173"/>
      <c r="FFV300" s="173"/>
      <c r="FFW300" s="125"/>
      <c r="FFX300" s="125"/>
      <c r="FFY300" s="134"/>
      <c r="FFZ300" s="135"/>
      <c r="FGA300" s="135"/>
      <c r="FGB300" s="135"/>
      <c r="FGC300" s="135"/>
      <c r="FGD300" s="173"/>
      <c r="FGE300" s="173"/>
      <c r="FGF300" s="173"/>
      <c r="FGG300" s="173"/>
      <c r="FGH300" s="173"/>
      <c r="FGI300" s="173"/>
      <c r="FGJ300" s="173"/>
      <c r="FGK300" s="173"/>
      <c r="FGL300" s="173"/>
      <c r="FGM300" s="173"/>
      <c r="FGN300" s="125"/>
      <c r="FGO300" s="125"/>
      <c r="FGP300" s="134"/>
      <c r="FGQ300" s="135"/>
      <c r="FGR300" s="135"/>
      <c r="FGS300" s="135"/>
      <c r="FGT300" s="135"/>
      <c r="FGU300" s="173"/>
      <c r="FGV300" s="173"/>
      <c r="FGW300" s="173"/>
      <c r="FGX300" s="173"/>
      <c r="FGY300" s="173"/>
      <c r="FGZ300" s="173"/>
      <c r="FHA300" s="173"/>
      <c r="FHB300" s="173"/>
      <c r="FHC300" s="173"/>
      <c r="FHD300" s="173"/>
      <c r="FHE300" s="125"/>
      <c r="FHF300" s="125"/>
      <c r="FHG300" s="134"/>
      <c r="FHH300" s="135"/>
      <c r="FHI300" s="135"/>
      <c r="FHJ300" s="135"/>
      <c r="FHK300" s="135"/>
      <c r="FHL300" s="173"/>
      <c r="FHM300" s="173"/>
      <c r="FHN300" s="173"/>
      <c r="FHO300" s="173"/>
      <c r="FHP300" s="173"/>
      <c r="FHQ300" s="173"/>
      <c r="FHR300" s="173"/>
      <c r="FHS300" s="173"/>
      <c r="FHT300" s="173"/>
      <c r="FHU300" s="173"/>
      <c r="FHV300" s="125"/>
      <c r="FHW300" s="125"/>
      <c r="FHX300" s="134"/>
      <c r="FHY300" s="135"/>
      <c r="FHZ300" s="135"/>
      <c r="FIA300" s="135"/>
      <c r="FIB300" s="135"/>
      <c r="FIC300" s="173"/>
      <c r="FID300" s="173"/>
      <c r="FIE300" s="173"/>
      <c r="FIF300" s="173"/>
      <c r="FIG300" s="173"/>
      <c r="FIH300" s="173"/>
      <c r="FII300" s="173"/>
      <c r="FIJ300" s="173"/>
      <c r="FIK300" s="173"/>
      <c r="FIL300" s="173"/>
      <c r="FIM300" s="125"/>
      <c r="FIN300" s="125"/>
      <c r="FIO300" s="134"/>
      <c r="FIP300" s="135"/>
      <c r="FIQ300" s="135"/>
      <c r="FIR300" s="135"/>
      <c r="FIS300" s="135"/>
      <c r="FIT300" s="173"/>
      <c r="FIU300" s="173"/>
      <c r="FIV300" s="173"/>
      <c r="FIW300" s="173"/>
      <c r="FIX300" s="173"/>
      <c r="FIY300" s="173"/>
      <c r="FIZ300" s="173"/>
      <c r="FJA300" s="173"/>
      <c r="FJB300" s="173"/>
      <c r="FJC300" s="173"/>
      <c r="FJD300" s="125"/>
      <c r="FJE300" s="125"/>
      <c r="FJF300" s="134"/>
      <c r="FJG300" s="135"/>
      <c r="FJH300" s="135"/>
      <c r="FJI300" s="135"/>
      <c r="FJJ300" s="135"/>
      <c r="FJK300" s="173"/>
      <c r="FJL300" s="173"/>
      <c r="FJM300" s="173"/>
      <c r="FJN300" s="173"/>
      <c r="FJO300" s="173"/>
      <c r="FJP300" s="173"/>
      <c r="FJQ300" s="173"/>
      <c r="FJR300" s="173"/>
      <c r="FJS300" s="173"/>
      <c r="FJT300" s="173"/>
      <c r="FJU300" s="125"/>
      <c r="FJV300" s="125"/>
      <c r="FJW300" s="134"/>
      <c r="FJX300" s="135"/>
      <c r="FJY300" s="135"/>
      <c r="FJZ300" s="135"/>
      <c r="FKA300" s="135"/>
      <c r="FKB300" s="173"/>
      <c r="FKC300" s="173"/>
      <c r="FKD300" s="173"/>
      <c r="FKE300" s="173"/>
      <c r="FKF300" s="173"/>
      <c r="FKG300" s="173"/>
      <c r="FKH300" s="173"/>
      <c r="FKI300" s="173"/>
      <c r="FKJ300" s="173"/>
      <c r="FKK300" s="173"/>
      <c r="FKL300" s="125"/>
      <c r="FKM300" s="125"/>
      <c r="FKN300" s="134"/>
      <c r="FKO300" s="135"/>
      <c r="FKP300" s="135"/>
      <c r="FKQ300" s="135"/>
      <c r="FKR300" s="135"/>
      <c r="FKS300" s="173"/>
      <c r="FKT300" s="173"/>
      <c r="FKU300" s="173"/>
      <c r="FKV300" s="173"/>
      <c r="FKW300" s="173"/>
      <c r="FKX300" s="173"/>
      <c r="FKY300" s="173"/>
      <c r="FKZ300" s="173"/>
      <c r="FLA300" s="173"/>
      <c r="FLB300" s="173"/>
      <c r="FLC300" s="125"/>
      <c r="FLD300" s="125"/>
      <c r="FLE300" s="134"/>
      <c r="FLF300" s="135"/>
      <c r="FLG300" s="135"/>
      <c r="FLH300" s="135"/>
      <c r="FLI300" s="135"/>
      <c r="FLJ300" s="173"/>
      <c r="FLK300" s="173"/>
      <c r="FLL300" s="173"/>
      <c r="FLM300" s="173"/>
      <c r="FLN300" s="173"/>
      <c r="FLO300" s="173"/>
      <c r="FLP300" s="173"/>
      <c r="FLQ300" s="173"/>
      <c r="FLR300" s="173"/>
      <c r="FLS300" s="173"/>
      <c r="FLT300" s="125"/>
      <c r="FLU300" s="125"/>
      <c r="FLV300" s="134"/>
      <c r="FLW300" s="135"/>
      <c r="FLX300" s="135"/>
      <c r="FLY300" s="135"/>
      <c r="FLZ300" s="135"/>
      <c r="FMA300" s="173"/>
      <c r="FMB300" s="173"/>
      <c r="FMC300" s="173"/>
      <c r="FMD300" s="173"/>
      <c r="FME300" s="173"/>
      <c r="FMF300" s="173"/>
      <c r="FMG300" s="173"/>
      <c r="FMH300" s="173"/>
      <c r="FMI300" s="173"/>
      <c r="FMJ300" s="173"/>
      <c r="FMK300" s="125"/>
      <c r="FML300" s="125"/>
      <c r="FMM300" s="134"/>
      <c r="FMN300" s="135"/>
      <c r="FMO300" s="135"/>
      <c r="FMP300" s="135"/>
      <c r="FMQ300" s="135"/>
      <c r="FMR300" s="173"/>
      <c r="FMS300" s="173"/>
      <c r="FMT300" s="173"/>
      <c r="FMU300" s="173"/>
      <c r="FMV300" s="173"/>
      <c r="FMW300" s="173"/>
      <c r="FMX300" s="173"/>
      <c r="FMY300" s="173"/>
      <c r="FMZ300" s="173"/>
      <c r="FNA300" s="173"/>
      <c r="FNB300" s="125"/>
      <c r="FNC300" s="125"/>
      <c r="FND300" s="134"/>
      <c r="FNE300" s="135"/>
      <c r="FNF300" s="135"/>
      <c r="FNG300" s="135"/>
      <c r="FNH300" s="135"/>
      <c r="FNI300" s="173"/>
      <c r="FNJ300" s="173"/>
      <c r="FNK300" s="173"/>
      <c r="FNL300" s="173"/>
      <c r="FNM300" s="173"/>
      <c r="FNN300" s="173"/>
      <c r="FNO300" s="173"/>
      <c r="FNP300" s="173"/>
      <c r="FNQ300" s="173"/>
      <c r="FNR300" s="173"/>
      <c r="FNS300" s="125"/>
      <c r="FNT300" s="125"/>
      <c r="FNU300" s="134"/>
      <c r="FNV300" s="135"/>
      <c r="FNW300" s="135"/>
      <c r="FNX300" s="135"/>
      <c r="FNY300" s="135"/>
      <c r="FNZ300" s="173"/>
      <c r="FOA300" s="173"/>
      <c r="FOB300" s="173"/>
      <c r="FOC300" s="173"/>
      <c r="FOD300" s="173"/>
      <c r="FOE300" s="173"/>
      <c r="FOF300" s="173"/>
      <c r="FOG300" s="173"/>
      <c r="FOH300" s="173"/>
      <c r="FOI300" s="173"/>
      <c r="FOJ300" s="125"/>
      <c r="FOK300" s="125"/>
      <c r="FOL300" s="134"/>
      <c r="FOM300" s="135"/>
      <c r="FON300" s="135"/>
      <c r="FOO300" s="135"/>
      <c r="FOP300" s="135"/>
      <c r="FOQ300" s="173"/>
      <c r="FOR300" s="173"/>
      <c r="FOS300" s="173"/>
      <c r="FOT300" s="173"/>
      <c r="FOU300" s="173"/>
      <c r="FOV300" s="173"/>
      <c r="FOW300" s="173"/>
      <c r="FOX300" s="173"/>
      <c r="FOY300" s="173"/>
      <c r="FOZ300" s="173"/>
      <c r="FPA300" s="125"/>
      <c r="FPB300" s="125"/>
      <c r="FPC300" s="134"/>
      <c r="FPD300" s="135"/>
      <c r="FPE300" s="135"/>
      <c r="FPF300" s="135"/>
      <c r="FPG300" s="135"/>
      <c r="FPH300" s="173"/>
      <c r="FPI300" s="173"/>
      <c r="FPJ300" s="173"/>
      <c r="FPK300" s="173"/>
      <c r="FPL300" s="173"/>
      <c r="FPM300" s="173"/>
      <c r="FPN300" s="173"/>
      <c r="FPO300" s="173"/>
      <c r="FPP300" s="173"/>
      <c r="FPQ300" s="173"/>
      <c r="FPR300" s="125"/>
      <c r="FPS300" s="125"/>
      <c r="FPT300" s="134"/>
      <c r="FPU300" s="135"/>
      <c r="FPV300" s="135"/>
      <c r="FPW300" s="135"/>
      <c r="FPX300" s="135"/>
      <c r="FPY300" s="173"/>
      <c r="FPZ300" s="173"/>
      <c r="FQA300" s="173"/>
      <c r="FQB300" s="173"/>
      <c r="FQC300" s="173"/>
      <c r="FQD300" s="173"/>
      <c r="FQE300" s="173"/>
      <c r="FQF300" s="173"/>
      <c r="FQG300" s="173"/>
      <c r="FQH300" s="173"/>
      <c r="FQI300" s="125"/>
      <c r="FQJ300" s="125"/>
      <c r="FQK300" s="134"/>
      <c r="FQL300" s="135"/>
      <c r="FQM300" s="135"/>
      <c r="FQN300" s="135"/>
      <c r="FQO300" s="135"/>
      <c r="FQP300" s="173"/>
      <c r="FQQ300" s="173"/>
      <c r="FQR300" s="173"/>
      <c r="FQS300" s="173"/>
      <c r="FQT300" s="173"/>
      <c r="FQU300" s="173"/>
      <c r="FQV300" s="173"/>
      <c r="FQW300" s="173"/>
      <c r="FQX300" s="173"/>
      <c r="FQY300" s="173"/>
      <c r="FQZ300" s="125"/>
      <c r="FRA300" s="125"/>
      <c r="FRB300" s="134"/>
      <c r="FRC300" s="135"/>
      <c r="FRD300" s="135"/>
      <c r="FRE300" s="135"/>
      <c r="FRF300" s="135"/>
      <c r="FRG300" s="173"/>
      <c r="FRH300" s="173"/>
      <c r="FRI300" s="173"/>
      <c r="FRJ300" s="173"/>
      <c r="FRK300" s="173"/>
      <c r="FRL300" s="173"/>
      <c r="FRM300" s="173"/>
      <c r="FRN300" s="173"/>
      <c r="FRO300" s="173"/>
      <c r="FRP300" s="173"/>
      <c r="FRQ300" s="125"/>
      <c r="FRR300" s="125"/>
      <c r="FRS300" s="134"/>
      <c r="FRT300" s="135"/>
      <c r="FRU300" s="135"/>
      <c r="FRV300" s="135"/>
      <c r="FRW300" s="135"/>
      <c r="FRX300" s="173"/>
      <c r="FRY300" s="173"/>
      <c r="FRZ300" s="173"/>
      <c r="FSA300" s="173"/>
      <c r="FSB300" s="173"/>
      <c r="FSC300" s="173"/>
      <c r="FSD300" s="173"/>
      <c r="FSE300" s="173"/>
      <c r="FSF300" s="173"/>
      <c r="FSG300" s="173"/>
      <c r="FSH300" s="125"/>
      <c r="FSI300" s="125"/>
      <c r="FSJ300" s="134"/>
      <c r="FSK300" s="135"/>
      <c r="FSL300" s="135"/>
      <c r="FSM300" s="135"/>
      <c r="FSN300" s="135"/>
      <c r="FSO300" s="173"/>
      <c r="FSP300" s="173"/>
      <c r="FSQ300" s="173"/>
      <c r="FSR300" s="173"/>
      <c r="FSS300" s="173"/>
      <c r="FST300" s="173"/>
      <c r="FSU300" s="173"/>
      <c r="FSV300" s="173"/>
      <c r="FSW300" s="173"/>
      <c r="FSX300" s="173"/>
      <c r="FSY300" s="125"/>
      <c r="FSZ300" s="125"/>
      <c r="FTA300" s="134"/>
      <c r="FTB300" s="135"/>
      <c r="FTC300" s="135"/>
      <c r="FTD300" s="135"/>
      <c r="FTE300" s="135"/>
      <c r="FTF300" s="173"/>
      <c r="FTG300" s="173"/>
      <c r="FTH300" s="173"/>
      <c r="FTI300" s="173"/>
      <c r="FTJ300" s="173"/>
      <c r="FTK300" s="173"/>
      <c r="FTL300" s="173"/>
      <c r="FTM300" s="173"/>
      <c r="FTN300" s="173"/>
      <c r="FTO300" s="173"/>
      <c r="FTP300" s="125"/>
      <c r="FTQ300" s="125"/>
      <c r="FTR300" s="134"/>
      <c r="FTS300" s="135"/>
      <c r="FTT300" s="135"/>
      <c r="FTU300" s="135"/>
      <c r="FTV300" s="135"/>
      <c r="FTW300" s="173"/>
      <c r="FTX300" s="173"/>
      <c r="FTY300" s="173"/>
      <c r="FTZ300" s="173"/>
      <c r="FUA300" s="173"/>
      <c r="FUB300" s="173"/>
      <c r="FUC300" s="173"/>
      <c r="FUD300" s="173"/>
      <c r="FUE300" s="173"/>
      <c r="FUF300" s="173"/>
      <c r="FUG300" s="125"/>
      <c r="FUH300" s="125"/>
      <c r="FUI300" s="134"/>
      <c r="FUJ300" s="135"/>
      <c r="FUK300" s="135"/>
      <c r="FUL300" s="135"/>
      <c r="FUM300" s="135"/>
      <c r="FUN300" s="173"/>
      <c r="FUO300" s="173"/>
      <c r="FUP300" s="173"/>
      <c r="FUQ300" s="173"/>
      <c r="FUR300" s="173"/>
      <c r="FUS300" s="173"/>
      <c r="FUT300" s="173"/>
      <c r="FUU300" s="173"/>
      <c r="FUV300" s="173"/>
      <c r="FUW300" s="173"/>
      <c r="FUX300" s="125"/>
      <c r="FUY300" s="125"/>
      <c r="FUZ300" s="134"/>
      <c r="FVA300" s="135"/>
      <c r="FVB300" s="135"/>
      <c r="FVC300" s="135"/>
      <c r="FVD300" s="135"/>
      <c r="FVE300" s="173"/>
      <c r="FVF300" s="173"/>
      <c r="FVG300" s="173"/>
      <c r="FVH300" s="173"/>
      <c r="FVI300" s="173"/>
      <c r="FVJ300" s="173"/>
      <c r="FVK300" s="173"/>
      <c r="FVL300" s="173"/>
      <c r="FVM300" s="173"/>
      <c r="FVN300" s="173"/>
      <c r="FVO300" s="125"/>
      <c r="FVP300" s="125"/>
      <c r="FVQ300" s="134"/>
      <c r="FVR300" s="135"/>
      <c r="FVS300" s="135"/>
      <c r="FVT300" s="135"/>
      <c r="FVU300" s="135"/>
      <c r="FVV300" s="173"/>
      <c r="FVW300" s="173"/>
      <c r="FVX300" s="173"/>
      <c r="FVY300" s="173"/>
      <c r="FVZ300" s="173"/>
      <c r="FWA300" s="173"/>
      <c r="FWB300" s="173"/>
      <c r="FWC300" s="173"/>
      <c r="FWD300" s="173"/>
      <c r="FWE300" s="173"/>
      <c r="FWF300" s="125"/>
      <c r="FWG300" s="125"/>
      <c r="FWH300" s="134"/>
      <c r="FWI300" s="135"/>
      <c r="FWJ300" s="135"/>
      <c r="FWK300" s="135"/>
      <c r="FWL300" s="135"/>
      <c r="FWM300" s="173"/>
      <c r="FWN300" s="173"/>
      <c r="FWO300" s="173"/>
      <c r="FWP300" s="173"/>
      <c r="FWQ300" s="173"/>
      <c r="FWR300" s="173"/>
      <c r="FWS300" s="173"/>
      <c r="FWT300" s="173"/>
      <c r="FWU300" s="173"/>
      <c r="FWV300" s="173"/>
      <c r="FWW300" s="125"/>
      <c r="FWX300" s="125"/>
      <c r="FWY300" s="134"/>
      <c r="FWZ300" s="135"/>
      <c r="FXA300" s="135"/>
      <c r="FXB300" s="135"/>
      <c r="FXC300" s="135"/>
      <c r="FXD300" s="173"/>
      <c r="FXE300" s="173"/>
      <c r="FXF300" s="173"/>
      <c r="FXG300" s="173"/>
      <c r="FXH300" s="173"/>
      <c r="FXI300" s="173"/>
      <c r="FXJ300" s="173"/>
      <c r="FXK300" s="173"/>
      <c r="FXL300" s="173"/>
      <c r="FXM300" s="173"/>
      <c r="FXN300" s="125"/>
      <c r="FXO300" s="125"/>
      <c r="FXP300" s="134"/>
      <c r="FXQ300" s="135"/>
      <c r="FXR300" s="135"/>
      <c r="FXS300" s="135"/>
      <c r="FXT300" s="135"/>
      <c r="FXU300" s="173"/>
      <c r="FXV300" s="173"/>
      <c r="FXW300" s="173"/>
      <c r="FXX300" s="173"/>
      <c r="FXY300" s="173"/>
      <c r="FXZ300" s="173"/>
      <c r="FYA300" s="173"/>
      <c r="FYB300" s="173"/>
      <c r="FYC300" s="173"/>
      <c r="FYD300" s="173"/>
      <c r="FYE300" s="125"/>
      <c r="FYF300" s="125"/>
      <c r="FYG300" s="134"/>
      <c r="FYH300" s="135"/>
      <c r="FYI300" s="135"/>
      <c r="FYJ300" s="135"/>
      <c r="FYK300" s="135"/>
      <c r="FYL300" s="173"/>
      <c r="FYM300" s="173"/>
      <c r="FYN300" s="173"/>
      <c r="FYO300" s="173"/>
      <c r="FYP300" s="173"/>
      <c r="FYQ300" s="173"/>
      <c r="FYR300" s="173"/>
      <c r="FYS300" s="173"/>
      <c r="FYT300" s="173"/>
      <c r="FYU300" s="173"/>
      <c r="FYV300" s="125"/>
      <c r="FYW300" s="125"/>
      <c r="FYX300" s="134"/>
      <c r="FYY300" s="135"/>
      <c r="FYZ300" s="135"/>
      <c r="FZA300" s="135"/>
      <c r="FZB300" s="135"/>
      <c r="FZC300" s="173"/>
      <c r="FZD300" s="173"/>
      <c r="FZE300" s="173"/>
      <c r="FZF300" s="173"/>
      <c r="FZG300" s="173"/>
      <c r="FZH300" s="173"/>
      <c r="FZI300" s="173"/>
      <c r="FZJ300" s="173"/>
      <c r="FZK300" s="173"/>
      <c r="FZL300" s="173"/>
      <c r="FZM300" s="125"/>
      <c r="FZN300" s="125"/>
      <c r="FZO300" s="134"/>
      <c r="FZP300" s="135"/>
      <c r="FZQ300" s="135"/>
      <c r="FZR300" s="135"/>
      <c r="FZS300" s="135"/>
      <c r="FZT300" s="173"/>
      <c r="FZU300" s="173"/>
      <c r="FZV300" s="173"/>
      <c r="FZW300" s="173"/>
      <c r="FZX300" s="173"/>
      <c r="FZY300" s="173"/>
      <c r="FZZ300" s="173"/>
      <c r="GAA300" s="173"/>
      <c r="GAB300" s="173"/>
      <c r="GAC300" s="173"/>
      <c r="GAD300" s="125"/>
      <c r="GAE300" s="125"/>
      <c r="GAF300" s="134"/>
      <c r="GAG300" s="135"/>
      <c r="GAH300" s="135"/>
      <c r="GAI300" s="135"/>
      <c r="GAJ300" s="135"/>
      <c r="GAK300" s="173"/>
      <c r="GAL300" s="173"/>
      <c r="GAM300" s="173"/>
      <c r="GAN300" s="173"/>
      <c r="GAO300" s="173"/>
      <c r="GAP300" s="173"/>
      <c r="GAQ300" s="173"/>
      <c r="GAR300" s="173"/>
      <c r="GAS300" s="173"/>
      <c r="GAT300" s="173"/>
      <c r="GAU300" s="125"/>
      <c r="GAV300" s="125"/>
      <c r="GAW300" s="134"/>
      <c r="GAX300" s="135"/>
      <c r="GAY300" s="135"/>
      <c r="GAZ300" s="135"/>
      <c r="GBA300" s="135"/>
      <c r="GBB300" s="173"/>
      <c r="GBC300" s="173"/>
      <c r="GBD300" s="173"/>
      <c r="GBE300" s="173"/>
      <c r="GBF300" s="173"/>
      <c r="GBG300" s="173"/>
      <c r="GBH300" s="173"/>
      <c r="GBI300" s="173"/>
      <c r="GBJ300" s="173"/>
      <c r="GBK300" s="173"/>
      <c r="GBL300" s="125"/>
      <c r="GBM300" s="125"/>
      <c r="GBN300" s="134"/>
      <c r="GBO300" s="135"/>
      <c r="GBP300" s="135"/>
      <c r="GBQ300" s="135"/>
      <c r="GBR300" s="135"/>
      <c r="GBS300" s="173"/>
      <c r="GBT300" s="173"/>
      <c r="GBU300" s="173"/>
      <c r="GBV300" s="173"/>
      <c r="GBW300" s="173"/>
      <c r="GBX300" s="173"/>
      <c r="GBY300" s="173"/>
      <c r="GBZ300" s="173"/>
      <c r="GCA300" s="173"/>
      <c r="GCB300" s="173"/>
      <c r="GCC300" s="125"/>
      <c r="GCD300" s="125"/>
      <c r="GCE300" s="134"/>
      <c r="GCF300" s="135"/>
      <c r="GCG300" s="135"/>
      <c r="GCH300" s="135"/>
      <c r="GCI300" s="135"/>
      <c r="GCJ300" s="173"/>
      <c r="GCK300" s="173"/>
      <c r="GCL300" s="173"/>
      <c r="GCM300" s="173"/>
      <c r="GCN300" s="173"/>
      <c r="GCO300" s="173"/>
      <c r="GCP300" s="173"/>
      <c r="GCQ300" s="173"/>
      <c r="GCR300" s="173"/>
      <c r="GCS300" s="173"/>
      <c r="GCT300" s="125"/>
      <c r="GCU300" s="125"/>
      <c r="GCV300" s="134"/>
      <c r="GCW300" s="135"/>
      <c r="GCX300" s="135"/>
      <c r="GCY300" s="135"/>
      <c r="GCZ300" s="135"/>
      <c r="GDA300" s="173"/>
      <c r="GDB300" s="173"/>
      <c r="GDC300" s="173"/>
      <c r="GDD300" s="173"/>
      <c r="GDE300" s="173"/>
      <c r="GDF300" s="173"/>
      <c r="GDG300" s="173"/>
      <c r="GDH300" s="173"/>
      <c r="GDI300" s="173"/>
      <c r="GDJ300" s="173"/>
      <c r="GDK300" s="125"/>
      <c r="GDL300" s="125"/>
      <c r="GDM300" s="134"/>
      <c r="GDN300" s="135"/>
      <c r="GDO300" s="135"/>
      <c r="GDP300" s="135"/>
      <c r="GDQ300" s="135"/>
      <c r="GDR300" s="173"/>
      <c r="GDS300" s="173"/>
      <c r="GDT300" s="173"/>
      <c r="GDU300" s="173"/>
      <c r="GDV300" s="173"/>
      <c r="GDW300" s="173"/>
      <c r="GDX300" s="173"/>
      <c r="GDY300" s="173"/>
      <c r="GDZ300" s="173"/>
      <c r="GEA300" s="173"/>
      <c r="GEB300" s="125"/>
      <c r="GEC300" s="125"/>
      <c r="GED300" s="134"/>
      <c r="GEE300" s="135"/>
      <c r="GEF300" s="135"/>
      <c r="GEG300" s="135"/>
      <c r="GEH300" s="135"/>
      <c r="GEI300" s="173"/>
      <c r="GEJ300" s="173"/>
      <c r="GEK300" s="173"/>
      <c r="GEL300" s="173"/>
      <c r="GEM300" s="173"/>
      <c r="GEN300" s="173"/>
      <c r="GEO300" s="173"/>
      <c r="GEP300" s="173"/>
      <c r="GEQ300" s="173"/>
      <c r="GER300" s="173"/>
      <c r="GES300" s="125"/>
      <c r="GET300" s="125"/>
      <c r="GEU300" s="134"/>
      <c r="GEV300" s="135"/>
      <c r="GEW300" s="135"/>
      <c r="GEX300" s="135"/>
      <c r="GEY300" s="135"/>
      <c r="GEZ300" s="173"/>
      <c r="GFA300" s="173"/>
      <c r="GFB300" s="173"/>
      <c r="GFC300" s="173"/>
      <c r="GFD300" s="173"/>
      <c r="GFE300" s="173"/>
      <c r="GFF300" s="173"/>
      <c r="GFG300" s="173"/>
      <c r="GFH300" s="173"/>
      <c r="GFI300" s="173"/>
      <c r="GFJ300" s="125"/>
      <c r="GFK300" s="125"/>
      <c r="GFL300" s="134"/>
      <c r="GFM300" s="135"/>
      <c r="GFN300" s="135"/>
      <c r="GFO300" s="135"/>
      <c r="GFP300" s="135"/>
      <c r="GFQ300" s="173"/>
      <c r="GFR300" s="173"/>
      <c r="GFS300" s="173"/>
      <c r="GFT300" s="173"/>
      <c r="GFU300" s="173"/>
      <c r="GFV300" s="173"/>
      <c r="GFW300" s="173"/>
      <c r="GFX300" s="173"/>
      <c r="GFY300" s="173"/>
      <c r="GFZ300" s="173"/>
      <c r="GGA300" s="125"/>
      <c r="GGB300" s="125"/>
      <c r="GGC300" s="134"/>
      <c r="GGD300" s="135"/>
      <c r="GGE300" s="135"/>
      <c r="GGF300" s="135"/>
      <c r="GGG300" s="135"/>
      <c r="GGH300" s="173"/>
      <c r="GGI300" s="173"/>
      <c r="GGJ300" s="173"/>
      <c r="GGK300" s="173"/>
      <c r="GGL300" s="173"/>
      <c r="GGM300" s="173"/>
      <c r="GGN300" s="173"/>
      <c r="GGO300" s="173"/>
      <c r="GGP300" s="173"/>
      <c r="GGQ300" s="173"/>
      <c r="GGR300" s="125"/>
      <c r="GGS300" s="125"/>
      <c r="GGT300" s="134"/>
      <c r="GGU300" s="135"/>
      <c r="GGV300" s="135"/>
      <c r="GGW300" s="135"/>
      <c r="GGX300" s="135"/>
      <c r="GGY300" s="173"/>
      <c r="GGZ300" s="173"/>
      <c r="GHA300" s="173"/>
      <c r="GHB300" s="173"/>
      <c r="GHC300" s="173"/>
      <c r="GHD300" s="173"/>
      <c r="GHE300" s="173"/>
      <c r="GHF300" s="173"/>
      <c r="GHG300" s="173"/>
      <c r="GHH300" s="173"/>
      <c r="GHI300" s="125"/>
      <c r="GHJ300" s="125"/>
      <c r="GHK300" s="134"/>
      <c r="GHL300" s="135"/>
      <c r="GHM300" s="135"/>
      <c r="GHN300" s="135"/>
      <c r="GHO300" s="135"/>
      <c r="GHP300" s="173"/>
      <c r="GHQ300" s="173"/>
      <c r="GHR300" s="173"/>
      <c r="GHS300" s="173"/>
      <c r="GHT300" s="173"/>
      <c r="GHU300" s="173"/>
      <c r="GHV300" s="173"/>
      <c r="GHW300" s="173"/>
      <c r="GHX300" s="173"/>
      <c r="GHY300" s="173"/>
      <c r="GHZ300" s="125"/>
      <c r="GIA300" s="125"/>
      <c r="GIB300" s="134"/>
      <c r="GIC300" s="135"/>
      <c r="GID300" s="135"/>
      <c r="GIE300" s="135"/>
      <c r="GIF300" s="135"/>
      <c r="GIG300" s="173"/>
      <c r="GIH300" s="173"/>
      <c r="GII300" s="173"/>
      <c r="GIJ300" s="173"/>
      <c r="GIK300" s="173"/>
      <c r="GIL300" s="173"/>
      <c r="GIM300" s="173"/>
      <c r="GIN300" s="173"/>
      <c r="GIO300" s="173"/>
      <c r="GIP300" s="173"/>
      <c r="GIQ300" s="125"/>
      <c r="GIR300" s="125"/>
      <c r="GIS300" s="134"/>
      <c r="GIT300" s="135"/>
      <c r="GIU300" s="135"/>
      <c r="GIV300" s="135"/>
      <c r="GIW300" s="135"/>
      <c r="GIX300" s="173"/>
      <c r="GIY300" s="173"/>
      <c r="GIZ300" s="173"/>
      <c r="GJA300" s="173"/>
      <c r="GJB300" s="173"/>
      <c r="GJC300" s="173"/>
      <c r="GJD300" s="173"/>
      <c r="GJE300" s="173"/>
      <c r="GJF300" s="173"/>
      <c r="GJG300" s="173"/>
      <c r="GJH300" s="125"/>
      <c r="GJI300" s="125"/>
      <c r="GJJ300" s="134"/>
      <c r="GJK300" s="135"/>
      <c r="GJL300" s="135"/>
      <c r="GJM300" s="135"/>
      <c r="GJN300" s="135"/>
      <c r="GJO300" s="173"/>
      <c r="GJP300" s="173"/>
      <c r="GJQ300" s="173"/>
      <c r="GJR300" s="173"/>
      <c r="GJS300" s="173"/>
      <c r="GJT300" s="173"/>
      <c r="GJU300" s="173"/>
      <c r="GJV300" s="173"/>
      <c r="GJW300" s="173"/>
      <c r="GJX300" s="173"/>
      <c r="GJY300" s="125"/>
      <c r="GJZ300" s="125"/>
      <c r="GKA300" s="134"/>
      <c r="GKB300" s="135"/>
      <c r="GKC300" s="135"/>
      <c r="GKD300" s="135"/>
      <c r="GKE300" s="135"/>
      <c r="GKF300" s="173"/>
      <c r="GKG300" s="173"/>
      <c r="GKH300" s="173"/>
      <c r="GKI300" s="173"/>
      <c r="GKJ300" s="173"/>
      <c r="GKK300" s="173"/>
      <c r="GKL300" s="173"/>
      <c r="GKM300" s="173"/>
      <c r="GKN300" s="173"/>
      <c r="GKO300" s="173"/>
      <c r="GKP300" s="125"/>
      <c r="GKQ300" s="125"/>
      <c r="GKR300" s="134"/>
      <c r="GKS300" s="135"/>
      <c r="GKT300" s="135"/>
      <c r="GKU300" s="135"/>
      <c r="GKV300" s="135"/>
      <c r="GKW300" s="173"/>
      <c r="GKX300" s="173"/>
      <c r="GKY300" s="173"/>
      <c r="GKZ300" s="173"/>
      <c r="GLA300" s="173"/>
      <c r="GLB300" s="173"/>
      <c r="GLC300" s="173"/>
      <c r="GLD300" s="173"/>
      <c r="GLE300" s="173"/>
      <c r="GLF300" s="173"/>
      <c r="GLG300" s="125"/>
      <c r="GLH300" s="125"/>
      <c r="GLI300" s="134"/>
      <c r="GLJ300" s="135"/>
      <c r="GLK300" s="135"/>
      <c r="GLL300" s="135"/>
      <c r="GLM300" s="135"/>
      <c r="GLN300" s="173"/>
      <c r="GLO300" s="173"/>
      <c r="GLP300" s="173"/>
      <c r="GLQ300" s="173"/>
      <c r="GLR300" s="173"/>
      <c r="GLS300" s="173"/>
      <c r="GLT300" s="173"/>
      <c r="GLU300" s="173"/>
      <c r="GLV300" s="173"/>
      <c r="GLW300" s="173"/>
      <c r="GLX300" s="125"/>
      <c r="GLY300" s="125"/>
      <c r="GLZ300" s="134"/>
      <c r="GMA300" s="135"/>
      <c r="GMB300" s="135"/>
      <c r="GMC300" s="135"/>
      <c r="GMD300" s="135"/>
      <c r="GME300" s="173"/>
      <c r="GMF300" s="173"/>
      <c r="GMG300" s="173"/>
      <c r="GMH300" s="173"/>
      <c r="GMI300" s="173"/>
      <c r="GMJ300" s="173"/>
      <c r="GMK300" s="173"/>
      <c r="GML300" s="173"/>
      <c r="GMM300" s="173"/>
      <c r="GMN300" s="173"/>
      <c r="GMO300" s="125"/>
      <c r="GMP300" s="125"/>
      <c r="GMQ300" s="134"/>
      <c r="GMR300" s="135"/>
      <c r="GMS300" s="135"/>
      <c r="GMT300" s="135"/>
      <c r="GMU300" s="135"/>
      <c r="GMV300" s="173"/>
      <c r="GMW300" s="173"/>
      <c r="GMX300" s="173"/>
      <c r="GMY300" s="173"/>
      <c r="GMZ300" s="173"/>
      <c r="GNA300" s="173"/>
      <c r="GNB300" s="173"/>
      <c r="GNC300" s="173"/>
      <c r="GND300" s="173"/>
      <c r="GNE300" s="173"/>
      <c r="GNF300" s="125"/>
      <c r="GNG300" s="125"/>
      <c r="GNH300" s="134"/>
      <c r="GNI300" s="135"/>
      <c r="GNJ300" s="135"/>
      <c r="GNK300" s="135"/>
      <c r="GNL300" s="135"/>
      <c r="GNM300" s="173"/>
      <c r="GNN300" s="173"/>
      <c r="GNO300" s="173"/>
      <c r="GNP300" s="173"/>
      <c r="GNQ300" s="173"/>
      <c r="GNR300" s="173"/>
      <c r="GNS300" s="173"/>
      <c r="GNT300" s="173"/>
      <c r="GNU300" s="173"/>
      <c r="GNV300" s="173"/>
      <c r="GNW300" s="125"/>
      <c r="GNX300" s="125"/>
      <c r="GNY300" s="134"/>
      <c r="GNZ300" s="135"/>
      <c r="GOA300" s="135"/>
      <c r="GOB300" s="135"/>
      <c r="GOC300" s="135"/>
      <c r="GOD300" s="173"/>
      <c r="GOE300" s="173"/>
      <c r="GOF300" s="173"/>
      <c r="GOG300" s="173"/>
      <c r="GOH300" s="173"/>
      <c r="GOI300" s="173"/>
      <c r="GOJ300" s="173"/>
      <c r="GOK300" s="173"/>
      <c r="GOL300" s="173"/>
      <c r="GOM300" s="173"/>
      <c r="GON300" s="125"/>
      <c r="GOO300" s="125"/>
      <c r="GOP300" s="134"/>
      <c r="GOQ300" s="135"/>
      <c r="GOR300" s="135"/>
      <c r="GOS300" s="135"/>
      <c r="GOT300" s="135"/>
      <c r="GOU300" s="173"/>
      <c r="GOV300" s="173"/>
      <c r="GOW300" s="173"/>
      <c r="GOX300" s="173"/>
      <c r="GOY300" s="173"/>
      <c r="GOZ300" s="173"/>
      <c r="GPA300" s="173"/>
      <c r="GPB300" s="173"/>
      <c r="GPC300" s="173"/>
      <c r="GPD300" s="173"/>
      <c r="GPE300" s="125"/>
      <c r="GPF300" s="125"/>
      <c r="GPG300" s="134"/>
      <c r="GPH300" s="135"/>
      <c r="GPI300" s="135"/>
      <c r="GPJ300" s="135"/>
      <c r="GPK300" s="135"/>
      <c r="GPL300" s="173"/>
      <c r="GPM300" s="173"/>
      <c r="GPN300" s="173"/>
      <c r="GPO300" s="173"/>
      <c r="GPP300" s="173"/>
      <c r="GPQ300" s="173"/>
      <c r="GPR300" s="173"/>
      <c r="GPS300" s="173"/>
      <c r="GPT300" s="173"/>
      <c r="GPU300" s="173"/>
      <c r="GPV300" s="125"/>
      <c r="GPW300" s="125"/>
      <c r="GPX300" s="134"/>
      <c r="GPY300" s="135"/>
      <c r="GPZ300" s="135"/>
      <c r="GQA300" s="135"/>
      <c r="GQB300" s="135"/>
      <c r="GQC300" s="173"/>
      <c r="GQD300" s="173"/>
      <c r="GQE300" s="173"/>
      <c r="GQF300" s="173"/>
      <c r="GQG300" s="173"/>
      <c r="GQH300" s="173"/>
      <c r="GQI300" s="173"/>
      <c r="GQJ300" s="173"/>
      <c r="GQK300" s="173"/>
      <c r="GQL300" s="173"/>
      <c r="GQM300" s="125"/>
      <c r="GQN300" s="125"/>
      <c r="GQO300" s="134"/>
      <c r="GQP300" s="135"/>
      <c r="GQQ300" s="135"/>
      <c r="GQR300" s="135"/>
      <c r="GQS300" s="135"/>
      <c r="GQT300" s="173"/>
      <c r="GQU300" s="173"/>
      <c r="GQV300" s="173"/>
      <c r="GQW300" s="173"/>
      <c r="GQX300" s="173"/>
      <c r="GQY300" s="173"/>
      <c r="GQZ300" s="173"/>
      <c r="GRA300" s="173"/>
      <c r="GRB300" s="173"/>
      <c r="GRC300" s="173"/>
      <c r="GRD300" s="125"/>
      <c r="GRE300" s="125"/>
      <c r="GRF300" s="134"/>
      <c r="GRG300" s="135"/>
      <c r="GRH300" s="135"/>
      <c r="GRI300" s="135"/>
      <c r="GRJ300" s="135"/>
      <c r="GRK300" s="173"/>
      <c r="GRL300" s="173"/>
      <c r="GRM300" s="173"/>
      <c r="GRN300" s="173"/>
      <c r="GRO300" s="173"/>
      <c r="GRP300" s="173"/>
      <c r="GRQ300" s="173"/>
      <c r="GRR300" s="173"/>
      <c r="GRS300" s="173"/>
      <c r="GRT300" s="173"/>
      <c r="GRU300" s="125"/>
      <c r="GRV300" s="125"/>
      <c r="GRW300" s="134"/>
      <c r="GRX300" s="135"/>
      <c r="GRY300" s="135"/>
      <c r="GRZ300" s="135"/>
      <c r="GSA300" s="135"/>
      <c r="GSB300" s="173"/>
      <c r="GSC300" s="173"/>
      <c r="GSD300" s="173"/>
      <c r="GSE300" s="173"/>
      <c r="GSF300" s="173"/>
      <c r="GSG300" s="173"/>
      <c r="GSH300" s="173"/>
      <c r="GSI300" s="173"/>
      <c r="GSJ300" s="173"/>
      <c r="GSK300" s="173"/>
      <c r="GSL300" s="125"/>
      <c r="GSM300" s="125"/>
      <c r="GSN300" s="134"/>
      <c r="GSO300" s="135"/>
      <c r="GSP300" s="135"/>
      <c r="GSQ300" s="135"/>
      <c r="GSR300" s="135"/>
      <c r="GSS300" s="173"/>
      <c r="GST300" s="173"/>
      <c r="GSU300" s="173"/>
      <c r="GSV300" s="173"/>
      <c r="GSW300" s="173"/>
      <c r="GSX300" s="173"/>
      <c r="GSY300" s="173"/>
      <c r="GSZ300" s="173"/>
      <c r="GTA300" s="173"/>
      <c r="GTB300" s="173"/>
      <c r="GTC300" s="125"/>
      <c r="GTD300" s="125"/>
      <c r="GTE300" s="134"/>
      <c r="GTF300" s="135"/>
      <c r="GTG300" s="135"/>
      <c r="GTH300" s="135"/>
      <c r="GTI300" s="135"/>
      <c r="GTJ300" s="173"/>
      <c r="GTK300" s="173"/>
      <c r="GTL300" s="173"/>
      <c r="GTM300" s="173"/>
      <c r="GTN300" s="173"/>
      <c r="GTO300" s="173"/>
      <c r="GTP300" s="173"/>
      <c r="GTQ300" s="173"/>
      <c r="GTR300" s="173"/>
      <c r="GTS300" s="173"/>
      <c r="GTT300" s="125"/>
      <c r="GTU300" s="125"/>
      <c r="GTV300" s="134"/>
      <c r="GTW300" s="135"/>
      <c r="GTX300" s="135"/>
      <c r="GTY300" s="135"/>
      <c r="GTZ300" s="135"/>
      <c r="GUA300" s="173"/>
      <c r="GUB300" s="173"/>
      <c r="GUC300" s="173"/>
      <c r="GUD300" s="173"/>
      <c r="GUE300" s="173"/>
      <c r="GUF300" s="173"/>
      <c r="GUG300" s="173"/>
      <c r="GUH300" s="173"/>
      <c r="GUI300" s="173"/>
      <c r="GUJ300" s="173"/>
      <c r="GUK300" s="125"/>
      <c r="GUL300" s="125"/>
      <c r="GUM300" s="134"/>
      <c r="GUN300" s="135"/>
      <c r="GUO300" s="135"/>
      <c r="GUP300" s="135"/>
      <c r="GUQ300" s="135"/>
      <c r="GUR300" s="173"/>
      <c r="GUS300" s="173"/>
      <c r="GUT300" s="173"/>
      <c r="GUU300" s="173"/>
      <c r="GUV300" s="173"/>
      <c r="GUW300" s="173"/>
      <c r="GUX300" s="173"/>
      <c r="GUY300" s="173"/>
      <c r="GUZ300" s="173"/>
      <c r="GVA300" s="173"/>
      <c r="GVB300" s="125"/>
      <c r="GVC300" s="125"/>
      <c r="GVD300" s="134"/>
      <c r="GVE300" s="135"/>
      <c r="GVF300" s="135"/>
      <c r="GVG300" s="135"/>
      <c r="GVH300" s="135"/>
      <c r="GVI300" s="173"/>
      <c r="GVJ300" s="173"/>
      <c r="GVK300" s="173"/>
      <c r="GVL300" s="173"/>
      <c r="GVM300" s="173"/>
      <c r="GVN300" s="173"/>
      <c r="GVO300" s="173"/>
      <c r="GVP300" s="173"/>
      <c r="GVQ300" s="173"/>
      <c r="GVR300" s="173"/>
      <c r="GVS300" s="125"/>
      <c r="GVT300" s="125"/>
      <c r="GVU300" s="134"/>
      <c r="GVV300" s="135"/>
      <c r="GVW300" s="135"/>
      <c r="GVX300" s="135"/>
      <c r="GVY300" s="135"/>
      <c r="GVZ300" s="173"/>
      <c r="GWA300" s="173"/>
      <c r="GWB300" s="173"/>
      <c r="GWC300" s="173"/>
      <c r="GWD300" s="173"/>
      <c r="GWE300" s="173"/>
      <c r="GWF300" s="173"/>
      <c r="GWG300" s="173"/>
      <c r="GWH300" s="173"/>
      <c r="GWI300" s="173"/>
      <c r="GWJ300" s="125"/>
      <c r="GWK300" s="125"/>
      <c r="GWL300" s="134"/>
      <c r="GWM300" s="135"/>
      <c r="GWN300" s="135"/>
      <c r="GWO300" s="135"/>
      <c r="GWP300" s="135"/>
      <c r="GWQ300" s="173"/>
      <c r="GWR300" s="173"/>
      <c r="GWS300" s="173"/>
      <c r="GWT300" s="173"/>
      <c r="GWU300" s="173"/>
      <c r="GWV300" s="173"/>
      <c r="GWW300" s="173"/>
      <c r="GWX300" s="173"/>
      <c r="GWY300" s="173"/>
      <c r="GWZ300" s="173"/>
      <c r="GXA300" s="125"/>
      <c r="GXB300" s="125"/>
      <c r="GXC300" s="134"/>
      <c r="GXD300" s="135"/>
      <c r="GXE300" s="135"/>
      <c r="GXF300" s="135"/>
      <c r="GXG300" s="135"/>
      <c r="GXH300" s="173"/>
      <c r="GXI300" s="173"/>
      <c r="GXJ300" s="173"/>
      <c r="GXK300" s="173"/>
      <c r="GXL300" s="173"/>
      <c r="GXM300" s="173"/>
      <c r="GXN300" s="173"/>
      <c r="GXO300" s="173"/>
      <c r="GXP300" s="173"/>
      <c r="GXQ300" s="173"/>
      <c r="GXR300" s="125"/>
      <c r="GXS300" s="125"/>
      <c r="GXT300" s="134"/>
      <c r="GXU300" s="135"/>
      <c r="GXV300" s="135"/>
      <c r="GXW300" s="135"/>
      <c r="GXX300" s="135"/>
      <c r="GXY300" s="173"/>
      <c r="GXZ300" s="173"/>
      <c r="GYA300" s="173"/>
      <c r="GYB300" s="173"/>
      <c r="GYC300" s="173"/>
      <c r="GYD300" s="173"/>
      <c r="GYE300" s="173"/>
      <c r="GYF300" s="173"/>
      <c r="GYG300" s="173"/>
      <c r="GYH300" s="173"/>
      <c r="GYI300" s="125"/>
      <c r="GYJ300" s="125"/>
      <c r="GYK300" s="134"/>
      <c r="GYL300" s="135"/>
      <c r="GYM300" s="135"/>
      <c r="GYN300" s="135"/>
      <c r="GYO300" s="135"/>
      <c r="GYP300" s="173"/>
      <c r="GYQ300" s="173"/>
      <c r="GYR300" s="173"/>
      <c r="GYS300" s="173"/>
      <c r="GYT300" s="173"/>
      <c r="GYU300" s="173"/>
      <c r="GYV300" s="173"/>
      <c r="GYW300" s="173"/>
      <c r="GYX300" s="173"/>
      <c r="GYY300" s="173"/>
      <c r="GYZ300" s="125"/>
      <c r="GZA300" s="125"/>
      <c r="GZB300" s="134"/>
      <c r="GZC300" s="135"/>
      <c r="GZD300" s="135"/>
      <c r="GZE300" s="135"/>
      <c r="GZF300" s="135"/>
      <c r="GZG300" s="173"/>
      <c r="GZH300" s="173"/>
      <c r="GZI300" s="173"/>
      <c r="GZJ300" s="173"/>
      <c r="GZK300" s="173"/>
      <c r="GZL300" s="173"/>
      <c r="GZM300" s="173"/>
      <c r="GZN300" s="173"/>
      <c r="GZO300" s="173"/>
      <c r="GZP300" s="173"/>
      <c r="GZQ300" s="125"/>
      <c r="GZR300" s="125"/>
      <c r="GZS300" s="134"/>
      <c r="GZT300" s="135"/>
      <c r="GZU300" s="135"/>
      <c r="GZV300" s="135"/>
      <c r="GZW300" s="135"/>
      <c r="GZX300" s="173"/>
      <c r="GZY300" s="173"/>
      <c r="GZZ300" s="173"/>
      <c r="HAA300" s="173"/>
      <c r="HAB300" s="173"/>
      <c r="HAC300" s="173"/>
      <c r="HAD300" s="173"/>
      <c r="HAE300" s="173"/>
      <c r="HAF300" s="173"/>
      <c r="HAG300" s="173"/>
      <c r="HAH300" s="125"/>
      <c r="HAI300" s="125"/>
      <c r="HAJ300" s="134"/>
      <c r="HAK300" s="135"/>
      <c r="HAL300" s="135"/>
      <c r="HAM300" s="135"/>
      <c r="HAN300" s="135"/>
      <c r="HAO300" s="173"/>
      <c r="HAP300" s="173"/>
      <c r="HAQ300" s="173"/>
      <c r="HAR300" s="173"/>
      <c r="HAS300" s="173"/>
      <c r="HAT300" s="173"/>
      <c r="HAU300" s="173"/>
      <c r="HAV300" s="173"/>
      <c r="HAW300" s="173"/>
      <c r="HAX300" s="173"/>
      <c r="HAY300" s="125"/>
      <c r="HAZ300" s="125"/>
      <c r="HBA300" s="134"/>
      <c r="HBB300" s="135"/>
      <c r="HBC300" s="135"/>
      <c r="HBD300" s="135"/>
      <c r="HBE300" s="135"/>
      <c r="HBF300" s="173"/>
      <c r="HBG300" s="173"/>
      <c r="HBH300" s="173"/>
      <c r="HBI300" s="173"/>
      <c r="HBJ300" s="173"/>
      <c r="HBK300" s="173"/>
      <c r="HBL300" s="173"/>
      <c r="HBM300" s="173"/>
      <c r="HBN300" s="173"/>
      <c r="HBO300" s="173"/>
      <c r="HBP300" s="125"/>
      <c r="HBQ300" s="125"/>
      <c r="HBR300" s="134"/>
      <c r="HBS300" s="135"/>
      <c r="HBT300" s="135"/>
      <c r="HBU300" s="135"/>
      <c r="HBV300" s="135"/>
      <c r="HBW300" s="173"/>
      <c r="HBX300" s="173"/>
      <c r="HBY300" s="173"/>
      <c r="HBZ300" s="173"/>
      <c r="HCA300" s="173"/>
      <c r="HCB300" s="173"/>
      <c r="HCC300" s="173"/>
      <c r="HCD300" s="173"/>
      <c r="HCE300" s="173"/>
      <c r="HCF300" s="173"/>
      <c r="HCG300" s="125"/>
      <c r="HCH300" s="125"/>
      <c r="HCI300" s="134"/>
      <c r="HCJ300" s="135"/>
      <c r="HCK300" s="135"/>
      <c r="HCL300" s="135"/>
      <c r="HCM300" s="135"/>
      <c r="HCN300" s="173"/>
      <c r="HCO300" s="173"/>
      <c r="HCP300" s="173"/>
      <c r="HCQ300" s="173"/>
      <c r="HCR300" s="173"/>
      <c r="HCS300" s="173"/>
      <c r="HCT300" s="173"/>
      <c r="HCU300" s="173"/>
      <c r="HCV300" s="173"/>
      <c r="HCW300" s="173"/>
      <c r="HCX300" s="125"/>
      <c r="HCY300" s="125"/>
      <c r="HCZ300" s="134"/>
      <c r="HDA300" s="135"/>
      <c r="HDB300" s="135"/>
      <c r="HDC300" s="135"/>
      <c r="HDD300" s="135"/>
      <c r="HDE300" s="173"/>
      <c r="HDF300" s="173"/>
      <c r="HDG300" s="173"/>
      <c r="HDH300" s="173"/>
      <c r="HDI300" s="173"/>
      <c r="HDJ300" s="173"/>
      <c r="HDK300" s="173"/>
      <c r="HDL300" s="173"/>
      <c r="HDM300" s="173"/>
      <c r="HDN300" s="173"/>
      <c r="HDO300" s="125"/>
      <c r="HDP300" s="125"/>
      <c r="HDQ300" s="134"/>
      <c r="HDR300" s="135"/>
      <c r="HDS300" s="135"/>
      <c r="HDT300" s="135"/>
      <c r="HDU300" s="135"/>
      <c r="HDV300" s="173"/>
      <c r="HDW300" s="173"/>
      <c r="HDX300" s="173"/>
      <c r="HDY300" s="173"/>
      <c r="HDZ300" s="173"/>
      <c r="HEA300" s="173"/>
      <c r="HEB300" s="173"/>
      <c r="HEC300" s="173"/>
      <c r="HED300" s="173"/>
      <c r="HEE300" s="173"/>
      <c r="HEF300" s="125"/>
      <c r="HEG300" s="125"/>
      <c r="HEH300" s="134"/>
      <c r="HEI300" s="135"/>
      <c r="HEJ300" s="135"/>
      <c r="HEK300" s="135"/>
      <c r="HEL300" s="135"/>
      <c r="HEM300" s="173"/>
      <c r="HEN300" s="173"/>
      <c r="HEO300" s="173"/>
      <c r="HEP300" s="173"/>
      <c r="HEQ300" s="173"/>
      <c r="HER300" s="173"/>
      <c r="HES300" s="173"/>
      <c r="HET300" s="173"/>
      <c r="HEU300" s="173"/>
      <c r="HEV300" s="173"/>
      <c r="HEW300" s="125"/>
      <c r="HEX300" s="125"/>
      <c r="HEY300" s="134"/>
      <c r="HEZ300" s="135"/>
      <c r="HFA300" s="135"/>
      <c r="HFB300" s="135"/>
      <c r="HFC300" s="135"/>
      <c r="HFD300" s="173"/>
      <c r="HFE300" s="173"/>
      <c r="HFF300" s="173"/>
      <c r="HFG300" s="173"/>
      <c r="HFH300" s="173"/>
      <c r="HFI300" s="173"/>
      <c r="HFJ300" s="173"/>
      <c r="HFK300" s="173"/>
      <c r="HFL300" s="173"/>
      <c r="HFM300" s="173"/>
      <c r="HFN300" s="125"/>
      <c r="HFO300" s="125"/>
      <c r="HFP300" s="134"/>
      <c r="HFQ300" s="135"/>
      <c r="HFR300" s="135"/>
      <c r="HFS300" s="135"/>
      <c r="HFT300" s="135"/>
      <c r="HFU300" s="173"/>
      <c r="HFV300" s="173"/>
      <c r="HFW300" s="173"/>
      <c r="HFX300" s="173"/>
      <c r="HFY300" s="173"/>
      <c r="HFZ300" s="173"/>
      <c r="HGA300" s="173"/>
      <c r="HGB300" s="173"/>
      <c r="HGC300" s="173"/>
      <c r="HGD300" s="173"/>
      <c r="HGE300" s="125"/>
      <c r="HGF300" s="125"/>
      <c r="HGG300" s="134"/>
      <c r="HGH300" s="135"/>
      <c r="HGI300" s="135"/>
      <c r="HGJ300" s="135"/>
      <c r="HGK300" s="135"/>
      <c r="HGL300" s="173"/>
      <c r="HGM300" s="173"/>
      <c r="HGN300" s="173"/>
      <c r="HGO300" s="173"/>
      <c r="HGP300" s="173"/>
      <c r="HGQ300" s="173"/>
      <c r="HGR300" s="173"/>
      <c r="HGS300" s="173"/>
      <c r="HGT300" s="173"/>
      <c r="HGU300" s="173"/>
      <c r="HGV300" s="125"/>
      <c r="HGW300" s="125"/>
      <c r="HGX300" s="134"/>
      <c r="HGY300" s="135"/>
      <c r="HGZ300" s="135"/>
      <c r="HHA300" s="135"/>
      <c r="HHB300" s="135"/>
      <c r="HHC300" s="173"/>
      <c r="HHD300" s="173"/>
      <c r="HHE300" s="173"/>
      <c r="HHF300" s="173"/>
      <c r="HHG300" s="173"/>
      <c r="HHH300" s="173"/>
      <c r="HHI300" s="173"/>
      <c r="HHJ300" s="173"/>
      <c r="HHK300" s="173"/>
      <c r="HHL300" s="173"/>
      <c r="HHM300" s="125"/>
      <c r="HHN300" s="125"/>
      <c r="HHO300" s="134"/>
      <c r="HHP300" s="135"/>
      <c r="HHQ300" s="135"/>
      <c r="HHR300" s="135"/>
      <c r="HHS300" s="135"/>
      <c r="HHT300" s="173"/>
      <c r="HHU300" s="173"/>
      <c r="HHV300" s="173"/>
      <c r="HHW300" s="173"/>
      <c r="HHX300" s="173"/>
      <c r="HHY300" s="173"/>
      <c r="HHZ300" s="173"/>
      <c r="HIA300" s="173"/>
      <c r="HIB300" s="173"/>
      <c r="HIC300" s="173"/>
      <c r="HID300" s="125"/>
      <c r="HIE300" s="125"/>
      <c r="HIF300" s="134"/>
      <c r="HIG300" s="135"/>
      <c r="HIH300" s="135"/>
      <c r="HII300" s="135"/>
      <c r="HIJ300" s="135"/>
      <c r="HIK300" s="173"/>
      <c r="HIL300" s="173"/>
      <c r="HIM300" s="173"/>
      <c r="HIN300" s="173"/>
      <c r="HIO300" s="173"/>
      <c r="HIP300" s="173"/>
      <c r="HIQ300" s="173"/>
      <c r="HIR300" s="173"/>
      <c r="HIS300" s="173"/>
      <c r="HIT300" s="173"/>
      <c r="HIU300" s="125"/>
      <c r="HIV300" s="125"/>
      <c r="HIW300" s="134"/>
      <c r="HIX300" s="135"/>
      <c r="HIY300" s="135"/>
      <c r="HIZ300" s="135"/>
      <c r="HJA300" s="135"/>
      <c r="HJB300" s="173"/>
      <c r="HJC300" s="173"/>
      <c r="HJD300" s="173"/>
      <c r="HJE300" s="173"/>
      <c r="HJF300" s="173"/>
      <c r="HJG300" s="173"/>
      <c r="HJH300" s="173"/>
      <c r="HJI300" s="173"/>
      <c r="HJJ300" s="173"/>
      <c r="HJK300" s="173"/>
      <c r="HJL300" s="125"/>
      <c r="HJM300" s="125"/>
      <c r="HJN300" s="134"/>
      <c r="HJO300" s="135"/>
      <c r="HJP300" s="135"/>
      <c r="HJQ300" s="135"/>
      <c r="HJR300" s="135"/>
      <c r="HJS300" s="173"/>
      <c r="HJT300" s="173"/>
      <c r="HJU300" s="173"/>
      <c r="HJV300" s="173"/>
      <c r="HJW300" s="173"/>
      <c r="HJX300" s="173"/>
      <c r="HJY300" s="173"/>
      <c r="HJZ300" s="173"/>
      <c r="HKA300" s="173"/>
      <c r="HKB300" s="173"/>
      <c r="HKC300" s="125"/>
      <c r="HKD300" s="125"/>
      <c r="HKE300" s="134"/>
      <c r="HKF300" s="135"/>
      <c r="HKG300" s="135"/>
      <c r="HKH300" s="135"/>
      <c r="HKI300" s="135"/>
      <c r="HKJ300" s="173"/>
      <c r="HKK300" s="173"/>
      <c r="HKL300" s="173"/>
      <c r="HKM300" s="173"/>
      <c r="HKN300" s="173"/>
      <c r="HKO300" s="173"/>
      <c r="HKP300" s="173"/>
      <c r="HKQ300" s="173"/>
      <c r="HKR300" s="173"/>
      <c r="HKS300" s="173"/>
      <c r="HKT300" s="125"/>
      <c r="HKU300" s="125"/>
      <c r="HKV300" s="134"/>
      <c r="HKW300" s="135"/>
      <c r="HKX300" s="135"/>
      <c r="HKY300" s="135"/>
      <c r="HKZ300" s="135"/>
      <c r="HLA300" s="173"/>
      <c r="HLB300" s="173"/>
      <c r="HLC300" s="173"/>
      <c r="HLD300" s="173"/>
      <c r="HLE300" s="173"/>
      <c r="HLF300" s="173"/>
      <c r="HLG300" s="173"/>
      <c r="HLH300" s="173"/>
      <c r="HLI300" s="173"/>
      <c r="HLJ300" s="173"/>
      <c r="HLK300" s="125"/>
      <c r="HLL300" s="125"/>
      <c r="HLM300" s="134"/>
      <c r="HLN300" s="135"/>
      <c r="HLO300" s="135"/>
      <c r="HLP300" s="135"/>
      <c r="HLQ300" s="135"/>
      <c r="HLR300" s="173"/>
      <c r="HLS300" s="173"/>
      <c r="HLT300" s="173"/>
      <c r="HLU300" s="173"/>
      <c r="HLV300" s="173"/>
      <c r="HLW300" s="173"/>
      <c r="HLX300" s="173"/>
      <c r="HLY300" s="173"/>
      <c r="HLZ300" s="173"/>
      <c r="HMA300" s="173"/>
      <c r="HMB300" s="125"/>
      <c r="HMC300" s="125"/>
      <c r="HMD300" s="134"/>
      <c r="HME300" s="135"/>
      <c r="HMF300" s="135"/>
      <c r="HMG300" s="135"/>
      <c r="HMH300" s="135"/>
      <c r="HMI300" s="173"/>
      <c r="HMJ300" s="173"/>
      <c r="HMK300" s="173"/>
      <c r="HML300" s="173"/>
      <c r="HMM300" s="173"/>
      <c r="HMN300" s="173"/>
      <c r="HMO300" s="173"/>
      <c r="HMP300" s="173"/>
      <c r="HMQ300" s="173"/>
      <c r="HMR300" s="173"/>
      <c r="HMS300" s="125"/>
      <c r="HMT300" s="125"/>
      <c r="HMU300" s="134"/>
      <c r="HMV300" s="135"/>
      <c r="HMW300" s="135"/>
      <c r="HMX300" s="135"/>
      <c r="HMY300" s="135"/>
      <c r="HMZ300" s="173"/>
      <c r="HNA300" s="173"/>
      <c r="HNB300" s="173"/>
      <c r="HNC300" s="173"/>
      <c r="HND300" s="173"/>
      <c r="HNE300" s="173"/>
      <c r="HNF300" s="173"/>
      <c r="HNG300" s="173"/>
      <c r="HNH300" s="173"/>
      <c r="HNI300" s="173"/>
      <c r="HNJ300" s="125"/>
      <c r="HNK300" s="125"/>
      <c r="HNL300" s="134"/>
      <c r="HNM300" s="135"/>
      <c r="HNN300" s="135"/>
      <c r="HNO300" s="135"/>
      <c r="HNP300" s="135"/>
      <c r="HNQ300" s="173"/>
      <c r="HNR300" s="173"/>
      <c r="HNS300" s="173"/>
      <c r="HNT300" s="173"/>
      <c r="HNU300" s="173"/>
      <c r="HNV300" s="173"/>
      <c r="HNW300" s="173"/>
      <c r="HNX300" s="173"/>
      <c r="HNY300" s="173"/>
      <c r="HNZ300" s="173"/>
      <c r="HOA300" s="125"/>
      <c r="HOB300" s="125"/>
      <c r="HOC300" s="134"/>
      <c r="HOD300" s="135"/>
      <c r="HOE300" s="135"/>
      <c r="HOF300" s="135"/>
      <c r="HOG300" s="135"/>
      <c r="HOH300" s="173"/>
      <c r="HOI300" s="173"/>
      <c r="HOJ300" s="173"/>
      <c r="HOK300" s="173"/>
      <c r="HOL300" s="173"/>
      <c r="HOM300" s="173"/>
      <c r="HON300" s="173"/>
      <c r="HOO300" s="173"/>
      <c r="HOP300" s="173"/>
      <c r="HOQ300" s="173"/>
      <c r="HOR300" s="125"/>
      <c r="HOS300" s="125"/>
      <c r="HOT300" s="134"/>
      <c r="HOU300" s="135"/>
      <c r="HOV300" s="135"/>
      <c r="HOW300" s="135"/>
      <c r="HOX300" s="135"/>
      <c r="HOY300" s="173"/>
      <c r="HOZ300" s="173"/>
      <c r="HPA300" s="173"/>
      <c r="HPB300" s="173"/>
      <c r="HPC300" s="173"/>
      <c r="HPD300" s="173"/>
      <c r="HPE300" s="173"/>
      <c r="HPF300" s="173"/>
      <c r="HPG300" s="173"/>
      <c r="HPH300" s="173"/>
      <c r="HPI300" s="125"/>
      <c r="HPJ300" s="125"/>
      <c r="HPK300" s="134"/>
      <c r="HPL300" s="135"/>
      <c r="HPM300" s="135"/>
      <c r="HPN300" s="135"/>
      <c r="HPO300" s="135"/>
      <c r="HPP300" s="173"/>
      <c r="HPQ300" s="173"/>
      <c r="HPR300" s="173"/>
      <c r="HPS300" s="173"/>
      <c r="HPT300" s="173"/>
      <c r="HPU300" s="173"/>
      <c r="HPV300" s="173"/>
      <c r="HPW300" s="173"/>
      <c r="HPX300" s="173"/>
      <c r="HPY300" s="173"/>
      <c r="HPZ300" s="125"/>
      <c r="HQA300" s="125"/>
      <c r="HQB300" s="134"/>
      <c r="HQC300" s="135"/>
      <c r="HQD300" s="135"/>
      <c r="HQE300" s="135"/>
      <c r="HQF300" s="135"/>
      <c r="HQG300" s="173"/>
      <c r="HQH300" s="173"/>
      <c r="HQI300" s="173"/>
      <c r="HQJ300" s="173"/>
      <c r="HQK300" s="173"/>
      <c r="HQL300" s="173"/>
      <c r="HQM300" s="173"/>
      <c r="HQN300" s="173"/>
      <c r="HQO300" s="173"/>
      <c r="HQP300" s="173"/>
      <c r="HQQ300" s="125"/>
      <c r="HQR300" s="125"/>
      <c r="HQS300" s="134"/>
      <c r="HQT300" s="135"/>
      <c r="HQU300" s="135"/>
      <c r="HQV300" s="135"/>
      <c r="HQW300" s="135"/>
      <c r="HQX300" s="173"/>
      <c r="HQY300" s="173"/>
      <c r="HQZ300" s="173"/>
      <c r="HRA300" s="173"/>
      <c r="HRB300" s="173"/>
      <c r="HRC300" s="173"/>
      <c r="HRD300" s="173"/>
      <c r="HRE300" s="173"/>
      <c r="HRF300" s="173"/>
      <c r="HRG300" s="173"/>
      <c r="HRH300" s="125"/>
      <c r="HRI300" s="125"/>
      <c r="HRJ300" s="134"/>
      <c r="HRK300" s="135"/>
      <c r="HRL300" s="135"/>
      <c r="HRM300" s="135"/>
      <c r="HRN300" s="135"/>
      <c r="HRO300" s="173"/>
      <c r="HRP300" s="173"/>
      <c r="HRQ300" s="173"/>
      <c r="HRR300" s="173"/>
      <c r="HRS300" s="173"/>
      <c r="HRT300" s="173"/>
      <c r="HRU300" s="173"/>
      <c r="HRV300" s="173"/>
      <c r="HRW300" s="173"/>
      <c r="HRX300" s="173"/>
      <c r="HRY300" s="125"/>
      <c r="HRZ300" s="125"/>
      <c r="HSA300" s="134"/>
      <c r="HSB300" s="135"/>
      <c r="HSC300" s="135"/>
      <c r="HSD300" s="135"/>
      <c r="HSE300" s="135"/>
      <c r="HSF300" s="173"/>
      <c r="HSG300" s="173"/>
      <c r="HSH300" s="173"/>
      <c r="HSI300" s="173"/>
      <c r="HSJ300" s="173"/>
      <c r="HSK300" s="173"/>
      <c r="HSL300" s="173"/>
      <c r="HSM300" s="173"/>
      <c r="HSN300" s="173"/>
      <c r="HSO300" s="173"/>
      <c r="HSP300" s="125"/>
      <c r="HSQ300" s="125"/>
      <c r="HSR300" s="134"/>
      <c r="HSS300" s="135"/>
      <c r="HST300" s="135"/>
      <c r="HSU300" s="135"/>
      <c r="HSV300" s="135"/>
      <c r="HSW300" s="173"/>
      <c r="HSX300" s="173"/>
      <c r="HSY300" s="173"/>
      <c r="HSZ300" s="173"/>
      <c r="HTA300" s="173"/>
      <c r="HTB300" s="173"/>
      <c r="HTC300" s="173"/>
      <c r="HTD300" s="173"/>
      <c r="HTE300" s="173"/>
      <c r="HTF300" s="173"/>
      <c r="HTG300" s="125"/>
      <c r="HTH300" s="125"/>
      <c r="HTI300" s="134"/>
      <c r="HTJ300" s="135"/>
      <c r="HTK300" s="135"/>
      <c r="HTL300" s="135"/>
      <c r="HTM300" s="135"/>
      <c r="HTN300" s="173"/>
      <c r="HTO300" s="173"/>
      <c r="HTP300" s="173"/>
      <c r="HTQ300" s="173"/>
      <c r="HTR300" s="173"/>
      <c r="HTS300" s="173"/>
      <c r="HTT300" s="173"/>
      <c r="HTU300" s="173"/>
      <c r="HTV300" s="173"/>
      <c r="HTW300" s="173"/>
      <c r="HTX300" s="125"/>
      <c r="HTY300" s="125"/>
      <c r="HTZ300" s="134"/>
      <c r="HUA300" s="135"/>
      <c r="HUB300" s="135"/>
      <c r="HUC300" s="135"/>
      <c r="HUD300" s="135"/>
      <c r="HUE300" s="173"/>
      <c r="HUF300" s="173"/>
      <c r="HUG300" s="173"/>
      <c r="HUH300" s="173"/>
      <c r="HUI300" s="173"/>
      <c r="HUJ300" s="173"/>
      <c r="HUK300" s="173"/>
      <c r="HUL300" s="173"/>
      <c r="HUM300" s="173"/>
      <c r="HUN300" s="173"/>
      <c r="HUO300" s="125"/>
      <c r="HUP300" s="125"/>
      <c r="HUQ300" s="134"/>
      <c r="HUR300" s="135"/>
      <c r="HUS300" s="135"/>
      <c r="HUT300" s="135"/>
      <c r="HUU300" s="135"/>
      <c r="HUV300" s="173"/>
      <c r="HUW300" s="173"/>
      <c r="HUX300" s="173"/>
      <c r="HUY300" s="173"/>
      <c r="HUZ300" s="173"/>
      <c r="HVA300" s="173"/>
      <c r="HVB300" s="173"/>
      <c r="HVC300" s="173"/>
      <c r="HVD300" s="173"/>
      <c r="HVE300" s="173"/>
      <c r="HVF300" s="125"/>
      <c r="HVG300" s="125"/>
      <c r="HVH300" s="134"/>
      <c r="HVI300" s="135"/>
      <c r="HVJ300" s="135"/>
      <c r="HVK300" s="135"/>
      <c r="HVL300" s="135"/>
      <c r="HVM300" s="173"/>
      <c r="HVN300" s="173"/>
      <c r="HVO300" s="173"/>
      <c r="HVP300" s="173"/>
      <c r="HVQ300" s="173"/>
      <c r="HVR300" s="173"/>
      <c r="HVS300" s="173"/>
      <c r="HVT300" s="173"/>
      <c r="HVU300" s="173"/>
      <c r="HVV300" s="173"/>
      <c r="HVW300" s="125"/>
      <c r="HVX300" s="125"/>
      <c r="HVY300" s="134"/>
      <c r="HVZ300" s="135"/>
      <c r="HWA300" s="135"/>
      <c r="HWB300" s="135"/>
      <c r="HWC300" s="135"/>
      <c r="HWD300" s="173"/>
      <c r="HWE300" s="173"/>
      <c r="HWF300" s="173"/>
      <c r="HWG300" s="173"/>
      <c r="HWH300" s="173"/>
      <c r="HWI300" s="173"/>
      <c r="HWJ300" s="173"/>
      <c r="HWK300" s="173"/>
      <c r="HWL300" s="173"/>
      <c r="HWM300" s="173"/>
      <c r="HWN300" s="125"/>
      <c r="HWO300" s="125"/>
      <c r="HWP300" s="134"/>
      <c r="HWQ300" s="135"/>
      <c r="HWR300" s="135"/>
      <c r="HWS300" s="135"/>
      <c r="HWT300" s="135"/>
      <c r="HWU300" s="173"/>
      <c r="HWV300" s="173"/>
      <c r="HWW300" s="173"/>
      <c r="HWX300" s="173"/>
      <c r="HWY300" s="173"/>
      <c r="HWZ300" s="173"/>
      <c r="HXA300" s="173"/>
      <c r="HXB300" s="173"/>
      <c r="HXC300" s="173"/>
      <c r="HXD300" s="173"/>
      <c r="HXE300" s="125"/>
      <c r="HXF300" s="125"/>
      <c r="HXG300" s="134"/>
      <c r="HXH300" s="135"/>
      <c r="HXI300" s="135"/>
      <c r="HXJ300" s="135"/>
      <c r="HXK300" s="135"/>
      <c r="HXL300" s="173"/>
      <c r="HXM300" s="173"/>
      <c r="HXN300" s="173"/>
      <c r="HXO300" s="173"/>
      <c r="HXP300" s="173"/>
      <c r="HXQ300" s="173"/>
      <c r="HXR300" s="173"/>
      <c r="HXS300" s="173"/>
      <c r="HXT300" s="173"/>
      <c r="HXU300" s="173"/>
      <c r="HXV300" s="125"/>
      <c r="HXW300" s="125"/>
      <c r="HXX300" s="134"/>
      <c r="HXY300" s="135"/>
      <c r="HXZ300" s="135"/>
      <c r="HYA300" s="135"/>
      <c r="HYB300" s="135"/>
      <c r="HYC300" s="173"/>
      <c r="HYD300" s="173"/>
      <c r="HYE300" s="173"/>
      <c r="HYF300" s="173"/>
      <c r="HYG300" s="173"/>
      <c r="HYH300" s="173"/>
      <c r="HYI300" s="173"/>
      <c r="HYJ300" s="173"/>
      <c r="HYK300" s="173"/>
      <c r="HYL300" s="173"/>
      <c r="HYM300" s="125"/>
      <c r="HYN300" s="125"/>
      <c r="HYO300" s="134"/>
      <c r="HYP300" s="135"/>
      <c r="HYQ300" s="135"/>
      <c r="HYR300" s="135"/>
      <c r="HYS300" s="135"/>
      <c r="HYT300" s="173"/>
      <c r="HYU300" s="173"/>
      <c r="HYV300" s="173"/>
      <c r="HYW300" s="173"/>
      <c r="HYX300" s="173"/>
      <c r="HYY300" s="173"/>
      <c r="HYZ300" s="173"/>
      <c r="HZA300" s="173"/>
      <c r="HZB300" s="173"/>
      <c r="HZC300" s="173"/>
      <c r="HZD300" s="125"/>
      <c r="HZE300" s="125"/>
      <c r="HZF300" s="134"/>
      <c r="HZG300" s="135"/>
      <c r="HZH300" s="135"/>
      <c r="HZI300" s="135"/>
      <c r="HZJ300" s="135"/>
      <c r="HZK300" s="173"/>
      <c r="HZL300" s="173"/>
      <c r="HZM300" s="173"/>
      <c r="HZN300" s="173"/>
      <c r="HZO300" s="173"/>
      <c r="HZP300" s="173"/>
      <c r="HZQ300" s="173"/>
      <c r="HZR300" s="173"/>
      <c r="HZS300" s="173"/>
      <c r="HZT300" s="173"/>
      <c r="HZU300" s="125"/>
      <c r="HZV300" s="125"/>
      <c r="HZW300" s="134"/>
      <c r="HZX300" s="135"/>
      <c r="HZY300" s="135"/>
      <c r="HZZ300" s="135"/>
      <c r="IAA300" s="135"/>
      <c r="IAB300" s="173"/>
      <c r="IAC300" s="173"/>
      <c r="IAD300" s="173"/>
      <c r="IAE300" s="173"/>
      <c r="IAF300" s="173"/>
      <c r="IAG300" s="173"/>
      <c r="IAH300" s="173"/>
      <c r="IAI300" s="173"/>
      <c r="IAJ300" s="173"/>
      <c r="IAK300" s="173"/>
      <c r="IAL300" s="125"/>
      <c r="IAM300" s="125"/>
      <c r="IAN300" s="134"/>
      <c r="IAO300" s="135"/>
      <c r="IAP300" s="135"/>
      <c r="IAQ300" s="135"/>
      <c r="IAR300" s="135"/>
      <c r="IAS300" s="173"/>
      <c r="IAT300" s="173"/>
      <c r="IAU300" s="173"/>
      <c r="IAV300" s="173"/>
      <c r="IAW300" s="173"/>
      <c r="IAX300" s="173"/>
      <c r="IAY300" s="173"/>
      <c r="IAZ300" s="173"/>
      <c r="IBA300" s="173"/>
      <c r="IBB300" s="173"/>
      <c r="IBC300" s="125"/>
      <c r="IBD300" s="125"/>
      <c r="IBE300" s="134"/>
      <c r="IBF300" s="135"/>
      <c r="IBG300" s="135"/>
      <c r="IBH300" s="135"/>
      <c r="IBI300" s="135"/>
      <c r="IBJ300" s="173"/>
      <c r="IBK300" s="173"/>
      <c r="IBL300" s="173"/>
      <c r="IBM300" s="173"/>
      <c r="IBN300" s="173"/>
      <c r="IBO300" s="173"/>
      <c r="IBP300" s="173"/>
      <c r="IBQ300" s="173"/>
      <c r="IBR300" s="173"/>
      <c r="IBS300" s="173"/>
      <c r="IBT300" s="125"/>
      <c r="IBU300" s="125"/>
      <c r="IBV300" s="134"/>
      <c r="IBW300" s="135"/>
      <c r="IBX300" s="135"/>
      <c r="IBY300" s="135"/>
      <c r="IBZ300" s="135"/>
      <c r="ICA300" s="173"/>
      <c r="ICB300" s="173"/>
      <c r="ICC300" s="173"/>
      <c r="ICD300" s="173"/>
      <c r="ICE300" s="173"/>
      <c r="ICF300" s="173"/>
      <c r="ICG300" s="173"/>
      <c r="ICH300" s="173"/>
      <c r="ICI300" s="173"/>
      <c r="ICJ300" s="173"/>
      <c r="ICK300" s="125"/>
      <c r="ICL300" s="125"/>
      <c r="ICM300" s="134"/>
      <c r="ICN300" s="135"/>
      <c r="ICO300" s="135"/>
      <c r="ICP300" s="135"/>
      <c r="ICQ300" s="135"/>
      <c r="ICR300" s="173"/>
      <c r="ICS300" s="173"/>
      <c r="ICT300" s="173"/>
      <c r="ICU300" s="173"/>
      <c r="ICV300" s="173"/>
      <c r="ICW300" s="173"/>
      <c r="ICX300" s="173"/>
      <c r="ICY300" s="173"/>
      <c r="ICZ300" s="173"/>
      <c r="IDA300" s="173"/>
      <c r="IDB300" s="125"/>
      <c r="IDC300" s="125"/>
      <c r="IDD300" s="134"/>
      <c r="IDE300" s="135"/>
      <c r="IDF300" s="135"/>
      <c r="IDG300" s="135"/>
      <c r="IDH300" s="135"/>
      <c r="IDI300" s="173"/>
      <c r="IDJ300" s="173"/>
      <c r="IDK300" s="173"/>
      <c r="IDL300" s="173"/>
      <c r="IDM300" s="173"/>
      <c r="IDN300" s="173"/>
      <c r="IDO300" s="173"/>
      <c r="IDP300" s="173"/>
      <c r="IDQ300" s="173"/>
      <c r="IDR300" s="173"/>
      <c r="IDS300" s="125"/>
      <c r="IDT300" s="125"/>
      <c r="IDU300" s="134"/>
      <c r="IDV300" s="135"/>
      <c r="IDW300" s="135"/>
      <c r="IDX300" s="135"/>
      <c r="IDY300" s="135"/>
      <c r="IDZ300" s="173"/>
      <c r="IEA300" s="173"/>
      <c r="IEB300" s="173"/>
      <c r="IEC300" s="173"/>
      <c r="IED300" s="173"/>
      <c r="IEE300" s="173"/>
      <c r="IEF300" s="173"/>
      <c r="IEG300" s="173"/>
      <c r="IEH300" s="173"/>
      <c r="IEI300" s="173"/>
      <c r="IEJ300" s="125"/>
      <c r="IEK300" s="125"/>
      <c r="IEL300" s="134"/>
      <c r="IEM300" s="135"/>
      <c r="IEN300" s="135"/>
      <c r="IEO300" s="135"/>
      <c r="IEP300" s="135"/>
      <c r="IEQ300" s="173"/>
      <c r="IER300" s="173"/>
      <c r="IES300" s="173"/>
      <c r="IET300" s="173"/>
      <c r="IEU300" s="173"/>
      <c r="IEV300" s="173"/>
      <c r="IEW300" s="173"/>
      <c r="IEX300" s="173"/>
      <c r="IEY300" s="173"/>
      <c r="IEZ300" s="173"/>
      <c r="IFA300" s="125"/>
      <c r="IFB300" s="125"/>
      <c r="IFC300" s="134"/>
      <c r="IFD300" s="135"/>
      <c r="IFE300" s="135"/>
      <c r="IFF300" s="135"/>
      <c r="IFG300" s="135"/>
      <c r="IFH300" s="173"/>
      <c r="IFI300" s="173"/>
      <c r="IFJ300" s="173"/>
      <c r="IFK300" s="173"/>
      <c r="IFL300" s="173"/>
      <c r="IFM300" s="173"/>
      <c r="IFN300" s="173"/>
      <c r="IFO300" s="173"/>
      <c r="IFP300" s="173"/>
      <c r="IFQ300" s="173"/>
      <c r="IFR300" s="125"/>
      <c r="IFS300" s="125"/>
      <c r="IFT300" s="134"/>
      <c r="IFU300" s="135"/>
      <c r="IFV300" s="135"/>
      <c r="IFW300" s="135"/>
      <c r="IFX300" s="135"/>
      <c r="IFY300" s="173"/>
      <c r="IFZ300" s="173"/>
      <c r="IGA300" s="173"/>
      <c r="IGB300" s="173"/>
      <c r="IGC300" s="173"/>
      <c r="IGD300" s="173"/>
      <c r="IGE300" s="173"/>
      <c r="IGF300" s="173"/>
      <c r="IGG300" s="173"/>
      <c r="IGH300" s="173"/>
      <c r="IGI300" s="125"/>
      <c r="IGJ300" s="125"/>
      <c r="IGK300" s="134"/>
      <c r="IGL300" s="135"/>
      <c r="IGM300" s="135"/>
      <c r="IGN300" s="135"/>
      <c r="IGO300" s="135"/>
      <c r="IGP300" s="173"/>
      <c r="IGQ300" s="173"/>
      <c r="IGR300" s="173"/>
      <c r="IGS300" s="173"/>
      <c r="IGT300" s="173"/>
      <c r="IGU300" s="173"/>
      <c r="IGV300" s="173"/>
      <c r="IGW300" s="173"/>
      <c r="IGX300" s="173"/>
      <c r="IGY300" s="173"/>
      <c r="IGZ300" s="125"/>
      <c r="IHA300" s="125"/>
      <c r="IHB300" s="134"/>
      <c r="IHC300" s="135"/>
      <c r="IHD300" s="135"/>
      <c r="IHE300" s="135"/>
      <c r="IHF300" s="135"/>
      <c r="IHG300" s="173"/>
      <c r="IHH300" s="173"/>
      <c r="IHI300" s="173"/>
      <c r="IHJ300" s="173"/>
      <c r="IHK300" s="173"/>
      <c r="IHL300" s="173"/>
      <c r="IHM300" s="173"/>
      <c r="IHN300" s="173"/>
      <c r="IHO300" s="173"/>
      <c r="IHP300" s="173"/>
      <c r="IHQ300" s="125"/>
      <c r="IHR300" s="125"/>
      <c r="IHS300" s="134"/>
      <c r="IHT300" s="135"/>
      <c r="IHU300" s="135"/>
      <c r="IHV300" s="135"/>
      <c r="IHW300" s="135"/>
      <c r="IHX300" s="173"/>
      <c r="IHY300" s="173"/>
      <c r="IHZ300" s="173"/>
      <c r="IIA300" s="173"/>
      <c r="IIB300" s="173"/>
      <c r="IIC300" s="173"/>
      <c r="IID300" s="173"/>
      <c r="IIE300" s="173"/>
      <c r="IIF300" s="173"/>
      <c r="IIG300" s="173"/>
      <c r="IIH300" s="125"/>
      <c r="III300" s="125"/>
      <c r="IIJ300" s="134"/>
      <c r="IIK300" s="135"/>
      <c r="IIL300" s="135"/>
      <c r="IIM300" s="135"/>
      <c r="IIN300" s="135"/>
      <c r="IIO300" s="173"/>
      <c r="IIP300" s="173"/>
      <c r="IIQ300" s="173"/>
      <c r="IIR300" s="173"/>
      <c r="IIS300" s="173"/>
      <c r="IIT300" s="173"/>
      <c r="IIU300" s="173"/>
      <c r="IIV300" s="173"/>
      <c r="IIW300" s="173"/>
      <c r="IIX300" s="173"/>
      <c r="IIY300" s="125"/>
      <c r="IIZ300" s="125"/>
      <c r="IJA300" s="134"/>
      <c r="IJB300" s="135"/>
      <c r="IJC300" s="135"/>
      <c r="IJD300" s="135"/>
      <c r="IJE300" s="135"/>
      <c r="IJF300" s="173"/>
      <c r="IJG300" s="173"/>
      <c r="IJH300" s="173"/>
      <c r="IJI300" s="173"/>
      <c r="IJJ300" s="173"/>
      <c r="IJK300" s="173"/>
      <c r="IJL300" s="173"/>
      <c r="IJM300" s="173"/>
      <c r="IJN300" s="173"/>
      <c r="IJO300" s="173"/>
      <c r="IJP300" s="125"/>
      <c r="IJQ300" s="125"/>
      <c r="IJR300" s="134"/>
      <c r="IJS300" s="135"/>
      <c r="IJT300" s="135"/>
      <c r="IJU300" s="135"/>
      <c r="IJV300" s="135"/>
      <c r="IJW300" s="173"/>
      <c r="IJX300" s="173"/>
      <c r="IJY300" s="173"/>
      <c r="IJZ300" s="173"/>
      <c r="IKA300" s="173"/>
      <c r="IKB300" s="173"/>
      <c r="IKC300" s="173"/>
      <c r="IKD300" s="173"/>
      <c r="IKE300" s="173"/>
      <c r="IKF300" s="173"/>
      <c r="IKG300" s="125"/>
      <c r="IKH300" s="125"/>
      <c r="IKI300" s="134"/>
      <c r="IKJ300" s="135"/>
      <c r="IKK300" s="135"/>
      <c r="IKL300" s="135"/>
      <c r="IKM300" s="135"/>
      <c r="IKN300" s="173"/>
      <c r="IKO300" s="173"/>
      <c r="IKP300" s="173"/>
      <c r="IKQ300" s="173"/>
      <c r="IKR300" s="173"/>
      <c r="IKS300" s="173"/>
      <c r="IKT300" s="173"/>
      <c r="IKU300" s="173"/>
      <c r="IKV300" s="173"/>
      <c r="IKW300" s="173"/>
      <c r="IKX300" s="125"/>
      <c r="IKY300" s="125"/>
      <c r="IKZ300" s="134"/>
      <c r="ILA300" s="135"/>
      <c r="ILB300" s="135"/>
      <c r="ILC300" s="135"/>
      <c r="ILD300" s="135"/>
      <c r="ILE300" s="173"/>
      <c r="ILF300" s="173"/>
      <c r="ILG300" s="173"/>
      <c r="ILH300" s="173"/>
      <c r="ILI300" s="173"/>
      <c r="ILJ300" s="173"/>
      <c r="ILK300" s="173"/>
      <c r="ILL300" s="173"/>
      <c r="ILM300" s="173"/>
      <c r="ILN300" s="173"/>
      <c r="ILO300" s="125"/>
      <c r="ILP300" s="125"/>
      <c r="ILQ300" s="134"/>
      <c r="ILR300" s="135"/>
      <c r="ILS300" s="135"/>
      <c r="ILT300" s="135"/>
      <c r="ILU300" s="135"/>
      <c r="ILV300" s="173"/>
      <c r="ILW300" s="173"/>
      <c r="ILX300" s="173"/>
      <c r="ILY300" s="173"/>
      <c r="ILZ300" s="173"/>
      <c r="IMA300" s="173"/>
      <c r="IMB300" s="173"/>
      <c r="IMC300" s="173"/>
      <c r="IMD300" s="173"/>
      <c r="IME300" s="173"/>
      <c r="IMF300" s="125"/>
      <c r="IMG300" s="125"/>
      <c r="IMH300" s="134"/>
      <c r="IMI300" s="135"/>
      <c r="IMJ300" s="135"/>
      <c r="IMK300" s="135"/>
      <c r="IML300" s="135"/>
      <c r="IMM300" s="173"/>
      <c r="IMN300" s="173"/>
      <c r="IMO300" s="173"/>
      <c r="IMP300" s="173"/>
      <c r="IMQ300" s="173"/>
      <c r="IMR300" s="173"/>
      <c r="IMS300" s="173"/>
      <c r="IMT300" s="173"/>
      <c r="IMU300" s="173"/>
      <c r="IMV300" s="173"/>
      <c r="IMW300" s="125"/>
      <c r="IMX300" s="125"/>
      <c r="IMY300" s="134"/>
      <c r="IMZ300" s="135"/>
      <c r="INA300" s="135"/>
      <c r="INB300" s="135"/>
      <c r="INC300" s="135"/>
      <c r="IND300" s="173"/>
      <c r="INE300" s="173"/>
      <c r="INF300" s="173"/>
      <c r="ING300" s="173"/>
      <c r="INH300" s="173"/>
      <c r="INI300" s="173"/>
      <c r="INJ300" s="173"/>
      <c r="INK300" s="173"/>
      <c r="INL300" s="173"/>
      <c r="INM300" s="173"/>
      <c r="INN300" s="125"/>
      <c r="INO300" s="125"/>
      <c r="INP300" s="134"/>
      <c r="INQ300" s="135"/>
      <c r="INR300" s="135"/>
      <c r="INS300" s="135"/>
      <c r="INT300" s="135"/>
      <c r="INU300" s="173"/>
      <c r="INV300" s="173"/>
      <c r="INW300" s="173"/>
      <c r="INX300" s="173"/>
      <c r="INY300" s="173"/>
      <c r="INZ300" s="173"/>
      <c r="IOA300" s="173"/>
      <c r="IOB300" s="173"/>
      <c r="IOC300" s="173"/>
      <c r="IOD300" s="173"/>
      <c r="IOE300" s="125"/>
      <c r="IOF300" s="125"/>
      <c r="IOG300" s="134"/>
      <c r="IOH300" s="135"/>
      <c r="IOI300" s="135"/>
      <c r="IOJ300" s="135"/>
      <c r="IOK300" s="135"/>
      <c r="IOL300" s="173"/>
      <c r="IOM300" s="173"/>
      <c r="ION300" s="173"/>
      <c r="IOO300" s="173"/>
      <c r="IOP300" s="173"/>
      <c r="IOQ300" s="173"/>
      <c r="IOR300" s="173"/>
      <c r="IOS300" s="173"/>
      <c r="IOT300" s="173"/>
      <c r="IOU300" s="173"/>
      <c r="IOV300" s="125"/>
      <c r="IOW300" s="125"/>
      <c r="IOX300" s="134"/>
      <c r="IOY300" s="135"/>
      <c r="IOZ300" s="135"/>
      <c r="IPA300" s="135"/>
      <c r="IPB300" s="135"/>
      <c r="IPC300" s="173"/>
      <c r="IPD300" s="173"/>
      <c r="IPE300" s="173"/>
      <c r="IPF300" s="173"/>
      <c r="IPG300" s="173"/>
      <c r="IPH300" s="173"/>
      <c r="IPI300" s="173"/>
      <c r="IPJ300" s="173"/>
      <c r="IPK300" s="173"/>
      <c r="IPL300" s="173"/>
      <c r="IPM300" s="125"/>
      <c r="IPN300" s="125"/>
      <c r="IPO300" s="134"/>
      <c r="IPP300" s="135"/>
      <c r="IPQ300" s="135"/>
      <c r="IPR300" s="135"/>
      <c r="IPS300" s="135"/>
      <c r="IPT300" s="173"/>
      <c r="IPU300" s="173"/>
      <c r="IPV300" s="173"/>
      <c r="IPW300" s="173"/>
      <c r="IPX300" s="173"/>
      <c r="IPY300" s="173"/>
      <c r="IPZ300" s="173"/>
      <c r="IQA300" s="173"/>
      <c r="IQB300" s="173"/>
      <c r="IQC300" s="173"/>
      <c r="IQD300" s="125"/>
      <c r="IQE300" s="125"/>
      <c r="IQF300" s="134"/>
      <c r="IQG300" s="135"/>
      <c r="IQH300" s="135"/>
      <c r="IQI300" s="135"/>
      <c r="IQJ300" s="135"/>
      <c r="IQK300" s="173"/>
      <c r="IQL300" s="173"/>
      <c r="IQM300" s="173"/>
      <c r="IQN300" s="173"/>
      <c r="IQO300" s="173"/>
      <c r="IQP300" s="173"/>
      <c r="IQQ300" s="173"/>
      <c r="IQR300" s="173"/>
      <c r="IQS300" s="173"/>
      <c r="IQT300" s="173"/>
      <c r="IQU300" s="125"/>
      <c r="IQV300" s="125"/>
      <c r="IQW300" s="134"/>
      <c r="IQX300" s="135"/>
      <c r="IQY300" s="135"/>
      <c r="IQZ300" s="135"/>
      <c r="IRA300" s="135"/>
      <c r="IRB300" s="173"/>
      <c r="IRC300" s="173"/>
      <c r="IRD300" s="173"/>
      <c r="IRE300" s="173"/>
      <c r="IRF300" s="173"/>
      <c r="IRG300" s="173"/>
      <c r="IRH300" s="173"/>
      <c r="IRI300" s="173"/>
      <c r="IRJ300" s="173"/>
      <c r="IRK300" s="173"/>
      <c r="IRL300" s="125"/>
      <c r="IRM300" s="125"/>
      <c r="IRN300" s="134"/>
      <c r="IRO300" s="135"/>
      <c r="IRP300" s="135"/>
      <c r="IRQ300" s="135"/>
      <c r="IRR300" s="135"/>
      <c r="IRS300" s="173"/>
      <c r="IRT300" s="173"/>
      <c r="IRU300" s="173"/>
      <c r="IRV300" s="173"/>
      <c r="IRW300" s="173"/>
      <c r="IRX300" s="173"/>
      <c r="IRY300" s="173"/>
      <c r="IRZ300" s="173"/>
      <c r="ISA300" s="173"/>
      <c r="ISB300" s="173"/>
      <c r="ISC300" s="125"/>
      <c r="ISD300" s="125"/>
      <c r="ISE300" s="134"/>
      <c r="ISF300" s="135"/>
      <c r="ISG300" s="135"/>
      <c r="ISH300" s="135"/>
      <c r="ISI300" s="135"/>
      <c r="ISJ300" s="173"/>
      <c r="ISK300" s="173"/>
      <c r="ISL300" s="173"/>
      <c r="ISM300" s="173"/>
      <c r="ISN300" s="173"/>
      <c r="ISO300" s="173"/>
      <c r="ISP300" s="173"/>
      <c r="ISQ300" s="173"/>
      <c r="ISR300" s="173"/>
      <c r="ISS300" s="173"/>
      <c r="IST300" s="125"/>
      <c r="ISU300" s="125"/>
      <c r="ISV300" s="134"/>
      <c r="ISW300" s="135"/>
      <c r="ISX300" s="135"/>
      <c r="ISY300" s="135"/>
      <c r="ISZ300" s="135"/>
      <c r="ITA300" s="173"/>
      <c r="ITB300" s="173"/>
      <c r="ITC300" s="173"/>
      <c r="ITD300" s="173"/>
      <c r="ITE300" s="173"/>
      <c r="ITF300" s="173"/>
      <c r="ITG300" s="173"/>
      <c r="ITH300" s="173"/>
      <c r="ITI300" s="173"/>
      <c r="ITJ300" s="173"/>
      <c r="ITK300" s="125"/>
      <c r="ITL300" s="125"/>
      <c r="ITM300" s="134"/>
      <c r="ITN300" s="135"/>
      <c r="ITO300" s="135"/>
      <c r="ITP300" s="135"/>
      <c r="ITQ300" s="135"/>
      <c r="ITR300" s="173"/>
      <c r="ITS300" s="173"/>
      <c r="ITT300" s="173"/>
      <c r="ITU300" s="173"/>
      <c r="ITV300" s="173"/>
      <c r="ITW300" s="173"/>
      <c r="ITX300" s="173"/>
      <c r="ITY300" s="173"/>
      <c r="ITZ300" s="173"/>
      <c r="IUA300" s="173"/>
      <c r="IUB300" s="125"/>
      <c r="IUC300" s="125"/>
      <c r="IUD300" s="134"/>
      <c r="IUE300" s="135"/>
      <c r="IUF300" s="135"/>
      <c r="IUG300" s="135"/>
      <c r="IUH300" s="135"/>
      <c r="IUI300" s="173"/>
      <c r="IUJ300" s="173"/>
      <c r="IUK300" s="173"/>
      <c r="IUL300" s="173"/>
      <c r="IUM300" s="173"/>
      <c r="IUN300" s="173"/>
      <c r="IUO300" s="173"/>
      <c r="IUP300" s="173"/>
      <c r="IUQ300" s="173"/>
      <c r="IUR300" s="173"/>
      <c r="IUS300" s="125"/>
      <c r="IUT300" s="125"/>
      <c r="IUU300" s="134"/>
      <c r="IUV300" s="135"/>
      <c r="IUW300" s="135"/>
      <c r="IUX300" s="135"/>
      <c r="IUY300" s="135"/>
      <c r="IUZ300" s="173"/>
      <c r="IVA300" s="173"/>
      <c r="IVB300" s="173"/>
      <c r="IVC300" s="173"/>
      <c r="IVD300" s="173"/>
      <c r="IVE300" s="173"/>
      <c r="IVF300" s="173"/>
      <c r="IVG300" s="173"/>
      <c r="IVH300" s="173"/>
      <c r="IVI300" s="173"/>
      <c r="IVJ300" s="125"/>
      <c r="IVK300" s="125"/>
      <c r="IVL300" s="134"/>
      <c r="IVM300" s="135"/>
      <c r="IVN300" s="135"/>
      <c r="IVO300" s="135"/>
      <c r="IVP300" s="135"/>
      <c r="IVQ300" s="173"/>
      <c r="IVR300" s="173"/>
      <c r="IVS300" s="173"/>
      <c r="IVT300" s="173"/>
      <c r="IVU300" s="173"/>
      <c r="IVV300" s="173"/>
      <c r="IVW300" s="173"/>
      <c r="IVX300" s="173"/>
      <c r="IVY300" s="173"/>
      <c r="IVZ300" s="173"/>
      <c r="IWA300" s="125"/>
      <c r="IWB300" s="125"/>
      <c r="IWC300" s="134"/>
      <c r="IWD300" s="135"/>
      <c r="IWE300" s="135"/>
      <c r="IWF300" s="135"/>
      <c r="IWG300" s="135"/>
      <c r="IWH300" s="173"/>
      <c r="IWI300" s="173"/>
      <c r="IWJ300" s="173"/>
      <c r="IWK300" s="173"/>
      <c r="IWL300" s="173"/>
      <c r="IWM300" s="173"/>
      <c r="IWN300" s="173"/>
      <c r="IWO300" s="173"/>
      <c r="IWP300" s="173"/>
      <c r="IWQ300" s="173"/>
      <c r="IWR300" s="125"/>
      <c r="IWS300" s="125"/>
      <c r="IWT300" s="134"/>
      <c r="IWU300" s="135"/>
      <c r="IWV300" s="135"/>
      <c r="IWW300" s="135"/>
      <c r="IWX300" s="135"/>
      <c r="IWY300" s="173"/>
      <c r="IWZ300" s="173"/>
      <c r="IXA300" s="173"/>
      <c r="IXB300" s="173"/>
      <c r="IXC300" s="173"/>
      <c r="IXD300" s="173"/>
      <c r="IXE300" s="173"/>
      <c r="IXF300" s="173"/>
      <c r="IXG300" s="173"/>
      <c r="IXH300" s="173"/>
      <c r="IXI300" s="125"/>
      <c r="IXJ300" s="125"/>
      <c r="IXK300" s="134"/>
      <c r="IXL300" s="135"/>
      <c r="IXM300" s="135"/>
      <c r="IXN300" s="135"/>
      <c r="IXO300" s="135"/>
      <c r="IXP300" s="173"/>
      <c r="IXQ300" s="173"/>
      <c r="IXR300" s="173"/>
      <c r="IXS300" s="173"/>
      <c r="IXT300" s="173"/>
      <c r="IXU300" s="173"/>
      <c r="IXV300" s="173"/>
      <c r="IXW300" s="173"/>
      <c r="IXX300" s="173"/>
      <c r="IXY300" s="173"/>
      <c r="IXZ300" s="125"/>
      <c r="IYA300" s="125"/>
      <c r="IYB300" s="134"/>
      <c r="IYC300" s="135"/>
      <c r="IYD300" s="135"/>
      <c r="IYE300" s="135"/>
      <c r="IYF300" s="135"/>
      <c r="IYG300" s="173"/>
      <c r="IYH300" s="173"/>
      <c r="IYI300" s="173"/>
      <c r="IYJ300" s="173"/>
      <c r="IYK300" s="173"/>
      <c r="IYL300" s="173"/>
      <c r="IYM300" s="173"/>
      <c r="IYN300" s="173"/>
      <c r="IYO300" s="173"/>
      <c r="IYP300" s="173"/>
      <c r="IYQ300" s="125"/>
      <c r="IYR300" s="125"/>
      <c r="IYS300" s="134"/>
      <c r="IYT300" s="135"/>
      <c r="IYU300" s="135"/>
      <c r="IYV300" s="135"/>
      <c r="IYW300" s="135"/>
      <c r="IYX300" s="173"/>
      <c r="IYY300" s="173"/>
      <c r="IYZ300" s="173"/>
      <c r="IZA300" s="173"/>
      <c r="IZB300" s="173"/>
      <c r="IZC300" s="173"/>
      <c r="IZD300" s="173"/>
      <c r="IZE300" s="173"/>
      <c r="IZF300" s="173"/>
      <c r="IZG300" s="173"/>
      <c r="IZH300" s="125"/>
      <c r="IZI300" s="125"/>
      <c r="IZJ300" s="134"/>
      <c r="IZK300" s="135"/>
      <c r="IZL300" s="135"/>
      <c r="IZM300" s="135"/>
      <c r="IZN300" s="135"/>
      <c r="IZO300" s="173"/>
      <c r="IZP300" s="173"/>
      <c r="IZQ300" s="173"/>
      <c r="IZR300" s="173"/>
      <c r="IZS300" s="173"/>
      <c r="IZT300" s="173"/>
      <c r="IZU300" s="173"/>
      <c r="IZV300" s="173"/>
      <c r="IZW300" s="173"/>
      <c r="IZX300" s="173"/>
      <c r="IZY300" s="125"/>
      <c r="IZZ300" s="125"/>
      <c r="JAA300" s="134"/>
      <c r="JAB300" s="135"/>
      <c r="JAC300" s="135"/>
      <c r="JAD300" s="135"/>
      <c r="JAE300" s="135"/>
      <c r="JAF300" s="173"/>
      <c r="JAG300" s="173"/>
      <c r="JAH300" s="173"/>
      <c r="JAI300" s="173"/>
      <c r="JAJ300" s="173"/>
      <c r="JAK300" s="173"/>
      <c r="JAL300" s="173"/>
      <c r="JAM300" s="173"/>
      <c r="JAN300" s="173"/>
      <c r="JAO300" s="173"/>
      <c r="JAP300" s="125"/>
      <c r="JAQ300" s="125"/>
      <c r="JAR300" s="134"/>
      <c r="JAS300" s="135"/>
      <c r="JAT300" s="135"/>
      <c r="JAU300" s="135"/>
      <c r="JAV300" s="135"/>
      <c r="JAW300" s="173"/>
      <c r="JAX300" s="173"/>
      <c r="JAY300" s="173"/>
      <c r="JAZ300" s="173"/>
      <c r="JBA300" s="173"/>
      <c r="JBB300" s="173"/>
      <c r="JBC300" s="173"/>
      <c r="JBD300" s="173"/>
      <c r="JBE300" s="173"/>
      <c r="JBF300" s="173"/>
      <c r="JBG300" s="125"/>
      <c r="JBH300" s="125"/>
      <c r="JBI300" s="134"/>
      <c r="JBJ300" s="135"/>
      <c r="JBK300" s="135"/>
      <c r="JBL300" s="135"/>
      <c r="JBM300" s="135"/>
      <c r="JBN300" s="173"/>
      <c r="JBO300" s="173"/>
      <c r="JBP300" s="173"/>
      <c r="JBQ300" s="173"/>
      <c r="JBR300" s="173"/>
      <c r="JBS300" s="173"/>
      <c r="JBT300" s="173"/>
      <c r="JBU300" s="173"/>
      <c r="JBV300" s="173"/>
      <c r="JBW300" s="173"/>
      <c r="JBX300" s="125"/>
      <c r="JBY300" s="125"/>
      <c r="JBZ300" s="134"/>
      <c r="JCA300" s="135"/>
      <c r="JCB300" s="135"/>
      <c r="JCC300" s="135"/>
      <c r="JCD300" s="135"/>
      <c r="JCE300" s="173"/>
      <c r="JCF300" s="173"/>
      <c r="JCG300" s="173"/>
      <c r="JCH300" s="173"/>
      <c r="JCI300" s="173"/>
      <c r="JCJ300" s="173"/>
      <c r="JCK300" s="173"/>
      <c r="JCL300" s="173"/>
      <c r="JCM300" s="173"/>
      <c r="JCN300" s="173"/>
      <c r="JCO300" s="125"/>
      <c r="JCP300" s="125"/>
      <c r="JCQ300" s="134"/>
      <c r="JCR300" s="135"/>
      <c r="JCS300" s="135"/>
      <c r="JCT300" s="135"/>
      <c r="JCU300" s="135"/>
      <c r="JCV300" s="173"/>
      <c r="JCW300" s="173"/>
      <c r="JCX300" s="173"/>
      <c r="JCY300" s="173"/>
      <c r="JCZ300" s="173"/>
      <c r="JDA300" s="173"/>
      <c r="JDB300" s="173"/>
      <c r="JDC300" s="173"/>
      <c r="JDD300" s="173"/>
      <c r="JDE300" s="173"/>
      <c r="JDF300" s="125"/>
      <c r="JDG300" s="125"/>
      <c r="JDH300" s="134"/>
      <c r="JDI300" s="135"/>
      <c r="JDJ300" s="135"/>
      <c r="JDK300" s="135"/>
      <c r="JDL300" s="135"/>
      <c r="JDM300" s="173"/>
      <c r="JDN300" s="173"/>
      <c r="JDO300" s="173"/>
      <c r="JDP300" s="173"/>
      <c r="JDQ300" s="173"/>
      <c r="JDR300" s="173"/>
      <c r="JDS300" s="173"/>
      <c r="JDT300" s="173"/>
      <c r="JDU300" s="173"/>
      <c r="JDV300" s="173"/>
      <c r="JDW300" s="125"/>
      <c r="JDX300" s="125"/>
      <c r="JDY300" s="134"/>
      <c r="JDZ300" s="135"/>
      <c r="JEA300" s="135"/>
      <c r="JEB300" s="135"/>
      <c r="JEC300" s="135"/>
      <c r="JED300" s="173"/>
      <c r="JEE300" s="173"/>
      <c r="JEF300" s="173"/>
      <c r="JEG300" s="173"/>
      <c r="JEH300" s="173"/>
      <c r="JEI300" s="173"/>
      <c r="JEJ300" s="173"/>
      <c r="JEK300" s="173"/>
      <c r="JEL300" s="173"/>
      <c r="JEM300" s="173"/>
      <c r="JEN300" s="125"/>
      <c r="JEO300" s="125"/>
      <c r="JEP300" s="134"/>
      <c r="JEQ300" s="135"/>
      <c r="JER300" s="135"/>
      <c r="JES300" s="135"/>
      <c r="JET300" s="135"/>
      <c r="JEU300" s="173"/>
      <c r="JEV300" s="173"/>
      <c r="JEW300" s="173"/>
      <c r="JEX300" s="173"/>
      <c r="JEY300" s="173"/>
      <c r="JEZ300" s="173"/>
      <c r="JFA300" s="173"/>
      <c r="JFB300" s="173"/>
      <c r="JFC300" s="173"/>
      <c r="JFD300" s="173"/>
      <c r="JFE300" s="125"/>
      <c r="JFF300" s="125"/>
      <c r="JFG300" s="134"/>
      <c r="JFH300" s="135"/>
      <c r="JFI300" s="135"/>
      <c r="JFJ300" s="135"/>
      <c r="JFK300" s="135"/>
      <c r="JFL300" s="173"/>
      <c r="JFM300" s="173"/>
      <c r="JFN300" s="173"/>
      <c r="JFO300" s="173"/>
      <c r="JFP300" s="173"/>
      <c r="JFQ300" s="173"/>
      <c r="JFR300" s="173"/>
      <c r="JFS300" s="173"/>
      <c r="JFT300" s="173"/>
      <c r="JFU300" s="173"/>
      <c r="JFV300" s="125"/>
      <c r="JFW300" s="125"/>
      <c r="JFX300" s="134"/>
      <c r="JFY300" s="135"/>
      <c r="JFZ300" s="135"/>
      <c r="JGA300" s="135"/>
      <c r="JGB300" s="135"/>
      <c r="JGC300" s="173"/>
      <c r="JGD300" s="173"/>
      <c r="JGE300" s="173"/>
      <c r="JGF300" s="173"/>
      <c r="JGG300" s="173"/>
      <c r="JGH300" s="173"/>
      <c r="JGI300" s="173"/>
      <c r="JGJ300" s="173"/>
      <c r="JGK300" s="173"/>
      <c r="JGL300" s="173"/>
      <c r="JGM300" s="125"/>
      <c r="JGN300" s="125"/>
      <c r="JGO300" s="134"/>
      <c r="JGP300" s="135"/>
      <c r="JGQ300" s="135"/>
      <c r="JGR300" s="135"/>
      <c r="JGS300" s="135"/>
      <c r="JGT300" s="173"/>
      <c r="JGU300" s="173"/>
      <c r="JGV300" s="173"/>
      <c r="JGW300" s="173"/>
      <c r="JGX300" s="173"/>
      <c r="JGY300" s="173"/>
      <c r="JGZ300" s="173"/>
      <c r="JHA300" s="173"/>
      <c r="JHB300" s="173"/>
      <c r="JHC300" s="173"/>
      <c r="JHD300" s="125"/>
      <c r="JHE300" s="125"/>
      <c r="JHF300" s="134"/>
      <c r="JHG300" s="135"/>
      <c r="JHH300" s="135"/>
      <c r="JHI300" s="135"/>
      <c r="JHJ300" s="135"/>
      <c r="JHK300" s="173"/>
      <c r="JHL300" s="173"/>
      <c r="JHM300" s="173"/>
      <c r="JHN300" s="173"/>
      <c r="JHO300" s="173"/>
      <c r="JHP300" s="173"/>
      <c r="JHQ300" s="173"/>
      <c r="JHR300" s="173"/>
      <c r="JHS300" s="173"/>
      <c r="JHT300" s="173"/>
      <c r="JHU300" s="125"/>
      <c r="JHV300" s="125"/>
      <c r="JHW300" s="134"/>
      <c r="JHX300" s="135"/>
      <c r="JHY300" s="135"/>
      <c r="JHZ300" s="135"/>
      <c r="JIA300" s="135"/>
      <c r="JIB300" s="173"/>
      <c r="JIC300" s="173"/>
      <c r="JID300" s="173"/>
      <c r="JIE300" s="173"/>
      <c r="JIF300" s="173"/>
      <c r="JIG300" s="173"/>
      <c r="JIH300" s="173"/>
      <c r="JII300" s="173"/>
      <c r="JIJ300" s="173"/>
      <c r="JIK300" s="173"/>
      <c r="JIL300" s="125"/>
      <c r="JIM300" s="125"/>
      <c r="JIN300" s="134"/>
      <c r="JIO300" s="135"/>
      <c r="JIP300" s="135"/>
      <c r="JIQ300" s="135"/>
      <c r="JIR300" s="135"/>
      <c r="JIS300" s="173"/>
      <c r="JIT300" s="173"/>
      <c r="JIU300" s="173"/>
      <c r="JIV300" s="173"/>
      <c r="JIW300" s="173"/>
      <c r="JIX300" s="173"/>
      <c r="JIY300" s="173"/>
      <c r="JIZ300" s="173"/>
      <c r="JJA300" s="173"/>
      <c r="JJB300" s="173"/>
      <c r="JJC300" s="125"/>
      <c r="JJD300" s="125"/>
      <c r="JJE300" s="134"/>
      <c r="JJF300" s="135"/>
      <c r="JJG300" s="135"/>
      <c r="JJH300" s="135"/>
      <c r="JJI300" s="135"/>
      <c r="JJJ300" s="173"/>
      <c r="JJK300" s="173"/>
      <c r="JJL300" s="173"/>
      <c r="JJM300" s="173"/>
      <c r="JJN300" s="173"/>
      <c r="JJO300" s="173"/>
      <c r="JJP300" s="173"/>
      <c r="JJQ300" s="173"/>
      <c r="JJR300" s="173"/>
      <c r="JJS300" s="173"/>
      <c r="JJT300" s="125"/>
      <c r="JJU300" s="125"/>
      <c r="JJV300" s="134"/>
      <c r="JJW300" s="135"/>
      <c r="JJX300" s="135"/>
      <c r="JJY300" s="135"/>
      <c r="JJZ300" s="135"/>
      <c r="JKA300" s="173"/>
      <c r="JKB300" s="173"/>
      <c r="JKC300" s="173"/>
      <c r="JKD300" s="173"/>
      <c r="JKE300" s="173"/>
      <c r="JKF300" s="173"/>
      <c r="JKG300" s="173"/>
      <c r="JKH300" s="173"/>
      <c r="JKI300" s="173"/>
      <c r="JKJ300" s="173"/>
      <c r="JKK300" s="125"/>
      <c r="JKL300" s="125"/>
      <c r="JKM300" s="134"/>
      <c r="JKN300" s="135"/>
      <c r="JKO300" s="135"/>
      <c r="JKP300" s="135"/>
      <c r="JKQ300" s="135"/>
      <c r="JKR300" s="173"/>
      <c r="JKS300" s="173"/>
      <c r="JKT300" s="173"/>
      <c r="JKU300" s="173"/>
      <c r="JKV300" s="173"/>
      <c r="JKW300" s="173"/>
      <c r="JKX300" s="173"/>
      <c r="JKY300" s="173"/>
      <c r="JKZ300" s="173"/>
      <c r="JLA300" s="173"/>
      <c r="JLB300" s="125"/>
      <c r="JLC300" s="125"/>
      <c r="JLD300" s="134"/>
      <c r="JLE300" s="135"/>
      <c r="JLF300" s="135"/>
      <c r="JLG300" s="135"/>
      <c r="JLH300" s="135"/>
      <c r="JLI300" s="173"/>
      <c r="JLJ300" s="173"/>
      <c r="JLK300" s="173"/>
      <c r="JLL300" s="173"/>
      <c r="JLM300" s="173"/>
      <c r="JLN300" s="173"/>
      <c r="JLO300" s="173"/>
      <c r="JLP300" s="173"/>
      <c r="JLQ300" s="173"/>
      <c r="JLR300" s="173"/>
      <c r="JLS300" s="125"/>
      <c r="JLT300" s="125"/>
      <c r="JLU300" s="134"/>
      <c r="JLV300" s="135"/>
      <c r="JLW300" s="135"/>
      <c r="JLX300" s="135"/>
      <c r="JLY300" s="135"/>
      <c r="JLZ300" s="173"/>
      <c r="JMA300" s="173"/>
      <c r="JMB300" s="173"/>
      <c r="JMC300" s="173"/>
      <c r="JMD300" s="173"/>
      <c r="JME300" s="173"/>
      <c r="JMF300" s="173"/>
      <c r="JMG300" s="173"/>
      <c r="JMH300" s="173"/>
      <c r="JMI300" s="173"/>
      <c r="JMJ300" s="125"/>
      <c r="JMK300" s="125"/>
      <c r="JML300" s="134"/>
      <c r="JMM300" s="135"/>
      <c r="JMN300" s="135"/>
      <c r="JMO300" s="135"/>
      <c r="JMP300" s="135"/>
      <c r="JMQ300" s="173"/>
      <c r="JMR300" s="173"/>
      <c r="JMS300" s="173"/>
      <c r="JMT300" s="173"/>
      <c r="JMU300" s="173"/>
      <c r="JMV300" s="173"/>
      <c r="JMW300" s="173"/>
      <c r="JMX300" s="173"/>
      <c r="JMY300" s="173"/>
      <c r="JMZ300" s="173"/>
      <c r="JNA300" s="125"/>
      <c r="JNB300" s="125"/>
      <c r="JNC300" s="134"/>
      <c r="JND300" s="135"/>
      <c r="JNE300" s="135"/>
      <c r="JNF300" s="135"/>
      <c r="JNG300" s="135"/>
      <c r="JNH300" s="173"/>
      <c r="JNI300" s="173"/>
      <c r="JNJ300" s="173"/>
      <c r="JNK300" s="173"/>
      <c r="JNL300" s="173"/>
      <c r="JNM300" s="173"/>
      <c r="JNN300" s="173"/>
      <c r="JNO300" s="173"/>
      <c r="JNP300" s="173"/>
      <c r="JNQ300" s="173"/>
      <c r="JNR300" s="125"/>
      <c r="JNS300" s="125"/>
      <c r="JNT300" s="134"/>
      <c r="JNU300" s="135"/>
      <c r="JNV300" s="135"/>
      <c r="JNW300" s="135"/>
      <c r="JNX300" s="135"/>
      <c r="JNY300" s="173"/>
      <c r="JNZ300" s="173"/>
      <c r="JOA300" s="173"/>
      <c r="JOB300" s="173"/>
      <c r="JOC300" s="173"/>
      <c r="JOD300" s="173"/>
      <c r="JOE300" s="173"/>
      <c r="JOF300" s="173"/>
      <c r="JOG300" s="173"/>
      <c r="JOH300" s="173"/>
      <c r="JOI300" s="125"/>
      <c r="JOJ300" s="125"/>
      <c r="JOK300" s="134"/>
      <c r="JOL300" s="135"/>
      <c r="JOM300" s="135"/>
      <c r="JON300" s="135"/>
      <c r="JOO300" s="135"/>
      <c r="JOP300" s="173"/>
      <c r="JOQ300" s="173"/>
      <c r="JOR300" s="173"/>
      <c r="JOS300" s="173"/>
      <c r="JOT300" s="173"/>
      <c r="JOU300" s="173"/>
      <c r="JOV300" s="173"/>
      <c r="JOW300" s="173"/>
      <c r="JOX300" s="173"/>
      <c r="JOY300" s="173"/>
      <c r="JOZ300" s="125"/>
      <c r="JPA300" s="125"/>
      <c r="JPB300" s="134"/>
      <c r="JPC300" s="135"/>
      <c r="JPD300" s="135"/>
      <c r="JPE300" s="135"/>
      <c r="JPF300" s="135"/>
      <c r="JPG300" s="173"/>
      <c r="JPH300" s="173"/>
      <c r="JPI300" s="173"/>
      <c r="JPJ300" s="173"/>
      <c r="JPK300" s="173"/>
      <c r="JPL300" s="173"/>
      <c r="JPM300" s="173"/>
      <c r="JPN300" s="173"/>
      <c r="JPO300" s="173"/>
      <c r="JPP300" s="173"/>
      <c r="JPQ300" s="125"/>
      <c r="JPR300" s="125"/>
      <c r="JPS300" s="134"/>
      <c r="JPT300" s="135"/>
      <c r="JPU300" s="135"/>
      <c r="JPV300" s="135"/>
      <c r="JPW300" s="135"/>
      <c r="JPX300" s="173"/>
      <c r="JPY300" s="173"/>
      <c r="JPZ300" s="173"/>
      <c r="JQA300" s="173"/>
      <c r="JQB300" s="173"/>
      <c r="JQC300" s="173"/>
      <c r="JQD300" s="173"/>
      <c r="JQE300" s="173"/>
      <c r="JQF300" s="173"/>
      <c r="JQG300" s="173"/>
      <c r="JQH300" s="125"/>
      <c r="JQI300" s="125"/>
      <c r="JQJ300" s="134"/>
      <c r="JQK300" s="135"/>
      <c r="JQL300" s="135"/>
      <c r="JQM300" s="135"/>
      <c r="JQN300" s="135"/>
      <c r="JQO300" s="173"/>
      <c r="JQP300" s="173"/>
      <c r="JQQ300" s="173"/>
      <c r="JQR300" s="173"/>
      <c r="JQS300" s="173"/>
      <c r="JQT300" s="173"/>
      <c r="JQU300" s="173"/>
      <c r="JQV300" s="173"/>
      <c r="JQW300" s="173"/>
      <c r="JQX300" s="173"/>
      <c r="JQY300" s="125"/>
      <c r="JQZ300" s="125"/>
      <c r="JRA300" s="134"/>
      <c r="JRB300" s="135"/>
      <c r="JRC300" s="135"/>
      <c r="JRD300" s="135"/>
      <c r="JRE300" s="135"/>
      <c r="JRF300" s="173"/>
      <c r="JRG300" s="173"/>
      <c r="JRH300" s="173"/>
      <c r="JRI300" s="173"/>
      <c r="JRJ300" s="173"/>
      <c r="JRK300" s="173"/>
      <c r="JRL300" s="173"/>
      <c r="JRM300" s="173"/>
      <c r="JRN300" s="173"/>
      <c r="JRO300" s="173"/>
      <c r="JRP300" s="125"/>
      <c r="JRQ300" s="125"/>
      <c r="JRR300" s="134"/>
      <c r="JRS300" s="135"/>
      <c r="JRT300" s="135"/>
      <c r="JRU300" s="135"/>
      <c r="JRV300" s="135"/>
      <c r="JRW300" s="173"/>
      <c r="JRX300" s="173"/>
      <c r="JRY300" s="173"/>
      <c r="JRZ300" s="173"/>
      <c r="JSA300" s="173"/>
      <c r="JSB300" s="173"/>
      <c r="JSC300" s="173"/>
      <c r="JSD300" s="173"/>
      <c r="JSE300" s="173"/>
      <c r="JSF300" s="173"/>
      <c r="JSG300" s="125"/>
      <c r="JSH300" s="125"/>
      <c r="JSI300" s="134"/>
      <c r="JSJ300" s="135"/>
      <c r="JSK300" s="135"/>
      <c r="JSL300" s="135"/>
      <c r="JSM300" s="135"/>
      <c r="JSN300" s="173"/>
      <c r="JSO300" s="173"/>
      <c r="JSP300" s="173"/>
      <c r="JSQ300" s="173"/>
      <c r="JSR300" s="173"/>
      <c r="JSS300" s="173"/>
      <c r="JST300" s="173"/>
      <c r="JSU300" s="173"/>
      <c r="JSV300" s="173"/>
      <c r="JSW300" s="173"/>
      <c r="JSX300" s="125"/>
      <c r="JSY300" s="125"/>
      <c r="JSZ300" s="134"/>
      <c r="JTA300" s="135"/>
      <c r="JTB300" s="135"/>
      <c r="JTC300" s="135"/>
      <c r="JTD300" s="135"/>
      <c r="JTE300" s="173"/>
      <c r="JTF300" s="173"/>
      <c r="JTG300" s="173"/>
      <c r="JTH300" s="173"/>
      <c r="JTI300" s="173"/>
      <c r="JTJ300" s="173"/>
      <c r="JTK300" s="173"/>
      <c r="JTL300" s="173"/>
      <c r="JTM300" s="173"/>
      <c r="JTN300" s="173"/>
      <c r="JTO300" s="125"/>
      <c r="JTP300" s="125"/>
      <c r="JTQ300" s="134"/>
      <c r="JTR300" s="135"/>
      <c r="JTS300" s="135"/>
      <c r="JTT300" s="135"/>
      <c r="JTU300" s="135"/>
      <c r="JTV300" s="173"/>
      <c r="JTW300" s="173"/>
      <c r="JTX300" s="173"/>
      <c r="JTY300" s="173"/>
      <c r="JTZ300" s="173"/>
      <c r="JUA300" s="173"/>
      <c r="JUB300" s="173"/>
      <c r="JUC300" s="173"/>
      <c r="JUD300" s="173"/>
      <c r="JUE300" s="173"/>
      <c r="JUF300" s="125"/>
      <c r="JUG300" s="125"/>
      <c r="JUH300" s="134"/>
      <c r="JUI300" s="135"/>
      <c r="JUJ300" s="135"/>
      <c r="JUK300" s="135"/>
      <c r="JUL300" s="135"/>
      <c r="JUM300" s="173"/>
      <c r="JUN300" s="173"/>
      <c r="JUO300" s="173"/>
      <c r="JUP300" s="173"/>
      <c r="JUQ300" s="173"/>
      <c r="JUR300" s="173"/>
      <c r="JUS300" s="173"/>
      <c r="JUT300" s="173"/>
      <c r="JUU300" s="173"/>
      <c r="JUV300" s="173"/>
      <c r="JUW300" s="125"/>
      <c r="JUX300" s="125"/>
      <c r="JUY300" s="134"/>
      <c r="JUZ300" s="135"/>
      <c r="JVA300" s="135"/>
      <c r="JVB300" s="135"/>
      <c r="JVC300" s="135"/>
      <c r="JVD300" s="173"/>
      <c r="JVE300" s="173"/>
      <c r="JVF300" s="173"/>
      <c r="JVG300" s="173"/>
      <c r="JVH300" s="173"/>
      <c r="JVI300" s="173"/>
      <c r="JVJ300" s="173"/>
      <c r="JVK300" s="173"/>
      <c r="JVL300" s="173"/>
      <c r="JVM300" s="173"/>
      <c r="JVN300" s="125"/>
      <c r="JVO300" s="125"/>
      <c r="JVP300" s="134"/>
      <c r="JVQ300" s="135"/>
      <c r="JVR300" s="135"/>
      <c r="JVS300" s="135"/>
      <c r="JVT300" s="135"/>
      <c r="JVU300" s="173"/>
      <c r="JVV300" s="173"/>
      <c r="JVW300" s="173"/>
      <c r="JVX300" s="173"/>
      <c r="JVY300" s="173"/>
      <c r="JVZ300" s="173"/>
      <c r="JWA300" s="173"/>
      <c r="JWB300" s="173"/>
      <c r="JWC300" s="173"/>
      <c r="JWD300" s="173"/>
      <c r="JWE300" s="125"/>
      <c r="JWF300" s="125"/>
      <c r="JWG300" s="134"/>
      <c r="JWH300" s="135"/>
      <c r="JWI300" s="135"/>
      <c r="JWJ300" s="135"/>
      <c r="JWK300" s="135"/>
      <c r="JWL300" s="173"/>
      <c r="JWM300" s="173"/>
      <c r="JWN300" s="173"/>
      <c r="JWO300" s="173"/>
      <c r="JWP300" s="173"/>
      <c r="JWQ300" s="173"/>
      <c r="JWR300" s="173"/>
      <c r="JWS300" s="173"/>
      <c r="JWT300" s="173"/>
      <c r="JWU300" s="173"/>
      <c r="JWV300" s="125"/>
      <c r="JWW300" s="125"/>
      <c r="JWX300" s="134"/>
      <c r="JWY300" s="135"/>
      <c r="JWZ300" s="135"/>
      <c r="JXA300" s="135"/>
      <c r="JXB300" s="135"/>
      <c r="JXC300" s="173"/>
      <c r="JXD300" s="173"/>
      <c r="JXE300" s="173"/>
      <c r="JXF300" s="173"/>
      <c r="JXG300" s="173"/>
      <c r="JXH300" s="173"/>
      <c r="JXI300" s="173"/>
      <c r="JXJ300" s="173"/>
      <c r="JXK300" s="173"/>
      <c r="JXL300" s="173"/>
      <c r="JXM300" s="125"/>
      <c r="JXN300" s="125"/>
      <c r="JXO300" s="134"/>
      <c r="JXP300" s="135"/>
      <c r="JXQ300" s="135"/>
      <c r="JXR300" s="135"/>
      <c r="JXS300" s="135"/>
      <c r="JXT300" s="173"/>
      <c r="JXU300" s="173"/>
      <c r="JXV300" s="173"/>
      <c r="JXW300" s="173"/>
      <c r="JXX300" s="173"/>
      <c r="JXY300" s="173"/>
      <c r="JXZ300" s="173"/>
      <c r="JYA300" s="173"/>
      <c r="JYB300" s="173"/>
      <c r="JYC300" s="173"/>
      <c r="JYD300" s="125"/>
      <c r="JYE300" s="125"/>
      <c r="JYF300" s="134"/>
      <c r="JYG300" s="135"/>
      <c r="JYH300" s="135"/>
      <c r="JYI300" s="135"/>
      <c r="JYJ300" s="135"/>
      <c r="JYK300" s="173"/>
      <c r="JYL300" s="173"/>
      <c r="JYM300" s="173"/>
      <c r="JYN300" s="173"/>
      <c r="JYO300" s="173"/>
      <c r="JYP300" s="173"/>
      <c r="JYQ300" s="173"/>
      <c r="JYR300" s="173"/>
      <c r="JYS300" s="173"/>
      <c r="JYT300" s="173"/>
      <c r="JYU300" s="125"/>
      <c r="JYV300" s="125"/>
      <c r="JYW300" s="134"/>
      <c r="JYX300" s="135"/>
      <c r="JYY300" s="135"/>
      <c r="JYZ300" s="135"/>
      <c r="JZA300" s="135"/>
      <c r="JZB300" s="173"/>
      <c r="JZC300" s="173"/>
      <c r="JZD300" s="173"/>
      <c r="JZE300" s="173"/>
      <c r="JZF300" s="173"/>
      <c r="JZG300" s="173"/>
      <c r="JZH300" s="173"/>
      <c r="JZI300" s="173"/>
      <c r="JZJ300" s="173"/>
      <c r="JZK300" s="173"/>
      <c r="JZL300" s="125"/>
      <c r="JZM300" s="125"/>
      <c r="JZN300" s="134"/>
      <c r="JZO300" s="135"/>
      <c r="JZP300" s="135"/>
      <c r="JZQ300" s="135"/>
      <c r="JZR300" s="135"/>
      <c r="JZS300" s="173"/>
      <c r="JZT300" s="173"/>
      <c r="JZU300" s="173"/>
      <c r="JZV300" s="173"/>
      <c r="JZW300" s="173"/>
      <c r="JZX300" s="173"/>
      <c r="JZY300" s="173"/>
      <c r="JZZ300" s="173"/>
      <c r="KAA300" s="173"/>
      <c r="KAB300" s="173"/>
      <c r="KAC300" s="125"/>
      <c r="KAD300" s="125"/>
      <c r="KAE300" s="134"/>
      <c r="KAF300" s="135"/>
      <c r="KAG300" s="135"/>
      <c r="KAH300" s="135"/>
      <c r="KAI300" s="135"/>
      <c r="KAJ300" s="173"/>
      <c r="KAK300" s="173"/>
      <c r="KAL300" s="173"/>
      <c r="KAM300" s="173"/>
      <c r="KAN300" s="173"/>
      <c r="KAO300" s="173"/>
      <c r="KAP300" s="173"/>
      <c r="KAQ300" s="173"/>
      <c r="KAR300" s="173"/>
      <c r="KAS300" s="173"/>
      <c r="KAT300" s="125"/>
      <c r="KAU300" s="125"/>
      <c r="KAV300" s="134"/>
      <c r="KAW300" s="135"/>
      <c r="KAX300" s="135"/>
      <c r="KAY300" s="135"/>
      <c r="KAZ300" s="135"/>
      <c r="KBA300" s="173"/>
      <c r="KBB300" s="173"/>
      <c r="KBC300" s="173"/>
      <c r="KBD300" s="173"/>
      <c r="KBE300" s="173"/>
      <c r="KBF300" s="173"/>
      <c r="KBG300" s="173"/>
      <c r="KBH300" s="173"/>
      <c r="KBI300" s="173"/>
      <c r="KBJ300" s="173"/>
      <c r="KBK300" s="125"/>
      <c r="KBL300" s="125"/>
      <c r="KBM300" s="134"/>
      <c r="KBN300" s="135"/>
      <c r="KBO300" s="135"/>
      <c r="KBP300" s="135"/>
      <c r="KBQ300" s="135"/>
      <c r="KBR300" s="173"/>
      <c r="KBS300" s="173"/>
      <c r="KBT300" s="173"/>
      <c r="KBU300" s="173"/>
      <c r="KBV300" s="173"/>
      <c r="KBW300" s="173"/>
      <c r="KBX300" s="173"/>
      <c r="KBY300" s="173"/>
      <c r="KBZ300" s="173"/>
      <c r="KCA300" s="173"/>
      <c r="KCB300" s="125"/>
      <c r="KCC300" s="125"/>
      <c r="KCD300" s="134"/>
      <c r="KCE300" s="135"/>
      <c r="KCF300" s="135"/>
      <c r="KCG300" s="135"/>
      <c r="KCH300" s="135"/>
      <c r="KCI300" s="173"/>
      <c r="KCJ300" s="173"/>
      <c r="KCK300" s="173"/>
      <c r="KCL300" s="173"/>
      <c r="KCM300" s="173"/>
      <c r="KCN300" s="173"/>
      <c r="KCO300" s="173"/>
      <c r="KCP300" s="173"/>
      <c r="KCQ300" s="173"/>
      <c r="KCR300" s="173"/>
      <c r="KCS300" s="125"/>
      <c r="KCT300" s="125"/>
      <c r="KCU300" s="134"/>
      <c r="KCV300" s="135"/>
      <c r="KCW300" s="135"/>
      <c r="KCX300" s="135"/>
      <c r="KCY300" s="135"/>
      <c r="KCZ300" s="173"/>
      <c r="KDA300" s="173"/>
      <c r="KDB300" s="173"/>
      <c r="KDC300" s="173"/>
      <c r="KDD300" s="173"/>
      <c r="KDE300" s="173"/>
      <c r="KDF300" s="173"/>
      <c r="KDG300" s="173"/>
      <c r="KDH300" s="173"/>
      <c r="KDI300" s="173"/>
      <c r="KDJ300" s="125"/>
      <c r="KDK300" s="125"/>
      <c r="KDL300" s="134"/>
      <c r="KDM300" s="135"/>
      <c r="KDN300" s="135"/>
      <c r="KDO300" s="135"/>
      <c r="KDP300" s="135"/>
      <c r="KDQ300" s="173"/>
      <c r="KDR300" s="173"/>
      <c r="KDS300" s="173"/>
      <c r="KDT300" s="173"/>
      <c r="KDU300" s="173"/>
      <c r="KDV300" s="173"/>
      <c r="KDW300" s="173"/>
      <c r="KDX300" s="173"/>
      <c r="KDY300" s="173"/>
      <c r="KDZ300" s="173"/>
      <c r="KEA300" s="125"/>
      <c r="KEB300" s="125"/>
      <c r="KEC300" s="134"/>
      <c r="KED300" s="135"/>
      <c r="KEE300" s="135"/>
      <c r="KEF300" s="135"/>
      <c r="KEG300" s="135"/>
      <c r="KEH300" s="173"/>
      <c r="KEI300" s="173"/>
      <c r="KEJ300" s="173"/>
      <c r="KEK300" s="173"/>
      <c r="KEL300" s="173"/>
      <c r="KEM300" s="173"/>
      <c r="KEN300" s="173"/>
      <c r="KEO300" s="173"/>
      <c r="KEP300" s="173"/>
      <c r="KEQ300" s="173"/>
      <c r="KER300" s="125"/>
      <c r="KES300" s="125"/>
      <c r="KET300" s="134"/>
      <c r="KEU300" s="135"/>
      <c r="KEV300" s="135"/>
      <c r="KEW300" s="135"/>
      <c r="KEX300" s="135"/>
      <c r="KEY300" s="173"/>
      <c r="KEZ300" s="173"/>
      <c r="KFA300" s="173"/>
      <c r="KFB300" s="173"/>
      <c r="KFC300" s="173"/>
      <c r="KFD300" s="173"/>
      <c r="KFE300" s="173"/>
      <c r="KFF300" s="173"/>
      <c r="KFG300" s="173"/>
      <c r="KFH300" s="173"/>
      <c r="KFI300" s="125"/>
      <c r="KFJ300" s="125"/>
      <c r="KFK300" s="134"/>
      <c r="KFL300" s="135"/>
      <c r="KFM300" s="135"/>
      <c r="KFN300" s="135"/>
      <c r="KFO300" s="135"/>
      <c r="KFP300" s="173"/>
      <c r="KFQ300" s="173"/>
      <c r="KFR300" s="173"/>
      <c r="KFS300" s="173"/>
      <c r="KFT300" s="173"/>
      <c r="KFU300" s="173"/>
      <c r="KFV300" s="173"/>
      <c r="KFW300" s="173"/>
      <c r="KFX300" s="173"/>
      <c r="KFY300" s="173"/>
      <c r="KFZ300" s="125"/>
      <c r="KGA300" s="125"/>
      <c r="KGB300" s="134"/>
      <c r="KGC300" s="135"/>
      <c r="KGD300" s="135"/>
      <c r="KGE300" s="135"/>
      <c r="KGF300" s="135"/>
      <c r="KGG300" s="173"/>
      <c r="KGH300" s="173"/>
      <c r="KGI300" s="173"/>
      <c r="KGJ300" s="173"/>
      <c r="KGK300" s="173"/>
      <c r="KGL300" s="173"/>
      <c r="KGM300" s="173"/>
      <c r="KGN300" s="173"/>
      <c r="KGO300" s="173"/>
      <c r="KGP300" s="173"/>
      <c r="KGQ300" s="125"/>
      <c r="KGR300" s="125"/>
      <c r="KGS300" s="134"/>
      <c r="KGT300" s="135"/>
      <c r="KGU300" s="135"/>
      <c r="KGV300" s="135"/>
      <c r="KGW300" s="135"/>
      <c r="KGX300" s="173"/>
      <c r="KGY300" s="173"/>
      <c r="KGZ300" s="173"/>
      <c r="KHA300" s="173"/>
      <c r="KHB300" s="173"/>
      <c r="KHC300" s="173"/>
      <c r="KHD300" s="173"/>
      <c r="KHE300" s="173"/>
      <c r="KHF300" s="173"/>
      <c r="KHG300" s="173"/>
      <c r="KHH300" s="125"/>
      <c r="KHI300" s="125"/>
      <c r="KHJ300" s="134"/>
      <c r="KHK300" s="135"/>
      <c r="KHL300" s="135"/>
      <c r="KHM300" s="135"/>
      <c r="KHN300" s="135"/>
      <c r="KHO300" s="173"/>
      <c r="KHP300" s="173"/>
      <c r="KHQ300" s="173"/>
      <c r="KHR300" s="173"/>
      <c r="KHS300" s="173"/>
      <c r="KHT300" s="173"/>
      <c r="KHU300" s="173"/>
      <c r="KHV300" s="173"/>
      <c r="KHW300" s="173"/>
      <c r="KHX300" s="173"/>
      <c r="KHY300" s="125"/>
      <c r="KHZ300" s="125"/>
      <c r="KIA300" s="134"/>
      <c r="KIB300" s="135"/>
      <c r="KIC300" s="135"/>
      <c r="KID300" s="135"/>
      <c r="KIE300" s="135"/>
      <c r="KIF300" s="173"/>
      <c r="KIG300" s="173"/>
      <c r="KIH300" s="173"/>
      <c r="KII300" s="173"/>
      <c r="KIJ300" s="173"/>
      <c r="KIK300" s="173"/>
      <c r="KIL300" s="173"/>
      <c r="KIM300" s="173"/>
      <c r="KIN300" s="173"/>
      <c r="KIO300" s="173"/>
      <c r="KIP300" s="125"/>
      <c r="KIQ300" s="125"/>
      <c r="KIR300" s="134"/>
      <c r="KIS300" s="135"/>
      <c r="KIT300" s="135"/>
      <c r="KIU300" s="135"/>
      <c r="KIV300" s="135"/>
      <c r="KIW300" s="173"/>
      <c r="KIX300" s="173"/>
      <c r="KIY300" s="173"/>
      <c r="KIZ300" s="173"/>
      <c r="KJA300" s="173"/>
      <c r="KJB300" s="173"/>
      <c r="KJC300" s="173"/>
      <c r="KJD300" s="173"/>
      <c r="KJE300" s="173"/>
      <c r="KJF300" s="173"/>
      <c r="KJG300" s="125"/>
      <c r="KJH300" s="125"/>
      <c r="KJI300" s="134"/>
      <c r="KJJ300" s="135"/>
      <c r="KJK300" s="135"/>
      <c r="KJL300" s="135"/>
      <c r="KJM300" s="135"/>
      <c r="KJN300" s="173"/>
      <c r="KJO300" s="173"/>
      <c r="KJP300" s="173"/>
      <c r="KJQ300" s="173"/>
      <c r="KJR300" s="173"/>
      <c r="KJS300" s="173"/>
      <c r="KJT300" s="173"/>
      <c r="KJU300" s="173"/>
      <c r="KJV300" s="173"/>
      <c r="KJW300" s="173"/>
      <c r="KJX300" s="125"/>
      <c r="KJY300" s="125"/>
      <c r="KJZ300" s="134"/>
      <c r="KKA300" s="135"/>
      <c r="KKB300" s="135"/>
      <c r="KKC300" s="135"/>
      <c r="KKD300" s="135"/>
      <c r="KKE300" s="173"/>
      <c r="KKF300" s="173"/>
      <c r="KKG300" s="173"/>
      <c r="KKH300" s="173"/>
      <c r="KKI300" s="173"/>
      <c r="KKJ300" s="173"/>
      <c r="KKK300" s="173"/>
      <c r="KKL300" s="173"/>
      <c r="KKM300" s="173"/>
      <c r="KKN300" s="173"/>
      <c r="KKO300" s="125"/>
      <c r="KKP300" s="125"/>
      <c r="KKQ300" s="134"/>
      <c r="KKR300" s="135"/>
      <c r="KKS300" s="135"/>
      <c r="KKT300" s="135"/>
      <c r="KKU300" s="135"/>
      <c r="KKV300" s="173"/>
      <c r="KKW300" s="173"/>
      <c r="KKX300" s="173"/>
      <c r="KKY300" s="173"/>
      <c r="KKZ300" s="173"/>
      <c r="KLA300" s="173"/>
      <c r="KLB300" s="173"/>
      <c r="KLC300" s="173"/>
      <c r="KLD300" s="173"/>
      <c r="KLE300" s="173"/>
      <c r="KLF300" s="125"/>
      <c r="KLG300" s="125"/>
      <c r="KLH300" s="134"/>
      <c r="KLI300" s="135"/>
      <c r="KLJ300" s="135"/>
      <c r="KLK300" s="135"/>
      <c r="KLL300" s="135"/>
      <c r="KLM300" s="173"/>
      <c r="KLN300" s="173"/>
      <c r="KLO300" s="173"/>
      <c r="KLP300" s="173"/>
      <c r="KLQ300" s="173"/>
      <c r="KLR300" s="173"/>
      <c r="KLS300" s="173"/>
      <c r="KLT300" s="173"/>
      <c r="KLU300" s="173"/>
      <c r="KLV300" s="173"/>
      <c r="KLW300" s="125"/>
      <c r="KLX300" s="125"/>
      <c r="KLY300" s="134"/>
      <c r="KLZ300" s="135"/>
      <c r="KMA300" s="135"/>
      <c r="KMB300" s="135"/>
      <c r="KMC300" s="135"/>
      <c r="KMD300" s="173"/>
      <c r="KME300" s="173"/>
      <c r="KMF300" s="173"/>
      <c r="KMG300" s="173"/>
      <c r="KMH300" s="173"/>
      <c r="KMI300" s="173"/>
      <c r="KMJ300" s="173"/>
      <c r="KMK300" s="173"/>
      <c r="KML300" s="173"/>
      <c r="KMM300" s="173"/>
      <c r="KMN300" s="125"/>
      <c r="KMO300" s="125"/>
      <c r="KMP300" s="134"/>
      <c r="KMQ300" s="135"/>
      <c r="KMR300" s="135"/>
      <c r="KMS300" s="135"/>
      <c r="KMT300" s="135"/>
      <c r="KMU300" s="173"/>
      <c r="KMV300" s="173"/>
      <c r="KMW300" s="173"/>
      <c r="KMX300" s="173"/>
      <c r="KMY300" s="173"/>
      <c r="KMZ300" s="173"/>
      <c r="KNA300" s="173"/>
      <c r="KNB300" s="173"/>
      <c r="KNC300" s="173"/>
      <c r="KND300" s="173"/>
      <c r="KNE300" s="125"/>
      <c r="KNF300" s="125"/>
      <c r="KNG300" s="134"/>
      <c r="KNH300" s="135"/>
      <c r="KNI300" s="135"/>
      <c r="KNJ300" s="135"/>
      <c r="KNK300" s="135"/>
      <c r="KNL300" s="173"/>
      <c r="KNM300" s="173"/>
      <c r="KNN300" s="173"/>
      <c r="KNO300" s="173"/>
      <c r="KNP300" s="173"/>
      <c r="KNQ300" s="173"/>
      <c r="KNR300" s="173"/>
      <c r="KNS300" s="173"/>
      <c r="KNT300" s="173"/>
      <c r="KNU300" s="173"/>
      <c r="KNV300" s="125"/>
      <c r="KNW300" s="125"/>
      <c r="KNX300" s="134"/>
      <c r="KNY300" s="135"/>
      <c r="KNZ300" s="135"/>
      <c r="KOA300" s="135"/>
      <c r="KOB300" s="135"/>
      <c r="KOC300" s="173"/>
      <c r="KOD300" s="173"/>
      <c r="KOE300" s="173"/>
      <c r="KOF300" s="173"/>
      <c r="KOG300" s="173"/>
      <c r="KOH300" s="173"/>
      <c r="KOI300" s="173"/>
      <c r="KOJ300" s="173"/>
      <c r="KOK300" s="173"/>
      <c r="KOL300" s="173"/>
      <c r="KOM300" s="125"/>
      <c r="KON300" s="125"/>
      <c r="KOO300" s="134"/>
      <c r="KOP300" s="135"/>
      <c r="KOQ300" s="135"/>
      <c r="KOR300" s="135"/>
      <c r="KOS300" s="135"/>
      <c r="KOT300" s="173"/>
      <c r="KOU300" s="173"/>
      <c r="KOV300" s="173"/>
      <c r="KOW300" s="173"/>
      <c r="KOX300" s="173"/>
      <c r="KOY300" s="173"/>
      <c r="KOZ300" s="173"/>
      <c r="KPA300" s="173"/>
      <c r="KPB300" s="173"/>
      <c r="KPC300" s="173"/>
      <c r="KPD300" s="125"/>
      <c r="KPE300" s="125"/>
      <c r="KPF300" s="134"/>
      <c r="KPG300" s="135"/>
      <c r="KPH300" s="135"/>
      <c r="KPI300" s="135"/>
      <c r="KPJ300" s="135"/>
      <c r="KPK300" s="173"/>
      <c r="KPL300" s="173"/>
      <c r="KPM300" s="173"/>
      <c r="KPN300" s="173"/>
      <c r="KPO300" s="173"/>
      <c r="KPP300" s="173"/>
      <c r="KPQ300" s="173"/>
      <c r="KPR300" s="173"/>
      <c r="KPS300" s="173"/>
      <c r="KPT300" s="173"/>
      <c r="KPU300" s="125"/>
      <c r="KPV300" s="125"/>
      <c r="KPW300" s="134"/>
      <c r="KPX300" s="135"/>
      <c r="KPY300" s="135"/>
      <c r="KPZ300" s="135"/>
      <c r="KQA300" s="135"/>
      <c r="KQB300" s="173"/>
      <c r="KQC300" s="173"/>
      <c r="KQD300" s="173"/>
      <c r="KQE300" s="173"/>
      <c r="KQF300" s="173"/>
      <c r="KQG300" s="173"/>
      <c r="KQH300" s="173"/>
      <c r="KQI300" s="173"/>
      <c r="KQJ300" s="173"/>
      <c r="KQK300" s="173"/>
      <c r="KQL300" s="125"/>
      <c r="KQM300" s="125"/>
      <c r="KQN300" s="134"/>
      <c r="KQO300" s="135"/>
      <c r="KQP300" s="135"/>
      <c r="KQQ300" s="135"/>
      <c r="KQR300" s="135"/>
      <c r="KQS300" s="173"/>
      <c r="KQT300" s="173"/>
      <c r="KQU300" s="173"/>
      <c r="KQV300" s="173"/>
      <c r="KQW300" s="173"/>
      <c r="KQX300" s="173"/>
      <c r="KQY300" s="173"/>
      <c r="KQZ300" s="173"/>
      <c r="KRA300" s="173"/>
      <c r="KRB300" s="173"/>
      <c r="KRC300" s="125"/>
      <c r="KRD300" s="125"/>
      <c r="KRE300" s="134"/>
      <c r="KRF300" s="135"/>
      <c r="KRG300" s="135"/>
      <c r="KRH300" s="135"/>
      <c r="KRI300" s="135"/>
      <c r="KRJ300" s="173"/>
      <c r="KRK300" s="173"/>
      <c r="KRL300" s="173"/>
      <c r="KRM300" s="173"/>
      <c r="KRN300" s="173"/>
      <c r="KRO300" s="173"/>
      <c r="KRP300" s="173"/>
      <c r="KRQ300" s="173"/>
      <c r="KRR300" s="173"/>
      <c r="KRS300" s="173"/>
      <c r="KRT300" s="125"/>
      <c r="KRU300" s="125"/>
      <c r="KRV300" s="134"/>
      <c r="KRW300" s="135"/>
      <c r="KRX300" s="135"/>
      <c r="KRY300" s="135"/>
      <c r="KRZ300" s="135"/>
      <c r="KSA300" s="173"/>
      <c r="KSB300" s="173"/>
      <c r="KSC300" s="173"/>
      <c r="KSD300" s="173"/>
      <c r="KSE300" s="173"/>
      <c r="KSF300" s="173"/>
      <c r="KSG300" s="173"/>
      <c r="KSH300" s="173"/>
      <c r="KSI300" s="173"/>
      <c r="KSJ300" s="173"/>
      <c r="KSK300" s="125"/>
      <c r="KSL300" s="125"/>
      <c r="KSM300" s="134"/>
      <c r="KSN300" s="135"/>
      <c r="KSO300" s="135"/>
      <c r="KSP300" s="135"/>
      <c r="KSQ300" s="135"/>
      <c r="KSR300" s="173"/>
      <c r="KSS300" s="173"/>
      <c r="KST300" s="173"/>
      <c r="KSU300" s="173"/>
      <c r="KSV300" s="173"/>
      <c r="KSW300" s="173"/>
      <c r="KSX300" s="173"/>
      <c r="KSY300" s="173"/>
      <c r="KSZ300" s="173"/>
      <c r="KTA300" s="173"/>
      <c r="KTB300" s="125"/>
      <c r="KTC300" s="125"/>
      <c r="KTD300" s="134"/>
      <c r="KTE300" s="135"/>
      <c r="KTF300" s="135"/>
      <c r="KTG300" s="135"/>
      <c r="KTH300" s="135"/>
      <c r="KTI300" s="173"/>
      <c r="KTJ300" s="173"/>
      <c r="KTK300" s="173"/>
      <c r="KTL300" s="173"/>
      <c r="KTM300" s="173"/>
      <c r="KTN300" s="173"/>
      <c r="KTO300" s="173"/>
      <c r="KTP300" s="173"/>
      <c r="KTQ300" s="173"/>
      <c r="KTR300" s="173"/>
      <c r="KTS300" s="125"/>
      <c r="KTT300" s="125"/>
      <c r="KTU300" s="134"/>
      <c r="KTV300" s="135"/>
      <c r="KTW300" s="135"/>
      <c r="KTX300" s="135"/>
      <c r="KTY300" s="135"/>
      <c r="KTZ300" s="173"/>
      <c r="KUA300" s="173"/>
      <c r="KUB300" s="173"/>
      <c r="KUC300" s="173"/>
      <c r="KUD300" s="173"/>
      <c r="KUE300" s="173"/>
      <c r="KUF300" s="173"/>
      <c r="KUG300" s="173"/>
      <c r="KUH300" s="173"/>
      <c r="KUI300" s="173"/>
      <c r="KUJ300" s="125"/>
      <c r="KUK300" s="125"/>
      <c r="KUL300" s="134"/>
      <c r="KUM300" s="135"/>
      <c r="KUN300" s="135"/>
      <c r="KUO300" s="135"/>
      <c r="KUP300" s="135"/>
      <c r="KUQ300" s="173"/>
      <c r="KUR300" s="173"/>
      <c r="KUS300" s="173"/>
      <c r="KUT300" s="173"/>
      <c r="KUU300" s="173"/>
      <c r="KUV300" s="173"/>
      <c r="KUW300" s="173"/>
      <c r="KUX300" s="173"/>
      <c r="KUY300" s="173"/>
      <c r="KUZ300" s="173"/>
      <c r="KVA300" s="125"/>
      <c r="KVB300" s="125"/>
      <c r="KVC300" s="134"/>
      <c r="KVD300" s="135"/>
      <c r="KVE300" s="135"/>
      <c r="KVF300" s="135"/>
      <c r="KVG300" s="135"/>
      <c r="KVH300" s="173"/>
      <c r="KVI300" s="173"/>
      <c r="KVJ300" s="173"/>
      <c r="KVK300" s="173"/>
      <c r="KVL300" s="173"/>
      <c r="KVM300" s="173"/>
      <c r="KVN300" s="173"/>
      <c r="KVO300" s="173"/>
      <c r="KVP300" s="173"/>
      <c r="KVQ300" s="173"/>
      <c r="KVR300" s="125"/>
      <c r="KVS300" s="125"/>
      <c r="KVT300" s="134"/>
      <c r="KVU300" s="135"/>
      <c r="KVV300" s="135"/>
      <c r="KVW300" s="135"/>
      <c r="KVX300" s="135"/>
      <c r="KVY300" s="173"/>
      <c r="KVZ300" s="173"/>
      <c r="KWA300" s="173"/>
      <c r="KWB300" s="173"/>
      <c r="KWC300" s="173"/>
      <c r="KWD300" s="173"/>
      <c r="KWE300" s="173"/>
      <c r="KWF300" s="173"/>
      <c r="KWG300" s="173"/>
      <c r="KWH300" s="173"/>
      <c r="KWI300" s="125"/>
      <c r="KWJ300" s="125"/>
      <c r="KWK300" s="134"/>
      <c r="KWL300" s="135"/>
      <c r="KWM300" s="135"/>
      <c r="KWN300" s="135"/>
      <c r="KWO300" s="135"/>
      <c r="KWP300" s="173"/>
      <c r="KWQ300" s="173"/>
      <c r="KWR300" s="173"/>
      <c r="KWS300" s="173"/>
      <c r="KWT300" s="173"/>
      <c r="KWU300" s="173"/>
      <c r="KWV300" s="173"/>
      <c r="KWW300" s="173"/>
      <c r="KWX300" s="173"/>
      <c r="KWY300" s="173"/>
      <c r="KWZ300" s="125"/>
      <c r="KXA300" s="125"/>
      <c r="KXB300" s="134"/>
      <c r="KXC300" s="135"/>
      <c r="KXD300" s="135"/>
      <c r="KXE300" s="135"/>
      <c r="KXF300" s="135"/>
      <c r="KXG300" s="173"/>
      <c r="KXH300" s="173"/>
      <c r="KXI300" s="173"/>
      <c r="KXJ300" s="173"/>
      <c r="KXK300" s="173"/>
      <c r="KXL300" s="173"/>
      <c r="KXM300" s="173"/>
      <c r="KXN300" s="173"/>
      <c r="KXO300" s="173"/>
      <c r="KXP300" s="173"/>
      <c r="KXQ300" s="125"/>
      <c r="KXR300" s="125"/>
      <c r="KXS300" s="134"/>
      <c r="KXT300" s="135"/>
      <c r="KXU300" s="135"/>
      <c r="KXV300" s="135"/>
      <c r="KXW300" s="135"/>
      <c r="KXX300" s="173"/>
      <c r="KXY300" s="173"/>
      <c r="KXZ300" s="173"/>
      <c r="KYA300" s="173"/>
      <c r="KYB300" s="173"/>
      <c r="KYC300" s="173"/>
      <c r="KYD300" s="173"/>
      <c r="KYE300" s="173"/>
      <c r="KYF300" s="173"/>
      <c r="KYG300" s="173"/>
      <c r="KYH300" s="125"/>
      <c r="KYI300" s="125"/>
      <c r="KYJ300" s="134"/>
      <c r="KYK300" s="135"/>
      <c r="KYL300" s="135"/>
      <c r="KYM300" s="135"/>
      <c r="KYN300" s="135"/>
      <c r="KYO300" s="173"/>
      <c r="KYP300" s="173"/>
      <c r="KYQ300" s="173"/>
      <c r="KYR300" s="173"/>
      <c r="KYS300" s="173"/>
      <c r="KYT300" s="173"/>
      <c r="KYU300" s="173"/>
      <c r="KYV300" s="173"/>
      <c r="KYW300" s="173"/>
      <c r="KYX300" s="173"/>
      <c r="KYY300" s="125"/>
      <c r="KYZ300" s="125"/>
      <c r="KZA300" s="134"/>
      <c r="KZB300" s="135"/>
      <c r="KZC300" s="135"/>
      <c r="KZD300" s="135"/>
      <c r="KZE300" s="135"/>
      <c r="KZF300" s="173"/>
      <c r="KZG300" s="173"/>
      <c r="KZH300" s="173"/>
      <c r="KZI300" s="173"/>
      <c r="KZJ300" s="173"/>
      <c r="KZK300" s="173"/>
      <c r="KZL300" s="173"/>
      <c r="KZM300" s="173"/>
      <c r="KZN300" s="173"/>
      <c r="KZO300" s="173"/>
      <c r="KZP300" s="125"/>
      <c r="KZQ300" s="125"/>
      <c r="KZR300" s="134"/>
      <c r="KZS300" s="135"/>
      <c r="KZT300" s="135"/>
      <c r="KZU300" s="135"/>
      <c r="KZV300" s="135"/>
      <c r="KZW300" s="173"/>
      <c r="KZX300" s="173"/>
      <c r="KZY300" s="173"/>
      <c r="KZZ300" s="173"/>
      <c r="LAA300" s="173"/>
      <c r="LAB300" s="173"/>
      <c r="LAC300" s="173"/>
      <c r="LAD300" s="173"/>
      <c r="LAE300" s="173"/>
      <c r="LAF300" s="173"/>
      <c r="LAG300" s="125"/>
      <c r="LAH300" s="125"/>
      <c r="LAI300" s="134"/>
      <c r="LAJ300" s="135"/>
      <c r="LAK300" s="135"/>
      <c r="LAL300" s="135"/>
      <c r="LAM300" s="135"/>
      <c r="LAN300" s="173"/>
      <c r="LAO300" s="173"/>
      <c r="LAP300" s="173"/>
      <c r="LAQ300" s="173"/>
      <c r="LAR300" s="173"/>
      <c r="LAS300" s="173"/>
      <c r="LAT300" s="173"/>
      <c r="LAU300" s="173"/>
      <c r="LAV300" s="173"/>
      <c r="LAW300" s="173"/>
      <c r="LAX300" s="125"/>
      <c r="LAY300" s="125"/>
      <c r="LAZ300" s="134"/>
      <c r="LBA300" s="135"/>
      <c r="LBB300" s="135"/>
      <c r="LBC300" s="135"/>
      <c r="LBD300" s="135"/>
      <c r="LBE300" s="173"/>
      <c r="LBF300" s="173"/>
      <c r="LBG300" s="173"/>
      <c r="LBH300" s="173"/>
      <c r="LBI300" s="173"/>
      <c r="LBJ300" s="173"/>
      <c r="LBK300" s="173"/>
      <c r="LBL300" s="173"/>
      <c r="LBM300" s="173"/>
      <c r="LBN300" s="173"/>
      <c r="LBO300" s="125"/>
      <c r="LBP300" s="125"/>
      <c r="LBQ300" s="134"/>
      <c r="LBR300" s="135"/>
      <c r="LBS300" s="135"/>
      <c r="LBT300" s="135"/>
      <c r="LBU300" s="135"/>
      <c r="LBV300" s="173"/>
      <c r="LBW300" s="173"/>
      <c r="LBX300" s="173"/>
      <c r="LBY300" s="173"/>
      <c r="LBZ300" s="173"/>
      <c r="LCA300" s="173"/>
      <c r="LCB300" s="173"/>
      <c r="LCC300" s="173"/>
      <c r="LCD300" s="173"/>
      <c r="LCE300" s="173"/>
      <c r="LCF300" s="125"/>
      <c r="LCG300" s="125"/>
      <c r="LCH300" s="134"/>
      <c r="LCI300" s="135"/>
      <c r="LCJ300" s="135"/>
      <c r="LCK300" s="135"/>
      <c r="LCL300" s="135"/>
      <c r="LCM300" s="173"/>
      <c r="LCN300" s="173"/>
      <c r="LCO300" s="173"/>
      <c r="LCP300" s="173"/>
      <c r="LCQ300" s="173"/>
      <c r="LCR300" s="173"/>
      <c r="LCS300" s="173"/>
      <c r="LCT300" s="173"/>
      <c r="LCU300" s="173"/>
      <c r="LCV300" s="173"/>
      <c r="LCW300" s="125"/>
      <c r="LCX300" s="125"/>
      <c r="LCY300" s="134"/>
      <c r="LCZ300" s="135"/>
      <c r="LDA300" s="135"/>
      <c r="LDB300" s="135"/>
      <c r="LDC300" s="135"/>
      <c r="LDD300" s="173"/>
      <c r="LDE300" s="173"/>
      <c r="LDF300" s="173"/>
      <c r="LDG300" s="173"/>
      <c r="LDH300" s="173"/>
      <c r="LDI300" s="173"/>
      <c r="LDJ300" s="173"/>
      <c r="LDK300" s="173"/>
      <c r="LDL300" s="173"/>
      <c r="LDM300" s="173"/>
      <c r="LDN300" s="125"/>
      <c r="LDO300" s="125"/>
      <c r="LDP300" s="134"/>
      <c r="LDQ300" s="135"/>
      <c r="LDR300" s="135"/>
      <c r="LDS300" s="135"/>
      <c r="LDT300" s="135"/>
      <c r="LDU300" s="173"/>
      <c r="LDV300" s="173"/>
      <c r="LDW300" s="173"/>
      <c r="LDX300" s="173"/>
      <c r="LDY300" s="173"/>
      <c r="LDZ300" s="173"/>
      <c r="LEA300" s="173"/>
      <c r="LEB300" s="173"/>
      <c r="LEC300" s="173"/>
      <c r="LED300" s="173"/>
      <c r="LEE300" s="125"/>
      <c r="LEF300" s="125"/>
      <c r="LEG300" s="134"/>
      <c r="LEH300" s="135"/>
      <c r="LEI300" s="135"/>
      <c r="LEJ300" s="135"/>
      <c r="LEK300" s="135"/>
      <c r="LEL300" s="173"/>
      <c r="LEM300" s="173"/>
      <c r="LEN300" s="173"/>
      <c r="LEO300" s="173"/>
      <c r="LEP300" s="173"/>
      <c r="LEQ300" s="173"/>
      <c r="LER300" s="173"/>
      <c r="LES300" s="173"/>
      <c r="LET300" s="173"/>
      <c r="LEU300" s="173"/>
      <c r="LEV300" s="125"/>
      <c r="LEW300" s="125"/>
      <c r="LEX300" s="134"/>
      <c r="LEY300" s="135"/>
      <c r="LEZ300" s="135"/>
      <c r="LFA300" s="135"/>
      <c r="LFB300" s="135"/>
      <c r="LFC300" s="173"/>
      <c r="LFD300" s="173"/>
      <c r="LFE300" s="173"/>
      <c r="LFF300" s="173"/>
      <c r="LFG300" s="173"/>
      <c r="LFH300" s="173"/>
      <c r="LFI300" s="173"/>
      <c r="LFJ300" s="173"/>
      <c r="LFK300" s="173"/>
      <c r="LFL300" s="173"/>
      <c r="LFM300" s="125"/>
      <c r="LFN300" s="125"/>
      <c r="LFO300" s="134"/>
      <c r="LFP300" s="135"/>
      <c r="LFQ300" s="135"/>
      <c r="LFR300" s="135"/>
      <c r="LFS300" s="135"/>
      <c r="LFT300" s="173"/>
      <c r="LFU300" s="173"/>
      <c r="LFV300" s="173"/>
      <c r="LFW300" s="173"/>
      <c r="LFX300" s="173"/>
      <c r="LFY300" s="173"/>
      <c r="LFZ300" s="173"/>
      <c r="LGA300" s="173"/>
      <c r="LGB300" s="173"/>
      <c r="LGC300" s="173"/>
      <c r="LGD300" s="125"/>
      <c r="LGE300" s="125"/>
      <c r="LGF300" s="134"/>
      <c r="LGG300" s="135"/>
      <c r="LGH300" s="135"/>
      <c r="LGI300" s="135"/>
      <c r="LGJ300" s="135"/>
      <c r="LGK300" s="173"/>
      <c r="LGL300" s="173"/>
      <c r="LGM300" s="173"/>
      <c r="LGN300" s="173"/>
      <c r="LGO300" s="173"/>
      <c r="LGP300" s="173"/>
      <c r="LGQ300" s="173"/>
      <c r="LGR300" s="173"/>
      <c r="LGS300" s="173"/>
      <c r="LGT300" s="173"/>
      <c r="LGU300" s="125"/>
      <c r="LGV300" s="125"/>
      <c r="LGW300" s="134"/>
      <c r="LGX300" s="135"/>
      <c r="LGY300" s="135"/>
      <c r="LGZ300" s="135"/>
      <c r="LHA300" s="135"/>
      <c r="LHB300" s="173"/>
      <c r="LHC300" s="173"/>
      <c r="LHD300" s="173"/>
      <c r="LHE300" s="173"/>
      <c r="LHF300" s="173"/>
      <c r="LHG300" s="173"/>
      <c r="LHH300" s="173"/>
      <c r="LHI300" s="173"/>
      <c r="LHJ300" s="173"/>
      <c r="LHK300" s="173"/>
      <c r="LHL300" s="125"/>
      <c r="LHM300" s="125"/>
      <c r="LHN300" s="134"/>
      <c r="LHO300" s="135"/>
      <c r="LHP300" s="135"/>
      <c r="LHQ300" s="135"/>
      <c r="LHR300" s="135"/>
      <c r="LHS300" s="173"/>
      <c r="LHT300" s="173"/>
      <c r="LHU300" s="173"/>
      <c r="LHV300" s="173"/>
      <c r="LHW300" s="173"/>
      <c r="LHX300" s="173"/>
      <c r="LHY300" s="173"/>
      <c r="LHZ300" s="173"/>
      <c r="LIA300" s="173"/>
      <c r="LIB300" s="173"/>
      <c r="LIC300" s="125"/>
      <c r="LID300" s="125"/>
      <c r="LIE300" s="134"/>
      <c r="LIF300" s="135"/>
      <c r="LIG300" s="135"/>
      <c r="LIH300" s="135"/>
      <c r="LII300" s="135"/>
      <c r="LIJ300" s="173"/>
      <c r="LIK300" s="173"/>
      <c r="LIL300" s="173"/>
      <c r="LIM300" s="173"/>
      <c r="LIN300" s="173"/>
      <c r="LIO300" s="173"/>
      <c r="LIP300" s="173"/>
      <c r="LIQ300" s="173"/>
      <c r="LIR300" s="173"/>
      <c r="LIS300" s="173"/>
      <c r="LIT300" s="125"/>
      <c r="LIU300" s="125"/>
      <c r="LIV300" s="134"/>
      <c r="LIW300" s="135"/>
      <c r="LIX300" s="135"/>
      <c r="LIY300" s="135"/>
      <c r="LIZ300" s="135"/>
      <c r="LJA300" s="173"/>
      <c r="LJB300" s="173"/>
      <c r="LJC300" s="173"/>
      <c r="LJD300" s="173"/>
      <c r="LJE300" s="173"/>
      <c r="LJF300" s="173"/>
      <c r="LJG300" s="173"/>
      <c r="LJH300" s="173"/>
      <c r="LJI300" s="173"/>
      <c r="LJJ300" s="173"/>
      <c r="LJK300" s="125"/>
      <c r="LJL300" s="125"/>
      <c r="LJM300" s="134"/>
      <c r="LJN300" s="135"/>
      <c r="LJO300" s="135"/>
      <c r="LJP300" s="135"/>
      <c r="LJQ300" s="135"/>
      <c r="LJR300" s="173"/>
      <c r="LJS300" s="173"/>
      <c r="LJT300" s="173"/>
      <c r="LJU300" s="173"/>
      <c r="LJV300" s="173"/>
      <c r="LJW300" s="173"/>
      <c r="LJX300" s="173"/>
      <c r="LJY300" s="173"/>
      <c r="LJZ300" s="173"/>
      <c r="LKA300" s="173"/>
      <c r="LKB300" s="125"/>
      <c r="LKC300" s="125"/>
      <c r="LKD300" s="134"/>
      <c r="LKE300" s="135"/>
      <c r="LKF300" s="135"/>
      <c r="LKG300" s="135"/>
      <c r="LKH300" s="135"/>
      <c r="LKI300" s="173"/>
      <c r="LKJ300" s="173"/>
      <c r="LKK300" s="173"/>
      <c r="LKL300" s="173"/>
      <c r="LKM300" s="173"/>
      <c r="LKN300" s="173"/>
      <c r="LKO300" s="173"/>
      <c r="LKP300" s="173"/>
      <c r="LKQ300" s="173"/>
      <c r="LKR300" s="173"/>
      <c r="LKS300" s="125"/>
      <c r="LKT300" s="125"/>
      <c r="LKU300" s="134"/>
      <c r="LKV300" s="135"/>
      <c r="LKW300" s="135"/>
      <c r="LKX300" s="135"/>
      <c r="LKY300" s="135"/>
      <c r="LKZ300" s="173"/>
      <c r="LLA300" s="173"/>
      <c r="LLB300" s="173"/>
      <c r="LLC300" s="173"/>
      <c r="LLD300" s="173"/>
      <c r="LLE300" s="173"/>
      <c r="LLF300" s="173"/>
      <c r="LLG300" s="173"/>
      <c r="LLH300" s="173"/>
      <c r="LLI300" s="173"/>
      <c r="LLJ300" s="125"/>
      <c r="LLK300" s="125"/>
      <c r="LLL300" s="134"/>
      <c r="LLM300" s="135"/>
      <c r="LLN300" s="135"/>
      <c r="LLO300" s="135"/>
      <c r="LLP300" s="135"/>
      <c r="LLQ300" s="173"/>
      <c r="LLR300" s="173"/>
      <c r="LLS300" s="173"/>
      <c r="LLT300" s="173"/>
      <c r="LLU300" s="173"/>
      <c r="LLV300" s="173"/>
      <c r="LLW300" s="173"/>
      <c r="LLX300" s="173"/>
      <c r="LLY300" s="173"/>
      <c r="LLZ300" s="173"/>
      <c r="LMA300" s="125"/>
      <c r="LMB300" s="125"/>
      <c r="LMC300" s="134"/>
      <c r="LMD300" s="135"/>
      <c r="LME300" s="135"/>
      <c r="LMF300" s="135"/>
      <c r="LMG300" s="135"/>
      <c r="LMH300" s="173"/>
      <c r="LMI300" s="173"/>
      <c r="LMJ300" s="173"/>
      <c r="LMK300" s="173"/>
      <c r="LML300" s="173"/>
      <c r="LMM300" s="173"/>
      <c r="LMN300" s="173"/>
      <c r="LMO300" s="173"/>
      <c r="LMP300" s="173"/>
      <c r="LMQ300" s="173"/>
      <c r="LMR300" s="125"/>
      <c r="LMS300" s="125"/>
      <c r="LMT300" s="134"/>
      <c r="LMU300" s="135"/>
      <c r="LMV300" s="135"/>
      <c r="LMW300" s="135"/>
      <c r="LMX300" s="135"/>
      <c r="LMY300" s="173"/>
      <c r="LMZ300" s="173"/>
      <c r="LNA300" s="173"/>
      <c r="LNB300" s="173"/>
      <c r="LNC300" s="173"/>
      <c r="LND300" s="173"/>
      <c r="LNE300" s="173"/>
      <c r="LNF300" s="173"/>
      <c r="LNG300" s="173"/>
      <c r="LNH300" s="173"/>
      <c r="LNI300" s="125"/>
      <c r="LNJ300" s="125"/>
      <c r="LNK300" s="134"/>
      <c r="LNL300" s="135"/>
      <c r="LNM300" s="135"/>
      <c r="LNN300" s="135"/>
      <c r="LNO300" s="135"/>
      <c r="LNP300" s="173"/>
      <c r="LNQ300" s="173"/>
      <c r="LNR300" s="173"/>
      <c r="LNS300" s="173"/>
      <c r="LNT300" s="173"/>
      <c r="LNU300" s="173"/>
      <c r="LNV300" s="173"/>
      <c r="LNW300" s="173"/>
      <c r="LNX300" s="173"/>
      <c r="LNY300" s="173"/>
      <c r="LNZ300" s="125"/>
      <c r="LOA300" s="125"/>
      <c r="LOB300" s="134"/>
      <c r="LOC300" s="135"/>
      <c r="LOD300" s="135"/>
      <c r="LOE300" s="135"/>
      <c r="LOF300" s="135"/>
      <c r="LOG300" s="173"/>
      <c r="LOH300" s="173"/>
      <c r="LOI300" s="173"/>
      <c r="LOJ300" s="173"/>
      <c r="LOK300" s="173"/>
      <c r="LOL300" s="173"/>
      <c r="LOM300" s="173"/>
      <c r="LON300" s="173"/>
      <c r="LOO300" s="173"/>
      <c r="LOP300" s="173"/>
      <c r="LOQ300" s="125"/>
      <c r="LOR300" s="125"/>
      <c r="LOS300" s="134"/>
      <c r="LOT300" s="135"/>
      <c r="LOU300" s="135"/>
      <c r="LOV300" s="135"/>
      <c r="LOW300" s="135"/>
      <c r="LOX300" s="173"/>
      <c r="LOY300" s="173"/>
      <c r="LOZ300" s="173"/>
      <c r="LPA300" s="173"/>
      <c r="LPB300" s="173"/>
      <c r="LPC300" s="173"/>
      <c r="LPD300" s="173"/>
      <c r="LPE300" s="173"/>
      <c r="LPF300" s="173"/>
      <c r="LPG300" s="173"/>
      <c r="LPH300" s="125"/>
      <c r="LPI300" s="125"/>
      <c r="LPJ300" s="134"/>
      <c r="LPK300" s="135"/>
      <c r="LPL300" s="135"/>
      <c r="LPM300" s="135"/>
      <c r="LPN300" s="135"/>
      <c r="LPO300" s="173"/>
      <c r="LPP300" s="173"/>
      <c r="LPQ300" s="173"/>
      <c r="LPR300" s="173"/>
      <c r="LPS300" s="173"/>
      <c r="LPT300" s="173"/>
      <c r="LPU300" s="173"/>
      <c r="LPV300" s="173"/>
      <c r="LPW300" s="173"/>
      <c r="LPX300" s="173"/>
      <c r="LPY300" s="125"/>
      <c r="LPZ300" s="125"/>
      <c r="LQA300" s="134"/>
      <c r="LQB300" s="135"/>
      <c r="LQC300" s="135"/>
      <c r="LQD300" s="135"/>
      <c r="LQE300" s="135"/>
      <c r="LQF300" s="173"/>
      <c r="LQG300" s="173"/>
      <c r="LQH300" s="173"/>
      <c r="LQI300" s="173"/>
      <c r="LQJ300" s="173"/>
      <c r="LQK300" s="173"/>
      <c r="LQL300" s="173"/>
      <c r="LQM300" s="173"/>
      <c r="LQN300" s="173"/>
      <c r="LQO300" s="173"/>
      <c r="LQP300" s="125"/>
      <c r="LQQ300" s="125"/>
      <c r="LQR300" s="134"/>
      <c r="LQS300" s="135"/>
      <c r="LQT300" s="135"/>
      <c r="LQU300" s="135"/>
      <c r="LQV300" s="135"/>
      <c r="LQW300" s="173"/>
      <c r="LQX300" s="173"/>
      <c r="LQY300" s="173"/>
      <c r="LQZ300" s="173"/>
      <c r="LRA300" s="173"/>
      <c r="LRB300" s="173"/>
      <c r="LRC300" s="173"/>
      <c r="LRD300" s="173"/>
      <c r="LRE300" s="173"/>
      <c r="LRF300" s="173"/>
      <c r="LRG300" s="125"/>
      <c r="LRH300" s="125"/>
      <c r="LRI300" s="134"/>
      <c r="LRJ300" s="135"/>
      <c r="LRK300" s="135"/>
      <c r="LRL300" s="135"/>
      <c r="LRM300" s="135"/>
      <c r="LRN300" s="173"/>
      <c r="LRO300" s="173"/>
      <c r="LRP300" s="173"/>
      <c r="LRQ300" s="173"/>
      <c r="LRR300" s="173"/>
      <c r="LRS300" s="173"/>
      <c r="LRT300" s="173"/>
      <c r="LRU300" s="173"/>
      <c r="LRV300" s="173"/>
      <c r="LRW300" s="173"/>
      <c r="LRX300" s="125"/>
      <c r="LRY300" s="125"/>
      <c r="LRZ300" s="134"/>
      <c r="LSA300" s="135"/>
      <c r="LSB300" s="135"/>
      <c r="LSC300" s="135"/>
      <c r="LSD300" s="135"/>
      <c r="LSE300" s="173"/>
      <c r="LSF300" s="173"/>
      <c r="LSG300" s="173"/>
      <c r="LSH300" s="173"/>
      <c r="LSI300" s="173"/>
      <c r="LSJ300" s="173"/>
      <c r="LSK300" s="173"/>
      <c r="LSL300" s="173"/>
      <c r="LSM300" s="173"/>
      <c r="LSN300" s="173"/>
      <c r="LSO300" s="125"/>
      <c r="LSP300" s="125"/>
      <c r="LSQ300" s="134"/>
      <c r="LSR300" s="135"/>
      <c r="LSS300" s="135"/>
      <c r="LST300" s="135"/>
      <c r="LSU300" s="135"/>
      <c r="LSV300" s="173"/>
      <c r="LSW300" s="173"/>
      <c r="LSX300" s="173"/>
      <c r="LSY300" s="173"/>
      <c r="LSZ300" s="173"/>
      <c r="LTA300" s="173"/>
      <c r="LTB300" s="173"/>
      <c r="LTC300" s="173"/>
      <c r="LTD300" s="173"/>
      <c r="LTE300" s="173"/>
      <c r="LTF300" s="125"/>
      <c r="LTG300" s="125"/>
      <c r="LTH300" s="134"/>
      <c r="LTI300" s="135"/>
      <c r="LTJ300" s="135"/>
      <c r="LTK300" s="135"/>
      <c r="LTL300" s="135"/>
      <c r="LTM300" s="173"/>
      <c r="LTN300" s="173"/>
      <c r="LTO300" s="173"/>
      <c r="LTP300" s="173"/>
      <c r="LTQ300" s="173"/>
      <c r="LTR300" s="173"/>
      <c r="LTS300" s="173"/>
      <c r="LTT300" s="173"/>
      <c r="LTU300" s="173"/>
      <c r="LTV300" s="173"/>
      <c r="LTW300" s="125"/>
      <c r="LTX300" s="125"/>
      <c r="LTY300" s="134"/>
      <c r="LTZ300" s="135"/>
      <c r="LUA300" s="135"/>
      <c r="LUB300" s="135"/>
      <c r="LUC300" s="135"/>
      <c r="LUD300" s="173"/>
      <c r="LUE300" s="173"/>
      <c r="LUF300" s="173"/>
      <c r="LUG300" s="173"/>
      <c r="LUH300" s="173"/>
      <c r="LUI300" s="173"/>
      <c r="LUJ300" s="173"/>
      <c r="LUK300" s="173"/>
      <c r="LUL300" s="173"/>
      <c r="LUM300" s="173"/>
      <c r="LUN300" s="125"/>
      <c r="LUO300" s="125"/>
      <c r="LUP300" s="134"/>
      <c r="LUQ300" s="135"/>
      <c r="LUR300" s="135"/>
      <c r="LUS300" s="135"/>
      <c r="LUT300" s="135"/>
      <c r="LUU300" s="173"/>
      <c r="LUV300" s="173"/>
      <c r="LUW300" s="173"/>
      <c r="LUX300" s="173"/>
      <c r="LUY300" s="173"/>
      <c r="LUZ300" s="173"/>
      <c r="LVA300" s="173"/>
      <c r="LVB300" s="173"/>
      <c r="LVC300" s="173"/>
      <c r="LVD300" s="173"/>
      <c r="LVE300" s="125"/>
      <c r="LVF300" s="125"/>
      <c r="LVG300" s="134"/>
      <c r="LVH300" s="135"/>
      <c r="LVI300" s="135"/>
      <c r="LVJ300" s="135"/>
      <c r="LVK300" s="135"/>
      <c r="LVL300" s="173"/>
      <c r="LVM300" s="173"/>
      <c r="LVN300" s="173"/>
      <c r="LVO300" s="173"/>
      <c r="LVP300" s="173"/>
      <c r="LVQ300" s="173"/>
      <c r="LVR300" s="173"/>
      <c r="LVS300" s="173"/>
      <c r="LVT300" s="173"/>
      <c r="LVU300" s="173"/>
      <c r="LVV300" s="125"/>
      <c r="LVW300" s="125"/>
      <c r="LVX300" s="134"/>
      <c r="LVY300" s="135"/>
      <c r="LVZ300" s="135"/>
      <c r="LWA300" s="135"/>
      <c r="LWB300" s="135"/>
      <c r="LWC300" s="173"/>
      <c r="LWD300" s="173"/>
      <c r="LWE300" s="173"/>
      <c r="LWF300" s="173"/>
      <c r="LWG300" s="173"/>
      <c r="LWH300" s="173"/>
      <c r="LWI300" s="173"/>
      <c r="LWJ300" s="173"/>
      <c r="LWK300" s="173"/>
      <c r="LWL300" s="173"/>
      <c r="LWM300" s="125"/>
      <c r="LWN300" s="125"/>
      <c r="LWO300" s="134"/>
      <c r="LWP300" s="135"/>
      <c r="LWQ300" s="135"/>
      <c r="LWR300" s="135"/>
      <c r="LWS300" s="135"/>
      <c r="LWT300" s="173"/>
      <c r="LWU300" s="173"/>
      <c r="LWV300" s="173"/>
      <c r="LWW300" s="173"/>
      <c r="LWX300" s="173"/>
      <c r="LWY300" s="173"/>
      <c r="LWZ300" s="173"/>
      <c r="LXA300" s="173"/>
      <c r="LXB300" s="173"/>
      <c r="LXC300" s="173"/>
      <c r="LXD300" s="125"/>
      <c r="LXE300" s="125"/>
      <c r="LXF300" s="134"/>
      <c r="LXG300" s="135"/>
      <c r="LXH300" s="135"/>
      <c r="LXI300" s="135"/>
      <c r="LXJ300" s="135"/>
      <c r="LXK300" s="173"/>
      <c r="LXL300" s="173"/>
      <c r="LXM300" s="173"/>
      <c r="LXN300" s="173"/>
      <c r="LXO300" s="173"/>
      <c r="LXP300" s="173"/>
      <c r="LXQ300" s="173"/>
      <c r="LXR300" s="173"/>
      <c r="LXS300" s="173"/>
      <c r="LXT300" s="173"/>
      <c r="LXU300" s="125"/>
      <c r="LXV300" s="125"/>
      <c r="LXW300" s="134"/>
      <c r="LXX300" s="135"/>
      <c r="LXY300" s="135"/>
      <c r="LXZ300" s="135"/>
      <c r="LYA300" s="135"/>
      <c r="LYB300" s="173"/>
      <c r="LYC300" s="173"/>
      <c r="LYD300" s="173"/>
      <c r="LYE300" s="173"/>
      <c r="LYF300" s="173"/>
      <c r="LYG300" s="173"/>
      <c r="LYH300" s="173"/>
      <c r="LYI300" s="173"/>
      <c r="LYJ300" s="173"/>
      <c r="LYK300" s="173"/>
      <c r="LYL300" s="125"/>
      <c r="LYM300" s="125"/>
      <c r="LYN300" s="134"/>
      <c r="LYO300" s="135"/>
      <c r="LYP300" s="135"/>
      <c r="LYQ300" s="135"/>
      <c r="LYR300" s="135"/>
      <c r="LYS300" s="173"/>
      <c r="LYT300" s="173"/>
      <c r="LYU300" s="173"/>
      <c r="LYV300" s="173"/>
      <c r="LYW300" s="173"/>
      <c r="LYX300" s="173"/>
      <c r="LYY300" s="173"/>
      <c r="LYZ300" s="173"/>
      <c r="LZA300" s="173"/>
      <c r="LZB300" s="173"/>
      <c r="LZC300" s="125"/>
      <c r="LZD300" s="125"/>
      <c r="LZE300" s="134"/>
      <c r="LZF300" s="135"/>
      <c r="LZG300" s="135"/>
      <c r="LZH300" s="135"/>
      <c r="LZI300" s="135"/>
      <c r="LZJ300" s="173"/>
      <c r="LZK300" s="173"/>
      <c r="LZL300" s="173"/>
      <c r="LZM300" s="173"/>
      <c r="LZN300" s="173"/>
      <c r="LZO300" s="173"/>
      <c r="LZP300" s="173"/>
      <c r="LZQ300" s="173"/>
      <c r="LZR300" s="173"/>
      <c r="LZS300" s="173"/>
      <c r="LZT300" s="125"/>
      <c r="LZU300" s="125"/>
      <c r="LZV300" s="134"/>
      <c r="LZW300" s="135"/>
      <c r="LZX300" s="135"/>
      <c r="LZY300" s="135"/>
      <c r="LZZ300" s="135"/>
      <c r="MAA300" s="173"/>
      <c r="MAB300" s="173"/>
      <c r="MAC300" s="173"/>
      <c r="MAD300" s="173"/>
      <c r="MAE300" s="173"/>
      <c r="MAF300" s="173"/>
      <c r="MAG300" s="173"/>
      <c r="MAH300" s="173"/>
      <c r="MAI300" s="173"/>
      <c r="MAJ300" s="173"/>
      <c r="MAK300" s="125"/>
      <c r="MAL300" s="125"/>
      <c r="MAM300" s="134"/>
      <c r="MAN300" s="135"/>
      <c r="MAO300" s="135"/>
      <c r="MAP300" s="135"/>
      <c r="MAQ300" s="135"/>
      <c r="MAR300" s="173"/>
      <c r="MAS300" s="173"/>
      <c r="MAT300" s="173"/>
      <c r="MAU300" s="173"/>
      <c r="MAV300" s="173"/>
      <c r="MAW300" s="173"/>
      <c r="MAX300" s="173"/>
      <c r="MAY300" s="173"/>
      <c r="MAZ300" s="173"/>
      <c r="MBA300" s="173"/>
      <c r="MBB300" s="125"/>
      <c r="MBC300" s="125"/>
      <c r="MBD300" s="134"/>
      <c r="MBE300" s="135"/>
      <c r="MBF300" s="135"/>
      <c r="MBG300" s="135"/>
      <c r="MBH300" s="135"/>
      <c r="MBI300" s="173"/>
      <c r="MBJ300" s="173"/>
      <c r="MBK300" s="173"/>
      <c r="MBL300" s="173"/>
      <c r="MBM300" s="173"/>
      <c r="MBN300" s="173"/>
      <c r="MBO300" s="173"/>
      <c r="MBP300" s="173"/>
      <c r="MBQ300" s="173"/>
      <c r="MBR300" s="173"/>
      <c r="MBS300" s="125"/>
      <c r="MBT300" s="125"/>
      <c r="MBU300" s="134"/>
      <c r="MBV300" s="135"/>
      <c r="MBW300" s="135"/>
      <c r="MBX300" s="135"/>
      <c r="MBY300" s="135"/>
      <c r="MBZ300" s="173"/>
      <c r="MCA300" s="173"/>
      <c r="MCB300" s="173"/>
      <c r="MCC300" s="173"/>
      <c r="MCD300" s="173"/>
      <c r="MCE300" s="173"/>
      <c r="MCF300" s="173"/>
      <c r="MCG300" s="173"/>
      <c r="MCH300" s="173"/>
      <c r="MCI300" s="173"/>
      <c r="MCJ300" s="125"/>
      <c r="MCK300" s="125"/>
      <c r="MCL300" s="134"/>
      <c r="MCM300" s="135"/>
      <c r="MCN300" s="135"/>
      <c r="MCO300" s="135"/>
      <c r="MCP300" s="135"/>
      <c r="MCQ300" s="173"/>
      <c r="MCR300" s="173"/>
      <c r="MCS300" s="173"/>
      <c r="MCT300" s="173"/>
      <c r="MCU300" s="173"/>
      <c r="MCV300" s="173"/>
      <c r="MCW300" s="173"/>
      <c r="MCX300" s="173"/>
      <c r="MCY300" s="173"/>
      <c r="MCZ300" s="173"/>
      <c r="MDA300" s="125"/>
      <c r="MDB300" s="125"/>
      <c r="MDC300" s="134"/>
      <c r="MDD300" s="135"/>
      <c r="MDE300" s="135"/>
      <c r="MDF300" s="135"/>
      <c r="MDG300" s="135"/>
      <c r="MDH300" s="173"/>
      <c r="MDI300" s="173"/>
      <c r="MDJ300" s="173"/>
      <c r="MDK300" s="173"/>
      <c r="MDL300" s="173"/>
      <c r="MDM300" s="173"/>
      <c r="MDN300" s="173"/>
      <c r="MDO300" s="173"/>
      <c r="MDP300" s="173"/>
      <c r="MDQ300" s="173"/>
      <c r="MDR300" s="125"/>
      <c r="MDS300" s="125"/>
      <c r="MDT300" s="134"/>
      <c r="MDU300" s="135"/>
      <c r="MDV300" s="135"/>
      <c r="MDW300" s="135"/>
      <c r="MDX300" s="135"/>
      <c r="MDY300" s="173"/>
      <c r="MDZ300" s="173"/>
      <c r="MEA300" s="173"/>
      <c r="MEB300" s="173"/>
      <c r="MEC300" s="173"/>
      <c r="MED300" s="173"/>
      <c r="MEE300" s="173"/>
      <c r="MEF300" s="173"/>
      <c r="MEG300" s="173"/>
      <c r="MEH300" s="173"/>
      <c r="MEI300" s="125"/>
      <c r="MEJ300" s="125"/>
      <c r="MEK300" s="134"/>
      <c r="MEL300" s="135"/>
      <c r="MEM300" s="135"/>
      <c r="MEN300" s="135"/>
      <c r="MEO300" s="135"/>
      <c r="MEP300" s="173"/>
      <c r="MEQ300" s="173"/>
      <c r="MER300" s="173"/>
      <c r="MES300" s="173"/>
      <c r="MET300" s="173"/>
      <c r="MEU300" s="173"/>
      <c r="MEV300" s="173"/>
      <c r="MEW300" s="173"/>
      <c r="MEX300" s="173"/>
      <c r="MEY300" s="173"/>
      <c r="MEZ300" s="125"/>
      <c r="MFA300" s="125"/>
      <c r="MFB300" s="134"/>
      <c r="MFC300" s="135"/>
      <c r="MFD300" s="135"/>
      <c r="MFE300" s="135"/>
      <c r="MFF300" s="135"/>
      <c r="MFG300" s="173"/>
      <c r="MFH300" s="173"/>
      <c r="MFI300" s="173"/>
      <c r="MFJ300" s="173"/>
      <c r="MFK300" s="173"/>
      <c r="MFL300" s="173"/>
      <c r="MFM300" s="173"/>
      <c r="MFN300" s="173"/>
      <c r="MFO300" s="173"/>
      <c r="MFP300" s="173"/>
      <c r="MFQ300" s="125"/>
      <c r="MFR300" s="125"/>
      <c r="MFS300" s="134"/>
      <c r="MFT300" s="135"/>
      <c r="MFU300" s="135"/>
      <c r="MFV300" s="135"/>
      <c r="MFW300" s="135"/>
      <c r="MFX300" s="173"/>
      <c r="MFY300" s="173"/>
      <c r="MFZ300" s="173"/>
      <c r="MGA300" s="173"/>
      <c r="MGB300" s="173"/>
      <c r="MGC300" s="173"/>
      <c r="MGD300" s="173"/>
      <c r="MGE300" s="173"/>
      <c r="MGF300" s="173"/>
      <c r="MGG300" s="173"/>
      <c r="MGH300" s="125"/>
      <c r="MGI300" s="125"/>
      <c r="MGJ300" s="134"/>
      <c r="MGK300" s="135"/>
      <c r="MGL300" s="135"/>
      <c r="MGM300" s="135"/>
      <c r="MGN300" s="135"/>
      <c r="MGO300" s="173"/>
      <c r="MGP300" s="173"/>
      <c r="MGQ300" s="173"/>
      <c r="MGR300" s="173"/>
      <c r="MGS300" s="173"/>
      <c r="MGT300" s="173"/>
      <c r="MGU300" s="173"/>
      <c r="MGV300" s="173"/>
      <c r="MGW300" s="173"/>
      <c r="MGX300" s="173"/>
      <c r="MGY300" s="125"/>
      <c r="MGZ300" s="125"/>
      <c r="MHA300" s="134"/>
      <c r="MHB300" s="135"/>
      <c r="MHC300" s="135"/>
      <c r="MHD300" s="135"/>
      <c r="MHE300" s="135"/>
      <c r="MHF300" s="173"/>
      <c r="MHG300" s="173"/>
      <c r="MHH300" s="173"/>
      <c r="MHI300" s="173"/>
      <c r="MHJ300" s="173"/>
      <c r="MHK300" s="173"/>
      <c r="MHL300" s="173"/>
      <c r="MHM300" s="173"/>
      <c r="MHN300" s="173"/>
      <c r="MHO300" s="173"/>
      <c r="MHP300" s="125"/>
      <c r="MHQ300" s="125"/>
      <c r="MHR300" s="134"/>
      <c r="MHS300" s="135"/>
      <c r="MHT300" s="135"/>
      <c r="MHU300" s="135"/>
      <c r="MHV300" s="135"/>
      <c r="MHW300" s="173"/>
      <c r="MHX300" s="173"/>
      <c r="MHY300" s="173"/>
      <c r="MHZ300" s="173"/>
      <c r="MIA300" s="173"/>
      <c r="MIB300" s="173"/>
      <c r="MIC300" s="173"/>
      <c r="MID300" s="173"/>
      <c r="MIE300" s="173"/>
      <c r="MIF300" s="173"/>
      <c r="MIG300" s="125"/>
      <c r="MIH300" s="125"/>
      <c r="MII300" s="134"/>
      <c r="MIJ300" s="135"/>
      <c r="MIK300" s="135"/>
      <c r="MIL300" s="135"/>
      <c r="MIM300" s="135"/>
      <c r="MIN300" s="173"/>
      <c r="MIO300" s="173"/>
      <c r="MIP300" s="173"/>
      <c r="MIQ300" s="173"/>
      <c r="MIR300" s="173"/>
      <c r="MIS300" s="173"/>
      <c r="MIT300" s="173"/>
      <c r="MIU300" s="173"/>
      <c r="MIV300" s="173"/>
      <c r="MIW300" s="173"/>
      <c r="MIX300" s="125"/>
      <c r="MIY300" s="125"/>
      <c r="MIZ300" s="134"/>
      <c r="MJA300" s="135"/>
      <c r="MJB300" s="135"/>
      <c r="MJC300" s="135"/>
      <c r="MJD300" s="135"/>
      <c r="MJE300" s="173"/>
      <c r="MJF300" s="173"/>
      <c r="MJG300" s="173"/>
      <c r="MJH300" s="173"/>
      <c r="MJI300" s="173"/>
      <c r="MJJ300" s="173"/>
      <c r="MJK300" s="173"/>
      <c r="MJL300" s="173"/>
      <c r="MJM300" s="173"/>
      <c r="MJN300" s="173"/>
      <c r="MJO300" s="125"/>
      <c r="MJP300" s="125"/>
      <c r="MJQ300" s="134"/>
      <c r="MJR300" s="135"/>
      <c r="MJS300" s="135"/>
      <c r="MJT300" s="135"/>
      <c r="MJU300" s="135"/>
      <c r="MJV300" s="173"/>
      <c r="MJW300" s="173"/>
      <c r="MJX300" s="173"/>
      <c r="MJY300" s="173"/>
      <c r="MJZ300" s="173"/>
      <c r="MKA300" s="173"/>
      <c r="MKB300" s="173"/>
      <c r="MKC300" s="173"/>
      <c r="MKD300" s="173"/>
      <c r="MKE300" s="173"/>
      <c r="MKF300" s="125"/>
      <c r="MKG300" s="125"/>
      <c r="MKH300" s="134"/>
      <c r="MKI300" s="135"/>
      <c r="MKJ300" s="135"/>
      <c r="MKK300" s="135"/>
      <c r="MKL300" s="135"/>
      <c r="MKM300" s="173"/>
      <c r="MKN300" s="173"/>
      <c r="MKO300" s="173"/>
      <c r="MKP300" s="173"/>
      <c r="MKQ300" s="173"/>
      <c r="MKR300" s="173"/>
      <c r="MKS300" s="173"/>
      <c r="MKT300" s="173"/>
      <c r="MKU300" s="173"/>
      <c r="MKV300" s="173"/>
      <c r="MKW300" s="125"/>
      <c r="MKX300" s="125"/>
      <c r="MKY300" s="134"/>
      <c r="MKZ300" s="135"/>
      <c r="MLA300" s="135"/>
      <c r="MLB300" s="135"/>
      <c r="MLC300" s="135"/>
      <c r="MLD300" s="173"/>
      <c r="MLE300" s="173"/>
      <c r="MLF300" s="173"/>
      <c r="MLG300" s="173"/>
      <c r="MLH300" s="173"/>
      <c r="MLI300" s="173"/>
      <c r="MLJ300" s="173"/>
      <c r="MLK300" s="173"/>
      <c r="MLL300" s="173"/>
      <c r="MLM300" s="173"/>
      <c r="MLN300" s="125"/>
      <c r="MLO300" s="125"/>
      <c r="MLP300" s="134"/>
      <c r="MLQ300" s="135"/>
      <c r="MLR300" s="135"/>
      <c r="MLS300" s="135"/>
      <c r="MLT300" s="135"/>
      <c r="MLU300" s="173"/>
      <c r="MLV300" s="173"/>
      <c r="MLW300" s="173"/>
      <c r="MLX300" s="173"/>
      <c r="MLY300" s="173"/>
      <c r="MLZ300" s="173"/>
      <c r="MMA300" s="173"/>
      <c r="MMB300" s="173"/>
      <c r="MMC300" s="173"/>
      <c r="MMD300" s="173"/>
      <c r="MME300" s="125"/>
      <c r="MMF300" s="125"/>
      <c r="MMG300" s="134"/>
      <c r="MMH300" s="135"/>
      <c r="MMI300" s="135"/>
      <c r="MMJ300" s="135"/>
      <c r="MMK300" s="135"/>
      <c r="MML300" s="173"/>
      <c r="MMM300" s="173"/>
      <c r="MMN300" s="173"/>
      <c r="MMO300" s="173"/>
      <c r="MMP300" s="173"/>
      <c r="MMQ300" s="173"/>
      <c r="MMR300" s="173"/>
      <c r="MMS300" s="173"/>
      <c r="MMT300" s="173"/>
      <c r="MMU300" s="173"/>
      <c r="MMV300" s="125"/>
      <c r="MMW300" s="125"/>
      <c r="MMX300" s="134"/>
      <c r="MMY300" s="135"/>
      <c r="MMZ300" s="135"/>
      <c r="MNA300" s="135"/>
      <c r="MNB300" s="135"/>
      <c r="MNC300" s="173"/>
      <c r="MND300" s="173"/>
      <c r="MNE300" s="173"/>
      <c r="MNF300" s="173"/>
      <c r="MNG300" s="173"/>
      <c r="MNH300" s="173"/>
      <c r="MNI300" s="173"/>
      <c r="MNJ300" s="173"/>
      <c r="MNK300" s="173"/>
      <c r="MNL300" s="173"/>
      <c r="MNM300" s="125"/>
      <c r="MNN300" s="125"/>
      <c r="MNO300" s="134"/>
      <c r="MNP300" s="135"/>
      <c r="MNQ300" s="135"/>
      <c r="MNR300" s="135"/>
      <c r="MNS300" s="135"/>
      <c r="MNT300" s="173"/>
      <c r="MNU300" s="173"/>
      <c r="MNV300" s="173"/>
      <c r="MNW300" s="173"/>
      <c r="MNX300" s="173"/>
      <c r="MNY300" s="173"/>
      <c r="MNZ300" s="173"/>
      <c r="MOA300" s="173"/>
      <c r="MOB300" s="173"/>
      <c r="MOC300" s="173"/>
      <c r="MOD300" s="125"/>
      <c r="MOE300" s="125"/>
      <c r="MOF300" s="134"/>
      <c r="MOG300" s="135"/>
      <c r="MOH300" s="135"/>
      <c r="MOI300" s="135"/>
      <c r="MOJ300" s="135"/>
      <c r="MOK300" s="173"/>
      <c r="MOL300" s="173"/>
      <c r="MOM300" s="173"/>
      <c r="MON300" s="173"/>
      <c r="MOO300" s="173"/>
      <c r="MOP300" s="173"/>
      <c r="MOQ300" s="173"/>
      <c r="MOR300" s="173"/>
      <c r="MOS300" s="173"/>
      <c r="MOT300" s="173"/>
      <c r="MOU300" s="125"/>
      <c r="MOV300" s="125"/>
      <c r="MOW300" s="134"/>
      <c r="MOX300" s="135"/>
      <c r="MOY300" s="135"/>
      <c r="MOZ300" s="135"/>
      <c r="MPA300" s="135"/>
      <c r="MPB300" s="173"/>
      <c r="MPC300" s="173"/>
      <c r="MPD300" s="173"/>
      <c r="MPE300" s="173"/>
      <c r="MPF300" s="173"/>
      <c r="MPG300" s="173"/>
      <c r="MPH300" s="173"/>
      <c r="MPI300" s="173"/>
      <c r="MPJ300" s="173"/>
      <c r="MPK300" s="173"/>
      <c r="MPL300" s="125"/>
      <c r="MPM300" s="125"/>
      <c r="MPN300" s="134"/>
      <c r="MPO300" s="135"/>
      <c r="MPP300" s="135"/>
      <c r="MPQ300" s="135"/>
      <c r="MPR300" s="135"/>
      <c r="MPS300" s="173"/>
      <c r="MPT300" s="173"/>
      <c r="MPU300" s="173"/>
      <c r="MPV300" s="173"/>
      <c r="MPW300" s="173"/>
      <c r="MPX300" s="173"/>
      <c r="MPY300" s="173"/>
      <c r="MPZ300" s="173"/>
      <c r="MQA300" s="173"/>
      <c r="MQB300" s="173"/>
      <c r="MQC300" s="125"/>
      <c r="MQD300" s="125"/>
      <c r="MQE300" s="134"/>
      <c r="MQF300" s="135"/>
      <c r="MQG300" s="135"/>
      <c r="MQH300" s="135"/>
      <c r="MQI300" s="135"/>
      <c r="MQJ300" s="173"/>
      <c r="MQK300" s="173"/>
      <c r="MQL300" s="173"/>
      <c r="MQM300" s="173"/>
      <c r="MQN300" s="173"/>
      <c r="MQO300" s="173"/>
      <c r="MQP300" s="173"/>
      <c r="MQQ300" s="173"/>
      <c r="MQR300" s="173"/>
      <c r="MQS300" s="173"/>
      <c r="MQT300" s="125"/>
      <c r="MQU300" s="125"/>
      <c r="MQV300" s="134"/>
      <c r="MQW300" s="135"/>
      <c r="MQX300" s="135"/>
      <c r="MQY300" s="135"/>
      <c r="MQZ300" s="135"/>
      <c r="MRA300" s="173"/>
      <c r="MRB300" s="173"/>
      <c r="MRC300" s="173"/>
      <c r="MRD300" s="173"/>
      <c r="MRE300" s="173"/>
      <c r="MRF300" s="173"/>
      <c r="MRG300" s="173"/>
      <c r="MRH300" s="173"/>
      <c r="MRI300" s="173"/>
      <c r="MRJ300" s="173"/>
      <c r="MRK300" s="125"/>
      <c r="MRL300" s="125"/>
      <c r="MRM300" s="134"/>
      <c r="MRN300" s="135"/>
      <c r="MRO300" s="135"/>
      <c r="MRP300" s="135"/>
      <c r="MRQ300" s="135"/>
      <c r="MRR300" s="173"/>
      <c r="MRS300" s="173"/>
      <c r="MRT300" s="173"/>
      <c r="MRU300" s="173"/>
      <c r="MRV300" s="173"/>
      <c r="MRW300" s="173"/>
      <c r="MRX300" s="173"/>
      <c r="MRY300" s="173"/>
      <c r="MRZ300" s="173"/>
      <c r="MSA300" s="173"/>
      <c r="MSB300" s="125"/>
      <c r="MSC300" s="125"/>
      <c r="MSD300" s="134"/>
      <c r="MSE300" s="135"/>
      <c r="MSF300" s="135"/>
      <c r="MSG300" s="135"/>
      <c r="MSH300" s="135"/>
      <c r="MSI300" s="173"/>
      <c r="MSJ300" s="173"/>
      <c r="MSK300" s="173"/>
      <c r="MSL300" s="173"/>
      <c r="MSM300" s="173"/>
      <c r="MSN300" s="173"/>
      <c r="MSO300" s="173"/>
      <c r="MSP300" s="173"/>
      <c r="MSQ300" s="173"/>
      <c r="MSR300" s="173"/>
      <c r="MSS300" s="125"/>
      <c r="MST300" s="125"/>
      <c r="MSU300" s="134"/>
      <c r="MSV300" s="135"/>
      <c r="MSW300" s="135"/>
      <c r="MSX300" s="135"/>
      <c r="MSY300" s="135"/>
      <c r="MSZ300" s="173"/>
      <c r="MTA300" s="173"/>
      <c r="MTB300" s="173"/>
      <c r="MTC300" s="173"/>
      <c r="MTD300" s="173"/>
      <c r="MTE300" s="173"/>
      <c r="MTF300" s="173"/>
      <c r="MTG300" s="173"/>
      <c r="MTH300" s="173"/>
      <c r="MTI300" s="173"/>
      <c r="MTJ300" s="125"/>
      <c r="MTK300" s="125"/>
      <c r="MTL300" s="134"/>
      <c r="MTM300" s="135"/>
      <c r="MTN300" s="135"/>
      <c r="MTO300" s="135"/>
      <c r="MTP300" s="135"/>
      <c r="MTQ300" s="173"/>
      <c r="MTR300" s="173"/>
      <c r="MTS300" s="173"/>
      <c r="MTT300" s="173"/>
      <c r="MTU300" s="173"/>
      <c r="MTV300" s="173"/>
      <c r="MTW300" s="173"/>
      <c r="MTX300" s="173"/>
      <c r="MTY300" s="173"/>
      <c r="MTZ300" s="173"/>
      <c r="MUA300" s="125"/>
      <c r="MUB300" s="125"/>
      <c r="MUC300" s="134"/>
      <c r="MUD300" s="135"/>
      <c r="MUE300" s="135"/>
      <c r="MUF300" s="135"/>
      <c r="MUG300" s="135"/>
      <c r="MUH300" s="173"/>
      <c r="MUI300" s="173"/>
      <c r="MUJ300" s="173"/>
      <c r="MUK300" s="173"/>
      <c r="MUL300" s="173"/>
      <c r="MUM300" s="173"/>
      <c r="MUN300" s="173"/>
      <c r="MUO300" s="173"/>
      <c r="MUP300" s="173"/>
      <c r="MUQ300" s="173"/>
      <c r="MUR300" s="125"/>
      <c r="MUS300" s="125"/>
      <c r="MUT300" s="134"/>
      <c r="MUU300" s="135"/>
      <c r="MUV300" s="135"/>
      <c r="MUW300" s="135"/>
      <c r="MUX300" s="135"/>
      <c r="MUY300" s="173"/>
      <c r="MUZ300" s="173"/>
      <c r="MVA300" s="173"/>
      <c r="MVB300" s="173"/>
      <c r="MVC300" s="173"/>
      <c r="MVD300" s="173"/>
      <c r="MVE300" s="173"/>
      <c r="MVF300" s="173"/>
      <c r="MVG300" s="173"/>
      <c r="MVH300" s="173"/>
      <c r="MVI300" s="125"/>
      <c r="MVJ300" s="125"/>
      <c r="MVK300" s="134"/>
      <c r="MVL300" s="135"/>
      <c r="MVM300" s="135"/>
      <c r="MVN300" s="135"/>
      <c r="MVO300" s="135"/>
      <c r="MVP300" s="173"/>
      <c r="MVQ300" s="173"/>
      <c r="MVR300" s="173"/>
      <c r="MVS300" s="173"/>
      <c r="MVT300" s="173"/>
      <c r="MVU300" s="173"/>
      <c r="MVV300" s="173"/>
      <c r="MVW300" s="173"/>
      <c r="MVX300" s="173"/>
      <c r="MVY300" s="173"/>
      <c r="MVZ300" s="125"/>
      <c r="MWA300" s="125"/>
      <c r="MWB300" s="134"/>
      <c r="MWC300" s="135"/>
      <c r="MWD300" s="135"/>
      <c r="MWE300" s="135"/>
      <c r="MWF300" s="135"/>
      <c r="MWG300" s="173"/>
      <c r="MWH300" s="173"/>
      <c r="MWI300" s="173"/>
      <c r="MWJ300" s="173"/>
      <c r="MWK300" s="173"/>
      <c r="MWL300" s="173"/>
      <c r="MWM300" s="173"/>
      <c r="MWN300" s="173"/>
      <c r="MWO300" s="173"/>
      <c r="MWP300" s="173"/>
      <c r="MWQ300" s="125"/>
      <c r="MWR300" s="125"/>
      <c r="MWS300" s="134"/>
      <c r="MWT300" s="135"/>
      <c r="MWU300" s="135"/>
      <c r="MWV300" s="135"/>
      <c r="MWW300" s="135"/>
      <c r="MWX300" s="173"/>
      <c r="MWY300" s="173"/>
      <c r="MWZ300" s="173"/>
      <c r="MXA300" s="173"/>
      <c r="MXB300" s="173"/>
      <c r="MXC300" s="173"/>
      <c r="MXD300" s="173"/>
      <c r="MXE300" s="173"/>
      <c r="MXF300" s="173"/>
      <c r="MXG300" s="173"/>
      <c r="MXH300" s="125"/>
      <c r="MXI300" s="125"/>
      <c r="MXJ300" s="134"/>
      <c r="MXK300" s="135"/>
      <c r="MXL300" s="135"/>
      <c r="MXM300" s="135"/>
      <c r="MXN300" s="135"/>
      <c r="MXO300" s="173"/>
      <c r="MXP300" s="173"/>
      <c r="MXQ300" s="173"/>
      <c r="MXR300" s="173"/>
      <c r="MXS300" s="173"/>
      <c r="MXT300" s="173"/>
      <c r="MXU300" s="173"/>
      <c r="MXV300" s="173"/>
      <c r="MXW300" s="173"/>
      <c r="MXX300" s="173"/>
      <c r="MXY300" s="125"/>
      <c r="MXZ300" s="125"/>
      <c r="MYA300" s="134"/>
      <c r="MYB300" s="135"/>
      <c r="MYC300" s="135"/>
      <c r="MYD300" s="135"/>
      <c r="MYE300" s="135"/>
      <c r="MYF300" s="173"/>
      <c r="MYG300" s="173"/>
      <c r="MYH300" s="173"/>
      <c r="MYI300" s="173"/>
      <c r="MYJ300" s="173"/>
      <c r="MYK300" s="173"/>
      <c r="MYL300" s="173"/>
      <c r="MYM300" s="173"/>
      <c r="MYN300" s="173"/>
      <c r="MYO300" s="173"/>
      <c r="MYP300" s="125"/>
      <c r="MYQ300" s="125"/>
      <c r="MYR300" s="134"/>
      <c r="MYS300" s="135"/>
      <c r="MYT300" s="135"/>
      <c r="MYU300" s="135"/>
      <c r="MYV300" s="135"/>
      <c r="MYW300" s="173"/>
      <c r="MYX300" s="173"/>
      <c r="MYY300" s="173"/>
      <c r="MYZ300" s="173"/>
      <c r="MZA300" s="173"/>
      <c r="MZB300" s="173"/>
      <c r="MZC300" s="173"/>
      <c r="MZD300" s="173"/>
      <c r="MZE300" s="173"/>
      <c r="MZF300" s="173"/>
      <c r="MZG300" s="125"/>
      <c r="MZH300" s="125"/>
      <c r="MZI300" s="134"/>
      <c r="MZJ300" s="135"/>
      <c r="MZK300" s="135"/>
      <c r="MZL300" s="135"/>
      <c r="MZM300" s="135"/>
      <c r="MZN300" s="173"/>
      <c r="MZO300" s="173"/>
      <c r="MZP300" s="173"/>
      <c r="MZQ300" s="173"/>
      <c r="MZR300" s="173"/>
      <c r="MZS300" s="173"/>
      <c r="MZT300" s="173"/>
      <c r="MZU300" s="173"/>
      <c r="MZV300" s="173"/>
      <c r="MZW300" s="173"/>
      <c r="MZX300" s="125"/>
      <c r="MZY300" s="125"/>
      <c r="MZZ300" s="134"/>
      <c r="NAA300" s="135"/>
      <c r="NAB300" s="135"/>
      <c r="NAC300" s="135"/>
      <c r="NAD300" s="135"/>
      <c r="NAE300" s="173"/>
      <c r="NAF300" s="173"/>
      <c r="NAG300" s="173"/>
      <c r="NAH300" s="173"/>
      <c r="NAI300" s="173"/>
      <c r="NAJ300" s="173"/>
      <c r="NAK300" s="173"/>
      <c r="NAL300" s="173"/>
      <c r="NAM300" s="173"/>
      <c r="NAN300" s="173"/>
      <c r="NAO300" s="125"/>
      <c r="NAP300" s="125"/>
      <c r="NAQ300" s="134"/>
      <c r="NAR300" s="135"/>
      <c r="NAS300" s="135"/>
      <c r="NAT300" s="135"/>
      <c r="NAU300" s="135"/>
      <c r="NAV300" s="173"/>
      <c r="NAW300" s="173"/>
      <c r="NAX300" s="173"/>
      <c r="NAY300" s="173"/>
      <c r="NAZ300" s="173"/>
      <c r="NBA300" s="173"/>
      <c r="NBB300" s="173"/>
      <c r="NBC300" s="173"/>
      <c r="NBD300" s="173"/>
      <c r="NBE300" s="173"/>
      <c r="NBF300" s="125"/>
      <c r="NBG300" s="125"/>
      <c r="NBH300" s="134"/>
      <c r="NBI300" s="135"/>
      <c r="NBJ300" s="135"/>
      <c r="NBK300" s="135"/>
      <c r="NBL300" s="135"/>
      <c r="NBM300" s="173"/>
      <c r="NBN300" s="173"/>
      <c r="NBO300" s="173"/>
      <c r="NBP300" s="173"/>
      <c r="NBQ300" s="173"/>
      <c r="NBR300" s="173"/>
      <c r="NBS300" s="173"/>
      <c r="NBT300" s="173"/>
      <c r="NBU300" s="173"/>
      <c r="NBV300" s="173"/>
      <c r="NBW300" s="125"/>
      <c r="NBX300" s="125"/>
      <c r="NBY300" s="134"/>
      <c r="NBZ300" s="135"/>
      <c r="NCA300" s="135"/>
      <c r="NCB300" s="135"/>
      <c r="NCC300" s="135"/>
      <c r="NCD300" s="173"/>
      <c r="NCE300" s="173"/>
      <c r="NCF300" s="173"/>
      <c r="NCG300" s="173"/>
      <c r="NCH300" s="173"/>
      <c r="NCI300" s="173"/>
      <c r="NCJ300" s="173"/>
      <c r="NCK300" s="173"/>
      <c r="NCL300" s="173"/>
      <c r="NCM300" s="173"/>
      <c r="NCN300" s="125"/>
      <c r="NCO300" s="125"/>
      <c r="NCP300" s="134"/>
      <c r="NCQ300" s="135"/>
      <c r="NCR300" s="135"/>
      <c r="NCS300" s="135"/>
      <c r="NCT300" s="135"/>
      <c r="NCU300" s="173"/>
      <c r="NCV300" s="173"/>
      <c r="NCW300" s="173"/>
      <c r="NCX300" s="173"/>
      <c r="NCY300" s="173"/>
      <c r="NCZ300" s="173"/>
      <c r="NDA300" s="173"/>
      <c r="NDB300" s="173"/>
      <c r="NDC300" s="173"/>
      <c r="NDD300" s="173"/>
      <c r="NDE300" s="125"/>
      <c r="NDF300" s="125"/>
      <c r="NDG300" s="134"/>
      <c r="NDH300" s="135"/>
      <c r="NDI300" s="135"/>
      <c r="NDJ300" s="135"/>
      <c r="NDK300" s="135"/>
      <c r="NDL300" s="173"/>
      <c r="NDM300" s="173"/>
      <c r="NDN300" s="173"/>
      <c r="NDO300" s="173"/>
      <c r="NDP300" s="173"/>
      <c r="NDQ300" s="173"/>
      <c r="NDR300" s="173"/>
      <c r="NDS300" s="173"/>
      <c r="NDT300" s="173"/>
      <c r="NDU300" s="173"/>
      <c r="NDV300" s="125"/>
      <c r="NDW300" s="125"/>
      <c r="NDX300" s="134"/>
      <c r="NDY300" s="135"/>
      <c r="NDZ300" s="135"/>
      <c r="NEA300" s="135"/>
      <c r="NEB300" s="135"/>
      <c r="NEC300" s="173"/>
      <c r="NED300" s="173"/>
      <c r="NEE300" s="173"/>
      <c r="NEF300" s="173"/>
      <c r="NEG300" s="173"/>
      <c r="NEH300" s="173"/>
      <c r="NEI300" s="173"/>
      <c r="NEJ300" s="173"/>
      <c r="NEK300" s="173"/>
      <c r="NEL300" s="173"/>
      <c r="NEM300" s="125"/>
      <c r="NEN300" s="125"/>
      <c r="NEO300" s="134"/>
      <c r="NEP300" s="135"/>
      <c r="NEQ300" s="135"/>
      <c r="NER300" s="135"/>
      <c r="NES300" s="135"/>
      <c r="NET300" s="173"/>
      <c r="NEU300" s="173"/>
      <c r="NEV300" s="173"/>
      <c r="NEW300" s="173"/>
      <c r="NEX300" s="173"/>
      <c r="NEY300" s="173"/>
      <c r="NEZ300" s="173"/>
      <c r="NFA300" s="173"/>
      <c r="NFB300" s="173"/>
      <c r="NFC300" s="173"/>
      <c r="NFD300" s="125"/>
      <c r="NFE300" s="125"/>
      <c r="NFF300" s="134"/>
      <c r="NFG300" s="135"/>
      <c r="NFH300" s="135"/>
      <c r="NFI300" s="135"/>
      <c r="NFJ300" s="135"/>
      <c r="NFK300" s="173"/>
      <c r="NFL300" s="173"/>
      <c r="NFM300" s="173"/>
      <c r="NFN300" s="173"/>
      <c r="NFO300" s="173"/>
      <c r="NFP300" s="173"/>
      <c r="NFQ300" s="173"/>
      <c r="NFR300" s="173"/>
      <c r="NFS300" s="173"/>
      <c r="NFT300" s="173"/>
      <c r="NFU300" s="125"/>
      <c r="NFV300" s="125"/>
      <c r="NFW300" s="134"/>
      <c r="NFX300" s="135"/>
      <c r="NFY300" s="135"/>
      <c r="NFZ300" s="135"/>
      <c r="NGA300" s="135"/>
      <c r="NGB300" s="173"/>
      <c r="NGC300" s="173"/>
      <c r="NGD300" s="173"/>
      <c r="NGE300" s="173"/>
      <c r="NGF300" s="173"/>
      <c r="NGG300" s="173"/>
      <c r="NGH300" s="173"/>
      <c r="NGI300" s="173"/>
      <c r="NGJ300" s="173"/>
      <c r="NGK300" s="173"/>
      <c r="NGL300" s="125"/>
      <c r="NGM300" s="125"/>
      <c r="NGN300" s="134"/>
      <c r="NGO300" s="135"/>
      <c r="NGP300" s="135"/>
      <c r="NGQ300" s="135"/>
      <c r="NGR300" s="135"/>
      <c r="NGS300" s="173"/>
      <c r="NGT300" s="173"/>
      <c r="NGU300" s="173"/>
      <c r="NGV300" s="173"/>
      <c r="NGW300" s="173"/>
      <c r="NGX300" s="173"/>
      <c r="NGY300" s="173"/>
      <c r="NGZ300" s="173"/>
      <c r="NHA300" s="173"/>
      <c r="NHB300" s="173"/>
      <c r="NHC300" s="125"/>
      <c r="NHD300" s="125"/>
      <c r="NHE300" s="134"/>
      <c r="NHF300" s="135"/>
      <c r="NHG300" s="135"/>
      <c r="NHH300" s="135"/>
      <c r="NHI300" s="135"/>
      <c r="NHJ300" s="173"/>
      <c r="NHK300" s="173"/>
      <c r="NHL300" s="173"/>
      <c r="NHM300" s="173"/>
      <c r="NHN300" s="173"/>
      <c r="NHO300" s="173"/>
      <c r="NHP300" s="173"/>
      <c r="NHQ300" s="173"/>
      <c r="NHR300" s="173"/>
      <c r="NHS300" s="173"/>
      <c r="NHT300" s="125"/>
      <c r="NHU300" s="125"/>
      <c r="NHV300" s="134"/>
      <c r="NHW300" s="135"/>
      <c r="NHX300" s="135"/>
      <c r="NHY300" s="135"/>
      <c r="NHZ300" s="135"/>
      <c r="NIA300" s="173"/>
      <c r="NIB300" s="173"/>
      <c r="NIC300" s="173"/>
      <c r="NID300" s="173"/>
      <c r="NIE300" s="173"/>
      <c r="NIF300" s="173"/>
      <c r="NIG300" s="173"/>
      <c r="NIH300" s="173"/>
      <c r="NII300" s="173"/>
      <c r="NIJ300" s="173"/>
      <c r="NIK300" s="125"/>
      <c r="NIL300" s="125"/>
      <c r="NIM300" s="134"/>
      <c r="NIN300" s="135"/>
      <c r="NIO300" s="135"/>
      <c r="NIP300" s="135"/>
      <c r="NIQ300" s="135"/>
      <c r="NIR300" s="173"/>
      <c r="NIS300" s="173"/>
      <c r="NIT300" s="173"/>
      <c r="NIU300" s="173"/>
      <c r="NIV300" s="173"/>
      <c r="NIW300" s="173"/>
      <c r="NIX300" s="173"/>
      <c r="NIY300" s="173"/>
      <c r="NIZ300" s="173"/>
      <c r="NJA300" s="173"/>
      <c r="NJB300" s="125"/>
      <c r="NJC300" s="125"/>
      <c r="NJD300" s="134"/>
      <c r="NJE300" s="135"/>
      <c r="NJF300" s="135"/>
      <c r="NJG300" s="135"/>
      <c r="NJH300" s="135"/>
      <c r="NJI300" s="173"/>
      <c r="NJJ300" s="173"/>
      <c r="NJK300" s="173"/>
      <c r="NJL300" s="173"/>
      <c r="NJM300" s="173"/>
      <c r="NJN300" s="173"/>
      <c r="NJO300" s="173"/>
      <c r="NJP300" s="173"/>
      <c r="NJQ300" s="173"/>
      <c r="NJR300" s="173"/>
      <c r="NJS300" s="125"/>
      <c r="NJT300" s="125"/>
      <c r="NJU300" s="134"/>
      <c r="NJV300" s="135"/>
      <c r="NJW300" s="135"/>
      <c r="NJX300" s="135"/>
      <c r="NJY300" s="135"/>
      <c r="NJZ300" s="173"/>
      <c r="NKA300" s="173"/>
      <c r="NKB300" s="173"/>
      <c r="NKC300" s="173"/>
      <c r="NKD300" s="173"/>
      <c r="NKE300" s="173"/>
      <c r="NKF300" s="173"/>
      <c r="NKG300" s="173"/>
      <c r="NKH300" s="173"/>
      <c r="NKI300" s="173"/>
      <c r="NKJ300" s="125"/>
      <c r="NKK300" s="125"/>
      <c r="NKL300" s="134"/>
      <c r="NKM300" s="135"/>
      <c r="NKN300" s="135"/>
      <c r="NKO300" s="135"/>
      <c r="NKP300" s="135"/>
      <c r="NKQ300" s="173"/>
      <c r="NKR300" s="173"/>
      <c r="NKS300" s="173"/>
      <c r="NKT300" s="173"/>
      <c r="NKU300" s="173"/>
      <c r="NKV300" s="173"/>
      <c r="NKW300" s="173"/>
      <c r="NKX300" s="173"/>
      <c r="NKY300" s="173"/>
      <c r="NKZ300" s="173"/>
      <c r="NLA300" s="125"/>
      <c r="NLB300" s="125"/>
      <c r="NLC300" s="134"/>
      <c r="NLD300" s="135"/>
      <c r="NLE300" s="135"/>
      <c r="NLF300" s="135"/>
      <c r="NLG300" s="135"/>
      <c r="NLH300" s="173"/>
      <c r="NLI300" s="173"/>
      <c r="NLJ300" s="173"/>
      <c r="NLK300" s="173"/>
      <c r="NLL300" s="173"/>
      <c r="NLM300" s="173"/>
      <c r="NLN300" s="173"/>
      <c r="NLO300" s="173"/>
      <c r="NLP300" s="173"/>
      <c r="NLQ300" s="173"/>
      <c r="NLR300" s="125"/>
      <c r="NLS300" s="125"/>
      <c r="NLT300" s="134"/>
      <c r="NLU300" s="135"/>
      <c r="NLV300" s="135"/>
      <c r="NLW300" s="135"/>
      <c r="NLX300" s="135"/>
      <c r="NLY300" s="173"/>
      <c r="NLZ300" s="173"/>
      <c r="NMA300" s="173"/>
      <c r="NMB300" s="173"/>
      <c r="NMC300" s="173"/>
      <c r="NMD300" s="173"/>
      <c r="NME300" s="173"/>
      <c r="NMF300" s="173"/>
      <c r="NMG300" s="173"/>
      <c r="NMH300" s="173"/>
      <c r="NMI300" s="125"/>
      <c r="NMJ300" s="125"/>
      <c r="NMK300" s="134"/>
      <c r="NML300" s="135"/>
      <c r="NMM300" s="135"/>
      <c r="NMN300" s="135"/>
      <c r="NMO300" s="135"/>
      <c r="NMP300" s="173"/>
      <c r="NMQ300" s="173"/>
      <c r="NMR300" s="173"/>
      <c r="NMS300" s="173"/>
      <c r="NMT300" s="173"/>
      <c r="NMU300" s="173"/>
      <c r="NMV300" s="173"/>
      <c r="NMW300" s="173"/>
      <c r="NMX300" s="173"/>
      <c r="NMY300" s="173"/>
      <c r="NMZ300" s="125"/>
      <c r="NNA300" s="125"/>
      <c r="NNB300" s="134"/>
      <c r="NNC300" s="135"/>
      <c r="NND300" s="135"/>
      <c r="NNE300" s="135"/>
      <c r="NNF300" s="135"/>
      <c r="NNG300" s="173"/>
      <c r="NNH300" s="173"/>
      <c r="NNI300" s="173"/>
      <c r="NNJ300" s="173"/>
      <c r="NNK300" s="173"/>
      <c r="NNL300" s="173"/>
      <c r="NNM300" s="173"/>
      <c r="NNN300" s="173"/>
      <c r="NNO300" s="173"/>
      <c r="NNP300" s="173"/>
      <c r="NNQ300" s="125"/>
      <c r="NNR300" s="125"/>
      <c r="NNS300" s="134"/>
      <c r="NNT300" s="135"/>
      <c r="NNU300" s="135"/>
      <c r="NNV300" s="135"/>
      <c r="NNW300" s="135"/>
      <c r="NNX300" s="173"/>
      <c r="NNY300" s="173"/>
      <c r="NNZ300" s="173"/>
      <c r="NOA300" s="173"/>
      <c r="NOB300" s="173"/>
      <c r="NOC300" s="173"/>
      <c r="NOD300" s="173"/>
      <c r="NOE300" s="173"/>
      <c r="NOF300" s="173"/>
      <c r="NOG300" s="173"/>
      <c r="NOH300" s="125"/>
      <c r="NOI300" s="125"/>
      <c r="NOJ300" s="134"/>
      <c r="NOK300" s="135"/>
      <c r="NOL300" s="135"/>
      <c r="NOM300" s="135"/>
      <c r="NON300" s="135"/>
      <c r="NOO300" s="173"/>
      <c r="NOP300" s="173"/>
      <c r="NOQ300" s="173"/>
      <c r="NOR300" s="173"/>
      <c r="NOS300" s="173"/>
      <c r="NOT300" s="173"/>
      <c r="NOU300" s="173"/>
      <c r="NOV300" s="173"/>
      <c r="NOW300" s="173"/>
      <c r="NOX300" s="173"/>
      <c r="NOY300" s="125"/>
      <c r="NOZ300" s="125"/>
      <c r="NPA300" s="134"/>
      <c r="NPB300" s="135"/>
      <c r="NPC300" s="135"/>
      <c r="NPD300" s="135"/>
      <c r="NPE300" s="135"/>
      <c r="NPF300" s="173"/>
      <c r="NPG300" s="173"/>
      <c r="NPH300" s="173"/>
      <c r="NPI300" s="173"/>
      <c r="NPJ300" s="173"/>
      <c r="NPK300" s="173"/>
      <c r="NPL300" s="173"/>
      <c r="NPM300" s="173"/>
      <c r="NPN300" s="173"/>
      <c r="NPO300" s="173"/>
      <c r="NPP300" s="125"/>
      <c r="NPQ300" s="125"/>
      <c r="NPR300" s="134"/>
      <c r="NPS300" s="135"/>
      <c r="NPT300" s="135"/>
      <c r="NPU300" s="135"/>
      <c r="NPV300" s="135"/>
      <c r="NPW300" s="173"/>
      <c r="NPX300" s="173"/>
      <c r="NPY300" s="173"/>
      <c r="NPZ300" s="173"/>
      <c r="NQA300" s="173"/>
      <c r="NQB300" s="173"/>
      <c r="NQC300" s="173"/>
      <c r="NQD300" s="173"/>
      <c r="NQE300" s="173"/>
      <c r="NQF300" s="173"/>
      <c r="NQG300" s="125"/>
      <c r="NQH300" s="125"/>
      <c r="NQI300" s="134"/>
      <c r="NQJ300" s="135"/>
      <c r="NQK300" s="135"/>
      <c r="NQL300" s="135"/>
      <c r="NQM300" s="135"/>
      <c r="NQN300" s="173"/>
      <c r="NQO300" s="173"/>
      <c r="NQP300" s="173"/>
      <c r="NQQ300" s="173"/>
      <c r="NQR300" s="173"/>
      <c r="NQS300" s="173"/>
      <c r="NQT300" s="173"/>
      <c r="NQU300" s="173"/>
      <c r="NQV300" s="173"/>
      <c r="NQW300" s="173"/>
      <c r="NQX300" s="125"/>
      <c r="NQY300" s="125"/>
      <c r="NQZ300" s="134"/>
      <c r="NRA300" s="135"/>
      <c r="NRB300" s="135"/>
      <c r="NRC300" s="135"/>
      <c r="NRD300" s="135"/>
      <c r="NRE300" s="173"/>
      <c r="NRF300" s="173"/>
      <c r="NRG300" s="173"/>
      <c r="NRH300" s="173"/>
      <c r="NRI300" s="173"/>
      <c r="NRJ300" s="173"/>
      <c r="NRK300" s="173"/>
      <c r="NRL300" s="173"/>
      <c r="NRM300" s="173"/>
      <c r="NRN300" s="173"/>
      <c r="NRO300" s="125"/>
      <c r="NRP300" s="125"/>
      <c r="NRQ300" s="134"/>
      <c r="NRR300" s="135"/>
      <c r="NRS300" s="135"/>
      <c r="NRT300" s="135"/>
      <c r="NRU300" s="135"/>
      <c r="NRV300" s="173"/>
      <c r="NRW300" s="173"/>
      <c r="NRX300" s="173"/>
      <c r="NRY300" s="173"/>
      <c r="NRZ300" s="173"/>
      <c r="NSA300" s="173"/>
      <c r="NSB300" s="173"/>
      <c r="NSC300" s="173"/>
      <c r="NSD300" s="173"/>
      <c r="NSE300" s="173"/>
      <c r="NSF300" s="125"/>
      <c r="NSG300" s="125"/>
      <c r="NSH300" s="134"/>
      <c r="NSI300" s="135"/>
      <c r="NSJ300" s="135"/>
      <c r="NSK300" s="135"/>
      <c r="NSL300" s="135"/>
      <c r="NSM300" s="173"/>
      <c r="NSN300" s="173"/>
      <c r="NSO300" s="173"/>
      <c r="NSP300" s="173"/>
      <c r="NSQ300" s="173"/>
      <c r="NSR300" s="173"/>
      <c r="NSS300" s="173"/>
      <c r="NST300" s="173"/>
      <c r="NSU300" s="173"/>
      <c r="NSV300" s="173"/>
      <c r="NSW300" s="125"/>
      <c r="NSX300" s="125"/>
      <c r="NSY300" s="134"/>
      <c r="NSZ300" s="135"/>
      <c r="NTA300" s="135"/>
      <c r="NTB300" s="135"/>
      <c r="NTC300" s="135"/>
      <c r="NTD300" s="173"/>
      <c r="NTE300" s="173"/>
      <c r="NTF300" s="173"/>
      <c r="NTG300" s="173"/>
      <c r="NTH300" s="173"/>
      <c r="NTI300" s="173"/>
      <c r="NTJ300" s="173"/>
      <c r="NTK300" s="173"/>
      <c r="NTL300" s="173"/>
      <c r="NTM300" s="173"/>
      <c r="NTN300" s="125"/>
      <c r="NTO300" s="125"/>
      <c r="NTP300" s="134"/>
      <c r="NTQ300" s="135"/>
      <c r="NTR300" s="135"/>
      <c r="NTS300" s="135"/>
      <c r="NTT300" s="135"/>
      <c r="NTU300" s="173"/>
      <c r="NTV300" s="173"/>
      <c r="NTW300" s="173"/>
      <c r="NTX300" s="173"/>
      <c r="NTY300" s="173"/>
      <c r="NTZ300" s="173"/>
      <c r="NUA300" s="173"/>
      <c r="NUB300" s="173"/>
      <c r="NUC300" s="173"/>
      <c r="NUD300" s="173"/>
      <c r="NUE300" s="125"/>
      <c r="NUF300" s="125"/>
      <c r="NUG300" s="134"/>
      <c r="NUH300" s="135"/>
      <c r="NUI300" s="135"/>
      <c r="NUJ300" s="135"/>
      <c r="NUK300" s="135"/>
      <c r="NUL300" s="173"/>
      <c r="NUM300" s="173"/>
      <c r="NUN300" s="173"/>
      <c r="NUO300" s="173"/>
      <c r="NUP300" s="173"/>
      <c r="NUQ300" s="173"/>
      <c r="NUR300" s="173"/>
      <c r="NUS300" s="173"/>
      <c r="NUT300" s="173"/>
      <c r="NUU300" s="173"/>
      <c r="NUV300" s="125"/>
      <c r="NUW300" s="125"/>
      <c r="NUX300" s="134"/>
      <c r="NUY300" s="135"/>
      <c r="NUZ300" s="135"/>
      <c r="NVA300" s="135"/>
      <c r="NVB300" s="135"/>
      <c r="NVC300" s="173"/>
      <c r="NVD300" s="173"/>
      <c r="NVE300" s="173"/>
      <c r="NVF300" s="173"/>
      <c r="NVG300" s="173"/>
      <c r="NVH300" s="173"/>
      <c r="NVI300" s="173"/>
      <c r="NVJ300" s="173"/>
      <c r="NVK300" s="173"/>
      <c r="NVL300" s="173"/>
      <c r="NVM300" s="125"/>
      <c r="NVN300" s="125"/>
      <c r="NVO300" s="134"/>
      <c r="NVP300" s="135"/>
      <c r="NVQ300" s="135"/>
      <c r="NVR300" s="135"/>
      <c r="NVS300" s="135"/>
      <c r="NVT300" s="173"/>
      <c r="NVU300" s="173"/>
      <c r="NVV300" s="173"/>
      <c r="NVW300" s="173"/>
      <c r="NVX300" s="173"/>
      <c r="NVY300" s="173"/>
      <c r="NVZ300" s="173"/>
      <c r="NWA300" s="173"/>
      <c r="NWB300" s="173"/>
      <c r="NWC300" s="173"/>
      <c r="NWD300" s="125"/>
      <c r="NWE300" s="125"/>
      <c r="NWF300" s="134"/>
      <c r="NWG300" s="135"/>
      <c r="NWH300" s="135"/>
      <c r="NWI300" s="135"/>
      <c r="NWJ300" s="135"/>
      <c r="NWK300" s="173"/>
      <c r="NWL300" s="173"/>
      <c r="NWM300" s="173"/>
      <c r="NWN300" s="173"/>
      <c r="NWO300" s="173"/>
      <c r="NWP300" s="173"/>
      <c r="NWQ300" s="173"/>
      <c r="NWR300" s="173"/>
      <c r="NWS300" s="173"/>
      <c r="NWT300" s="173"/>
      <c r="NWU300" s="125"/>
      <c r="NWV300" s="125"/>
      <c r="NWW300" s="134"/>
      <c r="NWX300" s="135"/>
      <c r="NWY300" s="135"/>
      <c r="NWZ300" s="135"/>
      <c r="NXA300" s="135"/>
      <c r="NXB300" s="173"/>
      <c r="NXC300" s="173"/>
      <c r="NXD300" s="173"/>
      <c r="NXE300" s="173"/>
      <c r="NXF300" s="173"/>
      <c r="NXG300" s="173"/>
      <c r="NXH300" s="173"/>
      <c r="NXI300" s="173"/>
      <c r="NXJ300" s="173"/>
      <c r="NXK300" s="173"/>
      <c r="NXL300" s="125"/>
      <c r="NXM300" s="125"/>
      <c r="NXN300" s="134"/>
      <c r="NXO300" s="135"/>
      <c r="NXP300" s="135"/>
      <c r="NXQ300" s="135"/>
      <c r="NXR300" s="135"/>
      <c r="NXS300" s="173"/>
      <c r="NXT300" s="173"/>
      <c r="NXU300" s="173"/>
      <c r="NXV300" s="173"/>
      <c r="NXW300" s="173"/>
      <c r="NXX300" s="173"/>
      <c r="NXY300" s="173"/>
      <c r="NXZ300" s="173"/>
      <c r="NYA300" s="173"/>
      <c r="NYB300" s="173"/>
      <c r="NYC300" s="125"/>
      <c r="NYD300" s="125"/>
      <c r="NYE300" s="134"/>
      <c r="NYF300" s="135"/>
      <c r="NYG300" s="135"/>
      <c r="NYH300" s="135"/>
      <c r="NYI300" s="135"/>
      <c r="NYJ300" s="173"/>
      <c r="NYK300" s="173"/>
      <c r="NYL300" s="173"/>
      <c r="NYM300" s="173"/>
      <c r="NYN300" s="173"/>
      <c r="NYO300" s="173"/>
      <c r="NYP300" s="173"/>
      <c r="NYQ300" s="173"/>
      <c r="NYR300" s="173"/>
      <c r="NYS300" s="173"/>
      <c r="NYT300" s="125"/>
      <c r="NYU300" s="125"/>
      <c r="NYV300" s="134"/>
      <c r="NYW300" s="135"/>
      <c r="NYX300" s="135"/>
      <c r="NYY300" s="135"/>
      <c r="NYZ300" s="135"/>
      <c r="NZA300" s="173"/>
      <c r="NZB300" s="173"/>
      <c r="NZC300" s="173"/>
      <c r="NZD300" s="173"/>
      <c r="NZE300" s="173"/>
      <c r="NZF300" s="173"/>
      <c r="NZG300" s="173"/>
      <c r="NZH300" s="173"/>
      <c r="NZI300" s="173"/>
      <c r="NZJ300" s="173"/>
      <c r="NZK300" s="125"/>
      <c r="NZL300" s="125"/>
      <c r="NZM300" s="134"/>
      <c r="NZN300" s="135"/>
      <c r="NZO300" s="135"/>
      <c r="NZP300" s="135"/>
      <c r="NZQ300" s="135"/>
      <c r="NZR300" s="173"/>
      <c r="NZS300" s="173"/>
      <c r="NZT300" s="173"/>
      <c r="NZU300" s="173"/>
      <c r="NZV300" s="173"/>
      <c r="NZW300" s="173"/>
      <c r="NZX300" s="173"/>
      <c r="NZY300" s="173"/>
      <c r="NZZ300" s="173"/>
      <c r="OAA300" s="173"/>
      <c r="OAB300" s="125"/>
      <c r="OAC300" s="125"/>
      <c r="OAD300" s="134"/>
      <c r="OAE300" s="135"/>
      <c r="OAF300" s="135"/>
      <c r="OAG300" s="135"/>
      <c r="OAH300" s="135"/>
      <c r="OAI300" s="173"/>
      <c r="OAJ300" s="173"/>
      <c r="OAK300" s="173"/>
      <c r="OAL300" s="173"/>
      <c r="OAM300" s="173"/>
      <c r="OAN300" s="173"/>
      <c r="OAO300" s="173"/>
      <c r="OAP300" s="173"/>
      <c r="OAQ300" s="173"/>
      <c r="OAR300" s="173"/>
      <c r="OAS300" s="125"/>
      <c r="OAT300" s="125"/>
      <c r="OAU300" s="134"/>
      <c r="OAV300" s="135"/>
      <c r="OAW300" s="135"/>
      <c r="OAX300" s="135"/>
      <c r="OAY300" s="135"/>
      <c r="OAZ300" s="173"/>
      <c r="OBA300" s="173"/>
      <c r="OBB300" s="173"/>
      <c r="OBC300" s="173"/>
      <c r="OBD300" s="173"/>
      <c r="OBE300" s="173"/>
      <c r="OBF300" s="173"/>
      <c r="OBG300" s="173"/>
      <c r="OBH300" s="173"/>
      <c r="OBI300" s="173"/>
      <c r="OBJ300" s="125"/>
      <c r="OBK300" s="125"/>
      <c r="OBL300" s="134"/>
      <c r="OBM300" s="135"/>
      <c r="OBN300" s="135"/>
      <c r="OBO300" s="135"/>
      <c r="OBP300" s="135"/>
      <c r="OBQ300" s="173"/>
      <c r="OBR300" s="173"/>
      <c r="OBS300" s="173"/>
      <c r="OBT300" s="173"/>
      <c r="OBU300" s="173"/>
      <c r="OBV300" s="173"/>
      <c r="OBW300" s="173"/>
      <c r="OBX300" s="173"/>
      <c r="OBY300" s="173"/>
      <c r="OBZ300" s="173"/>
      <c r="OCA300" s="125"/>
      <c r="OCB300" s="125"/>
      <c r="OCC300" s="134"/>
      <c r="OCD300" s="135"/>
      <c r="OCE300" s="135"/>
      <c r="OCF300" s="135"/>
      <c r="OCG300" s="135"/>
      <c r="OCH300" s="173"/>
      <c r="OCI300" s="173"/>
      <c r="OCJ300" s="173"/>
      <c r="OCK300" s="173"/>
      <c r="OCL300" s="173"/>
      <c r="OCM300" s="173"/>
      <c r="OCN300" s="173"/>
      <c r="OCO300" s="173"/>
      <c r="OCP300" s="173"/>
      <c r="OCQ300" s="173"/>
      <c r="OCR300" s="125"/>
      <c r="OCS300" s="125"/>
      <c r="OCT300" s="134"/>
      <c r="OCU300" s="135"/>
      <c r="OCV300" s="135"/>
      <c r="OCW300" s="135"/>
      <c r="OCX300" s="135"/>
      <c r="OCY300" s="173"/>
      <c r="OCZ300" s="173"/>
      <c r="ODA300" s="173"/>
      <c r="ODB300" s="173"/>
      <c r="ODC300" s="173"/>
      <c r="ODD300" s="173"/>
      <c r="ODE300" s="173"/>
      <c r="ODF300" s="173"/>
      <c r="ODG300" s="173"/>
      <c r="ODH300" s="173"/>
      <c r="ODI300" s="125"/>
      <c r="ODJ300" s="125"/>
      <c r="ODK300" s="134"/>
      <c r="ODL300" s="135"/>
      <c r="ODM300" s="135"/>
      <c r="ODN300" s="135"/>
      <c r="ODO300" s="135"/>
      <c r="ODP300" s="173"/>
      <c r="ODQ300" s="173"/>
      <c r="ODR300" s="173"/>
      <c r="ODS300" s="173"/>
      <c r="ODT300" s="173"/>
      <c r="ODU300" s="173"/>
      <c r="ODV300" s="173"/>
      <c r="ODW300" s="173"/>
      <c r="ODX300" s="173"/>
      <c r="ODY300" s="173"/>
      <c r="ODZ300" s="125"/>
      <c r="OEA300" s="125"/>
      <c r="OEB300" s="134"/>
      <c r="OEC300" s="135"/>
      <c r="OED300" s="135"/>
      <c r="OEE300" s="135"/>
      <c r="OEF300" s="135"/>
      <c r="OEG300" s="173"/>
      <c r="OEH300" s="173"/>
      <c r="OEI300" s="173"/>
      <c r="OEJ300" s="173"/>
      <c r="OEK300" s="173"/>
      <c r="OEL300" s="173"/>
      <c r="OEM300" s="173"/>
      <c r="OEN300" s="173"/>
      <c r="OEO300" s="173"/>
      <c r="OEP300" s="173"/>
      <c r="OEQ300" s="125"/>
      <c r="OER300" s="125"/>
      <c r="OES300" s="134"/>
      <c r="OET300" s="135"/>
      <c r="OEU300" s="135"/>
      <c r="OEV300" s="135"/>
      <c r="OEW300" s="135"/>
      <c r="OEX300" s="173"/>
      <c r="OEY300" s="173"/>
      <c r="OEZ300" s="173"/>
      <c r="OFA300" s="173"/>
      <c r="OFB300" s="173"/>
      <c r="OFC300" s="173"/>
      <c r="OFD300" s="173"/>
      <c r="OFE300" s="173"/>
      <c r="OFF300" s="173"/>
      <c r="OFG300" s="173"/>
      <c r="OFH300" s="125"/>
      <c r="OFI300" s="125"/>
      <c r="OFJ300" s="134"/>
      <c r="OFK300" s="135"/>
      <c r="OFL300" s="135"/>
      <c r="OFM300" s="135"/>
      <c r="OFN300" s="135"/>
      <c r="OFO300" s="173"/>
      <c r="OFP300" s="173"/>
      <c r="OFQ300" s="173"/>
      <c r="OFR300" s="173"/>
      <c r="OFS300" s="173"/>
      <c r="OFT300" s="173"/>
      <c r="OFU300" s="173"/>
      <c r="OFV300" s="173"/>
      <c r="OFW300" s="173"/>
      <c r="OFX300" s="173"/>
      <c r="OFY300" s="125"/>
      <c r="OFZ300" s="125"/>
      <c r="OGA300" s="134"/>
      <c r="OGB300" s="135"/>
      <c r="OGC300" s="135"/>
      <c r="OGD300" s="135"/>
      <c r="OGE300" s="135"/>
      <c r="OGF300" s="173"/>
      <c r="OGG300" s="173"/>
      <c r="OGH300" s="173"/>
      <c r="OGI300" s="173"/>
      <c r="OGJ300" s="173"/>
      <c r="OGK300" s="173"/>
      <c r="OGL300" s="173"/>
      <c r="OGM300" s="173"/>
      <c r="OGN300" s="173"/>
      <c r="OGO300" s="173"/>
      <c r="OGP300" s="125"/>
      <c r="OGQ300" s="125"/>
      <c r="OGR300" s="134"/>
      <c r="OGS300" s="135"/>
      <c r="OGT300" s="135"/>
      <c r="OGU300" s="135"/>
      <c r="OGV300" s="135"/>
      <c r="OGW300" s="173"/>
      <c r="OGX300" s="173"/>
      <c r="OGY300" s="173"/>
      <c r="OGZ300" s="173"/>
      <c r="OHA300" s="173"/>
      <c r="OHB300" s="173"/>
      <c r="OHC300" s="173"/>
      <c r="OHD300" s="173"/>
      <c r="OHE300" s="173"/>
      <c r="OHF300" s="173"/>
      <c r="OHG300" s="125"/>
      <c r="OHH300" s="125"/>
      <c r="OHI300" s="134"/>
      <c r="OHJ300" s="135"/>
      <c r="OHK300" s="135"/>
      <c r="OHL300" s="135"/>
      <c r="OHM300" s="135"/>
      <c r="OHN300" s="173"/>
      <c r="OHO300" s="173"/>
      <c r="OHP300" s="173"/>
      <c r="OHQ300" s="173"/>
      <c r="OHR300" s="173"/>
      <c r="OHS300" s="173"/>
      <c r="OHT300" s="173"/>
      <c r="OHU300" s="173"/>
      <c r="OHV300" s="173"/>
      <c r="OHW300" s="173"/>
      <c r="OHX300" s="125"/>
      <c r="OHY300" s="125"/>
      <c r="OHZ300" s="134"/>
      <c r="OIA300" s="135"/>
      <c r="OIB300" s="135"/>
      <c r="OIC300" s="135"/>
      <c r="OID300" s="135"/>
      <c r="OIE300" s="173"/>
      <c r="OIF300" s="173"/>
      <c r="OIG300" s="173"/>
      <c r="OIH300" s="173"/>
      <c r="OII300" s="173"/>
      <c r="OIJ300" s="173"/>
      <c r="OIK300" s="173"/>
      <c r="OIL300" s="173"/>
      <c r="OIM300" s="173"/>
      <c r="OIN300" s="173"/>
      <c r="OIO300" s="125"/>
      <c r="OIP300" s="125"/>
      <c r="OIQ300" s="134"/>
      <c r="OIR300" s="135"/>
      <c r="OIS300" s="135"/>
      <c r="OIT300" s="135"/>
      <c r="OIU300" s="135"/>
      <c r="OIV300" s="173"/>
      <c r="OIW300" s="173"/>
      <c r="OIX300" s="173"/>
      <c r="OIY300" s="173"/>
      <c r="OIZ300" s="173"/>
      <c r="OJA300" s="173"/>
      <c r="OJB300" s="173"/>
      <c r="OJC300" s="173"/>
      <c r="OJD300" s="173"/>
      <c r="OJE300" s="173"/>
      <c r="OJF300" s="125"/>
      <c r="OJG300" s="125"/>
      <c r="OJH300" s="134"/>
      <c r="OJI300" s="135"/>
      <c r="OJJ300" s="135"/>
      <c r="OJK300" s="135"/>
      <c r="OJL300" s="135"/>
      <c r="OJM300" s="173"/>
      <c r="OJN300" s="173"/>
      <c r="OJO300" s="173"/>
      <c r="OJP300" s="173"/>
      <c r="OJQ300" s="173"/>
      <c r="OJR300" s="173"/>
      <c r="OJS300" s="173"/>
      <c r="OJT300" s="173"/>
      <c r="OJU300" s="173"/>
      <c r="OJV300" s="173"/>
      <c r="OJW300" s="125"/>
      <c r="OJX300" s="125"/>
      <c r="OJY300" s="134"/>
      <c r="OJZ300" s="135"/>
      <c r="OKA300" s="135"/>
      <c r="OKB300" s="135"/>
      <c r="OKC300" s="135"/>
      <c r="OKD300" s="173"/>
      <c r="OKE300" s="173"/>
      <c r="OKF300" s="173"/>
      <c r="OKG300" s="173"/>
      <c r="OKH300" s="173"/>
      <c r="OKI300" s="173"/>
      <c r="OKJ300" s="173"/>
      <c r="OKK300" s="173"/>
      <c r="OKL300" s="173"/>
      <c r="OKM300" s="173"/>
      <c r="OKN300" s="125"/>
      <c r="OKO300" s="125"/>
      <c r="OKP300" s="134"/>
      <c r="OKQ300" s="135"/>
      <c r="OKR300" s="135"/>
      <c r="OKS300" s="135"/>
      <c r="OKT300" s="135"/>
      <c r="OKU300" s="173"/>
      <c r="OKV300" s="173"/>
      <c r="OKW300" s="173"/>
      <c r="OKX300" s="173"/>
      <c r="OKY300" s="173"/>
      <c r="OKZ300" s="173"/>
      <c r="OLA300" s="173"/>
      <c r="OLB300" s="173"/>
      <c r="OLC300" s="173"/>
      <c r="OLD300" s="173"/>
      <c r="OLE300" s="125"/>
      <c r="OLF300" s="125"/>
      <c r="OLG300" s="134"/>
      <c r="OLH300" s="135"/>
      <c r="OLI300" s="135"/>
      <c r="OLJ300" s="135"/>
      <c r="OLK300" s="135"/>
      <c r="OLL300" s="173"/>
      <c r="OLM300" s="173"/>
      <c r="OLN300" s="173"/>
      <c r="OLO300" s="173"/>
      <c r="OLP300" s="173"/>
      <c r="OLQ300" s="173"/>
      <c r="OLR300" s="173"/>
      <c r="OLS300" s="173"/>
      <c r="OLT300" s="173"/>
      <c r="OLU300" s="173"/>
      <c r="OLV300" s="125"/>
      <c r="OLW300" s="125"/>
      <c r="OLX300" s="134"/>
      <c r="OLY300" s="135"/>
      <c r="OLZ300" s="135"/>
      <c r="OMA300" s="135"/>
      <c r="OMB300" s="135"/>
      <c r="OMC300" s="173"/>
      <c r="OMD300" s="173"/>
      <c r="OME300" s="173"/>
      <c r="OMF300" s="173"/>
      <c r="OMG300" s="173"/>
      <c r="OMH300" s="173"/>
      <c r="OMI300" s="173"/>
      <c r="OMJ300" s="173"/>
      <c r="OMK300" s="173"/>
      <c r="OML300" s="173"/>
      <c r="OMM300" s="125"/>
      <c r="OMN300" s="125"/>
      <c r="OMO300" s="134"/>
      <c r="OMP300" s="135"/>
      <c r="OMQ300" s="135"/>
      <c r="OMR300" s="135"/>
      <c r="OMS300" s="135"/>
      <c r="OMT300" s="173"/>
      <c r="OMU300" s="173"/>
      <c r="OMV300" s="173"/>
      <c r="OMW300" s="173"/>
      <c r="OMX300" s="173"/>
      <c r="OMY300" s="173"/>
      <c r="OMZ300" s="173"/>
      <c r="ONA300" s="173"/>
      <c r="ONB300" s="173"/>
      <c r="ONC300" s="173"/>
      <c r="OND300" s="125"/>
      <c r="ONE300" s="125"/>
      <c r="ONF300" s="134"/>
      <c r="ONG300" s="135"/>
      <c r="ONH300" s="135"/>
      <c r="ONI300" s="135"/>
      <c r="ONJ300" s="135"/>
      <c r="ONK300" s="173"/>
      <c r="ONL300" s="173"/>
      <c r="ONM300" s="173"/>
      <c r="ONN300" s="173"/>
      <c r="ONO300" s="173"/>
      <c r="ONP300" s="173"/>
      <c r="ONQ300" s="173"/>
      <c r="ONR300" s="173"/>
      <c r="ONS300" s="173"/>
      <c r="ONT300" s="173"/>
      <c r="ONU300" s="125"/>
      <c r="ONV300" s="125"/>
      <c r="ONW300" s="134"/>
      <c r="ONX300" s="135"/>
      <c r="ONY300" s="135"/>
      <c r="ONZ300" s="135"/>
      <c r="OOA300" s="135"/>
      <c r="OOB300" s="173"/>
      <c r="OOC300" s="173"/>
      <c r="OOD300" s="173"/>
      <c r="OOE300" s="173"/>
      <c r="OOF300" s="173"/>
      <c r="OOG300" s="173"/>
      <c r="OOH300" s="173"/>
      <c r="OOI300" s="173"/>
      <c r="OOJ300" s="173"/>
      <c r="OOK300" s="173"/>
      <c r="OOL300" s="125"/>
      <c r="OOM300" s="125"/>
      <c r="OON300" s="134"/>
      <c r="OOO300" s="135"/>
      <c r="OOP300" s="135"/>
      <c r="OOQ300" s="135"/>
      <c r="OOR300" s="135"/>
      <c r="OOS300" s="173"/>
      <c r="OOT300" s="173"/>
      <c r="OOU300" s="173"/>
      <c r="OOV300" s="173"/>
      <c r="OOW300" s="173"/>
      <c r="OOX300" s="173"/>
      <c r="OOY300" s="173"/>
      <c r="OOZ300" s="173"/>
      <c r="OPA300" s="173"/>
      <c r="OPB300" s="173"/>
      <c r="OPC300" s="125"/>
      <c r="OPD300" s="125"/>
      <c r="OPE300" s="134"/>
      <c r="OPF300" s="135"/>
      <c r="OPG300" s="135"/>
      <c r="OPH300" s="135"/>
      <c r="OPI300" s="135"/>
      <c r="OPJ300" s="173"/>
      <c r="OPK300" s="173"/>
      <c r="OPL300" s="173"/>
      <c r="OPM300" s="173"/>
      <c r="OPN300" s="173"/>
      <c r="OPO300" s="173"/>
      <c r="OPP300" s="173"/>
      <c r="OPQ300" s="173"/>
      <c r="OPR300" s="173"/>
      <c r="OPS300" s="173"/>
      <c r="OPT300" s="125"/>
      <c r="OPU300" s="125"/>
      <c r="OPV300" s="134"/>
      <c r="OPW300" s="135"/>
      <c r="OPX300" s="135"/>
      <c r="OPY300" s="135"/>
      <c r="OPZ300" s="135"/>
      <c r="OQA300" s="173"/>
      <c r="OQB300" s="173"/>
      <c r="OQC300" s="173"/>
      <c r="OQD300" s="173"/>
      <c r="OQE300" s="173"/>
      <c r="OQF300" s="173"/>
      <c r="OQG300" s="173"/>
      <c r="OQH300" s="173"/>
      <c r="OQI300" s="173"/>
      <c r="OQJ300" s="173"/>
      <c r="OQK300" s="125"/>
      <c r="OQL300" s="125"/>
      <c r="OQM300" s="134"/>
      <c r="OQN300" s="135"/>
      <c r="OQO300" s="135"/>
      <c r="OQP300" s="135"/>
      <c r="OQQ300" s="135"/>
      <c r="OQR300" s="173"/>
      <c r="OQS300" s="173"/>
      <c r="OQT300" s="173"/>
      <c r="OQU300" s="173"/>
      <c r="OQV300" s="173"/>
      <c r="OQW300" s="173"/>
      <c r="OQX300" s="173"/>
      <c r="OQY300" s="173"/>
      <c r="OQZ300" s="173"/>
      <c r="ORA300" s="173"/>
      <c r="ORB300" s="125"/>
      <c r="ORC300" s="125"/>
      <c r="ORD300" s="134"/>
      <c r="ORE300" s="135"/>
      <c r="ORF300" s="135"/>
      <c r="ORG300" s="135"/>
      <c r="ORH300" s="135"/>
      <c r="ORI300" s="173"/>
      <c r="ORJ300" s="173"/>
      <c r="ORK300" s="173"/>
      <c r="ORL300" s="173"/>
      <c r="ORM300" s="173"/>
      <c r="ORN300" s="173"/>
      <c r="ORO300" s="173"/>
      <c r="ORP300" s="173"/>
      <c r="ORQ300" s="173"/>
      <c r="ORR300" s="173"/>
      <c r="ORS300" s="125"/>
      <c r="ORT300" s="125"/>
      <c r="ORU300" s="134"/>
      <c r="ORV300" s="135"/>
      <c r="ORW300" s="135"/>
      <c r="ORX300" s="135"/>
      <c r="ORY300" s="135"/>
      <c r="ORZ300" s="173"/>
      <c r="OSA300" s="173"/>
      <c r="OSB300" s="173"/>
      <c r="OSC300" s="173"/>
      <c r="OSD300" s="173"/>
      <c r="OSE300" s="173"/>
      <c r="OSF300" s="173"/>
      <c r="OSG300" s="173"/>
      <c r="OSH300" s="173"/>
      <c r="OSI300" s="173"/>
      <c r="OSJ300" s="125"/>
      <c r="OSK300" s="125"/>
      <c r="OSL300" s="134"/>
      <c r="OSM300" s="135"/>
      <c r="OSN300" s="135"/>
      <c r="OSO300" s="135"/>
      <c r="OSP300" s="135"/>
      <c r="OSQ300" s="173"/>
      <c r="OSR300" s="173"/>
      <c r="OSS300" s="173"/>
      <c r="OST300" s="173"/>
      <c r="OSU300" s="173"/>
      <c r="OSV300" s="173"/>
      <c r="OSW300" s="173"/>
      <c r="OSX300" s="173"/>
      <c r="OSY300" s="173"/>
      <c r="OSZ300" s="173"/>
      <c r="OTA300" s="125"/>
      <c r="OTB300" s="125"/>
      <c r="OTC300" s="134"/>
      <c r="OTD300" s="135"/>
      <c r="OTE300" s="135"/>
      <c r="OTF300" s="135"/>
      <c r="OTG300" s="135"/>
      <c r="OTH300" s="173"/>
      <c r="OTI300" s="173"/>
      <c r="OTJ300" s="173"/>
      <c r="OTK300" s="173"/>
      <c r="OTL300" s="173"/>
      <c r="OTM300" s="173"/>
      <c r="OTN300" s="173"/>
      <c r="OTO300" s="173"/>
      <c r="OTP300" s="173"/>
      <c r="OTQ300" s="173"/>
      <c r="OTR300" s="125"/>
      <c r="OTS300" s="125"/>
      <c r="OTT300" s="134"/>
      <c r="OTU300" s="135"/>
      <c r="OTV300" s="135"/>
      <c r="OTW300" s="135"/>
      <c r="OTX300" s="135"/>
      <c r="OTY300" s="173"/>
      <c r="OTZ300" s="173"/>
      <c r="OUA300" s="173"/>
      <c r="OUB300" s="173"/>
      <c r="OUC300" s="173"/>
      <c r="OUD300" s="173"/>
      <c r="OUE300" s="173"/>
      <c r="OUF300" s="173"/>
      <c r="OUG300" s="173"/>
      <c r="OUH300" s="173"/>
      <c r="OUI300" s="125"/>
      <c r="OUJ300" s="125"/>
      <c r="OUK300" s="134"/>
      <c r="OUL300" s="135"/>
      <c r="OUM300" s="135"/>
      <c r="OUN300" s="135"/>
      <c r="OUO300" s="135"/>
      <c r="OUP300" s="173"/>
      <c r="OUQ300" s="173"/>
      <c r="OUR300" s="173"/>
      <c r="OUS300" s="173"/>
      <c r="OUT300" s="173"/>
      <c r="OUU300" s="173"/>
      <c r="OUV300" s="173"/>
      <c r="OUW300" s="173"/>
      <c r="OUX300" s="173"/>
      <c r="OUY300" s="173"/>
      <c r="OUZ300" s="125"/>
      <c r="OVA300" s="125"/>
      <c r="OVB300" s="134"/>
      <c r="OVC300" s="135"/>
      <c r="OVD300" s="135"/>
      <c r="OVE300" s="135"/>
      <c r="OVF300" s="135"/>
      <c r="OVG300" s="173"/>
      <c r="OVH300" s="173"/>
      <c r="OVI300" s="173"/>
      <c r="OVJ300" s="173"/>
      <c r="OVK300" s="173"/>
      <c r="OVL300" s="173"/>
      <c r="OVM300" s="173"/>
      <c r="OVN300" s="173"/>
      <c r="OVO300" s="173"/>
      <c r="OVP300" s="173"/>
      <c r="OVQ300" s="125"/>
      <c r="OVR300" s="125"/>
      <c r="OVS300" s="134"/>
      <c r="OVT300" s="135"/>
      <c r="OVU300" s="135"/>
      <c r="OVV300" s="135"/>
      <c r="OVW300" s="135"/>
      <c r="OVX300" s="173"/>
      <c r="OVY300" s="173"/>
      <c r="OVZ300" s="173"/>
      <c r="OWA300" s="173"/>
      <c r="OWB300" s="173"/>
      <c r="OWC300" s="173"/>
      <c r="OWD300" s="173"/>
      <c r="OWE300" s="173"/>
      <c r="OWF300" s="173"/>
      <c r="OWG300" s="173"/>
      <c r="OWH300" s="125"/>
      <c r="OWI300" s="125"/>
      <c r="OWJ300" s="134"/>
      <c r="OWK300" s="135"/>
      <c r="OWL300" s="135"/>
      <c r="OWM300" s="135"/>
      <c r="OWN300" s="135"/>
      <c r="OWO300" s="173"/>
      <c r="OWP300" s="173"/>
      <c r="OWQ300" s="173"/>
      <c r="OWR300" s="173"/>
      <c r="OWS300" s="173"/>
      <c r="OWT300" s="173"/>
      <c r="OWU300" s="173"/>
      <c r="OWV300" s="173"/>
      <c r="OWW300" s="173"/>
      <c r="OWX300" s="173"/>
      <c r="OWY300" s="125"/>
      <c r="OWZ300" s="125"/>
      <c r="OXA300" s="134"/>
      <c r="OXB300" s="135"/>
      <c r="OXC300" s="135"/>
      <c r="OXD300" s="135"/>
      <c r="OXE300" s="135"/>
      <c r="OXF300" s="173"/>
      <c r="OXG300" s="173"/>
      <c r="OXH300" s="173"/>
      <c r="OXI300" s="173"/>
      <c r="OXJ300" s="173"/>
      <c r="OXK300" s="173"/>
      <c r="OXL300" s="173"/>
      <c r="OXM300" s="173"/>
      <c r="OXN300" s="173"/>
      <c r="OXO300" s="173"/>
      <c r="OXP300" s="125"/>
      <c r="OXQ300" s="125"/>
      <c r="OXR300" s="134"/>
      <c r="OXS300" s="135"/>
      <c r="OXT300" s="135"/>
      <c r="OXU300" s="135"/>
      <c r="OXV300" s="135"/>
      <c r="OXW300" s="173"/>
      <c r="OXX300" s="173"/>
      <c r="OXY300" s="173"/>
      <c r="OXZ300" s="173"/>
      <c r="OYA300" s="173"/>
      <c r="OYB300" s="173"/>
      <c r="OYC300" s="173"/>
      <c r="OYD300" s="173"/>
      <c r="OYE300" s="173"/>
      <c r="OYF300" s="173"/>
      <c r="OYG300" s="125"/>
      <c r="OYH300" s="125"/>
      <c r="OYI300" s="134"/>
      <c r="OYJ300" s="135"/>
      <c r="OYK300" s="135"/>
      <c r="OYL300" s="135"/>
      <c r="OYM300" s="135"/>
      <c r="OYN300" s="173"/>
      <c r="OYO300" s="173"/>
      <c r="OYP300" s="173"/>
      <c r="OYQ300" s="173"/>
      <c r="OYR300" s="173"/>
      <c r="OYS300" s="173"/>
      <c r="OYT300" s="173"/>
      <c r="OYU300" s="173"/>
      <c r="OYV300" s="173"/>
      <c r="OYW300" s="173"/>
      <c r="OYX300" s="125"/>
      <c r="OYY300" s="125"/>
      <c r="OYZ300" s="134"/>
      <c r="OZA300" s="135"/>
      <c r="OZB300" s="135"/>
      <c r="OZC300" s="135"/>
      <c r="OZD300" s="135"/>
      <c r="OZE300" s="173"/>
      <c r="OZF300" s="173"/>
      <c r="OZG300" s="173"/>
      <c r="OZH300" s="173"/>
      <c r="OZI300" s="173"/>
      <c r="OZJ300" s="173"/>
      <c r="OZK300" s="173"/>
      <c r="OZL300" s="173"/>
      <c r="OZM300" s="173"/>
      <c r="OZN300" s="173"/>
      <c r="OZO300" s="125"/>
      <c r="OZP300" s="125"/>
      <c r="OZQ300" s="134"/>
      <c r="OZR300" s="135"/>
      <c r="OZS300" s="135"/>
      <c r="OZT300" s="135"/>
      <c r="OZU300" s="135"/>
      <c r="OZV300" s="173"/>
      <c r="OZW300" s="173"/>
      <c r="OZX300" s="173"/>
      <c r="OZY300" s="173"/>
      <c r="OZZ300" s="173"/>
      <c r="PAA300" s="173"/>
      <c r="PAB300" s="173"/>
      <c r="PAC300" s="173"/>
      <c r="PAD300" s="173"/>
      <c r="PAE300" s="173"/>
      <c r="PAF300" s="125"/>
      <c r="PAG300" s="125"/>
      <c r="PAH300" s="134"/>
      <c r="PAI300" s="135"/>
      <c r="PAJ300" s="135"/>
      <c r="PAK300" s="135"/>
      <c r="PAL300" s="135"/>
      <c r="PAM300" s="173"/>
      <c r="PAN300" s="173"/>
      <c r="PAO300" s="173"/>
      <c r="PAP300" s="173"/>
      <c r="PAQ300" s="173"/>
      <c r="PAR300" s="173"/>
      <c r="PAS300" s="173"/>
      <c r="PAT300" s="173"/>
      <c r="PAU300" s="173"/>
      <c r="PAV300" s="173"/>
      <c r="PAW300" s="125"/>
      <c r="PAX300" s="125"/>
      <c r="PAY300" s="134"/>
      <c r="PAZ300" s="135"/>
      <c r="PBA300" s="135"/>
      <c r="PBB300" s="135"/>
      <c r="PBC300" s="135"/>
      <c r="PBD300" s="173"/>
      <c r="PBE300" s="173"/>
      <c r="PBF300" s="173"/>
      <c r="PBG300" s="173"/>
      <c r="PBH300" s="173"/>
      <c r="PBI300" s="173"/>
      <c r="PBJ300" s="173"/>
      <c r="PBK300" s="173"/>
      <c r="PBL300" s="173"/>
      <c r="PBM300" s="173"/>
      <c r="PBN300" s="125"/>
      <c r="PBO300" s="125"/>
      <c r="PBP300" s="134"/>
      <c r="PBQ300" s="135"/>
      <c r="PBR300" s="135"/>
      <c r="PBS300" s="135"/>
      <c r="PBT300" s="135"/>
      <c r="PBU300" s="173"/>
      <c r="PBV300" s="173"/>
      <c r="PBW300" s="173"/>
      <c r="PBX300" s="173"/>
      <c r="PBY300" s="173"/>
      <c r="PBZ300" s="173"/>
      <c r="PCA300" s="173"/>
      <c r="PCB300" s="173"/>
      <c r="PCC300" s="173"/>
      <c r="PCD300" s="173"/>
      <c r="PCE300" s="125"/>
      <c r="PCF300" s="125"/>
      <c r="PCG300" s="134"/>
      <c r="PCH300" s="135"/>
      <c r="PCI300" s="135"/>
      <c r="PCJ300" s="135"/>
      <c r="PCK300" s="135"/>
      <c r="PCL300" s="173"/>
      <c r="PCM300" s="173"/>
      <c r="PCN300" s="173"/>
      <c r="PCO300" s="173"/>
      <c r="PCP300" s="173"/>
      <c r="PCQ300" s="173"/>
      <c r="PCR300" s="173"/>
      <c r="PCS300" s="173"/>
      <c r="PCT300" s="173"/>
      <c r="PCU300" s="173"/>
      <c r="PCV300" s="125"/>
      <c r="PCW300" s="125"/>
      <c r="PCX300" s="134"/>
      <c r="PCY300" s="135"/>
      <c r="PCZ300" s="135"/>
      <c r="PDA300" s="135"/>
      <c r="PDB300" s="135"/>
      <c r="PDC300" s="173"/>
      <c r="PDD300" s="173"/>
      <c r="PDE300" s="173"/>
      <c r="PDF300" s="173"/>
      <c r="PDG300" s="173"/>
      <c r="PDH300" s="173"/>
      <c r="PDI300" s="173"/>
      <c r="PDJ300" s="173"/>
      <c r="PDK300" s="173"/>
      <c r="PDL300" s="173"/>
      <c r="PDM300" s="125"/>
      <c r="PDN300" s="125"/>
      <c r="PDO300" s="134"/>
      <c r="PDP300" s="135"/>
      <c r="PDQ300" s="135"/>
      <c r="PDR300" s="135"/>
      <c r="PDS300" s="135"/>
      <c r="PDT300" s="173"/>
      <c r="PDU300" s="173"/>
      <c r="PDV300" s="173"/>
      <c r="PDW300" s="173"/>
      <c r="PDX300" s="173"/>
      <c r="PDY300" s="173"/>
      <c r="PDZ300" s="173"/>
      <c r="PEA300" s="173"/>
      <c r="PEB300" s="173"/>
      <c r="PEC300" s="173"/>
      <c r="PED300" s="125"/>
      <c r="PEE300" s="125"/>
      <c r="PEF300" s="134"/>
      <c r="PEG300" s="135"/>
      <c r="PEH300" s="135"/>
      <c r="PEI300" s="135"/>
      <c r="PEJ300" s="135"/>
      <c r="PEK300" s="173"/>
      <c r="PEL300" s="173"/>
      <c r="PEM300" s="173"/>
      <c r="PEN300" s="173"/>
      <c r="PEO300" s="173"/>
      <c r="PEP300" s="173"/>
      <c r="PEQ300" s="173"/>
      <c r="PER300" s="173"/>
      <c r="PES300" s="173"/>
      <c r="PET300" s="173"/>
      <c r="PEU300" s="125"/>
      <c r="PEV300" s="125"/>
      <c r="PEW300" s="134"/>
      <c r="PEX300" s="135"/>
      <c r="PEY300" s="135"/>
      <c r="PEZ300" s="135"/>
      <c r="PFA300" s="135"/>
      <c r="PFB300" s="173"/>
      <c r="PFC300" s="173"/>
      <c r="PFD300" s="173"/>
      <c r="PFE300" s="173"/>
      <c r="PFF300" s="173"/>
      <c r="PFG300" s="173"/>
      <c r="PFH300" s="173"/>
      <c r="PFI300" s="173"/>
      <c r="PFJ300" s="173"/>
      <c r="PFK300" s="173"/>
      <c r="PFL300" s="125"/>
      <c r="PFM300" s="125"/>
      <c r="PFN300" s="134"/>
      <c r="PFO300" s="135"/>
      <c r="PFP300" s="135"/>
      <c r="PFQ300" s="135"/>
      <c r="PFR300" s="135"/>
      <c r="PFS300" s="173"/>
      <c r="PFT300" s="173"/>
      <c r="PFU300" s="173"/>
      <c r="PFV300" s="173"/>
      <c r="PFW300" s="173"/>
      <c r="PFX300" s="173"/>
      <c r="PFY300" s="173"/>
      <c r="PFZ300" s="173"/>
      <c r="PGA300" s="173"/>
      <c r="PGB300" s="173"/>
      <c r="PGC300" s="125"/>
      <c r="PGD300" s="125"/>
      <c r="PGE300" s="134"/>
      <c r="PGF300" s="135"/>
      <c r="PGG300" s="135"/>
      <c r="PGH300" s="135"/>
      <c r="PGI300" s="135"/>
      <c r="PGJ300" s="173"/>
      <c r="PGK300" s="173"/>
      <c r="PGL300" s="173"/>
      <c r="PGM300" s="173"/>
      <c r="PGN300" s="173"/>
      <c r="PGO300" s="173"/>
      <c r="PGP300" s="173"/>
      <c r="PGQ300" s="173"/>
      <c r="PGR300" s="173"/>
      <c r="PGS300" s="173"/>
      <c r="PGT300" s="125"/>
      <c r="PGU300" s="125"/>
      <c r="PGV300" s="134"/>
      <c r="PGW300" s="135"/>
      <c r="PGX300" s="135"/>
      <c r="PGY300" s="135"/>
      <c r="PGZ300" s="135"/>
      <c r="PHA300" s="173"/>
      <c r="PHB300" s="173"/>
      <c r="PHC300" s="173"/>
      <c r="PHD300" s="173"/>
      <c r="PHE300" s="173"/>
      <c r="PHF300" s="173"/>
      <c r="PHG300" s="173"/>
      <c r="PHH300" s="173"/>
      <c r="PHI300" s="173"/>
      <c r="PHJ300" s="173"/>
      <c r="PHK300" s="125"/>
      <c r="PHL300" s="125"/>
      <c r="PHM300" s="134"/>
      <c r="PHN300" s="135"/>
      <c r="PHO300" s="135"/>
      <c r="PHP300" s="135"/>
      <c r="PHQ300" s="135"/>
      <c r="PHR300" s="173"/>
      <c r="PHS300" s="173"/>
      <c r="PHT300" s="173"/>
      <c r="PHU300" s="173"/>
      <c r="PHV300" s="173"/>
      <c r="PHW300" s="173"/>
      <c r="PHX300" s="173"/>
      <c r="PHY300" s="173"/>
      <c r="PHZ300" s="173"/>
      <c r="PIA300" s="173"/>
      <c r="PIB300" s="125"/>
      <c r="PIC300" s="125"/>
      <c r="PID300" s="134"/>
      <c r="PIE300" s="135"/>
      <c r="PIF300" s="135"/>
      <c r="PIG300" s="135"/>
      <c r="PIH300" s="135"/>
      <c r="PII300" s="173"/>
      <c r="PIJ300" s="173"/>
      <c r="PIK300" s="173"/>
      <c r="PIL300" s="173"/>
      <c r="PIM300" s="173"/>
      <c r="PIN300" s="173"/>
      <c r="PIO300" s="173"/>
      <c r="PIP300" s="173"/>
      <c r="PIQ300" s="173"/>
      <c r="PIR300" s="173"/>
      <c r="PIS300" s="125"/>
      <c r="PIT300" s="125"/>
      <c r="PIU300" s="134"/>
      <c r="PIV300" s="135"/>
      <c r="PIW300" s="135"/>
      <c r="PIX300" s="135"/>
      <c r="PIY300" s="135"/>
      <c r="PIZ300" s="173"/>
      <c r="PJA300" s="173"/>
      <c r="PJB300" s="173"/>
      <c r="PJC300" s="173"/>
      <c r="PJD300" s="173"/>
      <c r="PJE300" s="173"/>
      <c r="PJF300" s="173"/>
      <c r="PJG300" s="173"/>
      <c r="PJH300" s="173"/>
      <c r="PJI300" s="173"/>
      <c r="PJJ300" s="125"/>
      <c r="PJK300" s="125"/>
      <c r="PJL300" s="134"/>
      <c r="PJM300" s="135"/>
      <c r="PJN300" s="135"/>
      <c r="PJO300" s="135"/>
      <c r="PJP300" s="135"/>
      <c r="PJQ300" s="173"/>
      <c r="PJR300" s="173"/>
      <c r="PJS300" s="173"/>
      <c r="PJT300" s="173"/>
      <c r="PJU300" s="173"/>
      <c r="PJV300" s="173"/>
      <c r="PJW300" s="173"/>
      <c r="PJX300" s="173"/>
      <c r="PJY300" s="173"/>
      <c r="PJZ300" s="173"/>
      <c r="PKA300" s="125"/>
      <c r="PKB300" s="125"/>
      <c r="PKC300" s="134"/>
      <c r="PKD300" s="135"/>
      <c r="PKE300" s="135"/>
      <c r="PKF300" s="135"/>
      <c r="PKG300" s="135"/>
      <c r="PKH300" s="173"/>
      <c r="PKI300" s="173"/>
      <c r="PKJ300" s="173"/>
      <c r="PKK300" s="173"/>
      <c r="PKL300" s="173"/>
      <c r="PKM300" s="173"/>
      <c r="PKN300" s="173"/>
      <c r="PKO300" s="173"/>
      <c r="PKP300" s="173"/>
      <c r="PKQ300" s="173"/>
      <c r="PKR300" s="125"/>
      <c r="PKS300" s="125"/>
      <c r="PKT300" s="134"/>
      <c r="PKU300" s="135"/>
      <c r="PKV300" s="135"/>
      <c r="PKW300" s="135"/>
      <c r="PKX300" s="135"/>
      <c r="PKY300" s="173"/>
      <c r="PKZ300" s="173"/>
      <c r="PLA300" s="173"/>
      <c r="PLB300" s="173"/>
      <c r="PLC300" s="173"/>
      <c r="PLD300" s="173"/>
      <c r="PLE300" s="173"/>
      <c r="PLF300" s="173"/>
      <c r="PLG300" s="173"/>
      <c r="PLH300" s="173"/>
      <c r="PLI300" s="125"/>
      <c r="PLJ300" s="125"/>
      <c r="PLK300" s="134"/>
      <c r="PLL300" s="135"/>
      <c r="PLM300" s="135"/>
      <c r="PLN300" s="135"/>
      <c r="PLO300" s="135"/>
      <c r="PLP300" s="173"/>
      <c r="PLQ300" s="173"/>
      <c r="PLR300" s="173"/>
      <c r="PLS300" s="173"/>
      <c r="PLT300" s="173"/>
      <c r="PLU300" s="173"/>
      <c r="PLV300" s="173"/>
      <c r="PLW300" s="173"/>
      <c r="PLX300" s="173"/>
      <c r="PLY300" s="173"/>
      <c r="PLZ300" s="125"/>
      <c r="PMA300" s="125"/>
      <c r="PMB300" s="134"/>
      <c r="PMC300" s="135"/>
      <c r="PMD300" s="135"/>
      <c r="PME300" s="135"/>
      <c r="PMF300" s="135"/>
      <c r="PMG300" s="173"/>
      <c r="PMH300" s="173"/>
      <c r="PMI300" s="173"/>
      <c r="PMJ300" s="173"/>
      <c r="PMK300" s="173"/>
      <c r="PML300" s="173"/>
      <c r="PMM300" s="173"/>
      <c r="PMN300" s="173"/>
      <c r="PMO300" s="173"/>
      <c r="PMP300" s="173"/>
      <c r="PMQ300" s="125"/>
      <c r="PMR300" s="125"/>
      <c r="PMS300" s="134"/>
      <c r="PMT300" s="135"/>
      <c r="PMU300" s="135"/>
      <c r="PMV300" s="135"/>
      <c r="PMW300" s="135"/>
      <c r="PMX300" s="173"/>
      <c r="PMY300" s="173"/>
      <c r="PMZ300" s="173"/>
      <c r="PNA300" s="173"/>
      <c r="PNB300" s="173"/>
      <c r="PNC300" s="173"/>
      <c r="PND300" s="173"/>
      <c r="PNE300" s="173"/>
      <c r="PNF300" s="173"/>
      <c r="PNG300" s="173"/>
      <c r="PNH300" s="125"/>
      <c r="PNI300" s="125"/>
      <c r="PNJ300" s="134"/>
      <c r="PNK300" s="135"/>
      <c r="PNL300" s="135"/>
      <c r="PNM300" s="135"/>
      <c r="PNN300" s="135"/>
      <c r="PNO300" s="173"/>
      <c r="PNP300" s="173"/>
      <c r="PNQ300" s="173"/>
      <c r="PNR300" s="173"/>
      <c r="PNS300" s="173"/>
      <c r="PNT300" s="173"/>
      <c r="PNU300" s="173"/>
      <c r="PNV300" s="173"/>
      <c r="PNW300" s="173"/>
      <c r="PNX300" s="173"/>
      <c r="PNY300" s="125"/>
      <c r="PNZ300" s="125"/>
      <c r="POA300" s="134"/>
      <c r="POB300" s="135"/>
      <c r="POC300" s="135"/>
      <c r="POD300" s="135"/>
      <c r="POE300" s="135"/>
      <c r="POF300" s="173"/>
      <c r="POG300" s="173"/>
      <c r="POH300" s="173"/>
      <c r="POI300" s="173"/>
      <c r="POJ300" s="173"/>
      <c r="POK300" s="173"/>
      <c r="POL300" s="173"/>
      <c r="POM300" s="173"/>
      <c r="PON300" s="173"/>
      <c r="POO300" s="173"/>
      <c r="POP300" s="125"/>
      <c r="POQ300" s="125"/>
      <c r="POR300" s="134"/>
      <c r="POS300" s="135"/>
      <c r="POT300" s="135"/>
      <c r="POU300" s="135"/>
      <c r="POV300" s="135"/>
      <c r="POW300" s="173"/>
      <c r="POX300" s="173"/>
      <c r="POY300" s="173"/>
      <c r="POZ300" s="173"/>
      <c r="PPA300" s="173"/>
      <c r="PPB300" s="173"/>
      <c r="PPC300" s="173"/>
      <c r="PPD300" s="173"/>
      <c r="PPE300" s="173"/>
      <c r="PPF300" s="173"/>
      <c r="PPG300" s="125"/>
      <c r="PPH300" s="125"/>
      <c r="PPI300" s="134"/>
      <c r="PPJ300" s="135"/>
      <c r="PPK300" s="135"/>
      <c r="PPL300" s="135"/>
      <c r="PPM300" s="135"/>
      <c r="PPN300" s="173"/>
      <c r="PPO300" s="173"/>
      <c r="PPP300" s="173"/>
      <c r="PPQ300" s="173"/>
      <c r="PPR300" s="173"/>
      <c r="PPS300" s="173"/>
      <c r="PPT300" s="173"/>
      <c r="PPU300" s="173"/>
      <c r="PPV300" s="173"/>
      <c r="PPW300" s="173"/>
      <c r="PPX300" s="125"/>
      <c r="PPY300" s="125"/>
      <c r="PPZ300" s="134"/>
      <c r="PQA300" s="135"/>
      <c r="PQB300" s="135"/>
      <c r="PQC300" s="135"/>
      <c r="PQD300" s="135"/>
      <c r="PQE300" s="173"/>
      <c r="PQF300" s="173"/>
      <c r="PQG300" s="173"/>
      <c r="PQH300" s="173"/>
      <c r="PQI300" s="173"/>
      <c r="PQJ300" s="173"/>
      <c r="PQK300" s="173"/>
      <c r="PQL300" s="173"/>
      <c r="PQM300" s="173"/>
      <c r="PQN300" s="173"/>
      <c r="PQO300" s="125"/>
      <c r="PQP300" s="125"/>
      <c r="PQQ300" s="134"/>
      <c r="PQR300" s="135"/>
      <c r="PQS300" s="135"/>
      <c r="PQT300" s="135"/>
      <c r="PQU300" s="135"/>
      <c r="PQV300" s="173"/>
      <c r="PQW300" s="173"/>
      <c r="PQX300" s="173"/>
      <c r="PQY300" s="173"/>
      <c r="PQZ300" s="173"/>
      <c r="PRA300" s="173"/>
      <c r="PRB300" s="173"/>
      <c r="PRC300" s="173"/>
      <c r="PRD300" s="173"/>
      <c r="PRE300" s="173"/>
      <c r="PRF300" s="125"/>
      <c r="PRG300" s="125"/>
      <c r="PRH300" s="134"/>
      <c r="PRI300" s="135"/>
      <c r="PRJ300" s="135"/>
      <c r="PRK300" s="135"/>
      <c r="PRL300" s="135"/>
      <c r="PRM300" s="173"/>
      <c r="PRN300" s="173"/>
      <c r="PRO300" s="173"/>
      <c r="PRP300" s="173"/>
      <c r="PRQ300" s="173"/>
      <c r="PRR300" s="173"/>
      <c r="PRS300" s="173"/>
      <c r="PRT300" s="173"/>
      <c r="PRU300" s="173"/>
      <c r="PRV300" s="173"/>
      <c r="PRW300" s="125"/>
      <c r="PRX300" s="125"/>
      <c r="PRY300" s="134"/>
      <c r="PRZ300" s="135"/>
      <c r="PSA300" s="135"/>
      <c r="PSB300" s="135"/>
      <c r="PSC300" s="135"/>
      <c r="PSD300" s="173"/>
      <c r="PSE300" s="173"/>
      <c r="PSF300" s="173"/>
      <c r="PSG300" s="173"/>
      <c r="PSH300" s="173"/>
      <c r="PSI300" s="173"/>
      <c r="PSJ300" s="173"/>
      <c r="PSK300" s="173"/>
      <c r="PSL300" s="173"/>
      <c r="PSM300" s="173"/>
      <c r="PSN300" s="125"/>
      <c r="PSO300" s="125"/>
      <c r="PSP300" s="134"/>
      <c r="PSQ300" s="135"/>
      <c r="PSR300" s="135"/>
      <c r="PSS300" s="135"/>
      <c r="PST300" s="135"/>
      <c r="PSU300" s="173"/>
      <c r="PSV300" s="173"/>
      <c r="PSW300" s="173"/>
      <c r="PSX300" s="173"/>
      <c r="PSY300" s="173"/>
      <c r="PSZ300" s="173"/>
      <c r="PTA300" s="173"/>
      <c r="PTB300" s="173"/>
      <c r="PTC300" s="173"/>
      <c r="PTD300" s="173"/>
      <c r="PTE300" s="125"/>
      <c r="PTF300" s="125"/>
      <c r="PTG300" s="134"/>
      <c r="PTH300" s="135"/>
      <c r="PTI300" s="135"/>
      <c r="PTJ300" s="135"/>
      <c r="PTK300" s="135"/>
      <c r="PTL300" s="173"/>
      <c r="PTM300" s="173"/>
      <c r="PTN300" s="173"/>
      <c r="PTO300" s="173"/>
      <c r="PTP300" s="173"/>
      <c r="PTQ300" s="173"/>
      <c r="PTR300" s="173"/>
      <c r="PTS300" s="173"/>
      <c r="PTT300" s="173"/>
      <c r="PTU300" s="173"/>
      <c r="PTV300" s="125"/>
      <c r="PTW300" s="125"/>
      <c r="PTX300" s="134"/>
      <c r="PTY300" s="135"/>
      <c r="PTZ300" s="135"/>
      <c r="PUA300" s="135"/>
      <c r="PUB300" s="135"/>
      <c r="PUC300" s="173"/>
      <c r="PUD300" s="173"/>
      <c r="PUE300" s="173"/>
      <c r="PUF300" s="173"/>
      <c r="PUG300" s="173"/>
      <c r="PUH300" s="173"/>
      <c r="PUI300" s="173"/>
      <c r="PUJ300" s="173"/>
      <c r="PUK300" s="173"/>
      <c r="PUL300" s="173"/>
      <c r="PUM300" s="125"/>
      <c r="PUN300" s="125"/>
      <c r="PUO300" s="134"/>
      <c r="PUP300" s="135"/>
      <c r="PUQ300" s="135"/>
      <c r="PUR300" s="135"/>
      <c r="PUS300" s="135"/>
      <c r="PUT300" s="173"/>
      <c r="PUU300" s="173"/>
      <c r="PUV300" s="173"/>
      <c r="PUW300" s="173"/>
      <c r="PUX300" s="173"/>
      <c r="PUY300" s="173"/>
      <c r="PUZ300" s="173"/>
      <c r="PVA300" s="173"/>
      <c r="PVB300" s="173"/>
      <c r="PVC300" s="173"/>
      <c r="PVD300" s="125"/>
      <c r="PVE300" s="125"/>
      <c r="PVF300" s="134"/>
      <c r="PVG300" s="135"/>
      <c r="PVH300" s="135"/>
      <c r="PVI300" s="135"/>
      <c r="PVJ300" s="135"/>
      <c r="PVK300" s="173"/>
      <c r="PVL300" s="173"/>
      <c r="PVM300" s="173"/>
      <c r="PVN300" s="173"/>
      <c r="PVO300" s="173"/>
      <c r="PVP300" s="173"/>
      <c r="PVQ300" s="173"/>
      <c r="PVR300" s="173"/>
      <c r="PVS300" s="173"/>
      <c r="PVT300" s="173"/>
      <c r="PVU300" s="125"/>
      <c r="PVV300" s="125"/>
      <c r="PVW300" s="134"/>
      <c r="PVX300" s="135"/>
      <c r="PVY300" s="135"/>
      <c r="PVZ300" s="135"/>
      <c r="PWA300" s="135"/>
      <c r="PWB300" s="173"/>
      <c r="PWC300" s="173"/>
      <c r="PWD300" s="173"/>
      <c r="PWE300" s="173"/>
      <c r="PWF300" s="173"/>
      <c r="PWG300" s="173"/>
      <c r="PWH300" s="173"/>
      <c r="PWI300" s="173"/>
      <c r="PWJ300" s="173"/>
      <c r="PWK300" s="173"/>
      <c r="PWL300" s="125"/>
      <c r="PWM300" s="125"/>
      <c r="PWN300" s="134"/>
      <c r="PWO300" s="135"/>
      <c r="PWP300" s="135"/>
      <c r="PWQ300" s="135"/>
      <c r="PWR300" s="135"/>
      <c r="PWS300" s="173"/>
      <c r="PWT300" s="173"/>
      <c r="PWU300" s="173"/>
      <c r="PWV300" s="173"/>
      <c r="PWW300" s="173"/>
      <c r="PWX300" s="173"/>
      <c r="PWY300" s="173"/>
      <c r="PWZ300" s="173"/>
      <c r="PXA300" s="173"/>
      <c r="PXB300" s="173"/>
      <c r="PXC300" s="125"/>
      <c r="PXD300" s="125"/>
      <c r="PXE300" s="134"/>
      <c r="PXF300" s="135"/>
      <c r="PXG300" s="135"/>
      <c r="PXH300" s="135"/>
      <c r="PXI300" s="135"/>
      <c r="PXJ300" s="173"/>
      <c r="PXK300" s="173"/>
      <c r="PXL300" s="173"/>
      <c r="PXM300" s="173"/>
      <c r="PXN300" s="173"/>
      <c r="PXO300" s="173"/>
      <c r="PXP300" s="173"/>
      <c r="PXQ300" s="173"/>
      <c r="PXR300" s="173"/>
      <c r="PXS300" s="173"/>
      <c r="PXT300" s="125"/>
      <c r="PXU300" s="125"/>
      <c r="PXV300" s="134"/>
      <c r="PXW300" s="135"/>
      <c r="PXX300" s="135"/>
      <c r="PXY300" s="135"/>
      <c r="PXZ300" s="135"/>
      <c r="PYA300" s="173"/>
      <c r="PYB300" s="173"/>
      <c r="PYC300" s="173"/>
      <c r="PYD300" s="173"/>
      <c r="PYE300" s="173"/>
      <c r="PYF300" s="173"/>
      <c r="PYG300" s="173"/>
      <c r="PYH300" s="173"/>
      <c r="PYI300" s="173"/>
      <c r="PYJ300" s="173"/>
      <c r="PYK300" s="125"/>
      <c r="PYL300" s="125"/>
      <c r="PYM300" s="134"/>
      <c r="PYN300" s="135"/>
      <c r="PYO300" s="135"/>
      <c r="PYP300" s="135"/>
      <c r="PYQ300" s="135"/>
      <c r="PYR300" s="173"/>
      <c r="PYS300" s="173"/>
      <c r="PYT300" s="173"/>
      <c r="PYU300" s="173"/>
      <c r="PYV300" s="173"/>
      <c r="PYW300" s="173"/>
      <c r="PYX300" s="173"/>
      <c r="PYY300" s="173"/>
      <c r="PYZ300" s="173"/>
      <c r="PZA300" s="173"/>
      <c r="PZB300" s="125"/>
      <c r="PZC300" s="125"/>
      <c r="PZD300" s="134"/>
      <c r="PZE300" s="135"/>
      <c r="PZF300" s="135"/>
      <c r="PZG300" s="135"/>
      <c r="PZH300" s="135"/>
      <c r="PZI300" s="173"/>
      <c r="PZJ300" s="173"/>
      <c r="PZK300" s="173"/>
      <c r="PZL300" s="173"/>
      <c r="PZM300" s="173"/>
      <c r="PZN300" s="173"/>
      <c r="PZO300" s="173"/>
      <c r="PZP300" s="173"/>
      <c r="PZQ300" s="173"/>
      <c r="PZR300" s="173"/>
      <c r="PZS300" s="125"/>
      <c r="PZT300" s="125"/>
      <c r="PZU300" s="134"/>
      <c r="PZV300" s="135"/>
      <c r="PZW300" s="135"/>
      <c r="PZX300" s="135"/>
      <c r="PZY300" s="135"/>
      <c r="PZZ300" s="173"/>
      <c r="QAA300" s="173"/>
      <c r="QAB300" s="173"/>
      <c r="QAC300" s="173"/>
      <c r="QAD300" s="173"/>
      <c r="QAE300" s="173"/>
      <c r="QAF300" s="173"/>
      <c r="QAG300" s="173"/>
      <c r="QAH300" s="173"/>
      <c r="QAI300" s="173"/>
      <c r="QAJ300" s="125"/>
      <c r="QAK300" s="125"/>
      <c r="QAL300" s="134"/>
      <c r="QAM300" s="135"/>
      <c r="QAN300" s="135"/>
      <c r="QAO300" s="135"/>
      <c r="QAP300" s="135"/>
      <c r="QAQ300" s="173"/>
      <c r="QAR300" s="173"/>
      <c r="QAS300" s="173"/>
      <c r="QAT300" s="173"/>
      <c r="QAU300" s="173"/>
      <c r="QAV300" s="173"/>
      <c r="QAW300" s="173"/>
      <c r="QAX300" s="173"/>
      <c r="QAY300" s="173"/>
      <c r="QAZ300" s="173"/>
      <c r="QBA300" s="125"/>
      <c r="QBB300" s="125"/>
      <c r="QBC300" s="134"/>
      <c r="QBD300" s="135"/>
      <c r="QBE300" s="135"/>
      <c r="QBF300" s="135"/>
      <c r="QBG300" s="135"/>
      <c r="QBH300" s="173"/>
      <c r="QBI300" s="173"/>
      <c r="QBJ300" s="173"/>
      <c r="QBK300" s="173"/>
      <c r="QBL300" s="173"/>
      <c r="QBM300" s="173"/>
      <c r="QBN300" s="173"/>
      <c r="QBO300" s="173"/>
      <c r="QBP300" s="173"/>
      <c r="QBQ300" s="173"/>
      <c r="QBR300" s="125"/>
      <c r="QBS300" s="125"/>
      <c r="QBT300" s="134"/>
      <c r="QBU300" s="135"/>
      <c r="QBV300" s="135"/>
      <c r="QBW300" s="135"/>
      <c r="QBX300" s="135"/>
      <c r="QBY300" s="173"/>
      <c r="QBZ300" s="173"/>
      <c r="QCA300" s="173"/>
      <c r="QCB300" s="173"/>
      <c r="QCC300" s="173"/>
      <c r="QCD300" s="173"/>
      <c r="QCE300" s="173"/>
      <c r="QCF300" s="173"/>
      <c r="QCG300" s="173"/>
      <c r="QCH300" s="173"/>
      <c r="QCI300" s="125"/>
      <c r="QCJ300" s="125"/>
      <c r="QCK300" s="134"/>
      <c r="QCL300" s="135"/>
      <c r="QCM300" s="135"/>
      <c r="QCN300" s="135"/>
      <c r="QCO300" s="135"/>
      <c r="QCP300" s="173"/>
      <c r="QCQ300" s="173"/>
      <c r="QCR300" s="173"/>
      <c r="QCS300" s="173"/>
      <c r="QCT300" s="173"/>
      <c r="QCU300" s="173"/>
      <c r="QCV300" s="173"/>
      <c r="QCW300" s="173"/>
      <c r="QCX300" s="173"/>
      <c r="QCY300" s="173"/>
      <c r="QCZ300" s="125"/>
      <c r="QDA300" s="125"/>
      <c r="QDB300" s="134"/>
      <c r="QDC300" s="135"/>
      <c r="QDD300" s="135"/>
      <c r="QDE300" s="135"/>
      <c r="QDF300" s="135"/>
      <c r="QDG300" s="173"/>
      <c r="QDH300" s="173"/>
      <c r="QDI300" s="173"/>
      <c r="QDJ300" s="173"/>
      <c r="QDK300" s="173"/>
      <c r="QDL300" s="173"/>
      <c r="QDM300" s="173"/>
      <c r="QDN300" s="173"/>
      <c r="QDO300" s="173"/>
      <c r="QDP300" s="173"/>
      <c r="QDQ300" s="125"/>
      <c r="QDR300" s="125"/>
      <c r="QDS300" s="134"/>
      <c r="QDT300" s="135"/>
      <c r="QDU300" s="135"/>
      <c r="QDV300" s="135"/>
      <c r="QDW300" s="135"/>
      <c r="QDX300" s="173"/>
      <c r="QDY300" s="173"/>
      <c r="QDZ300" s="173"/>
      <c r="QEA300" s="173"/>
      <c r="QEB300" s="173"/>
      <c r="QEC300" s="173"/>
      <c r="QED300" s="173"/>
      <c r="QEE300" s="173"/>
      <c r="QEF300" s="173"/>
      <c r="QEG300" s="173"/>
      <c r="QEH300" s="125"/>
      <c r="QEI300" s="125"/>
      <c r="QEJ300" s="134"/>
      <c r="QEK300" s="135"/>
      <c r="QEL300" s="135"/>
      <c r="QEM300" s="135"/>
      <c r="QEN300" s="135"/>
      <c r="QEO300" s="173"/>
      <c r="QEP300" s="173"/>
      <c r="QEQ300" s="173"/>
      <c r="QER300" s="173"/>
      <c r="QES300" s="173"/>
      <c r="QET300" s="173"/>
      <c r="QEU300" s="173"/>
      <c r="QEV300" s="173"/>
      <c r="QEW300" s="173"/>
      <c r="QEX300" s="173"/>
      <c r="QEY300" s="125"/>
      <c r="QEZ300" s="125"/>
      <c r="QFA300" s="134"/>
      <c r="QFB300" s="135"/>
      <c r="QFC300" s="135"/>
      <c r="QFD300" s="135"/>
      <c r="QFE300" s="135"/>
      <c r="QFF300" s="173"/>
      <c r="QFG300" s="173"/>
      <c r="QFH300" s="173"/>
      <c r="QFI300" s="173"/>
      <c r="QFJ300" s="173"/>
      <c r="QFK300" s="173"/>
      <c r="QFL300" s="173"/>
      <c r="QFM300" s="173"/>
      <c r="QFN300" s="173"/>
      <c r="QFO300" s="173"/>
      <c r="QFP300" s="125"/>
      <c r="QFQ300" s="125"/>
      <c r="QFR300" s="134"/>
      <c r="QFS300" s="135"/>
      <c r="QFT300" s="135"/>
      <c r="QFU300" s="135"/>
      <c r="QFV300" s="135"/>
      <c r="QFW300" s="173"/>
      <c r="QFX300" s="173"/>
      <c r="QFY300" s="173"/>
      <c r="QFZ300" s="173"/>
      <c r="QGA300" s="173"/>
      <c r="QGB300" s="173"/>
      <c r="QGC300" s="173"/>
      <c r="QGD300" s="173"/>
      <c r="QGE300" s="173"/>
      <c r="QGF300" s="173"/>
      <c r="QGG300" s="125"/>
      <c r="QGH300" s="125"/>
      <c r="QGI300" s="134"/>
      <c r="QGJ300" s="135"/>
      <c r="QGK300" s="135"/>
      <c r="QGL300" s="135"/>
      <c r="QGM300" s="135"/>
      <c r="QGN300" s="173"/>
      <c r="QGO300" s="173"/>
      <c r="QGP300" s="173"/>
      <c r="QGQ300" s="173"/>
      <c r="QGR300" s="173"/>
      <c r="QGS300" s="173"/>
      <c r="QGT300" s="173"/>
      <c r="QGU300" s="173"/>
      <c r="QGV300" s="173"/>
      <c r="QGW300" s="173"/>
      <c r="QGX300" s="125"/>
      <c r="QGY300" s="125"/>
      <c r="QGZ300" s="134"/>
      <c r="QHA300" s="135"/>
      <c r="QHB300" s="135"/>
      <c r="QHC300" s="135"/>
      <c r="QHD300" s="135"/>
      <c r="QHE300" s="173"/>
      <c r="QHF300" s="173"/>
      <c r="QHG300" s="173"/>
      <c r="QHH300" s="173"/>
      <c r="QHI300" s="173"/>
      <c r="QHJ300" s="173"/>
      <c r="QHK300" s="173"/>
      <c r="QHL300" s="173"/>
      <c r="QHM300" s="173"/>
      <c r="QHN300" s="173"/>
      <c r="QHO300" s="125"/>
      <c r="QHP300" s="125"/>
      <c r="QHQ300" s="134"/>
      <c r="QHR300" s="135"/>
      <c r="QHS300" s="135"/>
      <c r="QHT300" s="135"/>
      <c r="QHU300" s="135"/>
      <c r="QHV300" s="173"/>
      <c r="QHW300" s="173"/>
      <c r="QHX300" s="173"/>
      <c r="QHY300" s="173"/>
      <c r="QHZ300" s="173"/>
      <c r="QIA300" s="173"/>
      <c r="QIB300" s="173"/>
      <c r="QIC300" s="173"/>
      <c r="QID300" s="173"/>
      <c r="QIE300" s="173"/>
      <c r="QIF300" s="125"/>
      <c r="QIG300" s="125"/>
      <c r="QIH300" s="134"/>
      <c r="QII300" s="135"/>
      <c r="QIJ300" s="135"/>
      <c r="QIK300" s="135"/>
      <c r="QIL300" s="135"/>
      <c r="QIM300" s="173"/>
      <c r="QIN300" s="173"/>
      <c r="QIO300" s="173"/>
      <c r="QIP300" s="173"/>
      <c r="QIQ300" s="173"/>
      <c r="QIR300" s="173"/>
      <c r="QIS300" s="173"/>
      <c r="QIT300" s="173"/>
      <c r="QIU300" s="173"/>
      <c r="QIV300" s="173"/>
      <c r="QIW300" s="125"/>
      <c r="QIX300" s="125"/>
      <c r="QIY300" s="134"/>
      <c r="QIZ300" s="135"/>
      <c r="QJA300" s="135"/>
      <c r="QJB300" s="135"/>
      <c r="QJC300" s="135"/>
      <c r="QJD300" s="173"/>
      <c r="QJE300" s="173"/>
      <c r="QJF300" s="173"/>
      <c r="QJG300" s="173"/>
      <c r="QJH300" s="173"/>
      <c r="QJI300" s="173"/>
      <c r="QJJ300" s="173"/>
      <c r="QJK300" s="173"/>
      <c r="QJL300" s="173"/>
      <c r="QJM300" s="173"/>
      <c r="QJN300" s="125"/>
      <c r="QJO300" s="125"/>
      <c r="QJP300" s="134"/>
      <c r="QJQ300" s="135"/>
      <c r="QJR300" s="135"/>
      <c r="QJS300" s="135"/>
      <c r="QJT300" s="135"/>
      <c r="QJU300" s="173"/>
      <c r="QJV300" s="173"/>
      <c r="QJW300" s="173"/>
      <c r="QJX300" s="173"/>
      <c r="QJY300" s="173"/>
      <c r="QJZ300" s="173"/>
      <c r="QKA300" s="173"/>
      <c r="QKB300" s="173"/>
      <c r="QKC300" s="173"/>
      <c r="QKD300" s="173"/>
      <c r="QKE300" s="125"/>
      <c r="QKF300" s="125"/>
      <c r="QKG300" s="134"/>
      <c r="QKH300" s="135"/>
      <c r="QKI300" s="135"/>
      <c r="QKJ300" s="135"/>
      <c r="QKK300" s="135"/>
      <c r="QKL300" s="173"/>
      <c r="QKM300" s="173"/>
      <c r="QKN300" s="173"/>
      <c r="QKO300" s="173"/>
      <c r="QKP300" s="173"/>
      <c r="QKQ300" s="173"/>
      <c r="QKR300" s="173"/>
      <c r="QKS300" s="173"/>
      <c r="QKT300" s="173"/>
      <c r="QKU300" s="173"/>
      <c r="QKV300" s="125"/>
      <c r="QKW300" s="125"/>
      <c r="QKX300" s="134"/>
      <c r="QKY300" s="135"/>
      <c r="QKZ300" s="135"/>
      <c r="QLA300" s="135"/>
      <c r="QLB300" s="135"/>
      <c r="QLC300" s="173"/>
      <c r="QLD300" s="173"/>
      <c r="QLE300" s="173"/>
      <c r="QLF300" s="173"/>
      <c r="QLG300" s="173"/>
      <c r="QLH300" s="173"/>
      <c r="QLI300" s="173"/>
      <c r="QLJ300" s="173"/>
      <c r="QLK300" s="173"/>
      <c r="QLL300" s="173"/>
      <c r="QLM300" s="125"/>
      <c r="QLN300" s="125"/>
      <c r="QLO300" s="134"/>
      <c r="QLP300" s="135"/>
      <c r="QLQ300" s="135"/>
      <c r="QLR300" s="135"/>
      <c r="QLS300" s="135"/>
      <c r="QLT300" s="173"/>
      <c r="QLU300" s="173"/>
      <c r="QLV300" s="173"/>
      <c r="QLW300" s="173"/>
      <c r="QLX300" s="173"/>
      <c r="QLY300" s="173"/>
      <c r="QLZ300" s="173"/>
      <c r="QMA300" s="173"/>
      <c r="QMB300" s="173"/>
      <c r="QMC300" s="173"/>
      <c r="QMD300" s="125"/>
      <c r="QME300" s="125"/>
      <c r="QMF300" s="134"/>
      <c r="QMG300" s="135"/>
      <c r="QMH300" s="135"/>
      <c r="QMI300" s="135"/>
      <c r="QMJ300" s="135"/>
      <c r="QMK300" s="173"/>
      <c r="QML300" s="173"/>
      <c r="QMM300" s="173"/>
      <c r="QMN300" s="173"/>
      <c r="QMO300" s="173"/>
      <c r="QMP300" s="173"/>
      <c r="QMQ300" s="173"/>
      <c r="QMR300" s="173"/>
      <c r="QMS300" s="173"/>
      <c r="QMT300" s="173"/>
      <c r="QMU300" s="125"/>
      <c r="QMV300" s="125"/>
      <c r="QMW300" s="134"/>
      <c r="QMX300" s="135"/>
      <c r="QMY300" s="135"/>
      <c r="QMZ300" s="135"/>
      <c r="QNA300" s="135"/>
      <c r="QNB300" s="173"/>
      <c r="QNC300" s="173"/>
      <c r="QND300" s="173"/>
      <c r="QNE300" s="173"/>
      <c r="QNF300" s="173"/>
      <c r="QNG300" s="173"/>
      <c r="QNH300" s="173"/>
      <c r="QNI300" s="173"/>
      <c r="QNJ300" s="173"/>
      <c r="QNK300" s="173"/>
      <c r="QNL300" s="125"/>
      <c r="QNM300" s="125"/>
      <c r="QNN300" s="134"/>
      <c r="QNO300" s="135"/>
      <c r="QNP300" s="135"/>
      <c r="QNQ300" s="135"/>
      <c r="QNR300" s="135"/>
      <c r="QNS300" s="173"/>
      <c r="QNT300" s="173"/>
      <c r="QNU300" s="173"/>
      <c r="QNV300" s="173"/>
      <c r="QNW300" s="173"/>
      <c r="QNX300" s="173"/>
      <c r="QNY300" s="173"/>
      <c r="QNZ300" s="173"/>
      <c r="QOA300" s="173"/>
      <c r="QOB300" s="173"/>
      <c r="QOC300" s="125"/>
      <c r="QOD300" s="125"/>
      <c r="QOE300" s="134"/>
      <c r="QOF300" s="135"/>
      <c r="QOG300" s="135"/>
      <c r="QOH300" s="135"/>
      <c r="QOI300" s="135"/>
      <c r="QOJ300" s="173"/>
      <c r="QOK300" s="173"/>
      <c r="QOL300" s="173"/>
      <c r="QOM300" s="173"/>
      <c r="QON300" s="173"/>
      <c r="QOO300" s="173"/>
      <c r="QOP300" s="173"/>
      <c r="QOQ300" s="173"/>
      <c r="QOR300" s="173"/>
      <c r="QOS300" s="173"/>
      <c r="QOT300" s="125"/>
      <c r="QOU300" s="125"/>
      <c r="QOV300" s="134"/>
      <c r="QOW300" s="135"/>
      <c r="QOX300" s="135"/>
      <c r="QOY300" s="135"/>
      <c r="QOZ300" s="135"/>
      <c r="QPA300" s="173"/>
      <c r="QPB300" s="173"/>
      <c r="QPC300" s="173"/>
      <c r="QPD300" s="173"/>
      <c r="QPE300" s="173"/>
      <c r="QPF300" s="173"/>
      <c r="QPG300" s="173"/>
      <c r="QPH300" s="173"/>
      <c r="QPI300" s="173"/>
      <c r="QPJ300" s="173"/>
      <c r="QPK300" s="125"/>
      <c r="QPL300" s="125"/>
      <c r="QPM300" s="134"/>
      <c r="QPN300" s="135"/>
      <c r="QPO300" s="135"/>
      <c r="QPP300" s="135"/>
      <c r="QPQ300" s="135"/>
      <c r="QPR300" s="173"/>
      <c r="QPS300" s="173"/>
      <c r="QPT300" s="173"/>
      <c r="QPU300" s="173"/>
      <c r="QPV300" s="173"/>
      <c r="QPW300" s="173"/>
      <c r="QPX300" s="173"/>
      <c r="QPY300" s="173"/>
      <c r="QPZ300" s="173"/>
      <c r="QQA300" s="173"/>
      <c r="QQB300" s="125"/>
      <c r="QQC300" s="125"/>
      <c r="QQD300" s="134"/>
      <c r="QQE300" s="135"/>
      <c r="QQF300" s="135"/>
      <c r="QQG300" s="135"/>
      <c r="QQH300" s="135"/>
      <c r="QQI300" s="173"/>
      <c r="QQJ300" s="173"/>
      <c r="QQK300" s="173"/>
      <c r="QQL300" s="173"/>
      <c r="QQM300" s="173"/>
      <c r="QQN300" s="173"/>
      <c r="QQO300" s="173"/>
      <c r="QQP300" s="173"/>
      <c r="QQQ300" s="173"/>
      <c r="QQR300" s="173"/>
      <c r="QQS300" s="125"/>
      <c r="QQT300" s="125"/>
      <c r="QQU300" s="134"/>
      <c r="QQV300" s="135"/>
      <c r="QQW300" s="135"/>
      <c r="QQX300" s="135"/>
      <c r="QQY300" s="135"/>
      <c r="QQZ300" s="173"/>
      <c r="QRA300" s="173"/>
      <c r="QRB300" s="173"/>
      <c r="QRC300" s="173"/>
      <c r="QRD300" s="173"/>
      <c r="QRE300" s="173"/>
      <c r="QRF300" s="173"/>
      <c r="QRG300" s="173"/>
      <c r="QRH300" s="173"/>
      <c r="QRI300" s="173"/>
      <c r="QRJ300" s="125"/>
      <c r="QRK300" s="125"/>
      <c r="QRL300" s="134"/>
      <c r="QRM300" s="135"/>
      <c r="QRN300" s="135"/>
      <c r="QRO300" s="135"/>
      <c r="QRP300" s="135"/>
      <c r="QRQ300" s="173"/>
      <c r="QRR300" s="173"/>
      <c r="QRS300" s="173"/>
      <c r="QRT300" s="173"/>
      <c r="QRU300" s="173"/>
      <c r="QRV300" s="173"/>
      <c r="QRW300" s="173"/>
      <c r="QRX300" s="173"/>
      <c r="QRY300" s="173"/>
      <c r="QRZ300" s="173"/>
      <c r="QSA300" s="125"/>
      <c r="QSB300" s="125"/>
      <c r="QSC300" s="134"/>
      <c r="QSD300" s="135"/>
      <c r="QSE300" s="135"/>
      <c r="QSF300" s="135"/>
      <c r="QSG300" s="135"/>
      <c r="QSH300" s="173"/>
      <c r="QSI300" s="173"/>
      <c r="QSJ300" s="173"/>
      <c r="QSK300" s="173"/>
      <c r="QSL300" s="173"/>
      <c r="QSM300" s="173"/>
      <c r="QSN300" s="173"/>
      <c r="QSO300" s="173"/>
      <c r="QSP300" s="173"/>
      <c r="QSQ300" s="173"/>
      <c r="QSR300" s="125"/>
      <c r="QSS300" s="125"/>
      <c r="QST300" s="134"/>
      <c r="QSU300" s="135"/>
      <c r="QSV300" s="135"/>
      <c r="QSW300" s="135"/>
      <c r="QSX300" s="135"/>
      <c r="QSY300" s="173"/>
      <c r="QSZ300" s="173"/>
      <c r="QTA300" s="173"/>
      <c r="QTB300" s="173"/>
      <c r="QTC300" s="173"/>
      <c r="QTD300" s="173"/>
      <c r="QTE300" s="173"/>
      <c r="QTF300" s="173"/>
      <c r="QTG300" s="173"/>
      <c r="QTH300" s="173"/>
      <c r="QTI300" s="125"/>
      <c r="QTJ300" s="125"/>
      <c r="QTK300" s="134"/>
      <c r="QTL300" s="135"/>
      <c r="QTM300" s="135"/>
      <c r="QTN300" s="135"/>
      <c r="QTO300" s="135"/>
      <c r="QTP300" s="173"/>
      <c r="QTQ300" s="173"/>
      <c r="QTR300" s="173"/>
      <c r="QTS300" s="173"/>
      <c r="QTT300" s="173"/>
      <c r="QTU300" s="173"/>
      <c r="QTV300" s="173"/>
      <c r="QTW300" s="173"/>
      <c r="QTX300" s="173"/>
      <c r="QTY300" s="173"/>
      <c r="QTZ300" s="125"/>
      <c r="QUA300" s="125"/>
      <c r="QUB300" s="134"/>
      <c r="QUC300" s="135"/>
      <c r="QUD300" s="135"/>
      <c r="QUE300" s="135"/>
      <c r="QUF300" s="135"/>
      <c r="QUG300" s="173"/>
      <c r="QUH300" s="173"/>
      <c r="QUI300" s="173"/>
      <c r="QUJ300" s="173"/>
      <c r="QUK300" s="173"/>
      <c r="QUL300" s="173"/>
      <c r="QUM300" s="173"/>
      <c r="QUN300" s="173"/>
      <c r="QUO300" s="173"/>
      <c r="QUP300" s="173"/>
      <c r="QUQ300" s="125"/>
      <c r="QUR300" s="125"/>
      <c r="QUS300" s="134"/>
      <c r="QUT300" s="135"/>
      <c r="QUU300" s="135"/>
      <c r="QUV300" s="135"/>
      <c r="QUW300" s="135"/>
      <c r="QUX300" s="173"/>
      <c r="QUY300" s="173"/>
      <c r="QUZ300" s="173"/>
      <c r="QVA300" s="173"/>
      <c r="QVB300" s="173"/>
      <c r="QVC300" s="173"/>
      <c r="QVD300" s="173"/>
      <c r="QVE300" s="173"/>
      <c r="QVF300" s="173"/>
      <c r="QVG300" s="173"/>
      <c r="QVH300" s="125"/>
      <c r="QVI300" s="125"/>
      <c r="QVJ300" s="134"/>
      <c r="QVK300" s="135"/>
      <c r="QVL300" s="135"/>
      <c r="QVM300" s="135"/>
      <c r="QVN300" s="135"/>
      <c r="QVO300" s="173"/>
      <c r="QVP300" s="173"/>
      <c r="QVQ300" s="173"/>
      <c r="QVR300" s="173"/>
      <c r="QVS300" s="173"/>
      <c r="QVT300" s="173"/>
      <c r="QVU300" s="173"/>
      <c r="QVV300" s="173"/>
      <c r="QVW300" s="173"/>
      <c r="QVX300" s="173"/>
      <c r="QVY300" s="125"/>
      <c r="QVZ300" s="125"/>
      <c r="QWA300" s="134"/>
      <c r="QWB300" s="135"/>
      <c r="QWC300" s="135"/>
      <c r="QWD300" s="135"/>
      <c r="QWE300" s="135"/>
      <c r="QWF300" s="173"/>
      <c r="QWG300" s="173"/>
      <c r="QWH300" s="173"/>
      <c r="QWI300" s="173"/>
      <c r="QWJ300" s="173"/>
      <c r="QWK300" s="173"/>
      <c r="QWL300" s="173"/>
      <c r="QWM300" s="173"/>
      <c r="QWN300" s="173"/>
      <c r="QWO300" s="173"/>
      <c r="QWP300" s="125"/>
      <c r="QWQ300" s="125"/>
      <c r="QWR300" s="134"/>
      <c r="QWS300" s="135"/>
      <c r="QWT300" s="135"/>
      <c r="QWU300" s="135"/>
      <c r="QWV300" s="135"/>
      <c r="QWW300" s="173"/>
      <c r="QWX300" s="173"/>
      <c r="QWY300" s="173"/>
      <c r="QWZ300" s="173"/>
      <c r="QXA300" s="173"/>
      <c r="QXB300" s="173"/>
      <c r="QXC300" s="173"/>
      <c r="QXD300" s="173"/>
      <c r="QXE300" s="173"/>
      <c r="QXF300" s="173"/>
      <c r="QXG300" s="125"/>
      <c r="QXH300" s="125"/>
      <c r="QXI300" s="134"/>
      <c r="QXJ300" s="135"/>
      <c r="QXK300" s="135"/>
      <c r="QXL300" s="135"/>
      <c r="QXM300" s="135"/>
      <c r="QXN300" s="173"/>
      <c r="QXO300" s="173"/>
      <c r="QXP300" s="173"/>
      <c r="QXQ300" s="173"/>
      <c r="QXR300" s="173"/>
      <c r="QXS300" s="173"/>
      <c r="QXT300" s="173"/>
      <c r="QXU300" s="173"/>
      <c r="QXV300" s="173"/>
      <c r="QXW300" s="173"/>
      <c r="QXX300" s="125"/>
      <c r="QXY300" s="125"/>
      <c r="QXZ300" s="134"/>
      <c r="QYA300" s="135"/>
      <c r="QYB300" s="135"/>
      <c r="QYC300" s="135"/>
      <c r="QYD300" s="135"/>
      <c r="QYE300" s="173"/>
      <c r="QYF300" s="173"/>
      <c r="QYG300" s="173"/>
      <c r="QYH300" s="173"/>
      <c r="QYI300" s="173"/>
      <c r="QYJ300" s="173"/>
      <c r="QYK300" s="173"/>
      <c r="QYL300" s="173"/>
      <c r="QYM300" s="173"/>
      <c r="QYN300" s="173"/>
      <c r="QYO300" s="125"/>
      <c r="QYP300" s="125"/>
      <c r="QYQ300" s="134"/>
      <c r="QYR300" s="135"/>
      <c r="QYS300" s="135"/>
      <c r="QYT300" s="135"/>
      <c r="QYU300" s="135"/>
      <c r="QYV300" s="173"/>
      <c r="QYW300" s="173"/>
      <c r="QYX300" s="173"/>
      <c r="QYY300" s="173"/>
      <c r="QYZ300" s="173"/>
      <c r="QZA300" s="173"/>
      <c r="QZB300" s="173"/>
      <c r="QZC300" s="173"/>
      <c r="QZD300" s="173"/>
      <c r="QZE300" s="173"/>
      <c r="QZF300" s="125"/>
      <c r="QZG300" s="125"/>
      <c r="QZH300" s="134"/>
      <c r="QZI300" s="135"/>
      <c r="QZJ300" s="135"/>
      <c r="QZK300" s="135"/>
      <c r="QZL300" s="135"/>
      <c r="QZM300" s="173"/>
      <c r="QZN300" s="173"/>
      <c r="QZO300" s="173"/>
      <c r="QZP300" s="173"/>
      <c r="QZQ300" s="173"/>
      <c r="QZR300" s="173"/>
      <c r="QZS300" s="173"/>
      <c r="QZT300" s="173"/>
      <c r="QZU300" s="173"/>
      <c r="QZV300" s="173"/>
      <c r="QZW300" s="125"/>
      <c r="QZX300" s="125"/>
      <c r="QZY300" s="134"/>
      <c r="QZZ300" s="135"/>
      <c r="RAA300" s="135"/>
      <c r="RAB300" s="135"/>
      <c r="RAC300" s="135"/>
      <c r="RAD300" s="173"/>
      <c r="RAE300" s="173"/>
      <c r="RAF300" s="173"/>
      <c r="RAG300" s="173"/>
      <c r="RAH300" s="173"/>
      <c r="RAI300" s="173"/>
      <c r="RAJ300" s="173"/>
      <c r="RAK300" s="173"/>
      <c r="RAL300" s="173"/>
      <c r="RAM300" s="173"/>
      <c r="RAN300" s="125"/>
      <c r="RAO300" s="125"/>
      <c r="RAP300" s="134"/>
      <c r="RAQ300" s="135"/>
      <c r="RAR300" s="135"/>
      <c r="RAS300" s="135"/>
      <c r="RAT300" s="135"/>
      <c r="RAU300" s="173"/>
      <c r="RAV300" s="173"/>
      <c r="RAW300" s="173"/>
      <c r="RAX300" s="173"/>
      <c r="RAY300" s="173"/>
      <c r="RAZ300" s="173"/>
      <c r="RBA300" s="173"/>
      <c r="RBB300" s="173"/>
      <c r="RBC300" s="173"/>
      <c r="RBD300" s="173"/>
      <c r="RBE300" s="125"/>
      <c r="RBF300" s="125"/>
      <c r="RBG300" s="134"/>
      <c r="RBH300" s="135"/>
      <c r="RBI300" s="135"/>
      <c r="RBJ300" s="135"/>
      <c r="RBK300" s="135"/>
      <c r="RBL300" s="173"/>
      <c r="RBM300" s="173"/>
      <c r="RBN300" s="173"/>
      <c r="RBO300" s="173"/>
      <c r="RBP300" s="173"/>
      <c r="RBQ300" s="173"/>
      <c r="RBR300" s="173"/>
      <c r="RBS300" s="173"/>
      <c r="RBT300" s="173"/>
      <c r="RBU300" s="173"/>
      <c r="RBV300" s="125"/>
      <c r="RBW300" s="125"/>
      <c r="RBX300" s="134"/>
      <c r="RBY300" s="135"/>
      <c r="RBZ300" s="135"/>
      <c r="RCA300" s="135"/>
      <c r="RCB300" s="135"/>
      <c r="RCC300" s="173"/>
      <c r="RCD300" s="173"/>
      <c r="RCE300" s="173"/>
      <c r="RCF300" s="173"/>
      <c r="RCG300" s="173"/>
      <c r="RCH300" s="173"/>
      <c r="RCI300" s="173"/>
      <c r="RCJ300" s="173"/>
      <c r="RCK300" s="173"/>
      <c r="RCL300" s="173"/>
      <c r="RCM300" s="125"/>
      <c r="RCN300" s="125"/>
      <c r="RCO300" s="134"/>
      <c r="RCP300" s="135"/>
      <c r="RCQ300" s="135"/>
      <c r="RCR300" s="135"/>
      <c r="RCS300" s="135"/>
      <c r="RCT300" s="173"/>
      <c r="RCU300" s="173"/>
      <c r="RCV300" s="173"/>
      <c r="RCW300" s="173"/>
      <c r="RCX300" s="173"/>
      <c r="RCY300" s="173"/>
      <c r="RCZ300" s="173"/>
      <c r="RDA300" s="173"/>
      <c r="RDB300" s="173"/>
      <c r="RDC300" s="173"/>
      <c r="RDD300" s="125"/>
      <c r="RDE300" s="125"/>
      <c r="RDF300" s="134"/>
      <c r="RDG300" s="135"/>
      <c r="RDH300" s="135"/>
      <c r="RDI300" s="135"/>
      <c r="RDJ300" s="135"/>
      <c r="RDK300" s="173"/>
      <c r="RDL300" s="173"/>
      <c r="RDM300" s="173"/>
      <c r="RDN300" s="173"/>
      <c r="RDO300" s="173"/>
      <c r="RDP300" s="173"/>
      <c r="RDQ300" s="173"/>
      <c r="RDR300" s="173"/>
      <c r="RDS300" s="173"/>
      <c r="RDT300" s="173"/>
      <c r="RDU300" s="125"/>
      <c r="RDV300" s="125"/>
      <c r="RDW300" s="134"/>
      <c r="RDX300" s="135"/>
      <c r="RDY300" s="135"/>
      <c r="RDZ300" s="135"/>
      <c r="REA300" s="135"/>
      <c r="REB300" s="173"/>
      <c r="REC300" s="173"/>
      <c r="RED300" s="173"/>
      <c r="REE300" s="173"/>
      <c r="REF300" s="173"/>
      <c r="REG300" s="173"/>
      <c r="REH300" s="173"/>
      <c r="REI300" s="173"/>
      <c r="REJ300" s="173"/>
      <c r="REK300" s="173"/>
      <c r="REL300" s="125"/>
      <c r="REM300" s="125"/>
      <c r="REN300" s="134"/>
      <c r="REO300" s="135"/>
      <c r="REP300" s="135"/>
      <c r="REQ300" s="135"/>
      <c r="RER300" s="135"/>
      <c r="RES300" s="173"/>
      <c r="RET300" s="173"/>
      <c r="REU300" s="173"/>
      <c r="REV300" s="173"/>
      <c r="REW300" s="173"/>
      <c r="REX300" s="173"/>
      <c r="REY300" s="173"/>
      <c r="REZ300" s="173"/>
      <c r="RFA300" s="173"/>
      <c r="RFB300" s="173"/>
      <c r="RFC300" s="125"/>
      <c r="RFD300" s="125"/>
      <c r="RFE300" s="134"/>
      <c r="RFF300" s="135"/>
      <c r="RFG300" s="135"/>
      <c r="RFH300" s="135"/>
      <c r="RFI300" s="135"/>
      <c r="RFJ300" s="173"/>
      <c r="RFK300" s="173"/>
      <c r="RFL300" s="173"/>
      <c r="RFM300" s="173"/>
      <c r="RFN300" s="173"/>
      <c r="RFO300" s="173"/>
      <c r="RFP300" s="173"/>
      <c r="RFQ300" s="173"/>
      <c r="RFR300" s="173"/>
      <c r="RFS300" s="173"/>
      <c r="RFT300" s="125"/>
      <c r="RFU300" s="125"/>
      <c r="RFV300" s="134"/>
      <c r="RFW300" s="135"/>
      <c r="RFX300" s="135"/>
      <c r="RFY300" s="135"/>
      <c r="RFZ300" s="135"/>
      <c r="RGA300" s="173"/>
      <c r="RGB300" s="173"/>
      <c r="RGC300" s="173"/>
      <c r="RGD300" s="173"/>
      <c r="RGE300" s="173"/>
      <c r="RGF300" s="173"/>
      <c r="RGG300" s="173"/>
      <c r="RGH300" s="173"/>
      <c r="RGI300" s="173"/>
      <c r="RGJ300" s="173"/>
      <c r="RGK300" s="125"/>
      <c r="RGL300" s="125"/>
      <c r="RGM300" s="134"/>
      <c r="RGN300" s="135"/>
      <c r="RGO300" s="135"/>
      <c r="RGP300" s="135"/>
      <c r="RGQ300" s="135"/>
      <c r="RGR300" s="173"/>
      <c r="RGS300" s="173"/>
      <c r="RGT300" s="173"/>
      <c r="RGU300" s="173"/>
      <c r="RGV300" s="173"/>
      <c r="RGW300" s="173"/>
      <c r="RGX300" s="173"/>
      <c r="RGY300" s="173"/>
      <c r="RGZ300" s="173"/>
      <c r="RHA300" s="173"/>
      <c r="RHB300" s="125"/>
      <c r="RHC300" s="125"/>
      <c r="RHD300" s="134"/>
      <c r="RHE300" s="135"/>
      <c r="RHF300" s="135"/>
      <c r="RHG300" s="135"/>
      <c r="RHH300" s="135"/>
      <c r="RHI300" s="173"/>
      <c r="RHJ300" s="173"/>
      <c r="RHK300" s="173"/>
      <c r="RHL300" s="173"/>
      <c r="RHM300" s="173"/>
      <c r="RHN300" s="173"/>
      <c r="RHO300" s="173"/>
      <c r="RHP300" s="173"/>
      <c r="RHQ300" s="173"/>
      <c r="RHR300" s="173"/>
      <c r="RHS300" s="125"/>
      <c r="RHT300" s="125"/>
      <c r="RHU300" s="134"/>
      <c r="RHV300" s="135"/>
      <c r="RHW300" s="135"/>
      <c r="RHX300" s="135"/>
      <c r="RHY300" s="135"/>
      <c r="RHZ300" s="173"/>
      <c r="RIA300" s="173"/>
      <c r="RIB300" s="173"/>
      <c r="RIC300" s="173"/>
      <c r="RID300" s="173"/>
      <c r="RIE300" s="173"/>
      <c r="RIF300" s="173"/>
      <c r="RIG300" s="173"/>
      <c r="RIH300" s="173"/>
      <c r="RII300" s="173"/>
      <c r="RIJ300" s="125"/>
      <c r="RIK300" s="125"/>
      <c r="RIL300" s="134"/>
      <c r="RIM300" s="135"/>
      <c r="RIN300" s="135"/>
      <c r="RIO300" s="135"/>
      <c r="RIP300" s="135"/>
      <c r="RIQ300" s="173"/>
      <c r="RIR300" s="173"/>
      <c r="RIS300" s="173"/>
      <c r="RIT300" s="173"/>
      <c r="RIU300" s="173"/>
      <c r="RIV300" s="173"/>
      <c r="RIW300" s="173"/>
      <c r="RIX300" s="173"/>
      <c r="RIY300" s="173"/>
      <c r="RIZ300" s="173"/>
      <c r="RJA300" s="125"/>
      <c r="RJB300" s="125"/>
      <c r="RJC300" s="134"/>
      <c r="RJD300" s="135"/>
      <c r="RJE300" s="135"/>
      <c r="RJF300" s="135"/>
      <c r="RJG300" s="135"/>
      <c r="RJH300" s="173"/>
      <c r="RJI300" s="173"/>
      <c r="RJJ300" s="173"/>
      <c r="RJK300" s="173"/>
      <c r="RJL300" s="173"/>
      <c r="RJM300" s="173"/>
      <c r="RJN300" s="173"/>
      <c r="RJO300" s="173"/>
      <c r="RJP300" s="173"/>
      <c r="RJQ300" s="173"/>
      <c r="RJR300" s="125"/>
      <c r="RJS300" s="125"/>
      <c r="RJT300" s="134"/>
      <c r="RJU300" s="135"/>
      <c r="RJV300" s="135"/>
      <c r="RJW300" s="135"/>
      <c r="RJX300" s="135"/>
      <c r="RJY300" s="173"/>
      <c r="RJZ300" s="173"/>
      <c r="RKA300" s="173"/>
      <c r="RKB300" s="173"/>
      <c r="RKC300" s="173"/>
      <c r="RKD300" s="173"/>
      <c r="RKE300" s="173"/>
      <c r="RKF300" s="173"/>
      <c r="RKG300" s="173"/>
      <c r="RKH300" s="173"/>
      <c r="RKI300" s="125"/>
      <c r="RKJ300" s="125"/>
      <c r="RKK300" s="134"/>
      <c r="RKL300" s="135"/>
      <c r="RKM300" s="135"/>
      <c r="RKN300" s="135"/>
      <c r="RKO300" s="135"/>
      <c r="RKP300" s="173"/>
      <c r="RKQ300" s="173"/>
      <c r="RKR300" s="173"/>
      <c r="RKS300" s="173"/>
      <c r="RKT300" s="173"/>
      <c r="RKU300" s="173"/>
      <c r="RKV300" s="173"/>
      <c r="RKW300" s="173"/>
      <c r="RKX300" s="173"/>
      <c r="RKY300" s="173"/>
      <c r="RKZ300" s="125"/>
      <c r="RLA300" s="125"/>
      <c r="RLB300" s="134"/>
      <c r="RLC300" s="135"/>
      <c r="RLD300" s="135"/>
      <c r="RLE300" s="135"/>
      <c r="RLF300" s="135"/>
      <c r="RLG300" s="173"/>
      <c r="RLH300" s="173"/>
      <c r="RLI300" s="173"/>
      <c r="RLJ300" s="173"/>
      <c r="RLK300" s="173"/>
      <c r="RLL300" s="173"/>
      <c r="RLM300" s="173"/>
      <c r="RLN300" s="173"/>
      <c r="RLO300" s="173"/>
      <c r="RLP300" s="173"/>
      <c r="RLQ300" s="125"/>
      <c r="RLR300" s="125"/>
      <c r="RLS300" s="134"/>
      <c r="RLT300" s="135"/>
      <c r="RLU300" s="135"/>
      <c r="RLV300" s="135"/>
      <c r="RLW300" s="135"/>
      <c r="RLX300" s="173"/>
      <c r="RLY300" s="173"/>
      <c r="RLZ300" s="173"/>
      <c r="RMA300" s="173"/>
      <c r="RMB300" s="173"/>
      <c r="RMC300" s="173"/>
      <c r="RMD300" s="173"/>
      <c r="RME300" s="173"/>
      <c r="RMF300" s="173"/>
      <c r="RMG300" s="173"/>
      <c r="RMH300" s="125"/>
      <c r="RMI300" s="125"/>
      <c r="RMJ300" s="134"/>
      <c r="RMK300" s="135"/>
      <c r="RML300" s="135"/>
      <c r="RMM300" s="135"/>
      <c r="RMN300" s="135"/>
      <c r="RMO300" s="173"/>
      <c r="RMP300" s="173"/>
      <c r="RMQ300" s="173"/>
      <c r="RMR300" s="173"/>
      <c r="RMS300" s="173"/>
      <c r="RMT300" s="173"/>
      <c r="RMU300" s="173"/>
      <c r="RMV300" s="173"/>
      <c r="RMW300" s="173"/>
      <c r="RMX300" s="173"/>
      <c r="RMY300" s="125"/>
      <c r="RMZ300" s="125"/>
      <c r="RNA300" s="134"/>
      <c r="RNB300" s="135"/>
      <c r="RNC300" s="135"/>
      <c r="RND300" s="135"/>
      <c r="RNE300" s="135"/>
      <c r="RNF300" s="173"/>
      <c r="RNG300" s="173"/>
      <c r="RNH300" s="173"/>
      <c r="RNI300" s="173"/>
      <c r="RNJ300" s="173"/>
      <c r="RNK300" s="173"/>
      <c r="RNL300" s="173"/>
      <c r="RNM300" s="173"/>
      <c r="RNN300" s="173"/>
      <c r="RNO300" s="173"/>
      <c r="RNP300" s="125"/>
      <c r="RNQ300" s="125"/>
      <c r="RNR300" s="134"/>
      <c r="RNS300" s="135"/>
      <c r="RNT300" s="135"/>
      <c r="RNU300" s="135"/>
      <c r="RNV300" s="135"/>
      <c r="RNW300" s="173"/>
      <c r="RNX300" s="173"/>
      <c r="RNY300" s="173"/>
      <c r="RNZ300" s="173"/>
      <c r="ROA300" s="173"/>
      <c r="ROB300" s="173"/>
      <c r="ROC300" s="173"/>
      <c r="ROD300" s="173"/>
      <c r="ROE300" s="173"/>
      <c r="ROF300" s="173"/>
      <c r="ROG300" s="125"/>
      <c r="ROH300" s="125"/>
      <c r="ROI300" s="134"/>
      <c r="ROJ300" s="135"/>
      <c r="ROK300" s="135"/>
      <c r="ROL300" s="135"/>
      <c r="ROM300" s="135"/>
      <c r="RON300" s="173"/>
      <c r="ROO300" s="173"/>
      <c r="ROP300" s="173"/>
      <c r="ROQ300" s="173"/>
      <c r="ROR300" s="173"/>
      <c r="ROS300" s="173"/>
      <c r="ROT300" s="173"/>
      <c r="ROU300" s="173"/>
      <c r="ROV300" s="173"/>
      <c r="ROW300" s="173"/>
      <c r="ROX300" s="125"/>
      <c r="ROY300" s="125"/>
      <c r="ROZ300" s="134"/>
      <c r="RPA300" s="135"/>
      <c r="RPB300" s="135"/>
      <c r="RPC300" s="135"/>
      <c r="RPD300" s="135"/>
      <c r="RPE300" s="173"/>
      <c r="RPF300" s="173"/>
      <c r="RPG300" s="173"/>
      <c r="RPH300" s="173"/>
      <c r="RPI300" s="173"/>
      <c r="RPJ300" s="173"/>
      <c r="RPK300" s="173"/>
      <c r="RPL300" s="173"/>
      <c r="RPM300" s="173"/>
      <c r="RPN300" s="173"/>
      <c r="RPO300" s="125"/>
      <c r="RPP300" s="125"/>
      <c r="RPQ300" s="134"/>
      <c r="RPR300" s="135"/>
      <c r="RPS300" s="135"/>
      <c r="RPT300" s="135"/>
      <c r="RPU300" s="135"/>
      <c r="RPV300" s="173"/>
      <c r="RPW300" s="173"/>
      <c r="RPX300" s="173"/>
      <c r="RPY300" s="173"/>
      <c r="RPZ300" s="173"/>
      <c r="RQA300" s="173"/>
      <c r="RQB300" s="173"/>
      <c r="RQC300" s="173"/>
      <c r="RQD300" s="173"/>
      <c r="RQE300" s="173"/>
      <c r="RQF300" s="125"/>
      <c r="RQG300" s="125"/>
      <c r="RQH300" s="134"/>
      <c r="RQI300" s="135"/>
      <c r="RQJ300" s="135"/>
      <c r="RQK300" s="135"/>
      <c r="RQL300" s="135"/>
      <c r="RQM300" s="173"/>
      <c r="RQN300" s="173"/>
      <c r="RQO300" s="173"/>
      <c r="RQP300" s="173"/>
      <c r="RQQ300" s="173"/>
      <c r="RQR300" s="173"/>
      <c r="RQS300" s="173"/>
      <c r="RQT300" s="173"/>
      <c r="RQU300" s="173"/>
      <c r="RQV300" s="173"/>
      <c r="RQW300" s="125"/>
      <c r="RQX300" s="125"/>
      <c r="RQY300" s="134"/>
      <c r="RQZ300" s="135"/>
      <c r="RRA300" s="135"/>
      <c r="RRB300" s="135"/>
      <c r="RRC300" s="135"/>
      <c r="RRD300" s="173"/>
      <c r="RRE300" s="173"/>
      <c r="RRF300" s="173"/>
      <c r="RRG300" s="173"/>
      <c r="RRH300" s="173"/>
      <c r="RRI300" s="173"/>
      <c r="RRJ300" s="173"/>
      <c r="RRK300" s="173"/>
      <c r="RRL300" s="173"/>
      <c r="RRM300" s="173"/>
      <c r="RRN300" s="125"/>
      <c r="RRO300" s="125"/>
      <c r="RRP300" s="134"/>
      <c r="RRQ300" s="135"/>
      <c r="RRR300" s="135"/>
      <c r="RRS300" s="135"/>
      <c r="RRT300" s="135"/>
      <c r="RRU300" s="173"/>
      <c r="RRV300" s="173"/>
      <c r="RRW300" s="173"/>
      <c r="RRX300" s="173"/>
      <c r="RRY300" s="173"/>
      <c r="RRZ300" s="173"/>
      <c r="RSA300" s="173"/>
      <c r="RSB300" s="173"/>
      <c r="RSC300" s="173"/>
      <c r="RSD300" s="173"/>
      <c r="RSE300" s="125"/>
      <c r="RSF300" s="125"/>
      <c r="RSG300" s="134"/>
      <c r="RSH300" s="135"/>
      <c r="RSI300" s="135"/>
      <c r="RSJ300" s="135"/>
      <c r="RSK300" s="135"/>
      <c r="RSL300" s="173"/>
      <c r="RSM300" s="173"/>
      <c r="RSN300" s="173"/>
      <c r="RSO300" s="173"/>
      <c r="RSP300" s="173"/>
      <c r="RSQ300" s="173"/>
      <c r="RSR300" s="173"/>
      <c r="RSS300" s="173"/>
      <c r="RST300" s="173"/>
      <c r="RSU300" s="173"/>
      <c r="RSV300" s="125"/>
      <c r="RSW300" s="125"/>
      <c r="RSX300" s="134"/>
      <c r="RSY300" s="135"/>
      <c r="RSZ300" s="135"/>
      <c r="RTA300" s="135"/>
      <c r="RTB300" s="135"/>
      <c r="RTC300" s="173"/>
      <c r="RTD300" s="173"/>
      <c r="RTE300" s="173"/>
      <c r="RTF300" s="173"/>
      <c r="RTG300" s="173"/>
      <c r="RTH300" s="173"/>
      <c r="RTI300" s="173"/>
      <c r="RTJ300" s="173"/>
      <c r="RTK300" s="173"/>
      <c r="RTL300" s="173"/>
      <c r="RTM300" s="125"/>
      <c r="RTN300" s="125"/>
      <c r="RTO300" s="134"/>
      <c r="RTP300" s="135"/>
      <c r="RTQ300" s="135"/>
      <c r="RTR300" s="135"/>
      <c r="RTS300" s="135"/>
      <c r="RTT300" s="173"/>
      <c r="RTU300" s="173"/>
      <c r="RTV300" s="173"/>
      <c r="RTW300" s="173"/>
      <c r="RTX300" s="173"/>
      <c r="RTY300" s="173"/>
      <c r="RTZ300" s="173"/>
      <c r="RUA300" s="173"/>
      <c r="RUB300" s="173"/>
      <c r="RUC300" s="173"/>
      <c r="RUD300" s="125"/>
      <c r="RUE300" s="125"/>
      <c r="RUF300" s="134"/>
      <c r="RUG300" s="135"/>
      <c r="RUH300" s="135"/>
      <c r="RUI300" s="135"/>
      <c r="RUJ300" s="135"/>
      <c r="RUK300" s="173"/>
      <c r="RUL300" s="173"/>
      <c r="RUM300" s="173"/>
      <c r="RUN300" s="173"/>
      <c r="RUO300" s="173"/>
      <c r="RUP300" s="173"/>
      <c r="RUQ300" s="173"/>
      <c r="RUR300" s="173"/>
      <c r="RUS300" s="173"/>
      <c r="RUT300" s="173"/>
      <c r="RUU300" s="125"/>
      <c r="RUV300" s="125"/>
      <c r="RUW300" s="134"/>
      <c r="RUX300" s="135"/>
      <c r="RUY300" s="135"/>
      <c r="RUZ300" s="135"/>
      <c r="RVA300" s="135"/>
      <c r="RVB300" s="173"/>
      <c r="RVC300" s="173"/>
      <c r="RVD300" s="173"/>
      <c r="RVE300" s="173"/>
      <c r="RVF300" s="173"/>
      <c r="RVG300" s="173"/>
      <c r="RVH300" s="173"/>
      <c r="RVI300" s="173"/>
      <c r="RVJ300" s="173"/>
      <c r="RVK300" s="173"/>
      <c r="RVL300" s="125"/>
      <c r="RVM300" s="125"/>
      <c r="RVN300" s="134"/>
      <c r="RVO300" s="135"/>
      <c r="RVP300" s="135"/>
      <c r="RVQ300" s="135"/>
      <c r="RVR300" s="135"/>
      <c r="RVS300" s="173"/>
      <c r="RVT300" s="173"/>
      <c r="RVU300" s="173"/>
      <c r="RVV300" s="173"/>
      <c r="RVW300" s="173"/>
      <c r="RVX300" s="173"/>
      <c r="RVY300" s="173"/>
      <c r="RVZ300" s="173"/>
      <c r="RWA300" s="173"/>
      <c r="RWB300" s="173"/>
      <c r="RWC300" s="125"/>
      <c r="RWD300" s="125"/>
      <c r="RWE300" s="134"/>
      <c r="RWF300" s="135"/>
      <c r="RWG300" s="135"/>
      <c r="RWH300" s="135"/>
      <c r="RWI300" s="135"/>
      <c r="RWJ300" s="173"/>
      <c r="RWK300" s="173"/>
      <c r="RWL300" s="173"/>
      <c r="RWM300" s="173"/>
      <c r="RWN300" s="173"/>
      <c r="RWO300" s="173"/>
      <c r="RWP300" s="173"/>
      <c r="RWQ300" s="173"/>
      <c r="RWR300" s="173"/>
      <c r="RWS300" s="173"/>
      <c r="RWT300" s="125"/>
      <c r="RWU300" s="125"/>
      <c r="RWV300" s="134"/>
      <c r="RWW300" s="135"/>
      <c r="RWX300" s="135"/>
      <c r="RWY300" s="135"/>
      <c r="RWZ300" s="135"/>
      <c r="RXA300" s="173"/>
      <c r="RXB300" s="173"/>
      <c r="RXC300" s="173"/>
      <c r="RXD300" s="173"/>
      <c r="RXE300" s="173"/>
      <c r="RXF300" s="173"/>
      <c r="RXG300" s="173"/>
      <c r="RXH300" s="173"/>
      <c r="RXI300" s="173"/>
      <c r="RXJ300" s="173"/>
      <c r="RXK300" s="125"/>
      <c r="RXL300" s="125"/>
      <c r="RXM300" s="134"/>
      <c r="RXN300" s="135"/>
      <c r="RXO300" s="135"/>
      <c r="RXP300" s="135"/>
      <c r="RXQ300" s="135"/>
      <c r="RXR300" s="173"/>
      <c r="RXS300" s="173"/>
      <c r="RXT300" s="173"/>
      <c r="RXU300" s="173"/>
      <c r="RXV300" s="173"/>
      <c r="RXW300" s="173"/>
      <c r="RXX300" s="173"/>
      <c r="RXY300" s="173"/>
      <c r="RXZ300" s="173"/>
      <c r="RYA300" s="173"/>
      <c r="RYB300" s="125"/>
      <c r="RYC300" s="125"/>
      <c r="RYD300" s="134"/>
      <c r="RYE300" s="135"/>
      <c r="RYF300" s="135"/>
      <c r="RYG300" s="135"/>
      <c r="RYH300" s="135"/>
      <c r="RYI300" s="173"/>
      <c r="RYJ300" s="173"/>
      <c r="RYK300" s="173"/>
      <c r="RYL300" s="173"/>
      <c r="RYM300" s="173"/>
      <c r="RYN300" s="173"/>
      <c r="RYO300" s="173"/>
      <c r="RYP300" s="173"/>
      <c r="RYQ300" s="173"/>
      <c r="RYR300" s="173"/>
      <c r="RYS300" s="125"/>
      <c r="RYT300" s="125"/>
      <c r="RYU300" s="134"/>
      <c r="RYV300" s="135"/>
      <c r="RYW300" s="135"/>
      <c r="RYX300" s="135"/>
      <c r="RYY300" s="135"/>
      <c r="RYZ300" s="173"/>
      <c r="RZA300" s="173"/>
      <c r="RZB300" s="173"/>
      <c r="RZC300" s="173"/>
      <c r="RZD300" s="173"/>
      <c r="RZE300" s="173"/>
      <c r="RZF300" s="173"/>
      <c r="RZG300" s="173"/>
      <c r="RZH300" s="173"/>
      <c r="RZI300" s="173"/>
      <c r="RZJ300" s="125"/>
      <c r="RZK300" s="125"/>
      <c r="RZL300" s="134"/>
      <c r="RZM300" s="135"/>
      <c r="RZN300" s="135"/>
      <c r="RZO300" s="135"/>
      <c r="RZP300" s="135"/>
      <c r="RZQ300" s="173"/>
      <c r="RZR300" s="173"/>
      <c r="RZS300" s="173"/>
      <c r="RZT300" s="173"/>
      <c r="RZU300" s="173"/>
      <c r="RZV300" s="173"/>
      <c r="RZW300" s="173"/>
      <c r="RZX300" s="173"/>
      <c r="RZY300" s="173"/>
      <c r="RZZ300" s="173"/>
      <c r="SAA300" s="125"/>
      <c r="SAB300" s="125"/>
      <c r="SAC300" s="134"/>
      <c r="SAD300" s="135"/>
      <c r="SAE300" s="135"/>
      <c r="SAF300" s="135"/>
      <c r="SAG300" s="135"/>
      <c r="SAH300" s="173"/>
      <c r="SAI300" s="173"/>
      <c r="SAJ300" s="173"/>
      <c r="SAK300" s="173"/>
      <c r="SAL300" s="173"/>
      <c r="SAM300" s="173"/>
      <c r="SAN300" s="173"/>
      <c r="SAO300" s="173"/>
      <c r="SAP300" s="173"/>
      <c r="SAQ300" s="173"/>
      <c r="SAR300" s="125"/>
      <c r="SAS300" s="125"/>
      <c r="SAT300" s="134"/>
      <c r="SAU300" s="135"/>
      <c r="SAV300" s="135"/>
      <c r="SAW300" s="135"/>
      <c r="SAX300" s="135"/>
      <c r="SAY300" s="173"/>
      <c r="SAZ300" s="173"/>
      <c r="SBA300" s="173"/>
      <c r="SBB300" s="173"/>
      <c r="SBC300" s="173"/>
      <c r="SBD300" s="173"/>
      <c r="SBE300" s="173"/>
      <c r="SBF300" s="173"/>
      <c r="SBG300" s="173"/>
      <c r="SBH300" s="173"/>
      <c r="SBI300" s="125"/>
      <c r="SBJ300" s="125"/>
      <c r="SBK300" s="134"/>
      <c r="SBL300" s="135"/>
      <c r="SBM300" s="135"/>
      <c r="SBN300" s="135"/>
      <c r="SBO300" s="135"/>
      <c r="SBP300" s="173"/>
      <c r="SBQ300" s="173"/>
      <c r="SBR300" s="173"/>
      <c r="SBS300" s="173"/>
      <c r="SBT300" s="173"/>
      <c r="SBU300" s="173"/>
      <c r="SBV300" s="173"/>
      <c r="SBW300" s="173"/>
      <c r="SBX300" s="173"/>
      <c r="SBY300" s="173"/>
      <c r="SBZ300" s="125"/>
      <c r="SCA300" s="125"/>
      <c r="SCB300" s="134"/>
      <c r="SCC300" s="135"/>
      <c r="SCD300" s="135"/>
      <c r="SCE300" s="135"/>
      <c r="SCF300" s="135"/>
      <c r="SCG300" s="173"/>
      <c r="SCH300" s="173"/>
      <c r="SCI300" s="173"/>
      <c r="SCJ300" s="173"/>
      <c r="SCK300" s="173"/>
      <c r="SCL300" s="173"/>
      <c r="SCM300" s="173"/>
      <c r="SCN300" s="173"/>
      <c r="SCO300" s="173"/>
      <c r="SCP300" s="173"/>
      <c r="SCQ300" s="125"/>
      <c r="SCR300" s="125"/>
      <c r="SCS300" s="134"/>
      <c r="SCT300" s="135"/>
      <c r="SCU300" s="135"/>
      <c r="SCV300" s="135"/>
      <c r="SCW300" s="135"/>
      <c r="SCX300" s="173"/>
      <c r="SCY300" s="173"/>
      <c r="SCZ300" s="173"/>
      <c r="SDA300" s="173"/>
      <c r="SDB300" s="173"/>
      <c r="SDC300" s="173"/>
      <c r="SDD300" s="173"/>
      <c r="SDE300" s="173"/>
      <c r="SDF300" s="173"/>
      <c r="SDG300" s="173"/>
      <c r="SDH300" s="125"/>
      <c r="SDI300" s="125"/>
      <c r="SDJ300" s="134"/>
      <c r="SDK300" s="135"/>
      <c r="SDL300" s="135"/>
      <c r="SDM300" s="135"/>
      <c r="SDN300" s="135"/>
      <c r="SDO300" s="173"/>
      <c r="SDP300" s="173"/>
      <c r="SDQ300" s="173"/>
      <c r="SDR300" s="173"/>
      <c r="SDS300" s="173"/>
      <c r="SDT300" s="173"/>
      <c r="SDU300" s="173"/>
      <c r="SDV300" s="173"/>
      <c r="SDW300" s="173"/>
      <c r="SDX300" s="173"/>
      <c r="SDY300" s="125"/>
      <c r="SDZ300" s="125"/>
      <c r="SEA300" s="134"/>
      <c r="SEB300" s="135"/>
      <c r="SEC300" s="135"/>
      <c r="SED300" s="135"/>
      <c r="SEE300" s="135"/>
      <c r="SEF300" s="173"/>
      <c r="SEG300" s="173"/>
      <c r="SEH300" s="173"/>
      <c r="SEI300" s="173"/>
      <c r="SEJ300" s="173"/>
      <c r="SEK300" s="173"/>
      <c r="SEL300" s="173"/>
      <c r="SEM300" s="173"/>
      <c r="SEN300" s="173"/>
      <c r="SEO300" s="173"/>
      <c r="SEP300" s="125"/>
      <c r="SEQ300" s="125"/>
      <c r="SER300" s="134"/>
      <c r="SES300" s="135"/>
      <c r="SET300" s="135"/>
      <c r="SEU300" s="135"/>
      <c r="SEV300" s="135"/>
      <c r="SEW300" s="173"/>
      <c r="SEX300" s="173"/>
      <c r="SEY300" s="173"/>
      <c r="SEZ300" s="173"/>
      <c r="SFA300" s="173"/>
      <c r="SFB300" s="173"/>
      <c r="SFC300" s="173"/>
      <c r="SFD300" s="173"/>
      <c r="SFE300" s="173"/>
      <c r="SFF300" s="173"/>
      <c r="SFG300" s="125"/>
      <c r="SFH300" s="125"/>
      <c r="SFI300" s="134"/>
      <c r="SFJ300" s="135"/>
      <c r="SFK300" s="135"/>
      <c r="SFL300" s="135"/>
      <c r="SFM300" s="135"/>
      <c r="SFN300" s="173"/>
      <c r="SFO300" s="173"/>
      <c r="SFP300" s="173"/>
      <c r="SFQ300" s="173"/>
      <c r="SFR300" s="173"/>
      <c r="SFS300" s="173"/>
      <c r="SFT300" s="173"/>
      <c r="SFU300" s="173"/>
      <c r="SFV300" s="173"/>
      <c r="SFW300" s="173"/>
      <c r="SFX300" s="125"/>
      <c r="SFY300" s="125"/>
      <c r="SFZ300" s="134"/>
      <c r="SGA300" s="135"/>
      <c r="SGB300" s="135"/>
      <c r="SGC300" s="135"/>
      <c r="SGD300" s="135"/>
      <c r="SGE300" s="173"/>
      <c r="SGF300" s="173"/>
      <c r="SGG300" s="173"/>
      <c r="SGH300" s="173"/>
      <c r="SGI300" s="173"/>
      <c r="SGJ300" s="173"/>
      <c r="SGK300" s="173"/>
      <c r="SGL300" s="173"/>
      <c r="SGM300" s="173"/>
      <c r="SGN300" s="173"/>
      <c r="SGO300" s="125"/>
      <c r="SGP300" s="125"/>
      <c r="SGQ300" s="134"/>
      <c r="SGR300" s="135"/>
      <c r="SGS300" s="135"/>
      <c r="SGT300" s="135"/>
      <c r="SGU300" s="135"/>
      <c r="SGV300" s="173"/>
      <c r="SGW300" s="173"/>
      <c r="SGX300" s="173"/>
      <c r="SGY300" s="173"/>
      <c r="SGZ300" s="173"/>
      <c r="SHA300" s="173"/>
      <c r="SHB300" s="173"/>
      <c r="SHC300" s="173"/>
      <c r="SHD300" s="173"/>
      <c r="SHE300" s="173"/>
      <c r="SHF300" s="125"/>
      <c r="SHG300" s="125"/>
      <c r="SHH300" s="134"/>
      <c r="SHI300" s="135"/>
      <c r="SHJ300" s="135"/>
      <c r="SHK300" s="135"/>
      <c r="SHL300" s="135"/>
      <c r="SHM300" s="173"/>
      <c r="SHN300" s="173"/>
      <c r="SHO300" s="173"/>
      <c r="SHP300" s="173"/>
      <c r="SHQ300" s="173"/>
      <c r="SHR300" s="173"/>
      <c r="SHS300" s="173"/>
      <c r="SHT300" s="173"/>
      <c r="SHU300" s="173"/>
      <c r="SHV300" s="173"/>
      <c r="SHW300" s="125"/>
      <c r="SHX300" s="125"/>
      <c r="SHY300" s="134"/>
      <c r="SHZ300" s="135"/>
      <c r="SIA300" s="135"/>
      <c r="SIB300" s="135"/>
      <c r="SIC300" s="135"/>
      <c r="SID300" s="173"/>
      <c r="SIE300" s="173"/>
      <c r="SIF300" s="173"/>
      <c r="SIG300" s="173"/>
      <c r="SIH300" s="173"/>
      <c r="SII300" s="173"/>
      <c r="SIJ300" s="173"/>
      <c r="SIK300" s="173"/>
      <c r="SIL300" s="173"/>
      <c r="SIM300" s="173"/>
      <c r="SIN300" s="125"/>
      <c r="SIO300" s="125"/>
      <c r="SIP300" s="134"/>
      <c r="SIQ300" s="135"/>
      <c r="SIR300" s="135"/>
      <c r="SIS300" s="135"/>
      <c r="SIT300" s="135"/>
      <c r="SIU300" s="173"/>
      <c r="SIV300" s="173"/>
      <c r="SIW300" s="173"/>
      <c r="SIX300" s="173"/>
      <c r="SIY300" s="173"/>
      <c r="SIZ300" s="173"/>
      <c r="SJA300" s="173"/>
      <c r="SJB300" s="173"/>
      <c r="SJC300" s="173"/>
      <c r="SJD300" s="173"/>
      <c r="SJE300" s="125"/>
      <c r="SJF300" s="125"/>
      <c r="SJG300" s="134"/>
      <c r="SJH300" s="135"/>
      <c r="SJI300" s="135"/>
      <c r="SJJ300" s="135"/>
      <c r="SJK300" s="135"/>
      <c r="SJL300" s="173"/>
      <c r="SJM300" s="173"/>
      <c r="SJN300" s="173"/>
      <c r="SJO300" s="173"/>
      <c r="SJP300" s="173"/>
      <c r="SJQ300" s="173"/>
      <c r="SJR300" s="173"/>
      <c r="SJS300" s="173"/>
      <c r="SJT300" s="173"/>
      <c r="SJU300" s="173"/>
      <c r="SJV300" s="125"/>
      <c r="SJW300" s="125"/>
      <c r="SJX300" s="134"/>
      <c r="SJY300" s="135"/>
      <c r="SJZ300" s="135"/>
      <c r="SKA300" s="135"/>
      <c r="SKB300" s="135"/>
      <c r="SKC300" s="173"/>
      <c r="SKD300" s="173"/>
      <c r="SKE300" s="173"/>
      <c r="SKF300" s="173"/>
      <c r="SKG300" s="173"/>
      <c r="SKH300" s="173"/>
      <c r="SKI300" s="173"/>
      <c r="SKJ300" s="173"/>
      <c r="SKK300" s="173"/>
      <c r="SKL300" s="173"/>
      <c r="SKM300" s="125"/>
      <c r="SKN300" s="125"/>
      <c r="SKO300" s="134"/>
      <c r="SKP300" s="135"/>
      <c r="SKQ300" s="135"/>
      <c r="SKR300" s="135"/>
      <c r="SKS300" s="135"/>
      <c r="SKT300" s="173"/>
      <c r="SKU300" s="173"/>
      <c r="SKV300" s="173"/>
      <c r="SKW300" s="173"/>
      <c r="SKX300" s="173"/>
      <c r="SKY300" s="173"/>
      <c r="SKZ300" s="173"/>
      <c r="SLA300" s="173"/>
      <c r="SLB300" s="173"/>
      <c r="SLC300" s="173"/>
      <c r="SLD300" s="125"/>
      <c r="SLE300" s="125"/>
      <c r="SLF300" s="134"/>
      <c r="SLG300" s="135"/>
      <c r="SLH300" s="135"/>
      <c r="SLI300" s="135"/>
      <c r="SLJ300" s="135"/>
      <c r="SLK300" s="173"/>
      <c r="SLL300" s="173"/>
      <c r="SLM300" s="173"/>
      <c r="SLN300" s="173"/>
      <c r="SLO300" s="173"/>
      <c r="SLP300" s="173"/>
      <c r="SLQ300" s="173"/>
      <c r="SLR300" s="173"/>
      <c r="SLS300" s="173"/>
      <c r="SLT300" s="173"/>
      <c r="SLU300" s="125"/>
      <c r="SLV300" s="125"/>
      <c r="SLW300" s="134"/>
      <c r="SLX300" s="135"/>
      <c r="SLY300" s="135"/>
      <c r="SLZ300" s="135"/>
      <c r="SMA300" s="135"/>
      <c r="SMB300" s="173"/>
      <c r="SMC300" s="173"/>
      <c r="SMD300" s="173"/>
      <c r="SME300" s="173"/>
      <c r="SMF300" s="173"/>
      <c r="SMG300" s="173"/>
      <c r="SMH300" s="173"/>
      <c r="SMI300" s="173"/>
      <c r="SMJ300" s="173"/>
      <c r="SMK300" s="173"/>
      <c r="SML300" s="125"/>
      <c r="SMM300" s="125"/>
      <c r="SMN300" s="134"/>
      <c r="SMO300" s="135"/>
      <c r="SMP300" s="135"/>
      <c r="SMQ300" s="135"/>
      <c r="SMR300" s="135"/>
      <c r="SMS300" s="173"/>
      <c r="SMT300" s="173"/>
      <c r="SMU300" s="173"/>
      <c r="SMV300" s="173"/>
      <c r="SMW300" s="173"/>
      <c r="SMX300" s="173"/>
      <c r="SMY300" s="173"/>
      <c r="SMZ300" s="173"/>
      <c r="SNA300" s="173"/>
      <c r="SNB300" s="173"/>
      <c r="SNC300" s="125"/>
      <c r="SND300" s="125"/>
      <c r="SNE300" s="134"/>
      <c r="SNF300" s="135"/>
      <c r="SNG300" s="135"/>
      <c r="SNH300" s="135"/>
      <c r="SNI300" s="135"/>
      <c r="SNJ300" s="173"/>
      <c r="SNK300" s="173"/>
      <c r="SNL300" s="173"/>
      <c r="SNM300" s="173"/>
      <c r="SNN300" s="173"/>
      <c r="SNO300" s="173"/>
      <c r="SNP300" s="173"/>
      <c r="SNQ300" s="173"/>
      <c r="SNR300" s="173"/>
      <c r="SNS300" s="173"/>
      <c r="SNT300" s="125"/>
      <c r="SNU300" s="125"/>
      <c r="SNV300" s="134"/>
      <c r="SNW300" s="135"/>
      <c r="SNX300" s="135"/>
      <c r="SNY300" s="135"/>
      <c r="SNZ300" s="135"/>
      <c r="SOA300" s="173"/>
      <c r="SOB300" s="173"/>
      <c r="SOC300" s="173"/>
      <c r="SOD300" s="173"/>
      <c r="SOE300" s="173"/>
      <c r="SOF300" s="173"/>
      <c r="SOG300" s="173"/>
      <c r="SOH300" s="173"/>
      <c r="SOI300" s="173"/>
      <c r="SOJ300" s="173"/>
      <c r="SOK300" s="125"/>
      <c r="SOL300" s="125"/>
      <c r="SOM300" s="134"/>
      <c r="SON300" s="135"/>
      <c r="SOO300" s="135"/>
      <c r="SOP300" s="135"/>
      <c r="SOQ300" s="135"/>
      <c r="SOR300" s="173"/>
      <c r="SOS300" s="173"/>
      <c r="SOT300" s="173"/>
      <c r="SOU300" s="173"/>
      <c r="SOV300" s="173"/>
      <c r="SOW300" s="173"/>
      <c r="SOX300" s="173"/>
      <c r="SOY300" s="173"/>
      <c r="SOZ300" s="173"/>
      <c r="SPA300" s="173"/>
      <c r="SPB300" s="125"/>
      <c r="SPC300" s="125"/>
      <c r="SPD300" s="134"/>
      <c r="SPE300" s="135"/>
      <c r="SPF300" s="135"/>
      <c r="SPG300" s="135"/>
      <c r="SPH300" s="135"/>
      <c r="SPI300" s="173"/>
      <c r="SPJ300" s="173"/>
      <c r="SPK300" s="173"/>
      <c r="SPL300" s="173"/>
      <c r="SPM300" s="173"/>
      <c r="SPN300" s="173"/>
      <c r="SPO300" s="173"/>
      <c r="SPP300" s="173"/>
      <c r="SPQ300" s="173"/>
      <c r="SPR300" s="173"/>
      <c r="SPS300" s="125"/>
      <c r="SPT300" s="125"/>
      <c r="SPU300" s="134"/>
      <c r="SPV300" s="135"/>
      <c r="SPW300" s="135"/>
      <c r="SPX300" s="135"/>
      <c r="SPY300" s="135"/>
      <c r="SPZ300" s="173"/>
      <c r="SQA300" s="173"/>
      <c r="SQB300" s="173"/>
      <c r="SQC300" s="173"/>
      <c r="SQD300" s="173"/>
      <c r="SQE300" s="173"/>
      <c r="SQF300" s="173"/>
      <c r="SQG300" s="173"/>
      <c r="SQH300" s="173"/>
      <c r="SQI300" s="173"/>
      <c r="SQJ300" s="125"/>
      <c r="SQK300" s="125"/>
      <c r="SQL300" s="134"/>
      <c r="SQM300" s="135"/>
      <c r="SQN300" s="135"/>
      <c r="SQO300" s="135"/>
      <c r="SQP300" s="135"/>
      <c r="SQQ300" s="173"/>
      <c r="SQR300" s="173"/>
      <c r="SQS300" s="173"/>
      <c r="SQT300" s="173"/>
      <c r="SQU300" s="173"/>
      <c r="SQV300" s="173"/>
      <c r="SQW300" s="173"/>
      <c r="SQX300" s="173"/>
      <c r="SQY300" s="173"/>
      <c r="SQZ300" s="173"/>
      <c r="SRA300" s="125"/>
      <c r="SRB300" s="125"/>
      <c r="SRC300" s="134"/>
      <c r="SRD300" s="135"/>
      <c r="SRE300" s="135"/>
      <c r="SRF300" s="135"/>
      <c r="SRG300" s="135"/>
      <c r="SRH300" s="173"/>
      <c r="SRI300" s="173"/>
      <c r="SRJ300" s="173"/>
      <c r="SRK300" s="173"/>
      <c r="SRL300" s="173"/>
      <c r="SRM300" s="173"/>
      <c r="SRN300" s="173"/>
      <c r="SRO300" s="173"/>
      <c r="SRP300" s="173"/>
      <c r="SRQ300" s="173"/>
      <c r="SRR300" s="125"/>
      <c r="SRS300" s="125"/>
      <c r="SRT300" s="134"/>
      <c r="SRU300" s="135"/>
      <c r="SRV300" s="135"/>
      <c r="SRW300" s="135"/>
      <c r="SRX300" s="135"/>
      <c r="SRY300" s="173"/>
      <c r="SRZ300" s="173"/>
      <c r="SSA300" s="173"/>
      <c r="SSB300" s="173"/>
      <c r="SSC300" s="173"/>
      <c r="SSD300" s="173"/>
      <c r="SSE300" s="173"/>
      <c r="SSF300" s="173"/>
      <c r="SSG300" s="173"/>
      <c r="SSH300" s="173"/>
      <c r="SSI300" s="125"/>
      <c r="SSJ300" s="125"/>
      <c r="SSK300" s="134"/>
      <c r="SSL300" s="135"/>
      <c r="SSM300" s="135"/>
      <c r="SSN300" s="135"/>
      <c r="SSO300" s="135"/>
      <c r="SSP300" s="173"/>
      <c r="SSQ300" s="173"/>
      <c r="SSR300" s="173"/>
      <c r="SSS300" s="173"/>
      <c r="SST300" s="173"/>
      <c r="SSU300" s="173"/>
      <c r="SSV300" s="173"/>
      <c r="SSW300" s="173"/>
      <c r="SSX300" s="173"/>
      <c r="SSY300" s="173"/>
      <c r="SSZ300" s="125"/>
      <c r="STA300" s="125"/>
      <c r="STB300" s="134"/>
      <c r="STC300" s="135"/>
      <c r="STD300" s="135"/>
      <c r="STE300" s="135"/>
      <c r="STF300" s="135"/>
      <c r="STG300" s="173"/>
      <c r="STH300" s="173"/>
      <c r="STI300" s="173"/>
      <c r="STJ300" s="173"/>
      <c r="STK300" s="173"/>
      <c r="STL300" s="173"/>
      <c r="STM300" s="173"/>
      <c r="STN300" s="173"/>
      <c r="STO300" s="173"/>
      <c r="STP300" s="173"/>
      <c r="STQ300" s="125"/>
      <c r="STR300" s="125"/>
      <c r="STS300" s="134"/>
      <c r="STT300" s="135"/>
      <c r="STU300" s="135"/>
      <c r="STV300" s="135"/>
      <c r="STW300" s="135"/>
      <c r="STX300" s="173"/>
      <c r="STY300" s="173"/>
      <c r="STZ300" s="173"/>
      <c r="SUA300" s="173"/>
      <c r="SUB300" s="173"/>
      <c r="SUC300" s="173"/>
      <c r="SUD300" s="173"/>
      <c r="SUE300" s="173"/>
      <c r="SUF300" s="173"/>
      <c r="SUG300" s="173"/>
      <c r="SUH300" s="125"/>
      <c r="SUI300" s="125"/>
      <c r="SUJ300" s="134"/>
      <c r="SUK300" s="135"/>
      <c r="SUL300" s="135"/>
      <c r="SUM300" s="135"/>
      <c r="SUN300" s="135"/>
      <c r="SUO300" s="173"/>
      <c r="SUP300" s="173"/>
      <c r="SUQ300" s="173"/>
      <c r="SUR300" s="173"/>
      <c r="SUS300" s="173"/>
      <c r="SUT300" s="173"/>
      <c r="SUU300" s="173"/>
      <c r="SUV300" s="173"/>
      <c r="SUW300" s="173"/>
      <c r="SUX300" s="173"/>
      <c r="SUY300" s="125"/>
      <c r="SUZ300" s="125"/>
      <c r="SVA300" s="134"/>
      <c r="SVB300" s="135"/>
      <c r="SVC300" s="135"/>
      <c r="SVD300" s="135"/>
      <c r="SVE300" s="135"/>
      <c r="SVF300" s="173"/>
      <c r="SVG300" s="173"/>
      <c r="SVH300" s="173"/>
      <c r="SVI300" s="173"/>
      <c r="SVJ300" s="173"/>
      <c r="SVK300" s="173"/>
      <c r="SVL300" s="173"/>
      <c r="SVM300" s="173"/>
      <c r="SVN300" s="173"/>
      <c r="SVO300" s="173"/>
      <c r="SVP300" s="125"/>
      <c r="SVQ300" s="125"/>
      <c r="SVR300" s="134"/>
      <c r="SVS300" s="135"/>
      <c r="SVT300" s="135"/>
      <c r="SVU300" s="135"/>
      <c r="SVV300" s="135"/>
      <c r="SVW300" s="173"/>
      <c r="SVX300" s="173"/>
      <c r="SVY300" s="173"/>
      <c r="SVZ300" s="173"/>
      <c r="SWA300" s="173"/>
      <c r="SWB300" s="173"/>
      <c r="SWC300" s="173"/>
      <c r="SWD300" s="173"/>
      <c r="SWE300" s="173"/>
      <c r="SWF300" s="173"/>
      <c r="SWG300" s="125"/>
      <c r="SWH300" s="125"/>
      <c r="SWI300" s="134"/>
      <c r="SWJ300" s="135"/>
      <c r="SWK300" s="135"/>
      <c r="SWL300" s="135"/>
      <c r="SWM300" s="135"/>
      <c r="SWN300" s="173"/>
      <c r="SWO300" s="173"/>
      <c r="SWP300" s="173"/>
      <c r="SWQ300" s="173"/>
      <c r="SWR300" s="173"/>
      <c r="SWS300" s="173"/>
      <c r="SWT300" s="173"/>
      <c r="SWU300" s="173"/>
      <c r="SWV300" s="173"/>
      <c r="SWW300" s="173"/>
      <c r="SWX300" s="125"/>
      <c r="SWY300" s="125"/>
      <c r="SWZ300" s="134"/>
      <c r="SXA300" s="135"/>
      <c r="SXB300" s="135"/>
      <c r="SXC300" s="135"/>
      <c r="SXD300" s="135"/>
      <c r="SXE300" s="173"/>
      <c r="SXF300" s="173"/>
      <c r="SXG300" s="173"/>
      <c r="SXH300" s="173"/>
      <c r="SXI300" s="173"/>
      <c r="SXJ300" s="173"/>
      <c r="SXK300" s="173"/>
      <c r="SXL300" s="173"/>
      <c r="SXM300" s="173"/>
      <c r="SXN300" s="173"/>
      <c r="SXO300" s="125"/>
      <c r="SXP300" s="125"/>
      <c r="SXQ300" s="134"/>
      <c r="SXR300" s="135"/>
      <c r="SXS300" s="135"/>
      <c r="SXT300" s="135"/>
      <c r="SXU300" s="135"/>
      <c r="SXV300" s="173"/>
      <c r="SXW300" s="173"/>
      <c r="SXX300" s="173"/>
      <c r="SXY300" s="173"/>
      <c r="SXZ300" s="173"/>
      <c r="SYA300" s="173"/>
      <c r="SYB300" s="173"/>
      <c r="SYC300" s="173"/>
      <c r="SYD300" s="173"/>
      <c r="SYE300" s="173"/>
      <c r="SYF300" s="125"/>
      <c r="SYG300" s="125"/>
      <c r="SYH300" s="134"/>
      <c r="SYI300" s="135"/>
      <c r="SYJ300" s="135"/>
      <c r="SYK300" s="135"/>
      <c r="SYL300" s="135"/>
      <c r="SYM300" s="173"/>
      <c r="SYN300" s="173"/>
      <c r="SYO300" s="173"/>
      <c r="SYP300" s="173"/>
      <c r="SYQ300" s="173"/>
      <c r="SYR300" s="173"/>
      <c r="SYS300" s="173"/>
      <c r="SYT300" s="173"/>
      <c r="SYU300" s="173"/>
      <c r="SYV300" s="173"/>
      <c r="SYW300" s="125"/>
      <c r="SYX300" s="125"/>
      <c r="SYY300" s="134"/>
      <c r="SYZ300" s="135"/>
      <c r="SZA300" s="135"/>
      <c r="SZB300" s="135"/>
      <c r="SZC300" s="135"/>
      <c r="SZD300" s="173"/>
      <c r="SZE300" s="173"/>
      <c r="SZF300" s="173"/>
      <c r="SZG300" s="173"/>
      <c r="SZH300" s="173"/>
      <c r="SZI300" s="173"/>
      <c r="SZJ300" s="173"/>
      <c r="SZK300" s="173"/>
      <c r="SZL300" s="173"/>
      <c r="SZM300" s="173"/>
      <c r="SZN300" s="125"/>
      <c r="SZO300" s="125"/>
      <c r="SZP300" s="134"/>
      <c r="SZQ300" s="135"/>
      <c r="SZR300" s="135"/>
      <c r="SZS300" s="135"/>
      <c r="SZT300" s="135"/>
      <c r="SZU300" s="173"/>
      <c r="SZV300" s="173"/>
      <c r="SZW300" s="173"/>
      <c r="SZX300" s="173"/>
      <c r="SZY300" s="173"/>
      <c r="SZZ300" s="173"/>
      <c r="TAA300" s="173"/>
      <c r="TAB300" s="173"/>
      <c r="TAC300" s="173"/>
      <c r="TAD300" s="173"/>
      <c r="TAE300" s="125"/>
      <c r="TAF300" s="125"/>
      <c r="TAG300" s="134"/>
      <c r="TAH300" s="135"/>
      <c r="TAI300" s="135"/>
      <c r="TAJ300" s="135"/>
      <c r="TAK300" s="135"/>
      <c r="TAL300" s="173"/>
      <c r="TAM300" s="173"/>
      <c r="TAN300" s="173"/>
      <c r="TAO300" s="173"/>
      <c r="TAP300" s="173"/>
      <c r="TAQ300" s="173"/>
      <c r="TAR300" s="173"/>
      <c r="TAS300" s="173"/>
      <c r="TAT300" s="173"/>
      <c r="TAU300" s="173"/>
      <c r="TAV300" s="125"/>
      <c r="TAW300" s="125"/>
      <c r="TAX300" s="134"/>
      <c r="TAY300" s="135"/>
      <c r="TAZ300" s="135"/>
      <c r="TBA300" s="135"/>
      <c r="TBB300" s="135"/>
      <c r="TBC300" s="173"/>
      <c r="TBD300" s="173"/>
      <c r="TBE300" s="173"/>
      <c r="TBF300" s="173"/>
      <c r="TBG300" s="173"/>
      <c r="TBH300" s="173"/>
      <c r="TBI300" s="173"/>
      <c r="TBJ300" s="173"/>
      <c r="TBK300" s="173"/>
      <c r="TBL300" s="173"/>
      <c r="TBM300" s="125"/>
      <c r="TBN300" s="125"/>
      <c r="TBO300" s="134"/>
      <c r="TBP300" s="135"/>
      <c r="TBQ300" s="135"/>
      <c r="TBR300" s="135"/>
      <c r="TBS300" s="135"/>
      <c r="TBT300" s="173"/>
      <c r="TBU300" s="173"/>
      <c r="TBV300" s="173"/>
      <c r="TBW300" s="173"/>
      <c r="TBX300" s="173"/>
      <c r="TBY300" s="173"/>
      <c r="TBZ300" s="173"/>
      <c r="TCA300" s="173"/>
      <c r="TCB300" s="173"/>
      <c r="TCC300" s="173"/>
      <c r="TCD300" s="125"/>
      <c r="TCE300" s="125"/>
      <c r="TCF300" s="134"/>
      <c r="TCG300" s="135"/>
      <c r="TCH300" s="135"/>
      <c r="TCI300" s="135"/>
      <c r="TCJ300" s="135"/>
      <c r="TCK300" s="173"/>
      <c r="TCL300" s="173"/>
      <c r="TCM300" s="173"/>
      <c r="TCN300" s="173"/>
      <c r="TCO300" s="173"/>
      <c r="TCP300" s="173"/>
      <c r="TCQ300" s="173"/>
      <c r="TCR300" s="173"/>
      <c r="TCS300" s="173"/>
      <c r="TCT300" s="173"/>
      <c r="TCU300" s="125"/>
      <c r="TCV300" s="125"/>
      <c r="TCW300" s="134"/>
      <c r="TCX300" s="135"/>
      <c r="TCY300" s="135"/>
      <c r="TCZ300" s="135"/>
      <c r="TDA300" s="135"/>
      <c r="TDB300" s="173"/>
      <c r="TDC300" s="173"/>
      <c r="TDD300" s="173"/>
      <c r="TDE300" s="173"/>
      <c r="TDF300" s="173"/>
      <c r="TDG300" s="173"/>
      <c r="TDH300" s="173"/>
      <c r="TDI300" s="173"/>
      <c r="TDJ300" s="173"/>
      <c r="TDK300" s="173"/>
      <c r="TDL300" s="125"/>
      <c r="TDM300" s="125"/>
      <c r="TDN300" s="134"/>
      <c r="TDO300" s="135"/>
      <c r="TDP300" s="135"/>
      <c r="TDQ300" s="135"/>
      <c r="TDR300" s="135"/>
      <c r="TDS300" s="173"/>
      <c r="TDT300" s="173"/>
      <c r="TDU300" s="173"/>
      <c r="TDV300" s="173"/>
      <c r="TDW300" s="173"/>
      <c r="TDX300" s="173"/>
      <c r="TDY300" s="173"/>
      <c r="TDZ300" s="173"/>
      <c r="TEA300" s="173"/>
      <c r="TEB300" s="173"/>
      <c r="TEC300" s="125"/>
      <c r="TED300" s="125"/>
      <c r="TEE300" s="134"/>
      <c r="TEF300" s="135"/>
      <c r="TEG300" s="135"/>
      <c r="TEH300" s="135"/>
      <c r="TEI300" s="135"/>
      <c r="TEJ300" s="173"/>
      <c r="TEK300" s="173"/>
      <c r="TEL300" s="173"/>
      <c r="TEM300" s="173"/>
      <c r="TEN300" s="173"/>
      <c r="TEO300" s="173"/>
      <c r="TEP300" s="173"/>
      <c r="TEQ300" s="173"/>
      <c r="TER300" s="173"/>
      <c r="TES300" s="173"/>
      <c r="TET300" s="125"/>
      <c r="TEU300" s="125"/>
      <c r="TEV300" s="134"/>
      <c r="TEW300" s="135"/>
      <c r="TEX300" s="135"/>
      <c r="TEY300" s="135"/>
      <c r="TEZ300" s="135"/>
      <c r="TFA300" s="173"/>
      <c r="TFB300" s="173"/>
      <c r="TFC300" s="173"/>
      <c r="TFD300" s="173"/>
      <c r="TFE300" s="173"/>
      <c r="TFF300" s="173"/>
      <c r="TFG300" s="173"/>
      <c r="TFH300" s="173"/>
      <c r="TFI300" s="173"/>
      <c r="TFJ300" s="173"/>
      <c r="TFK300" s="125"/>
      <c r="TFL300" s="125"/>
      <c r="TFM300" s="134"/>
      <c r="TFN300" s="135"/>
      <c r="TFO300" s="135"/>
      <c r="TFP300" s="135"/>
      <c r="TFQ300" s="135"/>
      <c r="TFR300" s="173"/>
      <c r="TFS300" s="173"/>
      <c r="TFT300" s="173"/>
      <c r="TFU300" s="173"/>
      <c r="TFV300" s="173"/>
      <c r="TFW300" s="173"/>
      <c r="TFX300" s="173"/>
      <c r="TFY300" s="173"/>
      <c r="TFZ300" s="173"/>
      <c r="TGA300" s="173"/>
      <c r="TGB300" s="125"/>
      <c r="TGC300" s="125"/>
      <c r="TGD300" s="134"/>
      <c r="TGE300" s="135"/>
      <c r="TGF300" s="135"/>
      <c r="TGG300" s="135"/>
      <c r="TGH300" s="135"/>
      <c r="TGI300" s="173"/>
      <c r="TGJ300" s="173"/>
      <c r="TGK300" s="173"/>
      <c r="TGL300" s="173"/>
      <c r="TGM300" s="173"/>
      <c r="TGN300" s="173"/>
      <c r="TGO300" s="173"/>
      <c r="TGP300" s="173"/>
      <c r="TGQ300" s="173"/>
      <c r="TGR300" s="173"/>
      <c r="TGS300" s="125"/>
      <c r="TGT300" s="125"/>
      <c r="TGU300" s="134"/>
      <c r="TGV300" s="135"/>
      <c r="TGW300" s="135"/>
      <c r="TGX300" s="135"/>
      <c r="TGY300" s="135"/>
      <c r="TGZ300" s="173"/>
      <c r="THA300" s="173"/>
      <c r="THB300" s="173"/>
      <c r="THC300" s="173"/>
      <c r="THD300" s="173"/>
      <c r="THE300" s="173"/>
      <c r="THF300" s="173"/>
      <c r="THG300" s="173"/>
      <c r="THH300" s="173"/>
      <c r="THI300" s="173"/>
      <c r="THJ300" s="125"/>
      <c r="THK300" s="125"/>
      <c r="THL300" s="134"/>
      <c r="THM300" s="135"/>
      <c r="THN300" s="135"/>
      <c r="THO300" s="135"/>
      <c r="THP300" s="135"/>
      <c r="THQ300" s="173"/>
      <c r="THR300" s="173"/>
      <c r="THS300" s="173"/>
      <c r="THT300" s="173"/>
      <c r="THU300" s="173"/>
      <c r="THV300" s="173"/>
      <c r="THW300" s="173"/>
      <c r="THX300" s="173"/>
      <c r="THY300" s="173"/>
      <c r="THZ300" s="173"/>
      <c r="TIA300" s="125"/>
      <c r="TIB300" s="125"/>
      <c r="TIC300" s="134"/>
      <c r="TID300" s="135"/>
      <c r="TIE300" s="135"/>
      <c r="TIF300" s="135"/>
      <c r="TIG300" s="135"/>
      <c r="TIH300" s="173"/>
      <c r="TII300" s="173"/>
      <c r="TIJ300" s="173"/>
      <c r="TIK300" s="173"/>
      <c r="TIL300" s="173"/>
      <c r="TIM300" s="173"/>
      <c r="TIN300" s="173"/>
      <c r="TIO300" s="173"/>
      <c r="TIP300" s="173"/>
      <c r="TIQ300" s="173"/>
      <c r="TIR300" s="125"/>
      <c r="TIS300" s="125"/>
      <c r="TIT300" s="134"/>
      <c r="TIU300" s="135"/>
      <c r="TIV300" s="135"/>
      <c r="TIW300" s="135"/>
      <c r="TIX300" s="135"/>
      <c r="TIY300" s="173"/>
      <c r="TIZ300" s="173"/>
      <c r="TJA300" s="173"/>
      <c r="TJB300" s="173"/>
      <c r="TJC300" s="173"/>
      <c r="TJD300" s="173"/>
      <c r="TJE300" s="173"/>
      <c r="TJF300" s="173"/>
      <c r="TJG300" s="173"/>
      <c r="TJH300" s="173"/>
      <c r="TJI300" s="125"/>
      <c r="TJJ300" s="125"/>
      <c r="TJK300" s="134"/>
      <c r="TJL300" s="135"/>
      <c r="TJM300" s="135"/>
      <c r="TJN300" s="135"/>
      <c r="TJO300" s="135"/>
      <c r="TJP300" s="173"/>
      <c r="TJQ300" s="173"/>
      <c r="TJR300" s="173"/>
      <c r="TJS300" s="173"/>
      <c r="TJT300" s="173"/>
      <c r="TJU300" s="173"/>
      <c r="TJV300" s="173"/>
      <c r="TJW300" s="173"/>
      <c r="TJX300" s="173"/>
      <c r="TJY300" s="173"/>
      <c r="TJZ300" s="125"/>
      <c r="TKA300" s="125"/>
      <c r="TKB300" s="134"/>
      <c r="TKC300" s="135"/>
      <c r="TKD300" s="135"/>
      <c r="TKE300" s="135"/>
      <c r="TKF300" s="135"/>
      <c r="TKG300" s="173"/>
      <c r="TKH300" s="173"/>
      <c r="TKI300" s="173"/>
      <c r="TKJ300" s="173"/>
      <c r="TKK300" s="173"/>
      <c r="TKL300" s="173"/>
      <c r="TKM300" s="173"/>
      <c r="TKN300" s="173"/>
      <c r="TKO300" s="173"/>
      <c r="TKP300" s="173"/>
      <c r="TKQ300" s="125"/>
      <c r="TKR300" s="125"/>
      <c r="TKS300" s="134"/>
      <c r="TKT300" s="135"/>
      <c r="TKU300" s="135"/>
      <c r="TKV300" s="135"/>
      <c r="TKW300" s="135"/>
      <c r="TKX300" s="173"/>
      <c r="TKY300" s="173"/>
      <c r="TKZ300" s="173"/>
      <c r="TLA300" s="173"/>
      <c r="TLB300" s="173"/>
      <c r="TLC300" s="173"/>
      <c r="TLD300" s="173"/>
      <c r="TLE300" s="173"/>
      <c r="TLF300" s="173"/>
      <c r="TLG300" s="173"/>
      <c r="TLH300" s="125"/>
      <c r="TLI300" s="125"/>
      <c r="TLJ300" s="134"/>
      <c r="TLK300" s="135"/>
      <c r="TLL300" s="135"/>
      <c r="TLM300" s="135"/>
      <c r="TLN300" s="135"/>
      <c r="TLO300" s="173"/>
      <c r="TLP300" s="173"/>
      <c r="TLQ300" s="173"/>
      <c r="TLR300" s="173"/>
      <c r="TLS300" s="173"/>
      <c r="TLT300" s="173"/>
      <c r="TLU300" s="173"/>
      <c r="TLV300" s="173"/>
      <c r="TLW300" s="173"/>
      <c r="TLX300" s="173"/>
      <c r="TLY300" s="125"/>
      <c r="TLZ300" s="125"/>
      <c r="TMA300" s="134"/>
      <c r="TMB300" s="135"/>
      <c r="TMC300" s="135"/>
      <c r="TMD300" s="135"/>
      <c r="TME300" s="135"/>
      <c r="TMF300" s="173"/>
      <c r="TMG300" s="173"/>
      <c r="TMH300" s="173"/>
      <c r="TMI300" s="173"/>
      <c r="TMJ300" s="173"/>
      <c r="TMK300" s="173"/>
      <c r="TML300" s="173"/>
      <c r="TMM300" s="173"/>
      <c r="TMN300" s="173"/>
      <c r="TMO300" s="173"/>
      <c r="TMP300" s="125"/>
      <c r="TMQ300" s="125"/>
      <c r="TMR300" s="134"/>
      <c r="TMS300" s="135"/>
      <c r="TMT300" s="135"/>
      <c r="TMU300" s="135"/>
      <c r="TMV300" s="135"/>
      <c r="TMW300" s="173"/>
      <c r="TMX300" s="173"/>
      <c r="TMY300" s="173"/>
      <c r="TMZ300" s="173"/>
      <c r="TNA300" s="173"/>
      <c r="TNB300" s="173"/>
      <c r="TNC300" s="173"/>
      <c r="TND300" s="173"/>
      <c r="TNE300" s="173"/>
      <c r="TNF300" s="173"/>
      <c r="TNG300" s="125"/>
      <c r="TNH300" s="125"/>
      <c r="TNI300" s="134"/>
      <c r="TNJ300" s="135"/>
      <c r="TNK300" s="135"/>
      <c r="TNL300" s="135"/>
      <c r="TNM300" s="135"/>
      <c r="TNN300" s="173"/>
      <c r="TNO300" s="173"/>
      <c r="TNP300" s="173"/>
      <c r="TNQ300" s="173"/>
      <c r="TNR300" s="173"/>
      <c r="TNS300" s="173"/>
      <c r="TNT300" s="173"/>
      <c r="TNU300" s="173"/>
      <c r="TNV300" s="173"/>
      <c r="TNW300" s="173"/>
      <c r="TNX300" s="125"/>
      <c r="TNY300" s="125"/>
      <c r="TNZ300" s="134"/>
      <c r="TOA300" s="135"/>
      <c r="TOB300" s="135"/>
      <c r="TOC300" s="135"/>
      <c r="TOD300" s="135"/>
      <c r="TOE300" s="173"/>
      <c r="TOF300" s="173"/>
      <c r="TOG300" s="173"/>
      <c r="TOH300" s="173"/>
      <c r="TOI300" s="173"/>
      <c r="TOJ300" s="173"/>
      <c r="TOK300" s="173"/>
      <c r="TOL300" s="173"/>
      <c r="TOM300" s="173"/>
      <c r="TON300" s="173"/>
      <c r="TOO300" s="125"/>
      <c r="TOP300" s="125"/>
      <c r="TOQ300" s="134"/>
      <c r="TOR300" s="135"/>
      <c r="TOS300" s="135"/>
      <c r="TOT300" s="135"/>
      <c r="TOU300" s="135"/>
      <c r="TOV300" s="173"/>
      <c r="TOW300" s="173"/>
      <c r="TOX300" s="173"/>
      <c r="TOY300" s="173"/>
      <c r="TOZ300" s="173"/>
      <c r="TPA300" s="173"/>
      <c r="TPB300" s="173"/>
      <c r="TPC300" s="173"/>
      <c r="TPD300" s="173"/>
      <c r="TPE300" s="173"/>
      <c r="TPF300" s="125"/>
      <c r="TPG300" s="125"/>
      <c r="TPH300" s="134"/>
      <c r="TPI300" s="135"/>
      <c r="TPJ300" s="135"/>
      <c r="TPK300" s="135"/>
      <c r="TPL300" s="135"/>
      <c r="TPM300" s="173"/>
      <c r="TPN300" s="173"/>
      <c r="TPO300" s="173"/>
      <c r="TPP300" s="173"/>
      <c r="TPQ300" s="173"/>
      <c r="TPR300" s="173"/>
      <c r="TPS300" s="173"/>
      <c r="TPT300" s="173"/>
      <c r="TPU300" s="173"/>
      <c r="TPV300" s="173"/>
      <c r="TPW300" s="125"/>
      <c r="TPX300" s="125"/>
      <c r="TPY300" s="134"/>
      <c r="TPZ300" s="135"/>
      <c r="TQA300" s="135"/>
      <c r="TQB300" s="135"/>
      <c r="TQC300" s="135"/>
      <c r="TQD300" s="173"/>
      <c r="TQE300" s="173"/>
      <c r="TQF300" s="173"/>
      <c r="TQG300" s="173"/>
      <c r="TQH300" s="173"/>
      <c r="TQI300" s="173"/>
      <c r="TQJ300" s="173"/>
      <c r="TQK300" s="173"/>
      <c r="TQL300" s="173"/>
      <c r="TQM300" s="173"/>
      <c r="TQN300" s="125"/>
      <c r="TQO300" s="125"/>
      <c r="TQP300" s="134"/>
      <c r="TQQ300" s="135"/>
      <c r="TQR300" s="135"/>
      <c r="TQS300" s="135"/>
      <c r="TQT300" s="135"/>
      <c r="TQU300" s="173"/>
      <c r="TQV300" s="173"/>
      <c r="TQW300" s="173"/>
      <c r="TQX300" s="173"/>
      <c r="TQY300" s="173"/>
      <c r="TQZ300" s="173"/>
      <c r="TRA300" s="173"/>
      <c r="TRB300" s="173"/>
      <c r="TRC300" s="173"/>
      <c r="TRD300" s="173"/>
      <c r="TRE300" s="125"/>
      <c r="TRF300" s="125"/>
      <c r="TRG300" s="134"/>
      <c r="TRH300" s="135"/>
      <c r="TRI300" s="135"/>
      <c r="TRJ300" s="135"/>
      <c r="TRK300" s="135"/>
      <c r="TRL300" s="173"/>
      <c r="TRM300" s="173"/>
      <c r="TRN300" s="173"/>
      <c r="TRO300" s="173"/>
      <c r="TRP300" s="173"/>
      <c r="TRQ300" s="173"/>
      <c r="TRR300" s="173"/>
      <c r="TRS300" s="173"/>
      <c r="TRT300" s="173"/>
      <c r="TRU300" s="173"/>
      <c r="TRV300" s="125"/>
      <c r="TRW300" s="125"/>
      <c r="TRX300" s="134"/>
      <c r="TRY300" s="135"/>
      <c r="TRZ300" s="135"/>
      <c r="TSA300" s="135"/>
      <c r="TSB300" s="135"/>
      <c r="TSC300" s="173"/>
      <c r="TSD300" s="173"/>
      <c r="TSE300" s="173"/>
      <c r="TSF300" s="173"/>
      <c r="TSG300" s="173"/>
      <c r="TSH300" s="173"/>
      <c r="TSI300" s="173"/>
      <c r="TSJ300" s="173"/>
      <c r="TSK300" s="173"/>
      <c r="TSL300" s="173"/>
      <c r="TSM300" s="125"/>
      <c r="TSN300" s="125"/>
      <c r="TSO300" s="134"/>
      <c r="TSP300" s="135"/>
      <c r="TSQ300" s="135"/>
      <c r="TSR300" s="135"/>
      <c r="TSS300" s="135"/>
      <c r="TST300" s="173"/>
      <c r="TSU300" s="173"/>
      <c r="TSV300" s="173"/>
      <c r="TSW300" s="173"/>
      <c r="TSX300" s="173"/>
      <c r="TSY300" s="173"/>
      <c r="TSZ300" s="173"/>
      <c r="TTA300" s="173"/>
      <c r="TTB300" s="173"/>
      <c r="TTC300" s="173"/>
      <c r="TTD300" s="125"/>
      <c r="TTE300" s="125"/>
      <c r="TTF300" s="134"/>
      <c r="TTG300" s="135"/>
      <c r="TTH300" s="135"/>
      <c r="TTI300" s="135"/>
      <c r="TTJ300" s="135"/>
      <c r="TTK300" s="173"/>
      <c r="TTL300" s="173"/>
      <c r="TTM300" s="173"/>
      <c r="TTN300" s="173"/>
      <c r="TTO300" s="173"/>
      <c r="TTP300" s="173"/>
      <c r="TTQ300" s="173"/>
      <c r="TTR300" s="173"/>
      <c r="TTS300" s="173"/>
      <c r="TTT300" s="173"/>
      <c r="TTU300" s="125"/>
      <c r="TTV300" s="125"/>
      <c r="TTW300" s="134"/>
      <c r="TTX300" s="135"/>
      <c r="TTY300" s="135"/>
      <c r="TTZ300" s="135"/>
      <c r="TUA300" s="135"/>
      <c r="TUB300" s="173"/>
      <c r="TUC300" s="173"/>
      <c r="TUD300" s="173"/>
      <c r="TUE300" s="173"/>
      <c r="TUF300" s="173"/>
      <c r="TUG300" s="173"/>
      <c r="TUH300" s="173"/>
      <c r="TUI300" s="173"/>
      <c r="TUJ300" s="173"/>
      <c r="TUK300" s="173"/>
      <c r="TUL300" s="125"/>
      <c r="TUM300" s="125"/>
      <c r="TUN300" s="134"/>
      <c r="TUO300" s="135"/>
      <c r="TUP300" s="135"/>
      <c r="TUQ300" s="135"/>
      <c r="TUR300" s="135"/>
      <c r="TUS300" s="173"/>
      <c r="TUT300" s="173"/>
      <c r="TUU300" s="173"/>
      <c r="TUV300" s="173"/>
      <c r="TUW300" s="173"/>
      <c r="TUX300" s="173"/>
      <c r="TUY300" s="173"/>
      <c r="TUZ300" s="173"/>
      <c r="TVA300" s="173"/>
      <c r="TVB300" s="173"/>
      <c r="TVC300" s="125"/>
      <c r="TVD300" s="125"/>
      <c r="TVE300" s="134"/>
      <c r="TVF300" s="135"/>
      <c r="TVG300" s="135"/>
      <c r="TVH300" s="135"/>
      <c r="TVI300" s="135"/>
      <c r="TVJ300" s="173"/>
      <c r="TVK300" s="173"/>
      <c r="TVL300" s="173"/>
      <c r="TVM300" s="173"/>
      <c r="TVN300" s="173"/>
      <c r="TVO300" s="173"/>
      <c r="TVP300" s="173"/>
      <c r="TVQ300" s="173"/>
      <c r="TVR300" s="173"/>
      <c r="TVS300" s="173"/>
      <c r="TVT300" s="125"/>
      <c r="TVU300" s="125"/>
      <c r="TVV300" s="134"/>
      <c r="TVW300" s="135"/>
      <c r="TVX300" s="135"/>
      <c r="TVY300" s="135"/>
      <c r="TVZ300" s="135"/>
      <c r="TWA300" s="173"/>
      <c r="TWB300" s="173"/>
      <c r="TWC300" s="173"/>
      <c r="TWD300" s="173"/>
      <c r="TWE300" s="173"/>
      <c r="TWF300" s="173"/>
      <c r="TWG300" s="173"/>
      <c r="TWH300" s="173"/>
      <c r="TWI300" s="173"/>
      <c r="TWJ300" s="173"/>
      <c r="TWK300" s="125"/>
      <c r="TWL300" s="125"/>
      <c r="TWM300" s="134"/>
      <c r="TWN300" s="135"/>
      <c r="TWO300" s="135"/>
      <c r="TWP300" s="135"/>
      <c r="TWQ300" s="135"/>
      <c r="TWR300" s="173"/>
      <c r="TWS300" s="173"/>
      <c r="TWT300" s="173"/>
      <c r="TWU300" s="173"/>
      <c r="TWV300" s="173"/>
      <c r="TWW300" s="173"/>
      <c r="TWX300" s="173"/>
      <c r="TWY300" s="173"/>
      <c r="TWZ300" s="173"/>
      <c r="TXA300" s="173"/>
      <c r="TXB300" s="125"/>
      <c r="TXC300" s="125"/>
      <c r="TXD300" s="134"/>
      <c r="TXE300" s="135"/>
      <c r="TXF300" s="135"/>
      <c r="TXG300" s="135"/>
      <c r="TXH300" s="135"/>
      <c r="TXI300" s="173"/>
      <c r="TXJ300" s="173"/>
      <c r="TXK300" s="173"/>
      <c r="TXL300" s="173"/>
      <c r="TXM300" s="173"/>
      <c r="TXN300" s="173"/>
      <c r="TXO300" s="173"/>
      <c r="TXP300" s="173"/>
      <c r="TXQ300" s="173"/>
      <c r="TXR300" s="173"/>
      <c r="TXS300" s="125"/>
      <c r="TXT300" s="125"/>
      <c r="TXU300" s="134"/>
      <c r="TXV300" s="135"/>
      <c r="TXW300" s="135"/>
      <c r="TXX300" s="135"/>
      <c r="TXY300" s="135"/>
      <c r="TXZ300" s="173"/>
      <c r="TYA300" s="173"/>
      <c r="TYB300" s="173"/>
      <c r="TYC300" s="173"/>
      <c r="TYD300" s="173"/>
      <c r="TYE300" s="173"/>
      <c r="TYF300" s="173"/>
      <c r="TYG300" s="173"/>
      <c r="TYH300" s="173"/>
      <c r="TYI300" s="173"/>
      <c r="TYJ300" s="125"/>
      <c r="TYK300" s="125"/>
      <c r="TYL300" s="134"/>
      <c r="TYM300" s="135"/>
      <c r="TYN300" s="135"/>
      <c r="TYO300" s="135"/>
      <c r="TYP300" s="135"/>
      <c r="TYQ300" s="173"/>
      <c r="TYR300" s="173"/>
      <c r="TYS300" s="173"/>
      <c r="TYT300" s="173"/>
      <c r="TYU300" s="173"/>
      <c r="TYV300" s="173"/>
      <c r="TYW300" s="173"/>
      <c r="TYX300" s="173"/>
      <c r="TYY300" s="173"/>
      <c r="TYZ300" s="173"/>
      <c r="TZA300" s="125"/>
      <c r="TZB300" s="125"/>
      <c r="TZC300" s="134"/>
      <c r="TZD300" s="135"/>
      <c r="TZE300" s="135"/>
      <c r="TZF300" s="135"/>
      <c r="TZG300" s="135"/>
      <c r="TZH300" s="173"/>
      <c r="TZI300" s="173"/>
      <c r="TZJ300" s="173"/>
      <c r="TZK300" s="173"/>
      <c r="TZL300" s="173"/>
      <c r="TZM300" s="173"/>
      <c r="TZN300" s="173"/>
      <c r="TZO300" s="173"/>
      <c r="TZP300" s="173"/>
      <c r="TZQ300" s="173"/>
      <c r="TZR300" s="125"/>
      <c r="TZS300" s="125"/>
      <c r="TZT300" s="134"/>
      <c r="TZU300" s="135"/>
      <c r="TZV300" s="135"/>
      <c r="TZW300" s="135"/>
      <c r="TZX300" s="135"/>
      <c r="TZY300" s="173"/>
      <c r="TZZ300" s="173"/>
      <c r="UAA300" s="173"/>
      <c r="UAB300" s="173"/>
      <c r="UAC300" s="173"/>
      <c r="UAD300" s="173"/>
      <c r="UAE300" s="173"/>
      <c r="UAF300" s="173"/>
      <c r="UAG300" s="173"/>
      <c r="UAH300" s="173"/>
      <c r="UAI300" s="125"/>
      <c r="UAJ300" s="125"/>
      <c r="UAK300" s="134"/>
      <c r="UAL300" s="135"/>
      <c r="UAM300" s="135"/>
      <c r="UAN300" s="135"/>
      <c r="UAO300" s="135"/>
      <c r="UAP300" s="173"/>
      <c r="UAQ300" s="173"/>
      <c r="UAR300" s="173"/>
      <c r="UAS300" s="173"/>
      <c r="UAT300" s="173"/>
      <c r="UAU300" s="173"/>
      <c r="UAV300" s="173"/>
      <c r="UAW300" s="173"/>
      <c r="UAX300" s="173"/>
      <c r="UAY300" s="173"/>
      <c r="UAZ300" s="125"/>
      <c r="UBA300" s="125"/>
      <c r="UBB300" s="134"/>
      <c r="UBC300" s="135"/>
      <c r="UBD300" s="135"/>
      <c r="UBE300" s="135"/>
      <c r="UBF300" s="135"/>
      <c r="UBG300" s="173"/>
      <c r="UBH300" s="173"/>
      <c r="UBI300" s="173"/>
      <c r="UBJ300" s="173"/>
      <c r="UBK300" s="173"/>
      <c r="UBL300" s="173"/>
      <c r="UBM300" s="173"/>
      <c r="UBN300" s="173"/>
      <c r="UBO300" s="173"/>
      <c r="UBP300" s="173"/>
      <c r="UBQ300" s="125"/>
      <c r="UBR300" s="125"/>
      <c r="UBS300" s="134"/>
      <c r="UBT300" s="135"/>
      <c r="UBU300" s="135"/>
      <c r="UBV300" s="135"/>
      <c r="UBW300" s="135"/>
      <c r="UBX300" s="173"/>
      <c r="UBY300" s="173"/>
      <c r="UBZ300" s="173"/>
      <c r="UCA300" s="173"/>
      <c r="UCB300" s="173"/>
      <c r="UCC300" s="173"/>
      <c r="UCD300" s="173"/>
      <c r="UCE300" s="173"/>
      <c r="UCF300" s="173"/>
      <c r="UCG300" s="173"/>
      <c r="UCH300" s="125"/>
      <c r="UCI300" s="125"/>
      <c r="UCJ300" s="134"/>
      <c r="UCK300" s="135"/>
      <c r="UCL300" s="135"/>
      <c r="UCM300" s="135"/>
      <c r="UCN300" s="135"/>
      <c r="UCO300" s="173"/>
      <c r="UCP300" s="173"/>
      <c r="UCQ300" s="173"/>
      <c r="UCR300" s="173"/>
      <c r="UCS300" s="173"/>
      <c r="UCT300" s="173"/>
      <c r="UCU300" s="173"/>
      <c r="UCV300" s="173"/>
      <c r="UCW300" s="173"/>
      <c r="UCX300" s="173"/>
      <c r="UCY300" s="125"/>
      <c r="UCZ300" s="125"/>
      <c r="UDA300" s="134"/>
      <c r="UDB300" s="135"/>
      <c r="UDC300" s="135"/>
      <c r="UDD300" s="135"/>
      <c r="UDE300" s="135"/>
      <c r="UDF300" s="173"/>
      <c r="UDG300" s="173"/>
      <c r="UDH300" s="173"/>
      <c r="UDI300" s="173"/>
      <c r="UDJ300" s="173"/>
      <c r="UDK300" s="173"/>
      <c r="UDL300" s="173"/>
      <c r="UDM300" s="173"/>
      <c r="UDN300" s="173"/>
      <c r="UDO300" s="173"/>
      <c r="UDP300" s="125"/>
      <c r="UDQ300" s="125"/>
      <c r="UDR300" s="134"/>
      <c r="UDS300" s="135"/>
      <c r="UDT300" s="135"/>
      <c r="UDU300" s="135"/>
      <c r="UDV300" s="135"/>
      <c r="UDW300" s="173"/>
      <c r="UDX300" s="173"/>
      <c r="UDY300" s="173"/>
      <c r="UDZ300" s="173"/>
      <c r="UEA300" s="173"/>
      <c r="UEB300" s="173"/>
      <c r="UEC300" s="173"/>
      <c r="UED300" s="173"/>
      <c r="UEE300" s="173"/>
      <c r="UEF300" s="173"/>
      <c r="UEG300" s="125"/>
      <c r="UEH300" s="125"/>
      <c r="UEI300" s="134"/>
      <c r="UEJ300" s="135"/>
      <c r="UEK300" s="135"/>
      <c r="UEL300" s="135"/>
      <c r="UEM300" s="135"/>
      <c r="UEN300" s="173"/>
      <c r="UEO300" s="173"/>
      <c r="UEP300" s="173"/>
      <c r="UEQ300" s="173"/>
      <c r="UER300" s="173"/>
      <c r="UES300" s="173"/>
      <c r="UET300" s="173"/>
      <c r="UEU300" s="173"/>
      <c r="UEV300" s="173"/>
      <c r="UEW300" s="173"/>
      <c r="UEX300" s="125"/>
      <c r="UEY300" s="125"/>
      <c r="UEZ300" s="134"/>
      <c r="UFA300" s="135"/>
      <c r="UFB300" s="135"/>
      <c r="UFC300" s="135"/>
      <c r="UFD300" s="135"/>
      <c r="UFE300" s="173"/>
      <c r="UFF300" s="173"/>
      <c r="UFG300" s="173"/>
      <c r="UFH300" s="173"/>
      <c r="UFI300" s="173"/>
      <c r="UFJ300" s="173"/>
      <c r="UFK300" s="173"/>
      <c r="UFL300" s="173"/>
      <c r="UFM300" s="173"/>
      <c r="UFN300" s="173"/>
      <c r="UFO300" s="125"/>
      <c r="UFP300" s="125"/>
      <c r="UFQ300" s="134"/>
      <c r="UFR300" s="135"/>
      <c r="UFS300" s="135"/>
      <c r="UFT300" s="135"/>
      <c r="UFU300" s="135"/>
      <c r="UFV300" s="173"/>
      <c r="UFW300" s="173"/>
      <c r="UFX300" s="173"/>
      <c r="UFY300" s="173"/>
      <c r="UFZ300" s="173"/>
      <c r="UGA300" s="173"/>
      <c r="UGB300" s="173"/>
      <c r="UGC300" s="173"/>
      <c r="UGD300" s="173"/>
      <c r="UGE300" s="173"/>
      <c r="UGF300" s="125"/>
      <c r="UGG300" s="125"/>
      <c r="UGH300" s="134"/>
      <c r="UGI300" s="135"/>
      <c r="UGJ300" s="135"/>
      <c r="UGK300" s="135"/>
      <c r="UGL300" s="135"/>
      <c r="UGM300" s="173"/>
      <c r="UGN300" s="173"/>
      <c r="UGO300" s="173"/>
      <c r="UGP300" s="173"/>
      <c r="UGQ300" s="173"/>
      <c r="UGR300" s="173"/>
      <c r="UGS300" s="173"/>
      <c r="UGT300" s="173"/>
      <c r="UGU300" s="173"/>
      <c r="UGV300" s="173"/>
      <c r="UGW300" s="125"/>
      <c r="UGX300" s="125"/>
      <c r="UGY300" s="134"/>
      <c r="UGZ300" s="135"/>
      <c r="UHA300" s="135"/>
      <c r="UHB300" s="135"/>
      <c r="UHC300" s="135"/>
      <c r="UHD300" s="173"/>
      <c r="UHE300" s="173"/>
      <c r="UHF300" s="173"/>
      <c r="UHG300" s="173"/>
      <c r="UHH300" s="173"/>
      <c r="UHI300" s="173"/>
      <c r="UHJ300" s="173"/>
      <c r="UHK300" s="173"/>
      <c r="UHL300" s="173"/>
      <c r="UHM300" s="173"/>
      <c r="UHN300" s="125"/>
      <c r="UHO300" s="125"/>
      <c r="UHP300" s="134"/>
      <c r="UHQ300" s="135"/>
      <c r="UHR300" s="135"/>
      <c r="UHS300" s="135"/>
      <c r="UHT300" s="135"/>
      <c r="UHU300" s="173"/>
      <c r="UHV300" s="173"/>
      <c r="UHW300" s="173"/>
      <c r="UHX300" s="173"/>
      <c r="UHY300" s="173"/>
      <c r="UHZ300" s="173"/>
      <c r="UIA300" s="173"/>
      <c r="UIB300" s="173"/>
      <c r="UIC300" s="173"/>
      <c r="UID300" s="173"/>
      <c r="UIE300" s="125"/>
      <c r="UIF300" s="125"/>
      <c r="UIG300" s="134"/>
      <c r="UIH300" s="135"/>
      <c r="UII300" s="135"/>
      <c r="UIJ300" s="135"/>
      <c r="UIK300" s="135"/>
      <c r="UIL300" s="173"/>
      <c r="UIM300" s="173"/>
      <c r="UIN300" s="173"/>
      <c r="UIO300" s="173"/>
      <c r="UIP300" s="173"/>
      <c r="UIQ300" s="173"/>
      <c r="UIR300" s="173"/>
      <c r="UIS300" s="173"/>
      <c r="UIT300" s="173"/>
      <c r="UIU300" s="173"/>
      <c r="UIV300" s="125"/>
      <c r="UIW300" s="125"/>
      <c r="UIX300" s="134"/>
      <c r="UIY300" s="135"/>
      <c r="UIZ300" s="135"/>
      <c r="UJA300" s="135"/>
      <c r="UJB300" s="135"/>
      <c r="UJC300" s="173"/>
      <c r="UJD300" s="173"/>
      <c r="UJE300" s="173"/>
      <c r="UJF300" s="173"/>
      <c r="UJG300" s="173"/>
      <c r="UJH300" s="173"/>
      <c r="UJI300" s="173"/>
      <c r="UJJ300" s="173"/>
      <c r="UJK300" s="173"/>
      <c r="UJL300" s="173"/>
      <c r="UJM300" s="125"/>
      <c r="UJN300" s="125"/>
      <c r="UJO300" s="134"/>
      <c r="UJP300" s="135"/>
      <c r="UJQ300" s="135"/>
      <c r="UJR300" s="135"/>
      <c r="UJS300" s="135"/>
      <c r="UJT300" s="173"/>
      <c r="UJU300" s="173"/>
      <c r="UJV300" s="173"/>
      <c r="UJW300" s="173"/>
      <c r="UJX300" s="173"/>
      <c r="UJY300" s="173"/>
      <c r="UJZ300" s="173"/>
      <c r="UKA300" s="173"/>
      <c r="UKB300" s="173"/>
      <c r="UKC300" s="173"/>
      <c r="UKD300" s="125"/>
      <c r="UKE300" s="125"/>
      <c r="UKF300" s="134"/>
      <c r="UKG300" s="135"/>
      <c r="UKH300" s="135"/>
      <c r="UKI300" s="135"/>
      <c r="UKJ300" s="135"/>
      <c r="UKK300" s="173"/>
      <c r="UKL300" s="173"/>
      <c r="UKM300" s="173"/>
      <c r="UKN300" s="173"/>
      <c r="UKO300" s="173"/>
      <c r="UKP300" s="173"/>
      <c r="UKQ300" s="173"/>
      <c r="UKR300" s="173"/>
      <c r="UKS300" s="173"/>
      <c r="UKT300" s="173"/>
      <c r="UKU300" s="125"/>
      <c r="UKV300" s="125"/>
      <c r="UKW300" s="134"/>
      <c r="UKX300" s="135"/>
      <c r="UKY300" s="135"/>
      <c r="UKZ300" s="135"/>
      <c r="ULA300" s="135"/>
      <c r="ULB300" s="173"/>
      <c r="ULC300" s="173"/>
      <c r="ULD300" s="173"/>
      <c r="ULE300" s="173"/>
      <c r="ULF300" s="173"/>
      <c r="ULG300" s="173"/>
      <c r="ULH300" s="173"/>
      <c r="ULI300" s="173"/>
      <c r="ULJ300" s="173"/>
      <c r="ULK300" s="173"/>
      <c r="ULL300" s="125"/>
      <c r="ULM300" s="125"/>
      <c r="ULN300" s="134"/>
      <c r="ULO300" s="135"/>
      <c r="ULP300" s="135"/>
      <c r="ULQ300" s="135"/>
      <c r="ULR300" s="135"/>
      <c r="ULS300" s="173"/>
      <c r="ULT300" s="173"/>
      <c r="ULU300" s="173"/>
      <c r="ULV300" s="173"/>
      <c r="ULW300" s="173"/>
      <c r="ULX300" s="173"/>
      <c r="ULY300" s="173"/>
      <c r="ULZ300" s="173"/>
      <c r="UMA300" s="173"/>
      <c r="UMB300" s="173"/>
      <c r="UMC300" s="125"/>
      <c r="UMD300" s="125"/>
      <c r="UME300" s="134"/>
      <c r="UMF300" s="135"/>
      <c r="UMG300" s="135"/>
      <c r="UMH300" s="135"/>
      <c r="UMI300" s="135"/>
      <c r="UMJ300" s="173"/>
      <c r="UMK300" s="173"/>
      <c r="UML300" s="173"/>
      <c r="UMM300" s="173"/>
      <c r="UMN300" s="173"/>
      <c r="UMO300" s="173"/>
      <c r="UMP300" s="173"/>
      <c r="UMQ300" s="173"/>
      <c r="UMR300" s="173"/>
      <c r="UMS300" s="173"/>
      <c r="UMT300" s="125"/>
      <c r="UMU300" s="125"/>
      <c r="UMV300" s="134"/>
      <c r="UMW300" s="135"/>
      <c r="UMX300" s="135"/>
      <c r="UMY300" s="135"/>
      <c r="UMZ300" s="135"/>
      <c r="UNA300" s="173"/>
      <c r="UNB300" s="173"/>
      <c r="UNC300" s="173"/>
      <c r="UND300" s="173"/>
      <c r="UNE300" s="173"/>
      <c r="UNF300" s="173"/>
      <c r="UNG300" s="173"/>
      <c r="UNH300" s="173"/>
      <c r="UNI300" s="173"/>
      <c r="UNJ300" s="173"/>
      <c r="UNK300" s="125"/>
      <c r="UNL300" s="125"/>
      <c r="UNM300" s="134"/>
      <c r="UNN300" s="135"/>
      <c r="UNO300" s="135"/>
      <c r="UNP300" s="135"/>
      <c r="UNQ300" s="135"/>
      <c r="UNR300" s="173"/>
      <c r="UNS300" s="173"/>
      <c r="UNT300" s="173"/>
      <c r="UNU300" s="173"/>
      <c r="UNV300" s="173"/>
      <c r="UNW300" s="173"/>
      <c r="UNX300" s="173"/>
      <c r="UNY300" s="173"/>
      <c r="UNZ300" s="173"/>
      <c r="UOA300" s="173"/>
      <c r="UOB300" s="125"/>
      <c r="UOC300" s="125"/>
      <c r="UOD300" s="134"/>
      <c r="UOE300" s="135"/>
      <c r="UOF300" s="135"/>
      <c r="UOG300" s="135"/>
      <c r="UOH300" s="135"/>
      <c r="UOI300" s="173"/>
      <c r="UOJ300" s="173"/>
      <c r="UOK300" s="173"/>
      <c r="UOL300" s="173"/>
      <c r="UOM300" s="173"/>
      <c r="UON300" s="173"/>
      <c r="UOO300" s="173"/>
      <c r="UOP300" s="173"/>
      <c r="UOQ300" s="173"/>
      <c r="UOR300" s="173"/>
      <c r="UOS300" s="125"/>
      <c r="UOT300" s="125"/>
      <c r="UOU300" s="134"/>
      <c r="UOV300" s="135"/>
      <c r="UOW300" s="135"/>
      <c r="UOX300" s="135"/>
      <c r="UOY300" s="135"/>
      <c r="UOZ300" s="173"/>
      <c r="UPA300" s="173"/>
      <c r="UPB300" s="173"/>
      <c r="UPC300" s="173"/>
      <c r="UPD300" s="173"/>
      <c r="UPE300" s="173"/>
      <c r="UPF300" s="173"/>
      <c r="UPG300" s="173"/>
      <c r="UPH300" s="173"/>
      <c r="UPI300" s="173"/>
      <c r="UPJ300" s="125"/>
      <c r="UPK300" s="125"/>
      <c r="UPL300" s="134"/>
      <c r="UPM300" s="135"/>
      <c r="UPN300" s="135"/>
      <c r="UPO300" s="135"/>
      <c r="UPP300" s="135"/>
      <c r="UPQ300" s="173"/>
      <c r="UPR300" s="173"/>
      <c r="UPS300" s="173"/>
      <c r="UPT300" s="173"/>
      <c r="UPU300" s="173"/>
      <c r="UPV300" s="173"/>
      <c r="UPW300" s="173"/>
      <c r="UPX300" s="173"/>
      <c r="UPY300" s="173"/>
      <c r="UPZ300" s="173"/>
      <c r="UQA300" s="125"/>
      <c r="UQB300" s="125"/>
      <c r="UQC300" s="134"/>
      <c r="UQD300" s="135"/>
      <c r="UQE300" s="135"/>
      <c r="UQF300" s="135"/>
      <c r="UQG300" s="135"/>
      <c r="UQH300" s="173"/>
      <c r="UQI300" s="173"/>
      <c r="UQJ300" s="173"/>
      <c r="UQK300" s="173"/>
      <c r="UQL300" s="173"/>
      <c r="UQM300" s="173"/>
      <c r="UQN300" s="173"/>
      <c r="UQO300" s="173"/>
      <c r="UQP300" s="173"/>
      <c r="UQQ300" s="173"/>
      <c r="UQR300" s="125"/>
      <c r="UQS300" s="125"/>
      <c r="UQT300" s="134"/>
      <c r="UQU300" s="135"/>
      <c r="UQV300" s="135"/>
      <c r="UQW300" s="135"/>
      <c r="UQX300" s="135"/>
      <c r="UQY300" s="173"/>
      <c r="UQZ300" s="173"/>
      <c r="URA300" s="173"/>
      <c r="URB300" s="173"/>
      <c r="URC300" s="173"/>
      <c r="URD300" s="173"/>
      <c r="URE300" s="173"/>
      <c r="URF300" s="173"/>
      <c r="URG300" s="173"/>
      <c r="URH300" s="173"/>
      <c r="URI300" s="125"/>
      <c r="URJ300" s="125"/>
      <c r="URK300" s="134"/>
      <c r="URL300" s="135"/>
      <c r="URM300" s="135"/>
      <c r="URN300" s="135"/>
      <c r="URO300" s="135"/>
      <c r="URP300" s="173"/>
      <c r="URQ300" s="173"/>
      <c r="URR300" s="173"/>
      <c r="URS300" s="173"/>
      <c r="URT300" s="173"/>
      <c r="URU300" s="173"/>
      <c r="URV300" s="173"/>
      <c r="URW300" s="173"/>
      <c r="URX300" s="173"/>
      <c r="URY300" s="173"/>
      <c r="URZ300" s="125"/>
      <c r="USA300" s="125"/>
      <c r="USB300" s="134"/>
      <c r="USC300" s="135"/>
      <c r="USD300" s="135"/>
      <c r="USE300" s="135"/>
      <c r="USF300" s="135"/>
      <c r="USG300" s="173"/>
      <c r="USH300" s="173"/>
      <c r="USI300" s="173"/>
      <c r="USJ300" s="173"/>
      <c r="USK300" s="173"/>
      <c r="USL300" s="173"/>
      <c r="USM300" s="173"/>
      <c r="USN300" s="173"/>
      <c r="USO300" s="173"/>
      <c r="USP300" s="173"/>
      <c r="USQ300" s="125"/>
      <c r="USR300" s="125"/>
      <c r="USS300" s="134"/>
      <c r="UST300" s="135"/>
      <c r="USU300" s="135"/>
      <c r="USV300" s="135"/>
      <c r="USW300" s="135"/>
      <c r="USX300" s="173"/>
      <c r="USY300" s="173"/>
      <c r="USZ300" s="173"/>
      <c r="UTA300" s="173"/>
      <c r="UTB300" s="173"/>
      <c r="UTC300" s="173"/>
      <c r="UTD300" s="173"/>
      <c r="UTE300" s="173"/>
      <c r="UTF300" s="173"/>
      <c r="UTG300" s="173"/>
      <c r="UTH300" s="125"/>
      <c r="UTI300" s="125"/>
      <c r="UTJ300" s="134"/>
      <c r="UTK300" s="135"/>
      <c r="UTL300" s="135"/>
      <c r="UTM300" s="135"/>
      <c r="UTN300" s="135"/>
      <c r="UTO300" s="173"/>
      <c r="UTP300" s="173"/>
      <c r="UTQ300" s="173"/>
      <c r="UTR300" s="173"/>
      <c r="UTS300" s="173"/>
      <c r="UTT300" s="173"/>
      <c r="UTU300" s="173"/>
      <c r="UTV300" s="173"/>
      <c r="UTW300" s="173"/>
      <c r="UTX300" s="173"/>
      <c r="UTY300" s="125"/>
      <c r="UTZ300" s="125"/>
      <c r="UUA300" s="134"/>
      <c r="UUB300" s="135"/>
      <c r="UUC300" s="135"/>
      <c r="UUD300" s="135"/>
      <c r="UUE300" s="135"/>
      <c r="UUF300" s="173"/>
      <c r="UUG300" s="173"/>
      <c r="UUH300" s="173"/>
      <c r="UUI300" s="173"/>
      <c r="UUJ300" s="173"/>
      <c r="UUK300" s="173"/>
      <c r="UUL300" s="173"/>
      <c r="UUM300" s="173"/>
      <c r="UUN300" s="173"/>
      <c r="UUO300" s="173"/>
      <c r="UUP300" s="125"/>
      <c r="UUQ300" s="125"/>
      <c r="UUR300" s="134"/>
      <c r="UUS300" s="135"/>
      <c r="UUT300" s="135"/>
      <c r="UUU300" s="135"/>
      <c r="UUV300" s="135"/>
      <c r="UUW300" s="173"/>
      <c r="UUX300" s="173"/>
      <c r="UUY300" s="173"/>
      <c r="UUZ300" s="173"/>
      <c r="UVA300" s="173"/>
      <c r="UVB300" s="173"/>
      <c r="UVC300" s="173"/>
      <c r="UVD300" s="173"/>
      <c r="UVE300" s="173"/>
      <c r="UVF300" s="173"/>
      <c r="UVG300" s="125"/>
      <c r="UVH300" s="125"/>
      <c r="UVI300" s="134"/>
      <c r="UVJ300" s="135"/>
      <c r="UVK300" s="135"/>
      <c r="UVL300" s="135"/>
      <c r="UVM300" s="135"/>
      <c r="UVN300" s="173"/>
      <c r="UVO300" s="173"/>
      <c r="UVP300" s="173"/>
      <c r="UVQ300" s="173"/>
      <c r="UVR300" s="173"/>
      <c r="UVS300" s="173"/>
      <c r="UVT300" s="173"/>
      <c r="UVU300" s="173"/>
      <c r="UVV300" s="173"/>
      <c r="UVW300" s="173"/>
      <c r="UVX300" s="125"/>
      <c r="UVY300" s="125"/>
      <c r="UVZ300" s="134"/>
      <c r="UWA300" s="135"/>
      <c r="UWB300" s="135"/>
      <c r="UWC300" s="135"/>
      <c r="UWD300" s="135"/>
      <c r="UWE300" s="173"/>
      <c r="UWF300" s="173"/>
      <c r="UWG300" s="173"/>
      <c r="UWH300" s="173"/>
      <c r="UWI300" s="173"/>
      <c r="UWJ300" s="173"/>
      <c r="UWK300" s="173"/>
      <c r="UWL300" s="173"/>
      <c r="UWM300" s="173"/>
      <c r="UWN300" s="173"/>
      <c r="UWO300" s="125"/>
      <c r="UWP300" s="125"/>
      <c r="UWQ300" s="134"/>
      <c r="UWR300" s="135"/>
      <c r="UWS300" s="135"/>
      <c r="UWT300" s="135"/>
      <c r="UWU300" s="135"/>
      <c r="UWV300" s="173"/>
      <c r="UWW300" s="173"/>
      <c r="UWX300" s="173"/>
      <c r="UWY300" s="173"/>
      <c r="UWZ300" s="173"/>
      <c r="UXA300" s="173"/>
      <c r="UXB300" s="173"/>
      <c r="UXC300" s="173"/>
      <c r="UXD300" s="173"/>
      <c r="UXE300" s="173"/>
      <c r="UXF300" s="125"/>
      <c r="UXG300" s="125"/>
      <c r="UXH300" s="134"/>
      <c r="UXI300" s="135"/>
      <c r="UXJ300" s="135"/>
      <c r="UXK300" s="135"/>
      <c r="UXL300" s="135"/>
      <c r="UXM300" s="173"/>
      <c r="UXN300" s="173"/>
      <c r="UXO300" s="173"/>
      <c r="UXP300" s="173"/>
      <c r="UXQ300" s="173"/>
      <c r="UXR300" s="173"/>
      <c r="UXS300" s="173"/>
      <c r="UXT300" s="173"/>
      <c r="UXU300" s="173"/>
      <c r="UXV300" s="173"/>
      <c r="UXW300" s="125"/>
      <c r="UXX300" s="125"/>
      <c r="UXY300" s="134"/>
      <c r="UXZ300" s="135"/>
      <c r="UYA300" s="135"/>
      <c r="UYB300" s="135"/>
      <c r="UYC300" s="135"/>
      <c r="UYD300" s="173"/>
      <c r="UYE300" s="173"/>
      <c r="UYF300" s="173"/>
      <c r="UYG300" s="173"/>
      <c r="UYH300" s="173"/>
      <c r="UYI300" s="173"/>
      <c r="UYJ300" s="173"/>
      <c r="UYK300" s="173"/>
      <c r="UYL300" s="173"/>
      <c r="UYM300" s="173"/>
      <c r="UYN300" s="125"/>
      <c r="UYO300" s="125"/>
      <c r="UYP300" s="134"/>
      <c r="UYQ300" s="135"/>
      <c r="UYR300" s="135"/>
      <c r="UYS300" s="135"/>
      <c r="UYT300" s="135"/>
      <c r="UYU300" s="173"/>
      <c r="UYV300" s="173"/>
      <c r="UYW300" s="173"/>
      <c r="UYX300" s="173"/>
      <c r="UYY300" s="173"/>
      <c r="UYZ300" s="173"/>
      <c r="UZA300" s="173"/>
      <c r="UZB300" s="173"/>
      <c r="UZC300" s="173"/>
      <c r="UZD300" s="173"/>
      <c r="UZE300" s="125"/>
      <c r="UZF300" s="125"/>
      <c r="UZG300" s="134"/>
      <c r="UZH300" s="135"/>
      <c r="UZI300" s="135"/>
      <c r="UZJ300" s="135"/>
      <c r="UZK300" s="135"/>
      <c r="UZL300" s="173"/>
      <c r="UZM300" s="173"/>
      <c r="UZN300" s="173"/>
      <c r="UZO300" s="173"/>
      <c r="UZP300" s="173"/>
      <c r="UZQ300" s="173"/>
      <c r="UZR300" s="173"/>
      <c r="UZS300" s="173"/>
      <c r="UZT300" s="173"/>
      <c r="UZU300" s="173"/>
      <c r="UZV300" s="125"/>
      <c r="UZW300" s="125"/>
      <c r="UZX300" s="134"/>
      <c r="UZY300" s="135"/>
      <c r="UZZ300" s="135"/>
      <c r="VAA300" s="135"/>
      <c r="VAB300" s="135"/>
      <c r="VAC300" s="173"/>
      <c r="VAD300" s="173"/>
      <c r="VAE300" s="173"/>
      <c r="VAF300" s="173"/>
      <c r="VAG300" s="173"/>
      <c r="VAH300" s="173"/>
      <c r="VAI300" s="173"/>
      <c r="VAJ300" s="173"/>
      <c r="VAK300" s="173"/>
      <c r="VAL300" s="173"/>
      <c r="VAM300" s="125"/>
      <c r="VAN300" s="125"/>
      <c r="VAO300" s="134"/>
      <c r="VAP300" s="135"/>
      <c r="VAQ300" s="135"/>
      <c r="VAR300" s="135"/>
      <c r="VAS300" s="135"/>
      <c r="VAT300" s="173"/>
      <c r="VAU300" s="173"/>
      <c r="VAV300" s="173"/>
      <c r="VAW300" s="173"/>
      <c r="VAX300" s="173"/>
      <c r="VAY300" s="173"/>
      <c r="VAZ300" s="173"/>
      <c r="VBA300" s="173"/>
      <c r="VBB300" s="173"/>
      <c r="VBC300" s="173"/>
      <c r="VBD300" s="125"/>
      <c r="VBE300" s="125"/>
      <c r="VBF300" s="134"/>
      <c r="VBG300" s="135"/>
      <c r="VBH300" s="135"/>
      <c r="VBI300" s="135"/>
      <c r="VBJ300" s="135"/>
      <c r="VBK300" s="173"/>
      <c r="VBL300" s="173"/>
      <c r="VBM300" s="173"/>
      <c r="VBN300" s="173"/>
      <c r="VBO300" s="173"/>
      <c r="VBP300" s="173"/>
      <c r="VBQ300" s="173"/>
      <c r="VBR300" s="173"/>
      <c r="VBS300" s="173"/>
      <c r="VBT300" s="173"/>
      <c r="VBU300" s="125"/>
      <c r="VBV300" s="125"/>
      <c r="VBW300" s="134"/>
      <c r="VBX300" s="135"/>
      <c r="VBY300" s="135"/>
      <c r="VBZ300" s="135"/>
      <c r="VCA300" s="135"/>
      <c r="VCB300" s="173"/>
      <c r="VCC300" s="173"/>
      <c r="VCD300" s="173"/>
      <c r="VCE300" s="173"/>
      <c r="VCF300" s="173"/>
      <c r="VCG300" s="173"/>
      <c r="VCH300" s="173"/>
      <c r="VCI300" s="173"/>
      <c r="VCJ300" s="173"/>
      <c r="VCK300" s="173"/>
      <c r="VCL300" s="125"/>
      <c r="VCM300" s="125"/>
      <c r="VCN300" s="134"/>
      <c r="VCO300" s="135"/>
      <c r="VCP300" s="135"/>
      <c r="VCQ300" s="135"/>
      <c r="VCR300" s="135"/>
      <c r="VCS300" s="173"/>
      <c r="VCT300" s="173"/>
      <c r="VCU300" s="173"/>
      <c r="VCV300" s="173"/>
      <c r="VCW300" s="173"/>
      <c r="VCX300" s="173"/>
      <c r="VCY300" s="173"/>
      <c r="VCZ300" s="173"/>
      <c r="VDA300" s="173"/>
      <c r="VDB300" s="173"/>
      <c r="VDC300" s="125"/>
      <c r="VDD300" s="125"/>
      <c r="VDE300" s="134"/>
      <c r="VDF300" s="135"/>
      <c r="VDG300" s="135"/>
      <c r="VDH300" s="135"/>
      <c r="VDI300" s="135"/>
      <c r="VDJ300" s="173"/>
      <c r="VDK300" s="173"/>
      <c r="VDL300" s="173"/>
      <c r="VDM300" s="173"/>
      <c r="VDN300" s="173"/>
      <c r="VDO300" s="173"/>
      <c r="VDP300" s="173"/>
      <c r="VDQ300" s="173"/>
      <c r="VDR300" s="173"/>
      <c r="VDS300" s="173"/>
      <c r="VDT300" s="125"/>
      <c r="VDU300" s="125"/>
      <c r="VDV300" s="134"/>
      <c r="VDW300" s="135"/>
      <c r="VDX300" s="135"/>
      <c r="VDY300" s="135"/>
      <c r="VDZ300" s="135"/>
      <c r="VEA300" s="173"/>
      <c r="VEB300" s="173"/>
      <c r="VEC300" s="173"/>
      <c r="VED300" s="173"/>
      <c r="VEE300" s="173"/>
      <c r="VEF300" s="173"/>
      <c r="VEG300" s="173"/>
      <c r="VEH300" s="173"/>
      <c r="VEI300" s="173"/>
      <c r="VEJ300" s="173"/>
      <c r="VEK300" s="125"/>
      <c r="VEL300" s="125"/>
      <c r="VEM300" s="134"/>
      <c r="VEN300" s="135"/>
      <c r="VEO300" s="135"/>
      <c r="VEP300" s="135"/>
      <c r="VEQ300" s="135"/>
      <c r="VER300" s="173"/>
      <c r="VES300" s="173"/>
      <c r="VET300" s="173"/>
      <c r="VEU300" s="173"/>
      <c r="VEV300" s="173"/>
      <c r="VEW300" s="173"/>
      <c r="VEX300" s="173"/>
      <c r="VEY300" s="173"/>
      <c r="VEZ300" s="173"/>
      <c r="VFA300" s="173"/>
      <c r="VFB300" s="125"/>
      <c r="VFC300" s="125"/>
      <c r="VFD300" s="134"/>
      <c r="VFE300" s="135"/>
      <c r="VFF300" s="135"/>
      <c r="VFG300" s="135"/>
      <c r="VFH300" s="135"/>
      <c r="VFI300" s="173"/>
      <c r="VFJ300" s="173"/>
      <c r="VFK300" s="173"/>
      <c r="VFL300" s="173"/>
      <c r="VFM300" s="173"/>
      <c r="VFN300" s="173"/>
      <c r="VFO300" s="173"/>
      <c r="VFP300" s="173"/>
      <c r="VFQ300" s="173"/>
      <c r="VFR300" s="173"/>
      <c r="VFS300" s="125"/>
      <c r="VFT300" s="125"/>
      <c r="VFU300" s="134"/>
      <c r="VFV300" s="135"/>
      <c r="VFW300" s="135"/>
      <c r="VFX300" s="135"/>
      <c r="VFY300" s="135"/>
      <c r="VFZ300" s="173"/>
      <c r="VGA300" s="173"/>
      <c r="VGB300" s="173"/>
      <c r="VGC300" s="173"/>
      <c r="VGD300" s="173"/>
      <c r="VGE300" s="173"/>
      <c r="VGF300" s="173"/>
      <c r="VGG300" s="173"/>
      <c r="VGH300" s="173"/>
      <c r="VGI300" s="173"/>
      <c r="VGJ300" s="125"/>
      <c r="VGK300" s="125"/>
      <c r="VGL300" s="134"/>
      <c r="VGM300" s="135"/>
      <c r="VGN300" s="135"/>
      <c r="VGO300" s="135"/>
      <c r="VGP300" s="135"/>
      <c r="VGQ300" s="173"/>
      <c r="VGR300" s="173"/>
      <c r="VGS300" s="173"/>
      <c r="VGT300" s="173"/>
      <c r="VGU300" s="173"/>
      <c r="VGV300" s="173"/>
      <c r="VGW300" s="173"/>
      <c r="VGX300" s="173"/>
      <c r="VGY300" s="173"/>
      <c r="VGZ300" s="173"/>
      <c r="VHA300" s="125"/>
      <c r="VHB300" s="125"/>
      <c r="VHC300" s="134"/>
      <c r="VHD300" s="135"/>
      <c r="VHE300" s="135"/>
      <c r="VHF300" s="135"/>
      <c r="VHG300" s="135"/>
      <c r="VHH300" s="173"/>
      <c r="VHI300" s="173"/>
      <c r="VHJ300" s="173"/>
      <c r="VHK300" s="173"/>
      <c r="VHL300" s="173"/>
      <c r="VHM300" s="173"/>
      <c r="VHN300" s="173"/>
      <c r="VHO300" s="173"/>
      <c r="VHP300" s="173"/>
      <c r="VHQ300" s="173"/>
      <c r="VHR300" s="125"/>
      <c r="VHS300" s="125"/>
      <c r="VHT300" s="134"/>
      <c r="VHU300" s="135"/>
      <c r="VHV300" s="135"/>
      <c r="VHW300" s="135"/>
      <c r="VHX300" s="135"/>
      <c r="VHY300" s="173"/>
      <c r="VHZ300" s="173"/>
      <c r="VIA300" s="173"/>
      <c r="VIB300" s="173"/>
      <c r="VIC300" s="173"/>
      <c r="VID300" s="173"/>
      <c r="VIE300" s="173"/>
      <c r="VIF300" s="173"/>
      <c r="VIG300" s="173"/>
      <c r="VIH300" s="173"/>
      <c r="VII300" s="125"/>
      <c r="VIJ300" s="125"/>
      <c r="VIK300" s="134"/>
      <c r="VIL300" s="135"/>
      <c r="VIM300" s="135"/>
      <c r="VIN300" s="135"/>
      <c r="VIO300" s="135"/>
      <c r="VIP300" s="173"/>
      <c r="VIQ300" s="173"/>
      <c r="VIR300" s="173"/>
      <c r="VIS300" s="173"/>
      <c r="VIT300" s="173"/>
      <c r="VIU300" s="173"/>
      <c r="VIV300" s="173"/>
      <c r="VIW300" s="173"/>
      <c r="VIX300" s="173"/>
      <c r="VIY300" s="173"/>
      <c r="VIZ300" s="125"/>
      <c r="VJA300" s="125"/>
      <c r="VJB300" s="134"/>
      <c r="VJC300" s="135"/>
      <c r="VJD300" s="135"/>
      <c r="VJE300" s="135"/>
      <c r="VJF300" s="135"/>
      <c r="VJG300" s="173"/>
      <c r="VJH300" s="173"/>
      <c r="VJI300" s="173"/>
      <c r="VJJ300" s="173"/>
      <c r="VJK300" s="173"/>
      <c r="VJL300" s="173"/>
      <c r="VJM300" s="173"/>
      <c r="VJN300" s="173"/>
      <c r="VJO300" s="173"/>
      <c r="VJP300" s="173"/>
      <c r="VJQ300" s="125"/>
      <c r="VJR300" s="125"/>
      <c r="VJS300" s="134"/>
      <c r="VJT300" s="135"/>
      <c r="VJU300" s="135"/>
      <c r="VJV300" s="135"/>
      <c r="VJW300" s="135"/>
      <c r="VJX300" s="173"/>
      <c r="VJY300" s="173"/>
      <c r="VJZ300" s="173"/>
      <c r="VKA300" s="173"/>
      <c r="VKB300" s="173"/>
      <c r="VKC300" s="173"/>
      <c r="VKD300" s="173"/>
      <c r="VKE300" s="173"/>
      <c r="VKF300" s="173"/>
      <c r="VKG300" s="173"/>
      <c r="VKH300" s="125"/>
      <c r="VKI300" s="125"/>
      <c r="VKJ300" s="134"/>
      <c r="VKK300" s="135"/>
      <c r="VKL300" s="135"/>
      <c r="VKM300" s="135"/>
      <c r="VKN300" s="135"/>
      <c r="VKO300" s="173"/>
      <c r="VKP300" s="173"/>
      <c r="VKQ300" s="173"/>
      <c r="VKR300" s="173"/>
      <c r="VKS300" s="173"/>
      <c r="VKT300" s="173"/>
      <c r="VKU300" s="173"/>
      <c r="VKV300" s="173"/>
      <c r="VKW300" s="173"/>
      <c r="VKX300" s="173"/>
      <c r="VKY300" s="125"/>
      <c r="VKZ300" s="125"/>
      <c r="VLA300" s="134"/>
      <c r="VLB300" s="135"/>
      <c r="VLC300" s="135"/>
      <c r="VLD300" s="135"/>
      <c r="VLE300" s="135"/>
      <c r="VLF300" s="173"/>
      <c r="VLG300" s="173"/>
      <c r="VLH300" s="173"/>
      <c r="VLI300" s="173"/>
      <c r="VLJ300" s="173"/>
      <c r="VLK300" s="173"/>
      <c r="VLL300" s="173"/>
      <c r="VLM300" s="173"/>
      <c r="VLN300" s="173"/>
      <c r="VLO300" s="173"/>
      <c r="VLP300" s="125"/>
      <c r="VLQ300" s="125"/>
      <c r="VLR300" s="134"/>
      <c r="VLS300" s="135"/>
      <c r="VLT300" s="135"/>
      <c r="VLU300" s="135"/>
      <c r="VLV300" s="135"/>
      <c r="VLW300" s="173"/>
      <c r="VLX300" s="173"/>
      <c r="VLY300" s="173"/>
      <c r="VLZ300" s="173"/>
      <c r="VMA300" s="173"/>
      <c r="VMB300" s="173"/>
      <c r="VMC300" s="173"/>
      <c r="VMD300" s="173"/>
      <c r="VME300" s="173"/>
      <c r="VMF300" s="173"/>
      <c r="VMG300" s="125"/>
      <c r="VMH300" s="125"/>
      <c r="VMI300" s="134"/>
      <c r="VMJ300" s="135"/>
      <c r="VMK300" s="135"/>
      <c r="VML300" s="135"/>
      <c r="VMM300" s="135"/>
      <c r="VMN300" s="173"/>
      <c r="VMO300" s="173"/>
      <c r="VMP300" s="173"/>
      <c r="VMQ300" s="173"/>
      <c r="VMR300" s="173"/>
      <c r="VMS300" s="173"/>
      <c r="VMT300" s="173"/>
      <c r="VMU300" s="173"/>
      <c r="VMV300" s="173"/>
      <c r="VMW300" s="173"/>
      <c r="VMX300" s="125"/>
      <c r="VMY300" s="125"/>
      <c r="VMZ300" s="134"/>
      <c r="VNA300" s="135"/>
      <c r="VNB300" s="135"/>
      <c r="VNC300" s="135"/>
      <c r="VND300" s="135"/>
      <c r="VNE300" s="173"/>
      <c r="VNF300" s="173"/>
      <c r="VNG300" s="173"/>
      <c r="VNH300" s="173"/>
      <c r="VNI300" s="173"/>
      <c r="VNJ300" s="173"/>
      <c r="VNK300" s="173"/>
      <c r="VNL300" s="173"/>
      <c r="VNM300" s="173"/>
      <c r="VNN300" s="173"/>
      <c r="VNO300" s="125"/>
      <c r="VNP300" s="125"/>
      <c r="VNQ300" s="134"/>
      <c r="VNR300" s="135"/>
      <c r="VNS300" s="135"/>
      <c r="VNT300" s="135"/>
      <c r="VNU300" s="135"/>
      <c r="VNV300" s="173"/>
      <c r="VNW300" s="173"/>
      <c r="VNX300" s="173"/>
      <c r="VNY300" s="173"/>
      <c r="VNZ300" s="173"/>
      <c r="VOA300" s="173"/>
      <c r="VOB300" s="173"/>
      <c r="VOC300" s="173"/>
      <c r="VOD300" s="173"/>
      <c r="VOE300" s="173"/>
      <c r="VOF300" s="125"/>
      <c r="VOG300" s="125"/>
      <c r="VOH300" s="134"/>
      <c r="VOI300" s="135"/>
      <c r="VOJ300" s="135"/>
      <c r="VOK300" s="135"/>
      <c r="VOL300" s="135"/>
      <c r="VOM300" s="173"/>
      <c r="VON300" s="173"/>
      <c r="VOO300" s="173"/>
      <c r="VOP300" s="173"/>
      <c r="VOQ300" s="173"/>
      <c r="VOR300" s="173"/>
      <c r="VOS300" s="173"/>
      <c r="VOT300" s="173"/>
      <c r="VOU300" s="173"/>
      <c r="VOV300" s="173"/>
      <c r="VOW300" s="125"/>
      <c r="VOX300" s="125"/>
      <c r="VOY300" s="134"/>
      <c r="VOZ300" s="135"/>
      <c r="VPA300" s="135"/>
      <c r="VPB300" s="135"/>
      <c r="VPC300" s="135"/>
      <c r="VPD300" s="173"/>
      <c r="VPE300" s="173"/>
      <c r="VPF300" s="173"/>
      <c r="VPG300" s="173"/>
      <c r="VPH300" s="173"/>
      <c r="VPI300" s="173"/>
      <c r="VPJ300" s="173"/>
      <c r="VPK300" s="173"/>
      <c r="VPL300" s="173"/>
      <c r="VPM300" s="173"/>
      <c r="VPN300" s="125"/>
      <c r="VPO300" s="125"/>
      <c r="VPP300" s="134"/>
      <c r="VPQ300" s="135"/>
      <c r="VPR300" s="135"/>
      <c r="VPS300" s="135"/>
      <c r="VPT300" s="135"/>
      <c r="VPU300" s="173"/>
      <c r="VPV300" s="173"/>
      <c r="VPW300" s="173"/>
      <c r="VPX300" s="173"/>
      <c r="VPY300" s="173"/>
      <c r="VPZ300" s="173"/>
      <c r="VQA300" s="173"/>
      <c r="VQB300" s="173"/>
      <c r="VQC300" s="173"/>
      <c r="VQD300" s="173"/>
      <c r="VQE300" s="125"/>
      <c r="VQF300" s="125"/>
      <c r="VQG300" s="134"/>
      <c r="VQH300" s="135"/>
      <c r="VQI300" s="135"/>
      <c r="VQJ300" s="135"/>
      <c r="VQK300" s="135"/>
      <c r="VQL300" s="173"/>
      <c r="VQM300" s="173"/>
      <c r="VQN300" s="173"/>
      <c r="VQO300" s="173"/>
      <c r="VQP300" s="173"/>
      <c r="VQQ300" s="173"/>
      <c r="VQR300" s="173"/>
      <c r="VQS300" s="173"/>
      <c r="VQT300" s="173"/>
      <c r="VQU300" s="173"/>
      <c r="VQV300" s="125"/>
      <c r="VQW300" s="125"/>
      <c r="VQX300" s="134"/>
      <c r="VQY300" s="135"/>
      <c r="VQZ300" s="135"/>
      <c r="VRA300" s="135"/>
      <c r="VRB300" s="135"/>
      <c r="VRC300" s="173"/>
      <c r="VRD300" s="173"/>
      <c r="VRE300" s="173"/>
      <c r="VRF300" s="173"/>
      <c r="VRG300" s="173"/>
      <c r="VRH300" s="173"/>
      <c r="VRI300" s="173"/>
      <c r="VRJ300" s="173"/>
      <c r="VRK300" s="173"/>
      <c r="VRL300" s="173"/>
      <c r="VRM300" s="125"/>
      <c r="VRN300" s="125"/>
      <c r="VRO300" s="134"/>
      <c r="VRP300" s="135"/>
      <c r="VRQ300" s="135"/>
      <c r="VRR300" s="135"/>
      <c r="VRS300" s="135"/>
      <c r="VRT300" s="173"/>
      <c r="VRU300" s="173"/>
      <c r="VRV300" s="173"/>
      <c r="VRW300" s="173"/>
      <c r="VRX300" s="173"/>
      <c r="VRY300" s="173"/>
      <c r="VRZ300" s="173"/>
      <c r="VSA300" s="173"/>
      <c r="VSB300" s="173"/>
      <c r="VSC300" s="173"/>
      <c r="VSD300" s="125"/>
      <c r="VSE300" s="125"/>
      <c r="VSF300" s="134"/>
      <c r="VSG300" s="135"/>
      <c r="VSH300" s="135"/>
      <c r="VSI300" s="135"/>
      <c r="VSJ300" s="135"/>
      <c r="VSK300" s="173"/>
      <c r="VSL300" s="173"/>
      <c r="VSM300" s="173"/>
      <c r="VSN300" s="173"/>
      <c r="VSO300" s="173"/>
      <c r="VSP300" s="173"/>
      <c r="VSQ300" s="173"/>
      <c r="VSR300" s="173"/>
      <c r="VSS300" s="173"/>
      <c r="VST300" s="173"/>
      <c r="VSU300" s="125"/>
      <c r="VSV300" s="125"/>
      <c r="VSW300" s="134"/>
      <c r="VSX300" s="135"/>
      <c r="VSY300" s="135"/>
      <c r="VSZ300" s="135"/>
      <c r="VTA300" s="135"/>
      <c r="VTB300" s="173"/>
      <c r="VTC300" s="173"/>
      <c r="VTD300" s="173"/>
      <c r="VTE300" s="173"/>
      <c r="VTF300" s="173"/>
      <c r="VTG300" s="173"/>
      <c r="VTH300" s="173"/>
      <c r="VTI300" s="173"/>
      <c r="VTJ300" s="173"/>
      <c r="VTK300" s="173"/>
      <c r="VTL300" s="125"/>
      <c r="VTM300" s="125"/>
      <c r="VTN300" s="134"/>
      <c r="VTO300" s="135"/>
      <c r="VTP300" s="135"/>
      <c r="VTQ300" s="135"/>
      <c r="VTR300" s="135"/>
      <c r="VTS300" s="173"/>
      <c r="VTT300" s="173"/>
      <c r="VTU300" s="173"/>
      <c r="VTV300" s="173"/>
      <c r="VTW300" s="173"/>
      <c r="VTX300" s="173"/>
      <c r="VTY300" s="173"/>
      <c r="VTZ300" s="173"/>
      <c r="VUA300" s="173"/>
      <c r="VUB300" s="173"/>
      <c r="VUC300" s="125"/>
      <c r="VUD300" s="125"/>
      <c r="VUE300" s="134"/>
      <c r="VUF300" s="135"/>
      <c r="VUG300" s="135"/>
      <c r="VUH300" s="135"/>
      <c r="VUI300" s="135"/>
      <c r="VUJ300" s="173"/>
      <c r="VUK300" s="173"/>
      <c r="VUL300" s="173"/>
      <c r="VUM300" s="173"/>
      <c r="VUN300" s="173"/>
      <c r="VUO300" s="173"/>
      <c r="VUP300" s="173"/>
      <c r="VUQ300" s="173"/>
      <c r="VUR300" s="173"/>
      <c r="VUS300" s="173"/>
      <c r="VUT300" s="125"/>
      <c r="VUU300" s="125"/>
      <c r="VUV300" s="134"/>
      <c r="VUW300" s="135"/>
      <c r="VUX300" s="135"/>
      <c r="VUY300" s="135"/>
      <c r="VUZ300" s="135"/>
      <c r="VVA300" s="173"/>
      <c r="VVB300" s="173"/>
      <c r="VVC300" s="173"/>
      <c r="VVD300" s="173"/>
      <c r="VVE300" s="173"/>
      <c r="VVF300" s="173"/>
      <c r="VVG300" s="173"/>
      <c r="VVH300" s="173"/>
      <c r="VVI300" s="173"/>
      <c r="VVJ300" s="173"/>
      <c r="VVK300" s="125"/>
      <c r="VVL300" s="125"/>
      <c r="VVM300" s="134"/>
      <c r="VVN300" s="135"/>
      <c r="VVO300" s="135"/>
      <c r="VVP300" s="135"/>
      <c r="VVQ300" s="135"/>
      <c r="VVR300" s="173"/>
      <c r="VVS300" s="173"/>
      <c r="VVT300" s="173"/>
      <c r="VVU300" s="173"/>
      <c r="VVV300" s="173"/>
      <c r="VVW300" s="173"/>
      <c r="VVX300" s="173"/>
      <c r="VVY300" s="173"/>
      <c r="VVZ300" s="173"/>
      <c r="VWA300" s="173"/>
      <c r="VWB300" s="125"/>
      <c r="VWC300" s="125"/>
      <c r="VWD300" s="134"/>
      <c r="VWE300" s="135"/>
      <c r="VWF300" s="135"/>
      <c r="VWG300" s="135"/>
      <c r="VWH300" s="135"/>
      <c r="VWI300" s="173"/>
      <c r="VWJ300" s="173"/>
      <c r="VWK300" s="173"/>
      <c r="VWL300" s="173"/>
      <c r="VWM300" s="173"/>
      <c r="VWN300" s="173"/>
      <c r="VWO300" s="173"/>
      <c r="VWP300" s="173"/>
      <c r="VWQ300" s="173"/>
      <c r="VWR300" s="173"/>
      <c r="VWS300" s="125"/>
      <c r="VWT300" s="125"/>
      <c r="VWU300" s="134"/>
      <c r="VWV300" s="135"/>
      <c r="VWW300" s="135"/>
      <c r="VWX300" s="135"/>
      <c r="VWY300" s="135"/>
      <c r="VWZ300" s="173"/>
      <c r="VXA300" s="173"/>
      <c r="VXB300" s="173"/>
      <c r="VXC300" s="173"/>
      <c r="VXD300" s="173"/>
      <c r="VXE300" s="173"/>
      <c r="VXF300" s="173"/>
      <c r="VXG300" s="173"/>
      <c r="VXH300" s="173"/>
      <c r="VXI300" s="173"/>
      <c r="VXJ300" s="125"/>
      <c r="VXK300" s="125"/>
      <c r="VXL300" s="134"/>
      <c r="VXM300" s="135"/>
      <c r="VXN300" s="135"/>
      <c r="VXO300" s="135"/>
      <c r="VXP300" s="135"/>
      <c r="VXQ300" s="173"/>
      <c r="VXR300" s="173"/>
      <c r="VXS300" s="173"/>
      <c r="VXT300" s="173"/>
      <c r="VXU300" s="173"/>
      <c r="VXV300" s="173"/>
      <c r="VXW300" s="173"/>
      <c r="VXX300" s="173"/>
      <c r="VXY300" s="173"/>
      <c r="VXZ300" s="173"/>
      <c r="VYA300" s="125"/>
      <c r="VYB300" s="125"/>
      <c r="VYC300" s="134"/>
      <c r="VYD300" s="135"/>
      <c r="VYE300" s="135"/>
      <c r="VYF300" s="135"/>
      <c r="VYG300" s="135"/>
      <c r="VYH300" s="173"/>
      <c r="VYI300" s="173"/>
      <c r="VYJ300" s="173"/>
      <c r="VYK300" s="173"/>
      <c r="VYL300" s="173"/>
      <c r="VYM300" s="173"/>
      <c r="VYN300" s="173"/>
      <c r="VYO300" s="173"/>
      <c r="VYP300" s="173"/>
      <c r="VYQ300" s="173"/>
      <c r="VYR300" s="125"/>
      <c r="VYS300" s="125"/>
      <c r="VYT300" s="134"/>
      <c r="VYU300" s="135"/>
      <c r="VYV300" s="135"/>
      <c r="VYW300" s="135"/>
      <c r="VYX300" s="135"/>
      <c r="VYY300" s="173"/>
      <c r="VYZ300" s="173"/>
      <c r="VZA300" s="173"/>
      <c r="VZB300" s="173"/>
      <c r="VZC300" s="173"/>
      <c r="VZD300" s="173"/>
      <c r="VZE300" s="173"/>
      <c r="VZF300" s="173"/>
      <c r="VZG300" s="173"/>
      <c r="VZH300" s="173"/>
      <c r="VZI300" s="125"/>
      <c r="VZJ300" s="125"/>
      <c r="VZK300" s="134"/>
      <c r="VZL300" s="135"/>
      <c r="VZM300" s="135"/>
      <c r="VZN300" s="135"/>
      <c r="VZO300" s="135"/>
      <c r="VZP300" s="173"/>
      <c r="VZQ300" s="173"/>
      <c r="VZR300" s="173"/>
      <c r="VZS300" s="173"/>
      <c r="VZT300" s="173"/>
      <c r="VZU300" s="173"/>
      <c r="VZV300" s="173"/>
      <c r="VZW300" s="173"/>
      <c r="VZX300" s="173"/>
      <c r="VZY300" s="173"/>
      <c r="VZZ300" s="125"/>
      <c r="WAA300" s="125"/>
      <c r="WAB300" s="134"/>
      <c r="WAC300" s="135"/>
      <c r="WAD300" s="135"/>
      <c r="WAE300" s="135"/>
      <c r="WAF300" s="135"/>
      <c r="WAG300" s="173"/>
      <c r="WAH300" s="173"/>
      <c r="WAI300" s="173"/>
      <c r="WAJ300" s="173"/>
      <c r="WAK300" s="173"/>
      <c r="WAL300" s="173"/>
      <c r="WAM300" s="173"/>
      <c r="WAN300" s="173"/>
      <c r="WAO300" s="173"/>
      <c r="WAP300" s="173"/>
      <c r="WAQ300" s="125"/>
      <c r="WAR300" s="125"/>
      <c r="WAS300" s="134"/>
      <c r="WAT300" s="135"/>
      <c r="WAU300" s="135"/>
      <c r="WAV300" s="135"/>
      <c r="WAW300" s="135"/>
      <c r="WAX300" s="173"/>
      <c r="WAY300" s="173"/>
      <c r="WAZ300" s="173"/>
      <c r="WBA300" s="173"/>
      <c r="WBB300" s="173"/>
      <c r="WBC300" s="173"/>
      <c r="WBD300" s="173"/>
      <c r="WBE300" s="173"/>
      <c r="WBF300" s="173"/>
      <c r="WBG300" s="173"/>
      <c r="WBH300" s="125"/>
      <c r="WBI300" s="125"/>
      <c r="WBJ300" s="134"/>
      <c r="WBK300" s="135"/>
      <c r="WBL300" s="135"/>
      <c r="WBM300" s="135"/>
      <c r="WBN300" s="135"/>
      <c r="WBO300" s="173"/>
      <c r="WBP300" s="173"/>
      <c r="WBQ300" s="173"/>
      <c r="WBR300" s="173"/>
      <c r="WBS300" s="173"/>
      <c r="WBT300" s="173"/>
      <c r="WBU300" s="173"/>
      <c r="WBV300" s="173"/>
      <c r="WBW300" s="173"/>
      <c r="WBX300" s="173"/>
      <c r="WBY300" s="125"/>
      <c r="WBZ300" s="125"/>
      <c r="WCA300" s="134"/>
      <c r="WCB300" s="135"/>
      <c r="WCC300" s="135"/>
      <c r="WCD300" s="135"/>
      <c r="WCE300" s="135"/>
      <c r="WCF300" s="173"/>
      <c r="WCG300" s="173"/>
      <c r="WCH300" s="173"/>
      <c r="WCI300" s="173"/>
      <c r="WCJ300" s="173"/>
      <c r="WCK300" s="173"/>
      <c r="WCL300" s="173"/>
      <c r="WCM300" s="173"/>
      <c r="WCN300" s="173"/>
      <c r="WCO300" s="173"/>
      <c r="WCP300" s="125"/>
      <c r="WCQ300" s="125"/>
      <c r="WCR300" s="134"/>
      <c r="WCS300" s="135"/>
      <c r="WCT300" s="135"/>
      <c r="WCU300" s="135"/>
      <c r="WCV300" s="135"/>
      <c r="WCW300" s="173"/>
      <c r="WCX300" s="173"/>
      <c r="WCY300" s="173"/>
      <c r="WCZ300" s="173"/>
      <c r="WDA300" s="173"/>
      <c r="WDB300" s="173"/>
      <c r="WDC300" s="173"/>
      <c r="WDD300" s="173"/>
      <c r="WDE300" s="173"/>
      <c r="WDF300" s="173"/>
      <c r="WDG300" s="125"/>
      <c r="WDH300" s="125"/>
      <c r="WDI300" s="134"/>
      <c r="WDJ300" s="135"/>
      <c r="WDK300" s="135"/>
      <c r="WDL300" s="135"/>
      <c r="WDM300" s="135"/>
      <c r="WDN300" s="173"/>
      <c r="WDO300" s="173"/>
      <c r="WDP300" s="173"/>
      <c r="WDQ300" s="173"/>
      <c r="WDR300" s="173"/>
      <c r="WDS300" s="173"/>
      <c r="WDT300" s="173"/>
      <c r="WDU300" s="173"/>
      <c r="WDV300" s="173"/>
      <c r="WDW300" s="173"/>
      <c r="WDX300" s="125"/>
      <c r="WDY300" s="125"/>
      <c r="WDZ300" s="134"/>
      <c r="WEA300" s="135"/>
      <c r="WEB300" s="135"/>
      <c r="WEC300" s="135"/>
      <c r="WED300" s="135"/>
      <c r="WEE300" s="173"/>
      <c r="WEF300" s="173"/>
      <c r="WEG300" s="173"/>
      <c r="WEH300" s="173"/>
      <c r="WEI300" s="173"/>
      <c r="WEJ300" s="173"/>
      <c r="WEK300" s="173"/>
      <c r="WEL300" s="173"/>
      <c r="WEM300" s="173"/>
      <c r="WEN300" s="173"/>
      <c r="WEO300" s="125"/>
      <c r="WEP300" s="125"/>
      <c r="WEQ300" s="134"/>
      <c r="WER300" s="135"/>
      <c r="WES300" s="135"/>
      <c r="WET300" s="135"/>
      <c r="WEU300" s="135"/>
      <c r="WEV300" s="173"/>
      <c r="WEW300" s="173"/>
      <c r="WEX300" s="173"/>
      <c r="WEY300" s="173"/>
      <c r="WEZ300" s="173"/>
      <c r="WFA300" s="173"/>
      <c r="WFB300" s="173"/>
      <c r="WFC300" s="173"/>
      <c r="WFD300" s="173"/>
      <c r="WFE300" s="173"/>
      <c r="WFF300" s="125"/>
      <c r="WFG300" s="125"/>
      <c r="WFH300" s="134"/>
      <c r="WFI300" s="135"/>
      <c r="WFJ300" s="135"/>
      <c r="WFK300" s="135"/>
      <c r="WFL300" s="135"/>
      <c r="WFM300" s="173"/>
      <c r="WFN300" s="173"/>
      <c r="WFO300" s="173"/>
      <c r="WFP300" s="173"/>
      <c r="WFQ300" s="173"/>
      <c r="WFR300" s="173"/>
      <c r="WFS300" s="173"/>
      <c r="WFT300" s="173"/>
      <c r="WFU300" s="173"/>
      <c r="WFV300" s="173"/>
      <c r="WFW300" s="125"/>
      <c r="WFX300" s="125"/>
      <c r="WFY300" s="134"/>
      <c r="WFZ300" s="135"/>
      <c r="WGA300" s="135"/>
      <c r="WGB300" s="135"/>
      <c r="WGC300" s="135"/>
      <c r="WGD300" s="173"/>
      <c r="WGE300" s="173"/>
      <c r="WGF300" s="173"/>
      <c r="WGG300" s="173"/>
      <c r="WGH300" s="173"/>
      <c r="WGI300" s="173"/>
      <c r="WGJ300" s="173"/>
      <c r="WGK300" s="173"/>
      <c r="WGL300" s="173"/>
      <c r="WGM300" s="173"/>
      <c r="WGN300" s="125"/>
      <c r="WGO300" s="125"/>
      <c r="WGP300" s="134"/>
      <c r="WGQ300" s="135"/>
      <c r="WGR300" s="135"/>
      <c r="WGS300" s="135"/>
      <c r="WGT300" s="135"/>
      <c r="WGU300" s="173"/>
      <c r="WGV300" s="173"/>
      <c r="WGW300" s="173"/>
      <c r="WGX300" s="173"/>
      <c r="WGY300" s="173"/>
      <c r="WGZ300" s="173"/>
      <c r="WHA300" s="173"/>
      <c r="WHB300" s="173"/>
      <c r="WHC300" s="173"/>
      <c r="WHD300" s="173"/>
      <c r="WHE300" s="125"/>
      <c r="WHF300" s="125"/>
      <c r="WHG300" s="134"/>
      <c r="WHH300" s="135"/>
      <c r="WHI300" s="135"/>
      <c r="WHJ300" s="135"/>
      <c r="WHK300" s="135"/>
      <c r="WHL300" s="173"/>
      <c r="WHM300" s="173"/>
      <c r="WHN300" s="173"/>
      <c r="WHO300" s="173"/>
      <c r="WHP300" s="173"/>
      <c r="WHQ300" s="173"/>
      <c r="WHR300" s="173"/>
      <c r="WHS300" s="173"/>
      <c r="WHT300" s="173"/>
      <c r="WHU300" s="173"/>
      <c r="WHV300" s="125"/>
      <c r="WHW300" s="125"/>
      <c r="WHX300" s="134"/>
      <c r="WHY300" s="135"/>
      <c r="WHZ300" s="135"/>
      <c r="WIA300" s="135"/>
      <c r="WIB300" s="135"/>
      <c r="WIC300" s="173"/>
      <c r="WID300" s="173"/>
      <c r="WIE300" s="173"/>
      <c r="WIF300" s="173"/>
      <c r="WIG300" s="173"/>
      <c r="WIH300" s="173"/>
      <c r="WII300" s="173"/>
      <c r="WIJ300" s="173"/>
      <c r="WIK300" s="173"/>
      <c r="WIL300" s="173"/>
      <c r="WIM300" s="125"/>
      <c r="WIN300" s="125"/>
      <c r="WIO300" s="134"/>
      <c r="WIP300" s="135"/>
      <c r="WIQ300" s="135"/>
      <c r="WIR300" s="135"/>
      <c r="WIS300" s="135"/>
      <c r="WIT300" s="173"/>
      <c r="WIU300" s="173"/>
      <c r="WIV300" s="173"/>
      <c r="WIW300" s="173"/>
      <c r="WIX300" s="173"/>
      <c r="WIY300" s="173"/>
      <c r="WIZ300" s="173"/>
      <c r="WJA300" s="173"/>
      <c r="WJB300" s="173"/>
      <c r="WJC300" s="173"/>
      <c r="WJD300" s="125"/>
      <c r="WJE300" s="125"/>
      <c r="WJF300" s="134"/>
      <c r="WJG300" s="135"/>
      <c r="WJH300" s="135"/>
      <c r="WJI300" s="135"/>
      <c r="WJJ300" s="135"/>
      <c r="WJK300" s="173"/>
      <c r="WJL300" s="173"/>
      <c r="WJM300" s="173"/>
      <c r="WJN300" s="173"/>
      <c r="WJO300" s="173"/>
      <c r="WJP300" s="173"/>
      <c r="WJQ300" s="173"/>
      <c r="WJR300" s="173"/>
      <c r="WJS300" s="173"/>
      <c r="WJT300" s="173"/>
      <c r="WJU300" s="125"/>
      <c r="WJV300" s="125"/>
      <c r="WJW300" s="134"/>
      <c r="WJX300" s="135"/>
      <c r="WJY300" s="135"/>
      <c r="WJZ300" s="135"/>
      <c r="WKA300" s="135"/>
      <c r="WKB300" s="173"/>
      <c r="WKC300" s="173"/>
      <c r="WKD300" s="173"/>
      <c r="WKE300" s="173"/>
      <c r="WKF300" s="173"/>
      <c r="WKG300" s="173"/>
      <c r="WKH300" s="173"/>
      <c r="WKI300" s="173"/>
      <c r="WKJ300" s="173"/>
      <c r="WKK300" s="173"/>
      <c r="WKL300" s="125"/>
      <c r="WKM300" s="125"/>
      <c r="WKN300" s="134"/>
      <c r="WKO300" s="135"/>
      <c r="WKP300" s="135"/>
      <c r="WKQ300" s="135"/>
      <c r="WKR300" s="135"/>
      <c r="WKS300" s="173"/>
      <c r="WKT300" s="173"/>
      <c r="WKU300" s="173"/>
      <c r="WKV300" s="173"/>
      <c r="WKW300" s="173"/>
      <c r="WKX300" s="173"/>
      <c r="WKY300" s="173"/>
      <c r="WKZ300" s="173"/>
      <c r="WLA300" s="173"/>
      <c r="WLB300" s="173"/>
      <c r="WLC300" s="125"/>
      <c r="WLD300" s="125"/>
      <c r="WLE300" s="134"/>
      <c r="WLF300" s="135"/>
      <c r="WLG300" s="135"/>
      <c r="WLH300" s="135"/>
      <c r="WLI300" s="135"/>
      <c r="WLJ300" s="173"/>
      <c r="WLK300" s="173"/>
      <c r="WLL300" s="173"/>
      <c r="WLM300" s="173"/>
      <c r="WLN300" s="173"/>
      <c r="WLO300" s="173"/>
      <c r="WLP300" s="173"/>
      <c r="WLQ300" s="173"/>
      <c r="WLR300" s="173"/>
      <c r="WLS300" s="173"/>
      <c r="WLT300" s="125"/>
      <c r="WLU300" s="125"/>
      <c r="WLV300" s="134"/>
      <c r="WLW300" s="135"/>
      <c r="WLX300" s="135"/>
      <c r="WLY300" s="135"/>
      <c r="WLZ300" s="135"/>
      <c r="WMA300" s="173"/>
      <c r="WMB300" s="173"/>
      <c r="WMC300" s="173"/>
      <c r="WMD300" s="173"/>
      <c r="WME300" s="173"/>
      <c r="WMF300" s="173"/>
      <c r="WMG300" s="173"/>
      <c r="WMH300" s="173"/>
      <c r="WMI300" s="173"/>
      <c r="WMJ300" s="173"/>
      <c r="WMK300" s="125"/>
      <c r="WML300" s="125"/>
      <c r="WMM300" s="134"/>
      <c r="WMN300" s="135"/>
      <c r="WMO300" s="135"/>
      <c r="WMP300" s="135"/>
      <c r="WMQ300" s="135"/>
      <c r="WMR300" s="173"/>
      <c r="WMS300" s="173"/>
      <c r="WMT300" s="173"/>
      <c r="WMU300" s="173"/>
      <c r="WMV300" s="173"/>
      <c r="WMW300" s="173"/>
      <c r="WMX300" s="173"/>
      <c r="WMY300" s="173"/>
      <c r="WMZ300" s="173"/>
      <c r="WNA300" s="173"/>
      <c r="WNB300" s="125"/>
      <c r="WNC300" s="125"/>
      <c r="WND300" s="134"/>
      <c r="WNE300" s="135"/>
      <c r="WNF300" s="135"/>
      <c r="WNG300" s="135"/>
      <c r="WNH300" s="135"/>
      <c r="WNI300" s="173"/>
      <c r="WNJ300" s="173"/>
      <c r="WNK300" s="173"/>
      <c r="WNL300" s="173"/>
      <c r="WNM300" s="173"/>
      <c r="WNN300" s="173"/>
      <c r="WNO300" s="173"/>
      <c r="WNP300" s="173"/>
      <c r="WNQ300" s="173"/>
      <c r="WNR300" s="173"/>
      <c r="WNS300" s="125"/>
      <c r="WNT300" s="125"/>
      <c r="WNU300" s="134"/>
      <c r="WNV300" s="135"/>
      <c r="WNW300" s="135"/>
      <c r="WNX300" s="135"/>
      <c r="WNY300" s="135"/>
      <c r="WNZ300" s="173"/>
      <c r="WOA300" s="173"/>
      <c r="WOB300" s="173"/>
      <c r="WOC300" s="173"/>
      <c r="WOD300" s="173"/>
      <c r="WOE300" s="173"/>
      <c r="WOF300" s="173"/>
      <c r="WOG300" s="173"/>
      <c r="WOH300" s="173"/>
      <c r="WOI300" s="173"/>
      <c r="WOJ300" s="125"/>
      <c r="WOK300" s="125"/>
      <c r="WOL300" s="134"/>
      <c r="WOM300" s="135"/>
      <c r="WON300" s="135"/>
      <c r="WOO300" s="135"/>
      <c r="WOP300" s="135"/>
      <c r="WOQ300" s="173"/>
      <c r="WOR300" s="173"/>
      <c r="WOS300" s="173"/>
      <c r="WOT300" s="173"/>
      <c r="WOU300" s="173"/>
      <c r="WOV300" s="173"/>
      <c r="WOW300" s="173"/>
      <c r="WOX300" s="173"/>
      <c r="WOY300" s="173"/>
      <c r="WOZ300" s="173"/>
      <c r="WPA300" s="125"/>
      <c r="WPB300" s="125"/>
      <c r="WPC300" s="134"/>
      <c r="WPD300" s="135"/>
      <c r="WPE300" s="135"/>
      <c r="WPF300" s="135"/>
      <c r="WPG300" s="135"/>
      <c r="WPH300" s="173"/>
      <c r="WPI300" s="173"/>
      <c r="WPJ300" s="173"/>
      <c r="WPK300" s="173"/>
      <c r="WPL300" s="173"/>
      <c r="WPM300" s="173"/>
      <c r="WPN300" s="173"/>
      <c r="WPO300" s="173"/>
      <c r="WPP300" s="173"/>
      <c r="WPQ300" s="173"/>
      <c r="WPR300" s="125"/>
      <c r="WPS300" s="125"/>
      <c r="WPT300" s="134"/>
      <c r="WPU300" s="135"/>
      <c r="WPV300" s="135"/>
      <c r="WPW300" s="135"/>
      <c r="WPX300" s="135"/>
      <c r="WPY300" s="173"/>
      <c r="WPZ300" s="173"/>
      <c r="WQA300" s="173"/>
      <c r="WQB300" s="173"/>
      <c r="WQC300" s="173"/>
      <c r="WQD300" s="173"/>
      <c r="WQE300" s="173"/>
      <c r="WQF300" s="173"/>
      <c r="WQG300" s="173"/>
      <c r="WQH300" s="173"/>
      <c r="WQI300" s="125"/>
      <c r="WQJ300" s="125"/>
      <c r="WQK300" s="134"/>
      <c r="WQL300" s="135"/>
      <c r="WQM300" s="135"/>
      <c r="WQN300" s="135"/>
      <c r="WQO300" s="135"/>
      <c r="WQP300" s="173"/>
      <c r="WQQ300" s="173"/>
      <c r="WQR300" s="173"/>
      <c r="WQS300" s="173"/>
      <c r="WQT300" s="173"/>
      <c r="WQU300" s="173"/>
      <c r="WQV300" s="173"/>
      <c r="WQW300" s="173"/>
      <c r="WQX300" s="173"/>
      <c r="WQY300" s="173"/>
      <c r="WQZ300" s="125"/>
      <c r="WRA300" s="125"/>
      <c r="WRB300" s="134"/>
      <c r="WRC300" s="135"/>
      <c r="WRD300" s="135"/>
      <c r="WRE300" s="135"/>
      <c r="WRF300" s="135"/>
      <c r="WRG300" s="173"/>
      <c r="WRH300" s="173"/>
      <c r="WRI300" s="173"/>
      <c r="WRJ300" s="173"/>
      <c r="WRK300" s="173"/>
      <c r="WRL300" s="173"/>
      <c r="WRM300" s="173"/>
      <c r="WRN300" s="173"/>
      <c r="WRO300" s="173"/>
      <c r="WRP300" s="173"/>
      <c r="WRQ300" s="125"/>
      <c r="WRR300" s="125"/>
      <c r="WRS300" s="134"/>
      <c r="WRT300" s="135"/>
      <c r="WRU300" s="135"/>
      <c r="WRV300" s="135"/>
      <c r="WRW300" s="135"/>
      <c r="WRX300" s="173"/>
      <c r="WRY300" s="173"/>
      <c r="WRZ300" s="173"/>
      <c r="WSA300" s="173"/>
      <c r="WSB300" s="173"/>
      <c r="WSC300" s="173"/>
      <c r="WSD300" s="173"/>
      <c r="WSE300" s="173"/>
      <c r="WSF300" s="173"/>
      <c r="WSG300" s="173"/>
      <c r="WSH300" s="125"/>
      <c r="WSI300" s="125"/>
      <c r="WSJ300" s="134"/>
      <c r="WSK300" s="135"/>
      <c r="WSL300" s="135"/>
      <c r="WSM300" s="135"/>
      <c r="WSN300" s="135"/>
      <c r="WSO300" s="173"/>
      <c r="WSP300" s="173"/>
      <c r="WSQ300" s="173"/>
      <c r="WSR300" s="173"/>
      <c r="WSS300" s="173"/>
      <c r="WST300" s="173"/>
      <c r="WSU300" s="173"/>
      <c r="WSV300" s="173"/>
      <c r="WSW300" s="173"/>
      <c r="WSX300" s="173"/>
      <c r="WSY300" s="125"/>
      <c r="WSZ300" s="125"/>
      <c r="WTA300" s="134"/>
      <c r="WTB300" s="135"/>
      <c r="WTC300" s="135"/>
      <c r="WTD300" s="135"/>
      <c r="WTE300" s="135"/>
      <c r="WTF300" s="173"/>
      <c r="WTG300" s="173"/>
      <c r="WTH300" s="173"/>
      <c r="WTI300" s="173"/>
      <c r="WTJ300" s="173"/>
      <c r="WTK300" s="173"/>
      <c r="WTL300" s="173"/>
      <c r="WTM300" s="173"/>
      <c r="WTN300" s="173"/>
      <c r="WTO300" s="173"/>
      <c r="WTP300" s="125"/>
      <c r="WTQ300" s="125"/>
      <c r="WTR300" s="134"/>
      <c r="WTS300" s="135"/>
      <c r="WTT300" s="135"/>
      <c r="WTU300" s="135"/>
      <c r="WTV300" s="135"/>
      <c r="WTW300" s="173"/>
      <c r="WTX300" s="173"/>
      <c r="WTY300" s="173"/>
      <c r="WTZ300" s="173"/>
      <c r="WUA300" s="173"/>
      <c r="WUB300" s="173"/>
      <c r="WUC300" s="173"/>
      <c r="WUD300" s="173"/>
      <c r="WUE300" s="173"/>
      <c r="WUF300" s="173"/>
      <c r="WUG300" s="125"/>
      <c r="WUH300" s="125"/>
      <c r="WUI300" s="134"/>
      <c r="WUJ300" s="135"/>
      <c r="WUK300" s="135"/>
      <c r="WUL300" s="135"/>
      <c r="WUM300" s="135"/>
      <c r="WUN300" s="173"/>
      <c r="WUO300" s="173"/>
      <c r="WUP300" s="173"/>
      <c r="WUQ300" s="173"/>
      <c r="WUR300" s="173"/>
      <c r="WUS300" s="173"/>
      <c r="WUT300" s="173"/>
      <c r="WUU300" s="173"/>
      <c r="WUV300" s="173"/>
      <c r="WUW300" s="173"/>
      <c r="WUX300" s="125"/>
      <c r="WUY300" s="125"/>
      <c r="WUZ300" s="134"/>
      <c r="WVA300" s="135"/>
      <c r="WVB300" s="135"/>
      <c r="WVC300" s="135"/>
      <c r="WVD300" s="135"/>
      <c r="WVE300" s="173"/>
      <c r="WVF300" s="173"/>
      <c r="WVG300" s="173"/>
      <c r="WVH300" s="173"/>
      <c r="WVI300" s="173"/>
      <c r="WVJ300" s="173"/>
      <c r="WVK300" s="173"/>
      <c r="WVL300" s="173"/>
      <c r="WVM300" s="173"/>
      <c r="WVN300" s="173"/>
      <c r="WVO300" s="125"/>
      <c r="WVP300" s="125"/>
      <c r="WVQ300" s="134"/>
      <c r="WVR300" s="135"/>
      <c r="WVS300" s="135"/>
      <c r="WVT300" s="135"/>
      <c r="WVU300" s="135"/>
      <c r="WVV300" s="173"/>
      <c r="WVW300" s="173"/>
      <c r="WVX300" s="173"/>
      <c r="WVY300" s="173"/>
      <c r="WVZ300" s="173"/>
      <c r="WWA300" s="173"/>
      <c r="WWB300" s="173"/>
      <c r="WWC300" s="173"/>
      <c r="WWD300" s="173"/>
      <c r="WWE300" s="173"/>
      <c r="WWF300" s="125"/>
      <c r="WWG300" s="125"/>
      <c r="WWH300" s="134"/>
      <c r="WWI300" s="135"/>
      <c r="WWJ300" s="135"/>
      <c r="WWK300" s="135"/>
      <c r="WWL300" s="135"/>
      <c r="WWM300" s="173"/>
      <c r="WWN300" s="173"/>
      <c r="WWO300" s="173"/>
      <c r="WWP300" s="173"/>
      <c r="WWQ300" s="173"/>
      <c r="WWR300" s="173"/>
      <c r="WWS300" s="173"/>
      <c r="WWT300" s="173"/>
      <c r="WWU300" s="173"/>
      <c r="WWV300" s="173"/>
      <c r="WWW300" s="125"/>
      <c r="WWX300" s="125"/>
      <c r="WWY300" s="134"/>
      <c r="WWZ300" s="135"/>
      <c r="WXA300" s="135"/>
      <c r="WXB300" s="135"/>
      <c r="WXC300" s="135"/>
      <c r="WXD300" s="173"/>
      <c r="WXE300" s="173"/>
      <c r="WXF300" s="173"/>
      <c r="WXG300" s="173"/>
      <c r="WXH300" s="173"/>
      <c r="WXI300" s="173"/>
      <c r="WXJ300" s="173"/>
      <c r="WXK300" s="173"/>
      <c r="WXL300" s="173"/>
      <c r="WXM300" s="173"/>
      <c r="WXN300" s="125"/>
      <c r="WXO300" s="125"/>
      <c r="WXP300" s="134"/>
      <c r="WXQ300" s="135"/>
      <c r="WXR300" s="135"/>
      <c r="WXS300" s="135"/>
      <c r="WXT300" s="135"/>
      <c r="WXU300" s="173"/>
      <c r="WXV300" s="173"/>
      <c r="WXW300" s="173"/>
      <c r="WXX300" s="173"/>
      <c r="WXY300" s="173"/>
      <c r="WXZ300" s="173"/>
      <c r="WYA300" s="173"/>
      <c r="WYB300" s="173"/>
      <c r="WYC300" s="173"/>
      <c r="WYD300" s="173"/>
      <c r="WYE300" s="125"/>
      <c r="WYF300" s="125"/>
      <c r="WYG300" s="134"/>
      <c r="WYH300" s="135"/>
      <c r="WYI300" s="135"/>
      <c r="WYJ300" s="135"/>
      <c r="WYK300" s="135"/>
      <c r="WYL300" s="173"/>
      <c r="WYM300" s="173"/>
      <c r="WYN300" s="173"/>
      <c r="WYO300" s="173"/>
      <c r="WYP300" s="173"/>
      <c r="WYQ300" s="173"/>
      <c r="WYR300" s="173"/>
      <c r="WYS300" s="173"/>
      <c r="WYT300" s="173"/>
      <c r="WYU300" s="173"/>
      <c r="WYV300" s="125"/>
      <c r="WYW300" s="125"/>
      <c r="WYX300" s="134"/>
      <c r="WYY300" s="135"/>
      <c r="WYZ300" s="135"/>
      <c r="WZA300" s="135"/>
      <c r="WZB300" s="135"/>
      <c r="WZC300" s="173"/>
      <c r="WZD300" s="173"/>
      <c r="WZE300" s="173"/>
      <c r="WZF300" s="173"/>
      <c r="WZG300" s="173"/>
      <c r="WZH300" s="173"/>
      <c r="WZI300" s="173"/>
      <c r="WZJ300" s="173"/>
      <c r="WZK300" s="173"/>
      <c r="WZL300" s="173"/>
      <c r="WZM300" s="125"/>
      <c r="WZN300" s="125"/>
      <c r="WZO300" s="134"/>
      <c r="WZP300" s="135"/>
      <c r="WZQ300" s="135"/>
      <c r="WZR300" s="135"/>
      <c r="WZS300" s="135"/>
      <c r="WZT300" s="173"/>
      <c r="WZU300" s="173"/>
      <c r="WZV300" s="173"/>
      <c r="WZW300" s="173"/>
      <c r="WZX300" s="173"/>
      <c r="WZY300" s="173"/>
      <c r="WZZ300" s="173"/>
      <c r="XAA300" s="173"/>
      <c r="XAB300" s="173"/>
      <c r="XAC300" s="173"/>
      <c r="XAD300" s="125"/>
      <c r="XAE300" s="125"/>
      <c r="XAF300" s="134"/>
      <c r="XAG300" s="135"/>
      <c r="XAH300" s="135"/>
      <c r="XAI300" s="135"/>
      <c r="XAJ300" s="135"/>
      <c r="XAK300" s="173"/>
      <c r="XAL300" s="173"/>
      <c r="XAM300" s="173"/>
      <c r="XAN300" s="173"/>
      <c r="XAO300" s="173"/>
      <c r="XAP300" s="173"/>
      <c r="XAQ300" s="173"/>
      <c r="XAR300" s="173"/>
      <c r="XAS300" s="173"/>
      <c r="XAT300" s="173"/>
      <c r="XAU300" s="125"/>
      <c r="XAV300" s="125"/>
      <c r="XAW300" s="134"/>
      <c r="XAX300" s="135"/>
      <c r="XAY300" s="135"/>
      <c r="XAZ300" s="135"/>
      <c r="XBA300" s="135"/>
      <c r="XBB300" s="173"/>
      <c r="XBC300" s="173"/>
      <c r="XBD300" s="173"/>
      <c r="XBE300" s="173"/>
      <c r="XBF300" s="173"/>
      <c r="XBG300" s="173"/>
      <c r="XBH300" s="173"/>
      <c r="XBI300" s="173"/>
      <c r="XBJ300" s="173"/>
      <c r="XBK300" s="173"/>
      <c r="XBL300" s="125"/>
      <c r="XBM300" s="125"/>
      <c r="XBN300" s="134"/>
      <c r="XBO300" s="135"/>
      <c r="XBP300" s="135"/>
      <c r="XBQ300" s="135"/>
      <c r="XBR300" s="135"/>
      <c r="XBS300" s="173"/>
      <c r="XBT300" s="173"/>
      <c r="XBU300" s="173"/>
      <c r="XBV300" s="173"/>
      <c r="XBW300" s="173"/>
      <c r="XBX300" s="173"/>
      <c r="XBY300" s="173"/>
      <c r="XBZ300" s="173"/>
      <c r="XCA300" s="173"/>
      <c r="XCB300" s="173"/>
      <c r="XCC300" s="125"/>
      <c r="XCD300" s="125"/>
      <c r="XCE300" s="134"/>
      <c r="XCF300" s="135"/>
      <c r="XCG300" s="135"/>
      <c r="XCH300" s="135"/>
      <c r="XCI300" s="135"/>
      <c r="XCJ300" s="173"/>
      <c r="XCK300" s="173"/>
      <c r="XCL300" s="173"/>
      <c r="XCM300" s="173"/>
      <c r="XCN300" s="173"/>
      <c r="XCO300" s="173"/>
      <c r="XCP300" s="173"/>
      <c r="XCQ300" s="173"/>
      <c r="XCR300" s="173"/>
      <c r="XCS300" s="173"/>
      <c r="XCT300" s="125"/>
      <c r="XCU300" s="125"/>
      <c r="XCV300" s="134"/>
      <c r="XCW300" s="135"/>
      <c r="XCX300" s="135"/>
      <c r="XCY300" s="135"/>
      <c r="XCZ300" s="135"/>
      <c r="XDA300" s="173"/>
      <c r="XDB300" s="173"/>
      <c r="XDC300" s="173"/>
      <c r="XDD300" s="173"/>
      <c r="XDE300" s="173"/>
      <c r="XDF300" s="173"/>
      <c r="XDG300" s="173"/>
      <c r="XDH300" s="173"/>
      <c r="XDI300" s="173"/>
      <c r="XDJ300" s="173"/>
      <c r="XDK300" s="125"/>
      <c r="XDL300" s="125"/>
      <c r="XDM300" s="134"/>
      <c r="XDN300" s="135"/>
      <c r="XDO300" s="135"/>
      <c r="XDP300" s="135"/>
      <c r="XDQ300" s="135"/>
      <c r="XDR300" s="173"/>
      <c r="XDS300" s="173"/>
      <c r="XDT300" s="173"/>
      <c r="XDU300" s="173"/>
      <c r="XDV300" s="173"/>
      <c r="XDW300" s="173"/>
      <c r="XDX300" s="173"/>
      <c r="XDY300" s="173"/>
      <c r="XDZ300" s="173"/>
      <c r="XEA300" s="173"/>
      <c r="XEB300" s="125"/>
      <c r="XEC300" s="125"/>
      <c r="XED300" s="134"/>
      <c r="XEE300" s="135"/>
      <c r="XEF300" s="135"/>
      <c r="XEG300" s="135"/>
      <c r="XEH300" s="135"/>
      <c r="XEI300" s="173"/>
      <c r="XEJ300" s="173"/>
      <c r="XEK300" s="173"/>
      <c r="XEL300" s="173"/>
      <c r="XEM300" s="173"/>
      <c r="XEN300" s="173"/>
      <c r="XEO300" s="173"/>
      <c r="XEP300" s="173"/>
      <c r="XEQ300" s="173"/>
      <c r="XER300" s="173"/>
      <c r="XES300" s="125"/>
      <c r="XET300" s="125"/>
      <c r="XEU300" s="134"/>
      <c r="XEV300" s="135"/>
      <c r="XEW300" s="135"/>
      <c r="XEX300" s="135"/>
      <c r="XEY300" s="135"/>
      <c r="XEZ300" s="173"/>
      <c r="XFA300" s="173"/>
      <c r="XFB300" s="173"/>
    </row>
    <row r="301" spans="1:16382">
      <c r="C301" s="164" t="s">
        <v>184</v>
      </c>
      <c r="G301" s="164"/>
      <c r="J301" s="170"/>
      <c r="K301" s="170"/>
      <c r="L301" s="170"/>
      <c r="M301" s="170"/>
      <c r="N301" s="204"/>
      <c r="O301" s="204"/>
      <c r="P301" s="204"/>
      <c r="Q301" s="204"/>
      <c r="R301" s="204"/>
      <c r="S301"/>
      <c r="T301"/>
      <c r="U301"/>
      <c r="V301"/>
      <c r="W301"/>
      <c r="X301"/>
      <c r="Y301"/>
      <c r="AA301"/>
      <c r="AB301"/>
      <c r="AC301"/>
      <c r="AD301"/>
      <c r="AE301"/>
      <c r="AF301"/>
    </row>
    <row r="302" spans="1:16382">
      <c r="A302" s="129" t="str">
        <f>'[7]Input sheet'!A123</f>
        <v>Turkey</v>
      </c>
      <c r="B302" s="129" t="str">
        <f>'[7]Input sheet'!B123</f>
        <v>Tourism Spend Factors</v>
      </c>
      <c r="C302" s="129" t="str">
        <f>'[7]Input sheet'!C123</f>
        <v>Average National Tourism Spend per Day of Trip</v>
      </c>
      <c r="D302" s="15" t="str">
        <f>'[7]Input sheet'!D123</f>
        <v>Domestic Trips</v>
      </c>
      <c r="E302"/>
      <c r="F302"/>
      <c r="G302" s="1" t="str">
        <f>Home!$B$2</f>
        <v>Foriant</v>
      </c>
      <c r="H302" s="57">
        <f t="shared" ref="H302:M302" si="211">(H5*1000)/(H496*H502)</f>
        <v>1331.6424717599295</v>
      </c>
      <c r="I302" s="57">
        <f t="shared" si="211"/>
        <v>1417.0421011224701</v>
      </c>
      <c r="J302" s="57">
        <f t="shared" si="211"/>
        <v>1528.03545981599</v>
      </c>
      <c r="K302" s="57">
        <f t="shared" si="211"/>
        <v>1242.8506018320622</v>
      </c>
      <c r="L302" s="57">
        <f t="shared" si="211"/>
        <v>1316.5947521222115</v>
      </c>
      <c r="M302" s="57">
        <f t="shared" si="211"/>
        <v>1290.2299158487594</v>
      </c>
      <c r="N302" s="57">
        <f>N5*1000/(N496*N502)</f>
        <v>1387.0761064907124</v>
      </c>
      <c r="O302" s="57">
        <f>O5*1000/(O496*O502)</f>
        <v>1304.2621684486851</v>
      </c>
      <c r="P302" s="57">
        <f>P5*1000/(P496*P502)</f>
        <v>1283.618110840529</v>
      </c>
      <c r="Q302" s="57">
        <f>Q5*1000/(Q496*Q502)</f>
        <v>1264.2630215822614</v>
      </c>
      <c r="R302" s="57">
        <f>R5*1000/(R496*R502)</f>
        <v>1252.6886784811279</v>
      </c>
      <c r="S302"/>
      <c r="T302"/>
      <c r="U302"/>
      <c r="V302"/>
      <c r="W302"/>
      <c r="X302"/>
      <c r="Y302"/>
      <c r="AA302"/>
      <c r="AB302"/>
      <c r="AC302"/>
      <c r="AD302"/>
      <c r="AE302"/>
      <c r="AF302"/>
    </row>
    <row r="303" spans="1:16382">
      <c r="C303" s="164" t="s">
        <v>184</v>
      </c>
      <c r="G303" s="164" t="s">
        <v>176</v>
      </c>
      <c r="J303" s="170">
        <f t="shared" ref="J303:R303" si="212">J302/I302-1</f>
        <v>7.8327495425576821E-2</v>
      </c>
      <c r="K303" s="170">
        <f t="shared" si="212"/>
        <v>-0.18663497378409688</v>
      </c>
      <c r="L303" s="170">
        <f t="shared" si="212"/>
        <v>5.9334686068819975E-2</v>
      </c>
      <c r="M303" s="170">
        <f t="shared" si="212"/>
        <v>-2.0025020023021312E-2</v>
      </c>
      <c r="N303" s="170">
        <f t="shared" si="212"/>
        <v>7.5061188283054303E-2</v>
      </c>
      <c r="O303" s="170">
        <f t="shared" si="212"/>
        <v>-5.9703961199032984E-2</v>
      </c>
      <c r="P303" s="170">
        <f t="shared" si="212"/>
        <v>-1.582815028109763E-2</v>
      </c>
      <c r="Q303" s="170">
        <f t="shared" si="212"/>
        <v>-1.5078541736680218E-2</v>
      </c>
      <c r="R303" s="170">
        <f t="shared" si="212"/>
        <v>-9.1550119742076497E-3</v>
      </c>
      <c r="S303"/>
      <c r="T303"/>
      <c r="U303"/>
      <c r="V303"/>
      <c r="W303"/>
      <c r="X303"/>
      <c r="Y303"/>
      <c r="AA303"/>
      <c r="AB303"/>
      <c r="AC303"/>
      <c r="AD303"/>
      <c r="AE303"/>
      <c r="AF303"/>
    </row>
    <row r="304" spans="1:16382">
      <c r="A304" s="129" t="str">
        <f>'[7]Input sheet'!A124</f>
        <v>Turkey</v>
      </c>
      <c r="B304" s="129" t="str">
        <f>'[7]Input sheet'!B124</f>
        <v>Tourism Spend Factors</v>
      </c>
      <c r="C304" s="129" t="str">
        <f>'[7]Input sheet'!C124</f>
        <v>Average National Tourism Spend per Day of Trip</v>
      </c>
      <c r="D304" s="15" t="str">
        <f>'[7]Input sheet'!D124</f>
        <v>International Trips</v>
      </c>
      <c r="E304"/>
      <c r="F304"/>
      <c r="G304" s="1" t="str">
        <f>Home!$B$2</f>
        <v>Foriant</v>
      </c>
      <c r="H304" s="57">
        <f t="shared" ref="H304" si="213">(H37*1000)/(H498*H504)</f>
        <v>35291.449394592033</v>
      </c>
      <c r="I304" s="57">
        <f t="shared" ref="I304:R304" si="214">(I37*1000)/(I498*I504)</f>
        <v>34892.752555053383</v>
      </c>
      <c r="J304" s="57">
        <f t="shared" si="214"/>
        <v>37029.902497185154</v>
      </c>
      <c r="K304" s="57">
        <f t="shared" si="214"/>
        <v>39285.380935609501</v>
      </c>
      <c r="L304" s="57">
        <f t="shared" si="214"/>
        <v>39929.546656898143</v>
      </c>
      <c r="M304" s="57">
        <f t="shared" si="214"/>
        <v>43488.547664638376</v>
      </c>
      <c r="N304" s="57">
        <f t="shared" si="214"/>
        <v>43493.66959731833</v>
      </c>
      <c r="O304" s="57">
        <f t="shared" si="214"/>
        <v>44296.851653204954</v>
      </c>
      <c r="P304" s="57">
        <f t="shared" si="214"/>
        <v>42699.884473005288</v>
      </c>
      <c r="Q304" s="57">
        <f t="shared" si="214"/>
        <v>44446.824094066367</v>
      </c>
      <c r="R304" s="57">
        <f t="shared" si="214"/>
        <v>46970.690648280462</v>
      </c>
      <c r="S304"/>
      <c r="T304"/>
      <c r="U304"/>
      <c r="V304"/>
      <c r="W304"/>
      <c r="X304"/>
      <c r="Y304"/>
      <c r="AA304"/>
      <c r="AB304"/>
      <c r="AC304"/>
      <c r="AD304"/>
      <c r="AE304"/>
      <c r="AF304"/>
    </row>
    <row r="305" spans="1:16382">
      <c r="C305" s="164" t="s">
        <v>184</v>
      </c>
      <c r="G305" s="164" t="s">
        <v>176</v>
      </c>
      <c r="J305" s="170">
        <f t="shared" ref="J305:R305" si="215">J304/I304-1</f>
        <v>6.1249107211011733E-2</v>
      </c>
      <c r="K305" s="170">
        <f t="shared" si="215"/>
        <v>6.0909651020436772E-2</v>
      </c>
      <c r="L305" s="170">
        <f t="shared" si="215"/>
        <v>1.6397084766581749E-2</v>
      </c>
      <c r="M305" s="170">
        <f t="shared" si="215"/>
        <v>8.9132016406837655E-2</v>
      </c>
      <c r="N305" s="170">
        <f t="shared" si="215"/>
        <v>1.1777658613598696E-4</v>
      </c>
      <c r="O305" s="170">
        <f t="shared" si="215"/>
        <v>1.8466642693587332E-2</v>
      </c>
      <c r="P305" s="170">
        <f t="shared" si="215"/>
        <v>-3.6051482681029867E-2</v>
      </c>
      <c r="Q305" s="170">
        <f t="shared" si="215"/>
        <v>4.0912045609057479E-2</v>
      </c>
      <c r="R305" s="170">
        <f t="shared" si="215"/>
        <v>5.6783957136569141E-2</v>
      </c>
      <c r="S305"/>
      <c r="T305"/>
      <c r="U305"/>
      <c r="V305"/>
      <c r="W305"/>
      <c r="X305"/>
      <c r="Y305"/>
      <c r="AA305"/>
      <c r="AB305"/>
      <c r="AC305"/>
      <c r="AD305"/>
      <c r="AE305"/>
      <c r="AF305"/>
    </row>
    <row r="306" spans="1:16382" customFormat="1">
      <c r="A306" s="125" t="str">
        <f>'[7]Input sheet'!A125</f>
        <v>Turkey</v>
      </c>
      <c r="B306" s="125" t="str">
        <f>'[7]Input sheet'!B125</f>
        <v>Tourism Spend Factors</v>
      </c>
      <c r="C306" s="134" t="str">
        <f>'[7]Input sheet'!C125</f>
        <v>Percentage of Total Resident Income Spent on Tourism</v>
      </c>
      <c r="D306" s="135"/>
      <c r="E306" s="135"/>
      <c r="F306" s="135"/>
      <c r="G306" s="134" t="str">
        <f>'[7]Input sheet'!G125</f>
        <v>%</v>
      </c>
      <c r="H306" s="186">
        <f>H308+H310</f>
        <v>6.9136276042398817E-2</v>
      </c>
      <c r="I306" s="186">
        <f>I308+I310</f>
        <v>7.1415364293478362E-2</v>
      </c>
      <c r="J306" s="186">
        <f t="shared" ref="J306:M306" si="216">J308+J310</f>
        <v>6.786261896149616E-2</v>
      </c>
      <c r="K306" s="186">
        <f t="shared" si="216"/>
        <v>6.9310260794080161E-2</v>
      </c>
      <c r="L306" s="186">
        <f t="shared" si="216"/>
        <v>6.883679566972159E-2</v>
      </c>
      <c r="M306" s="186">
        <f t="shared" si="216"/>
        <v>6.8995049322970972E-2</v>
      </c>
      <c r="N306" s="186">
        <f>N308+N310</f>
        <v>6.4201402066190641E-2</v>
      </c>
      <c r="O306" s="186">
        <f>O308+O310</f>
        <v>6.4778237115317203E-2</v>
      </c>
      <c r="P306" s="186">
        <f>P308+P310</f>
        <v>6.8792252943396581E-2</v>
      </c>
      <c r="Q306" s="186">
        <f>Q308+Q310</f>
        <v>7.8641897250610271E-2</v>
      </c>
      <c r="R306" s="186">
        <f>R308+R310</f>
        <v>8.7191195516236858E-2</v>
      </c>
      <c r="AG306" s="173"/>
      <c r="AH306" s="173"/>
      <c r="AI306" s="173"/>
      <c r="AJ306" s="125"/>
      <c r="AK306" s="125"/>
      <c r="AL306" s="134"/>
      <c r="AM306" s="135"/>
      <c r="AN306" s="135"/>
      <c r="AO306" s="135"/>
      <c r="AP306" s="135"/>
      <c r="AQ306" s="173"/>
      <c r="AR306" s="173"/>
      <c r="AS306" s="173"/>
      <c r="AT306" s="173"/>
      <c r="AU306" s="173"/>
      <c r="AV306" s="173"/>
      <c r="AW306" s="173"/>
      <c r="AX306" s="173"/>
      <c r="AY306" s="173"/>
      <c r="AZ306" s="173"/>
      <c r="BA306" s="125"/>
      <c r="BB306" s="125"/>
      <c r="BC306" s="134"/>
      <c r="BD306" s="135"/>
      <c r="BE306" s="135"/>
      <c r="BF306" s="135"/>
      <c r="BG306" s="135"/>
      <c r="BH306" s="173"/>
      <c r="BI306" s="173"/>
      <c r="BJ306" s="173"/>
      <c r="BK306" s="173"/>
      <c r="BL306" s="173"/>
      <c r="BM306" s="173"/>
      <c r="BN306" s="173"/>
      <c r="BO306" s="173"/>
      <c r="BP306" s="173"/>
      <c r="BQ306" s="173"/>
      <c r="BR306" s="125"/>
      <c r="BS306" s="125"/>
      <c r="BT306" s="134"/>
      <c r="BU306" s="135"/>
      <c r="BV306" s="135"/>
      <c r="BW306" s="135"/>
      <c r="BX306" s="135"/>
      <c r="BY306" s="173"/>
      <c r="BZ306" s="173"/>
      <c r="CA306" s="173"/>
      <c r="CB306" s="173"/>
      <c r="CC306" s="173"/>
      <c r="CD306" s="173"/>
      <c r="CE306" s="173"/>
      <c r="CF306" s="173"/>
      <c r="CG306" s="173"/>
      <c r="CH306" s="173"/>
      <c r="CI306" s="125"/>
      <c r="CJ306" s="125"/>
      <c r="CK306" s="134"/>
      <c r="CL306" s="135"/>
      <c r="CM306" s="135"/>
      <c r="CN306" s="135"/>
      <c r="CO306" s="135"/>
      <c r="CP306" s="173"/>
      <c r="CQ306" s="173"/>
      <c r="CR306" s="173"/>
      <c r="CS306" s="173"/>
      <c r="CT306" s="173"/>
      <c r="CU306" s="173"/>
      <c r="CV306" s="173"/>
      <c r="CW306" s="173"/>
      <c r="CX306" s="173"/>
      <c r="CY306" s="173"/>
      <c r="CZ306" s="125"/>
      <c r="DA306" s="125"/>
      <c r="DB306" s="134"/>
      <c r="DC306" s="135"/>
      <c r="DD306" s="135"/>
      <c r="DE306" s="135"/>
      <c r="DF306" s="135"/>
      <c r="DG306" s="173"/>
      <c r="DH306" s="173"/>
      <c r="DI306" s="173"/>
      <c r="DJ306" s="173"/>
      <c r="DK306" s="173"/>
      <c r="DL306" s="173"/>
      <c r="DM306" s="173"/>
      <c r="DN306" s="173"/>
      <c r="DO306" s="173"/>
      <c r="DP306" s="173"/>
      <c r="DQ306" s="125"/>
      <c r="DR306" s="125"/>
      <c r="DS306" s="134"/>
      <c r="DT306" s="135"/>
      <c r="DU306" s="135"/>
      <c r="DV306" s="135"/>
      <c r="DW306" s="135"/>
      <c r="DX306" s="173"/>
      <c r="DY306" s="173"/>
      <c r="DZ306" s="173"/>
      <c r="EA306" s="173"/>
      <c r="EB306" s="173"/>
      <c r="EC306" s="173"/>
      <c r="ED306" s="173"/>
      <c r="EE306" s="173"/>
      <c r="EF306" s="173"/>
      <c r="EG306" s="173"/>
      <c r="EH306" s="125"/>
      <c r="EI306" s="125"/>
      <c r="EJ306" s="134"/>
      <c r="EK306" s="135"/>
      <c r="EL306" s="135"/>
      <c r="EM306" s="135"/>
      <c r="EN306" s="135"/>
      <c r="EO306" s="173"/>
      <c r="EP306" s="173"/>
      <c r="EQ306" s="173"/>
      <c r="ER306" s="173"/>
      <c r="ES306" s="173"/>
      <c r="ET306" s="173"/>
      <c r="EU306" s="173"/>
      <c r="EV306" s="173"/>
      <c r="EW306" s="173"/>
      <c r="EX306" s="173"/>
      <c r="EY306" s="125"/>
      <c r="EZ306" s="125"/>
      <c r="FA306" s="134"/>
      <c r="FB306" s="135"/>
      <c r="FC306" s="135"/>
      <c r="FD306" s="135"/>
      <c r="FE306" s="135"/>
      <c r="FF306" s="173"/>
      <c r="FG306" s="173"/>
      <c r="FH306" s="173"/>
      <c r="FI306" s="173"/>
      <c r="FJ306" s="173"/>
      <c r="FK306" s="173"/>
      <c r="FL306" s="173"/>
      <c r="FM306" s="173"/>
      <c r="FN306" s="173"/>
      <c r="FO306" s="173"/>
      <c r="FP306" s="125"/>
      <c r="FQ306" s="125"/>
      <c r="FR306" s="134"/>
      <c r="FS306" s="135"/>
      <c r="FT306" s="135"/>
      <c r="FU306" s="135"/>
      <c r="FV306" s="135"/>
      <c r="FW306" s="173"/>
      <c r="FX306" s="173"/>
      <c r="FY306" s="173"/>
      <c r="FZ306" s="173"/>
      <c r="GA306" s="173"/>
      <c r="GB306" s="173"/>
      <c r="GC306" s="173"/>
      <c r="GD306" s="173"/>
      <c r="GE306" s="173"/>
      <c r="GF306" s="173"/>
      <c r="GG306" s="125"/>
      <c r="GH306" s="125"/>
      <c r="GI306" s="134"/>
      <c r="GJ306" s="135"/>
      <c r="GK306" s="135"/>
      <c r="GL306" s="135"/>
      <c r="GM306" s="135"/>
      <c r="GN306" s="173"/>
      <c r="GO306" s="173"/>
      <c r="GP306" s="173"/>
      <c r="GQ306" s="173"/>
      <c r="GR306" s="173"/>
      <c r="GS306" s="173"/>
      <c r="GT306" s="173"/>
      <c r="GU306" s="173"/>
      <c r="GV306" s="173"/>
      <c r="GW306" s="173"/>
      <c r="GX306" s="125"/>
      <c r="GY306" s="125"/>
      <c r="GZ306" s="134"/>
      <c r="HA306" s="135"/>
      <c r="HB306" s="135"/>
      <c r="HC306" s="135"/>
      <c r="HD306" s="135"/>
      <c r="HE306" s="173"/>
      <c r="HF306" s="173"/>
      <c r="HG306" s="173"/>
      <c r="HH306" s="173"/>
      <c r="HI306" s="173"/>
      <c r="HJ306" s="173"/>
      <c r="HK306" s="173"/>
      <c r="HL306" s="173"/>
      <c r="HM306" s="173"/>
      <c r="HN306" s="173"/>
      <c r="HO306" s="125"/>
      <c r="HP306" s="125"/>
      <c r="HQ306" s="134"/>
      <c r="HR306" s="135"/>
      <c r="HS306" s="135"/>
      <c r="HT306" s="135"/>
      <c r="HU306" s="135"/>
      <c r="HV306" s="173"/>
      <c r="HW306" s="173"/>
      <c r="HX306" s="173"/>
      <c r="HY306" s="173"/>
      <c r="HZ306" s="173"/>
      <c r="IA306" s="173"/>
      <c r="IB306" s="173"/>
      <c r="IC306" s="173"/>
      <c r="ID306" s="173"/>
      <c r="IE306" s="173"/>
      <c r="IF306" s="125"/>
      <c r="IG306" s="125"/>
      <c r="IH306" s="134"/>
      <c r="II306" s="135"/>
      <c r="IJ306" s="135"/>
      <c r="IK306" s="135"/>
      <c r="IL306" s="135"/>
      <c r="IM306" s="173"/>
      <c r="IN306" s="173"/>
      <c r="IO306" s="173"/>
      <c r="IP306" s="173"/>
      <c r="IQ306" s="173"/>
      <c r="IR306" s="173"/>
      <c r="IS306" s="173"/>
      <c r="IT306" s="173"/>
      <c r="IU306" s="173"/>
      <c r="IV306" s="173"/>
      <c r="IW306" s="125"/>
      <c r="IX306" s="125"/>
      <c r="IY306" s="134"/>
      <c r="IZ306" s="135"/>
      <c r="JA306" s="135"/>
      <c r="JB306" s="135"/>
      <c r="JC306" s="135"/>
      <c r="JD306" s="173"/>
      <c r="JE306" s="173"/>
      <c r="JF306" s="173"/>
      <c r="JG306" s="173"/>
      <c r="JH306" s="173"/>
      <c r="JI306" s="173"/>
      <c r="JJ306" s="173"/>
      <c r="JK306" s="173"/>
      <c r="JL306" s="173"/>
      <c r="JM306" s="173"/>
      <c r="JN306" s="125"/>
      <c r="JO306" s="125"/>
      <c r="JP306" s="134"/>
      <c r="JQ306" s="135"/>
      <c r="JR306" s="135"/>
      <c r="JS306" s="135"/>
      <c r="JT306" s="135"/>
      <c r="JU306" s="173"/>
      <c r="JV306" s="173"/>
      <c r="JW306" s="173"/>
      <c r="JX306" s="173"/>
      <c r="JY306" s="173"/>
      <c r="JZ306" s="173"/>
      <c r="KA306" s="173"/>
      <c r="KB306" s="173"/>
      <c r="KC306" s="173"/>
      <c r="KD306" s="173"/>
      <c r="KE306" s="125"/>
      <c r="KF306" s="125"/>
      <c r="KG306" s="134"/>
      <c r="KH306" s="135"/>
      <c r="KI306" s="135"/>
      <c r="KJ306" s="135"/>
      <c r="KK306" s="135"/>
      <c r="KL306" s="173"/>
      <c r="KM306" s="173"/>
      <c r="KN306" s="173"/>
      <c r="KO306" s="173"/>
      <c r="KP306" s="173"/>
      <c r="KQ306" s="173"/>
      <c r="KR306" s="173"/>
      <c r="KS306" s="173"/>
      <c r="KT306" s="173"/>
      <c r="KU306" s="173"/>
      <c r="KV306" s="125"/>
      <c r="KW306" s="125"/>
      <c r="KX306" s="134"/>
      <c r="KY306" s="135"/>
      <c r="KZ306" s="135"/>
      <c r="LA306" s="135"/>
      <c r="LB306" s="135"/>
      <c r="LC306" s="173"/>
      <c r="LD306" s="173"/>
      <c r="LE306" s="173"/>
      <c r="LF306" s="173"/>
      <c r="LG306" s="173"/>
      <c r="LH306" s="173"/>
      <c r="LI306" s="173"/>
      <c r="LJ306" s="173"/>
      <c r="LK306" s="173"/>
      <c r="LL306" s="173"/>
      <c r="LM306" s="125"/>
      <c r="LN306" s="125"/>
      <c r="LO306" s="134"/>
      <c r="LP306" s="135"/>
      <c r="LQ306" s="135"/>
      <c r="LR306" s="135"/>
      <c r="LS306" s="135"/>
      <c r="LT306" s="173"/>
      <c r="LU306" s="173"/>
      <c r="LV306" s="173"/>
      <c r="LW306" s="173"/>
      <c r="LX306" s="173"/>
      <c r="LY306" s="173"/>
      <c r="LZ306" s="173"/>
      <c r="MA306" s="173"/>
      <c r="MB306" s="173"/>
      <c r="MC306" s="173"/>
      <c r="MD306" s="125"/>
      <c r="ME306" s="125"/>
      <c r="MF306" s="134"/>
      <c r="MG306" s="135"/>
      <c r="MH306" s="135"/>
      <c r="MI306" s="135"/>
      <c r="MJ306" s="135"/>
      <c r="MK306" s="173"/>
      <c r="ML306" s="173"/>
      <c r="MM306" s="173"/>
      <c r="MN306" s="173"/>
      <c r="MO306" s="173"/>
      <c r="MP306" s="173"/>
      <c r="MQ306" s="173"/>
      <c r="MR306" s="173"/>
      <c r="MS306" s="173"/>
      <c r="MT306" s="173"/>
      <c r="MU306" s="125"/>
      <c r="MV306" s="125"/>
      <c r="MW306" s="134"/>
      <c r="MX306" s="135"/>
      <c r="MY306" s="135"/>
      <c r="MZ306" s="135"/>
      <c r="NA306" s="135"/>
      <c r="NB306" s="173"/>
      <c r="NC306" s="173"/>
      <c r="ND306" s="173"/>
      <c r="NE306" s="173"/>
      <c r="NF306" s="173"/>
      <c r="NG306" s="173"/>
      <c r="NH306" s="173"/>
      <c r="NI306" s="173"/>
      <c r="NJ306" s="173"/>
      <c r="NK306" s="173"/>
      <c r="NL306" s="125"/>
      <c r="NM306" s="125"/>
      <c r="NN306" s="134"/>
      <c r="NO306" s="135"/>
      <c r="NP306" s="135"/>
      <c r="NQ306" s="135"/>
      <c r="NR306" s="135"/>
      <c r="NS306" s="173"/>
      <c r="NT306" s="173"/>
      <c r="NU306" s="173"/>
      <c r="NV306" s="173"/>
      <c r="NW306" s="173"/>
      <c r="NX306" s="173"/>
      <c r="NY306" s="173"/>
      <c r="NZ306" s="173"/>
      <c r="OA306" s="173"/>
      <c r="OB306" s="173"/>
      <c r="OC306" s="125"/>
      <c r="OD306" s="125"/>
      <c r="OE306" s="134"/>
      <c r="OF306" s="135"/>
      <c r="OG306" s="135"/>
      <c r="OH306" s="135"/>
      <c r="OI306" s="135"/>
      <c r="OJ306" s="173"/>
      <c r="OK306" s="173"/>
      <c r="OL306" s="173"/>
      <c r="OM306" s="173"/>
      <c r="ON306" s="173"/>
      <c r="OO306" s="173"/>
      <c r="OP306" s="173"/>
      <c r="OQ306" s="173"/>
      <c r="OR306" s="173"/>
      <c r="OS306" s="173"/>
      <c r="OT306" s="125"/>
      <c r="OU306" s="125"/>
      <c r="OV306" s="134"/>
      <c r="OW306" s="135"/>
      <c r="OX306" s="135"/>
      <c r="OY306" s="135"/>
      <c r="OZ306" s="135"/>
      <c r="PA306" s="173"/>
      <c r="PB306" s="173"/>
      <c r="PC306" s="173"/>
      <c r="PD306" s="173"/>
      <c r="PE306" s="173"/>
      <c r="PF306" s="173"/>
      <c r="PG306" s="173"/>
      <c r="PH306" s="173"/>
      <c r="PI306" s="173"/>
      <c r="PJ306" s="173"/>
      <c r="PK306" s="125"/>
      <c r="PL306" s="125"/>
      <c r="PM306" s="134"/>
      <c r="PN306" s="135"/>
      <c r="PO306" s="135"/>
      <c r="PP306" s="135"/>
      <c r="PQ306" s="135"/>
      <c r="PR306" s="173"/>
      <c r="PS306" s="173"/>
      <c r="PT306" s="173"/>
      <c r="PU306" s="173"/>
      <c r="PV306" s="173"/>
      <c r="PW306" s="173"/>
      <c r="PX306" s="173"/>
      <c r="PY306" s="173"/>
      <c r="PZ306" s="173"/>
      <c r="QA306" s="173"/>
      <c r="QB306" s="125"/>
      <c r="QC306" s="125"/>
      <c r="QD306" s="134"/>
      <c r="QE306" s="135"/>
      <c r="QF306" s="135"/>
      <c r="QG306" s="135"/>
      <c r="QH306" s="135"/>
      <c r="QI306" s="173"/>
      <c r="QJ306" s="173"/>
      <c r="QK306" s="173"/>
      <c r="QL306" s="173"/>
      <c r="QM306" s="173"/>
      <c r="QN306" s="173"/>
      <c r="QO306" s="173"/>
      <c r="QP306" s="173"/>
      <c r="QQ306" s="173"/>
      <c r="QR306" s="173"/>
      <c r="QS306" s="125"/>
      <c r="QT306" s="125"/>
      <c r="QU306" s="134"/>
      <c r="QV306" s="135"/>
      <c r="QW306" s="135"/>
      <c r="QX306" s="135"/>
      <c r="QY306" s="135"/>
      <c r="QZ306" s="173"/>
      <c r="RA306" s="173"/>
      <c r="RB306" s="173"/>
      <c r="RC306" s="173"/>
      <c r="RD306" s="173"/>
      <c r="RE306" s="173"/>
      <c r="RF306" s="173"/>
      <c r="RG306" s="173"/>
      <c r="RH306" s="173"/>
      <c r="RI306" s="173"/>
      <c r="RJ306" s="125"/>
      <c r="RK306" s="125"/>
      <c r="RL306" s="134"/>
      <c r="RM306" s="135"/>
      <c r="RN306" s="135"/>
      <c r="RO306" s="135"/>
      <c r="RP306" s="135"/>
      <c r="RQ306" s="173"/>
      <c r="RR306" s="173"/>
      <c r="RS306" s="173"/>
      <c r="RT306" s="173"/>
      <c r="RU306" s="173"/>
      <c r="RV306" s="173"/>
      <c r="RW306" s="173"/>
      <c r="RX306" s="173"/>
      <c r="RY306" s="173"/>
      <c r="RZ306" s="173"/>
      <c r="SA306" s="125"/>
      <c r="SB306" s="125"/>
      <c r="SC306" s="134"/>
      <c r="SD306" s="135"/>
      <c r="SE306" s="135"/>
      <c r="SF306" s="135"/>
      <c r="SG306" s="135"/>
      <c r="SH306" s="173"/>
      <c r="SI306" s="173"/>
      <c r="SJ306" s="173"/>
      <c r="SK306" s="173"/>
      <c r="SL306" s="173"/>
      <c r="SM306" s="173"/>
      <c r="SN306" s="173"/>
      <c r="SO306" s="173"/>
      <c r="SP306" s="173"/>
      <c r="SQ306" s="173"/>
      <c r="SR306" s="125"/>
      <c r="SS306" s="125"/>
      <c r="ST306" s="134"/>
      <c r="SU306" s="135"/>
      <c r="SV306" s="135"/>
      <c r="SW306" s="135"/>
      <c r="SX306" s="135"/>
      <c r="SY306" s="173"/>
      <c r="SZ306" s="173"/>
      <c r="TA306" s="173"/>
      <c r="TB306" s="173"/>
      <c r="TC306" s="173"/>
      <c r="TD306" s="173"/>
      <c r="TE306" s="173"/>
      <c r="TF306" s="173"/>
      <c r="TG306" s="173"/>
      <c r="TH306" s="173"/>
      <c r="TI306" s="125"/>
      <c r="TJ306" s="125"/>
      <c r="TK306" s="134"/>
      <c r="TL306" s="135"/>
      <c r="TM306" s="135"/>
      <c r="TN306" s="135"/>
      <c r="TO306" s="135"/>
      <c r="TP306" s="173"/>
      <c r="TQ306" s="173"/>
      <c r="TR306" s="173"/>
      <c r="TS306" s="173"/>
      <c r="TT306" s="173"/>
      <c r="TU306" s="173"/>
      <c r="TV306" s="173"/>
      <c r="TW306" s="173"/>
      <c r="TX306" s="173"/>
      <c r="TY306" s="173"/>
      <c r="TZ306" s="125"/>
      <c r="UA306" s="125"/>
      <c r="UB306" s="134"/>
      <c r="UC306" s="135"/>
      <c r="UD306" s="135"/>
      <c r="UE306" s="135"/>
      <c r="UF306" s="135"/>
      <c r="UG306" s="173"/>
      <c r="UH306" s="173"/>
      <c r="UI306" s="173"/>
      <c r="UJ306" s="173"/>
      <c r="UK306" s="173"/>
      <c r="UL306" s="173"/>
      <c r="UM306" s="173"/>
      <c r="UN306" s="173"/>
      <c r="UO306" s="173"/>
      <c r="UP306" s="173"/>
      <c r="UQ306" s="125"/>
      <c r="UR306" s="125"/>
      <c r="US306" s="134"/>
      <c r="UT306" s="135"/>
      <c r="UU306" s="135"/>
      <c r="UV306" s="135"/>
      <c r="UW306" s="135"/>
      <c r="UX306" s="173"/>
      <c r="UY306" s="173"/>
      <c r="UZ306" s="173"/>
      <c r="VA306" s="173"/>
      <c r="VB306" s="173"/>
      <c r="VC306" s="173"/>
      <c r="VD306" s="173"/>
      <c r="VE306" s="173"/>
      <c r="VF306" s="173"/>
      <c r="VG306" s="173"/>
      <c r="VH306" s="125"/>
      <c r="VI306" s="125"/>
      <c r="VJ306" s="134"/>
      <c r="VK306" s="135"/>
      <c r="VL306" s="135"/>
      <c r="VM306" s="135"/>
      <c r="VN306" s="135"/>
      <c r="VO306" s="173"/>
      <c r="VP306" s="173"/>
      <c r="VQ306" s="173"/>
      <c r="VR306" s="173"/>
      <c r="VS306" s="173"/>
      <c r="VT306" s="173"/>
      <c r="VU306" s="173"/>
      <c r="VV306" s="173"/>
      <c r="VW306" s="173"/>
      <c r="VX306" s="173"/>
      <c r="VY306" s="125"/>
      <c r="VZ306" s="125"/>
      <c r="WA306" s="134"/>
      <c r="WB306" s="135"/>
      <c r="WC306" s="135"/>
      <c r="WD306" s="135"/>
      <c r="WE306" s="135"/>
      <c r="WF306" s="173"/>
      <c r="WG306" s="173"/>
      <c r="WH306" s="173"/>
      <c r="WI306" s="173"/>
      <c r="WJ306" s="173"/>
      <c r="WK306" s="173"/>
      <c r="WL306" s="173"/>
      <c r="WM306" s="173"/>
      <c r="WN306" s="173"/>
      <c r="WO306" s="173"/>
      <c r="WP306" s="125"/>
      <c r="WQ306" s="125"/>
      <c r="WR306" s="134"/>
      <c r="WS306" s="135"/>
      <c r="WT306" s="135"/>
      <c r="WU306" s="135"/>
      <c r="WV306" s="135"/>
      <c r="WW306" s="173"/>
      <c r="WX306" s="173"/>
      <c r="WY306" s="173"/>
      <c r="WZ306" s="173"/>
      <c r="XA306" s="173"/>
      <c r="XB306" s="173"/>
      <c r="XC306" s="173"/>
      <c r="XD306" s="173"/>
      <c r="XE306" s="173"/>
      <c r="XF306" s="173"/>
      <c r="XG306" s="125"/>
      <c r="XH306" s="125"/>
      <c r="XI306" s="134"/>
      <c r="XJ306" s="135"/>
      <c r="XK306" s="135"/>
      <c r="XL306" s="135"/>
      <c r="XM306" s="135"/>
      <c r="XN306" s="173"/>
      <c r="XO306" s="173"/>
      <c r="XP306" s="173"/>
      <c r="XQ306" s="173"/>
      <c r="XR306" s="173"/>
      <c r="XS306" s="173"/>
      <c r="XT306" s="173"/>
      <c r="XU306" s="173"/>
      <c r="XV306" s="173"/>
      <c r="XW306" s="173"/>
      <c r="XX306" s="125"/>
      <c r="XY306" s="125"/>
      <c r="XZ306" s="134"/>
      <c r="YA306" s="135"/>
      <c r="YB306" s="135"/>
      <c r="YC306" s="135"/>
      <c r="YD306" s="135"/>
      <c r="YE306" s="173"/>
      <c r="YF306" s="173"/>
      <c r="YG306" s="173"/>
      <c r="YH306" s="173"/>
      <c r="YI306" s="173"/>
      <c r="YJ306" s="173"/>
      <c r="YK306" s="173"/>
      <c r="YL306" s="173"/>
      <c r="YM306" s="173"/>
      <c r="YN306" s="173"/>
      <c r="YO306" s="125"/>
      <c r="YP306" s="125"/>
      <c r="YQ306" s="134"/>
      <c r="YR306" s="135"/>
      <c r="YS306" s="135"/>
      <c r="YT306" s="135"/>
      <c r="YU306" s="135"/>
      <c r="YV306" s="173"/>
      <c r="YW306" s="173"/>
      <c r="YX306" s="173"/>
      <c r="YY306" s="173"/>
      <c r="YZ306" s="173"/>
      <c r="ZA306" s="173"/>
      <c r="ZB306" s="173"/>
      <c r="ZC306" s="173"/>
      <c r="ZD306" s="173"/>
      <c r="ZE306" s="173"/>
      <c r="ZF306" s="125"/>
      <c r="ZG306" s="125"/>
      <c r="ZH306" s="134"/>
      <c r="ZI306" s="135"/>
      <c r="ZJ306" s="135"/>
      <c r="ZK306" s="135"/>
      <c r="ZL306" s="135"/>
      <c r="ZM306" s="173"/>
      <c r="ZN306" s="173"/>
      <c r="ZO306" s="173"/>
      <c r="ZP306" s="173"/>
      <c r="ZQ306" s="173"/>
      <c r="ZR306" s="173"/>
      <c r="ZS306" s="173"/>
      <c r="ZT306" s="173"/>
      <c r="ZU306" s="173"/>
      <c r="ZV306" s="173"/>
      <c r="ZW306" s="125"/>
      <c r="ZX306" s="125"/>
      <c r="ZY306" s="134"/>
      <c r="ZZ306" s="135"/>
      <c r="AAA306" s="135"/>
      <c r="AAB306" s="135"/>
      <c r="AAC306" s="135"/>
      <c r="AAD306" s="173"/>
      <c r="AAE306" s="173"/>
      <c r="AAF306" s="173"/>
      <c r="AAG306" s="173"/>
      <c r="AAH306" s="173"/>
      <c r="AAI306" s="173"/>
      <c r="AAJ306" s="173"/>
      <c r="AAK306" s="173"/>
      <c r="AAL306" s="173"/>
      <c r="AAM306" s="173"/>
      <c r="AAN306" s="125"/>
      <c r="AAO306" s="125"/>
      <c r="AAP306" s="134"/>
      <c r="AAQ306" s="135"/>
      <c r="AAR306" s="135"/>
      <c r="AAS306" s="135"/>
      <c r="AAT306" s="135"/>
      <c r="AAU306" s="173"/>
      <c r="AAV306" s="173"/>
      <c r="AAW306" s="173"/>
      <c r="AAX306" s="173"/>
      <c r="AAY306" s="173"/>
      <c r="AAZ306" s="173"/>
      <c r="ABA306" s="173"/>
      <c r="ABB306" s="173"/>
      <c r="ABC306" s="173"/>
      <c r="ABD306" s="173"/>
      <c r="ABE306" s="125"/>
      <c r="ABF306" s="125"/>
      <c r="ABG306" s="134"/>
      <c r="ABH306" s="135"/>
      <c r="ABI306" s="135"/>
      <c r="ABJ306" s="135"/>
      <c r="ABK306" s="135"/>
      <c r="ABL306" s="173"/>
      <c r="ABM306" s="173"/>
      <c r="ABN306" s="173"/>
      <c r="ABO306" s="173"/>
      <c r="ABP306" s="173"/>
      <c r="ABQ306" s="173"/>
      <c r="ABR306" s="173"/>
      <c r="ABS306" s="173"/>
      <c r="ABT306" s="173"/>
      <c r="ABU306" s="173"/>
      <c r="ABV306" s="125"/>
      <c r="ABW306" s="125"/>
      <c r="ABX306" s="134"/>
      <c r="ABY306" s="135"/>
      <c r="ABZ306" s="135"/>
      <c r="ACA306" s="135"/>
      <c r="ACB306" s="135"/>
      <c r="ACC306" s="173"/>
      <c r="ACD306" s="173"/>
      <c r="ACE306" s="173"/>
      <c r="ACF306" s="173"/>
      <c r="ACG306" s="173"/>
      <c r="ACH306" s="173"/>
      <c r="ACI306" s="173"/>
      <c r="ACJ306" s="173"/>
      <c r="ACK306" s="173"/>
      <c r="ACL306" s="173"/>
      <c r="ACM306" s="125"/>
      <c r="ACN306" s="125"/>
      <c r="ACO306" s="134"/>
      <c r="ACP306" s="135"/>
      <c r="ACQ306" s="135"/>
      <c r="ACR306" s="135"/>
      <c r="ACS306" s="135"/>
      <c r="ACT306" s="173"/>
      <c r="ACU306" s="173"/>
      <c r="ACV306" s="173"/>
      <c r="ACW306" s="173"/>
      <c r="ACX306" s="173"/>
      <c r="ACY306" s="173"/>
      <c r="ACZ306" s="173"/>
      <c r="ADA306" s="173"/>
      <c r="ADB306" s="173"/>
      <c r="ADC306" s="173"/>
      <c r="ADD306" s="125"/>
      <c r="ADE306" s="125"/>
      <c r="ADF306" s="134"/>
      <c r="ADG306" s="135"/>
      <c r="ADH306" s="135"/>
      <c r="ADI306" s="135"/>
      <c r="ADJ306" s="135"/>
      <c r="ADK306" s="173"/>
      <c r="ADL306" s="173"/>
      <c r="ADM306" s="173"/>
      <c r="ADN306" s="173"/>
      <c r="ADO306" s="173"/>
      <c r="ADP306" s="173"/>
      <c r="ADQ306" s="173"/>
      <c r="ADR306" s="173"/>
      <c r="ADS306" s="173"/>
      <c r="ADT306" s="173"/>
      <c r="ADU306" s="125"/>
      <c r="ADV306" s="125"/>
      <c r="ADW306" s="134"/>
      <c r="ADX306" s="135"/>
      <c r="ADY306" s="135"/>
      <c r="ADZ306" s="135"/>
      <c r="AEA306" s="135"/>
      <c r="AEB306" s="173"/>
      <c r="AEC306" s="173"/>
      <c r="AED306" s="173"/>
      <c r="AEE306" s="173"/>
      <c r="AEF306" s="173"/>
      <c r="AEG306" s="173"/>
      <c r="AEH306" s="173"/>
      <c r="AEI306" s="173"/>
      <c r="AEJ306" s="173"/>
      <c r="AEK306" s="173"/>
      <c r="AEL306" s="125"/>
      <c r="AEM306" s="125"/>
      <c r="AEN306" s="134"/>
      <c r="AEO306" s="135"/>
      <c r="AEP306" s="135"/>
      <c r="AEQ306" s="135"/>
      <c r="AER306" s="135"/>
      <c r="AES306" s="173"/>
      <c r="AET306" s="173"/>
      <c r="AEU306" s="173"/>
      <c r="AEV306" s="173"/>
      <c r="AEW306" s="173"/>
      <c r="AEX306" s="173"/>
      <c r="AEY306" s="173"/>
      <c r="AEZ306" s="173"/>
      <c r="AFA306" s="173"/>
      <c r="AFB306" s="173"/>
      <c r="AFC306" s="125"/>
      <c r="AFD306" s="125"/>
      <c r="AFE306" s="134"/>
      <c r="AFF306" s="135"/>
      <c r="AFG306" s="135"/>
      <c r="AFH306" s="135"/>
      <c r="AFI306" s="135"/>
      <c r="AFJ306" s="173"/>
      <c r="AFK306" s="173"/>
      <c r="AFL306" s="173"/>
      <c r="AFM306" s="173"/>
      <c r="AFN306" s="173"/>
      <c r="AFO306" s="173"/>
      <c r="AFP306" s="173"/>
      <c r="AFQ306" s="173"/>
      <c r="AFR306" s="173"/>
      <c r="AFS306" s="173"/>
      <c r="AFT306" s="125"/>
      <c r="AFU306" s="125"/>
      <c r="AFV306" s="134"/>
      <c r="AFW306" s="135"/>
      <c r="AFX306" s="135"/>
      <c r="AFY306" s="135"/>
      <c r="AFZ306" s="135"/>
      <c r="AGA306" s="173"/>
      <c r="AGB306" s="173"/>
      <c r="AGC306" s="173"/>
      <c r="AGD306" s="173"/>
      <c r="AGE306" s="173"/>
      <c r="AGF306" s="173"/>
      <c r="AGG306" s="173"/>
      <c r="AGH306" s="173"/>
      <c r="AGI306" s="173"/>
      <c r="AGJ306" s="173"/>
      <c r="AGK306" s="125"/>
      <c r="AGL306" s="125"/>
      <c r="AGM306" s="134"/>
      <c r="AGN306" s="135"/>
      <c r="AGO306" s="135"/>
      <c r="AGP306" s="135"/>
      <c r="AGQ306" s="135"/>
      <c r="AGR306" s="173"/>
      <c r="AGS306" s="173"/>
      <c r="AGT306" s="173"/>
      <c r="AGU306" s="173"/>
      <c r="AGV306" s="173"/>
      <c r="AGW306" s="173"/>
      <c r="AGX306" s="173"/>
      <c r="AGY306" s="173"/>
      <c r="AGZ306" s="173"/>
      <c r="AHA306" s="173"/>
      <c r="AHB306" s="125"/>
      <c r="AHC306" s="125"/>
      <c r="AHD306" s="134"/>
      <c r="AHE306" s="135"/>
      <c r="AHF306" s="135"/>
      <c r="AHG306" s="135"/>
      <c r="AHH306" s="135"/>
      <c r="AHI306" s="173"/>
      <c r="AHJ306" s="173"/>
      <c r="AHK306" s="173"/>
      <c r="AHL306" s="173"/>
      <c r="AHM306" s="173"/>
      <c r="AHN306" s="173"/>
      <c r="AHO306" s="173"/>
      <c r="AHP306" s="173"/>
      <c r="AHQ306" s="173"/>
      <c r="AHR306" s="173"/>
      <c r="AHS306" s="125"/>
      <c r="AHT306" s="125"/>
      <c r="AHU306" s="134"/>
      <c r="AHV306" s="135"/>
      <c r="AHW306" s="135"/>
      <c r="AHX306" s="135"/>
      <c r="AHY306" s="135"/>
      <c r="AHZ306" s="173"/>
      <c r="AIA306" s="173"/>
      <c r="AIB306" s="173"/>
      <c r="AIC306" s="173"/>
      <c r="AID306" s="173"/>
      <c r="AIE306" s="173"/>
      <c r="AIF306" s="173"/>
      <c r="AIG306" s="173"/>
      <c r="AIH306" s="173"/>
      <c r="AII306" s="173"/>
      <c r="AIJ306" s="125"/>
      <c r="AIK306" s="125"/>
      <c r="AIL306" s="134"/>
      <c r="AIM306" s="135"/>
      <c r="AIN306" s="135"/>
      <c r="AIO306" s="135"/>
      <c r="AIP306" s="135"/>
      <c r="AIQ306" s="173"/>
      <c r="AIR306" s="173"/>
      <c r="AIS306" s="173"/>
      <c r="AIT306" s="173"/>
      <c r="AIU306" s="173"/>
      <c r="AIV306" s="173"/>
      <c r="AIW306" s="173"/>
      <c r="AIX306" s="173"/>
      <c r="AIY306" s="173"/>
      <c r="AIZ306" s="173"/>
      <c r="AJA306" s="125"/>
      <c r="AJB306" s="125"/>
      <c r="AJC306" s="134"/>
      <c r="AJD306" s="135"/>
      <c r="AJE306" s="135"/>
      <c r="AJF306" s="135"/>
      <c r="AJG306" s="135"/>
      <c r="AJH306" s="173"/>
      <c r="AJI306" s="173"/>
      <c r="AJJ306" s="173"/>
      <c r="AJK306" s="173"/>
      <c r="AJL306" s="173"/>
      <c r="AJM306" s="173"/>
      <c r="AJN306" s="173"/>
      <c r="AJO306" s="173"/>
      <c r="AJP306" s="173"/>
      <c r="AJQ306" s="173"/>
      <c r="AJR306" s="125"/>
      <c r="AJS306" s="125"/>
      <c r="AJT306" s="134"/>
      <c r="AJU306" s="135"/>
      <c r="AJV306" s="135"/>
      <c r="AJW306" s="135"/>
      <c r="AJX306" s="135"/>
      <c r="AJY306" s="173"/>
      <c r="AJZ306" s="173"/>
      <c r="AKA306" s="173"/>
      <c r="AKB306" s="173"/>
      <c r="AKC306" s="173"/>
      <c r="AKD306" s="173"/>
      <c r="AKE306" s="173"/>
      <c r="AKF306" s="173"/>
      <c r="AKG306" s="173"/>
      <c r="AKH306" s="173"/>
      <c r="AKI306" s="125"/>
      <c r="AKJ306" s="125"/>
      <c r="AKK306" s="134"/>
      <c r="AKL306" s="135"/>
      <c r="AKM306" s="135"/>
      <c r="AKN306" s="135"/>
      <c r="AKO306" s="135"/>
      <c r="AKP306" s="173"/>
      <c r="AKQ306" s="173"/>
      <c r="AKR306" s="173"/>
      <c r="AKS306" s="173"/>
      <c r="AKT306" s="173"/>
      <c r="AKU306" s="173"/>
      <c r="AKV306" s="173"/>
      <c r="AKW306" s="173"/>
      <c r="AKX306" s="173"/>
      <c r="AKY306" s="173"/>
      <c r="AKZ306" s="125"/>
      <c r="ALA306" s="125"/>
      <c r="ALB306" s="134"/>
      <c r="ALC306" s="135"/>
      <c r="ALD306" s="135"/>
      <c r="ALE306" s="135"/>
      <c r="ALF306" s="135"/>
      <c r="ALG306" s="173"/>
      <c r="ALH306" s="173"/>
      <c r="ALI306" s="173"/>
      <c r="ALJ306" s="173"/>
      <c r="ALK306" s="173"/>
      <c r="ALL306" s="173"/>
      <c r="ALM306" s="173"/>
      <c r="ALN306" s="173"/>
      <c r="ALO306" s="173"/>
      <c r="ALP306" s="173"/>
      <c r="ALQ306" s="125"/>
      <c r="ALR306" s="125"/>
      <c r="ALS306" s="134"/>
      <c r="ALT306" s="135"/>
      <c r="ALU306" s="135"/>
      <c r="ALV306" s="135"/>
      <c r="ALW306" s="135"/>
      <c r="ALX306" s="173"/>
      <c r="ALY306" s="173"/>
      <c r="ALZ306" s="173"/>
      <c r="AMA306" s="173"/>
      <c r="AMB306" s="173"/>
      <c r="AMC306" s="173"/>
      <c r="AMD306" s="173"/>
      <c r="AME306" s="173"/>
      <c r="AMF306" s="173"/>
      <c r="AMG306" s="173"/>
      <c r="AMH306" s="125"/>
      <c r="AMI306" s="125"/>
      <c r="AMJ306" s="134"/>
      <c r="AMK306" s="135"/>
      <c r="AML306" s="135"/>
      <c r="AMM306" s="135"/>
      <c r="AMN306" s="135"/>
      <c r="AMO306" s="173"/>
      <c r="AMP306" s="173"/>
      <c r="AMQ306" s="173"/>
      <c r="AMR306" s="173"/>
      <c r="AMS306" s="173"/>
      <c r="AMT306" s="173"/>
      <c r="AMU306" s="173"/>
      <c r="AMV306" s="173"/>
      <c r="AMW306" s="173"/>
      <c r="AMX306" s="173"/>
      <c r="AMY306" s="125"/>
      <c r="AMZ306" s="125"/>
      <c r="ANA306" s="134"/>
      <c r="ANB306" s="135"/>
      <c r="ANC306" s="135"/>
      <c r="AND306" s="135"/>
      <c r="ANE306" s="135"/>
      <c r="ANF306" s="173"/>
      <c r="ANG306" s="173"/>
      <c r="ANH306" s="173"/>
      <c r="ANI306" s="173"/>
      <c r="ANJ306" s="173"/>
      <c r="ANK306" s="173"/>
      <c r="ANL306" s="173"/>
      <c r="ANM306" s="173"/>
      <c r="ANN306" s="173"/>
      <c r="ANO306" s="173"/>
      <c r="ANP306" s="125"/>
      <c r="ANQ306" s="125"/>
      <c r="ANR306" s="134"/>
      <c r="ANS306" s="135"/>
      <c r="ANT306" s="135"/>
      <c r="ANU306" s="135"/>
      <c r="ANV306" s="135"/>
      <c r="ANW306" s="173"/>
      <c r="ANX306" s="173"/>
      <c r="ANY306" s="173"/>
      <c r="ANZ306" s="173"/>
      <c r="AOA306" s="173"/>
      <c r="AOB306" s="173"/>
      <c r="AOC306" s="173"/>
      <c r="AOD306" s="173"/>
      <c r="AOE306" s="173"/>
      <c r="AOF306" s="173"/>
      <c r="AOG306" s="125"/>
      <c r="AOH306" s="125"/>
      <c r="AOI306" s="134"/>
      <c r="AOJ306" s="135"/>
      <c r="AOK306" s="135"/>
      <c r="AOL306" s="135"/>
      <c r="AOM306" s="135"/>
      <c r="AON306" s="173"/>
      <c r="AOO306" s="173"/>
      <c r="AOP306" s="173"/>
      <c r="AOQ306" s="173"/>
      <c r="AOR306" s="173"/>
      <c r="AOS306" s="173"/>
      <c r="AOT306" s="173"/>
      <c r="AOU306" s="173"/>
      <c r="AOV306" s="173"/>
      <c r="AOW306" s="173"/>
      <c r="AOX306" s="125"/>
      <c r="AOY306" s="125"/>
      <c r="AOZ306" s="134"/>
      <c r="APA306" s="135"/>
      <c r="APB306" s="135"/>
      <c r="APC306" s="135"/>
      <c r="APD306" s="135"/>
      <c r="APE306" s="173"/>
      <c r="APF306" s="173"/>
      <c r="APG306" s="173"/>
      <c r="APH306" s="173"/>
      <c r="API306" s="173"/>
      <c r="APJ306" s="173"/>
      <c r="APK306" s="173"/>
      <c r="APL306" s="173"/>
      <c r="APM306" s="173"/>
      <c r="APN306" s="173"/>
      <c r="APO306" s="125"/>
      <c r="APP306" s="125"/>
      <c r="APQ306" s="134"/>
      <c r="APR306" s="135"/>
      <c r="APS306" s="135"/>
      <c r="APT306" s="135"/>
      <c r="APU306" s="135"/>
      <c r="APV306" s="173"/>
      <c r="APW306" s="173"/>
      <c r="APX306" s="173"/>
      <c r="APY306" s="173"/>
      <c r="APZ306" s="173"/>
      <c r="AQA306" s="173"/>
      <c r="AQB306" s="173"/>
      <c r="AQC306" s="173"/>
      <c r="AQD306" s="173"/>
      <c r="AQE306" s="173"/>
      <c r="AQF306" s="125"/>
      <c r="AQG306" s="125"/>
      <c r="AQH306" s="134"/>
      <c r="AQI306" s="135"/>
      <c r="AQJ306" s="135"/>
      <c r="AQK306" s="135"/>
      <c r="AQL306" s="135"/>
      <c r="AQM306" s="173"/>
      <c r="AQN306" s="173"/>
      <c r="AQO306" s="173"/>
      <c r="AQP306" s="173"/>
      <c r="AQQ306" s="173"/>
      <c r="AQR306" s="173"/>
      <c r="AQS306" s="173"/>
      <c r="AQT306" s="173"/>
      <c r="AQU306" s="173"/>
      <c r="AQV306" s="173"/>
      <c r="AQW306" s="125"/>
      <c r="AQX306" s="125"/>
      <c r="AQY306" s="134"/>
      <c r="AQZ306" s="135"/>
      <c r="ARA306" s="135"/>
      <c r="ARB306" s="135"/>
      <c r="ARC306" s="135"/>
      <c r="ARD306" s="173"/>
      <c r="ARE306" s="173"/>
      <c r="ARF306" s="173"/>
      <c r="ARG306" s="173"/>
      <c r="ARH306" s="173"/>
      <c r="ARI306" s="173"/>
      <c r="ARJ306" s="173"/>
      <c r="ARK306" s="173"/>
      <c r="ARL306" s="173"/>
      <c r="ARM306" s="173"/>
      <c r="ARN306" s="125"/>
      <c r="ARO306" s="125"/>
      <c r="ARP306" s="134"/>
      <c r="ARQ306" s="135"/>
      <c r="ARR306" s="135"/>
      <c r="ARS306" s="135"/>
      <c r="ART306" s="135"/>
      <c r="ARU306" s="173"/>
      <c r="ARV306" s="173"/>
      <c r="ARW306" s="173"/>
      <c r="ARX306" s="173"/>
      <c r="ARY306" s="173"/>
      <c r="ARZ306" s="173"/>
      <c r="ASA306" s="173"/>
      <c r="ASB306" s="173"/>
      <c r="ASC306" s="173"/>
      <c r="ASD306" s="173"/>
      <c r="ASE306" s="125"/>
      <c r="ASF306" s="125"/>
      <c r="ASG306" s="134"/>
      <c r="ASH306" s="135"/>
      <c r="ASI306" s="135"/>
      <c r="ASJ306" s="135"/>
      <c r="ASK306" s="135"/>
      <c r="ASL306" s="173"/>
      <c r="ASM306" s="173"/>
      <c r="ASN306" s="173"/>
      <c r="ASO306" s="173"/>
      <c r="ASP306" s="173"/>
      <c r="ASQ306" s="173"/>
      <c r="ASR306" s="173"/>
      <c r="ASS306" s="173"/>
      <c r="AST306" s="173"/>
      <c r="ASU306" s="173"/>
      <c r="ASV306" s="125"/>
      <c r="ASW306" s="125"/>
      <c r="ASX306" s="134"/>
      <c r="ASY306" s="135"/>
      <c r="ASZ306" s="135"/>
      <c r="ATA306" s="135"/>
      <c r="ATB306" s="135"/>
      <c r="ATC306" s="173"/>
      <c r="ATD306" s="173"/>
      <c r="ATE306" s="173"/>
      <c r="ATF306" s="173"/>
      <c r="ATG306" s="173"/>
      <c r="ATH306" s="173"/>
      <c r="ATI306" s="173"/>
      <c r="ATJ306" s="173"/>
      <c r="ATK306" s="173"/>
      <c r="ATL306" s="173"/>
      <c r="ATM306" s="125"/>
      <c r="ATN306" s="125"/>
      <c r="ATO306" s="134"/>
      <c r="ATP306" s="135"/>
      <c r="ATQ306" s="135"/>
      <c r="ATR306" s="135"/>
      <c r="ATS306" s="135"/>
      <c r="ATT306" s="173"/>
      <c r="ATU306" s="173"/>
      <c r="ATV306" s="173"/>
      <c r="ATW306" s="173"/>
      <c r="ATX306" s="173"/>
      <c r="ATY306" s="173"/>
      <c r="ATZ306" s="173"/>
      <c r="AUA306" s="173"/>
      <c r="AUB306" s="173"/>
      <c r="AUC306" s="173"/>
      <c r="AUD306" s="125"/>
      <c r="AUE306" s="125"/>
      <c r="AUF306" s="134"/>
      <c r="AUG306" s="135"/>
      <c r="AUH306" s="135"/>
      <c r="AUI306" s="135"/>
      <c r="AUJ306" s="135"/>
      <c r="AUK306" s="173"/>
      <c r="AUL306" s="173"/>
      <c r="AUM306" s="173"/>
      <c r="AUN306" s="173"/>
      <c r="AUO306" s="173"/>
      <c r="AUP306" s="173"/>
      <c r="AUQ306" s="173"/>
      <c r="AUR306" s="173"/>
      <c r="AUS306" s="173"/>
      <c r="AUT306" s="173"/>
      <c r="AUU306" s="125"/>
      <c r="AUV306" s="125"/>
      <c r="AUW306" s="134"/>
      <c r="AUX306" s="135"/>
      <c r="AUY306" s="135"/>
      <c r="AUZ306" s="135"/>
      <c r="AVA306" s="135"/>
      <c r="AVB306" s="173"/>
      <c r="AVC306" s="173"/>
      <c r="AVD306" s="173"/>
      <c r="AVE306" s="173"/>
      <c r="AVF306" s="173"/>
      <c r="AVG306" s="173"/>
      <c r="AVH306" s="173"/>
      <c r="AVI306" s="173"/>
      <c r="AVJ306" s="173"/>
      <c r="AVK306" s="173"/>
      <c r="AVL306" s="125"/>
      <c r="AVM306" s="125"/>
      <c r="AVN306" s="134"/>
      <c r="AVO306" s="135"/>
      <c r="AVP306" s="135"/>
      <c r="AVQ306" s="135"/>
      <c r="AVR306" s="135"/>
      <c r="AVS306" s="173"/>
      <c r="AVT306" s="173"/>
      <c r="AVU306" s="173"/>
      <c r="AVV306" s="173"/>
      <c r="AVW306" s="173"/>
      <c r="AVX306" s="173"/>
      <c r="AVY306" s="173"/>
      <c r="AVZ306" s="173"/>
      <c r="AWA306" s="173"/>
      <c r="AWB306" s="173"/>
      <c r="AWC306" s="125"/>
      <c r="AWD306" s="125"/>
      <c r="AWE306" s="134"/>
      <c r="AWF306" s="135"/>
      <c r="AWG306" s="135"/>
      <c r="AWH306" s="135"/>
      <c r="AWI306" s="135"/>
      <c r="AWJ306" s="173"/>
      <c r="AWK306" s="173"/>
      <c r="AWL306" s="173"/>
      <c r="AWM306" s="173"/>
      <c r="AWN306" s="173"/>
      <c r="AWO306" s="173"/>
      <c r="AWP306" s="173"/>
      <c r="AWQ306" s="173"/>
      <c r="AWR306" s="173"/>
      <c r="AWS306" s="173"/>
      <c r="AWT306" s="125"/>
      <c r="AWU306" s="125"/>
      <c r="AWV306" s="134"/>
      <c r="AWW306" s="135"/>
      <c r="AWX306" s="135"/>
      <c r="AWY306" s="135"/>
      <c r="AWZ306" s="135"/>
      <c r="AXA306" s="173"/>
      <c r="AXB306" s="173"/>
      <c r="AXC306" s="173"/>
      <c r="AXD306" s="173"/>
      <c r="AXE306" s="173"/>
      <c r="AXF306" s="173"/>
      <c r="AXG306" s="173"/>
      <c r="AXH306" s="173"/>
      <c r="AXI306" s="173"/>
      <c r="AXJ306" s="173"/>
      <c r="AXK306" s="125"/>
      <c r="AXL306" s="125"/>
      <c r="AXM306" s="134"/>
      <c r="AXN306" s="135"/>
      <c r="AXO306" s="135"/>
      <c r="AXP306" s="135"/>
      <c r="AXQ306" s="135"/>
      <c r="AXR306" s="173"/>
      <c r="AXS306" s="173"/>
      <c r="AXT306" s="173"/>
      <c r="AXU306" s="173"/>
      <c r="AXV306" s="173"/>
      <c r="AXW306" s="173"/>
      <c r="AXX306" s="173"/>
      <c r="AXY306" s="173"/>
      <c r="AXZ306" s="173"/>
      <c r="AYA306" s="173"/>
      <c r="AYB306" s="125"/>
      <c r="AYC306" s="125"/>
      <c r="AYD306" s="134"/>
      <c r="AYE306" s="135"/>
      <c r="AYF306" s="135"/>
      <c r="AYG306" s="135"/>
      <c r="AYH306" s="135"/>
      <c r="AYI306" s="173"/>
      <c r="AYJ306" s="173"/>
      <c r="AYK306" s="173"/>
      <c r="AYL306" s="173"/>
      <c r="AYM306" s="173"/>
      <c r="AYN306" s="173"/>
      <c r="AYO306" s="173"/>
      <c r="AYP306" s="173"/>
      <c r="AYQ306" s="173"/>
      <c r="AYR306" s="173"/>
      <c r="AYS306" s="125"/>
      <c r="AYT306" s="125"/>
      <c r="AYU306" s="134"/>
      <c r="AYV306" s="135"/>
      <c r="AYW306" s="135"/>
      <c r="AYX306" s="135"/>
      <c r="AYY306" s="135"/>
      <c r="AYZ306" s="173"/>
      <c r="AZA306" s="173"/>
      <c r="AZB306" s="173"/>
      <c r="AZC306" s="173"/>
      <c r="AZD306" s="173"/>
      <c r="AZE306" s="173"/>
      <c r="AZF306" s="173"/>
      <c r="AZG306" s="173"/>
      <c r="AZH306" s="173"/>
      <c r="AZI306" s="173"/>
      <c r="AZJ306" s="125"/>
      <c r="AZK306" s="125"/>
      <c r="AZL306" s="134"/>
      <c r="AZM306" s="135"/>
      <c r="AZN306" s="135"/>
      <c r="AZO306" s="135"/>
      <c r="AZP306" s="135"/>
      <c r="AZQ306" s="173"/>
      <c r="AZR306" s="173"/>
      <c r="AZS306" s="173"/>
      <c r="AZT306" s="173"/>
      <c r="AZU306" s="173"/>
      <c r="AZV306" s="173"/>
      <c r="AZW306" s="173"/>
      <c r="AZX306" s="173"/>
      <c r="AZY306" s="173"/>
      <c r="AZZ306" s="173"/>
      <c r="BAA306" s="125"/>
      <c r="BAB306" s="125"/>
      <c r="BAC306" s="134"/>
      <c r="BAD306" s="135"/>
      <c r="BAE306" s="135"/>
      <c r="BAF306" s="135"/>
      <c r="BAG306" s="135"/>
      <c r="BAH306" s="173"/>
      <c r="BAI306" s="173"/>
      <c r="BAJ306" s="173"/>
      <c r="BAK306" s="173"/>
      <c r="BAL306" s="173"/>
      <c r="BAM306" s="173"/>
      <c r="BAN306" s="173"/>
      <c r="BAO306" s="173"/>
      <c r="BAP306" s="173"/>
      <c r="BAQ306" s="173"/>
      <c r="BAR306" s="125"/>
      <c r="BAS306" s="125"/>
      <c r="BAT306" s="134"/>
      <c r="BAU306" s="135"/>
      <c r="BAV306" s="135"/>
      <c r="BAW306" s="135"/>
      <c r="BAX306" s="135"/>
      <c r="BAY306" s="173"/>
      <c r="BAZ306" s="173"/>
      <c r="BBA306" s="173"/>
      <c r="BBB306" s="173"/>
      <c r="BBC306" s="173"/>
      <c r="BBD306" s="173"/>
      <c r="BBE306" s="173"/>
      <c r="BBF306" s="173"/>
      <c r="BBG306" s="173"/>
      <c r="BBH306" s="173"/>
      <c r="BBI306" s="125"/>
      <c r="BBJ306" s="125"/>
      <c r="BBK306" s="134"/>
      <c r="BBL306" s="135"/>
      <c r="BBM306" s="135"/>
      <c r="BBN306" s="135"/>
      <c r="BBO306" s="135"/>
      <c r="BBP306" s="173"/>
      <c r="BBQ306" s="173"/>
      <c r="BBR306" s="173"/>
      <c r="BBS306" s="173"/>
      <c r="BBT306" s="173"/>
      <c r="BBU306" s="173"/>
      <c r="BBV306" s="173"/>
      <c r="BBW306" s="173"/>
      <c r="BBX306" s="173"/>
      <c r="BBY306" s="173"/>
      <c r="BBZ306" s="125"/>
      <c r="BCA306" s="125"/>
      <c r="BCB306" s="134"/>
      <c r="BCC306" s="135"/>
      <c r="BCD306" s="135"/>
      <c r="BCE306" s="135"/>
      <c r="BCF306" s="135"/>
      <c r="BCG306" s="173"/>
      <c r="BCH306" s="173"/>
      <c r="BCI306" s="173"/>
      <c r="BCJ306" s="173"/>
      <c r="BCK306" s="173"/>
      <c r="BCL306" s="173"/>
      <c r="BCM306" s="173"/>
      <c r="BCN306" s="173"/>
      <c r="BCO306" s="173"/>
      <c r="BCP306" s="173"/>
      <c r="BCQ306" s="125"/>
      <c r="BCR306" s="125"/>
      <c r="BCS306" s="134"/>
      <c r="BCT306" s="135"/>
      <c r="BCU306" s="135"/>
      <c r="BCV306" s="135"/>
      <c r="BCW306" s="135"/>
      <c r="BCX306" s="173"/>
      <c r="BCY306" s="173"/>
      <c r="BCZ306" s="173"/>
      <c r="BDA306" s="173"/>
      <c r="BDB306" s="173"/>
      <c r="BDC306" s="173"/>
      <c r="BDD306" s="173"/>
      <c r="BDE306" s="173"/>
      <c r="BDF306" s="173"/>
      <c r="BDG306" s="173"/>
      <c r="BDH306" s="125"/>
      <c r="BDI306" s="125"/>
      <c r="BDJ306" s="134"/>
      <c r="BDK306" s="135"/>
      <c r="BDL306" s="135"/>
      <c r="BDM306" s="135"/>
      <c r="BDN306" s="135"/>
      <c r="BDO306" s="173"/>
      <c r="BDP306" s="173"/>
      <c r="BDQ306" s="173"/>
      <c r="BDR306" s="173"/>
      <c r="BDS306" s="173"/>
      <c r="BDT306" s="173"/>
      <c r="BDU306" s="173"/>
      <c r="BDV306" s="173"/>
      <c r="BDW306" s="173"/>
      <c r="BDX306" s="173"/>
      <c r="BDY306" s="125"/>
      <c r="BDZ306" s="125"/>
      <c r="BEA306" s="134"/>
      <c r="BEB306" s="135"/>
      <c r="BEC306" s="135"/>
      <c r="BED306" s="135"/>
      <c r="BEE306" s="135"/>
      <c r="BEF306" s="173"/>
      <c r="BEG306" s="173"/>
      <c r="BEH306" s="173"/>
      <c r="BEI306" s="173"/>
      <c r="BEJ306" s="173"/>
      <c r="BEK306" s="173"/>
      <c r="BEL306" s="173"/>
      <c r="BEM306" s="173"/>
      <c r="BEN306" s="173"/>
      <c r="BEO306" s="173"/>
      <c r="BEP306" s="125"/>
      <c r="BEQ306" s="125"/>
      <c r="BER306" s="134"/>
      <c r="BES306" s="135"/>
      <c r="BET306" s="135"/>
      <c r="BEU306" s="135"/>
      <c r="BEV306" s="135"/>
      <c r="BEW306" s="173"/>
      <c r="BEX306" s="173"/>
      <c r="BEY306" s="173"/>
      <c r="BEZ306" s="173"/>
      <c r="BFA306" s="173"/>
      <c r="BFB306" s="173"/>
      <c r="BFC306" s="173"/>
      <c r="BFD306" s="173"/>
      <c r="BFE306" s="173"/>
      <c r="BFF306" s="173"/>
      <c r="BFG306" s="125"/>
      <c r="BFH306" s="125"/>
      <c r="BFI306" s="134"/>
      <c r="BFJ306" s="135"/>
      <c r="BFK306" s="135"/>
      <c r="BFL306" s="135"/>
      <c r="BFM306" s="135"/>
      <c r="BFN306" s="173"/>
      <c r="BFO306" s="173"/>
      <c r="BFP306" s="173"/>
      <c r="BFQ306" s="173"/>
      <c r="BFR306" s="173"/>
      <c r="BFS306" s="173"/>
      <c r="BFT306" s="173"/>
      <c r="BFU306" s="173"/>
      <c r="BFV306" s="173"/>
      <c r="BFW306" s="173"/>
      <c r="BFX306" s="125"/>
      <c r="BFY306" s="125"/>
      <c r="BFZ306" s="134"/>
      <c r="BGA306" s="135"/>
      <c r="BGB306" s="135"/>
      <c r="BGC306" s="135"/>
      <c r="BGD306" s="135"/>
      <c r="BGE306" s="173"/>
      <c r="BGF306" s="173"/>
      <c r="BGG306" s="173"/>
      <c r="BGH306" s="173"/>
      <c r="BGI306" s="173"/>
      <c r="BGJ306" s="173"/>
      <c r="BGK306" s="173"/>
      <c r="BGL306" s="173"/>
      <c r="BGM306" s="173"/>
      <c r="BGN306" s="173"/>
      <c r="BGO306" s="125"/>
      <c r="BGP306" s="125"/>
      <c r="BGQ306" s="134"/>
      <c r="BGR306" s="135"/>
      <c r="BGS306" s="135"/>
      <c r="BGT306" s="135"/>
      <c r="BGU306" s="135"/>
      <c r="BGV306" s="173"/>
      <c r="BGW306" s="173"/>
      <c r="BGX306" s="173"/>
      <c r="BGY306" s="173"/>
      <c r="BGZ306" s="173"/>
      <c r="BHA306" s="173"/>
      <c r="BHB306" s="173"/>
      <c r="BHC306" s="173"/>
      <c r="BHD306" s="173"/>
      <c r="BHE306" s="173"/>
      <c r="BHF306" s="125"/>
      <c r="BHG306" s="125"/>
      <c r="BHH306" s="134"/>
      <c r="BHI306" s="135"/>
      <c r="BHJ306" s="135"/>
      <c r="BHK306" s="135"/>
      <c r="BHL306" s="135"/>
      <c r="BHM306" s="173"/>
      <c r="BHN306" s="173"/>
      <c r="BHO306" s="173"/>
      <c r="BHP306" s="173"/>
      <c r="BHQ306" s="173"/>
      <c r="BHR306" s="173"/>
      <c r="BHS306" s="173"/>
      <c r="BHT306" s="173"/>
      <c r="BHU306" s="173"/>
      <c r="BHV306" s="173"/>
      <c r="BHW306" s="125"/>
      <c r="BHX306" s="125"/>
      <c r="BHY306" s="134"/>
      <c r="BHZ306" s="135"/>
      <c r="BIA306" s="135"/>
      <c r="BIB306" s="135"/>
      <c r="BIC306" s="135"/>
      <c r="BID306" s="173"/>
      <c r="BIE306" s="173"/>
      <c r="BIF306" s="173"/>
      <c r="BIG306" s="173"/>
      <c r="BIH306" s="173"/>
      <c r="BII306" s="173"/>
      <c r="BIJ306" s="173"/>
      <c r="BIK306" s="173"/>
      <c r="BIL306" s="173"/>
      <c r="BIM306" s="173"/>
      <c r="BIN306" s="125"/>
      <c r="BIO306" s="125"/>
      <c r="BIP306" s="134"/>
      <c r="BIQ306" s="135"/>
      <c r="BIR306" s="135"/>
      <c r="BIS306" s="135"/>
      <c r="BIT306" s="135"/>
      <c r="BIU306" s="173"/>
      <c r="BIV306" s="173"/>
      <c r="BIW306" s="173"/>
      <c r="BIX306" s="173"/>
      <c r="BIY306" s="173"/>
      <c r="BIZ306" s="173"/>
      <c r="BJA306" s="173"/>
      <c r="BJB306" s="173"/>
      <c r="BJC306" s="173"/>
      <c r="BJD306" s="173"/>
      <c r="BJE306" s="125"/>
      <c r="BJF306" s="125"/>
      <c r="BJG306" s="134"/>
      <c r="BJH306" s="135"/>
      <c r="BJI306" s="135"/>
      <c r="BJJ306" s="135"/>
      <c r="BJK306" s="135"/>
      <c r="BJL306" s="173"/>
      <c r="BJM306" s="173"/>
      <c r="BJN306" s="173"/>
      <c r="BJO306" s="173"/>
      <c r="BJP306" s="173"/>
      <c r="BJQ306" s="173"/>
      <c r="BJR306" s="173"/>
      <c r="BJS306" s="173"/>
      <c r="BJT306" s="173"/>
      <c r="BJU306" s="173"/>
      <c r="BJV306" s="125"/>
      <c r="BJW306" s="125"/>
      <c r="BJX306" s="134"/>
      <c r="BJY306" s="135"/>
      <c r="BJZ306" s="135"/>
      <c r="BKA306" s="135"/>
      <c r="BKB306" s="135"/>
      <c r="BKC306" s="173"/>
      <c r="BKD306" s="173"/>
      <c r="BKE306" s="173"/>
      <c r="BKF306" s="173"/>
      <c r="BKG306" s="173"/>
      <c r="BKH306" s="173"/>
      <c r="BKI306" s="173"/>
      <c r="BKJ306" s="173"/>
      <c r="BKK306" s="173"/>
      <c r="BKL306" s="173"/>
      <c r="BKM306" s="125"/>
      <c r="BKN306" s="125"/>
      <c r="BKO306" s="134"/>
      <c r="BKP306" s="135"/>
      <c r="BKQ306" s="135"/>
      <c r="BKR306" s="135"/>
      <c r="BKS306" s="135"/>
      <c r="BKT306" s="173"/>
      <c r="BKU306" s="173"/>
      <c r="BKV306" s="173"/>
      <c r="BKW306" s="173"/>
      <c r="BKX306" s="173"/>
      <c r="BKY306" s="173"/>
      <c r="BKZ306" s="173"/>
      <c r="BLA306" s="173"/>
      <c r="BLB306" s="173"/>
      <c r="BLC306" s="173"/>
      <c r="BLD306" s="125"/>
      <c r="BLE306" s="125"/>
      <c r="BLF306" s="134"/>
      <c r="BLG306" s="135"/>
      <c r="BLH306" s="135"/>
      <c r="BLI306" s="135"/>
      <c r="BLJ306" s="135"/>
      <c r="BLK306" s="173"/>
      <c r="BLL306" s="173"/>
      <c r="BLM306" s="173"/>
      <c r="BLN306" s="173"/>
      <c r="BLO306" s="173"/>
      <c r="BLP306" s="173"/>
      <c r="BLQ306" s="173"/>
      <c r="BLR306" s="173"/>
      <c r="BLS306" s="173"/>
      <c r="BLT306" s="173"/>
      <c r="BLU306" s="125"/>
      <c r="BLV306" s="125"/>
      <c r="BLW306" s="134"/>
      <c r="BLX306" s="135"/>
      <c r="BLY306" s="135"/>
      <c r="BLZ306" s="135"/>
      <c r="BMA306" s="135"/>
      <c r="BMB306" s="173"/>
      <c r="BMC306" s="173"/>
      <c r="BMD306" s="173"/>
      <c r="BME306" s="173"/>
      <c r="BMF306" s="173"/>
      <c r="BMG306" s="173"/>
      <c r="BMH306" s="173"/>
      <c r="BMI306" s="173"/>
      <c r="BMJ306" s="173"/>
      <c r="BMK306" s="173"/>
      <c r="BML306" s="125"/>
      <c r="BMM306" s="125"/>
      <c r="BMN306" s="134"/>
      <c r="BMO306" s="135"/>
      <c r="BMP306" s="135"/>
      <c r="BMQ306" s="135"/>
      <c r="BMR306" s="135"/>
      <c r="BMS306" s="173"/>
      <c r="BMT306" s="173"/>
      <c r="BMU306" s="173"/>
      <c r="BMV306" s="173"/>
      <c r="BMW306" s="173"/>
      <c r="BMX306" s="173"/>
      <c r="BMY306" s="173"/>
      <c r="BMZ306" s="173"/>
      <c r="BNA306" s="173"/>
      <c r="BNB306" s="173"/>
      <c r="BNC306" s="125"/>
      <c r="BND306" s="125"/>
      <c r="BNE306" s="134"/>
      <c r="BNF306" s="135"/>
      <c r="BNG306" s="135"/>
      <c r="BNH306" s="135"/>
      <c r="BNI306" s="135"/>
      <c r="BNJ306" s="173"/>
      <c r="BNK306" s="173"/>
      <c r="BNL306" s="173"/>
      <c r="BNM306" s="173"/>
      <c r="BNN306" s="173"/>
      <c r="BNO306" s="173"/>
      <c r="BNP306" s="173"/>
      <c r="BNQ306" s="173"/>
      <c r="BNR306" s="173"/>
      <c r="BNS306" s="173"/>
      <c r="BNT306" s="125"/>
      <c r="BNU306" s="125"/>
      <c r="BNV306" s="134"/>
      <c r="BNW306" s="135"/>
      <c r="BNX306" s="135"/>
      <c r="BNY306" s="135"/>
      <c r="BNZ306" s="135"/>
      <c r="BOA306" s="173"/>
      <c r="BOB306" s="173"/>
      <c r="BOC306" s="173"/>
      <c r="BOD306" s="173"/>
      <c r="BOE306" s="173"/>
      <c r="BOF306" s="173"/>
      <c r="BOG306" s="173"/>
      <c r="BOH306" s="173"/>
      <c r="BOI306" s="173"/>
      <c r="BOJ306" s="173"/>
      <c r="BOK306" s="125"/>
      <c r="BOL306" s="125"/>
      <c r="BOM306" s="134"/>
      <c r="BON306" s="135"/>
      <c r="BOO306" s="135"/>
      <c r="BOP306" s="135"/>
      <c r="BOQ306" s="135"/>
      <c r="BOR306" s="173"/>
      <c r="BOS306" s="173"/>
      <c r="BOT306" s="173"/>
      <c r="BOU306" s="173"/>
      <c r="BOV306" s="173"/>
      <c r="BOW306" s="173"/>
      <c r="BOX306" s="173"/>
      <c r="BOY306" s="173"/>
      <c r="BOZ306" s="173"/>
      <c r="BPA306" s="173"/>
      <c r="BPB306" s="125"/>
      <c r="BPC306" s="125"/>
      <c r="BPD306" s="134"/>
      <c r="BPE306" s="135"/>
      <c r="BPF306" s="135"/>
      <c r="BPG306" s="135"/>
      <c r="BPH306" s="135"/>
      <c r="BPI306" s="173"/>
      <c r="BPJ306" s="173"/>
      <c r="BPK306" s="173"/>
      <c r="BPL306" s="173"/>
      <c r="BPM306" s="173"/>
      <c r="BPN306" s="173"/>
      <c r="BPO306" s="173"/>
      <c r="BPP306" s="173"/>
      <c r="BPQ306" s="173"/>
      <c r="BPR306" s="173"/>
      <c r="BPS306" s="125"/>
      <c r="BPT306" s="125"/>
      <c r="BPU306" s="134"/>
      <c r="BPV306" s="135"/>
      <c r="BPW306" s="135"/>
      <c r="BPX306" s="135"/>
      <c r="BPY306" s="135"/>
      <c r="BPZ306" s="173"/>
      <c r="BQA306" s="173"/>
      <c r="BQB306" s="173"/>
      <c r="BQC306" s="173"/>
      <c r="BQD306" s="173"/>
      <c r="BQE306" s="173"/>
      <c r="BQF306" s="173"/>
      <c r="BQG306" s="173"/>
      <c r="BQH306" s="173"/>
      <c r="BQI306" s="173"/>
      <c r="BQJ306" s="125"/>
      <c r="BQK306" s="125"/>
      <c r="BQL306" s="134"/>
      <c r="BQM306" s="135"/>
      <c r="BQN306" s="135"/>
      <c r="BQO306" s="135"/>
      <c r="BQP306" s="135"/>
      <c r="BQQ306" s="173"/>
      <c r="BQR306" s="173"/>
      <c r="BQS306" s="173"/>
      <c r="BQT306" s="173"/>
      <c r="BQU306" s="173"/>
      <c r="BQV306" s="173"/>
      <c r="BQW306" s="173"/>
      <c r="BQX306" s="173"/>
      <c r="BQY306" s="173"/>
      <c r="BQZ306" s="173"/>
      <c r="BRA306" s="125"/>
      <c r="BRB306" s="125"/>
      <c r="BRC306" s="134"/>
      <c r="BRD306" s="135"/>
      <c r="BRE306" s="135"/>
      <c r="BRF306" s="135"/>
      <c r="BRG306" s="135"/>
      <c r="BRH306" s="173"/>
      <c r="BRI306" s="173"/>
      <c r="BRJ306" s="173"/>
      <c r="BRK306" s="173"/>
      <c r="BRL306" s="173"/>
      <c r="BRM306" s="173"/>
      <c r="BRN306" s="173"/>
      <c r="BRO306" s="173"/>
      <c r="BRP306" s="173"/>
      <c r="BRQ306" s="173"/>
      <c r="BRR306" s="125"/>
      <c r="BRS306" s="125"/>
      <c r="BRT306" s="134"/>
      <c r="BRU306" s="135"/>
      <c r="BRV306" s="135"/>
      <c r="BRW306" s="135"/>
      <c r="BRX306" s="135"/>
      <c r="BRY306" s="173"/>
      <c r="BRZ306" s="173"/>
      <c r="BSA306" s="173"/>
      <c r="BSB306" s="173"/>
      <c r="BSC306" s="173"/>
      <c r="BSD306" s="173"/>
      <c r="BSE306" s="173"/>
      <c r="BSF306" s="173"/>
      <c r="BSG306" s="173"/>
      <c r="BSH306" s="173"/>
      <c r="BSI306" s="125"/>
      <c r="BSJ306" s="125"/>
      <c r="BSK306" s="134"/>
      <c r="BSL306" s="135"/>
      <c r="BSM306" s="135"/>
      <c r="BSN306" s="135"/>
      <c r="BSO306" s="135"/>
      <c r="BSP306" s="173"/>
      <c r="BSQ306" s="173"/>
      <c r="BSR306" s="173"/>
      <c r="BSS306" s="173"/>
      <c r="BST306" s="173"/>
      <c r="BSU306" s="173"/>
      <c r="BSV306" s="173"/>
      <c r="BSW306" s="173"/>
      <c r="BSX306" s="173"/>
      <c r="BSY306" s="173"/>
      <c r="BSZ306" s="125"/>
      <c r="BTA306" s="125"/>
      <c r="BTB306" s="134"/>
      <c r="BTC306" s="135"/>
      <c r="BTD306" s="135"/>
      <c r="BTE306" s="135"/>
      <c r="BTF306" s="135"/>
      <c r="BTG306" s="173"/>
      <c r="BTH306" s="173"/>
      <c r="BTI306" s="173"/>
      <c r="BTJ306" s="173"/>
      <c r="BTK306" s="173"/>
      <c r="BTL306" s="173"/>
      <c r="BTM306" s="173"/>
      <c r="BTN306" s="173"/>
      <c r="BTO306" s="173"/>
      <c r="BTP306" s="173"/>
      <c r="BTQ306" s="125"/>
      <c r="BTR306" s="125"/>
      <c r="BTS306" s="134"/>
      <c r="BTT306" s="135"/>
      <c r="BTU306" s="135"/>
      <c r="BTV306" s="135"/>
      <c r="BTW306" s="135"/>
      <c r="BTX306" s="173"/>
      <c r="BTY306" s="173"/>
      <c r="BTZ306" s="173"/>
      <c r="BUA306" s="173"/>
      <c r="BUB306" s="173"/>
      <c r="BUC306" s="173"/>
      <c r="BUD306" s="173"/>
      <c r="BUE306" s="173"/>
      <c r="BUF306" s="173"/>
      <c r="BUG306" s="173"/>
      <c r="BUH306" s="125"/>
      <c r="BUI306" s="125"/>
      <c r="BUJ306" s="134"/>
      <c r="BUK306" s="135"/>
      <c r="BUL306" s="135"/>
      <c r="BUM306" s="135"/>
      <c r="BUN306" s="135"/>
      <c r="BUO306" s="173"/>
      <c r="BUP306" s="173"/>
      <c r="BUQ306" s="173"/>
      <c r="BUR306" s="173"/>
      <c r="BUS306" s="173"/>
      <c r="BUT306" s="173"/>
      <c r="BUU306" s="173"/>
      <c r="BUV306" s="173"/>
      <c r="BUW306" s="173"/>
      <c r="BUX306" s="173"/>
      <c r="BUY306" s="125"/>
      <c r="BUZ306" s="125"/>
      <c r="BVA306" s="134"/>
      <c r="BVB306" s="135"/>
      <c r="BVC306" s="135"/>
      <c r="BVD306" s="135"/>
      <c r="BVE306" s="135"/>
      <c r="BVF306" s="173"/>
      <c r="BVG306" s="173"/>
      <c r="BVH306" s="173"/>
      <c r="BVI306" s="173"/>
      <c r="BVJ306" s="173"/>
      <c r="BVK306" s="173"/>
      <c r="BVL306" s="173"/>
      <c r="BVM306" s="173"/>
      <c r="BVN306" s="173"/>
      <c r="BVO306" s="173"/>
      <c r="BVP306" s="125"/>
      <c r="BVQ306" s="125"/>
      <c r="BVR306" s="134"/>
      <c r="BVS306" s="135"/>
      <c r="BVT306" s="135"/>
      <c r="BVU306" s="135"/>
      <c r="BVV306" s="135"/>
      <c r="BVW306" s="173"/>
      <c r="BVX306" s="173"/>
      <c r="BVY306" s="173"/>
      <c r="BVZ306" s="173"/>
      <c r="BWA306" s="173"/>
      <c r="BWB306" s="173"/>
      <c r="BWC306" s="173"/>
      <c r="BWD306" s="173"/>
      <c r="BWE306" s="173"/>
      <c r="BWF306" s="173"/>
      <c r="BWG306" s="125"/>
      <c r="BWH306" s="125"/>
      <c r="BWI306" s="134"/>
      <c r="BWJ306" s="135"/>
      <c r="BWK306" s="135"/>
      <c r="BWL306" s="135"/>
      <c r="BWM306" s="135"/>
      <c r="BWN306" s="173"/>
      <c r="BWO306" s="173"/>
      <c r="BWP306" s="173"/>
      <c r="BWQ306" s="173"/>
      <c r="BWR306" s="173"/>
      <c r="BWS306" s="173"/>
      <c r="BWT306" s="173"/>
      <c r="BWU306" s="173"/>
      <c r="BWV306" s="173"/>
      <c r="BWW306" s="173"/>
      <c r="BWX306" s="125"/>
      <c r="BWY306" s="125"/>
      <c r="BWZ306" s="134"/>
      <c r="BXA306" s="135"/>
      <c r="BXB306" s="135"/>
      <c r="BXC306" s="135"/>
      <c r="BXD306" s="135"/>
      <c r="BXE306" s="173"/>
      <c r="BXF306" s="173"/>
      <c r="BXG306" s="173"/>
      <c r="BXH306" s="173"/>
      <c r="BXI306" s="173"/>
      <c r="BXJ306" s="173"/>
      <c r="BXK306" s="173"/>
      <c r="BXL306" s="173"/>
      <c r="BXM306" s="173"/>
      <c r="BXN306" s="173"/>
      <c r="BXO306" s="125"/>
      <c r="BXP306" s="125"/>
      <c r="BXQ306" s="134"/>
      <c r="BXR306" s="135"/>
      <c r="BXS306" s="135"/>
      <c r="BXT306" s="135"/>
      <c r="BXU306" s="135"/>
      <c r="BXV306" s="173"/>
      <c r="BXW306" s="173"/>
      <c r="BXX306" s="173"/>
      <c r="BXY306" s="173"/>
      <c r="BXZ306" s="173"/>
      <c r="BYA306" s="173"/>
      <c r="BYB306" s="173"/>
      <c r="BYC306" s="173"/>
      <c r="BYD306" s="173"/>
      <c r="BYE306" s="173"/>
      <c r="BYF306" s="125"/>
      <c r="BYG306" s="125"/>
      <c r="BYH306" s="134"/>
      <c r="BYI306" s="135"/>
      <c r="BYJ306" s="135"/>
      <c r="BYK306" s="135"/>
      <c r="BYL306" s="135"/>
      <c r="BYM306" s="173"/>
      <c r="BYN306" s="173"/>
      <c r="BYO306" s="173"/>
      <c r="BYP306" s="173"/>
      <c r="BYQ306" s="173"/>
      <c r="BYR306" s="173"/>
      <c r="BYS306" s="173"/>
      <c r="BYT306" s="173"/>
      <c r="BYU306" s="173"/>
      <c r="BYV306" s="173"/>
      <c r="BYW306" s="125"/>
      <c r="BYX306" s="125"/>
      <c r="BYY306" s="134"/>
      <c r="BYZ306" s="135"/>
      <c r="BZA306" s="135"/>
      <c r="BZB306" s="135"/>
      <c r="BZC306" s="135"/>
      <c r="BZD306" s="173"/>
      <c r="BZE306" s="173"/>
      <c r="BZF306" s="173"/>
      <c r="BZG306" s="173"/>
      <c r="BZH306" s="173"/>
      <c r="BZI306" s="173"/>
      <c r="BZJ306" s="173"/>
      <c r="BZK306" s="173"/>
      <c r="BZL306" s="173"/>
      <c r="BZM306" s="173"/>
      <c r="BZN306" s="125"/>
      <c r="BZO306" s="125"/>
      <c r="BZP306" s="134"/>
      <c r="BZQ306" s="135"/>
      <c r="BZR306" s="135"/>
      <c r="BZS306" s="135"/>
      <c r="BZT306" s="135"/>
      <c r="BZU306" s="173"/>
      <c r="BZV306" s="173"/>
      <c r="BZW306" s="173"/>
      <c r="BZX306" s="173"/>
      <c r="BZY306" s="173"/>
      <c r="BZZ306" s="173"/>
      <c r="CAA306" s="173"/>
      <c r="CAB306" s="173"/>
      <c r="CAC306" s="173"/>
      <c r="CAD306" s="173"/>
      <c r="CAE306" s="125"/>
      <c r="CAF306" s="125"/>
      <c r="CAG306" s="134"/>
      <c r="CAH306" s="135"/>
      <c r="CAI306" s="135"/>
      <c r="CAJ306" s="135"/>
      <c r="CAK306" s="135"/>
      <c r="CAL306" s="173"/>
      <c r="CAM306" s="173"/>
      <c r="CAN306" s="173"/>
      <c r="CAO306" s="173"/>
      <c r="CAP306" s="173"/>
      <c r="CAQ306" s="173"/>
      <c r="CAR306" s="173"/>
      <c r="CAS306" s="173"/>
      <c r="CAT306" s="173"/>
      <c r="CAU306" s="173"/>
      <c r="CAV306" s="125"/>
      <c r="CAW306" s="125"/>
      <c r="CAX306" s="134"/>
      <c r="CAY306" s="135"/>
      <c r="CAZ306" s="135"/>
      <c r="CBA306" s="135"/>
      <c r="CBB306" s="135"/>
      <c r="CBC306" s="173"/>
      <c r="CBD306" s="173"/>
      <c r="CBE306" s="173"/>
      <c r="CBF306" s="173"/>
      <c r="CBG306" s="173"/>
      <c r="CBH306" s="173"/>
      <c r="CBI306" s="173"/>
      <c r="CBJ306" s="173"/>
      <c r="CBK306" s="173"/>
      <c r="CBL306" s="173"/>
      <c r="CBM306" s="125"/>
      <c r="CBN306" s="125"/>
      <c r="CBO306" s="134"/>
      <c r="CBP306" s="135"/>
      <c r="CBQ306" s="135"/>
      <c r="CBR306" s="135"/>
      <c r="CBS306" s="135"/>
      <c r="CBT306" s="173"/>
      <c r="CBU306" s="173"/>
      <c r="CBV306" s="173"/>
      <c r="CBW306" s="173"/>
      <c r="CBX306" s="173"/>
      <c r="CBY306" s="173"/>
      <c r="CBZ306" s="173"/>
      <c r="CCA306" s="173"/>
      <c r="CCB306" s="173"/>
      <c r="CCC306" s="173"/>
      <c r="CCD306" s="125"/>
      <c r="CCE306" s="125"/>
      <c r="CCF306" s="134"/>
      <c r="CCG306" s="135"/>
      <c r="CCH306" s="135"/>
      <c r="CCI306" s="135"/>
      <c r="CCJ306" s="135"/>
      <c r="CCK306" s="173"/>
      <c r="CCL306" s="173"/>
      <c r="CCM306" s="173"/>
      <c r="CCN306" s="173"/>
      <c r="CCO306" s="173"/>
      <c r="CCP306" s="173"/>
      <c r="CCQ306" s="173"/>
      <c r="CCR306" s="173"/>
      <c r="CCS306" s="173"/>
      <c r="CCT306" s="173"/>
      <c r="CCU306" s="125"/>
      <c r="CCV306" s="125"/>
      <c r="CCW306" s="134"/>
      <c r="CCX306" s="135"/>
      <c r="CCY306" s="135"/>
      <c r="CCZ306" s="135"/>
      <c r="CDA306" s="135"/>
      <c r="CDB306" s="173"/>
      <c r="CDC306" s="173"/>
      <c r="CDD306" s="173"/>
      <c r="CDE306" s="173"/>
      <c r="CDF306" s="173"/>
      <c r="CDG306" s="173"/>
      <c r="CDH306" s="173"/>
      <c r="CDI306" s="173"/>
      <c r="CDJ306" s="173"/>
      <c r="CDK306" s="173"/>
      <c r="CDL306" s="125"/>
      <c r="CDM306" s="125"/>
      <c r="CDN306" s="134"/>
      <c r="CDO306" s="135"/>
      <c r="CDP306" s="135"/>
      <c r="CDQ306" s="135"/>
      <c r="CDR306" s="135"/>
      <c r="CDS306" s="173"/>
      <c r="CDT306" s="173"/>
      <c r="CDU306" s="173"/>
      <c r="CDV306" s="173"/>
      <c r="CDW306" s="173"/>
      <c r="CDX306" s="173"/>
      <c r="CDY306" s="173"/>
      <c r="CDZ306" s="173"/>
      <c r="CEA306" s="173"/>
      <c r="CEB306" s="173"/>
      <c r="CEC306" s="125"/>
      <c r="CED306" s="125"/>
      <c r="CEE306" s="134"/>
      <c r="CEF306" s="135"/>
      <c r="CEG306" s="135"/>
      <c r="CEH306" s="135"/>
      <c r="CEI306" s="135"/>
      <c r="CEJ306" s="173"/>
      <c r="CEK306" s="173"/>
      <c r="CEL306" s="173"/>
      <c r="CEM306" s="173"/>
      <c r="CEN306" s="173"/>
      <c r="CEO306" s="173"/>
      <c r="CEP306" s="173"/>
      <c r="CEQ306" s="173"/>
      <c r="CER306" s="173"/>
      <c r="CES306" s="173"/>
      <c r="CET306" s="125"/>
      <c r="CEU306" s="125"/>
      <c r="CEV306" s="134"/>
      <c r="CEW306" s="135"/>
      <c r="CEX306" s="135"/>
      <c r="CEY306" s="135"/>
      <c r="CEZ306" s="135"/>
      <c r="CFA306" s="173"/>
      <c r="CFB306" s="173"/>
      <c r="CFC306" s="173"/>
      <c r="CFD306" s="173"/>
      <c r="CFE306" s="173"/>
      <c r="CFF306" s="173"/>
      <c r="CFG306" s="173"/>
      <c r="CFH306" s="173"/>
      <c r="CFI306" s="173"/>
      <c r="CFJ306" s="173"/>
      <c r="CFK306" s="125"/>
      <c r="CFL306" s="125"/>
      <c r="CFM306" s="134"/>
      <c r="CFN306" s="135"/>
      <c r="CFO306" s="135"/>
      <c r="CFP306" s="135"/>
      <c r="CFQ306" s="135"/>
      <c r="CFR306" s="173"/>
      <c r="CFS306" s="173"/>
      <c r="CFT306" s="173"/>
      <c r="CFU306" s="173"/>
      <c r="CFV306" s="173"/>
      <c r="CFW306" s="173"/>
      <c r="CFX306" s="173"/>
      <c r="CFY306" s="173"/>
      <c r="CFZ306" s="173"/>
      <c r="CGA306" s="173"/>
      <c r="CGB306" s="125"/>
      <c r="CGC306" s="125"/>
      <c r="CGD306" s="134"/>
      <c r="CGE306" s="135"/>
      <c r="CGF306" s="135"/>
      <c r="CGG306" s="135"/>
      <c r="CGH306" s="135"/>
      <c r="CGI306" s="173"/>
      <c r="CGJ306" s="173"/>
      <c r="CGK306" s="173"/>
      <c r="CGL306" s="173"/>
      <c r="CGM306" s="173"/>
      <c r="CGN306" s="173"/>
      <c r="CGO306" s="173"/>
      <c r="CGP306" s="173"/>
      <c r="CGQ306" s="173"/>
      <c r="CGR306" s="173"/>
      <c r="CGS306" s="125"/>
      <c r="CGT306" s="125"/>
      <c r="CGU306" s="134"/>
      <c r="CGV306" s="135"/>
      <c r="CGW306" s="135"/>
      <c r="CGX306" s="135"/>
      <c r="CGY306" s="135"/>
      <c r="CGZ306" s="173"/>
      <c r="CHA306" s="173"/>
      <c r="CHB306" s="173"/>
      <c r="CHC306" s="173"/>
      <c r="CHD306" s="173"/>
      <c r="CHE306" s="173"/>
      <c r="CHF306" s="173"/>
      <c r="CHG306" s="173"/>
      <c r="CHH306" s="173"/>
      <c r="CHI306" s="173"/>
      <c r="CHJ306" s="125"/>
      <c r="CHK306" s="125"/>
      <c r="CHL306" s="134"/>
      <c r="CHM306" s="135"/>
      <c r="CHN306" s="135"/>
      <c r="CHO306" s="135"/>
      <c r="CHP306" s="135"/>
      <c r="CHQ306" s="173"/>
      <c r="CHR306" s="173"/>
      <c r="CHS306" s="173"/>
      <c r="CHT306" s="173"/>
      <c r="CHU306" s="173"/>
      <c r="CHV306" s="173"/>
      <c r="CHW306" s="173"/>
      <c r="CHX306" s="173"/>
      <c r="CHY306" s="173"/>
      <c r="CHZ306" s="173"/>
      <c r="CIA306" s="125"/>
      <c r="CIB306" s="125"/>
      <c r="CIC306" s="134"/>
      <c r="CID306" s="135"/>
      <c r="CIE306" s="135"/>
      <c r="CIF306" s="135"/>
      <c r="CIG306" s="135"/>
      <c r="CIH306" s="173"/>
      <c r="CII306" s="173"/>
      <c r="CIJ306" s="173"/>
      <c r="CIK306" s="173"/>
      <c r="CIL306" s="173"/>
      <c r="CIM306" s="173"/>
      <c r="CIN306" s="173"/>
      <c r="CIO306" s="173"/>
      <c r="CIP306" s="173"/>
      <c r="CIQ306" s="173"/>
      <c r="CIR306" s="125"/>
      <c r="CIS306" s="125"/>
      <c r="CIT306" s="134"/>
      <c r="CIU306" s="135"/>
      <c r="CIV306" s="135"/>
      <c r="CIW306" s="135"/>
      <c r="CIX306" s="135"/>
      <c r="CIY306" s="173"/>
      <c r="CIZ306" s="173"/>
      <c r="CJA306" s="173"/>
      <c r="CJB306" s="173"/>
      <c r="CJC306" s="173"/>
      <c r="CJD306" s="173"/>
      <c r="CJE306" s="173"/>
      <c r="CJF306" s="173"/>
      <c r="CJG306" s="173"/>
      <c r="CJH306" s="173"/>
      <c r="CJI306" s="125"/>
      <c r="CJJ306" s="125"/>
      <c r="CJK306" s="134"/>
      <c r="CJL306" s="135"/>
      <c r="CJM306" s="135"/>
      <c r="CJN306" s="135"/>
      <c r="CJO306" s="135"/>
      <c r="CJP306" s="173"/>
      <c r="CJQ306" s="173"/>
      <c r="CJR306" s="173"/>
      <c r="CJS306" s="173"/>
      <c r="CJT306" s="173"/>
      <c r="CJU306" s="173"/>
      <c r="CJV306" s="173"/>
      <c r="CJW306" s="173"/>
      <c r="CJX306" s="173"/>
      <c r="CJY306" s="173"/>
      <c r="CJZ306" s="125"/>
      <c r="CKA306" s="125"/>
      <c r="CKB306" s="134"/>
      <c r="CKC306" s="135"/>
      <c r="CKD306" s="135"/>
      <c r="CKE306" s="135"/>
      <c r="CKF306" s="135"/>
      <c r="CKG306" s="173"/>
      <c r="CKH306" s="173"/>
      <c r="CKI306" s="173"/>
      <c r="CKJ306" s="173"/>
      <c r="CKK306" s="173"/>
      <c r="CKL306" s="173"/>
      <c r="CKM306" s="173"/>
      <c r="CKN306" s="173"/>
      <c r="CKO306" s="173"/>
      <c r="CKP306" s="173"/>
      <c r="CKQ306" s="125"/>
      <c r="CKR306" s="125"/>
      <c r="CKS306" s="134"/>
      <c r="CKT306" s="135"/>
      <c r="CKU306" s="135"/>
      <c r="CKV306" s="135"/>
      <c r="CKW306" s="135"/>
      <c r="CKX306" s="173"/>
      <c r="CKY306" s="173"/>
      <c r="CKZ306" s="173"/>
      <c r="CLA306" s="173"/>
      <c r="CLB306" s="173"/>
      <c r="CLC306" s="173"/>
      <c r="CLD306" s="173"/>
      <c r="CLE306" s="173"/>
      <c r="CLF306" s="173"/>
      <c r="CLG306" s="173"/>
      <c r="CLH306" s="125"/>
      <c r="CLI306" s="125"/>
      <c r="CLJ306" s="134"/>
      <c r="CLK306" s="135"/>
      <c r="CLL306" s="135"/>
      <c r="CLM306" s="135"/>
      <c r="CLN306" s="135"/>
      <c r="CLO306" s="173"/>
      <c r="CLP306" s="173"/>
      <c r="CLQ306" s="173"/>
      <c r="CLR306" s="173"/>
      <c r="CLS306" s="173"/>
      <c r="CLT306" s="173"/>
      <c r="CLU306" s="173"/>
      <c r="CLV306" s="173"/>
      <c r="CLW306" s="173"/>
      <c r="CLX306" s="173"/>
      <c r="CLY306" s="125"/>
      <c r="CLZ306" s="125"/>
      <c r="CMA306" s="134"/>
      <c r="CMB306" s="135"/>
      <c r="CMC306" s="135"/>
      <c r="CMD306" s="135"/>
      <c r="CME306" s="135"/>
      <c r="CMF306" s="173"/>
      <c r="CMG306" s="173"/>
      <c r="CMH306" s="173"/>
      <c r="CMI306" s="173"/>
      <c r="CMJ306" s="173"/>
      <c r="CMK306" s="173"/>
      <c r="CML306" s="173"/>
      <c r="CMM306" s="173"/>
      <c r="CMN306" s="173"/>
      <c r="CMO306" s="173"/>
      <c r="CMP306" s="125"/>
      <c r="CMQ306" s="125"/>
      <c r="CMR306" s="134"/>
      <c r="CMS306" s="135"/>
      <c r="CMT306" s="135"/>
      <c r="CMU306" s="135"/>
      <c r="CMV306" s="135"/>
      <c r="CMW306" s="173"/>
      <c r="CMX306" s="173"/>
      <c r="CMY306" s="173"/>
      <c r="CMZ306" s="173"/>
      <c r="CNA306" s="173"/>
      <c r="CNB306" s="173"/>
      <c r="CNC306" s="173"/>
      <c r="CND306" s="173"/>
      <c r="CNE306" s="173"/>
      <c r="CNF306" s="173"/>
      <c r="CNG306" s="125"/>
      <c r="CNH306" s="125"/>
      <c r="CNI306" s="134"/>
      <c r="CNJ306" s="135"/>
      <c r="CNK306" s="135"/>
      <c r="CNL306" s="135"/>
      <c r="CNM306" s="135"/>
      <c r="CNN306" s="173"/>
      <c r="CNO306" s="173"/>
      <c r="CNP306" s="173"/>
      <c r="CNQ306" s="173"/>
      <c r="CNR306" s="173"/>
      <c r="CNS306" s="173"/>
      <c r="CNT306" s="173"/>
      <c r="CNU306" s="173"/>
      <c r="CNV306" s="173"/>
      <c r="CNW306" s="173"/>
      <c r="CNX306" s="125"/>
      <c r="CNY306" s="125"/>
      <c r="CNZ306" s="134"/>
      <c r="COA306" s="135"/>
      <c r="COB306" s="135"/>
      <c r="COC306" s="135"/>
      <c r="COD306" s="135"/>
      <c r="COE306" s="173"/>
      <c r="COF306" s="173"/>
      <c r="COG306" s="173"/>
      <c r="COH306" s="173"/>
      <c r="COI306" s="173"/>
      <c r="COJ306" s="173"/>
      <c r="COK306" s="173"/>
      <c r="COL306" s="173"/>
      <c r="COM306" s="173"/>
      <c r="CON306" s="173"/>
      <c r="COO306" s="125"/>
      <c r="COP306" s="125"/>
      <c r="COQ306" s="134"/>
      <c r="COR306" s="135"/>
      <c r="COS306" s="135"/>
      <c r="COT306" s="135"/>
      <c r="COU306" s="135"/>
      <c r="COV306" s="173"/>
      <c r="COW306" s="173"/>
      <c r="COX306" s="173"/>
      <c r="COY306" s="173"/>
      <c r="COZ306" s="173"/>
      <c r="CPA306" s="173"/>
      <c r="CPB306" s="173"/>
      <c r="CPC306" s="173"/>
      <c r="CPD306" s="173"/>
      <c r="CPE306" s="173"/>
      <c r="CPF306" s="125"/>
      <c r="CPG306" s="125"/>
      <c r="CPH306" s="134"/>
      <c r="CPI306" s="135"/>
      <c r="CPJ306" s="135"/>
      <c r="CPK306" s="135"/>
      <c r="CPL306" s="135"/>
      <c r="CPM306" s="173"/>
      <c r="CPN306" s="173"/>
      <c r="CPO306" s="173"/>
      <c r="CPP306" s="173"/>
      <c r="CPQ306" s="173"/>
      <c r="CPR306" s="173"/>
      <c r="CPS306" s="173"/>
      <c r="CPT306" s="173"/>
      <c r="CPU306" s="173"/>
      <c r="CPV306" s="173"/>
      <c r="CPW306" s="125"/>
      <c r="CPX306" s="125"/>
      <c r="CPY306" s="134"/>
      <c r="CPZ306" s="135"/>
      <c r="CQA306" s="135"/>
      <c r="CQB306" s="135"/>
      <c r="CQC306" s="135"/>
      <c r="CQD306" s="173"/>
      <c r="CQE306" s="173"/>
      <c r="CQF306" s="173"/>
      <c r="CQG306" s="173"/>
      <c r="CQH306" s="173"/>
      <c r="CQI306" s="173"/>
      <c r="CQJ306" s="173"/>
      <c r="CQK306" s="173"/>
      <c r="CQL306" s="173"/>
      <c r="CQM306" s="173"/>
      <c r="CQN306" s="125"/>
      <c r="CQO306" s="125"/>
      <c r="CQP306" s="134"/>
      <c r="CQQ306" s="135"/>
      <c r="CQR306" s="135"/>
      <c r="CQS306" s="135"/>
      <c r="CQT306" s="135"/>
      <c r="CQU306" s="173"/>
      <c r="CQV306" s="173"/>
      <c r="CQW306" s="173"/>
      <c r="CQX306" s="173"/>
      <c r="CQY306" s="173"/>
      <c r="CQZ306" s="173"/>
      <c r="CRA306" s="173"/>
      <c r="CRB306" s="173"/>
      <c r="CRC306" s="173"/>
      <c r="CRD306" s="173"/>
      <c r="CRE306" s="125"/>
      <c r="CRF306" s="125"/>
      <c r="CRG306" s="134"/>
      <c r="CRH306" s="135"/>
      <c r="CRI306" s="135"/>
      <c r="CRJ306" s="135"/>
      <c r="CRK306" s="135"/>
      <c r="CRL306" s="173"/>
      <c r="CRM306" s="173"/>
      <c r="CRN306" s="173"/>
      <c r="CRO306" s="173"/>
      <c r="CRP306" s="173"/>
      <c r="CRQ306" s="173"/>
      <c r="CRR306" s="173"/>
      <c r="CRS306" s="173"/>
      <c r="CRT306" s="173"/>
      <c r="CRU306" s="173"/>
      <c r="CRV306" s="125"/>
      <c r="CRW306" s="125"/>
      <c r="CRX306" s="134"/>
      <c r="CRY306" s="135"/>
      <c r="CRZ306" s="135"/>
      <c r="CSA306" s="135"/>
      <c r="CSB306" s="135"/>
      <c r="CSC306" s="173"/>
      <c r="CSD306" s="173"/>
      <c r="CSE306" s="173"/>
      <c r="CSF306" s="173"/>
      <c r="CSG306" s="173"/>
      <c r="CSH306" s="173"/>
      <c r="CSI306" s="173"/>
      <c r="CSJ306" s="173"/>
      <c r="CSK306" s="173"/>
      <c r="CSL306" s="173"/>
      <c r="CSM306" s="125"/>
      <c r="CSN306" s="125"/>
      <c r="CSO306" s="134"/>
      <c r="CSP306" s="135"/>
      <c r="CSQ306" s="135"/>
      <c r="CSR306" s="135"/>
      <c r="CSS306" s="135"/>
      <c r="CST306" s="173"/>
      <c r="CSU306" s="173"/>
      <c r="CSV306" s="173"/>
      <c r="CSW306" s="173"/>
      <c r="CSX306" s="173"/>
      <c r="CSY306" s="173"/>
      <c r="CSZ306" s="173"/>
      <c r="CTA306" s="173"/>
      <c r="CTB306" s="173"/>
      <c r="CTC306" s="173"/>
      <c r="CTD306" s="125"/>
      <c r="CTE306" s="125"/>
      <c r="CTF306" s="134"/>
      <c r="CTG306" s="135"/>
      <c r="CTH306" s="135"/>
      <c r="CTI306" s="135"/>
      <c r="CTJ306" s="135"/>
      <c r="CTK306" s="173"/>
      <c r="CTL306" s="173"/>
      <c r="CTM306" s="173"/>
      <c r="CTN306" s="173"/>
      <c r="CTO306" s="173"/>
      <c r="CTP306" s="173"/>
      <c r="CTQ306" s="173"/>
      <c r="CTR306" s="173"/>
      <c r="CTS306" s="173"/>
      <c r="CTT306" s="173"/>
      <c r="CTU306" s="125"/>
      <c r="CTV306" s="125"/>
      <c r="CTW306" s="134"/>
      <c r="CTX306" s="135"/>
      <c r="CTY306" s="135"/>
      <c r="CTZ306" s="135"/>
      <c r="CUA306" s="135"/>
      <c r="CUB306" s="173"/>
      <c r="CUC306" s="173"/>
      <c r="CUD306" s="173"/>
      <c r="CUE306" s="173"/>
      <c r="CUF306" s="173"/>
      <c r="CUG306" s="173"/>
      <c r="CUH306" s="173"/>
      <c r="CUI306" s="173"/>
      <c r="CUJ306" s="173"/>
      <c r="CUK306" s="173"/>
      <c r="CUL306" s="125"/>
      <c r="CUM306" s="125"/>
      <c r="CUN306" s="134"/>
      <c r="CUO306" s="135"/>
      <c r="CUP306" s="135"/>
      <c r="CUQ306" s="135"/>
      <c r="CUR306" s="135"/>
      <c r="CUS306" s="173"/>
      <c r="CUT306" s="173"/>
      <c r="CUU306" s="173"/>
      <c r="CUV306" s="173"/>
      <c r="CUW306" s="173"/>
      <c r="CUX306" s="173"/>
      <c r="CUY306" s="173"/>
      <c r="CUZ306" s="173"/>
      <c r="CVA306" s="173"/>
      <c r="CVB306" s="173"/>
      <c r="CVC306" s="125"/>
      <c r="CVD306" s="125"/>
      <c r="CVE306" s="134"/>
      <c r="CVF306" s="135"/>
      <c r="CVG306" s="135"/>
      <c r="CVH306" s="135"/>
      <c r="CVI306" s="135"/>
      <c r="CVJ306" s="173"/>
      <c r="CVK306" s="173"/>
      <c r="CVL306" s="173"/>
      <c r="CVM306" s="173"/>
      <c r="CVN306" s="173"/>
      <c r="CVO306" s="173"/>
      <c r="CVP306" s="173"/>
      <c r="CVQ306" s="173"/>
      <c r="CVR306" s="173"/>
      <c r="CVS306" s="173"/>
      <c r="CVT306" s="125"/>
      <c r="CVU306" s="125"/>
      <c r="CVV306" s="134"/>
      <c r="CVW306" s="135"/>
      <c r="CVX306" s="135"/>
      <c r="CVY306" s="135"/>
      <c r="CVZ306" s="135"/>
      <c r="CWA306" s="173"/>
      <c r="CWB306" s="173"/>
      <c r="CWC306" s="173"/>
      <c r="CWD306" s="173"/>
      <c r="CWE306" s="173"/>
      <c r="CWF306" s="173"/>
      <c r="CWG306" s="173"/>
      <c r="CWH306" s="173"/>
      <c r="CWI306" s="173"/>
      <c r="CWJ306" s="173"/>
      <c r="CWK306" s="125"/>
      <c r="CWL306" s="125"/>
      <c r="CWM306" s="134"/>
      <c r="CWN306" s="135"/>
      <c r="CWO306" s="135"/>
      <c r="CWP306" s="135"/>
      <c r="CWQ306" s="135"/>
      <c r="CWR306" s="173"/>
      <c r="CWS306" s="173"/>
      <c r="CWT306" s="173"/>
      <c r="CWU306" s="173"/>
      <c r="CWV306" s="173"/>
      <c r="CWW306" s="173"/>
      <c r="CWX306" s="173"/>
      <c r="CWY306" s="173"/>
      <c r="CWZ306" s="173"/>
      <c r="CXA306" s="173"/>
      <c r="CXB306" s="125"/>
      <c r="CXC306" s="125"/>
      <c r="CXD306" s="134"/>
      <c r="CXE306" s="135"/>
      <c r="CXF306" s="135"/>
      <c r="CXG306" s="135"/>
      <c r="CXH306" s="135"/>
      <c r="CXI306" s="173"/>
      <c r="CXJ306" s="173"/>
      <c r="CXK306" s="173"/>
      <c r="CXL306" s="173"/>
      <c r="CXM306" s="173"/>
      <c r="CXN306" s="173"/>
      <c r="CXO306" s="173"/>
      <c r="CXP306" s="173"/>
      <c r="CXQ306" s="173"/>
      <c r="CXR306" s="173"/>
      <c r="CXS306" s="125"/>
      <c r="CXT306" s="125"/>
      <c r="CXU306" s="134"/>
      <c r="CXV306" s="135"/>
      <c r="CXW306" s="135"/>
      <c r="CXX306" s="135"/>
      <c r="CXY306" s="135"/>
      <c r="CXZ306" s="173"/>
      <c r="CYA306" s="173"/>
      <c r="CYB306" s="173"/>
      <c r="CYC306" s="173"/>
      <c r="CYD306" s="173"/>
      <c r="CYE306" s="173"/>
      <c r="CYF306" s="173"/>
      <c r="CYG306" s="173"/>
      <c r="CYH306" s="173"/>
      <c r="CYI306" s="173"/>
      <c r="CYJ306" s="125"/>
      <c r="CYK306" s="125"/>
      <c r="CYL306" s="134"/>
      <c r="CYM306" s="135"/>
      <c r="CYN306" s="135"/>
      <c r="CYO306" s="135"/>
      <c r="CYP306" s="135"/>
      <c r="CYQ306" s="173"/>
      <c r="CYR306" s="173"/>
      <c r="CYS306" s="173"/>
      <c r="CYT306" s="173"/>
      <c r="CYU306" s="173"/>
      <c r="CYV306" s="173"/>
      <c r="CYW306" s="173"/>
      <c r="CYX306" s="173"/>
      <c r="CYY306" s="173"/>
      <c r="CYZ306" s="173"/>
      <c r="CZA306" s="125"/>
      <c r="CZB306" s="125"/>
      <c r="CZC306" s="134"/>
      <c r="CZD306" s="135"/>
      <c r="CZE306" s="135"/>
      <c r="CZF306" s="135"/>
      <c r="CZG306" s="135"/>
      <c r="CZH306" s="173"/>
      <c r="CZI306" s="173"/>
      <c r="CZJ306" s="173"/>
      <c r="CZK306" s="173"/>
      <c r="CZL306" s="173"/>
      <c r="CZM306" s="173"/>
      <c r="CZN306" s="173"/>
      <c r="CZO306" s="173"/>
      <c r="CZP306" s="173"/>
      <c r="CZQ306" s="173"/>
      <c r="CZR306" s="125"/>
      <c r="CZS306" s="125"/>
      <c r="CZT306" s="134"/>
      <c r="CZU306" s="135"/>
      <c r="CZV306" s="135"/>
      <c r="CZW306" s="135"/>
      <c r="CZX306" s="135"/>
      <c r="CZY306" s="173"/>
      <c r="CZZ306" s="173"/>
      <c r="DAA306" s="173"/>
      <c r="DAB306" s="173"/>
      <c r="DAC306" s="173"/>
      <c r="DAD306" s="173"/>
      <c r="DAE306" s="173"/>
      <c r="DAF306" s="173"/>
      <c r="DAG306" s="173"/>
      <c r="DAH306" s="173"/>
      <c r="DAI306" s="125"/>
      <c r="DAJ306" s="125"/>
      <c r="DAK306" s="134"/>
      <c r="DAL306" s="135"/>
      <c r="DAM306" s="135"/>
      <c r="DAN306" s="135"/>
      <c r="DAO306" s="135"/>
      <c r="DAP306" s="173"/>
      <c r="DAQ306" s="173"/>
      <c r="DAR306" s="173"/>
      <c r="DAS306" s="173"/>
      <c r="DAT306" s="173"/>
      <c r="DAU306" s="173"/>
      <c r="DAV306" s="173"/>
      <c r="DAW306" s="173"/>
      <c r="DAX306" s="173"/>
      <c r="DAY306" s="173"/>
      <c r="DAZ306" s="125"/>
      <c r="DBA306" s="125"/>
      <c r="DBB306" s="134"/>
      <c r="DBC306" s="135"/>
      <c r="DBD306" s="135"/>
      <c r="DBE306" s="135"/>
      <c r="DBF306" s="135"/>
      <c r="DBG306" s="173"/>
      <c r="DBH306" s="173"/>
      <c r="DBI306" s="173"/>
      <c r="DBJ306" s="173"/>
      <c r="DBK306" s="173"/>
      <c r="DBL306" s="173"/>
      <c r="DBM306" s="173"/>
      <c r="DBN306" s="173"/>
      <c r="DBO306" s="173"/>
      <c r="DBP306" s="173"/>
      <c r="DBQ306" s="125"/>
      <c r="DBR306" s="125"/>
      <c r="DBS306" s="134"/>
      <c r="DBT306" s="135"/>
      <c r="DBU306" s="135"/>
      <c r="DBV306" s="135"/>
      <c r="DBW306" s="135"/>
      <c r="DBX306" s="173"/>
      <c r="DBY306" s="173"/>
      <c r="DBZ306" s="173"/>
      <c r="DCA306" s="173"/>
      <c r="DCB306" s="173"/>
      <c r="DCC306" s="173"/>
      <c r="DCD306" s="173"/>
      <c r="DCE306" s="173"/>
      <c r="DCF306" s="173"/>
      <c r="DCG306" s="173"/>
      <c r="DCH306" s="125"/>
      <c r="DCI306" s="125"/>
      <c r="DCJ306" s="134"/>
      <c r="DCK306" s="135"/>
      <c r="DCL306" s="135"/>
      <c r="DCM306" s="135"/>
      <c r="DCN306" s="135"/>
      <c r="DCO306" s="173"/>
      <c r="DCP306" s="173"/>
      <c r="DCQ306" s="173"/>
      <c r="DCR306" s="173"/>
      <c r="DCS306" s="173"/>
      <c r="DCT306" s="173"/>
      <c r="DCU306" s="173"/>
      <c r="DCV306" s="173"/>
      <c r="DCW306" s="173"/>
      <c r="DCX306" s="173"/>
      <c r="DCY306" s="125"/>
      <c r="DCZ306" s="125"/>
      <c r="DDA306" s="134"/>
      <c r="DDB306" s="135"/>
      <c r="DDC306" s="135"/>
      <c r="DDD306" s="135"/>
      <c r="DDE306" s="135"/>
      <c r="DDF306" s="173"/>
      <c r="DDG306" s="173"/>
      <c r="DDH306" s="173"/>
      <c r="DDI306" s="173"/>
      <c r="DDJ306" s="173"/>
      <c r="DDK306" s="173"/>
      <c r="DDL306" s="173"/>
      <c r="DDM306" s="173"/>
      <c r="DDN306" s="173"/>
      <c r="DDO306" s="173"/>
      <c r="DDP306" s="125"/>
      <c r="DDQ306" s="125"/>
      <c r="DDR306" s="134"/>
      <c r="DDS306" s="135"/>
      <c r="DDT306" s="135"/>
      <c r="DDU306" s="135"/>
      <c r="DDV306" s="135"/>
      <c r="DDW306" s="173"/>
      <c r="DDX306" s="173"/>
      <c r="DDY306" s="173"/>
      <c r="DDZ306" s="173"/>
      <c r="DEA306" s="173"/>
      <c r="DEB306" s="173"/>
      <c r="DEC306" s="173"/>
      <c r="DED306" s="173"/>
      <c r="DEE306" s="173"/>
      <c r="DEF306" s="173"/>
      <c r="DEG306" s="125"/>
      <c r="DEH306" s="125"/>
      <c r="DEI306" s="134"/>
      <c r="DEJ306" s="135"/>
      <c r="DEK306" s="135"/>
      <c r="DEL306" s="135"/>
      <c r="DEM306" s="135"/>
      <c r="DEN306" s="173"/>
      <c r="DEO306" s="173"/>
      <c r="DEP306" s="173"/>
      <c r="DEQ306" s="173"/>
      <c r="DER306" s="173"/>
      <c r="DES306" s="173"/>
      <c r="DET306" s="173"/>
      <c r="DEU306" s="173"/>
      <c r="DEV306" s="173"/>
      <c r="DEW306" s="173"/>
      <c r="DEX306" s="125"/>
      <c r="DEY306" s="125"/>
      <c r="DEZ306" s="134"/>
      <c r="DFA306" s="135"/>
      <c r="DFB306" s="135"/>
      <c r="DFC306" s="135"/>
      <c r="DFD306" s="135"/>
      <c r="DFE306" s="173"/>
      <c r="DFF306" s="173"/>
      <c r="DFG306" s="173"/>
      <c r="DFH306" s="173"/>
      <c r="DFI306" s="173"/>
      <c r="DFJ306" s="173"/>
      <c r="DFK306" s="173"/>
      <c r="DFL306" s="173"/>
      <c r="DFM306" s="173"/>
      <c r="DFN306" s="173"/>
      <c r="DFO306" s="125"/>
      <c r="DFP306" s="125"/>
      <c r="DFQ306" s="134"/>
      <c r="DFR306" s="135"/>
      <c r="DFS306" s="135"/>
      <c r="DFT306" s="135"/>
      <c r="DFU306" s="135"/>
      <c r="DFV306" s="173"/>
      <c r="DFW306" s="173"/>
      <c r="DFX306" s="173"/>
      <c r="DFY306" s="173"/>
      <c r="DFZ306" s="173"/>
      <c r="DGA306" s="173"/>
      <c r="DGB306" s="173"/>
      <c r="DGC306" s="173"/>
      <c r="DGD306" s="173"/>
      <c r="DGE306" s="173"/>
      <c r="DGF306" s="125"/>
      <c r="DGG306" s="125"/>
      <c r="DGH306" s="134"/>
      <c r="DGI306" s="135"/>
      <c r="DGJ306" s="135"/>
      <c r="DGK306" s="135"/>
      <c r="DGL306" s="135"/>
      <c r="DGM306" s="173"/>
      <c r="DGN306" s="173"/>
      <c r="DGO306" s="173"/>
      <c r="DGP306" s="173"/>
      <c r="DGQ306" s="173"/>
      <c r="DGR306" s="173"/>
      <c r="DGS306" s="173"/>
      <c r="DGT306" s="173"/>
      <c r="DGU306" s="173"/>
      <c r="DGV306" s="173"/>
      <c r="DGW306" s="125"/>
      <c r="DGX306" s="125"/>
      <c r="DGY306" s="134"/>
      <c r="DGZ306" s="135"/>
      <c r="DHA306" s="135"/>
      <c r="DHB306" s="135"/>
      <c r="DHC306" s="135"/>
      <c r="DHD306" s="173"/>
      <c r="DHE306" s="173"/>
      <c r="DHF306" s="173"/>
      <c r="DHG306" s="173"/>
      <c r="DHH306" s="173"/>
      <c r="DHI306" s="173"/>
      <c r="DHJ306" s="173"/>
      <c r="DHK306" s="173"/>
      <c r="DHL306" s="173"/>
      <c r="DHM306" s="173"/>
      <c r="DHN306" s="125"/>
      <c r="DHO306" s="125"/>
      <c r="DHP306" s="134"/>
      <c r="DHQ306" s="135"/>
      <c r="DHR306" s="135"/>
      <c r="DHS306" s="135"/>
      <c r="DHT306" s="135"/>
      <c r="DHU306" s="173"/>
      <c r="DHV306" s="173"/>
      <c r="DHW306" s="173"/>
      <c r="DHX306" s="173"/>
      <c r="DHY306" s="173"/>
      <c r="DHZ306" s="173"/>
      <c r="DIA306" s="173"/>
      <c r="DIB306" s="173"/>
      <c r="DIC306" s="173"/>
      <c r="DID306" s="173"/>
      <c r="DIE306" s="125"/>
      <c r="DIF306" s="125"/>
      <c r="DIG306" s="134"/>
      <c r="DIH306" s="135"/>
      <c r="DII306" s="135"/>
      <c r="DIJ306" s="135"/>
      <c r="DIK306" s="135"/>
      <c r="DIL306" s="173"/>
      <c r="DIM306" s="173"/>
      <c r="DIN306" s="173"/>
      <c r="DIO306" s="173"/>
      <c r="DIP306" s="173"/>
      <c r="DIQ306" s="173"/>
      <c r="DIR306" s="173"/>
      <c r="DIS306" s="173"/>
      <c r="DIT306" s="173"/>
      <c r="DIU306" s="173"/>
      <c r="DIV306" s="125"/>
      <c r="DIW306" s="125"/>
      <c r="DIX306" s="134"/>
      <c r="DIY306" s="135"/>
      <c r="DIZ306" s="135"/>
      <c r="DJA306" s="135"/>
      <c r="DJB306" s="135"/>
      <c r="DJC306" s="173"/>
      <c r="DJD306" s="173"/>
      <c r="DJE306" s="173"/>
      <c r="DJF306" s="173"/>
      <c r="DJG306" s="173"/>
      <c r="DJH306" s="173"/>
      <c r="DJI306" s="173"/>
      <c r="DJJ306" s="173"/>
      <c r="DJK306" s="173"/>
      <c r="DJL306" s="173"/>
      <c r="DJM306" s="125"/>
      <c r="DJN306" s="125"/>
      <c r="DJO306" s="134"/>
      <c r="DJP306" s="135"/>
      <c r="DJQ306" s="135"/>
      <c r="DJR306" s="135"/>
      <c r="DJS306" s="135"/>
      <c r="DJT306" s="173"/>
      <c r="DJU306" s="173"/>
      <c r="DJV306" s="173"/>
      <c r="DJW306" s="173"/>
      <c r="DJX306" s="173"/>
      <c r="DJY306" s="173"/>
      <c r="DJZ306" s="173"/>
      <c r="DKA306" s="173"/>
      <c r="DKB306" s="173"/>
      <c r="DKC306" s="173"/>
      <c r="DKD306" s="125"/>
      <c r="DKE306" s="125"/>
      <c r="DKF306" s="134"/>
      <c r="DKG306" s="135"/>
      <c r="DKH306" s="135"/>
      <c r="DKI306" s="135"/>
      <c r="DKJ306" s="135"/>
      <c r="DKK306" s="173"/>
      <c r="DKL306" s="173"/>
      <c r="DKM306" s="173"/>
      <c r="DKN306" s="173"/>
      <c r="DKO306" s="173"/>
      <c r="DKP306" s="173"/>
      <c r="DKQ306" s="173"/>
      <c r="DKR306" s="173"/>
      <c r="DKS306" s="173"/>
      <c r="DKT306" s="173"/>
      <c r="DKU306" s="125"/>
      <c r="DKV306" s="125"/>
      <c r="DKW306" s="134"/>
      <c r="DKX306" s="135"/>
      <c r="DKY306" s="135"/>
      <c r="DKZ306" s="135"/>
      <c r="DLA306" s="135"/>
      <c r="DLB306" s="173"/>
      <c r="DLC306" s="173"/>
      <c r="DLD306" s="173"/>
      <c r="DLE306" s="173"/>
      <c r="DLF306" s="173"/>
      <c r="DLG306" s="173"/>
      <c r="DLH306" s="173"/>
      <c r="DLI306" s="173"/>
      <c r="DLJ306" s="173"/>
      <c r="DLK306" s="173"/>
      <c r="DLL306" s="125"/>
      <c r="DLM306" s="125"/>
      <c r="DLN306" s="134"/>
      <c r="DLO306" s="135"/>
      <c r="DLP306" s="135"/>
      <c r="DLQ306" s="135"/>
      <c r="DLR306" s="135"/>
      <c r="DLS306" s="173"/>
      <c r="DLT306" s="173"/>
      <c r="DLU306" s="173"/>
      <c r="DLV306" s="173"/>
      <c r="DLW306" s="173"/>
      <c r="DLX306" s="173"/>
      <c r="DLY306" s="173"/>
      <c r="DLZ306" s="173"/>
      <c r="DMA306" s="173"/>
      <c r="DMB306" s="173"/>
      <c r="DMC306" s="125"/>
      <c r="DMD306" s="125"/>
      <c r="DME306" s="134"/>
      <c r="DMF306" s="135"/>
      <c r="DMG306" s="135"/>
      <c r="DMH306" s="135"/>
      <c r="DMI306" s="135"/>
      <c r="DMJ306" s="173"/>
      <c r="DMK306" s="173"/>
      <c r="DML306" s="173"/>
      <c r="DMM306" s="173"/>
      <c r="DMN306" s="173"/>
      <c r="DMO306" s="173"/>
      <c r="DMP306" s="173"/>
      <c r="DMQ306" s="173"/>
      <c r="DMR306" s="173"/>
      <c r="DMS306" s="173"/>
      <c r="DMT306" s="125"/>
      <c r="DMU306" s="125"/>
      <c r="DMV306" s="134"/>
      <c r="DMW306" s="135"/>
      <c r="DMX306" s="135"/>
      <c r="DMY306" s="135"/>
      <c r="DMZ306" s="135"/>
      <c r="DNA306" s="173"/>
      <c r="DNB306" s="173"/>
      <c r="DNC306" s="173"/>
      <c r="DND306" s="173"/>
      <c r="DNE306" s="173"/>
      <c r="DNF306" s="173"/>
      <c r="DNG306" s="173"/>
      <c r="DNH306" s="173"/>
      <c r="DNI306" s="173"/>
      <c r="DNJ306" s="173"/>
      <c r="DNK306" s="125"/>
      <c r="DNL306" s="125"/>
      <c r="DNM306" s="134"/>
      <c r="DNN306" s="135"/>
      <c r="DNO306" s="135"/>
      <c r="DNP306" s="135"/>
      <c r="DNQ306" s="135"/>
      <c r="DNR306" s="173"/>
      <c r="DNS306" s="173"/>
      <c r="DNT306" s="173"/>
      <c r="DNU306" s="173"/>
      <c r="DNV306" s="173"/>
      <c r="DNW306" s="173"/>
      <c r="DNX306" s="173"/>
      <c r="DNY306" s="173"/>
      <c r="DNZ306" s="173"/>
      <c r="DOA306" s="173"/>
      <c r="DOB306" s="125"/>
      <c r="DOC306" s="125"/>
      <c r="DOD306" s="134"/>
      <c r="DOE306" s="135"/>
      <c r="DOF306" s="135"/>
      <c r="DOG306" s="135"/>
      <c r="DOH306" s="135"/>
      <c r="DOI306" s="173"/>
      <c r="DOJ306" s="173"/>
      <c r="DOK306" s="173"/>
      <c r="DOL306" s="173"/>
      <c r="DOM306" s="173"/>
      <c r="DON306" s="173"/>
      <c r="DOO306" s="173"/>
      <c r="DOP306" s="173"/>
      <c r="DOQ306" s="173"/>
      <c r="DOR306" s="173"/>
      <c r="DOS306" s="125"/>
      <c r="DOT306" s="125"/>
      <c r="DOU306" s="134"/>
      <c r="DOV306" s="135"/>
      <c r="DOW306" s="135"/>
      <c r="DOX306" s="135"/>
      <c r="DOY306" s="135"/>
      <c r="DOZ306" s="173"/>
      <c r="DPA306" s="173"/>
      <c r="DPB306" s="173"/>
      <c r="DPC306" s="173"/>
      <c r="DPD306" s="173"/>
      <c r="DPE306" s="173"/>
      <c r="DPF306" s="173"/>
      <c r="DPG306" s="173"/>
      <c r="DPH306" s="173"/>
      <c r="DPI306" s="173"/>
      <c r="DPJ306" s="125"/>
      <c r="DPK306" s="125"/>
      <c r="DPL306" s="134"/>
      <c r="DPM306" s="135"/>
      <c r="DPN306" s="135"/>
      <c r="DPO306" s="135"/>
      <c r="DPP306" s="135"/>
      <c r="DPQ306" s="173"/>
      <c r="DPR306" s="173"/>
      <c r="DPS306" s="173"/>
      <c r="DPT306" s="173"/>
      <c r="DPU306" s="173"/>
      <c r="DPV306" s="173"/>
      <c r="DPW306" s="173"/>
      <c r="DPX306" s="173"/>
      <c r="DPY306" s="173"/>
      <c r="DPZ306" s="173"/>
      <c r="DQA306" s="125"/>
      <c r="DQB306" s="125"/>
      <c r="DQC306" s="134"/>
      <c r="DQD306" s="135"/>
      <c r="DQE306" s="135"/>
      <c r="DQF306" s="135"/>
      <c r="DQG306" s="135"/>
      <c r="DQH306" s="173"/>
      <c r="DQI306" s="173"/>
      <c r="DQJ306" s="173"/>
      <c r="DQK306" s="173"/>
      <c r="DQL306" s="173"/>
      <c r="DQM306" s="173"/>
      <c r="DQN306" s="173"/>
      <c r="DQO306" s="173"/>
      <c r="DQP306" s="173"/>
      <c r="DQQ306" s="173"/>
      <c r="DQR306" s="125"/>
      <c r="DQS306" s="125"/>
      <c r="DQT306" s="134"/>
      <c r="DQU306" s="135"/>
      <c r="DQV306" s="135"/>
      <c r="DQW306" s="135"/>
      <c r="DQX306" s="135"/>
      <c r="DQY306" s="173"/>
      <c r="DQZ306" s="173"/>
      <c r="DRA306" s="173"/>
      <c r="DRB306" s="173"/>
      <c r="DRC306" s="173"/>
      <c r="DRD306" s="173"/>
      <c r="DRE306" s="173"/>
      <c r="DRF306" s="173"/>
      <c r="DRG306" s="173"/>
      <c r="DRH306" s="173"/>
      <c r="DRI306" s="125"/>
      <c r="DRJ306" s="125"/>
      <c r="DRK306" s="134"/>
      <c r="DRL306" s="135"/>
      <c r="DRM306" s="135"/>
      <c r="DRN306" s="135"/>
      <c r="DRO306" s="135"/>
      <c r="DRP306" s="173"/>
      <c r="DRQ306" s="173"/>
      <c r="DRR306" s="173"/>
      <c r="DRS306" s="173"/>
      <c r="DRT306" s="173"/>
      <c r="DRU306" s="173"/>
      <c r="DRV306" s="173"/>
      <c r="DRW306" s="173"/>
      <c r="DRX306" s="173"/>
      <c r="DRY306" s="173"/>
      <c r="DRZ306" s="125"/>
      <c r="DSA306" s="125"/>
      <c r="DSB306" s="134"/>
      <c r="DSC306" s="135"/>
      <c r="DSD306" s="135"/>
      <c r="DSE306" s="135"/>
      <c r="DSF306" s="135"/>
      <c r="DSG306" s="173"/>
      <c r="DSH306" s="173"/>
      <c r="DSI306" s="173"/>
      <c r="DSJ306" s="173"/>
      <c r="DSK306" s="173"/>
      <c r="DSL306" s="173"/>
      <c r="DSM306" s="173"/>
      <c r="DSN306" s="173"/>
      <c r="DSO306" s="173"/>
      <c r="DSP306" s="173"/>
      <c r="DSQ306" s="125"/>
      <c r="DSR306" s="125"/>
      <c r="DSS306" s="134"/>
      <c r="DST306" s="135"/>
      <c r="DSU306" s="135"/>
      <c r="DSV306" s="135"/>
      <c r="DSW306" s="135"/>
      <c r="DSX306" s="173"/>
      <c r="DSY306" s="173"/>
      <c r="DSZ306" s="173"/>
      <c r="DTA306" s="173"/>
      <c r="DTB306" s="173"/>
      <c r="DTC306" s="173"/>
      <c r="DTD306" s="173"/>
      <c r="DTE306" s="173"/>
      <c r="DTF306" s="173"/>
      <c r="DTG306" s="173"/>
      <c r="DTH306" s="125"/>
      <c r="DTI306" s="125"/>
      <c r="DTJ306" s="134"/>
      <c r="DTK306" s="135"/>
      <c r="DTL306" s="135"/>
      <c r="DTM306" s="135"/>
      <c r="DTN306" s="135"/>
      <c r="DTO306" s="173"/>
      <c r="DTP306" s="173"/>
      <c r="DTQ306" s="173"/>
      <c r="DTR306" s="173"/>
      <c r="DTS306" s="173"/>
      <c r="DTT306" s="173"/>
      <c r="DTU306" s="173"/>
      <c r="DTV306" s="173"/>
      <c r="DTW306" s="173"/>
      <c r="DTX306" s="173"/>
      <c r="DTY306" s="125"/>
      <c r="DTZ306" s="125"/>
      <c r="DUA306" s="134"/>
      <c r="DUB306" s="135"/>
      <c r="DUC306" s="135"/>
      <c r="DUD306" s="135"/>
      <c r="DUE306" s="135"/>
      <c r="DUF306" s="173"/>
      <c r="DUG306" s="173"/>
      <c r="DUH306" s="173"/>
      <c r="DUI306" s="173"/>
      <c r="DUJ306" s="173"/>
      <c r="DUK306" s="173"/>
      <c r="DUL306" s="173"/>
      <c r="DUM306" s="173"/>
      <c r="DUN306" s="173"/>
      <c r="DUO306" s="173"/>
      <c r="DUP306" s="125"/>
      <c r="DUQ306" s="125"/>
      <c r="DUR306" s="134"/>
      <c r="DUS306" s="135"/>
      <c r="DUT306" s="135"/>
      <c r="DUU306" s="135"/>
      <c r="DUV306" s="135"/>
      <c r="DUW306" s="173"/>
      <c r="DUX306" s="173"/>
      <c r="DUY306" s="173"/>
      <c r="DUZ306" s="173"/>
      <c r="DVA306" s="173"/>
      <c r="DVB306" s="173"/>
      <c r="DVC306" s="173"/>
      <c r="DVD306" s="173"/>
      <c r="DVE306" s="173"/>
      <c r="DVF306" s="173"/>
      <c r="DVG306" s="125"/>
      <c r="DVH306" s="125"/>
      <c r="DVI306" s="134"/>
      <c r="DVJ306" s="135"/>
      <c r="DVK306" s="135"/>
      <c r="DVL306" s="135"/>
      <c r="DVM306" s="135"/>
      <c r="DVN306" s="173"/>
      <c r="DVO306" s="173"/>
      <c r="DVP306" s="173"/>
      <c r="DVQ306" s="173"/>
      <c r="DVR306" s="173"/>
      <c r="DVS306" s="173"/>
      <c r="DVT306" s="173"/>
      <c r="DVU306" s="173"/>
      <c r="DVV306" s="173"/>
      <c r="DVW306" s="173"/>
      <c r="DVX306" s="125"/>
      <c r="DVY306" s="125"/>
      <c r="DVZ306" s="134"/>
      <c r="DWA306" s="135"/>
      <c r="DWB306" s="135"/>
      <c r="DWC306" s="135"/>
      <c r="DWD306" s="135"/>
      <c r="DWE306" s="173"/>
      <c r="DWF306" s="173"/>
      <c r="DWG306" s="173"/>
      <c r="DWH306" s="173"/>
      <c r="DWI306" s="173"/>
      <c r="DWJ306" s="173"/>
      <c r="DWK306" s="173"/>
      <c r="DWL306" s="173"/>
      <c r="DWM306" s="173"/>
      <c r="DWN306" s="173"/>
      <c r="DWO306" s="125"/>
      <c r="DWP306" s="125"/>
      <c r="DWQ306" s="134"/>
      <c r="DWR306" s="135"/>
      <c r="DWS306" s="135"/>
      <c r="DWT306" s="135"/>
      <c r="DWU306" s="135"/>
      <c r="DWV306" s="173"/>
      <c r="DWW306" s="173"/>
      <c r="DWX306" s="173"/>
      <c r="DWY306" s="173"/>
      <c r="DWZ306" s="173"/>
      <c r="DXA306" s="173"/>
      <c r="DXB306" s="173"/>
      <c r="DXC306" s="173"/>
      <c r="DXD306" s="173"/>
      <c r="DXE306" s="173"/>
      <c r="DXF306" s="125"/>
      <c r="DXG306" s="125"/>
      <c r="DXH306" s="134"/>
      <c r="DXI306" s="135"/>
      <c r="DXJ306" s="135"/>
      <c r="DXK306" s="135"/>
      <c r="DXL306" s="135"/>
      <c r="DXM306" s="173"/>
      <c r="DXN306" s="173"/>
      <c r="DXO306" s="173"/>
      <c r="DXP306" s="173"/>
      <c r="DXQ306" s="173"/>
      <c r="DXR306" s="173"/>
      <c r="DXS306" s="173"/>
      <c r="DXT306" s="173"/>
      <c r="DXU306" s="173"/>
      <c r="DXV306" s="173"/>
      <c r="DXW306" s="125"/>
      <c r="DXX306" s="125"/>
      <c r="DXY306" s="134"/>
      <c r="DXZ306" s="135"/>
      <c r="DYA306" s="135"/>
      <c r="DYB306" s="135"/>
      <c r="DYC306" s="135"/>
      <c r="DYD306" s="173"/>
      <c r="DYE306" s="173"/>
      <c r="DYF306" s="173"/>
      <c r="DYG306" s="173"/>
      <c r="DYH306" s="173"/>
      <c r="DYI306" s="173"/>
      <c r="DYJ306" s="173"/>
      <c r="DYK306" s="173"/>
      <c r="DYL306" s="173"/>
      <c r="DYM306" s="173"/>
      <c r="DYN306" s="125"/>
      <c r="DYO306" s="125"/>
      <c r="DYP306" s="134"/>
      <c r="DYQ306" s="135"/>
      <c r="DYR306" s="135"/>
      <c r="DYS306" s="135"/>
      <c r="DYT306" s="135"/>
      <c r="DYU306" s="173"/>
      <c r="DYV306" s="173"/>
      <c r="DYW306" s="173"/>
      <c r="DYX306" s="173"/>
      <c r="DYY306" s="173"/>
      <c r="DYZ306" s="173"/>
      <c r="DZA306" s="173"/>
      <c r="DZB306" s="173"/>
      <c r="DZC306" s="173"/>
      <c r="DZD306" s="173"/>
      <c r="DZE306" s="125"/>
      <c r="DZF306" s="125"/>
      <c r="DZG306" s="134"/>
      <c r="DZH306" s="135"/>
      <c r="DZI306" s="135"/>
      <c r="DZJ306" s="135"/>
      <c r="DZK306" s="135"/>
      <c r="DZL306" s="173"/>
      <c r="DZM306" s="173"/>
      <c r="DZN306" s="173"/>
      <c r="DZO306" s="173"/>
      <c r="DZP306" s="173"/>
      <c r="DZQ306" s="173"/>
      <c r="DZR306" s="173"/>
      <c r="DZS306" s="173"/>
      <c r="DZT306" s="173"/>
      <c r="DZU306" s="173"/>
      <c r="DZV306" s="125"/>
      <c r="DZW306" s="125"/>
      <c r="DZX306" s="134"/>
      <c r="DZY306" s="135"/>
      <c r="DZZ306" s="135"/>
      <c r="EAA306" s="135"/>
      <c r="EAB306" s="135"/>
      <c r="EAC306" s="173"/>
      <c r="EAD306" s="173"/>
      <c r="EAE306" s="173"/>
      <c r="EAF306" s="173"/>
      <c r="EAG306" s="173"/>
      <c r="EAH306" s="173"/>
      <c r="EAI306" s="173"/>
      <c r="EAJ306" s="173"/>
      <c r="EAK306" s="173"/>
      <c r="EAL306" s="173"/>
      <c r="EAM306" s="125"/>
      <c r="EAN306" s="125"/>
      <c r="EAO306" s="134"/>
      <c r="EAP306" s="135"/>
      <c r="EAQ306" s="135"/>
      <c r="EAR306" s="135"/>
      <c r="EAS306" s="135"/>
      <c r="EAT306" s="173"/>
      <c r="EAU306" s="173"/>
      <c r="EAV306" s="173"/>
      <c r="EAW306" s="173"/>
      <c r="EAX306" s="173"/>
      <c r="EAY306" s="173"/>
      <c r="EAZ306" s="173"/>
      <c r="EBA306" s="173"/>
      <c r="EBB306" s="173"/>
      <c r="EBC306" s="173"/>
      <c r="EBD306" s="125"/>
      <c r="EBE306" s="125"/>
      <c r="EBF306" s="134"/>
      <c r="EBG306" s="135"/>
      <c r="EBH306" s="135"/>
      <c r="EBI306" s="135"/>
      <c r="EBJ306" s="135"/>
      <c r="EBK306" s="173"/>
      <c r="EBL306" s="173"/>
      <c r="EBM306" s="173"/>
      <c r="EBN306" s="173"/>
      <c r="EBO306" s="173"/>
      <c r="EBP306" s="173"/>
      <c r="EBQ306" s="173"/>
      <c r="EBR306" s="173"/>
      <c r="EBS306" s="173"/>
      <c r="EBT306" s="173"/>
      <c r="EBU306" s="125"/>
      <c r="EBV306" s="125"/>
      <c r="EBW306" s="134"/>
      <c r="EBX306" s="135"/>
      <c r="EBY306" s="135"/>
      <c r="EBZ306" s="135"/>
      <c r="ECA306" s="135"/>
      <c r="ECB306" s="173"/>
      <c r="ECC306" s="173"/>
      <c r="ECD306" s="173"/>
      <c r="ECE306" s="173"/>
      <c r="ECF306" s="173"/>
      <c r="ECG306" s="173"/>
      <c r="ECH306" s="173"/>
      <c r="ECI306" s="173"/>
      <c r="ECJ306" s="173"/>
      <c r="ECK306" s="173"/>
      <c r="ECL306" s="125"/>
      <c r="ECM306" s="125"/>
      <c r="ECN306" s="134"/>
      <c r="ECO306" s="135"/>
      <c r="ECP306" s="135"/>
      <c r="ECQ306" s="135"/>
      <c r="ECR306" s="135"/>
      <c r="ECS306" s="173"/>
      <c r="ECT306" s="173"/>
      <c r="ECU306" s="173"/>
      <c r="ECV306" s="173"/>
      <c r="ECW306" s="173"/>
      <c r="ECX306" s="173"/>
      <c r="ECY306" s="173"/>
      <c r="ECZ306" s="173"/>
      <c r="EDA306" s="173"/>
      <c r="EDB306" s="173"/>
      <c r="EDC306" s="125"/>
      <c r="EDD306" s="125"/>
      <c r="EDE306" s="134"/>
      <c r="EDF306" s="135"/>
      <c r="EDG306" s="135"/>
      <c r="EDH306" s="135"/>
      <c r="EDI306" s="135"/>
      <c r="EDJ306" s="173"/>
      <c r="EDK306" s="173"/>
      <c r="EDL306" s="173"/>
      <c r="EDM306" s="173"/>
      <c r="EDN306" s="173"/>
      <c r="EDO306" s="173"/>
      <c r="EDP306" s="173"/>
      <c r="EDQ306" s="173"/>
      <c r="EDR306" s="173"/>
      <c r="EDS306" s="173"/>
      <c r="EDT306" s="125"/>
      <c r="EDU306" s="125"/>
      <c r="EDV306" s="134"/>
      <c r="EDW306" s="135"/>
      <c r="EDX306" s="135"/>
      <c r="EDY306" s="135"/>
      <c r="EDZ306" s="135"/>
      <c r="EEA306" s="173"/>
      <c r="EEB306" s="173"/>
      <c r="EEC306" s="173"/>
      <c r="EED306" s="173"/>
      <c r="EEE306" s="173"/>
      <c r="EEF306" s="173"/>
      <c r="EEG306" s="173"/>
      <c r="EEH306" s="173"/>
      <c r="EEI306" s="173"/>
      <c r="EEJ306" s="173"/>
      <c r="EEK306" s="125"/>
      <c r="EEL306" s="125"/>
      <c r="EEM306" s="134"/>
      <c r="EEN306" s="135"/>
      <c r="EEO306" s="135"/>
      <c r="EEP306" s="135"/>
      <c r="EEQ306" s="135"/>
      <c r="EER306" s="173"/>
      <c r="EES306" s="173"/>
      <c r="EET306" s="173"/>
      <c r="EEU306" s="173"/>
      <c r="EEV306" s="173"/>
      <c r="EEW306" s="173"/>
      <c r="EEX306" s="173"/>
      <c r="EEY306" s="173"/>
      <c r="EEZ306" s="173"/>
      <c r="EFA306" s="173"/>
      <c r="EFB306" s="125"/>
      <c r="EFC306" s="125"/>
      <c r="EFD306" s="134"/>
      <c r="EFE306" s="135"/>
      <c r="EFF306" s="135"/>
      <c r="EFG306" s="135"/>
      <c r="EFH306" s="135"/>
      <c r="EFI306" s="173"/>
      <c r="EFJ306" s="173"/>
      <c r="EFK306" s="173"/>
      <c r="EFL306" s="173"/>
      <c r="EFM306" s="173"/>
      <c r="EFN306" s="173"/>
      <c r="EFO306" s="173"/>
      <c r="EFP306" s="173"/>
      <c r="EFQ306" s="173"/>
      <c r="EFR306" s="173"/>
      <c r="EFS306" s="125"/>
      <c r="EFT306" s="125"/>
      <c r="EFU306" s="134"/>
      <c r="EFV306" s="135"/>
      <c r="EFW306" s="135"/>
      <c r="EFX306" s="135"/>
      <c r="EFY306" s="135"/>
      <c r="EFZ306" s="173"/>
      <c r="EGA306" s="173"/>
      <c r="EGB306" s="173"/>
      <c r="EGC306" s="173"/>
      <c r="EGD306" s="173"/>
      <c r="EGE306" s="173"/>
      <c r="EGF306" s="173"/>
      <c r="EGG306" s="173"/>
      <c r="EGH306" s="173"/>
      <c r="EGI306" s="173"/>
      <c r="EGJ306" s="125"/>
      <c r="EGK306" s="125"/>
      <c r="EGL306" s="134"/>
      <c r="EGM306" s="135"/>
      <c r="EGN306" s="135"/>
      <c r="EGO306" s="135"/>
      <c r="EGP306" s="135"/>
      <c r="EGQ306" s="173"/>
      <c r="EGR306" s="173"/>
      <c r="EGS306" s="173"/>
      <c r="EGT306" s="173"/>
      <c r="EGU306" s="173"/>
      <c r="EGV306" s="173"/>
      <c r="EGW306" s="173"/>
      <c r="EGX306" s="173"/>
      <c r="EGY306" s="173"/>
      <c r="EGZ306" s="173"/>
      <c r="EHA306" s="125"/>
      <c r="EHB306" s="125"/>
      <c r="EHC306" s="134"/>
      <c r="EHD306" s="135"/>
      <c r="EHE306" s="135"/>
      <c r="EHF306" s="135"/>
      <c r="EHG306" s="135"/>
      <c r="EHH306" s="173"/>
      <c r="EHI306" s="173"/>
      <c r="EHJ306" s="173"/>
      <c r="EHK306" s="173"/>
      <c r="EHL306" s="173"/>
      <c r="EHM306" s="173"/>
      <c r="EHN306" s="173"/>
      <c r="EHO306" s="173"/>
      <c r="EHP306" s="173"/>
      <c r="EHQ306" s="173"/>
      <c r="EHR306" s="125"/>
      <c r="EHS306" s="125"/>
      <c r="EHT306" s="134"/>
      <c r="EHU306" s="135"/>
      <c r="EHV306" s="135"/>
      <c r="EHW306" s="135"/>
      <c r="EHX306" s="135"/>
      <c r="EHY306" s="173"/>
      <c r="EHZ306" s="173"/>
      <c r="EIA306" s="173"/>
      <c r="EIB306" s="173"/>
      <c r="EIC306" s="173"/>
      <c r="EID306" s="173"/>
      <c r="EIE306" s="173"/>
      <c r="EIF306" s="173"/>
      <c r="EIG306" s="173"/>
      <c r="EIH306" s="173"/>
      <c r="EII306" s="125"/>
      <c r="EIJ306" s="125"/>
      <c r="EIK306" s="134"/>
      <c r="EIL306" s="135"/>
      <c r="EIM306" s="135"/>
      <c r="EIN306" s="135"/>
      <c r="EIO306" s="135"/>
      <c r="EIP306" s="173"/>
      <c r="EIQ306" s="173"/>
      <c r="EIR306" s="173"/>
      <c r="EIS306" s="173"/>
      <c r="EIT306" s="173"/>
      <c r="EIU306" s="173"/>
      <c r="EIV306" s="173"/>
      <c r="EIW306" s="173"/>
      <c r="EIX306" s="173"/>
      <c r="EIY306" s="173"/>
      <c r="EIZ306" s="125"/>
      <c r="EJA306" s="125"/>
      <c r="EJB306" s="134"/>
      <c r="EJC306" s="135"/>
      <c r="EJD306" s="135"/>
      <c r="EJE306" s="135"/>
      <c r="EJF306" s="135"/>
      <c r="EJG306" s="173"/>
      <c r="EJH306" s="173"/>
      <c r="EJI306" s="173"/>
      <c r="EJJ306" s="173"/>
      <c r="EJK306" s="173"/>
      <c r="EJL306" s="173"/>
      <c r="EJM306" s="173"/>
      <c r="EJN306" s="173"/>
      <c r="EJO306" s="173"/>
      <c r="EJP306" s="173"/>
      <c r="EJQ306" s="125"/>
      <c r="EJR306" s="125"/>
      <c r="EJS306" s="134"/>
      <c r="EJT306" s="135"/>
      <c r="EJU306" s="135"/>
      <c r="EJV306" s="135"/>
      <c r="EJW306" s="135"/>
      <c r="EJX306" s="173"/>
      <c r="EJY306" s="173"/>
      <c r="EJZ306" s="173"/>
      <c r="EKA306" s="173"/>
      <c r="EKB306" s="173"/>
      <c r="EKC306" s="173"/>
      <c r="EKD306" s="173"/>
      <c r="EKE306" s="173"/>
      <c r="EKF306" s="173"/>
      <c r="EKG306" s="173"/>
      <c r="EKH306" s="125"/>
      <c r="EKI306" s="125"/>
      <c r="EKJ306" s="134"/>
      <c r="EKK306" s="135"/>
      <c r="EKL306" s="135"/>
      <c r="EKM306" s="135"/>
      <c r="EKN306" s="135"/>
      <c r="EKO306" s="173"/>
      <c r="EKP306" s="173"/>
      <c r="EKQ306" s="173"/>
      <c r="EKR306" s="173"/>
      <c r="EKS306" s="173"/>
      <c r="EKT306" s="173"/>
      <c r="EKU306" s="173"/>
      <c r="EKV306" s="173"/>
      <c r="EKW306" s="173"/>
      <c r="EKX306" s="173"/>
      <c r="EKY306" s="125"/>
      <c r="EKZ306" s="125"/>
      <c r="ELA306" s="134"/>
      <c r="ELB306" s="135"/>
      <c r="ELC306" s="135"/>
      <c r="ELD306" s="135"/>
      <c r="ELE306" s="135"/>
      <c r="ELF306" s="173"/>
      <c r="ELG306" s="173"/>
      <c r="ELH306" s="173"/>
      <c r="ELI306" s="173"/>
      <c r="ELJ306" s="173"/>
      <c r="ELK306" s="173"/>
      <c r="ELL306" s="173"/>
      <c r="ELM306" s="173"/>
      <c r="ELN306" s="173"/>
      <c r="ELO306" s="173"/>
      <c r="ELP306" s="125"/>
      <c r="ELQ306" s="125"/>
      <c r="ELR306" s="134"/>
      <c r="ELS306" s="135"/>
      <c r="ELT306" s="135"/>
      <c r="ELU306" s="135"/>
      <c r="ELV306" s="135"/>
      <c r="ELW306" s="173"/>
      <c r="ELX306" s="173"/>
      <c r="ELY306" s="173"/>
      <c r="ELZ306" s="173"/>
      <c r="EMA306" s="173"/>
      <c r="EMB306" s="173"/>
      <c r="EMC306" s="173"/>
      <c r="EMD306" s="173"/>
      <c r="EME306" s="173"/>
      <c r="EMF306" s="173"/>
      <c r="EMG306" s="125"/>
      <c r="EMH306" s="125"/>
      <c r="EMI306" s="134"/>
      <c r="EMJ306" s="135"/>
      <c r="EMK306" s="135"/>
      <c r="EML306" s="135"/>
      <c r="EMM306" s="135"/>
      <c r="EMN306" s="173"/>
      <c r="EMO306" s="173"/>
      <c r="EMP306" s="173"/>
      <c r="EMQ306" s="173"/>
      <c r="EMR306" s="173"/>
      <c r="EMS306" s="173"/>
      <c r="EMT306" s="173"/>
      <c r="EMU306" s="173"/>
      <c r="EMV306" s="173"/>
      <c r="EMW306" s="173"/>
      <c r="EMX306" s="125"/>
      <c r="EMY306" s="125"/>
      <c r="EMZ306" s="134"/>
      <c r="ENA306" s="135"/>
      <c r="ENB306" s="135"/>
      <c r="ENC306" s="135"/>
      <c r="END306" s="135"/>
      <c r="ENE306" s="173"/>
      <c r="ENF306" s="173"/>
      <c r="ENG306" s="173"/>
      <c r="ENH306" s="173"/>
      <c r="ENI306" s="173"/>
      <c r="ENJ306" s="173"/>
      <c r="ENK306" s="173"/>
      <c r="ENL306" s="173"/>
      <c r="ENM306" s="173"/>
      <c r="ENN306" s="173"/>
      <c r="ENO306" s="125"/>
      <c r="ENP306" s="125"/>
      <c r="ENQ306" s="134"/>
      <c r="ENR306" s="135"/>
      <c r="ENS306" s="135"/>
      <c r="ENT306" s="135"/>
      <c r="ENU306" s="135"/>
      <c r="ENV306" s="173"/>
      <c r="ENW306" s="173"/>
      <c r="ENX306" s="173"/>
      <c r="ENY306" s="173"/>
      <c r="ENZ306" s="173"/>
      <c r="EOA306" s="173"/>
      <c r="EOB306" s="173"/>
      <c r="EOC306" s="173"/>
      <c r="EOD306" s="173"/>
      <c r="EOE306" s="173"/>
      <c r="EOF306" s="125"/>
      <c r="EOG306" s="125"/>
      <c r="EOH306" s="134"/>
      <c r="EOI306" s="135"/>
      <c r="EOJ306" s="135"/>
      <c r="EOK306" s="135"/>
      <c r="EOL306" s="135"/>
      <c r="EOM306" s="173"/>
      <c r="EON306" s="173"/>
      <c r="EOO306" s="173"/>
      <c r="EOP306" s="173"/>
      <c r="EOQ306" s="173"/>
      <c r="EOR306" s="173"/>
      <c r="EOS306" s="173"/>
      <c r="EOT306" s="173"/>
      <c r="EOU306" s="173"/>
      <c r="EOV306" s="173"/>
      <c r="EOW306" s="125"/>
      <c r="EOX306" s="125"/>
      <c r="EOY306" s="134"/>
      <c r="EOZ306" s="135"/>
      <c r="EPA306" s="135"/>
      <c r="EPB306" s="135"/>
      <c r="EPC306" s="135"/>
      <c r="EPD306" s="173"/>
      <c r="EPE306" s="173"/>
      <c r="EPF306" s="173"/>
      <c r="EPG306" s="173"/>
      <c r="EPH306" s="173"/>
      <c r="EPI306" s="173"/>
      <c r="EPJ306" s="173"/>
      <c r="EPK306" s="173"/>
      <c r="EPL306" s="173"/>
      <c r="EPM306" s="173"/>
      <c r="EPN306" s="125"/>
      <c r="EPO306" s="125"/>
      <c r="EPP306" s="134"/>
      <c r="EPQ306" s="135"/>
      <c r="EPR306" s="135"/>
      <c r="EPS306" s="135"/>
      <c r="EPT306" s="135"/>
      <c r="EPU306" s="173"/>
      <c r="EPV306" s="173"/>
      <c r="EPW306" s="173"/>
      <c r="EPX306" s="173"/>
      <c r="EPY306" s="173"/>
      <c r="EPZ306" s="173"/>
      <c r="EQA306" s="173"/>
      <c r="EQB306" s="173"/>
      <c r="EQC306" s="173"/>
      <c r="EQD306" s="173"/>
      <c r="EQE306" s="125"/>
      <c r="EQF306" s="125"/>
      <c r="EQG306" s="134"/>
      <c r="EQH306" s="135"/>
      <c r="EQI306" s="135"/>
      <c r="EQJ306" s="135"/>
      <c r="EQK306" s="135"/>
      <c r="EQL306" s="173"/>
      <c r="EQM306" s="173"/>
      <c r="EQN306" s="173"/>
      <c r="EQO306" s="173"/>
      <c r="EQP306" s="173"/>
      <c r="EQQ306" s="173"/>
      <c r="EQR306" s="173"/>
      <c r="EQS306" s="173"/>
      <c r="EQT306" s="173"/>
      <c r="EQU306" s="173"/>
      <c r="EQV306" s="125"/>
      <c r="EQW306" s="125"/>
      <c r="EQX306" s="134"/>
      <c r="EQY306" s="135"/>
      <c r="EQZ306" s="135"/>
      <c r="ERA306" s="135"/>
      <c r="ERB306" s="135"/>
      <c r="ERC306" s="173"/>
      <c r="ERD306" s="173"/>
      <c r="ERE306" s="173"/>
      <c r="ERF306" s="173"/>
      <c r="ERG306" s="173"/>
      <c r="ERH306" s="173"/>
      <c r="ERI306" s="173"/>
      <c r="ERJ306" s="173"/>
      <c r="ERK306" s="173"/>
      <c r="ERL306" s="173"/>
      <c r="ERM306" s="125"/>
      <c r="ERN306" s="125"/>
      <c r="ERO306" s="134"/>
      <c r="ERP306" s="135"/>
      <c r="ERQ306" s="135"/>
      <c r="ERR306" s="135"/>
      <c r="ERS306" s="135"/>
      <c r="ERT306" s="173"/>
      <c r="ERU306" s="173"/>
      <c r="ERV306" s="173"/>
      <c r="ERW306" s="173"/>
      <c r="ERX306" s="173"/>
      <c r="ERY306" s="173"/>
      <c r="ERZ306" s="173"/>
      <c r="ESA306" s="173"/>
      <c r="ESB306" s="173"/>
      <c r="ESC306" s="173"/>
      <c r="ESD306" s="125"/>
      <c r="ESE306" s="125"/>
      <c r="ESF306" s="134"/>
      <c r="ESG306" s="135"/>
      <c r="ESH306" s="135"/>
      <c r="ESI306" s="135"/>
      <c r="ESJ306" s="135"/>
      <c r="ESK306" s="173"/>
      <c r="ESL306" s="173"/>
      <c r="ESM306" s="173"/>
      <c r="ESN306" s="173"/>
      <c r="ESO306" s="173"/>
      <c r="ESP306" s="173"/>
      <c r="ESQ306" s="173"/>
      <c r="ESR306" s="173"/>
      <c r="ESS306" s="173"/>
      <c r="EST306" s="173"/>
      <c r="ESU306" s="125"/>
      <c r="ESV306" s="125"/>
      <c r="ESW306" s="134"/>
      <c r="ESX306" s="135"/>
      <c r="ESY306" s="135"/>
      <c r="ESZ306" s="135"/>
      <c r="ETA306" s="135"/>
      <c r="ETB306" s="173"/>
      <c r="ETC306" s="173"/>
      <c r="ETD306" s="173"/>
      <c r="ETE306" s="173"/>
      <c r="ETF306" s="173"/>
      <c r="ETG306" s="173"/>
      <c r="ETH306" s="173"/>
      <c r="ETI306" s="173"/>
      <c r="ETJ306" s="173"/>
      <c r="ETK306" s="173"/>
      <c r="ETL306" s="125"/>
      <c r="ETM306" s="125"/>
      <c r="ETN306" s="134"/>
      <c r="ETO306" s="135"/>
      <c r="ETP306" s="135"/>
      <c r="ETQ306" s="135"/>
      <c r="ETR306" s="135"/>
      <c r="ETS306" s="173"/>
      <c r="ETT306" s="173"/>
      <c r="ETU306" s="173"/>
      <c r="ETV306" s="173"/>
      <c r="ETW306" s="173"/>
      <c r="ETX306" s="173"/>
      <c r="ETY306" s="173"/>
      <c r="ETZ306" s="173"/>
      <c r="EUA306" s="173"/>
      <c r="EUB306" s="173"/>
      <c r="EUC306" s="125"/>
      <c r="EUD306" s="125"/>
      <c r="EUE306" s="134"/>
      <c r="EUF306" s="135"/>
      <c r="EUG306" s="135"/>
      <c r="EUH306" s="135"/>
      <c r="EUI306" s="135"/>
      <c r="EUJ306" s="173"/>
      <c r="EUK306" s="173"/>
      <c r="EUL306" s="173"/>
      <c r="EUM306" s="173"/>
      <c r="EUN306" s="173"/>
      <c r="EUO306" s="173"/>
      <c r="EUP306" s="173"/>
      <c r="EUQ306" s="173"/>
      <c r="EUR306" s="173"/>
      <c r="EUS306" s="173"/>
      <c r="EUT306" s="125"/>
      <c r="EUU306" s="125"/>
      <c r="EUV306" s="134"/>
      <c r="EUW306" s="135"/>
      <c r="EUX306" s="135"/>
      <c r="EUY306" s="135"/>
      <c r="EUZ306" s="135"/>
      <c r="EVA306" s="173"/>
      <c r="EVB306" s="173"/>
      <c r="EVC306" s="173"/>
      <c r="EVD306" s="173"/>
      <c r="EVE306" s="173"/>
      <c r="EVF306" s="173"/>
      <c r="EVG306" s="173"/>
      <c r="EVH306" s="173"/>
      <c r="EVI306" s="173"/>
      <c r="EVJ306" s="173"/>
      <c r="EVK306" s="125"/>
      <c r="EVL306" s="125"/>
      <c r="EVM306" s="134"/>
      <c r="EVN306" s="135"/>
      <c r="EVO306" s="135"/>
      <c r="EVP306" s="135"/>
      <c r="EVQ306" s="135"/>
      <c r="EVR306" s="173"/>
      <c r="EVS306" s="173"/>
      <c r="EVT306" s="173"/>
      <c r="EVU306" s="173"/>
      <c r="EVV306" s="173"/>
      <c r="EVW306" s="173"/>
      <c r="EVX306" s="173"/>
      <c r="EVY306" s="173"/>
      <c r="EVZ306" s="173"/>
      <c r="EWA306" s="173"/>
      <c r="EWB306" s="125"/>
      <c r="EWC306" s="125"/>
      <c r="EWD306" s="134"/>
      <c r="EWE306" s="135"/>
      <c r="EWF306" s="135"/>
      <c r="EWG306" s="135"/>
      <c r="EWH306" s="135"/>
      <c r="EWI306" s="173"/>
      <c r="EWJ306" s="173"/>
      <c r="EWK306" s="173"/>
      <c r="EWL306" s="173"/>
      <c r="EWM306" s="173"/>
      <c r="EWN306" s="173"/>
      <c r="EWO306" s="173"/>
      <c r="EWP306" s="173"/>
      <c r="EWQ306" s="173"/>
      <c r="EWR306" s="173"/>
      <c r="EWS306" s="125"/>
      <c r="EWT306" s="125"/>
      <c r="EWU306" s="134"/>
      <c r="EWV306" s="135"/>
      <c r="EWW306" s="135"/>
      <c r="EWX306" s="135"/>
      <c r="EWY306" s="135"/>
      <c r="EWZ306" s="173"/>
      <c r="EXA306" s="173"/>
      <c r="EXB306" s="173"/>
      <c r="EXC306" s="173"/>
      <c r="EXD306" s="173"/>
      <c r="EXE306" s="173"/>
      <c r="EXF306" s="173"/>
      <c r="EXG306" s="173"/>
      <c r="EXH306" s="173"/>
      <c r="EXI306" s="173"/>
      <c r="EXJ306" s="125"/>
      <c r="EXK306" s="125"/>
      <c r="EXL306" s="134"/>
      <c r="EXM306" s="135"/>
      <c r="EXN306" s="135"/>
      <c r="EXO306" s="135"/>
      <c r="EXP306" s="135"/>
      <c r="EXQ306" s="173"/>
      <c r="EXR306" s="173"/>
      <c r="EXS306" s="173"/>
      <c r="EXT306" s="173"/>
      <c r="EXU306" s="173"/>
      <c r="EXV306" s="173"/>
      <c r="EXW306" s="173"/>
      <c r="EXX306" s="173"/>
      <c r="EXY306" s="173"/>
      <c r="EXZ306" s="173"/>
      <c r="EYA306" s="125"/>
      <c r="EYB306" s="125"/>
      <c r="EYC306" s="134"/>
      <c r="EYD306" s="135"/>
      <c r="EYE306" s="135"/>
      <c r="EYF306" s="135"/>
      <c r="EYG306" s="135"/>
      <c r="EYH306" s="173"/>
      <c r="EYI306" s="173"/>
      <c r="EYJ306" s="173"/>
      <c r="EYK306" s="173"/>
      <c r="EYL306" s="173"/>
      <c r="EYM306" s="173"/>
      <c r="EYN306" s="173"/>
      <c r="EYO306" s="173"/>
      <c r="EYP306" s="173"/>
      <c r="EYQ306" s="173"/>
      <c r="EYR306" s="125"/>
      <c r="EYS306" s="125"/>
      <c r="EYT306" s="134"/>
      <c r="EYU306" s="135"/>
      <c r="EYV306" s="135"/>
      <c r="EYW306" s="135"/>
      <c r="EYX306" s="135"/>
      <c r="EYY306" s="173"/>
      <c r="EYZ306" s="173"/>
      <c r="EZA306" s="173"/>
      <c r="EZB306" s="173"/>
      <c r="EZC306" s="173"/>
      <c r="EZD306" s="173"/>
      <c r="EZE306" s="173"/>
      <c r="EZF306" s="173"/>
      <c r="EZG306" s="173"/>
      <c r="EZH306" s="173"/>
      <c r="EZI306" s="125"/>
      <c r="EZJ306" s="125"/>
      <c r="EZK306" s="134"/>
      <c r="EZL306" s="135"/>
      <c r="EZM306" s="135"/>
      <c r="EZN306" s="135"/>
      <c r="EZO306" s="135"/>
      <c r="EZP306" s="173"/>
      <c r="EZQ306" s="173"/>
      <c r="EZR306" s="173"/>
      <c r="EZS306" s="173"/>
      <c r="EZT306" s="173"/>
      <c r="EZU306" s="173"/>
      <c r="EZV306" s="173"/>
      <c r="EZW306" s="173"/>
      <c r="EZX306" s="173"/>
      <c r="EZY306" s="173"/>
      <c r="EZZ306" s="125"/>
      <c r="FAA306" s="125"/>
      <c r="FAB306" s="134"/>
      <c r="FAC306" s="135"/>
      <c r="FAD306" s="135"/>
      <c r="FAE306" s="135"/>
      <c r="FAF306" s="135"/>
      <c r="FAG306" s="173"/>
      <c r="FAH306" s="173"/>
      <c r="FAI306" s="173"/>
      <c r="FAJ306" s="173"/>
      <c r="FAK306" s="173"/>
      <c r="FAL306" s="173"/>
      <c r="FAM306" s="173"/>
      <c r="FAN306" s="173"/>
      <c r="FAO306" s="173"/>
      <c r="FAP306" s="173"/>
      <c r="FAQ306" s="125"/>
      <c r="FAR306" s="125"/>
      <c r="FAS306" s="134"/>
      <c r="FAT306" s="135"/>
      <c r="FAU306" s="135"/>
      <c r="FAV306" s="135"/>
      <c r="FAW306" s="135"/>
      <c r="FAX306" s="173"/>
      <c r="FAY306" s="173"/>
      <c r="FAZ306" s="173"/>
      <c r="FBA306" s="173"/>
      <c r="FBB306" s="173"/>
      <c r="FBC306" s="173"/>
      <c r="FBD306" s="173"/>
      <c r="FBE306" s="173"/>
      <c r="FBF306" s="173"/>
      <c r="FBG306" s="173"/>
      <c r="FBH306" s="125"/>
      <c r="FBI306" s="125"/>
      <c r="FBJ306" s="134"/>
      <c r="FBK306" s="135"/>
      <c r="FBL306" s="135"/>
      <c r="FBM306" s="135"/>
      <c r="FBN306" s="135"/>
      <c r="FBO306" s="173"/>
      <c r="FBP306" s="173"/>
      <c r="FBQ306" s="173"/>
      <c r="FBR306" s="173"/>
      <c r="FBS306" s="173"/>
      <c r="FBT306" s="173"/>
      <c r="FBU306" s="173"/>
      <c r="FBV306" s="173"/>
      <c r="FBW306" s="173"/>
      <c r="FBX306" s="173"/>
      <c r="FBY306" s="125"/>
      <c r="FBZ306" s="125"/>
      <c r="FCA306" s="134"/>
      <c r="FCB306" s="135"/>
      <c r="FCC306" s="135"/>
      <c r="FCD306" s="135"/>
      <c r="FCE306" s="135"/>
      <c r="FCF306" s="173"/>
      <c r="FCG306" s="173"/>
      <c r="FCH306" s="173"/>
      <c r="FCI306" s="173"/>
      <c r="FCJ306" s="173"/>
      <c r="FCK306" s="173"/>
      <c r="FCL306" s="173"/>
      <c r="FCM306" s="173"/>
      <c r="FCN306" s="173"/>
      <c r="FCO306" s="173"/>
      <c r="FCP306" s="125"/>
      <c r="FCQ306" s="125"/>
      <c r="FCR306" s="134"/>
      <c r="FCS306" s="135"/>
      <c r="FCT306" s="135"/>
      <c r="FCU306" s="135"/>
      <c r="FCV306" s="135"/>
      <c r="FCW306" s="173"/>
      <c r="FCX306" s="173"/>
      <c r="FCY306" s="173"/>
      <c r="FCZ306" s="173"/>
      <c r="FDA306" s="173"/>
      <c r="FDB306" s="173"/>
      <c r="FDC306" s="173"/>
      <c r="FDD306" s="173"/>
      <c r="FDE306" s="173"/>
      <c r="FDF306" s="173"/>
      <c r="FDG306" s="125"/>
      <c r="FDH306" s="125"/>
      <c r="FDI306" s="134"/>
      <c r="FDJ306" s="135"/>
      <c r="FDK306" s="135"/>
      <c r="FDL306" s="135"/>
      <c r="FDM306" s="135"/>
      <c r="FDN306" s="173"/>
      <c r="FDO306" s="173"/>
      <c r="FDP306" s="173"/>
      <c r="FDQ306" s="173"/>
      <c r="FDR306" s="173"/>
      <c r="FDS306" s="173"/>
      <c r="FDT306" s="173"/>
      <c r="FDU306" s="173"/>
      <c r="FDV306" s="173"/>
      <c r="FDW306" s="173"/>
      <c r="FDX306" s="125"/>
      <c r="FDY306" s="125"/>
      <c r="FDZ306" s="134"/>
      <c r="FEA306" s="135"/>
      <c r="FEB306" s="135"/>
      <c r="FEC306" s="135"/>
      <c r="FED306" s="135"/>
      <c r="FEE306" s="173"/>
      <c r="FEF306" s="173"/>
      <c r="FEG306" s="173"/>
      <c r="FEH306" s="173"/>
      <c r="FEI306" s="173"/>
      <c r="FEJ306" s="173"/>
      <c r="FEK306" s="173"/>
      <c r="FEL306" s="173"/>
      <c r="FEM306" s="173"/>
      <c r="FEN306" s="173"/>
      <c r="FEO306" s="125"/>
      <c r="FEP306" s="125"/>
      <c r="FEQ306" s="134"/>
      <c r="FER306" s="135"/>
      <c r="FES306" s="135"/>
      <c r="FET306" s="135"/>
      <c r="FEU306" s="135"/>
      <c r="FEV306" s="173"/>
      <c r="FEW306" s="173"/>
      <c r="FEX306" s="173"/>
      <c r="FEY306" s="173"/>
      <c r="FEZ306" s="173"/>
      <c r="FFA306" s="173"/>
      <c r="FFB306" s="173"/>
      <c r="FFC306" s="173"/>
      <c r="FFD306" s="173"/>
      <c r="FFE306" s="173"/>
      <c r="FFF306" s="125"/>
      <c r="FFG306" s="125"/>
      <c r="FFH306" s="134"/>
      <c r="FFI306" s="135"/>
      <c r="FFJ306" s="135"/>
      <c r="FFK306" s="135"/>
      <c r="FFL306" s="135"/>
      <c r="FFM306" s="173"/>
      <c r="FFN306" s="173"/>
      <c r="FFO306" s="173"/>
      <c r="FFP306" s="173"/>
      <c r="FFQ306" s="173"/>
      <c r="FFR306" s="173"/>
      <c r="FFS306" s="173"/>
      <c r="FFT306" s="173"/>
      <c r="FFU306" s="173"/>
      <c r="FFV306" s="173"/>
      <c r="FFW306" s="125"/>
      <c r="FFX306" s="125"/>
      <c r="FFY306" s="134"/>
      <c r="FFZ306" s="135"/>
      <c r="FGA306" s="135"/>
      <c r="FGB306" s="135"/>
      <c r="FGC306" s="135"/>
      <c r="FGD306" s="173"/>
      <c r="FGE306" s="173"/>
      <c r="FGF306" s="173"/>
      <c r="FGG306" s="173"/>
      <c r="FGH306" s="173"/>
      <c r="FGI306" s="173"/>
      <c r="FGJ306" s="173"/>
      <c r="FGK306" s="173"/>
      <c r="FGL306" s="173"/>
      <c r="FGM306" s="173"/>
      <c r="FGN306" s="125"/>
      <c r="FGO306" s="125"/>
      <c r="FGP306" s="134"/>
      <c r="FGQ306" s="135"/>
      <c r="FGR306" s="135"/>
      <c r="FGS306" s="135"/>
      <c r="FGT306" s="135"/>
      <c r="FGU306" s="173"/>
      <c r="FGV306" s="173"/>
      <c r="FGW306" s="173"/>
      <c r="FGX306" s="173"/>
      <c r="FGY306" s="173"/>
      <c r="FGZ306" s="173"/>
      <c r="FHA306" s="173"/>
      <c r="FHB306" s="173"/>
      <c r="FHC306" s="173"/>
      <c r="FHD306" s="173"/>
      <c r="FHE306" s="125"/>
      <c r="FHF306" s="125"/>
      <c r="FHG306" s="134"/>
      <c r="FHH306" s="135"/>
      <c r="FHI306" s="135"/>
      <c r="FHJ306" s="135"/>
      <c r="FHK306" s="135"/>
      <c r="FHL306" s="173"/>
      <c r="FHM306" s="173"/>
      <c r="FHN306" s="173"/>
      <c r="FHO306" s="173"/>
      <c r="FHP306" s="173"/>
      <c r="FHQ306" s="173"/>
      <c r="FHR306" s="173"/>
      <c r="FHS306" s="173"/>
      <c r="FHT306" s="173"/>
      <c r="FHU306" s="173"/>
      <c r="FHV306" s="125"/>
      <c r="FHW306" s="125"/>
      <c r="FHX306" s="134"/>
      <c r="FHY306" s="135"/>
      <c r="FHZ306" s="135"/>
      <c r="FIA306" s="135"/>
      <c r="FIB306" s="135"/>
      <c r="FIC306" s="173"/>
      <c r="FID306" s="173"/>
      <c r="FIE306" s="173"/>
      <c r="FIF306" s="173"/>
      <c r="FIG306" s="173"/>
      <c r="FIH306" s="173"/>
      <c r="FII306" s="173"/>
      <c r="FIJ306" s="173"/>
      <c r="FIK306" s="173"/>
      <c r="FIL306" s="173"/>
      <c r="FIM306" s="125"/>
      <c r="FIN306" s="125"/>
      <c r="FIO306" s="134"/>
      <c r="FIP306" s="135"/>
      <c r="FIQ306" s="135"/>
      <c r="FIR306" s="135"/>
      <c r="FIS306" s="135"/>
      <c r="FIT306" s="173"/>
      <c r="FIU306" s="173"/>
      <c r="FIV306" s="173"/>
      <c r="FIW306" s="173"/>
      <c r="FIX306" s="173"/>
      <c r="FIY306" s="173"/>
      <c r="FIZ306" s="173"/>
      <c r="FJA306" s="173"/>
      <c r="FJB306" s="173"/>
      <c r="FJC306" s="173"/>
      <c r="FJD306" s="125"/>
      <c r="FJE306" s="125"/>
      <c r="FJF306" s="134"/>
      <c r="FJG306" s="135"/>
      <c r="FJH306" s="135"/>
      <c r="FJI306" s="135"/>
      <c r="FJJ306" s="135"/>
      <c r="FJK306" s="173"/>
      <c r="FJL306" s="173"/>
      <c r="FJM306" s="173"/>
      <c r="FJN306" s="173"/>
      <c r="FJO306" s="173"/>
      <c r="FJP306" s="173"/>
      <c r="FJQ306" s="173"/>
      <c r="FJR306" s="173"/>
      <c r="FJS306" s="173"/>
      <c r="FJT306" s="173"/>
      <c r="FJU306" s="125"/>
      <c r="FJV306" s="125"/>
      <c r="FJW306" s="134"/>
      <c r="FJX306" s="135"/>
      <c r="FJY306" s="135"/>
      <c r="FJZ306" s="135"/>
      <c r="FKA306" s="135"/>
      <c r="FKB306" s="173"/>
      <c r="FKC306" s="173"/>
      <c r="FKD306" s="173"/>
      <c r="FKE306" s="173"/>
      <c r="FKF306" s="173"/>
      <c r="FKG306" s="173"/>
      <c r="FKH306" s="173"/>
      <c r="FKI306" s="173"/>
      <c r="FKJ306" s="173"/>
      <c r="FKK306" s="173"/>
      <c r="FKL306" s="125"/>
      <c r="FKM306" s="125"/>
      <c r="FKN306" s="134"/>
      <c r="FKO306" s="135"/>
      <c r="FKP306" s="135"/>
      <c r="FKQ306" s="135"/>
      <c r="FKR306" s="135"/>
      <c r="FKS306" s="173"/>
      <c r="FKT306" s="173"/>
      <c r="FKU306" s="173"/>
      <c r="FKV306" s="173"/>
      <c r="FKW306" s="173"/>
      <c r="FKX306" s="173"/>
      <c r="FKY306" s="173"/>
      <c r="FKZ306" s="173"/>
      <c r="FLA306" s="173"/>
      <c r="FLB306" s="173"/>
      <c r="FLC306" s="125"/>
      <c r="FLD306" s="125"/>
      <c r="FLE306" s="134"/>
      <c r="FLF306" s="135"/>
      <c r="FLG306" s="135"/>
      <c r="FLH306" s="135"/>
      <c r="FLI306" s="135"/>
      <c r="FLJ306" s="173"/>
      <c r="FLK306" s="173"/>
      <c r="FLL306" s="173"/>
      <c r="FLM306" s="173"/>
      <c r="FLN306" s="173"/>
      <c r="FLO306" s="173"/>
      <c r="FLP306" s="173"/>
      <c r="FLQ306" s="173"/>
      <c r="FLR306" s="173"/>
      <c r="FLS306" s="173"/>
      <c r="FLT306" s="125"/>
      <c r="FLU306" s="125"/>
      <c r="FLV306" s="134"/>
      <c r="FLW306" s="135"/>
      <c r="FLX306" s="135"/>
      <c r="FLY306" s="135"/>
      <c r="FLZ306" s="135"/>
      <c r="FMA306" s="173"/>
      <c r="FMB306" s="173"/>
      <c r="FMC306" s="173"/>
      <c r="FMD306" s="173"/>
      <c r="FME306" s="173"/>
      <c r="FMF306" s="173"/>
      <c r="FMG306" s="173"/>
      <c r="FMH306" s="173"/>
      <c r="FMI306" s="173"/>
      <c r="FMJ306" s="173"/>
      <c r="FMK306" s="125"/>
      <c r="FML306" s="125"/>
      <c r="FMM306" s="134"/>
      <c r="FMN306" s="135"/>
      <c r="FMO306" s="135"/>
      <c r="FMP306" s="135"/>
      <c r="FMQ306" s="135"/>
      <c r="FMR306" s="173"/>
      <c r="FMS306" s="173"/>
      <c r="FMT306" s="173"/>
      <c r="FMU306" s="173"/>
      <c r="FMV306" s="173"/>
      <c r="FMW306" s="173"/>
      <c r="FMX306" s="173"/>
      <c r="FMY306" s="173"/>
      <c r="FMZ306" s="173"/>
      <c r="FNA306" s="173"/>
      <c r="FNB306" s="125"/>
      <c r="FNC306" s="125"/>
      <c r="FND306" s="134"/>
      <c r="FNE306" s="135"/>
      <c r="FNF306" s="135"/>
      <c r="FNG306" s="135"/>
      <c r="FNH306" s="135"/>
      <c r="FNI306" s="173"/>
      <c r="FNJ306" s="173"/>
      <c r="FNK306" s="173"/>
      <c r="FNL306" s="173"/>
      <c r="FNM306" s="173"/>
      <c r="FNN306" s="173"/>
      <c r="FNO306" s="173"/>
      <c r="FNP306" s="173"/>
      <c r="FNQ306" s="173"/>
      <c r="FNR306" s="173"/>
      <c r="FNS306" s="125"/>
      <c r="FNT306" s="125"/>
      <c r="FNU306" s="134"/>
      <c r="FNV306" s="135"/>
      <c r="FNW306" s="135"/>
      <c r="FNX306" s="135"/>
      <c r="FNY306" s="135"/>
      <c r="FNZ306" s="173"/>
      <c r="FOA306" s="173"/>
      <c r="FOB306" s="173"/>
      <c r="FOC306" s="173"/>
      <c r="FOD306" s="173"/>
      <c r="FOE306" s="173"/>
      <c r="FOF306" s="173"/>
      <c r="FOG306" s="173"/>
      <c r="FOH306" s="173"/>
      <c r="FOI306" s="173"/>
      <c r="FOJ306" s="125"/>
      <c r="FOK306" s="125"/>
      <c r="FOL306" s="134"/>
      <c r="FOM306" s="135"/>
      <c r="FON306" s="135"/>
      <c r="FOO306" s="135"/>
      <c r="FOP306" s="135"/>
      <c r="FOQ306" s="173"/>
      <c r="FOR306" s="173"/>
      <c r="FOS306" s="173"/>
      <c r="FOT306" s="173"/>
      <c r="FOU306" s="173"/>
      <c r="FOV306" s="173"/>
      <c r="FOW306" s="173"/>
      <c r="FOX306" s="173"/>
      <c r="FOY306" s="173"/>
      <c r="FOZ306" s="173"/>
      <c r="FPA306" s="125"/>
      <c r="FPB306" s="125"/>
      <c r="FPC306" s="134"/>
      <c r="FPD306" s="135"/>
      <c r="FPE306" s="135"/>
      <c r="FPF306" s="135"/>
      <c r="FPG306" s="135"/>
      <c r="FPH306" s="173"/>
      <c r="FPI306" s="173"/>
      <c r="FPJ306" s="173"/>
      <c r="FPK306" s="173"/>
      <c r="FPL306" s="173"/>
      <c r="FPM306" s="173"/>
      <c r="FPN306" s="173"/>
      <c r="FPO306" s="173"/>
      <c r="FPP306" s="173"/>
      <c r="FPQ306" s="173"/>
      <c r="FPR306" s="125"/>
      <c r="FPS306" s="125"/>
      <c r="FPT306" s="134"/>
      <c r="FPU306" s="135"/>
      <c r="FPV306" s="135"/>
      <c r="FPW306" s="135"/>
      <c r="FPX306" s="135"/>
      <c r="FPY306" s="173"/>
      <c r="FPZ306" s="173"/>
      <c r="FQA306" s="173"/>
      <c r="FQB306" s="173"/>
      <c r="FQC306" s="173"/>
      <c r="FQD306" s="173"/>
      <c r="FQE306" s="173"/>
      <c r="FQF306" s="173"/>
      <c r="FQG306" s="173"/>
      <c r="FQH306" s="173"/>
      <c r="FQI306" s="125"/>
      <c r="FQJ306" s="125"/>
      <c r="FQK306" s="134"/>
      <c r="FQL306" s="135"/>
      <c r="FQM306" s="135"/>
      <c r="FQN306" s="135"/>
      <c r="FQO306" s="135"/>
      <c r="FQP306" s="173"/>
      <c r="FQQ306" s="173"/>
      <c r="FQR306" s="173"/>
      <c r="FQS306" s="173"/>
      <c r="FQT306" s="173"/>
      <c r="FQU306" s="173"/>
      <c r="FQV306" s="173"/>
      <c r="FQW306" s="173"/>
      <c r="FQX306" s="173"/>
      <c r="FQY306" s="173"/>
      <c r="FQZ306" s="125"/>
      <c r="FRA306" s="125"/>
      <c r="FRB306" s="134"/>
      <c r="FRC306" s="135"/>
      <c r="FRD306" s="135"/>
      <c r="FRE306" s="135"/>
      <c r="FRF306" s="135"/>
      <c r="FRG306" s="173"/>
      <c r="FRH306" s="173"/>
      <c r="FRI306" s="173"/>
      <c r="FRJ306" s="173"/>
      <c r="FRK306" s="173"/>
      <c r="FRL306" s="173"/>
      <c r="FRM306" s="173"/>
      <c r="FRN306" s="173"/>
      <c r="FRO306" s="173"/>
      <c r="FRP306" s="173"/>
      <c r="FRQ306" s="125"/>
      <c r="FRR306" s="125"/>
      <c r="FRS306" s="134"/>
      <c r="FRT306" s="135"/>
      <c r="FRU306" s="135"/>
      <c r="FRV306" s="135"/>
      <c r="FRW306" s="135"/>
      <c r="FRX306" s="173"/>
      <c r="FRY306" s="173"/>
      <c r="FRZ306" s="173"/>
      <c r="FSA306" s="173"/>
      <c r="FSB306" s="173"/>
      <c r="FSC306" s="173"/>
      <c r="FSD306" s="173"/>
      <c r="FSE306" s="173"/>
      <c r="FSF306" s="173"/>
      <c r="FSG306" s="173"/>
      <c r="FSH306" s="125"/>
      <c r="FSI306" s="125"/>
      <c r="FSJ306" s="134"/>
      <c r="FSK306" s="135"/>
      <c r="FSL306" s="135"/>
      <c r="FSM306" s="135"/>
      <c r="FSN306" s="135"/>
      <c r="FSO306" s="173"/>
      <c r="FSP306" s="173"/>
      <c r="FSQ306" s="173"/>
      <c r="FSR306" s="173"/>
      <c r="FSS306" s="173"/>
      <c r="FST306" s="173"/>
      <c r="FSU306" s="173"/>
      <c r="FSV306" s="173"/>
      <c r="FSW306" s="173"/>
      <c r="FSX306" s="173"/>
      <c r="FSY306" s="125"/>
      <c r="FSZ306" s="125"/>
      <c r="FTA306" s="134"/>
      <c r="FTB306" s="135"/>
      <c r="FTC306" s="135"/>
      <c r="FTD306" s="135"/>
      <c r="FTE306" s="135"/>
      <c r="FTF306" s="173"/>
      <c r="FTG306" s="173"/>
      <c r="FTH306" s="173"/>
      <c r="FTI306" s="173"/>
      <c r="FTJ306" s="173"/>
      <c r="FTK306" s="173"/>
      <c r="FTL306" s="173"/>
      <c r="FTM306" s="173"/>
      <c r="FTN306" s="173"/>
      <c r="FTO306" s="173"/>
      <c r="FTP306" s="125"/>
      <c r="FTQ306" s="125"/>
      <c r="FTR306" s="134"/>
      <c r="FTS306" s="135"/>
      <c r="FTT306" s="135"/>
      <c r="FTU306" s="135"/>
      <c r="FTV306" s="135"/>
      <c r="FTW306" s="173"/>
      <c r="FTX306" s="173"/>
      <c r="FTY306" s="173"/>
      <c r="FTZ306" s="173"/>
      <c r="FUA306" s="173"/>
      <c r="FUB306" s="173"/>
      <c r="FUC306" s="173"/>
      <c r="FUD306" s="173"/>
      <c r="FUE306" s="173"/>
      <c r="FUF306" s="173"/>
      <c r="FUG306" s="125"/>
      <c r="FUH306" s="125"/>
      <c r="FUI306" s="134"/>
      <c r="FUJ306" s="135"/>
      <c r="FUK306" s="135"/>
      <c r="FUL306" s="135"/>
      <c r="FUM306" s="135"/>
      <c r="FUN306" s="173"/>
      <c r="FUO306" s="173"/>
      <c r="FUP306" s="173"/>
      <c r="FUQ306" s="173"/>
      <c r="FUR306" s="173"/>
      <c r="FUS306" s="173"/>
      <c r="FUT306" s="173"/>
      <c r="FUU306" s="173"/>
      <c r="FUV306" s="173"/>
      <c r="FUW306" s="173"/>
      <c r="FUX306" s="125"/>
      <c r="FUY306" s="125"/>
      <c r="FUZ306" s="134"/>
      <c r="FVA306" s="135"/>
      <c r="FVB306" s="135"/>
      <c r="FVC306" s="135"/>
      <c r="FVD306" s="135"/>
      <c r="FVE306" s="173"/>
      <c r="FVF306" s="173"/>
      <c r="FVG306" s="173"/>
      <c r="FVH306" s="173"/>
      <c r="FVI306" s="173"/>
      <c r="FVJ306" s="173"/>
      <c r="FVK306" s="173"/>
      <c r="FVL306" s="173"/>
      <c r="FVM306" s="173"/>
      <c r="FVN306" s="173"/>
      <c r="FVO306" s="125"/>
      <c r="FVP306" s="125"/>
      <c r="FVQ306" s="134"/>
      <c r="FVR306" s="135"/>
      <c r="FVS306" s="135"/>
      <c r="FVT306" s="135"/>
      <c r="FVU306" s="135"/>
      <c r="FVV306" s="173"/>
      <c r="FVW306" s="173"/>
      <c r="FVX306" s="173"/>
      <c r="FVY306" s="173"/>
      <c r="FVZ306" s="173"/>
      <c r="FWA306" s="173"/>
      <c r="FWB306" s="173"/>
      <c r="FWC306" s="173"/>
      <c r="FWD306" s="173"/>
      <c r="FWE306" s="173"/>
      <c r="FWF306" s="125"/>
      <c r="FWG306" s="125"/>
      <c r="FWH306" s="134"/>
      <c r="FWI306" s="135"/>
      <c r="FWJ306" s="135"/>
      <c r="FWK306" s="135"/>
      <c r="FWL306" s="135"/>
      <c r="FWM306" s="173"/>
      <c r="FWN306" s="173"/>
      <c r="FWO306" s="173"/>
      <c r="FWP306" s="173"/>
      <c r="FWQ306" s="173"/>
      <c r="FWR306" s="173"/>
      <c r="FWS306" s="173"/>
      <c r="FWT306" s="173"/>
      <c r="FWU306" s="173"/>
      <c r="FWV306" s="173"/>
      <c r="FWW306" s="125"/>
      <c r="FWX306" s="125"/>
      <c r="FWY306" s="134"/>
      <c r="FWZ306" s="135"/>
      <c r="FXA306" s="135"/>
      <c r="FXB306" s="135"/>
      <c r="FXC306" s="135"/>
      <c r="FXD306" s="173"/>
      <c r="FXE306" s="173"/>
      <c r="FXF306" s="173"/>
      <c r="FXG306" s="173"/>
      <c r="FXH306" s="173"/>
      <c r="FXI306" s="173"/>
      <c r="FXJ306" s="173"/>
      <c r="FXK306" s="173"/>
      <c r="FXL306" s="173"/>
      <c r="FXM306" s="173"/>
      <c r="FXN306" s="125"/>
      <c r="FXO306" s="125"/>
      <c r="FXP306" s="134"/>
      <c r="FXQ306" s="135"/>
      <c r="FXR306" s="135"/>
      <c r="FXS306" s="135"/>
      <c r="FXT306" s="135"/>
      <c r="FXU306" s="173"/>
      <c r="FXV306" s="173"/>
      <c r="FXW306" s="173"/>
      <c r="FXX306" s="173"/>
      <c r="FXY306" s="173"/>
      <c r="FXZ306" s="173"/>
      <c r="FYA306" s="173"/>
      <c r="FYB306" s="173"/>
      <c r="FYC306" s="173"/>
      <c r="FYD306" s="173"/>
      <c r="FYE306" s="125"/>
      <c r="FYF306" s="125"/>
      <c r="FYG306" s="134"/>
      <c r="FYH306" s="135"/>
      <c r="FYI306" s="135"/>
      <c r="FYJ306" s="135"/>
      <c r="FYK306" s="135"/>
      <c r="FYL306" s="173"/>
      <c r="FYM306" s="173"/>
      <c r="FYN306" s="173"/>
      <c r="FYO306" s="173"/>
      <c r="FYP306" s="173"/>
      <c r="FYQ306" s="173"/>
      <c r="FYR306" s="173"/>
      <c r="FYS306" s="173"/>
      <c r="FYT306" s="173"/>
      <c r="FYU306" s="173"/>
      <c r="FYV306" s="125"/>
      <c r="FYW306" s="125"/>
      <c r="FYX306" s="134"/>
      <c r="FYY306" s="135"/>
      <c r="FYZ306" s="135"/>
      <c r="FZA306" s="135"/>
      <c r="FZB306" s="135"/>
      <c r="FZC306" s="173"/>
      <c r="FZD306" s="173"/>
      <c r="FZE306" s="173"/>
      <c r="FZF306" s="173"/>
      <c r="FZG306" s="173"/>
      <c r="FZH306" s="173"/>
      <c r="FZI306" s="173"/>
      <c r="FZJ306" s="173"/>
      <c r="FZK306" s="173"/>
      <c r="FZL306" s="173"/>
      <c r="FZM306" s="125"/>
      <c r="FZN306" s="125"/>
      <c r="FZO306" s="134"/>
      <c r="FZP306" s="135"/>
      <c r="FZQ306" s="135"/>
      <c r="FZR306" s="135"/>
      <c r="FZS306" s="135"/>
      <c r="FZT306" s="173"/>
      <c r="FZU306" s="173"/>
      <c r="FZV306" s="173"/>
      <c r="FZW306" s="173"/>
      <c r="FZX306" s="173"/>
      <c r="FZY306" s="173"/>
      <c r="FZZ306" s="173"/>
      <c r="GAA306" s="173"/>
      <c r="GAB306" s="173"/>
      <c r="GAC306" s="173"/>
      <c r="GAD306" s="125"/>
      <c r="GAE306" s="125"/>
      <c r="GAF306" s="134"/>
      <c r="GAG306" s="135"/>
      <c r="GAH306" s="135"/>
      <c r="GAI306" s="135"/>
      <c r="GAJ306" s="135"/>
      <c r="GAK306" s="173"/>
      <c r="GAL306" s="173"/>
      <c r="GAM306" s="173"/>
      <c r="GAN306" s="173"/>
      <c r="GAO306" s="173"/>
      <c r="GAP306" s="173"/>
      <c r="GAQ306" s="173"/>
      <c r="GAR306" s="173"/>
      <c r="GAS306" s="173"/>
      <c r="GAT306" s="173"/>
      <c r="GAU306" s="125"/>
      <c r="GAV306" s="125"/>
      <c r="GAW306" s="134"/>
      <c r="GAX306" s="135"/>
      <c r="GAY306" s="135"/>
      <c r="GAZ306" s="135"/>
      <c r="GBA306" s="135"/>
      <c r="GBB306" s="173"/>
      <c r="GBC306" s="173"/>
      <c r="GBD306" s="173"/>
      <c r="GBE306" s="173"/>
      <c r="GBF306" s="173"/>
      <c r="GBG306" s="173"/>
      <c r="GBH306" s="173"/>
      <c r="GBI306" s="173"/>
      <c r="GBJ306" s="173"/>
      <c r="GBK306" s="173"/>
      <c r="GBL306" s="125"/>
      <c r="GBM306" s="125"/>
      <c r="GBN306" s="134"/>
      <c r="GBO306" s="135"/>
      <c r="GBP306" s="135"/>
      <c r="GBQ306" s="135"/>
      <c r="GBR306" s="135"/>
      <c r="GBS306" s="173"/>
      <c r="GBT306" s="173"/>
      <c r="GBU306" s="173"/>
      <c r="GBV306" s="173"/>
      <c r="GBW306" s="173"/>
      <c r="GBX306" s="173"/>
      <c r="GBY306" s="173"/>
      <c r="GBZ306" s="173"/>
      <c r="GCA306" s="173"/>
      <c r="GCB306" s="173"/>
      <c r="GCC306" s="125"/>
      <c r="GCD306" s="125"/>
      <c r="GCE306" s="134"/>
      <c r="GCF306" s="135"/>
      <c r="GCG306" s="135"/>
      <c r="GCH306" s="135"/>
      <c r="GCI306" s="135"/>
      <c r="GCJ306" s="173"/>
      <c r="GCK306" s="173"/>
      <c r="GCL306" s="173"/>
      <c r="GCM306" s="173"/>
      <c r="GCN306" s="173"/>
      <c r="GCO306" s="173"/>
      <c r="GCP306" s="173"/>
      <c r="GCQ306" s="173"/>
      <c r="GCR306" s="173"/>
      <c r="GCS306" s="173"/>
      <c r="GCT306" s="125"/>
      <c r="GCU306" s="125"/>
      <c r="GCV306" s="134"/>
      <c r="GCW306" s="135"/>
      <c r="GCX306" s="135"/>
      <c r="GCY306" s="135"/>
      <c r="GCZ306" s="135"/>
      <c r="GDA306" s="173"/>
      <c r="GDB306" s="173"/>
      <c r="GDC306" s="173"/>
      <c r="GDD306" s="173"/>
      <c r="GDE306" s="173"/>
      <c r="GDF306" s="173"/>
      <c r="GDG306" s="173"/>
      <c r="GDH306" s="173"/>
      <c r="GDI306" s="173"/>
      <c r="GDJ306" s="173"/>
      <c r="GDK306" s="125"/>
      <c r="GDL306" s="125"/>
      <c r="GDM306" s="134"/>
      <c r="GDN306" s="135"/>
      <c r="GDO306" s="135"/>
      <c r="GDP306" s="135"/>
      <c r="GDQ306" s="135"/>
      <c r="GDR306" s="173"/>
      <c r="GDS306" s="173"/>
      <c r="GDT306" s="173"/>
      <c r="GDU306" s="173"/>
      <c r="GDV306" s="173"/>
      <c r="GDW306" s="173"/>
      <c r="GDX306" s="173"/>
      <c r="GDY306" s="173"/>
      <c r="GDZ306" s="173"/>
      <c r="GEA306" s="173"/>
      <c r="GEB306" s="125"/>
      <c r="GEC306" s="125"/>
      <c r="GED306" s="134"/>
      <c r="GEE306" s="135"/>
      <c r="GEF306" s="135"/>
      <c r="GEG306" s="135"/>
      <c r="GEH306" s="135"/>
      <c r="GEI306" s="173"/>
      <c r="GEJ306" s="173"/>
      <c r="GEK306" s="173"/>
      <c r="GEL306" s="173"/>
      <c r="GEM306" s="173"/>
      <c r="GEN306" s="173"/>
      <c r="GEO306" s="173"/>
      <c r="GEP306" s="173"/>
      <c r="GEQ306" s="173"/>
      <c r="GER306" s="173"/>
      <c r="GES306" s="125"/>
      <c r="GET306" s="125"/>
      <c r="GEU306" s="134"/>
      <c r="GEV306" s="135"/>
      <c r="GEW306" s="135"/>
      <c r="GEX306" s="135"/>
      <c r="GEY306" s="135"/>
      <c r="GEZ306" s="173"/>
      <c r="GFA306" s="173"/>
      <c r="GFB306" s="173"/>
      <c r="GFC306" s="173"/>
      <c r="GFD306" s="173"/>
      <c r="GFE306" s="173"/>
      <c r="GFF306" s="173"/>
      <c r="GFG306" s="173"/>
      <c r="GFH306" s="173"/>
      <c r="GFI306" s="173"/>
      <c r="GFJ306" s="125"/>
      <c r="GFK306" s="125"/>
      <c r="GFL306" s="134"/>
      <c r="GFM306" s="135"/>
      <c r="GFN306" s="135"/>
      <c r="GFO306" s="135"/>
      <c r="GFP306" s="135"/>
      <c r="GFQ306" s="173"/>
      <c r="GFR306" s="173"/>
      <c r="GFS306" s="173"/>
      <c r="GFT306" s="173"/>
      <c r="GFU306" s="173"/>
      <c r="GFV306" s="173"/>
      <c r="GFW306" s="173"/>
      <c r="GFX306" s="173"/>
      <c r="GFY306" s="173"/>
      <c r="GFZ306" s="173"/>
      <c r="GGA306" s="125"/>
      <c r="GGB306" s="125"/>
      <c r="GGC306" s="134"/>
      <c r="GGD306" s="135"/>
      <c r="GGE306" s="135"/>
      <c r="GGF306" s="135"/>
      <c r="GGG306" s="135"/>
      <c r="GGH306" s="173"/>
      <c r="GGI306" s="173"/>
      <c r="GGJ306" s="173"/>
      <c r="GGK306" s="173"/>
      <c r="GGL306" s="173"/>
      <c r="GGM306" s="173"/>
      <c r="GGN306" s="173"/>
      <c r="GGO306" s="173"/>
      <c r="GGP306" s="173"/>
      <c r="GGQ306" s="173"/>
      <c r="GGR306" s="125"/>
      <c r="GGS306" s="125"/>
      <c r="GGT306" s="134"/>
      <c r="GGU306" s="135"/>
      <c r="GGV306" s="135"/>
      <c r="GGW306" s="135"/>
      <c r="GGX306" s="135"/>
      <c r="GGY306" s="173"/>
      <c r="GGZ306" s="173"/>
      <c r="GHA306" s="173"/>
      <c r="GHB306" s="173"/>
      <c r="GHC306" s="173"/>
      <c r="GHD306" s="173"/>
      <c r="GHE306" s="173"/>
      <c r="GHF306" s="173"/>
      <c r="GHG306" s="173"/>
      <c r="GHH306" s="173"/>
      <c r="GHI306" s="125"/>
      <c r="GHJ306" s="125"/>
      <c r="GHK306" s="134"/>
      <c r="GHL306" s="135"/>
      <c r="GHM306" s="135"/>
      <c r="GHN306" s="135"/>
      <c r="GHO306" s="135"/>
      <c r="GHP306" s="173"/>
      <c r="GHQ306" s="173"/>
      <c r="GHR306" s="173"/>
      <c r="GHS306" s="173"/>
      <c r="GHT306" s="173"/>
      <c r="GHU306" s="173"/>
      <c r="GHV306" s="173"/>
      <c r="GHW306" s="173"/>
      <c r="GHX306" s="173"/>
      <c r="GHY306" s="173"/>
      <c r="GHZ306" s="125"/>
      <c r="GIA306" s="125"/>
      <c r="GIB306" s="134"/>
      <c r="GIC306" s="135"/>
      <c r="GID306" s="135"/>
      <c r="GIE306" s="135"/>
      <c r="GIF306" s="135"/>
      <c r="GIG306" s="173"/>
      <c r="GIH306" s="173"/>
      <c r="GII306" s="173"/>
      <c r="GIJ306" s="173"/>
      <c r="GIK306" s="173"/>
      <c r="GIL306" s="173"/>
      <c r="GIM306" s="173"/>
      <c r="GIN306" s="173"/>
      <c r="GIO306" s="173"/>
      <c r="GIP306" s="173"/>
      <c r="GIQ306" s="125"/>
      <c r="GIR306" s="125"/>
      <c r="GIS306" s="134"/>
      <c r="GIT306" s="135"/>
      <c r="GIU306" s="135"/>
      <c r="GIV306" s="135"/>
      <c r="GIW306" s="135"/>
      <c r="GIX306" s="173"/>
      <c r="GIY306" s="173"/>
      <c r="GIZ306" s="173"/>
      <c r="GJA306" s="173"/>
      <c r="GJB306" s="173"/>
      <c r="GJC306" s="173"/>
      <c r="GJD306" s="173"/>
      <c r="GJE306" s="173"/>
      <c r="GJF306" s="173"/>
      <c r="GJG306" s="173"/>
      <c r="GJH306" s="125"/>
      <c r="GJI306" s="125"/>
      <c r="GJJ306" s="134"/>
      <c r="GJK306" s="135"/>
      <c r="GJL306" s="135"/>
      <c r="GJM306" s="135"/>
      <c r="GJN306" s="135"/>
      <c r="GJO306" s="173"/>
      <c r="GJP306" s="173"/>
      <c r="GJQ306" s="173"/>
      <c r="GJR306" s="173"/>
      <c r="GJS306" s="173"/>
      <c r="GJT306" s="173"/>
      <c r="GJU306" s="173"/>
      <c r="GJV306" s="173"/>
      <c r="GJW306" s="173"/>
      <c r="GJX306" s="173"/>
      <c r="GJY306" s="125"/>
      <c r="GJZ306" s="125"/>
      <c r="GKA306" s="134"/>
      <c r="GKB306" s="135"/>
      <c r="GKC306" s="135"/>
      <c r="GKD306" s="135"/>
      <c r="GKE306" s="135"/>
      <c r="GKF306" s="173"/>
      <c r="GKG306" s="173"/>
      <c r="GKH306" s="173"/>
      <c r="GKI306" s="173"/>
      <c r="GKJ306" s="173"/>
      <c r="GKK306" s="173"/>
      <c r="GKL306" s="173"/>
      <c r="GKM306" s="173"/>
      <c r="GKN306" s="173"/>
      <c r="GKO306" s="173"/>
      <c r="GKP306" s="125"/>
      <c r="GKQ306" s="125"/>
      <c r="GKR306" s="134"/>
      <c r="GKS306" s="135"/>
      <c r="GKT306" s="135"/>
      <c r="GKU306" s="135"/>
      <c r="GKV306" s="135"/>
      <c r="GKW306" s="173"/>
      <c r="GKX306" s="173"/>
      <c r="GKY306" s="173"/>
      <c r="GKZ306" s="173"/>
      <c r="GLA306" s="173"/>
      <c r="GLB306" s="173"/>
      <c r="GLC306" s="173"/>
      <c r="GLD306" s="173"/>
      <c r="GLE306" s="173"/>
      <c r="GLF306" s="173"/>
      <c r="GLG306" s="125"/>
      <c r="GLH306" s="125"/>
      <c r="GLI306" s="134"/>
      <c r="GLJ306" s="135"/>
      <c r="GLK306" s="135"/>
      <c r="GLL306" s="135"/>
      <c r="GLM306" s="135"/>
      <c r="GLN306" s="173"/>
      <c r="GLO306" s="173"/>
      <c r="GLP306" s="173"/>
      <c r="GLQ306" s="173"/>
      <c r="GLR306" s="173"/>
      <c r="GLS306" s="173"/>
      <c r="GLT306" s="173"/>
      <c r="GLU306" s="173"/>
      <c r="GLV306" s="173"/>
      <c r="GLW306" s="173"/>
      <c r="GLX306" s="125"/>
      <c r="GLY306" s="125"/>
      <c r="GLZ306" s="134"/>
      <c r="GMA306" s="135"/>
      <c r="GMB306" s="135"/>
      <c r="GMC306" s="135"/>
      <c r="GMD306" s="135"/>
      <c r="GME306" s="173"/>
      <c r="GMF306" s="173"/>
      <c r="GMG306" s="173"/>
      <c r="GMH306" s="173"/>
      <c r="GMI306" s="173"/>
      <c r="GMJ306" s="173"/>
      <c r="GMK306" s="173"/>
      <c r="GML306" s="173"/>
      <c r="GMM306" s="173"/>
      <c r="GMN306" s="173"/>
      <c r="GMO306" s="125"/>
      <c r="GMP306" s="125"/>
      <c r="GMQ306" s="134"/>
      <c r="GMR306" s="135"/>
      <c r="GMS306" s="135"/>
      <c r="GMT306" s="135"/>
      <c r="GMU306" s="135"/>
      <c r="GMV306" s="173"/>
      <c r="GMW306" s="173"/>
      <c r="GMX306" s="173"/>
      <c r="GMY306" s="173"/>
      <c r="GMZ306" s="173"/>
      <c r="GNA306" s="173"/>
      <c r="GNB306" s="173"/>
      <c r="GNC306" s="173"/>
      <c r="GND306" s="173"/>
      <c r="GNE306" s="173"/>
      <c r="GNF306" s="125"/>
      <c r="GNG306" s="125"/>
      <c r="GNH306" s="134"/>
      <c r="GNI306" s="135"/>
      <c r="GNJ306" s="135"/>
      <c r="GNK306" s="135"/>
      <c r="GNL306" s="135"/>
      <c r="GNM306" s="173"/>
      <c r="GNN306" s="173"/>
      <c r="GNO306" s="173"/>
      <c r="GNP306" s="173"/>
      <c r="GNQ306" s="173"/>
      <c r="GNR306" s="173"/>
      <c r="GNS306" s="173"/>
      <c r="GNT306" s="173"/>
      <c r="GNU306" s="173"/>
      <c r="GNV306" s="173"/>
      <c r="GNW306" s="125"/>
      <c r="GNX306" s="125"/>
      <c r="GNY306" s="134"/>
      <c r="GNZ306" s="135"/>
      <c r="GOA306" s="135"/>
      <c r="GOB306" s="135"/>
      <c r="GOC306" s="135"/>
      <c r="GOD306" s="173"/>
      <c r="GOE306" s="173"/>
      <c r="GOF306" s="173"/>
      <c r="GOG306" s="173"/>
      <c r="GOH306" s="173"/>
      <c r="GOI306" s="173"/>
      <c r="GOJ306" s="173"/>
      <c r="GOK306" s="173"/>
      <c r="GOL306" s="173"/>
      <c r="GOM306" s="173"/>
      <c r="GON306" s="125"/>
      <c r="GOO306" s="125"/>
      <c r="GOP306" s="134"/>
      <c r="GOQ306" s="135"/>
      <c r="GOR306" s="135"/>
      <c r="GOS306" s="135"/>
      <c r="GOT306" s="135"/>
      <c r="GOU306" s="173"/>
      <c r="GOV306" s="173"/>
      <c r="GOW306" s="173"/>
      <c r="GOX306" s="173"/>
      <c r="GOY306" s="173"/>
      <c r="GOZ306" s="173"/>
      <c r="GPA306" s="173"/>
      <c r="GPB306" s="173"/>
      <c r="GPC306" s="173"/>
      <c r="GPD306" s="173"/>
      <c r="GPE306" s="125"/>
      <c r="GPF306" s="125"/>
      <c r="GPG306" s="134"/>
      <c r="GPH306" s="135"/>
      <c r="GPI306" s="135"/>
      <c r="GPJ306" s="135"/>
      <c r="GPK306" s="135"/>
      <c r="GPL306" s="173"/>
      <c r="GPM306" s="173"/>
      <c r="GPN306" s="173"/>
      <c r="GPO306" s="173"/>
      <c r="GPP306" s="173"/>
      <c r="GPQ306" s="173"/>
      <c r="GPR306" s="173"/>
      <c r="GPS306" s="173"/>
      <c r="GPT306" s="173"/>
      <c r="GPU306" s="173"/>
      <c r="GPV306" s="125"/>
      <c r="GPW306" s="125"/>
      <c r="GPX306" s="134"/>
      <c r="GPY306" s="135"/>
      <c r="GPZ306" s="135"/>
      <c r="GQA306" s="135"/>
      <c r="GQB306" s="135"/>
      <c r="GQC306" s="173"/>
      <c r="GQD306" s="173"/>
      <c r="GQE306" s="173"/>
      <c r="GQF306" s="173"/>
      <c r="GQG306" s="173"/>
      <c r="GQH306" s="173"/>
      <c r="GQI306" s="173"/>
      <c r="GQJ306" s="173"/>
      <c r="GQK306" s="173"/>
      <c r="GQL306" s="173"/>
      <c r="GQM306" s="125"/>
      <c r="GQN306" s="125"/>
      <c r="GQO306" s="134"/>
      <c r="GQP306" s="135"/>
      <c r="GQQ306" s="135"/>
      <c r="GQR306" s="135"/>
      <c r="GQS306" s="135"/>
      <c r="GQT306" s="173"/>
      <c r="GQU306" s="173"/>
      <c r="GQV306" s="173"/>
      <c r="GQW306" s="173"/>
      <c r="GQX306" s="173"/>
      <c r="GQY306" s="173"/>
      <c r="GQZ306" s="173"/>
      <c r="GRA306" s="173"/>
      <c r="GRB306" s="173"/>
      <c r="GRC306" s="173"/>
      <c r="GRD306" s="125"/>
      <c r="GRE306" s="125"/>
      <c r="GRF306" s="134"/>
      <c r="GRG306" s="135"/>
      <c r="GRH306" s="135"/>
      <c r="GRI306" s="135"/>
      <c r="GRJ306" s="135"/>
      <c r="GRK306" s="173"/>
      <c r="GRL306" s="173"/>
      <c r="GRM306" s="173"/>
      <c r="GRN306" s="173"/>
      <c r="GRO306" s="173"/>
      <c r="GRP306" s="173"/>
      <c r="GRQ306" s="173"/>
      <c r="GRR306" s="173"/>
      <c r="GRS306" s="173"/>
      <c r="GRT306" s="173"/>
      <c r="GRU306" s="125"/>
      <c r="GRV306" s="125"/>
      <c r="GRW306" s="134"/>
      <c r="GRX306" s="135"/>
      <c r="GRY306" s="135"/>
      <c r="GRZ306" s="135"/>
      <c r="GSA306" s="135"/>
      <c r="GSB306" s="173"/>
      <c r="GSC306" s="173"/>
      <c r="GSD306" s="173"/>
      <c r="GSE306" s="173"/>
      <c r="GSF306" s="173"/>
      <c r="GSG306" s="173"/>
      <c r="GSH306" s="173"/>
      <c r="GSI306" s="173"/>
      <c r="GSJ306" s="173"/>
      <c r="GSK306" s="173"/>
      <c r="GSL306" s="125"/>
      <c r="GSM306" s="125"/>
      <c r="GSN306" s="134"/>
      <c r="GSO306" s="135"/>
      <c r="GSP306" s="135"/>
      <c r="GSQ306" s="135"/>
      <c r="GSR306" s="135"/>
      <c r="GSS306" s="173"/>
      <c r="GST306" s="173"/>
      <c r="GSU306" s="173"/>
      <c r="GSV306" s="173"/>
      <c r="GSW306" s="173"/>
      <c r="GSX306" s="173"/>
      <c r="GSY306" s="173"/>
      <c r="GSZ306" s="173"/>
      <c r="GTA306" s="173"/>
      <c r="GTB306" s="173"/>
      <c r="GTC306" s="125"/>
      <c r="GTD306" s="125"/>
      <c r="GTE306" s="134"/>
      <c r="GTF306" s="135"/>
      <c r="GTG306" s="135"/>
      <c r="GTH306" s="135"/>
      <c r="GTI306" s="135"/>
      <c r="GTJ306" s="173"/>
      <c r="GTK306" s="173"/>
      <c r="GTL306" s="173"/>
      <c r="GTM306" s="173"/>
      <c r="GTN306" s="173"/>
      <c r="GTO306" s="173"/>
      <c r="GTP306" s="173"/>
      <c r="GTQ306" s="173"/>
      <c r="GTR306" s="173"/>
      <c r="GTS306" s="173"/>
      <c r="GTT306" s="125"/>
      <c r="GTU306" s="125"/>
      <c r="GTV306" s="134"/>
      <c r="GTW306" s="135"/>
      <c r="GTX306" s="135"/>
      <c r="GTY306" s="135"/>
      <c r="GTZ306" s="135"/>
      <c r="GUA306" s="173"/>
      <c r="GUB306" s="173"/>
      <c r="GUC306" s="173"/>
      <c r="GUD306" s="173"/>
      <c r="GUE306" s="173"/>
      <c r="GUF306" s="173"/>
      <c r="GUG306" s="173"/>
      <c r="GUH306" s="173"/>
      <c r="GUI306" s="173"/>
      <c r="GUJ306" s="173"/>
      <c r="GUK306" s="125"/>
      <c r="GUL306" s="125"/>
      <c r="GUM306" s="134"/>
      <c r="GUN306" s="135"/>
      <c r="GUO306" s="135"/>
      <c r="GUP306" s="135"/>
      <c r="GUQ306" s="135"/>
      <c r="GUR306" s="173"/>
      <c r="GUS306" s="173"/>
      <c r="GUT306" s="173"/>
      <c r="GUU306" s="173"/>
      <c r="GUV306" s="173"/>
      <c r="GUW306" s="173"/>
      <c r="GUX306" s="173"/>
      <c r="GUY306" s="173"/>
      <c r="GUZ306" s="173"/>
      <c r="GVA306" s="173"/>
      <c r="GVB306" s="125"/>
      <c r="GVC306" s="125"/>
      <c r="GVD306" s="134"/>
      <c r="GVE306" s="135"/>
      <c r="GVF306" s="135"/>
      <c r="GVG306" s="135"/>
      <c r="GVH306" s="135"/>
      <c r="GVI306" s="173"/>
      <c r="GVJ306" s="173"/>
      <c r="GVK306" s="173"/>
      <c r="GVL306" s="173"/>
      <c r="GVM306" s="173"/>
      <c r="GVN306" s="173"/>
      <c r="GVO306" s="173"/>
      <c r="GVP306" s="173"/>
      <c r="GVQ306" s="173"/>
      <c r="GVR306" s="173"/>
      <c r="GVS306" s="125"/>
      <c r="GVT306" s="125"/>
      <c r="GVU306" s="134"/>
      <c r="GVV306" s="135"/>
      <c r="GVW306" s="135"/>
      <c r="GVX306" s="135"/>
      <c r="GVY306" s="135"/>
      <c r="GVZ306" s="173"/>
      <c r="GWA306" s="173"/>
      <c r="GWB306" s="173"/>
      <c r="GWC306" s="173"/>
      <c r="GWD306" s="173"/>
      <c r="GWE306" s="173"/>
      <c r="GWF306" s="173"/>
      <c r="GWG306" s="173"/>
      <c r="GWH306" s="173"/>
      <c r="GWI306" s="173"/>
      <c r="GWJ306" s="125"/>
      <c r="GWK306" s="125"/>
      <c r="GWL306" s="134"/>
      <c r="GWM306" s="135"/>
      <c r="GWN306" s="135"/>
      <c r="GWO306" s="135"/>
      <c r="GWP306" s="135"/>
      <c r="GWQ306" s="173"/>
      <c r="GWR306" s="173"/>
      <c r="GWS306" s="173"/>
      <c r="GWT306" s="173"/>
      <c r="GWU306" s="173"/>
      <c r="GWV306" s="173"/>
      <c r="GWW306" s="173"/>
      <c r="GWX306" s="173"/>
      <c r="GWY306" s="173"/>
      <c r="GWZ306" s="173"/>
      <c r="GXA306" s="125"/>
      <c r="GXB306" s="125"/>
      <c r="GXC306" s="134"/>
      <c r="GXD306" s="135"/>
      <c r="GXE306" s="135"/>
      <c r="GXF306" s="135"/>
      <c r="GXG306" s="135"/>
      <c r="GXH306" s="173"/>
      <c r="GXI306" s="173"/>
      <c r="GXJ306" s="173"/>
      <c r="GXK306" s="173"/>
      <c r="GXL306" s="173"/>
      <c r="GXM306" s="173"/>
      <c r="GXN306" s="173"/>
      <c r="GXO306" s="173"/>
      <c r="GXP306" s="173"/>
      <c r="GXQ306" s="173"/>
      <c r="GXR306" s="125"/>
      <c r="GXS306" s="125"/>
      <c r="GXT306" s="134"/>
      <c r="GXU306" s="135"/>
      <c r="GXV306" s="135"/>
      <c r="GXW306" s="135"/>
      <c r="GXX306" s="135"/>
      <c r="GXY306" s="173"/>
      <c r="GXZ306" s="173"/>
      <c r="GYA306" s="173"/>
      <c r="GYB306" s="173"/>
      <c r="GYC306" s="173"/>
      <c r="GYD306" s="173"/>
      <c r="GYE306" s="173"/>
      <c r="GYF306" s="173"/>
      <c r="GYG306" s="173"/>
      <c r="GYH306" s="173"/>
      <c r="GYI306" s="125"/>
      <c r="GYJ306" s="125"/>
      <c r="GYK306" s="134"/>
      <c r="GYL306" s="135"/>
      <c r="GYM306" s="135"/>
      <c r="GYN306" s="135"/>
      <c r="GYO306" s="135"/>
      <c r="GYP306" s="173"/>
      <c r="GYQ306" s="173"/>
      <c r="GYR306" s="173"/>
      <c r="GYS306" s="173"/>
      <c r="GYT306" s="173"/>
      <c r="GYU306" s="173"/>
      <c r="GYV306" s="173"/>
      <c r="GYW306" s="173"/>
      <c r="GYX306" s="173"/>
      <c r="GYY306" s="173"/>
      <c r="GYZ306" s="125"/>
      <c r="GZA306" s="125"/>
      <c r="GZB306" s="134"/>
      <c r="GZC306" s="135"/>
      <c r="GZD306" s="135"/>
      <c r="GZE306" s="135"/>
      <c r="GZF306" s="135"/>
      <c r="GZG306" s="173"/>
      <c r="GZH306" s="173"/>
      <c r="GZI306" s="173"/>
      <c r="GZJ306" s="173"/>
      <c r="GZK306" s="173"/>
      <c r="GZL306" s="173"/>
      <c r="GZM306" s="173"/>
      <c r="GZN306" s="173"/>
      <c r="GZO306" s="173"/>
      <c r="GZP306" s="173"/>
      <c r="GZQ306" s="125"/>
      <c r="GZR306" s="125"/>
      <c r="GZS306" s="134"/>
      <c r="GZT306" s="135"/>
      <c r="GZU306" s="135"/>
      <c r="GZV306" s="135"/>
      <c r="GZW306" s="135"/>
      <c r="GZX306" s="173"/>
      <c r="GZY306" s="173"/>
      <c r="GZZ306" s="173"/>
      <c r="HAA306" s="173"/>
      <c r="HAB306" s="173"/>
      <c r="HAC306" s="173"/>
      <c r="HAD306" s="173"/>
      <c r="HAE306" s="173"/>
      <c r="HAF306" s="173"/>
      <c r="HAG306" s="173"/>
      <c r="HAH306" s="125"/>
      <c r="HAI306" s="125"/>
      <c r="HAJ306" s="134"/>
      <c r="HAK306" s="135"/>
      <c r="HAL306" s="135"/>
      <c r="HAM306" s="135"/>
      <c r="HAN306" s="135"/>
      <c r="HAO306" s="173"/>
      <c r="HAP306" s="173"/>
      <c r="HAQ306" s="173"/>
      <c r="HAR306" s="173"/>
      <c r="HAS306" s="173"/>
      <c r="HAT306" s="173"/>
      <c r="HAU306" s="173"/>
      <c r="HAV306" s="173"/>
      <c r="HAW306" s="173"/>
      <c r="HAX306" s="173"/>
      <c r="HAY306" s="125"/>
      <c r="HAZ306" s="125"/>
      <c r="HBA306" s="134"/>
      <c r="HBB306" s="135"/>
      <c r="HBC306" s="135"/>
      <c r="HBD306" s="135"/>
      <c r="HBE306" s="135"/>
      <c r="HBF306" s="173"/>
      <c r="HBG306" s="173"/>
      <c r="HBH306" s="173"/>
      <c r="HBI306" s="173"/>
      <c r="HBJ306" s="173"/>
      <c r="HBK306" s="173"/>
      <c r="HBL306" s="173"/>
      <c r="HBM306" s="173"/>
      <c r="HBN306" s="173"/>
      <c r="HBO306" s="173"/>
      <c r="HBP306" s="125"/>
      <c r="HBQ306" s="125"/>
      <c r="HBR306" s="134"/>
      <c r="HBS306" s="135"/>
      <c r="HBT306" s="135"/>
      <c r="HBU306" s="135"/>
      <c r="HBV306" s="135"/>
      <c r="HBW306" s="173"/>
      <c r="HBX306" s="173"/>
      <c r="HBY306" s="173"/>
      <c r="HBZ306" s="173"/>
      <c r="HCA306" s="173"/>
      <c r="HCB306" s="173"/>
      <c r="HCC306" s="173"/>
      <c r="HCD306" s="173"/>
      <c r="HCE306" s="173"/>
      <c r="HCF306" s="173"/>
      <c r="HCG306" s="125"/>
      <c r="HCH306" s="125"/>
      <c r="HCI306" s="134"/>
      <c r="HCJ306" s="135"/>
      <c r="HCK306" s="135"/>
      <c r="HCL306" s="135"/>
      <c r="HCM306" s="135"/>
      <c r="HCN306" s="173"/>
      <c r="HCO306" s="173"/>
      <c r="HCP306" s="173"/>
      <c r="HCQ306" s="173"/>
      <c r="HCR306" s="173"/>
      <c r="HCS306" s="173"/>
      <c r="HCT306" s="173"/>
      <c r="HCU306" s="173"/>
      <c r="HCV306" s="173"/>
      <c r="HCW306" s="173"/>
      <c r="HCX306" s="125"/>
      <c r="HCY306" s="125"/>
      <c r="HCZ306" s="134"/>
      <c r="HDA306" s="135"/>
      <c r="HDB306" s="135"/>
      <c r="HDC306" s="135"/>
      <c r="HDD306" s="135"/>
      <c r="HDE306" s="173"/>
      <c r="HDF306" s="173"/>
      <c r="HDG306" s="173"/>
      <c r="HDH306" s="173"/>
      <c r="HDI306" s="173"/>
      <c r="HDJ306" s="173"/>
      <c r="HDK306" s="173"/>
      <c r="HDL306" s="173"/>
      <c r="HDM306" s="173"/>
      <c r="HDN306" s="173"/>
      <c r="HDO306" s="125"/>
      <c r="HDP306" s="125"/>
      <c r="HDQ306" s="134"/>
      <c r="HDR306" s="135"/>
      <c r="HDS306" s="135"/>
      <c r="HDT306" s="135"/>
      <c r="HDU306" s="135"/>
      <c r="HDV306" s="173"/>
      <c r="HDW306" s="173"/>
      <c r="HDX306" s="173"/>
      <c r="HDY306" s="173"/>
      <c r="HDZ306" s="173"/>
      <c r="HEA306" s="173"/>
      <c r="HEB306" s="173"/>
      <c r="HEC306" s="173"/>
      <c r="HED306" s="173"/>
      <c r="HEE306" s="173"/>
      <c r="HEF306" s="125"/>
      <c r="HEG306" s="125"/>
      <c r="HEH306" s="134"/>
      <c r="HEI306" s="135"/>
      <c r="HEJ306" s="135"/>
      <c r="HEK306" s="135"/>
      <c r="HEL306" s="135"/>
      <c r="HEM306" s="173"/>
      <c r="HEN306" s="173"/>
      <c r="HEO306" s="173"/>
      <c r="HEP306" s="173"/>
      <c r="HEQ306" s="173"/>
      <c r="HER306" s="173"/>
      <c r="HES306" s="173"/>
      <c r="HET306" s="173"/>
      <c r="HEU306" s="173"/>
      <c r="HEV306" s="173"/>
      <c r="HEW306" s="125"/>
      <c r="HEX306" s="125"/>
      <c r="HEY306" s="134"/>
      <c r="HEZ306" s="135"/>
      <c r="HFA306" s="135"/>
      <c r="HFB306" s="135"/>
      <c r="HFC306" s="135"/>
      <c r="HFD306" s="173"/>
      <c r="HFE306" s="173"/>
      <c r="HFF306" s="173"/>
      <c r="HFG306" s="173"/>
      <c r="HFH306" s="173"/>
      <c r="HFI306" s="173"/>
      <c r="HFJ306" s="173"/>
      <c r="HFK306" s="173"/>
      <c r="HFL306" s="173"/>
      <c r="HFM306" s="173"/>
      <c r="HFN306" s="125"/>
      <c r="HFO306" s="125"/>
      <c r="HFP306" s="134"/>
      <c r="HFQ306" s="135"/>
      <c r="HFR306" s="135"/>
      <c r="HFS306" s="135"/>
      <c r="HFT306" s="135"/>
      <c r="HFU306" s="173"/>
      <c r="HFV306" s="173"/>
      <c r="HFW306" s="173"/>
      <c r="HFX306" s="173"/>
      <c r="HFY306" s="173"/>
      <c r="HFZ306" s="173"/>
      <c r="HGA306" s="173"/>
      <c r="HGB306" s="173"/>
      <c r="HGC306" s="173"/>
      <c r="HGD306" s="173"/>
      <c r="HGE306" s="125"/>
      <c r="HGF306" s="125"/>
      <c r="HGG306" s="134"/>
      <c r="HGH306" s="135"/>
      <c r="HGI306" s="135"/>
      <c r="HGJ306" s="135"/>
      <c r="HGK306" s="135"/>
      <c r="HGL306" s="173"/>
      <c r="HGM306" s="173"/>
      <c r="HGN306" s="173"/>
      <c r="HGO306" s="173"/>
      <c r="HGP306" s="173"/>
      <c r="HGQ306" s="173"/>
      <c r="HGR306" s="173"/>
      <c r="HGS306" s="173"/>
      <c r="HGT306" s="173"/>
      <c r="HGU306" s="173"/>
      <c r="HGV306" s="125"/>
      <c r="HGW306" s="125"/>
      <c r="HGX306" s="134"/>
      <c r="HGY306" s="135"/>
      <c r="HGZ306" s="135"/>
      <c r="HHA306" s="135"/>
      <c r="HHB306" s="135"/>
      <c r="HHC306" s="173"/>
      <c r="HHD306" s="173"/>
      <c r="HHE306" s="173"/>
      <c r="HHF306" s="173"/>
      <c r="HHG306" s="173"/>
      <c r="HHH306" s="173"/>
      <c r="HHI306" s="173"/>
      <c r="HHJ306" s="173"/>
      <c r="HHK306" s="173"/>
      <c r="HHL306" s="173"/>
      <c r="HHM306" s="125"/>
      <c r="HHN306" s="125"/>
      <c r="HHO306" s="134"/>
      <c r="HHP306" s="135"/>
      <c r="HHQ306" s="135"/>
      <c r="HHR306" s="135"/>
      <c r="HHS306" s="135"/>
      <c r="HHT306" s="173"/>
      <c r="HHU306" s="173"/>
      <c r="HHV306" s="173"/>
      <c r="HHW306" s="173"/>
      <c r="HHX306" s="173"/>
      <c r="HHY306" s="173"/>
      <c r="HHZ306" s="173"/>
      <c r="HIA306" s="173"/>
      <c r="HIB306" s="173"/>
      <c r="HIC306" s="173"/>
      <c r="HID306" s="125"/>
      <c r="HIE306" s="125"/>
      <c r="HIF306" s="134"/>
      <c r="HIG306" s="135"/>
      <c r="HIH306" s="135"/>
      <c r="HII306" s="135"/>
      <c r="HIJ306" s="135"/>
      <c r="HIK306" s="173"/>
      <c r="HIL306" s="173"/>
      <c r="HIM306" s="173"/>
      <c r="HIN306" s="173"/>
      <c r="HIO306" s="173"/>
      <c r="HIP306" s="173"/>
      <c r="HIQ306" s="173"/>
      <c r="HIR306" s="173"/>
      <c r="HIS306" s="173"/>
      <c r="HIT306" s="173"/>
      <c r="HIU306" s="125"/>
      <c r="HIV306" s="125"/>
      <c r="HIW306" s="134"/>
      <c r="HIX306" s="135"/>
      <c r="HIY306" s="135"/>
      <c r="HIZ306" s="135"/>
      <c r="HJA306" s="135"/>
      <c r="HJB306" s="173"/>
      <c r="HJC306" s="173"/>
      <c r="HJD306" s="173"/>
      <c r="HJE306" s="173"/>
      <c r="HJF306" s="173"/>
      <c r="HJG306" s="173"/>
      <c r="HJH306" s="173"/>
      <c r="HJI306" s="173"/>
      <c r="HJJ306" s="173"/>
      <c r="HJK306" s="173"/>
      <c r="HJL306" s="125"/>
      <c r="HJM306" s="125"/>
      <c r="HJN306" s="134"/>
      <c r="HJO306" s="135"/>
      <c r="HJP306" s="135"/>
      <c r="HJQ306" s="135"/>
      <c r="HJR306" s="135"/>
      <c r="HJS306" s="173"/>
      <c r="HJT306" s="173"/>
      <c r="HJU306" s="173"/>
      <c r="HJV306" s="173"/>
      <c r="HJW306" s="173"/>
      <c r="HJX306" s="173"/>
      <c r="HJY306" s="173"/>
      <c r="HJZ306" s="173"/>
      <c r="HKA306" s="173"/>
      <c r="HKB306" s="173"/>
      <c r="HKC306" s="125"/>
      <c r="HKD306" s="125"/>
      <c r="HKE306" s="134"/>
      <c r="HKF306" s="135"/>
      <c r="HKG306" s="135"/>
      <c r="HKH306" s="135"/>
      <c r="HKI306" s="135"/>
      <c r="HKJ306" s="173"/>
      <c r="HKK306" s="173"/>
      <c r="HKL306" s="173"/>
      <c r="HKM306" s="173"/>
      <c r="HKN306" s="173"/>
      <c r="HKO306" s="173"/>
      <c r="HKP306" s="173"/>
      <c r="HKQ306" s="173"/>
      <c r="HKR306" s="173"/>
      <c r="HKS306" s="173"/>
      <c r="HKT306" s="125"/>
      <c r="HKU306" s="125"/>
      <c r="HKV306" s="134"/>
      <c r="HKW306" s="135"/>
      <c r="HKX306" s="135"/>
      <c r="HKY306" s="135"/>
      <c r="HKZ306" s="135"/>
      <c r="HLA306" s="173"/>
      <c r="HLB306" s="173"/>
      <c r="HLC306" s="173"/>
      <c r="HLD306" s="173"/>
      <c r="HLE306" s="173"/>
      <c r="HLF306" s="173"/>
      <c r="HLG306" s="173"/>
      <c r="HLH306" s="173"/>
      <c r="HLI306" s="173"/>
      <c r="HLJ306" s="173"/>
      <c r="HLK306" s="125"/>
      <c r="HLL306" s="125"/>
      <c r="HLM306" s="134"/>
      <c r="HLN306" s="135"/>
      <c r="HLO306" s="135"/>
      <c r="HLP306" s="135"/>
      <c r="HLQ306" s="135"/>
      <c r="HLR306" s="173"/>
      <c r="HLS306" s="173"/>
      <c r="HLT306" s="173"/>
      <c r="HLU306" s="173"/>
      <c r="HLV306" s="173"/>
      <c r="HLW306" s="173"/>
      <c r="HLX306" s="173"/>
      <c r="HLY306" s="173"/>
      <c r="HLZ306" s="173"/>
      <c r="HMA306" s="173"/>
      <c r="HMB306" s="125"/>
      <c r="HMC306" s="125"/>
      <c r="HMD306" s="134"/>
      <c r="HME306" s="135"/>
      <c r="HMF306" s="135"/>
      <c r="HMG306" s="135"/>
      <c r="HMH306" s="135"/>
      <c r="HMI306" s="173"/>
      <c r="HMJ306" s="173"/>
      <c r="HMK306" s="173"/>
      <c r="HML306" s="173"/>
      <c r="HMM306" s="173"/>
      <c r="HMN306" s="173"/>
      <c r="HMO306" s="173"/>
      <c r="HMP306" s="173"/>
      <c r="HMQ306" s="173"/>
      <c r="HMR306" s="173"/>
      <c r="HMS306" s="125"/>
      <c r="HMT306" s="125"/>
      <c r="HMU306" s="134"/>
      <c r="HMV306" s="135"/>
      <c r="HMW306" s="135"/>
      <c r="HMX306" s="135"/>
      <c r="HMY306" s="135"/>
      <c r="HMZ306" s="173"/>
      <c r="HNA306" s="173"/>
      <c r="HNB306" s="173"/>
      <c r="HNC306" s="173"/>
      <c r="HND306" s="173"/>
      <c r="HNE306" s="173"/>
      <c r="HNF306" s="173"/>
      <c r="HNG306" s="173"/>
      <c r="HNH306" s="173"/>
      <c r="HNI306" s="173"/>
      <c r="HNJ306" s="125"/>
      <c r="HNK306" s="125"/>
      <c r="HNL306" s="134"/>
      <c r="HNM306" s="135"/>
      <c r="HNN306" s="135"/>
      <c r="HNO306" s="135"/>
      <c r="HNP306" s="135"/>
      <c r="HNQ306" s="173"/>
      <c r="HNR306" s="173"/>
      <c r="HNS306" s="173"/>
      <c r="HNT306" s="173"/>
      <c r="HNU306" s="173"/>
      <c r="HNV306" s="173"/>
      <c r="HNW306" s="173"/>
      <c r="HNX306" s="173"/>
      <c r="HNY306" s="173"/>
      <c r="HNZ306" s="173"/>
      <c r="HOA306" s="125"/>
      <c r="HOB306" s="125"/>
      <c r="HOC306" s="134"/>
      <c r="HOD306" s="135"/>
      <c r="HOE306" s="135"/>
      <c r="HOF306" s="135"/>
      <c r="HOG306" s="135"/>
      <c r="HOH306" s="173"/>
      <c r="HOI306" s="173"/>
      <c r="HOJ306" s="173"/>
      <c r="HOK306" s="173"/>
      <c r="HOL306" s="173"/>
      <c r="HOM306" s="173"/>
      <c r="HON306" s="173"/>
      <c r="HOO306" s="173"/>
      <c r="HOP306" s="173"/>
      <c r="HOQ306" s="173"/>
      <c r="HOR306" s="125"/>
      <c r="HOS306" s="125"/>
      <c r="HOT306" s="134"/>
      <c r="HOU306" s="135"/>
      <c r="HOV306" s="135"/>
      <c r="HOW306" s="135"/>
      <c r="HOX306" s="135"/>
      <c r="HOY306" s="173"/>
      <c r="HOZ306" s="173"/>
      <c r="HPA306" s="173"/>
      <c r="HPB306" s="173"/>
      <c r="HPC306" s="173"/>
      <c r="HPD306" s="173"/>
      <c r="HPE306" s="173"/>
      <c r="HPF306" s="173"/>
      <c r="HPG306" s="173"/>
      <c r="HPH306" s="173"/>
      <c r="HPI306" s="125"/>
      <c r="HPJ306" s="125"/>
      <c r="HPK306" s="134"/>
      <c r="HPL306" s="135"/>
      <c r="HPM306" s="135"/>
      <c r="HPN306" s="135"/>
      <c r="HPO306" s="135"/>
      <c r="HPP306" s="173"/>
      <c r="HPQ306" s="173"/>
      <c r="HPR306" s="173"/>
      <c r="HPS306" s="173"/>
      <c r="HPT306" s="173"/>
      <c r="HPU306" s="173"/>
      <c r="HPV306" s="173"/>
      <c r="HPW306" s="173"/>
      <c r="HPX306" s="173"/>
      <c r="HPY306" s="173"/>
      <c r="HPZ306" s="125"/>
      <c r="HQA306" s="125"/>
      <c r="HQB306" s="134"/>
      <c r="HQC306" s="135"/>
      <c r="HQD306" s="135"/>
      <c r="HQE306" s="135"/>
      <c r="HQF306" s="135"/>
      <c r="HQG306" s="173"/>
      <c r="HQH306" s="173"/>
      <c r="HQI306" s="173"/>
      <c r="HQJ306" s="173"/>
      <c r="HQK306" s="173"/>
      <c r="HQL306" s="173"/>
      <c r="HQM306" s="173"/>
      <c r="HQN306" s="173"/>
      <c r="HQO306" s="173"/>
      <c r="HQP306" s="173"/>
      <c r="HQQ306" s="125"/>
      <c r="HQR306" s="125"/>
      <c r="HQS306" s="134"/>
      <c r="HQT306" s="135"/>
      <c r="HQU306" s="135"/>
      <c r="HQV306" s="135"/>
      <c r="HQW306" s="135"/>
      <c r="HQX306" s="173"/>
      <c r="HQY306" s="173"/>
      <c r="HQZ306" s="173"/>
      <c r="HRA306" s="173"/>
      <c r="HRB306" s="173"/>
      <c r="HRC306" s="173"/>
      <c r="HRD306" s="173"/>
      <c r="HRE306" s="173"/>
      <c r="HRF306" s="173"/>
      <c r="HRG306" s="173"/>
      <c r="HRH306" s="125"/>
      <c r="HRI306" s="125"/>
      <c r="HRJ306" s="134"/>
      <c r="HRK306" s="135"/>
      <c r="HRL306" s="135"/>
      <c r="HRM306" s="135"/>
      <c r="HRN306" s="135"/>
      <c r="HRO306" s="173"/>
      <c r="HRP306" s="173"/>
      <c r="HRQ306" s="173"/>
      <c r="HRR306" s="173"/>
      <c r="HRS306" s="173"/>
      <c r="HRT306" s="173"/>
      <c r="HRU306" s="173"/>
      <c r="HRV306" s="173"/>
      <c r="HRW306" s="173"/>
      <c r="HRX306" s="173"/>
      <c r="HRY306" s="125"/>
      <c r="HRZ306" s="125"/>
      <c r="HSA306" s="134"/>
      <c r="HSB306" s="135"/>
      <c r="HSC306" s="135"/>
      <c r="HSD306" s="135"/>
      <c r="HSE306" s="135"/>
      <c r="HSF306" s="173"/>
      <c r="HSG306" s="173"/>
      <c r="HSH306" s="173"/>
      <c r="HSI306" s="173"/>
      <c r="HSJ306" s="173"/>
      <c r="HSK306" s="173"/>
      <c r="HSL306" s="173"/>
      <c r="HSM306" s="173"/>
      <c r="HSN306" s="173"/>
      <c r="HSO306" s="173"/>
      <c r="HSP306" s="125"/>
      <c r="HSQ306" s="125"/>
      <c r="HSR306" s="134"/>
      <c r="HSS306" s="135"/>
      <c r="HST306" s="135"/>
      <c r="HSU306" s="135"/>
      <c r="HSV306" s="135"/>
      <c r="HSW306" s="173"/>
      <c r="HSX306" s="173"/>
      <c r="HSY306" s="173"/>
      <c r="HSZ306" s="173"/>
      <c r="HTA306" s="173"/>
      <c r="HTB306" s="173"/>
      <c r="HTC306" s="173"/>
      <c r="HTD306" s="173"/>
      <c r="HTE306" s="173"/>
      <c r="HTF306" s="173"/>
      <c r="HTG306" s="125"/>
      <c r="HTH306" s="125"/>
      <c r="HTI306" s="134"/>
      <c r="HTJ306" s="135"/>
      <c r="HTK306" s="135"/>
      <c r="HTL306" s="135"/>
      <c r="HTM306" s="135"/>
      <c r="HTN306" s="173"/>
      <c r="HTO306" s="173"/>
      <c r="HTP306" s="173"/>
      <c r="HTQ306" s="173"/>
      <c r="HTR306" s="173"/>
      <c r="HTS306" s="173"/>
      <c r="HTT306" s="173"/>
      <c r="HTU306" s="173"/>
      <c r="HTV306" s="173"/>
      <c r="HTW306" s="173"/>
      <c r="HTX306" s="125"/>
      <c r="HTY306" s="125"/>
      <c r="HTZ306" s="134"/>
      <c r="HUA306" s="135"/>
      <c r="HUB306" s="135"/>
      <c r="HUC306" s="135"/>
      <c r="HUD306" s="135"/>
      <c r="HUE306" s="173"/>
      <c r="HUF306" s="173"/>
      <c r="HUG306" s="173"/>
      <c r="HUH306" s="173"/>
      <c r="HUI306" s="173"/>
      <c r="HUJ306" s="173"/>
      <c r="HUK306" s="173"/>
      <c r="HUL306" s="173"/>
      <c r="HUM306" s="173"/>
      <c r="HUN306" s="173"/>
      <c r="HUO306" s="125"/>
      <c r="HUP306" s="125"/>
      <c r="HUQ306" s="134"/>
      <c r="HUR306" s="135"/>
      <c r="HUS306" s="135"/>
      <c r="HUT306" s="135"/>
      <c r="HUU306" s="135"/>
      <c r="HUV306" s="173"/>
      <c r="HUW306" s="173"/>
      <c r="HUX306" s="173"/>
      <c r="HUY306" s="173"/>
      <c r="HUZ306" s="173"/>
      <c r="HVA306" s="173"/>
      <c r="HVB306" s="173"/>
      <c r="HVC306" s="173"/>
      <c r="HVD306" s="173"/>
      <c r="HVE306" s="173"/>
      <c r="HVF306" s="125"/>
      <c r="HVG306" s="125"/>
      <c r="HVH306" s="134"/>
      <c r="HVI306" s="135"/>
      <c r="HVJ306" s="135"/>
      <c r="HVK306" s="135"/>
      <c r="HVL306" s="135"/>
      <c r="HVM306" s="173"/>
      <c r="HVN306" s="173"/>
      <c r="HVO306" s="173"/>
      <c r="HVP306" s="173"/>
      <c r="HVQ306" s="173"/>
      <c r="HVR306" s="173"/>
      <c r="HVS306" s="173"/>
      <c r="HVT306" s="173"/>
      <c r="HVU306" s="173"/>
      <c r="HVV306" s="173"/>
      <c r="HVW306" s="125"/>
      <c r="HVX306" s="125"/>
      <c r="HVY306" s="134"/>
      <c r="HVZ306" s="135"/>
      <c r="HWA306" s="135"/>
      <c r="HWB306" s="135"/>
      <c r="HWC306" s="135"/>
      <c r="HWD306" s="173"/>
      <c r="HWE306" s="173"/>
      <c r="HWF306" s="173"/>
      <c r="HWG306" s="173"/>
      <c r="HWH306" s="173"/>
      <c r="HWI306" s="173"/>
      <c r="HWJ306" s="173"/>
      <c r="HWK306" s="173"/>
      <c r="HWL306" s="173"/>
      <c r="HWM306" s="173"/>
      <c r="HWN306" s="125"/>
      <c r="HWO306" s="125"/>
      <c r="HWP306" s="134"/>
      <c r="HWQ306" s="135"/>
      <c r="HWR306" s="135"/>
      <c r="HWS306" s="135"/>
      <c r="HWT306" s="135"/>
      <c r="HWU306" s="173"/>
      <c r="HWV306" s="173"/>
      <c r="HWW306" s="173"/>
      <c r="HWX306" s="173"/>
      <c r="HWY306" s="173"/>
      <c r="HWZ306" s="173"/>
      <c r="HXA306" s="173"/>
      <c r="HXB306" s="173"/>
      <c r="HXC306" s="173"/>
      <c r="HXD306" s="173"/>
      <c r="HXE306" s="125"/>
      <c r="HXF306" s="125"/>
      <c r="HXG306" s="134"/>
      <c r="HXH306" s="135"/>
      <c r="HXI306" s="135"/>
      <c r="HXJ306" s="135"/>
      <c r="HXK306" s="135"/>
      <c r="HXL306" s="173"/>
      <c r="HXM306" s="173"/>
      <c r="HXN306" s="173"/>
      <c r="HXO306" s="173"/>
      <c r="HXP306" s="173"/>
      <c r="HXQ306" s="173"/>
      <c r="HXR306" s="173"/>
      <c r="HXS306" s="173"/>
      <c r="HXT306" s="173"/>
      <c r="HXU306" s="173"/>
      <c r="HXV306" s="125"/>
      <c r="HXW306" s="125"/>
      <c r="HXX306" s="134"/>
      <c r="HXY306" s="135"/>
      <c r="HXZ306" s="135"/>
      <c r="HYA306" s="135"/>
      <c r="HYB306" s="135"/>
      <c r="HYC306" s="173"/>
      <c r="HYD306" s="173"/>
      <c r="HYE306" s="173"/>
      <c r="HYF306" s="173"/>
      <c r="HYG306" s="173"/>
      <c r="HYH306" s="173"/>
      <c r="HYI306" s="173"/>
      <c r="HYJ306" s="173"/>
      <c r="HYK306" s="173"/>
      <c r="HYL306" s="173"/>
      <c r="HYM306" s="125"/>
      <c r="HYN306" s="125"/>
      <c r="HYO306" s="134"/>
      <c r="HYP306" s="135"/>
      <c r="HYQ306" s="135"/>
      <c r="HYR306" s="135"/>
      <c r="HYS306" s="135"/>
      <c r="HYT306" s="173"/>
      <c r="HYU306" s="173"/>
      <c r="HYV306" s="173"/>
      <c r="HYW306" s="173"/>
      <c r="HYX306" s="173"/>
      <c r="HYY306" s="173"/>
      <c r="HYZ306" s="173"/>
      <c r="HZA306" s="173"/>
      <c r="HZB306" s="173"/>
      <c r="HZC306" s="173"/>
      <c r="HZD306" s="125"/>
      <c r="HZE306" s="125"/>
      <c r="HZF306" s="134"/>
      <c r="HZG306" s="135"/>
      <c r="HZH306" s="135"/>
      <c r="HZI306" s="135"/>
      <c r="HZJ306" s="135"/>
      <c r="HZK306" s="173"/>
      <c r="HZL306" s="173"/>
      <c r="HZM306" s="173"/>
      <c r="HZN306" s="173"/>
      <c r="HZO306" s="173"/>
      <c r="HZP306" s="173"/>
      <c r="HZQ306" s="173"/>
      <c r="HZR306" s="173"/>
      <c r="HZS306" s="173"/>
      <c r="HZT306" s="173"/>
      <c r="HZU306" s="125"/>
      <c r="HZV306" s="125"/>
      <c r="HZW306" s="134"/>
      <c r="HZX306" s="135"/>
      <c r="HZY306" s="135"/>
      <c r="HZZ306" s="135"/>
      <c r="IAA306" s="135"/>
      <c r="IAB306" s="173"/>
      <c r="IAC306" s="173"/>
      <c r="IAD306" s="173"/>
      <c r="IAE306" s="173"/>
      <c r="IAF306" s="173"/>
      <c r="IAG306" s="173"/>
      <c r="IAH306" s="173"/>
      <c r="IAI306" s="173"/>
      <c r="IAJ306" s="173"/>
      <c r="IAK306" s="173"/>
      <c r="IAL306" s="125"/>
      <c r="IAM306" s="125"/>
      <c r="IAN306" s="134"/>
      <c r="IAO306" s="135"/>
      <c r="IAP306" s="135"/>
      <c r="IAQ306" s="135"/>
      <c r="IAR306" s="135"/>
      <c r="IAS306" s="173"/>
      <c r="IAT306" s="173"/>
      <c r="IAU306" s="173"/>
      <c r="IAV306" s="173"/>
      <c r="IAW306" s="173"/>
      <c r="IAX306" s="173"/>
      <c r="IAY306" s="173"/>
      <c r="IAZ306" s="173"/>
      <c r="IBA306" s="173"/>
      <c r="IBB306" s="173"/>
      <c r="IBC306" s="125"/>
      <c r="IBD306" s="125"/>
      <c r="IBE306" s="134"/>
      <c r="IBF306" s="135"/>
      <c r="IBG306" s="135"/>
      <c r="IBH306" s="135"/>
      <c r="IBI306" s="135"/>
      <c r="IBJ306" s="173"/>
      <c r="IBK306" s="173"/>
      <c r="IBL306" s="173"/>
      <c r="IBM306" s="173"/>
      <c r="IBN306" s="173"/>
      <c r="IBO306" s="173"/>
      <c r="IBP306" s="173"/>
      <c r="IBQ306" s="173"/>
      <c r="IBR306" s="173"/>
      <c r="IBS306" s="173"/>
      <c r="IBT306" s="125"/>
      <c r="IBU306" s="125"/>
      <c r="IBV306" s="134"/>
      <c r="IBW306" s="135"/>
      <c r="IBX306" s="135"/>
      <c r="IBY306" s="135"/>
      <c r="IBZ306" s="135"/>
      <c r="ICA306" s="173"/>
      <c r="ICB306" s="173"/>
      <c r="ICC306" s="173"/>
      <c r="ICD306" s="173"/>
      <c r="ICE306" s="173"/>
      <c r="ICF306" s="173"/>
      <c r="ICG306" s="173"/>
      <c r="ICH306" s="173"/>
      <c r="ICI306" s="173"/>
      <c r="ICJ306" s="173"/>
      <c r="ICK306" s="125"/>
      <c r="ICL306" s="125"/>
      <c r="ICM306" s="134"/>
      <c r="ICN306" s="135"/>
      <c r="ICO306" s="135"/>
      <c r="ICP306" s="135"/>
      <c r="ICQ306" s="135"/>
      <c r="ICR306" s="173"/>
      <c r="ICS306" s="173"/>
      <c r="ICT306" s="173"/>
      <c r="ICU306" s="173"/>
      <c r="ICV306" s="173"/>
      <c r="ICW306" s="173"/>
      <c r="ICX306" s="173"/>
      <c r="ICY306" s="173"/>
      <c r="ICZ306" s="173"/>
      <c r="IDA306" s="173"/>
      <c r="IDB306" s="125"/>
      <c r="IDC306" s="125"/>
      <c r="IDD306" s="134"/>
      <c r="IDE306" s="135"/>
      <c r="IDF306" s="135"/>
      <c r="IDG306" s="135"/>
      <c r="IDH306" s="135"/>
      <c r="IDI306" s="173"/>
      <c r="IDJ306" s="173"/>
      <c r="IDK306" s="173"/>
      <c r="IDL306" s="173"/>
      <c r="IDM306" s="173"/>
      <c r="IDN306" s="173"/>
      <c r="IDO306" s="173"/>
      <c r="IDP306" s="173"/>
      <c r="IDQ306" s="173"/>
      <c r="IDR306" s="173"/>
      <c r="IDS306" s="125"/>
      <c r="IDT306" s="125"/>
      <c r="IDU306" s="134"/>
      <c r="IDV306" s="135"/>
      <c r="IDW306" s="135"/>
      <c r="IDX306" s="135"/>
      <c r="IDY306" s="135"/>
      <c r="IDZ306" s="173"/>
      <c r="IEA306" s="173"/>
      <c r="IEB306" s="173"/>
      <c r="IEC306" s="173"/>
      <c r="IED306" s="173"/>
      <c r="IEE306" s="173"/>
      <c r="IEF306" s="173"/>
      <c r="IEG306" s="173"/>
      <c r="IEH306" s="173"/>
      <c r="IEI306" s="173"/>
      <c r="IEJ306" s="125"/>
      <c r="IEK306" s="125"/>
      <c r="IEL306" s="134"/>
      <c r="IEM306" s="135"/>
      <c r="IEN306" s="135"/>
      <c r="IEO306" s="135"/>
      <c r="IEP306" s="135"/>
      <c r="IEQ306" s="173"/>
      <c r="IER306" s="173"/>
      <c r="IES306" s="173"/>
      <c r="IET306" s="173"/>
      <c r="IEU306" s="173"/>
      <c r="IEV306" s="173"/>
      <c r="IEW306" s="173"/>
      <c r="IEX306" s="173"/>
      <c r="IEY306" s="173"/>
      <c r="IEZ306" s="173"/>
      <c r="IFA306" s="125"/>
      <c r="IFB306" s="125"/>
      <c r="IFC306" s="134"/>
      <c r="IFD306" s="135"/>
      <c r="IFE306" s="135"/>
      <c r="IFF306" s="135"/>
      <c r="IFG306" s="135"/>
      <c r="IFH306" s="173"/>
      <c r="IFI306" s="173"/>
      <c r="IFJ306" s="173"/>
      <c r="IFK306" s="173"/>
      <c r="IFL306" s="173"/>
      <c r="IFM306" s="173"/>
      <c r="IFN306" s="173"/>
      <c r="IFO306" s="173"/>
      <c r="IFP306" s="173"/>
      <c r="IFQ306" s="173"/>
      <c r="IFR306" s="125"/>
      <c r="IFS306" s="125"/>
      <c r="IFT306" s="134"/>
      <c r="IFU306" s="135"/>
      <c r="IFV306" s="135"/>
      <c r="IFW306" s="135"/>
      <c r="IFX306" s="135"/>
      <c r="IFY306" s="173"/>
      <c r="IFZ306" s="173"/>
      <c r="IGA306" s="173"/>
      <c r="IGB306" s="173"/>
      <c r="IGC306" s="173"/>
      <c r="IGD306" s="173"/>
      <c r="IGE306" s="173"/>
      <c r="IGF306" s="173"/>
      <c r="IGG306" s="173"/>
      <c r="IGH306" s="173"/>
      <c r="IGI306" s="125"/>
      <c r="IGJ306" s="125"/>
      <c r="IGK306" s="134"/>
      <c r="IGL306" s="135"/>
      <c r="IGM306" s="135"/>
      <c r="IGN306" s="135"/>
      <c r="IGO306" s="135"/>
      <c r="IGP306" s="173"/>
      <c r="IGQ306" s="173"/>
      <c r="IGR306" s="173"/>
      <c r="IGS306" s="173"/>
      <c r="IGT306" s="173"/>
      <c r="IGU306" s="173"/>
      <c r="IGV306" s="173"/>
      <c r="IGW306" s="173"/>
      <c r="IGX306" s="173"/>
      <c r="IGY306" s="173"/>
      <c r="IGZ306" s="125"/>
      <c r="IHA306" s="125"/>
      <c r="IHB306" s="134"/>
      <c r="IHC306" s="135"/>
      <c r="IHD306" s="135"/>
      <c r="IHE306" s="135"/>
      <c r="IHF306" s="135"/>
      <c r="IHG306" s="173"/>
      <c r="IHH306" s="173"/>
      <c r="IHI306" s="173"/>
      <c r="IHJ306" s="173"/>
      <c r="IHK306" s="173"/>
      <c r="IHL306" s="173"/>
      <c r="IHM306" s="173"/>
      <c r="IHN306" s="173"/>
      <c r="IHO306" s="173"/>
      <c r="IHP306" s="173"/>
      <c r="IHQ306" s="125"/>
      <c r="IHR306" s="125"/>
      <c r="IHS306" s="134"/>
      <c r="IHT306" s="135"/>
      <c r="IHU306" s="135"/>
      <c r="IHV306" s="135"/>
      <c r="IHW306" s="135"/>
      <c r="IHX306" s="173"/>
      <c r="IHY306" s="173"/>
      <c r="IHZ306" s="173"/>
      <c r="IIA306" s="173"/>
      <c r="IIB306" s="173"/>
      <c r="IIC306" s="173"/>
      <c r="IID306" s="173"/>
      <c r="IIE306" s="173"/>
      <c r="IIF306" s="173"/>
      <c r="IIG306" s="173"/>
      <c r="IIH306" s="125"/>
      <c r="III306" s="125"/>
      <c r="IIJ306" s="134"/>
      <c r="IIK306" s="135"/>
      <c r="IIL306" s="135"/>
      <c r="IIM306" s="135"/>
      <c r="IIN306" s="135"/>
      <c r="IIO306" s="173"/>
      <c r="IIP306" s="173"/>
      <c r="IIQ306" s="173"/>
      <c r="IIR306" s="173"/>
      <c r="IIS306" s="173"/>
      <c r="IIT306" s="173"/>
      <c r="IIU306" s="173"/>
      <c r="IIV306" s="173"/>
      <c r="IIW306" s="173"/>
      <c r="IIX306" s="173"/>
      <c r="IIY306" s="125"/>
      <c r="IIZ306" s="125"/>
      <c r="IJA306" s="134"/>
      <c r="IJB306" s="135"/>
      <c r="IJC306" s="135"/>
      <c r="IJD306" s="135"/>
      <c r="IJE306" s="135"/>
      <c r="IJF306" s="173"/>
      <c r="IJG306" s="173"/>
      <c r="IJH306" s="173"/>
      <c r="IJI306" s="173"/>
      <c r="IJJ306" s="173"/>
      <c r="IJK306" s="173"/>
      <c r="IJL306" s="173"/>
      <c r="IJM306" s="173"/>
      <c r="IJN306" s="173"/>
      <c r="IJO306" s="173"/>
      <c r="IJP306" s="125"/>
      <c r="IJQ306" s="125"/>
      <c r="IJR306" s="134"/>
      <c r="IJS306" s="135"/>
      <c r="IJT306" s="135"/>
      <c r="IJU306" s="135"/>
      <c r="IJV306" s="135"/>
      <c r="IJW306" s="173"/>
      <c r="IJX306" s="173"/>
      <c r="IJY306" s="173"/>
      <c r="IJZ306" s="173"/>
      <c r="IKA306" s="173"/>
      <c r="IKB306" s="173"/>
      <c r="IKC306" s="173"/>
      <c r="IKD306" s="173"/>
      <c r="IKE306" s="173"/>
      <c r="IKF306" s="173"/>
      <c r="IKG306" s="125"/>
      <c r="IKH306" s="125"/>
      <c r="IKI306" s="134"/>
      <c r="IKJ306" s="135"/>
      <c r="IKK306" s="135"/>
      <c r="IKL306" s="135"/>
      <c r="IKM306" s="135"/>
      <c r="IKN306" s="173"/>
      <c r="IKO306" s="173"/>
      <c r="IKP306" s="173"/>
      <c r="IKQ306" s="173"/>
      <c r="IKR306" s="173"/>
      <c r="IKS306" s="173"/>
      <c r="IKT306" s="173"/>
      <c r="IKU306" s="173"/>
      <c r="IKV306" s="173"/>
      <c r="IKW306" s="173"/>
      <c r="IKX306" s="125"/>
      <c r="IKY306" s="125"/>
      <c r="IKZ306" s="134"/>
      <c r="ILA306" s="135"/>
      <c r="ILB306" s="135"/>
      <c r="ILC306" s="135"/>
      <c r="ILD306" s="135"/>
      <c r="ILE306" s="173"/>
      <c r="ILF306" s="173"/>
      <c r="ILG306" s="173"/>
      <c r="ILH306" s="173"/>
      <c r="ILI306" s="173"/>
      <c r="ILJ306" s="173"/>
      <c r="ILK306" s="173"/>
      <c r="ILL306" s="173"/>
      <c r="ILM306" s="173"/>
      <c r="ILN306" s="173"/>
      <c r="ILO306" s="125"/>
      <c r="ILP306" s="125"/>
      <c r="ILQ306" s="134"/>
      <c r="ILR306" s="135"/>
      <c r="ILS306" s="135"/>
      <c r="ILT306" s="135"/>
      <c r="ILU306" s="135"/>
      <c r="ILV306" s="173"/>
      <c r="ILW306" s="173"/>
      <c r="ILX306" s="173"/>
      <c r="ILY306" s="173"/>
      <c r="ILZ306" s="173"/>
      <c r="IMA306" s="173"/>
      <c r="IMB306" s="173"/>
      <c r="IMC306" s="173"/>
      <c r="IMD306" s="173"/>
      <c r="IME306" s="173"/>
      <c r="IMF306" s="125"/>
      <c r="IMG306" s="125"/>
      <c r="IMH306" s="134"/>
      <c r="IMI306" s="135"/>
      <c r="IMJ306" s="135"/>
      <c r="IMK306" s="135"/>
      <c r="IML306" s="135"/>
      <c r="IMM306" s="173"/>
      <c r="IMN306" s="173"/>
      <c r="IMO306" s="173"/>
      <c r="IMP306" s="173"/>
      <c r="IMQ306" s="173"/>
      <c r="IMR306" s="173"/>
      <c r="IMS306" s="173"/>
      <c r="IMT306" s="173"/>
      <c r="IMU306" s="173"/>
      <c r="IMV306" s="173"/>
      <c r="IMW306" s="125"/>
      <c r="IMX306" s="125"/>
      <c r="IMY306" s="134"/>
      <c r="IMZ306" s="135"/>
      <c r="INA306" s="135"/>
      <c r="INB306" s="135"/>
      <c r="INC306" s="135"/>
      <c r="IND306" s="173"/>
      <c r="INE306" s="173"/>
      <c r="INF306" s="173"/>
      <c r="ING306" s="173"/>
      <c r="INH306" s="173"/>
      <c r="INI306" s="173"/>
      <c r="INJ306" s="173"/>
      <c r="INK306" s="173"/>
      <c r="INL306" s="173"/>
      <c r="INM306" s="173"/>
      <c r="INN306" s="125"/>
      <c r="INO306" s="125"/>
      <c r="INP306" s="134"/>
      <c r="INQ306" s="135"/>
      <c r="INR306" s="135"/>
      <c r="INS306" s="135"/>
      <c r="INT306" s="135"/>
      <c r="INU306" s="173"/>
      <c r="INV306" s="173"/>
      <c r="INW306" s="173"/>
      <c r="INX306" s="173"/>
      <c r="INY306" s="173"/>
      <c r="INZ306" s="173"/>
      <c r="IOA306" s="173"/>
      <c r="IOB306" s="173"/>
      <c r="IOC306" s="173"/>
      <c r="IOD306" s="173"/>
      <c r="IOE306" s="125"/>
      <c r="IOF306" s="125"/>
      <c r="IOG306" s="134"/>
      <c r="IOH306" s="135"/>
      <c r="IOI306" s="135"/>
      <c r="IOJ306" s="135"/>
      <c r="IOK306" s="135"/>
      <c r="IOL306" s="173"/>
      <c r="IOM306" s="173"/>
      <c r="ION306" s="173"/>
      <c r="IOO306" s="173"/>
      <c r="IOP306" s="173"/>
      <c r="IOQ306" s="173"/>
      <c r="IOR306" s="173"/>
      <c r="IOS306" s="173"/>
      <c r="IOT306" s="173"/>
      <c r="IOU306" s="173"/>
      <c r="IOV306" s="125"/>
      <c r="IOW306" s="125"/>
      <c r="IOX306" s="134"/>
      <c r="IOY306" s="135"/>
      <c r="IOZ306" s="135"/>
      <c r="IPA306" s="135"/>
      <c r="IPB306" s="135"/>
      <c r="IPC306" s="173"/>
      <c r="IPD306" s="173"/>
      <c r="IPE306" s="173"/>
      <c r="IPF306" s="173"/>
      <c r="IPG306" s="173"/>
      <c r="IPH306" s="173"/>
      <c r="IPI306" s="173"/>
      <c r="IPJ306" s="173"/>
      <c r="IPK306" s="173"/>
      <c r="IPL306" s="173"/>
      <c r="IPM306" s="125"/>
      <c r="IPN306" s="125"/>
      <c r="IPO306" s="134"/>
      <c r="IPP306" s="135"/>
      <c r="IPQ306" s="135"/>
      <c r="IPR306" s="135"/>
      <c r="IPS306" s="135"/>
      <c r="IPT306" s="173"/>
      <c r="IPU306" s="173"/>
      <c r="IPV306" s="173"/>
      <c r="IPW306" s="173"/>
      <c r="IPX306" s="173"/>
      <c r="IPY306" s="173"/>
      <c r="IPZ306" s="173"/>
      <c r="IQA306" s="173"/>
      <c r="IQB306" s="173"/>
      <c r="IQC306" s="173"/>
      <c r="IQD306" s="125"/>
      <c r="IQE306" s="125"/>
      <c r="IQF306" s="134"/>
      <c r="IQG306" s="135"/>
      <c r="IQH306" s="135"/>
      <c r="IQI306" s="135"/>
      <c r="IQJ306" s="135"/>
      <c r="IQK306" s="173"/>
      <c r="IQL306" s="173"/>
      <c r="IQM306" s="173"/>
      <c r="IQN306" s="173"/>
      <c r="IQO306" s="173"/>
      <c r="IQP306" s="173"/>
      <c r="IQQ306" s="173"/>
      <c r="IQR306" s="173"/>
      <c r="IQS306" s="173"/>
      <c r="IQT306" s="173"/>
      <c r="IQU306" s="125"/>
      <c r="IQV306" s="125"/>
      <c r="IQW306" s="134"/>
      <c r="IQX306" s="135"/>
      <c r="IQY306" s="135"/>
      <c r="IQZ306" s="135"/>
      <c r="IRA306" s="135"/>
      <c r="IRB306" s="173"/>
      <c r="IRC306" s="173"/>
      <c r="IRD306" s="173"/>
      <c r="IRE306" s="173"/>
      <c r="IRF306" s="173"/>
      <c r="IRG306" s="173"/>
      <c r="IRH306" s="173"/>
      <c r="IRI306" s="173"/>
      <c r="IRJ306" s="173"/>
      <c r="IRK306" s="173"/>
      <c r="IRL306" s="125"/>
      <c r="IRM306" s="125"/>
      <c r="IRN306" s="134"/>
      <c r="IRO306" s="135"/>
      <c r="IRP306" s="135"/>
      <c r="IRQ306" s="135"/>
      <c r="IRR306" s="135"/>
      <c r="IRS306" s="173"/>
      <c r="IRT306" s="173"/>
      <c r="IRU306" s="173"/>
      <c r="IRV306" s="173"/>
      <c r="IRW306" s="173"/>
      <c r="IRX306" s="173"/>
      <c r="IRY306" s="173"/>
      <c r="IRZ306" s="173"/>
      <c r="ISA306" s="173"/>
      <c r="ISB306" s="173"/>
      <c r="ISC306" s="125"/>
      <c r="ISD306" s="125"/>
      <c r="ISE306" s="134"/>
      <c r="ISF306" s="135"/>
      <c r="ISG306" s="135"/>
      <c r="ISH306" s="135"/>
      <c r="ISI306" s="135"/>
      <c r="ISJ306" s="173"/>
      <c r="ISK306" s="173"/>
      <c r="ISL306" s="173"/>
      <c r="ISM306" s="173"/>
      <c r="ISN306" s="173"/>
      <c r="ISO306" s="173"/>
      <c r="ISP306" s="173"/>
      <c r="ISQ306" s="173"/>
      <c r="ISR306" s="173"/>
      <c r="ISS306" s="173"/>
      <c r="IST306" s="125"/>
      <c r="ISU306" s="125"/>
      <c r="ISV306" s="134"/>
      <c r="ISW306" s="135"/>
      <c r="ISX306" s="135"/>
      <c r="ISY306" s="135"/>
      <c r="ISZ306" s="135"/>
      <c r="ITA306" s="173"/>
      <c r="ITB306" s="173"/>
      <c r="ITC306" s="173"/>
      <c r="ITD306" s="173"/>
      <c r="ITE306" s="173"/>
      <c r="ITF306" s="173"/>
      <c r="ITG306" s="173"/>
      <c r="ITH306" s="173"/>
      <c r="ITI306" s="173"/>
      <c r="ITJ306" s="173"/>
      <c r="ITK306" s="125"/>
      <c r="ITL306" s="125"/>
      <c r="ITM306" s="134"/>
      <c r="ITN306" s="135"/>
      <c r="ITO306" s="135"/>
      <c r="ITP306" s="135"/>
      <c r="ITQ306" s="135"/>
      <c r="ITR306" s="173"/>
      <c r="ITS306" s="173"/>
      <c r="ITT306" s="173"/>
      <c r="ITU306" s="173"/>
      <c r="ITV306" s="173"/>
      <c r="ITW306" s="173"/>
      <c r="ITX306" s="173"/>
      <c r="ITY306" s="173"/>
      <c r="ITZ306" s="173"/>
      <c r="IUA306" s="173"/>
      <c r="IUB306" s="125"/>
      <c r="IUC306" s="125"/>
      <c r="IUD306" s="134"/>
      <c r="IUE306" s="135"/>
      <c r="IUF306" s="135"/>
      <c r="IUG306" s="135"/>
      <c r="IUH306" s="135"/>
      <c r="IUI306" s="173"/>
      <c r="IUJ306" s="173"/>
      <c r="IUK306" s="173"/>
      <c r="IUL306" s="173"/>
      <c r="IUM306" s="173"/>
      <c r="IUN306" s="173"/>
      <c r="IUO306" s="173"/>
      <c r="IUP306" s="173"/>
      <c r="IUQ306" s="173"/>
      <c r="IUR306" s="173"/>
      <c r="IUS306" s="125"/>
      <c r="IUT306" s="125"/>
      <c r="IUU306" s="134"/>
      <c r="IUV306" s="135"/>
      <c r="IUW306" s="135"/>
      <c r="IUX306" s="135"/>
      <c r="IUY306" s="135"/>
      <c r="IUZ306" s="173"/>
      <c r="IVA306" s="173"/>
      <c r="IVB306" s="173"/>
      <c r="IVC306" s="173"/>
      <c r="IVD306" s="173"/>
      <c r="IVE306" s="173"/>
      <c r="IVF306" s="173"/>
      <c r="IVG306" s="173"/>
      <c r="IVH306" s="173"/>
      <c r="IVI306" s="173"/>
      <c r="IVJ306" s="125"/>
      <c r="IVK306" s="125"/>
      <c r="IVL306" s="134"/>
      <c r="IVM306" s="135"/>
      <c r="IVN306" s="135"/>
      <c r="IVO306" s="135"/>
      <c r="IVP306" s="135"/>
      <c r="IVQ306" s="173"/>
      <c r="IVR306" s="173"/>
      <c r="IVS306" s="173"/>
      <c r="IVT306" s="173"/>
      <c r="IVU306" s="173"/>
      <c r="IVV306" s="173"/>
      <c r="IVW306" s="173"/>
      <c r="IVX306" s="173"/>
      <c r="IVY306" s="173"/>
      <c r="IVZ306" s="173"/>
      <c r="IWA306" s="125"/>
      <c r="IWB306" s="125"/>
      <c r="IWC306" s="134"/>
      <c r="IWD306" s="135"/>
      <c r="IWE306" s="135"/>
      <c r="IWF306" s="135"/>
      <c r="IWG306" s="135"/>
      <c r="IWH306" s="173"/>
      <c r="IWI306" s="173"/>
      <c r="IWJ306" s="173"/>
      <c r="IWK306" s="173"/>
      <c r="IWL306" s="173"/>
      <c r="IWM306" s="173"/>
      <c r="IWN306" s="173"/>
      <c r="IWO306" s="173"/>
      <c r="IWP306" s="173"/>
      <c r="IWQ306" s="173"/>
      <c r="IWR306" s="125"/>
      <c r="IWS306" s="125"/>
      <c r="IWT306" s="134"/>
      <c r="IWU306" s="135"/>
      <c r="IWV306" s="135"/>
      <c r="IWW306" s="135"/>
      <c r="IWX306" s="135"/>
      <c r="IWY306" s="173"/>
      <c r="IWZ306" s="173"/>
      <c r="IXA306" s="173"/>
      <c r="IXB306" s="173"/>
      <c r="IXC306" s="173"/>
      <c r="IXD306" s="173"/>
      <c r="IXE306" s="173"/>
      <c r="IXF306" s="173"/>
      <c r="IXG306" s="173"/>
      <c r="IXH306" s="173"/>
      <c r="IXI306" s="125"/>
      <c r="IXJ306" s="125"/>
      <c r="IXK306" s="134"/>
      <c r="IXL306" s="135"/>
      <c r="IXM306" s="135"/>
      <c r="IXN306" s="135"/>
      <c r="IXO306" s="135"/>
      <c r="IXP306" s="173"/>
      <c r="IXQ306" s="173"/>
      <c r="IXR306" s="173"/>
      <c r="IXS306" s="173"/>
      <c r="IXT306" s="173"/>
      <c r="IXU306" s="173"/>
      <c r="IXV306" s="173"/>
      <c r="IXW306" s="173"/>
      <c r="IXX306" s="173"/>
      <c r="IXY306" s="173"/>
      <c r="IXZ306" s="125"/>
      <c r="IYA306" s="125"/>
      <c r="IYB306" s="134"/>
      <c r="IYC306" s="135"/>
      <c r="IYD306" s="135"/>
      <c r="IYE306" s="135"/>
      <c r="IYF306" s="135"/>
      <c r="IYG306" s="173"/>
      <c r="IYH306" s="173"/>
      <c r="IYI306" s="173"/>
      <c r="IYJ306" s="173"/>
      <c r="IYK306" s="173"/>
      <c r="IYL306" s="173"/>
      <c r="IYM306" s="173"/>
      <c r="IYN306" s="173"/>
      <c r="IYO306" s="173"/>
      <c r="IYP306" s="173"/>
      <c r="IYQ306" s="125"/>
      <c r="IYR306" s="125"/>
      <c r="IYS306" s="134"/>
      <c r="IYT306" s="135"/>
      <c r="IYU306" s="135"/>
      <c r="IYV306" s="135"/>
      <c r="IYW306" s="135"/>
      <c r="IYX306" s="173"/>
      <c r="IYY306" s="173"/>
      <c r="IYZ306" s="173"/>
      <c r="IZA306" s="173"/>
      <c r="IZB306" s="173"/>
      <c r="IZC306" s="173"/>
      <c r="IZD306" s="173"/>
      <c r="IZE306" s="173"/>
      <c r="IZF306" s="173"/>
      <c r="IZG306" s="173"/>
      <c r="IZH306" s="125"/>
      <c r="IZI306" s="125"/>
      <c r="IZJ306" s="134"/>
      <c r="IZK306" s="135"/>
      <c r="IZL306" s="135"/>
      <c r="IZM306" s="135"/>
      <c r="IZN306" s="135"/>
      <c r="IZO306" s="173"/>
      <c r="IZP306" s="173"/>
      <c r="IZQ306" s="173"/>
      <c r="IZR306" s="173"/>
      <c r="IZS306" s="173"/>
      <c r="IZT306" s="173"/>
      <c r="IZU306" s="173"/>
      <c r="IZV306" s="173"/>
      <c r="IZW306" s="173"/>
      <c r="IZX306" s="173"/>
      <c r="IZY306" s="125"/>
      <c r="IZZ306" s="125"/>
      <c r="JAA306" s="134"/>
      <c r="JAB306" s="135"/>
      <c r="JAC306" s="135"/>
      <c r="JAD306" s="135"/>
      <c r="JAE306" s="135"/>
      <c r="JAF306" s="173"/>
      <c r="JAG306" s="173"/>
      <c r="JAH306" s="173"/>
      <c r="JAI306" s="173"/>
      <c r="JAJ306" s="173"/>
      <c r="JAK306" s="173"/>
      <c r="JAL306" s="173"/>
      <c r="JAM306" s="173"/>
      <c r="JAN306" s="173"/>
      <c r="JAO306" s="173"/>
      <c r="JAP306" s="125"/>
      <c r="JAQ306" s="125"/>
      <c r="JAR306" s="134"/>
      <c r="JAS306" s="135"/>
      <c r="JAT306" s="135"/>
      <c r="JAU306" s="135"/>
      <c r="JAV306" s="135"/>
      <c r="JAW306" s="173"/>
      <c r="JAX306" s="173"/>
      <c r="JAY306" s="173"/>
      <c r="JAZ306" s="173"/>
      <c r="JBA306" s="173"/>
      <c r="JBB306" s="173"/>
      <c r="JBC306" s="173"/>
      <c r="JBD306" s="173"/>
      <c r="JBE306" s="173"/>
      <c r="JBF306" s="173"/>
      <c r="JBG306" s="125"/>
      <c r="JBH306" s="125"/>
      <c r="JBI306" s="134"/>
      <c r="JBJ306" s="135"/>
      <c r="JBK306" s="135"/>
      <c r="JBL306" s="135"/>
      <c r="JBM306" s="135"/>
      <c r="JBN306" s="173"/>
      <c r="JBO306" s="173"/>
      <c r="JBP306" s="173"/>
      <c r="JBQ306" s="173"/>
      <c r="JBR306" s="173"/>
      <c r="JBS306" s="173"/>
      <c r="JBT306" s="173"/>
      <c r="JBU306" s="173"/>
      <c r="JBV306" s="173"/>
      <c r="JBW306" s="173"/>
      <c r="JBX306" s="125"/>
      <c r="JBY306" s="125"/>
      <c r="JBZ306" s="134"/>
      <c r="JCA306" s="135"/>
      <c r="JCB306" s="135"/>
      <c r="JCC306" s="135"/>
      <c r="JCD306" s="135"/>
      <c r="JCE306" s="173"/>
      <c r="JCF306" s="173"/>
      <c r="JCG306" s="173"/>
      <c r="JCH306" s="173"/>
      <c r="JCI306" s="173"/>
      <c r="JCJ306" s="173"/>
      <c r="JCK306" s="173"/>
      <c r="JCL306" s="173"/>
      <c r="JCM306" s="173"/>
      <c r="JCN306" s="173"/>
      <c r="JCO306" s="125"/>
      <c r="JCP306" s="125"/>
      <c r="JCQ306" s="134"/>
      <c r="JCR306" s="135"/>
      <c r="JCS306" s="135"/>
      <c r="JCT306" s="135"/>
      <c r="JCU306" s="135"/>
      <c r="JCV306" s="173"/>
      <c r="JCW306" s="173"/>
      <c r="JCX306" s="173"/>
      <c r="JCY306" s="173"/>
      <c r="JCZ306" s="173"/>
      <c r="JDA306" s="173"/>
      <c r="JDB306" s="173"/>
      <c r="JDC306" s="173"/>
      <c r="JDD306" s="173"/>
      <c r="JDE306" s="173"/>
      <c r="JDF306" s="125"/>
      <c r="JDG306" s="125"/>
      <c r="JDH306" s="134"/>
      <c r="JDI306" s="135"/>
      <c r="JDJ306" s="135"/>
      <c r="JDK306" s="135"/>
      <c r="JDL306" s="135"/>
      <c r="JDM306" s="173"/>
      <c r="JDN306" s="173"/>
      <c r="JDO306" s="173"/>
      <c r="JDP306" s="173"/>
      <c r="JDQ306" s="173"/>
      <c r="JDR306" s="173"/>
      <c r="JDS306" s="173"/>
      <c r="JDT306" s="173"/>
      <c r="JDU306" s="173"/>
      <c r="JDV306" s="173"/>
      <c r="JDW306" s="125"/>
      <c r="JDX306" s="125"/>
      <c r="JDY306" s="134"/>
      <c r="JDZ306" s="135"/>
      <c r="JEA306" s="135"/>
      <c r="JEB306" s="135"/>
      <c r="JEC306" s="135"/>
      <c r="JED306" s="173"/>
      <c r="JEE306" s="173"/>
      <c r="JEF306" s="173"/>
      <c r="JEG306" s="173"/>
      <c r="JEH306" s="173"/>
      <c r="JEI306" s="173"/>
      <c r="JEJ306" s="173"/>
      <c r="JEK306" s="173"/>
      <c r="JEL306" s="173"/>
      <c r="JEM306" s="173"/>
      <c r="JEN306" s="125"/>
      <c r="JEO306" s="125"/>
      <c r="JEP306" s="134"/>
      <c r="JEQ306" s="135"/>
      <c r="JER306" s="135"/>
      <c r="JES306" s="135"/>
      <c r="JET306" s="135"/>
      <c r="JEU306" s="173"/>
      <c r="JEV306" s="173"/>
      <c r="JEW306" s="173"/>
      <c r="JEX306" s="173"/>
      <c r="JEY306" s="173"/>
      <c r="JEZ306" s="173"/>
      <c r="JFA306" s="173"/>
      <c r="JFB306" s="173"/>
      <c r="JFC306" s="173"/>
      <c r="JFD306" s="173"/>
      <c r="JFE306" s="125"/>
      <c r="JFF306" s="125"/>
      <c r="JFG306" s="134"/>
      <c r="JFH306" s="135"/>
      <c r="JFI306" s="135"/>
      <c r="JFJ306" s="135"/>
      <c r="JFK306" s="135"/>
      <c r="JFL306" s="173"/>
      <c r="JFM306" s="173"/>
      <c r="JFN306" s="173"/>
      <c r="JFO306" s="173"/>
      <c r="JFP306" s="173"/>
      <c r="JFQ306" s="173"/>
      <c r="JFR306" s="173"/>
      <c r="JFS306" s="173"/>
      <c r="JFT306" s="173"/>
      <c r="JFU306" s="173"/>
      <c r="JFV306" s="125"/>
      <c r="JFW306" s="125"/>
      <c r="JFX306" s="134"/>
      <c r="JFY306" s="135"/>
      <c r="JFZ306" s="135"/>
      <c r="JGA306" s="135"/>
      <c r="JGB306" s="135"/>
      <c r="JGC306" s="173"/>
      <c r="JGD306" s="173"/>
      <c r="JGE306" s="173"/>
      <c r="JGF306" s="173"/>
      <c r="JGG306" s="173"/>
      <c r="JGH306" s="173"/>
      <c r="JGI306" s="173"/>
      <c r="JGJ306" s="173"/>
      <c r="JGK306" s="173"/>
      <c r="JGL306" s="173"/>
      <c r="JGM306" s="125"/>
      <c r="JGN306" s="125"/>
      <c r="JGO306" s="134"/>
      <c r="JGP306" s="135"/>
      <c r="JGQ306" s="135"/>
      <c r="JGR306" s="135"/>
      <c r="JGS306" s="135"/>
      <c r="JGT306" s="173"/>
      <c r="JGU306" s="173"/>
      <c r="JGV306" s="173"/>
      <c r="JGW306" s="173"/>
      <c r="JGX306" s="173"/>
      <c r="JGY306" s="173"/>
      <c r="JGZ306" s="173"/>
      <c r="JHA306" s="173"/>
      <c r="JHB306" s="173"/>
      <c r="JHC306" s="173"/>
      <c r="JHD306" s="125"/>
      <c r="JHE306" s="125"/>
      <c r="JHF306" s="134"/>
      <c r="JHG306" s="135"/>
      <c r="JHH306" s="135"/>
      <c r="JHI306" s="135"/>
      <c r="JHJ306" s="135"/>
      <c r="JHK306" s="173"/>
      <c r="JHL306" s="173"/>
      <c r="JHM306" s="173"/>
      <c r="JHN306" s="173"/>
      <c r="JHO306" s="173"/>
      <c r="JHP306" s="173"/>
      <c r="JHQ306" s="173"/>
      <c r="JHR306" s="173"/>
      <c r="JHS306" s="173"/>
      <c r="JHT306" s="173"/>
      <c r="JHU306" s="125"/>
      <c r="JHV306" s="125"/>
      <c r="JHW306" s="134"/>
      <c r="JHX306" s="135"/>
      <c r="JHY306" s="135"/>
      <c r="JHZ306" s="135"/>
      <c r="JIA306" s="135"/>
      <c r="JIB306" s="173"/>
      <c r="JIC306" s="173"/>
      <c r="JID306" s="173"/>
      <c r="JIE306" s="173"/>
      <c r="JIF306" s="173"/>
      <c r="JIG306" s="173"/>
      <c r="JIH306" s="173"/>
      <c r="JII306" s="173"/>
      <c r="JIJ306" s="173"/>
      <c r="JIK306" s="173"/>
      <c r="JIL306" s="125"/>
      <c r="JIM306" s="125"/>
      <c r="JIN306" s="134"/>
      <c r="JIO306" s="135"/>
      <c r="JIP306" s="135"/>
      <c r="JIQ306" s="135"/>
      <c r="JIR306" s="135"/>
      <c r="JIS306" s="173"/>
      <c r="JIT306" s="173"/>
      <c r="JIU306" s="173"/>
      <c r="JIV306" s="173"/>
      <c r="JIW306" s="173"/>
      <c r="JIX306" s="173"/>
      <c r="JIY306" s="173"/>
      <c r="JIZ306" s="173"/>
      <c r="JJA306" s="173"/>
      <c r="JJB306" s="173"/>
      <c r="JJC306" s="125"/>
      <c r="JJD306" s="125"/>
      <c r="JJE306" s="134"/>
      <c r="JJF306" s="135"/>
      <c r="JJG306" s="135"/>
      <c r="JJH306" s="135"/>
      <c r="JJI306" s="135"/>
      <c r="JJJ306" s="173"/>
      <c r="JJK306" s="173"/>
      <c r="JJL306" s="173"/>
      <c r="JJM306" s="173"/>
      <c r="JJN306" s="173"/>
      <c r="JJO306" s="173"/>
      <c r="JJP306" s="173"/>
      <c r="JJQ306" s="173"/>
      <c r="JJR306" s="173"/>
      <c r="JJS306" s="173"/>
      <c r="JJT306" s="125"/>
      <c r="JJU306" s="125"/>
      <c r="JJV306" s="134"/>
      <c r="JJW306" s="135"/>
      <c r="JJX306" s="135"/>
      <c r="JJY306" s="135"/>
      <c r="JJZ306" s="135"/>
      <c r="JKA306" s="173"/>
      <c r="JKB306" s="173"/>
      <c r="JKC306" s="173"/>
      <c r="JKD306" s="173"/>
      <c r="JKE306" s="173"/>
      <c r="JKF306" s="173"/>
      <c r="JKG306" s="173"/>
      <c r="JKH306" s="173"/>
      <c r="JKI306" s="173"/>
      <c r="JKJ306" s="173"/>
      <c r="JKK306" s="125"/>
      <c r="JKL306" s="125"/>
      <c r="JKM306" s="134"/>
      <c r="JKN306" s="135"/>
      <c r="JKO306" s="135"/>
      <c r="JKP306" s="135"/>
      <c r="JKQ306" s="135"/>
      <c r="JKR306" s="173"/>
      <c r="JKS306" s="173"/>
      <c r="JKT306" s="173"/>
      <c r="JKU306" s="173"/>
      <c r="JKV306" s="173"/>
      <c r="JKW306" s="173"/>
      <c r="JKX306" s="173"/>
      <c r="JKY306" s="173"/>
      <c r="JKZ306" s="173"/>
      <c r="JLA306" s="173"/>
      <c r="JLB306" s="125"/>
      <c r="JLC306" s="125"/>
      <c r="JLD306" s="134"/>
      <c r="JLE306" s="135"/>
      <c r="JLF306" s="135"/>
      <c r="JLG306" s="135"/>
      <c r="JLH306" s="135"/>
      <c r="JLI306" s="173"/>
      <c r="JLJ306" s="173"/>
      <c r="JLK306" s="173"/>
      <c r="JLL306" s="173"/>
      <c r="JLM306" s="173"/>
      <c r="JLN306" s="173"/>
      <c r="JLO306" s="173"/>
      <c r="JLP306" s="173"/>
      <c r="JLQ306" s="173"/>
      <c r="JLR306" s="173"/>
      <c r="JLS306" s="125"/>
      <c r="JLT306" s="125"/>
      <c r="JLU306" s="134"/>
      <c r="JLV306" s="135"/>
      <c r="JLW306" s="135"/>
      <c r="JLX306" s="135"/>
      <c r="JLY306" s="135"/>
      <c r="JLZ306" s="173"/>
      <c r="JMA306" s="173"/>
      <c r="JMB306" s="173"/>
      <c r="JMC306" s="173"/>
      <c r="JMD306" s="173"/>
      <c r="JME306" s="173"/>
      <c r="JMF306" s="173"/>
      <c r="JMG306" s="173"/>
      <c r="JMH306" s="173"/>
      <c r="JMI306" s="173"/>
      <c r="JMJ306" s="125"/>
      <c r="JMK306" s="125"/>
      <c r="JML306" s="134"/>
      <c r="JMM306" s="135"/>
      <c r="JMN306" s="135"/>
      <c r="JMO306" s="135"/>
      <c r="JMP306" s="135"/>
      <c r="JMQ306" s="173"/>
      <c r="JMR306" s="173"/>
      <c r="JMS306" s="173"/>
      <c r="JMT306" s="173"/>
      <c r="JMU306" s="173"/>
      <c r="JMV306" s="173"/>
      <c r="JMW306" s="173"/>
      <c r="JMX306" s="173"/>
      <c r="JMY306" s="173"/>
      <c r="JMZ306" s="173"/>
      <c r="JNA306" s="125"/>
      <c r="JNB306" s="125"/>
      <c r="JNC306" s="134"/>
      <c r="JND306" s="135"/>
      <c r="JNE306" s="135"/>
      <c r="JNF306" s="135"/>
      <c r="JNG306" s="135"/>
      <c r="JNH306" s="173"/>
      <c r="JNI306" s="173"/>
      <c r="JNJ306" s="173"/>
      <c r="JNK306" s="173"/>
      <c r="JNL306" s="173"/>
      <c r="JNM306" s="173"/>
      <c r="JNN306" s="173"/>
      <c r="JNO306" s="173"/>
      <c r="JNP306" s="173"/>
      <c r="JNQ306" s="173"/>
      <c r="JNR306" s="125"/>
      <c r="JNS306" s="125"/>
      <c r="JNT306" s="134"/>
      <c r="JNU306" s="135"/>
      <c r="JNV306" s="135"/>
      <c r="JNW306" s="135"/>
      <c r="JNX306" s="135"/>
      <c r="JNY306" s="173"/>
      <c r="JNZ306" s="173"/>
      <c r="JOA306" s="173"/>
      <c r="JOB306" s="173"/>
      <c r="JOC306" s="173"/>
      <c r="JOD306" s="173"/>
      <c r="JOE306" s="173"/>
      <c r="JOF306" s="173"/>
      <c r="JOG306" s="173"/>
      <c r="JOH306" s="173"/>
      <c r="JOI306" s="125"/>
      <c r="JOJ306" s="125"/>
      <c r="JOK306" s="134"/>
      <c r="JOL306" s="135"/>
      <c r="JOM306" s="135"/>
      <c r="JON306" s="135"/>
      <c r="JOO306" s="135"/>
      <c r="JOP306" s="173"/>
      <c r="JOQ306" s="173"/>
      <c r="JOR306" s="173"/>
      <c r="JOS306" s="173"/>
      <c r="JOT306" s="173"/>
      <c r="JOU306" s="173"/>
      <c r="JOV306" s="173"/>
      <c r="JOW306" s="173"/>
      <c r="JOX306" s="173"/>
      <c r="JOY306" s="173"/>
      <c r="JOZ306" s="125"/>
      <c r="JPA306" s="125"/>
      <c r="JPB306" s="134"/>
      <c r="JPC306" s="135"/>
      <c r="JPD306" s="135"/>
      <c r="JPE306" s="135"/>
      <c r="JPF306" s="135"/>
      <c r="JPG306" s="173"/>
      <c r="JPH306" s="173"/>
      <c r="JPI306" s="173"/>
      <c r="JPJ306" s="173"/>
      <c r="JPK306" s="173"/>
      <c r="JPL306" s="173"/>
      <c r="JPM306" s="173"/>
      <c r="JPN306" s="173"/>
      <c r="JPO306" s="173"/>
      <c r="JPP306" s="173"/>
      <c r="JPQ306" s="125"/>
      <c r="JPR306" s="125"/>
      <c r="JPS306" s="134"/>
      <c r="JPT306" s="135"/>
      <c r="JPU306" s="135"/>
      <c r="JPV306" s="135"/>
      <c r="JPW306" s="135"/>
      <c r="JPX306" s="173"/>
      <c r="JPY306" s="173"/>
      <c r="JPZ306" s="173"/>
      <c r="JQA306" s="173"/>
      <c r="JQB306" s="173"/>
      <c r="JQC306" s="173"/>
      <c r="JQD306" s="173"/>
      <c r="JQE306" s="173"/>
      <c r="JQF306" s="173"/>
      <c r="JQG306" s="173"/>
      <c r="JQH306" s="125"/>
      <c r="JQI306" s="125"/>
      <c r="JQJ306" s="134"/>
      <c r="JQK306" s="135"/>
      <c r="JQL306" s="135"/>
      <c r="JQM306" s="135"/>
      <c r="JQN306" s="135"/>
      <c r="JQO306" s="173"/>
      <c r="JQP306" s="173"/>
      <c r="JQQ306" s="173"/>
      <c r="JQR306" s="173"/>
      <c r="JQS306" s="173"/>
      <c r="JQT306" s="173"/>
      <c r="JQU306" s="173"/>
      <c r="JQV306" s="173"/>
      <c r="JQW306" s="173"/>
      <c r="JQX306" s="173"/>
      <c r="JQY306" s="125"/>
      <c r="JQZ306" s="125"/>
      <c r="JRA306" s="134"/>
      <c r="JRB306" s="135"/>
      <c r="JRC306" s="135"/>
      <c r="JRD306" s="135"/>
      <c r="JRE306" s="135"/>
      <c r="JRF306" s="173"/>
      <c r="JRG306" s="173"/>
      <c r="JRH306" s="173"/>
      <c r="JRI306" s="173"/>
      <c r="JRJ306" s="173"/>
      <c r="JRK306" s="173"/>
      <c r="JRL306" s="173"/>
      <c r="JRM306" s="173"/>
      <c r="JRN306" s="173"/>
      <c r="JRO306" s="173"/>
      <c r="JRP306" s="125"/>
      <c r="JRQ306" s="125"/>
      <c r="JRR306" s="134"/>
      <c r="JRS306" s="135"/>
      <c r="JRT306" s="135"/>
      <c r="JRU306" s="135"/>
      <c r="JRV306" s="135"/>
      <c r="JRW306" s="173"/>
      <c r="JRX306" s="173"/>
      <c r="JRY306" s="173"/>
      <c r="JRZ306" s="173"/>
      <c r="JSA306" s="173"/>
      <c r="JSB306" s="173"/>
      <c r="JSC306" s="173"/>
      <c r="JSD306" s="173"/>
      <c r="JSE306" s="173"/>
      <c r="JSF306" s="173"/>
      <c r="JSG306" s="125"/>
      <c r="JSH306" s="125"/>
      <c r="JSI306" s="134"/>
      <c r="JSJ306" s="135"/>
      <c r="JSK306" s="135"/>
      <c r="JSL306" s="135"/>
      <c r="JSM306" s="135"/>
      <c r="JSN306" s="173"/>
      <c r="JSO306" s="173"/>
      <c r="JSP306" s="173"/>
      <c r="JSQ306" s="173"/>
      <c r="JSR306" s="173"/>
      <c r="JSS306" s="173"/>
      <c r="JST306" s="173"/>
      <c r="JSU306" s="173"/>
      <c r="JSV306" s="173"/>
      <c r="JSW306" s="173"/>
      <c r="JSX306" s="125"/>
      <c r="JSY306" s="125"/>
      <c r="JSZ306" s="134"/>
      <c r="JTA306" s="135"/>
      <c r="JTB306" s="135"/>
      <c r="JTC306" s="135"/>
      <c r="JTD306" s="135"/>
      <c r="JTE306" s="173"/>
      <c r="JTF306" s="173"/>
      <c r="JTG306" s="173"/>
      <c r="JTH306" s="173"/>
      <c r="JTI306" s="173"/>
      <c r="JTJ306" s="173"/>
      <c r="JTK306" s="173"/>
      <c r="JTL306" s="173"/>
      <c r="JTM306" s="173"/>
      <c r="JTN306" s="173"/>
      <c r="JTO306" s="125"/>
      <c r="JTP306" s="125"/>
      <c r="JTQ306" s="134"/>
      <c r="JTR306" s="135"/>
      <c r="JTS306" s="135"/>
      <c r="JTT306" s="135"/>
      <c r="JTU306" s="135"/>
      <c r="JTV306" s="173"/>
      <c r="JTW306" s="173"/>
      <c r="JTX306" s="173"/>
      <c r="JTY306" s="173"/>
      <c r="JTZ306" s="173"/>
      <c r="JUA306" s="173"/>
      <c r="JUB306" s="173"/>
      <c r="JUC306" s="173"/>
      <c r="JUD306" s="173"/>
      <c r="JUE306" s="173"/>
      <c r="JUF306" s="125"/>
      <c r="JUG306" s="125"/>
      <c r="JUH306" s="134"/>
      <c r="JUI306" s="135"/>
      <c r="JUJ306" s="135"/>
      <c r="JUK306" s="135"/>
      <c r="JUL306" s="135"/>
      <c r="JUM306" s="173"/>
      <c r="JUN306" s="173"/>
      <c r="JUO306" s="173"/>
      <c r="JUP306" s="173"/>
      <c r="JUQ306" s="173"/>
      <c r="JUR306" s="173"/>
      <c r="JUS306" s="173"/>
      <c r="JUT306" s="173"/>
      <c r="JUU306" s="173"/>
      <c r="JUV306" s="173"/>
      <c r="JUW306" s="125"/>
      <c r="JUX306" s="125"/>
      <c r="JUY306" s="134"/>
      <c r="JUZ306" s="135"/>
      <c r="JVA306" s="135"/>
      <c r="JVB306" s="135"/>
      <c r="JVC306" s="135"/>
      <c r="JVD306" s="173"/>
      <c r="JVE306" s="173"/>
      <c r="JVF306" s="173"/>
      <c r="JVG306" s="173"/>
      <c r="JVH306" s="173"/>
      <c r="JVI306" s="173"/>
      <c r="JVJ306" s="173"/>
      <c r="JVK306" s="173"/>
      <c r="JVL306" s="173"/>
      <c r="JVM306" s="173"/>
      <c r="JVN306" s="125"/>
      <c r="JVO306" s="125"/>
      <c r="JVP306" s="134"/>
      <c r="JVQ306" s="135"/>
      <c r="JVR306" s="135"/>
      <c r="JVS306" s="135"/>
      <c r="JVT306" s="135"/>
      <c r="JVU306" s="173"/>
      <c r="JVV306" s="173"/>
      <c r="JVW306" s="173"/>
      <c r="JVX306" s="173"/>
      <c r="JVY306" s="173"/>
      <c r="JVZ306" s="173"/>
      <c r="JWA306" s="173"/>
      <c r="JWB306" s="173"/>
      <c r="JWC306" s="173"/>
      <c r="JWD306" s="173"/>
      <c r="JWE306" s="125"/>
      <c r="JWF306" s="125"/>
      <c r="JWG306" s="134"/>
      <c r="JWH306" s="135"/>
      <c r="JWI306" s="135"/>
      <c r="JWJ306" s="135"/>
      <c r="JWK306" s="135"/>
      <c r="JWL306" s="173"/>
      <c r="JWM306" s="173"/>
      <c r="JWN306" s="173"/>
      <c r="JWO306" s="173"/>
      <c r="JWP306" s="173"/>
      <c r="JWQ306" s="173"/>
      <c r="JWR306" s="173"/>
      <c r="JWS306" s="173"/>
      <c r="JWT306" s="173"/>
      <c r="JWU306" s="173"/>
      <c r="JWV306" s="125"/>
      <c r="JWW306" s="125"/>
      <c r="JWX306" s="134"/>
      <c r="JWY306" s="135"/>
      <c r="JWZ306" s="135"/>
      <c r="JXA306" s="135"/>
      <c r="JXB306" s="135"/>
      <c r="JXC306" s="173"/>
      <c r="JXD306" s="173"/>
      <c r="JXE306" s="173"/>
      <c r="JXF306" s="173"/>
      <c r="JXG306" s="173"/>
      <c r="JXH306" s="173"/>
      <c r="JXI306" s="173"/>
      <c r="JXJ306" s="173"/>
      <c r="JXK306" s="173"/>
      <c r="JXL306" s="173"/>
      <c r="JXM306" s="125"/>
      <c r="JXN306" s="125"/>
      <c r="JXO306" s="134"/>
      <c r="JXP306" s="135"/>
      <c r="JXQ306" s="135"/>
      <c r="JXR306" s="135"/>
      <c r="JXS306" s="135"/>
      <c r="JXT306" s="173"/>
      <c r="JXU306" s="173"/>
      <c r="JXV306" s="173"/>
      <c r="JXW306" s="173"/>
      <c r="JXX306" s="173"/>
      <c r="JXY306" s="173"/>
      <c r="JXZ306" s="173"/>
      <c r="JYA306" s="173"/>
      <c r="JYB306" s="173"/>
      <c r="JYC306" s="173"/>
      <c r="JYD306" s="125"/>
      <c r="JYE306" s="125"/>
      <c r="JYF306" s="134"/>
      <c r="JYG306" s="135"/>
      <c r="JYH306" s="135"/>
      <c r="JYI306" s="135"/>
      <c r="JYJ306" s="135"/>
      <c r="JYK306" s="173"/>
      <c r="JYL306" s="173"/>
      <c r="JYM306" s="173"/>
      <c r="JYN306" s="173"/>
      <c r="JYO306" s="173"/>
      <c r="JYP306" s="173"/>
      <c r="JYQ306" s="173"/>
      <c r="JYR306" s="173"/>
      <c r="JYS306" s="173"/>
      <c r="JYT306" s="173"/>
      <c r="JYU306" s="125"/>
      <c r="JYV306" s="125"/>
      <c r="JYW306" s="134"/>
      <c r="JYX306" s="135"/>
      <c r="JYY306" s="135"/>
      <c r="JYZ306" s="135"/>
      <c r="JZA306" s="135"/>
      <c r="JZB306" s="173"/>
      <c r="JZC306" s="173"/>
      <c r="JZD306" s="173"/>
      <c r="JZE306" s="173"/>
      <c r="JZF306" s="173"/>
      <c r="JZG306" s="173"/>
      <c r="JZH306" s="173"/>
      <c r="JZI306" s="173"/>
      <c r="JZJ306" s="173"/>
      <c r="JZK306" s="173"/>
      <c r="JZL306" s="125"/>
      <c r="JZM306" s="125"/>
      <c r="JZN306" s="134"/>
      <c r="JZO306" s="135"/>
      <c r="JZP306" s="135"/>
      <c r="JZQ306" s="135"/>
      <c r="JZR306" s="135"/>
      <c r="JZS306" s="173"/>
      <c r="JZT306" s="173"/>
      <c r="JZU306" s="173"/>
      <c r="JZV306" s="173"/>
      <c r="JZW306" s="173"/>
      <c r="JZX306" s="173"/>
      <c r="JZY306" s="173"/>
      <c r="JZZ306" s="173"/>
      <c r="KAA306" s="173"/>
      <c r="KAB306" s="173"/>
      <c r="KAC306" s="125"/>
      <c r="KAD306" s="125"/>
      <c r="KAE306" s="134"/>
      <c r="KAF306" s="135"/>
      <c r="KAG306" s="135"/>
      <c r="KAH306" s="135"/>
      <c r="KAI306" s="135"/>
      <c r="KAJ306" s="173"/>
      <c r="KAK306" s="173"/>
      <c r="KAL306" s="173"/>
      <c r="KAM306" s="173"/>
      <c r="KAN306" s="173"/>
      <c r="KAO306" s="173"/>
      <c r="KAP306" s="173"/>
      <c r="KAQ306" s="173"/>
      <c r="KAR306" s="173"/>
      <c r="KAS306" s="173"/>
      <c r="KAT306" s="125"/>
      <c r="KAU306" s="125"/>
      <c r="KAV306" s="134"/>
      <c r="KAW306" s="135"/>
      <c r="KAX306" s="135"/>
      <c r="KAY306" s="135"/>
      <c r="KAZ306" s="135"/>
      <c r="KBA306" s="173"/>
      <c r="KBB306" s="173"/>
      <c r="KBC306" s="173"/>
      <c r="KBD306" s="173"/>
      <c r="KBE306" s="173"/>
      <c r="KBF306" s="173"/>
      <c r="KBG306" s="173"/>
      <c r="KBH306" s="173"/>
      <c r="KBI306" s="173"/>
      <c r="KBJ306" s="173"/>
      <c r="KBK306" s="125"/>
      <c r="KBL306" s="125"/>
      <c r="KBM306" s="134"/>
      <c r="KBN306" s="135"/>
      <c r="KBO306" s="135"/>
      <c r="KBP306" s="135"/>
      <c r="KBQ306" s="135"/>
      <c r="KBR306" s="173"/>
      <c r="KBS306" s="173"/>
      <c r="KBT306" s="173"/>
      <c r="KBU306" s="173"/>
      <c r="KBV306" s="173"/>
      <c r="KBW306" s="173"/>
      <c r="KBX306" s="173"/>
      <c r="KBY306" s="173"/>
      <c r="KBZ306" s="173"/>
      <c r="KCA306" s="173"/>
      <c r="KCB306" s="125"/>
      <c r="KCC306" s="125"/>
      <c r="KCD306" s="134"/>
      <c r="KCE306" s="135"/>
      <c r="KCF306" s="135"/>
      <c r="KCG306" s="135"/>
      <c r="KCH306" s="135"/>
      <c r="KCI306" s="173"/>
      <c r="KCJ306" s="173"/>
      <c r="KCK306" s="173"/>
      <c r="KCL306" s="173"/>
      <c r="KCM306" s="173"/>
      <c r="KCN306" s="173"/>
      <c r="KCO306" s="173"/>
      <c r="KCP306" s="173"/>
      <c r="KCQ306" s="173"/>
      <c r="KCR306" s="173"/>
      <c r="KCS306" s="125"/>
      <c r="KCT306" s="125"/>
      <c r="KCU306" s="134"/>
      <c r="KCV306" s="135"/>
      <c r="KCW306" s="135"/>
      <c r="KCX306" s="135"/>
      <c r="KCY306" s="135"/>
      <c r="KCZ306" s="173"/>
      <c r="KDA306" s="173"/>
      <c r="KDB306" s="173"/>
      <c r="KDC306" s="173"/>
      <c r="KDD306" s="173"/>
      <c r="KDE306" s="173"/>
      <c r="KDF306" s="173"/>
      <c r="KDG306" s="173"/>
      <c r="KDH306" s="173"/>
      <c r="KDI306" s="173"/>
      <c r="KDJ306" s="125"/>
      <c r="KDK306" s="125"/>
      <c r="KDL306" s="134"/>
      <c r="KDM306" s="135"/>
      <c r="KDN306" s="135"/>
      <c r="KDO306" s="135"/>
      <c r="KDP306" s="135"/>
      <c r="KDQ306" s="173"/>
      <c r="KDR306" s="173"/>
      <c r="KDS306" s="173"/>
      <c r="KDT306" s="173"/>
      <c r="KDU306" s="173"/>
      <c r="KDV306" s="173"/>
      <c r="KDW306" s="173"/>
      <c r="KDX306" s="173"/>
      <c r="KDY306" s="173"/>
      <c r="KDZ306" s="173"/>
      <c r="KEA306" s="125"/>
      <c r="KEB306" s="125"/>
      <c r="KEC306" s="134"/>
      <c r="KED306" s="135"/>
      <c r="KEE306" s="135"/>
      <c r="KEF306" s="135"/>
      <c r="KEG306" s="135"/>
      <c r="KEH306" s="173"/>
      <c r="KEI306" s="173"/>
      <c r="KEJ306" s="173"/>
      <c r="KEK306" s="173"/>
      <c r="KEL306" s="173"/>
      <c r="KEM306" s="173"/>
      <c r="KEN306" s="173"/>
      <c r="KEO306" s="173"/>
      <c r="KEP306" s="173"/>
      <c r="KEQ306" s="173"/>
      <c r="KER306" s="125"/>
      <c r="KES306" s="125"/>
      <c r="KET306" s="134"/>
      <c r="KEU306" s="135"/>
      <c r="KEV306" s="135"/>
      <c r="KEW306" s="135"/>
      <c r="KEX306" s="135"/>
      <c r="KEY306" s="173"/>
      <c r="KEZ306" s="173"/>
      <c r="KFA306" s="173"/>
      <c r="KFB306" s="173"/>
      <c r="KFC306" s="173"/>
      <c r="KFD306" s="173"/>
      <c r="KFE306" s="173"/>
      <c r="KFF306" s="173"/>
      <c r="KFG306" s="173"/>
      <c r="KFH306" s="173"/>
      <c r="KFI306" s="125"/>
      <c r="KFJ306" s="125"/>
      <c r="KFK306" s="134"/>
      <c r="KFL306" s="135"/>
      <c r="KFM306" s="135"/>
      <c r="KFN306" s="135"/>
      <c r="KFO306" s="135"/>
      <c r="KFP306" s="173"/>
      <c r="KFQ306" s="173"/>
      <c r="KFR306" s="173"/>
      <c r="KFS306" s="173"/>
      <c r="KFT306" s="173"/>
      <c r="KFU306" s="173"/>
      <c r="KFV306" s="173"/>
      <c r="KFW306" s="173"/>
      <c r="KFX306" s="173"/>
      <c r="KFY306" s="173"/>
      <c r="KFZ306" s="125"/>
      <c r="KGA306" s="125"/>
      <c r="KGB306" s="134"/>
      <c r="KGC306" s="135"/>
      <c r="KGD306" s="135"/>
      <c r="KGE306" s="135"/>
      <c r="KGF306" s="135"/>
      <c r="KGG306" s="173"/>
      <c r="KGH306" s="173"/>
      <c r="KGI306" s="173"/>
      <c r="KGJ306" s="173"/>
      <c r="KGK306" s="173"/>
      <c r="KGL306" s="173"/>
      <c r="KGM306" s="173"/>
      <c r="KGN306" s="173"/>
      <c r="KGO306" s="173"/>
      <c r="KGP306" s="173"/>
      <c r="KGQ306" s="125"/>
      <c r="KGR306" s="125"/>
      <c r="KGS306" s="134"/>
      <c r="KGT306" s="135"/>
      <c r="KGU306" s="135"/>
      <c r="KGV306" s="135"/>
      <c r="KGW306" s="135"/>
      <c r="KGX306" s="173"/>
      <c r="KGY306" s="173"/>
      <c r="KGZ306" s="173"/>
      <c r="KHA306" s="173"/>
      <c r="KHB306" s="173"/>
      <c r="KHC306" s="173"/>
      <c r="KHD306" s="173"/>
      <c r="KHE306" s="173"/>
      <c r="KHF306" s="173"/>
      <c r="KHG306" s="173"/>
      <c r="KHH306" s="125"/>
      <c r="KHI306" s="125"/>
      <c r="KHJ306" s="134"/>
      <c r="KHK306" s="135"/>
      <c r="KHL306" s="135"/>
      <c r="KHM306" s="135"/>
      <c r="KHN306" s="135"/>
      <c r="KHO306" s="173"/>
      <c r="KHP306" s="173"/>
      <c r="KHQ306" s="173"/>
      <c r="KHR306" s="173"/>
      <c r="KHS306" s="173"/>
      <c r="KHT306" s="173"/>
      <c r="KHU306" s="173"/>
      <c r="KHV306" s="173"/>
      <c r="KHW306" s="173"/>
      <c r="KHX306" s="173"/>
      <c r="KHY306" s="125"/>
      <c r="KHZ306" s="125"/>
      <c r="KIA306" s="134"/>
      <c r="KIB306" s="135"/>
      <c r="KIC306" s="135"/>
      <c r="KID306" s="135"/>
      <c r="KIE306" s="135"/>
      <c r="KIF306" s="173"/>
      <c r="KIG306" s="173"/>
      <c r="KIH306" s="173"/>
      <c r="KII306" s="173"/>
      <c r="KIJ306" s="173"/>
      <c r="KIK306" s="173"/>
      <c r="KIL306" s="173"/>
      <c r="KIM306" s="173"/>
      <c r="KIN306" s="173"/>
      <c r="KIO306" s="173"/>
      <c r="KIP306" s="125"/>
      <c r="KIQ306" s="125"/>
      <c r="KIR306" s="134"/>
      <c r="KIS306" s="135"/>
      <c r="KIT306" s="135"/>
      <c r="KIU306" s="135"/>
      <c r="KIV306" s="135"/>
      <c r="KIW306" s="173"/>
      <c r="KIX306" s="173"/>
      <c r="KIY306" s="173"/>
      <c r="KIZ306" s="173"/>
      <c r="KJA306" s="173"/>
      <c r="KJB306" s="173"/>
      <c r="KJC306" s="173"/>
      <c r="KJD306" s="173"/>
      <c r="KJE306" s="173"/>
      <c r="KJF306" s="173"/>
      <c r="KJG306" s="125"/>
      <c r="KJH306" s="125"/>
      <c r="KJI306" s="134"/>
      <c r="KJJ306" s="135"/>
      <c r="KJK306" s="135"/>
      <c r="KJL306" s="135"/>
      <c r="KJM306" s="135"/>
      <c r="KJN306" s="173"/>
      <c r="KJO306" s="173"/>
      <c r="KJP306" s="173"/>
      <c r="KJQ306" s="173"/>
      <c r="KJR306" s="173"/>
      <c r="KJS306" s="173"/>
      <c r="KJT306" s="173"/>
      <c r="KJU306" s="173"/>
      <c r="KJV306" s="173"/>
      <c r="KJW306" s="173"/>
      <c r="KJX306" s="125"/>
      <c r="KJY306" s="125"/>
      <c r="KJZ306" s="134"/>
      <c r="KKA306" s="135"/>
      <c r="KKB306" s="135"/>
      <c r="KKC306" s="135"/>
      <c r="KKD306" s="135"/>
      <c r="KKE306" s="173"/>
      <c r="KKF306" s="173"/>
      <c r="KKG306" s="173"/>
      <c r="KKH306" s="173"/>
      <c r="KKI306" s="173"/>
      <c r="KKJ306" s="173"/>
      <c r="KKK306" s="173"/>
      <c r="KKL306" s="173"/>
      <c r="KKM306" s="173"/>
      <c r="KKN306" s="173"/>
      <c r="KKO306" s="125"/>
      <c r="KKP306" s="125"/>
      <c r="KKQ306" s="134"/>
      <c r="KKR306" s="135"/>
      <c r="KKS306" s="135"/>
      <c r="KKT306" s="135"/>
      <c r="KKU306" s="135"/>
      <c r="KKV306" s="173"/>
      <c r="KKW306" s="173"/>
      <c r="KKX306" s="173"/>
      <c r="KKY306" s="173"/>
      <c r="KKZ306" s="173"/>
      <c r="KLA306" s="173"/>
      <c r="KLB306" s="173"/>
      <c r="KLC306" s="173"/>
      <c r="KLD306" s="173"/>
      <c r="KLE306" s="173"/>
      <c r="KLF306" s="125"/>
      <c r="KLG306" s="125"/>
      <c r="KLH306" s="134"/>
      <c r="KLI306" s="135"/>
      <c r="KLJ306" s="135"/>
      <c r="KLK306" s="135"/>
      <c r="KLL306" s="135"/>
      <c r="KLM306" s="173"/>
      <c r="KLN306" s="173"/>
      <c r="KLO306" s="173"/>
      <c r="KLP306" s="173"/>
      <c r="KLQ306" s="173"/>
      <c r="KLR306" s="173"/>
      <c r="KLS306" s="173"/>
      <c r="KLT306" s="173"/>
      <c r="KLU306" s="173"/>
      <c r="KLV306" s="173"/>
      <c r="KLW306" s="125"/>
      <c r="KLX306" s="125"/>
      <c r="KLY306" s="134"/>
      <c r="KLZ306" s="135"/>
      <c r="KMA306" s="135"/>
      <c r="KMB306" s="135"/>
      <c r="KMC306" s="135"/>
      <c r="KMD306" s="173"/>
      <c r="KME306" s="173"/>
      <c r="KMF306" s="173"/>
      <c r="KMG306" s="173"/>
      <c r="KMH306" s="173"/>
      <c r="KMI306" s="173"/>
      <c r="KMJ306" s="173"/>
      <c r="KMK306" s="173"/>
      <c r="KML306" s="173"/>
      <c r="KMM306" s="173"/>
      <c r="KMN306" s="125"/>
      <c r="KMO306" s="125"/>
      <c r="KMP306" s="134"/>
      <c r="KMQ306" s="135"/>
      <c r="KMR306" s="135"/>
      <c r="KMS306" s="135"/>
      <c r="KMT306" s="135"/>
      <c r="KMU306" s="173"/>
      <c r="KMV306" s="173"/>
      <c r="KMW306" s="173"/>
      <c r="KMX306" s="173"/>
      <c r="KMY306" s="173"/>
      <c r="KMZ306" s="173"/>
      <c r="KNA306" s="173"/>
      <c r="KNB306" s="173"/>
      <c r="KNC306" s="173"/>
      <c r="KND306" s="173"/>
      <c r="KNE306" s="125"/>
      <c r="KNF306" s="125"/>
      <c r="KNG306" s="134"/>
      <c r="KNH306" s="135"/>
      <c r="KNI306" s="135"/>
      <c r="KNJ306" s="135"/>
      <c r="KNK306" s="135"/>
      <c r="KNL306" s="173"/>
      <c r="KNM306" s="173"/>
      <c r="KNN306" s="173"/>
      <c r="KNO306" s="173"/>
      <c r="KNP306" s="173"/>
      <c r="KNQ306" s="173"/>
      <c r="KNR306" s="173"/>
      <c r="KNS306" s="173"/>
      <c r="KNT306" s="173"/>
      <c r="KNU306" s="173"/>
      <c r="KNV306" s="125"/>
      <c r="KNW306" s="125"/>
      <c r="KNX306" s="134"/>
      <c r="KNY306" s="135"/>
      <c r="KNZ306" s="135"/>
      <c r="KOA306" s="135"/>
      <c r="KOB306" s="135"/>
      <c r="KOC306" s="173"/>
      <c r="KOD306" s="173"/>
      <c r="KOE306" s="173"/>
      <c r="KOF306" s="173"/>
      <c r="KOG306" s="173"/>
      <c r="KOH306" s="173"/>
      <c r="KOI306" s="173"/>
      <c r="KOJ306" s="173"/>
      <c r="KOK306" s="173"/>
      <c r="KOL306" s="173"/>
      <c r="KOM306" s="125"/>
      <c r="KON306" s="125"/>
      <c r="KOO306" s="134"/>
      <c r="KOP306" s="135"/>
      <c r="KOQ306" s="135"/>
      <c r="KOR306" s="135"/>
      <c r="KOS306" s="135"/>
      <c r="KOT306" s="173"/>
      <c r="KOU306" s="173"/>
      <c r="KOV306" s="173"/>
      <c r="KOW306" s="173"/>
      <c r="KOX306" s="173"/>
      <c r="KOY306" s="173"/>
      <c r="KOZ306" s="173"/>
      <c r="KPA306" s="173"/>
      <c r="KPB306" s="173"/>
      <c r="KPC306" s="173"/>
      <c r="KPD306" s="125"/>
      <c r="KPE306" s="125"/>
      <c r="KPF306" s="134"/>
      <c r="KPG306" s="135"/>
      <c r="KPH306" s="135"/>
      <c r="KPI306" s="135"/>
      <c r="KPJ306" s="135"/>
      <c r="KPK306" s="173"/>
      <c r="KPL306" s="173"/>
      <c r="KPM306" s="173"/>
      <c r="KPN306" s="173"/>
      <c r="KPO306" s="173"/>
      <c r="KPP306" s="173"/>
      <c r="KPQ306" s="173"/>
      <c r="KPR306" s="173"/>
      <c r="KPS306" s="173"/>
      <c r="KPT306" s="173"/>
      <c r="KPU306" s="125"/>
      <c r="KPV306" s="125"/>
      <c r="KPW306" s="134"/>
      <c r="KPX306" s="135"/>
      <c r="KPY306" s="135"/>
      <c r="KPZ306" s="135"/>
      <c r="KQA306" s="135"/>
      <c r="KQB306" s="173"/>
      <c r="KQC306" s="173"/>
      <c r="KQD306" s="173"/>
      <c r="KQE306" s="173"/>
      <c r="KQF306" s="173"/>
      <c r="KQG306" s="173"/>
      <c r="KQH306" s="173"/>
      <c r="KQI306" s="173"/>
      <c r="KQJ306" s="173"/>
      <c r="KQK306" s="173"/>
      <c r="KQL306" s="125"/>
      <c r="KQM306" s="125"/>
      <c r="KQN306" s="134"/>
      <c r="KQO306" s="135"/>
      <c r="KQP306" s="135"/>
      <c r="KQQ306" s="135"/>
      <c r="KQR306" s="135"/>
      <c r="KQS306" s="173"/>
      <c r="KQT306" s="173"/>
      <c r="KQU306" s="173"/>
      <c r="KQV306" s="173"/>
      <c r="KQW306" s="173"/>
      <c r="KQX306" s="173"/>
      <c r="KQY306" s="173"/>
      <c r="KQZ306" s="173"/>
      <c r="KRA306" s="173"/>
      <c r="KRB306" s="173"/>
      <c r="KRC306" s="125"/>
      <c r="KRD306" s="125"/>
      <c r="KRE306" s="134"/>
      <c r="KRF306" s="135"/>
      <c r="KRG306" s="135"/>
      <c r="KRH306" s="135"/>
      <c r="KRI306" s="135"/>
      <c r="KRJ306" s="173"/>
      <c r="KRK306" s="173"/>
      <c r="KRL306" s="173"/>
      <c r="KRM306" s="173"/>
      <c r="KRN306" s="173"/>
      <c r="KRO306" s="173"/>
      <c r="KRP306" s="173"/>
      <c r="KRQ306" s="173"/>
      <c r="KRR306" s="173"/>
      <c r="KRS306" s="173"/>
      <c r="KRT306" s="125"/>
      <c r="KRU306" s="125"/>
      <c r="KRV306" s="134"/>
      <c r="KRW306" s="135"/>
      <c r="KRX306" s="135"/>
      <c r="KRY306" s="135"/>
      <c r="KRZ306" s="135"/>
      <c r="KSA306" s="173"/>
      <c r="KSB306" s="173"/>
      <c r="KSC306" s="173"/>
      <c r="KSD306" s="173"/>
      <c r="KSE306" s="173"/>
      <c r="KSF306" s="173"/>
      <c r="KSG306" s="173"/>
      <c r="KSH306" s="173"/>
      <c r="KSI306" s="173"/>
      <c r="KSJ306" s="173"/>
      <c r="KSK306" s="125"/>
      <c r="KSL306" s="125"/>
      <c r="KSM306" s="134"/>
      <c r="KSN306" s="135"/>
      <c r="KSO306" s="135"/>
      <c r="KSP306" s="135"/>
      <c r="KSQ306" s="135"/>
      <c r="KSR306" s="173"/>
      <c r="KSS306" s="173"/>
      <c r="KST306" s="173"/>
      <c r="KSU306" s="173"/>
      <c r="KSV306" s="173"/>
      <c r="KSW306" s="173"/>
      <c r="KSX306" s="173"/>
      <c r="KSY306" s="173"/>
      <c r="KSZ306" s="173"/>
      <c r="KTA306" s="173"/>
      <c r="KTB306" s="125"/>
      <c r="KTC306" s="125"/>
      <c r="KTD306" s="134"/>
      <c r="KTE306" s="135"/>
      <c r="KTF306" s="135"/>
      <c r="KTG306" s="135"/>
      <c r="KTH306" s="135"/>
      <c r="KTI306" s="173"/>
      <c r="KTJ306" s="173"/>
      <c r="KTK306" s="173"/>
      <c r="KTL306" s="173"/>
      <c r="KTM306" s="173"/>
      <c r="KTN306" s="173"/>
      <c r="KTO306" s="173"/>
      <c r="KTP306" s="173"/>
      <c r="KTQ306" s="173"/>
      <c r="KTR306" s="173"/>
      <c r="KTS306" s="125"/>
      <c r="KTT306" s="125"/>
      <c r="KTU306" s="134"/>
      <c r="KTV306" s="135"/>
      <c r="KTW306" s="135"/>
      <c r="KTX306" s="135"/>
      <c r="KTY306" s="135"/>
      <c r="KTZ306" s="173"/>
      <c r="KUA306" s="173"/>
      <c r="KUB306" s="173"/>
      <c r="KUC306" s="173"/>
      <c r="KUD306" s="173"/>
      <c r="KUE306" s="173"/>
      <c r="KUF306" s="173"/>
      <c r="KUG306" s="173"/>
      <c r="KUH306" s="173"/>
      <c r="KUI306" s="173"/>
      <c r="KUJ306" s="125"/>
      <c r="KUK306" s="125"/>
      <c r="KUL306" s="134"/>
      <c r="KUM306" s="135"/>
      <c r="KUN306" s="135"/>
      <c r="KUO306" s="135"/>
      <c r="KUP306" s="135"/>
      <c r="KUQ306" s="173"/>
      <c r="KUR306" s="173"/>
      <c r="KUS306" s="173"/>
      <c r="KUT306" s="173"/>
      <c r="KUU306" s="173"/>
      <c r="KUV306" s="173"/>
      <c r="KUW306" s="173"/>
      <c r="KUX306" s="173"/>
      <c r="KUY306" s="173"/>
      <c r="KUZ306" s="173"/>
      <c r="KVA306" s="125"/>
      <c r="KVB306" s="125"/>
      <c r="KVC306" s="134"/>
      <c r="KVD306" s="135"/>
      <c r="KVE306" s="135"/>
      <c r="KVF306" s="135"/>
      <c r="KVG306" s="135"/>
      <c r="KVH306" s="173"/>
      <c r="KVI306" s="173"/>
      <c r="KVJ306" s="173"/>
      <c r="KVK306" s="173"/>
      <c r="KVL306" s="173"/>
      <c r="KVM306" s="173"/>
      <c r="KVN306" s="173"/>
      <c r="KVO306" s="173"/>
      <c r="KVP306" s="173"/>
      <c r="KVQ306" s="173"/>
      <c r="KVR306" s="125"/>
      <c r="KVS306" s="125"/>
      <c r="KVT306" s="134"/>
      <c r="KVU306" s="135"/>
      <c r="KVV306" s="135"/>
      <c r="KVW306" s="135"/>
      <c r="KVX306" s="135"/>
      <c r="KVY306" s="173"/>
      <c r="KVZ306" s="173"/>
      <c r="KWA306" s="173"/>
      <c r="KWB306" s="173"/>
      <c r="KWC306" s="173"/>
      <c r="KWD306" s="173"/>
      <c r="KWE306" s="173"/>
      <c r="KWF306" s="173"/>
      <c r="KWG306" s="173"/>
      <c r="KWH306" s="173"/>
      <c r="KWI306" s="125"/>
      <c r="KWJ306" s="125"/>
      <c r="KWK306" s="134"/>
      <c r="KWL306" s="135"/>
      <c r="KWM306" s="135"/>
      <c r="KWN306" s="135"/>
      <c r="KWO306" s="135"/>
      <c r="KWP306" s="173"/>
      <c r="KWQ306" s="173"/>
      <c r="KWR306" s="173"/>
      <c r="KWS306" s="173"/>
      <c r="KWT306" s="173"/>
      <c r="KWU306" s="173"/>
      <c r="KWV306" s="173"/>
      <c r="KWW306" s="173"/>
      <c r="KWX306" s="173"/>
      <c r="KWY306" s="173"/>
      <c r="KWZ306" s="125"/>
      <c r="KXA306" s="125"/>
      <c r="KXB306" s="134"/>
      <c r="KXC306" s="135"/>
      <c r="KXD306" s="135"/>
      <c r="KXE306" s="135"/>
      <c r="KXF306" s="135"/>
      <c r="KXG306" s="173"/>
      <c r="KXH306" s="173"/>
      <c r="KXI306" s="173"/>
      <c r="KXJ306" s="173"/>
      <c r="KXK306" s="173"/>
      <c r="KXL306" s="173"/>
      <c r="KXM306" s="173"/>
      <c r="KXN306" s="173"/>
      <c r="KXO306" s="173"/>
      <c r="KXP306" s="173"/>
      <c r="KXQ306" s="125"/>
      <c r="KXR306" s="125"/>
      <c r="KXS306" s="134"/>
      <c r="KXT306" s="135"/>
      <c r="KXU306" s="135"/>
      <c r="KXV306" s="135"/>
      <c r="KXW306" s="135"/>
      <c r="KXX306" s="173"/>
      <c r="KXY306" s="173"/>
      <c r="KXZ306" s="173"/>
      <c r="KYA306" s="173"/>
      <c r="KYB306" s="173"/>
      <c r="KYC306" s="173"/>
      <c r="KYD306" s="173"/>
      <c r="KYE306" s="173"/>
      <c r="KYF306" s="173"/>
      <c r="KYG306" s="173"/>
      <c r="KYH306" s="125"/>
      <c r="KYI306" s="125"/>
      <c r="KYJ306" s="134"/>
      <c r="KYK306" s="135"/>
      <c r="KYL306" s="135"/>
      <c r="KYM306" s="135"/>
      <c r="KYN306" s="135"/>
      <c r="KYO306" s="173"/>
      <c r="KYP306" s="173"/>
      <c r="KYQ306" s="173"/>
      <c r="KYR306" s="173"/>
      <c r="KYS306" s="173"/>
      <c r="KYT306" s="173"/>
      <c r="KYU306" s="173"/>
      <c r="KYV306" s="173"/>
      <c r="KYW306" s="173"/>
      <c r="KYX306" s="173"/>
      <c r="KYY306" s="125"/>
      <c r="KYZ306" s="125"/>
      <c r="KZA306" s="134"/>
      <c r="KZB306" s="135"/>
      <c r="KZC306" s="135"/>
      <c r="KZD306" s="135"/>
      <c r="KZE306" s="135"/>
      <c r="KZF306" s="173"/>
      <c r="KZG306" s="173"/>
      <c r="KZH306" s="173"/>
      <c r="KZI306" s="173"/>
      <c r="KZJ306" s="173"/>
      <c r="KZK306" s="173"/>
      <c r="KZL306" s="173"/>
      <c r="KZM306" s="173"/>
      <c r="KZN306" s="173"/>
      <c r="KZO306" s="173"/>
      <c r="KZP306" s="125"/>
      <c r="KZQ306" s="125"/>
      <c r="KZR306" s="134"/>
      <c r="KZS306" s="135"/>
      <c r="KZT306" s="135"/>
      <c r="KZU306" s="135"/>
      <c r="KZV306" s="135"/>
      <c r="KZW306" s="173"/>
      <c r="KZX306" s="173"/>
      <c r="KZY306" s="173"/>
      <c r="KZZ306" s="173"/>
      <c r="LAA306" s="173"/>
      <c r="LAB306" s="173"/>
      <c r="LAC306" s="173"/>
      <c r="LAD306" s="173"/>
      <c r="LAE306" s="173"/>
      <c r="LAF306" s="173"/>
      <c r="LAG306" s="125"/>
      <c r="LAH306" s="125"/>
      <c r="LAI306" s="134"/>
      <c r="LAJ306" s="135"/>
      <c r="LAK306" s="135"/>
      <c r="LAL306" s="135"/>
      <c r="LAM306" s="135"/>
      <c r="LAN306" s="173"/>
      <c r="LAO306" s="173"/>
      <c r="LAP306" s="173"/>
      <c r="LAQ306" s="173"/>
      <c r="LAR306" s="173"/>
      <c r="LAS306" s="173"/>
      <c r="LAT306" s="173"/>
      <c r="LAU306" s="173"/>
      <c r="LAV306" s="173"/>
      <c r="LAW306" s="173"/>
      <c r="LAX306" s="125"/>
      <c r="LAY306" s="125"/>
      <c r="LAZ306" s="134"/>
      <c r="LBA306" s="135"/>
      <c r="LBB306" s="135"/>
      <c r="LBC306" s="135"/>
      <c r="LBD306" s="135"/>
      <c r="LBE306" s="173"/>
      <c r="LBF306" s="173"/>
      <c r="LBG306" s="173"/>
      <c r="LBH306" s="173"/>
      <c r="LBI306" s="173"/>
      <c r="LBJ306" s="173"/>
      <c r="LBK306" s="173"/>
      <c r="LBL306" s="173"/>
      <c r="LBM306" s="173"/>
      <c r="LBN306" s="173"/>
      <c r="LBO306" s="125"/>
      <c r="LBP306" s="125"/>
      <c r="LBQ306" s="134"/>
      <c r="LBR306" s="135"/>
      <c r="LBS306" s="135"/>
      <c r="LBT306" s="135"/>
      <c r="LBU306" s="135"/>
      <c r="LBV306" s="173"/>
      <c r="LBW306" s="173"/>
      <c r="LBX306" s="173"/>
      <c r="LBY306" s="173"/>
      <c r="LBZ306" s="173"/>
      <c r="LCA306" s="173"/>
      <c r="LCB306" s="173"/>
      <c r="LCC306" s="173"/>
      <c r="LCD306" s="173"/>
      <c r="LCE306" s="173"/>
      <c r="LCF306" s="125"/>
      <c r="LCG306" s="125"/>
      <c r="LCH306" s="134"/>
      <c r="LCI306" s="135"/>
      <c r="LCJ306" s="135"/>
      <c r="LCK306" s="135"/>
      <c r="LCL306" s="135"/>
      <c r="LCM306" s="173"/>
      <c r="LCN306" s="173"/>
      <c r="LCO306" s="173"/>
      <c r="LCP306" s="173"/>
      <c r="LCQ306" s="173"/>
      <c r="LCR306" s="173"/>
      <c r="LCS306" s="173"/>
      <c r="LCT306" s="173"/>
      <c r="LCU306" s="173"/>
      <c r="LCV306" s="173"/>
      <c r="LCW306" s="125"/>
      <c r="LCX306" s="125"/>
      <c r="LCY306" s="134"/>
      <c r="LCZ306" s="135"/>
      <c r="LDA306" s="135"/>
      <c r="LDB306" s="135"/>
      <c r="LDC306" s="135"/>
      <c r="LDD306" s="173"/>
      <c r="LDE306" s="173"/>
      <c r="LDF306" s="173"/>
      <c r="LDG306" s="173"/>
      <c r="LDH306" s="173"/>
      <c r="LDI306" s="173"/>
      <c r="LDJ306" s="173"/>
      <c r="LDK306" s="173"/>
      <c r="LDL306" s="173"/>
      <c r="LDM306" s="173"/>
      <c r="LDN306" s="125"/>
      <c r="LDO306" s="125"/>
      <c r="LDP306" s="134"/>
      <c r="LDQ306" s="135"/>
      <c r="LDR306" s="135"/>
      <c r="LDS306" s="135"/>
      <c r="LDT306" s="135"/>
      <c r="LDU306" s="173"/>
      <c r="LDV306" s="173"/>
      <c r="LDW306" s="173"/>
      <c r="LDX306" s="173"/>
      <c r="LDY306" s="173"/>
      <c r="LDZ306" s="173"/>
      <c r="LEA306" s="173"/>
      <c r="LEB306" s="173"/>
      <c r="LEC306" s="173"/>
      <c r="LED306" s="173"/>
      <c r="LEE306" s="125"/>
      <c r="LEF306" s="125"/>
      <c r="LEG306" s="134"/>
      <c r="LEH306" s="135"/>
      <c r="LEI306" s="135"/>
      <c r="LEJ306" s="135"/>
      <c r="LEK306" s="135"/>
      <c r="LEL306" s="173"/>
      <c r="LEM306" s="173"/>
      <c r="LEN306" s="173"/>
      <c r="LEO306" s="173"/>
      <c r="LEP306" s="173"/>
      <c r="LEQ306" s="173"/>
      <c r="LER306" s="173"/>
      <c r="LES306" s="173"/>
      <c r="LET306" s="173"/>
      <c r="LEU306" s="173"/>
      <c r="LEV306" s="125"/>
      <c r="LEW306" s="125"/>
      <c r="LEX306" s="134"/>
      <c r="LEY306" s="135"/>
      <c r="LEZ306" s="135"/>
      <c r="LFA306" s="135"/>
      <c r="LFB306" s="135"/>
      <c r="LFC306" s="173"/>
      <c r="LFD306" s="173"/>
      <c r="LFE306" s="173"/>
      <c r="LFF306" s="173"/>
      <c r="LFG306" s="173"/>
      <c r="LFH306" s="173"/>
      <c r="LFI306" s="173"/>
      <c r="LFJ306" s="173"/>
      <c r="LFK306" s="173"/>
      <c r="LFL306" s="173"/>
      <c r="LFM306" s="125"/>
      <c r="LFN306" s="125"/>
      <c r="LFO306" s="134"/>
      <c r="LFP306" s="135"/>
      <c r="LFQ306" s="135"/>
      <c r="LFR306" s="135"/>
      <c r="LFS306" s="135"/>
      <c r="LFT306" s="173"/>
      <c r="LFU306" s="173"/>
      <c r="LFV306" s="173"/>
      <c r="LFW306" s="173"/>
      <c r="LFX306" s="173"/>
      <c r="LFY306" s="173"/>
      <c r="LFZ306" s="173"/>
      <c r="LGA306" s="173"/>
      <c r="LGB306" s="173"/>
      <c r="LGC306" s="173"/>
      <c r="LGD306" s="125"/>
      <c r="LGE306" s="125"/>
      <c r="LGF306" s="134"/>
      <c r="LGG306" s="135"/>
      <c r="LGH306" s="135"/>
      <c r="LGI306" s="135"/>
      <c r="LGJ306" s="135"/>
      <c r="LGK306" s="173"/>
      <c r="LGL306" s="173"/>
      <c r="LGM306" s="173"/>
      <c r="LGN306" s="173"/>
      <c r="LGO306" s="173"/>
      <c r="LGP306" s="173"/>
      <c r="LGQ306" s="173"/>
      <c r="LGR306" s="173"/>
      <c r="LGS306" s="173"/>
      <c r="LGT306" s="173"/>
      <c r="LGU306" s="125"/>
      <c r="LGV306" s="125"/>
      <c r="LGW306" s="134"/>
      <c r="LGX306" s="135"/>
      <c r="LGY306" s="135"/>
      <c r="LGZ306" s="135"/>
      <c r="LHA306" s="135"/>
      <c r="LHB306" s="173"/>
      <c r="LHC306" s="173"/>
      <c r="LHD306" s="173"/>
      <c r="LHE306" s="173"/>
      <c r="LHF306" s="173"/>
      <c r="LHG306" s="173"/>
      <c r="LHH306" s="173"/>
      <c r="LHI306" s="173"/>
      <c r="LHJ306" s="173"/>
      <c r="LHK306" s="173"/>
      <c r="LHL306" s="125"/>
      <c r="LHM306" s="125"/>
      <c r="LHN306" s="134"/>
      <c r="LHO306" s="135"/>
      <c r="LHP306" s="135"/>
      <c r="LHQ306" s="135"/>
      <c r="LHR306" s="135"/>
      <c r="LHS306" s="173"/>
      <c r="LHT306" s="173"/>
      <c r="LHU306" s="173"/>
      <c r="LHV306" s="173"/>
      <c r="LHW306" s="173"/>
      <c r="LHX306" s="173"/>
      <c r="LHY306" s="173"/>
      <c r="LHZ306" s="173"/>
      <c r="LIA306" s="173"/>
      <c r="LIB306" s="173"/>
      <c r="LIC306" s="125"/>
      <c r="LID306" s="125"/>
      <c r="LIE306" s="134"/>
      <c r="LIF306" s="135"/>
      <c r="LIG306" s="135"/>
      <c r="LIH306" s="135"/>
      <c r="LII306" s="135"/>
      <c r="LIJ306" s="173"/>
      <c r="LIK306" s="173"/>
      <c r="LIL306" s="173"/>
      <c r="LIM306" s="173"/>
      <c r="LIN306" s="173"/>
      <c r="LIO306" s="173"/>
      <c r="LIP306" s="173"/>
      <c r="LIQ306" s="173"/>
      <c r="LIR306" s="173"/>
      <c r="LIS306" s="173"/>
      <c r="LIT306" s="125"/>
      <c r="LIU306" s="125"/>
      <c r="LIV306" s="134"/>
      <c r="LIW306" s="135"/>
      <c r="LIX306" s="135"/>
      <c r="LIY306" s="135"/>
      <c r="LIZ306" s="135"/>
      <c r="LJA306" s="173"/>
      <c r="LJB306" s="173"/>
      <c r="LJC306" s="173"/>
      <c r="LJD306" s="173"/>
      <c r="LJE306" s="173"/>
      <c r="LJF306" s="173"/>
      <c r="LJG306" s="173"/>
      <c r="LJH306" s="173"/>
      <c r="LJI306" s="173"/>
      <c r="LJJ306" s="173"/>
      <c r="LJK306" s="125"/>
      <c r="LJL306" s="125"/>
      <c r="LJM306" s="134"/>
      <c r="LJN306" s="135"/>
      <c r="LJO306" s="135"/>
      <c r="LJP306" s="135"/>
      <c r="LJQ306" s="135"/>
      <c r="LJR306" s="173"/>
      <c r="LJS306" s="173"/>
      <c r="LJT306" s="173"/>
      <c r="LJU306" s="173"/>
      <c r="LJV306" s="173"/>
      <c r="LJW306" s="173"/>
      <c r="LJX306" s="173"/>
      <c r="LJY306" s="173"/>
      <c r="LJZ306" s="173"/>
      <c r="LKA306" s="173"/>
      <c r="LKB306" s="125"/>
      <c r="LKC306" s="125"/>
      <c r="LKD306" s="134"/>
      <c r="LKE306" s="135"/>
      <c r="LKF306" s="135"/>
      <c r="LKG306" s="135"/>
      <c r="LKH306" s="135"/>
      <c r="LKI306" s="173"/>
      <c r="LKJ306" s="173"/>
      <c r="LKK306" s="173"/>
      <c r="LKL306" s="173"/>
      <c r="LKM306" s="173"/>
      <c r="LKN306" s="173"/>
      <c r="LKO306" s="173"/>
      <c r="LKP306" s="173"/>
      <c r="LKQ306" s="173"/>
      <c r="LKR306" s="173"/>
      <c r="LKS306" s="125"/>
      <c r="LKT306" s="125"/>
      <c r="LKU306" s="134"/>
      <c r="LKV306" s="135"/>
      <c r="LKW306" s="135"/>
      <c r="LKX306" s="135"/>
      <c r="LKY306" s="135"/>
      <c r="LKZ306" s="173"/>
      <c r="LLA306" s="173"/>
      <c r="LLB306" s="173"/>
      <c r="LLC306" s="173"/>
      <c r="LLD306" s="173"/>
      <c r="LLE306" s="173"/>
      <c r="LLF306" s="173"/>
      <c r="LLG306" s="173"/>
      <c r="LLH306" s="173"/>
      <c r="LLI306" s="173"/>
      <c r="LLJ306" s="125"/>
      <c r="LLK306" s="125"/>
      <c r="LLL306" s="134"/>
      <c r="LLM306" s="135"/>
      <c r="LLN306" s="135"/>
      <c r="LLO306" s="135"/>
      <c r="LLP306" s="135"/>
      <c r="LLQ306" s="173"/>
      <c r="LLR306" s="173"/>
      <c r="LLS306" s="173"/>
      <c r="LLT306" s="173"/>
      <c r="LLU306" s="173"/>
      <c r="LLV306" s="173"/>
      <c r="LLW306" s="173"/>
      <c r="LLX306" s="173"/>
      <c r="LLY306" s="173"/>
      <c r="LLZ306" s="173"/>
      <c r="LMA306" s="125"/>
      <c r="LMB306" s="125"/>
      <c r="LMC306" s="134"/>
      <c r="LMD306" s="135"/>
      <c r="LME306" s="135"/>
      <c r="LMF306" s="135"/>
      <c r="LMG306" s="135"/>
      <c r="LMH306" s="173"/>
      <c r="LMI306" s="173"/>
      <c r="LMJ306" s="173"/>
      <c r="LMK306" s="173"/>
      <c r="LML306" s="173"/>
      <c r="LMM306" s="173"/>
      <c r="LMN306" s="173"/>
      <c r="LMO306" s="173"/>
      <c r="LMP306" s="173"/>
      <c r="LMQ306" s="173"/>
      <c r="LMR306" s="125"/>
      <c r="LMS306" s="125"/>
      <c r="LMT306" s="134"/>
      <c r="LMU306" s="135"/>
      <c r="LMV306" s="135"/>
      <c r="LMW306" s="135"/>
      <c r="LMX306" s="135"/>
      <c r="LMY306" s="173"/>
      <c r="LMZ306" s="173"/>
      <c r="LNA306" s="173"/>
      <c r="LNB306" s="173"/>
      <c r="LNC306" s="173"/>
      <c r="LND306" s="173"/>
      <c r="LNE306" s="173"/>
      <c r="LNF306" s="173"/>
      <c r="LNG306" s="173"/>
      <c r="LNH306" s="173"/>
      <c r="LNI306" s="125"/>
      <c r="LNJ306" s="125"/>
      <c r="LNK306" s="134"/>
      <c r="LNL306" s="135"/>
      <c r="LNM306" s="135"/>
      <c r="LNN306" s="135"/>
      <c r="LNO306" s="135"/>
      <c r="LNP306" s="173"/>
      <c r="LNQ306" s="173"/>
      <c r="LNR306" s="173"/>
      <c r="LNS306" s="173"/>
      <c r="LNT306" s="173"/>
      <c r="LNU306" s="173"/>
      <c r="LNV306" s="173"/>
      <c r="LNW306" s="173"/>
      <c r="LNX306" s="173"/>
      <c r="LNY306" s="173"/>
      <c r="LNZ306" s="125"/>
      <c r="LOA306" s="125"/>
      <c r="LOB306" s="134"/>
      <c r="LOC306" s="135"/>
      <c r="LOD306" s="135"/>
      <c r="LOE306" s="135"/>
      <c r="LOF306" s="135"/>
      <c r="LOG306" s="173"/>
      <c r="LOH306" s="173"/>
      <c r="LOI306" s="173"/>
      <c r="LOJ306" s="173"/>
      <c r="LOK306" s="173"/>
      <c r="LOL306" s="173"/>
      <c r="LOM306" s="173"/>
      <c r="LON306" s="173"/>
      <c r="LOO306" s="173"/>
      <c r="LOP306" s="173"/>
      <c r="LOQ306" s="125"/>
      <c r="LOR306" s="125"/>
      <c r="LOS306" s="134"/>
      <c r="LOT306" s="135"/>
      <c r="LOU306" s="135"/>
      <c r="LOV306" s="135"/>
      <c r="LOW306" s="135"/>
      <c r="LOX306" s="173"/>
      <c r="LOY306" s="173"/>
      <c r="LOZ306" s="173"/>
      <c r="LPA306" s="173"/>
      <c r="LPB306" s="173"/>
      <c r="LPC306" s="173"/>
      <c r="LPD306" s="173"/>
      <c r="LPE306" s="173"/>
      <c r="LPF306" s="173"/>
      <c r="LPG306" s="173"/>
      <c r="LPH306" s="125"/>
      <c r="LPI306" s="125"/>
      <c r="LPJ306" s="134"/>
      <c r="LPK306" s="135"/>
      <c r="LPL306" s="135"/>
      <c r="LPM306" s="135"/>
      <c r="LPN306" s="135"/>
      <c r="LPO306" s="173"/>
      <c r="LPP306" s="173"/>
      <c r="LPQ306" s="173"/>
      <c r="LPR306" s="173"/>
      <c r="LPS306" s="173"/>
      <c r="LPT306" s="173"/>
      <c r="LPU306" s="173"/>
      <c r="LPV306" s="173"/>
      <c r="LPW306" s="173"/>
      <c r="LPX306" s="173"/>
      <c r="LPY306" s="125"/>
      <c r="LPZ306" s="125"/>
      <c r="LQA306" s="134"/>
      <c r="LQB306" s="135"/>
      <c r="LQC306" s="135"/>
      <c r="LQD306" s="135"/>
      <c r="LQE306" s="135"/>
      <c r="LQF306" s="173"/>
      <c r="LQG306" s="173"/>
      <c r="LQH306" s="173"/>
      <c r="LQI306" s="173"/>
      <c r="LQJ306" s="173"/>
      <c r="LQK306" s="173"/>
      <c r="LQL306" s="173"/>
      <c r="LQM306" s="173"/>
      <c r="LQN306" s="173"/>
      <c r="LQO306" s="173"/>
      <c r="LQP306" s="125"/>
      <c r="LQQ306" s="125"/>
      <c r="LQR306" s="134"/>
      <c r="LQS306" s="135"/>
      <c r="LQT306" s="135"/>
      <c r="LQU306" s="135"/>
      <c r="LQV306" s="135"/>
      <c r="LQW306" s="173"/>
      <c r="LQX306" s="173"/>
      <c r="LQY306" s="173"/>
      <c r="LQZ306" s="173"/>
      <c r="LRA306" s="173"/>
      <c r="LRB306" s="173"/>
      <c r="LRC306" s="173"/>
      <c r="LRD306" s="173"/>
      <c r="LRE306" s="173"/>
      <c r="LRF306" s="173"/>
      <c r="LRG306" s="125"/>
      <c r="LRH306" s="125"/>
      <c r="LRI306" s="134"/>
      <c r="LRJ306" s="135"/>
      <c r="LRK306" s="135"/>
      <c r="LRL306" s="135"/>
      <c r="LRM306" s="135"/>
      <c r="LRN306" s="173"/>
      <c r="LRO306" s="173"/>
      <c r="LRP306" s="173"/>
      <c r="LRQ306" s="173"/>
      <c r="LRR306" s="173"/>
      <c r="LRS306" s="173"/>
      <c r="LRT306" s="173"/>
      <c r="LRU306" s="173"/>
      <c r="LRV306" s="173"/>
      <c r="LRW306" s="173"/>
      <c r="LRX306" s="125"/>
      <c r="LRY306" s="125"/>
      <c r="LRZ306" s="134"/>
      <c r="LSA306" s="135"/>
      <c r="LSB306" s="135"/>
      <c r="LSC306" s="135"/>
      <c r="LSD306" s="135"/>
      <c r="LSE306" s="173"/>
      <c r="LSF306" s="173"/>
      <c r="LSG306" s="173"/>
      <c r="LSH306" s="173"/>
      <c r="LSI306" s="173"/>
      <c r="LSJ306" s="173"/>
      <c r="LSK306" s="173"/>
      <c r="LSL306" s="173"/>
      <c r="LSM306" s="173"/>
      <c r="LSN306" s="173"/>
      <c r="LSO306" s="125"/>
      <c r="LSP306" s="125"/>
      <c r="LSQ306" s="134"/>
      <c r="LSR306" s="135"/>
      <c r="LSS306" s="135"/>
      <c r="LST306" s="135"/>
      <c r="LSU306" s="135"/>
      <c r="LSV306" s="173"/>
      <c r="LSW306" s="173"/>
      <c r="LSX306" s="173"/>
      <c r="LSY306" s="173"/>
      <c r="LSZ306" s="173"/>
      <c r="LTA306" s="173"/>
      <c r="LTB306" s="173"/>
      <c r="LTC306" s="173"/>
      <c r="LTD306" s="173"/>
      <c r="LTE306" s="173"/>
      <c r="LTF306" s="125"/>
      <c r="LTG306" s="125"/>
      <c r="LTH306" s="134"/>
      <c r="LTI306" s="135"/>
      <c r="LTJ306" s="135"/>
      <c r="LTK306" s="135"/>
      <c r="LTL306" s="135"/>
      <c r="LTM306" s="173"/>
      <c r="LTN306" s="173"/>
      <c r="LTO306" s="173"/>
      <c r="LTP306" s="173"/>
      <c r="LTQ306" s="173"/>
      <c r="LTR306" s="173"/>
      <c r="LTS306" s="173"/>
      <c r="LTT306" s="173"/>
      <c r="LTU306" s="173"/>
      <c r="LTV306" s="173"/>
      <c r="LTW306" s="125"/>
      <c r="LTX306" s="125"/>
      <c r="LTY306" s="134"/>
      <c r="LTZ306" s="135"/>
      <c r="LUA306" s="135"/>
      <c r="LUB306" s="135"/>
      <c r="LUC306" s="135"/>
      <c r="LUD306" s="173"/>
      <c r="LUE306" s="173"/>
      <c r="LUF306" s="173"/>
      <c r="LUG306" s="173"/>
      <c r="LUH306" s="173"/>
      <c r="LUI306" s="173"/>
      <c r="LUJ306" s="173"/>
      <c r="LUK306" s="173"/>
      <c r="LUL306" s="173"/>
      <c r="LUM306" s="173"/>
      <c r="LUN306" s="125"/>
      <c r="LUO306" s="125"/>
      <c r="LUP306" s="134"/>
      <c r="LUQ306" s="135"/>
      <c r="LUR306" s="135"/>
      <c r="LUS306" s="135"/>
      <c r="LUT306" s="135"/>
      <c r="LUU306" s="173"/>
      <c r="LUV306" s="173"/>
      <c r="LUW306" s="173"/>
      <c r="LUX306" s="173"/>
      <c r="LUY306" s="173"/>
      <c r="LUZ306" s="173"/>
      <c r="LVA306" s="173"/>
      <c r="LVB306" s="173"/>
      <c r="LVC306" s="173"/>
      <c r="LVD306" s="173"/>
      <c r="LVE306" s="125"/>
      <c r="LVF306" s="125"/>
      <c r="LVG306" s="134"/>
      <c r="LVH306" s="135"/>
      <c r="LVI306" s="135"/>
      <c r="LVJ306" s="135"/>
      <c r="LVK306" s="135"/>
      <c r="LVL306" s="173"/>
      <c r="LVM306" s="173"/>
      <c r="LVN306" s="173"/>
      <c r="LVO306" s="173"/>
      <c r="LVP306" s="173"/>
      <c r="LVQ306" s="173"/>
      <c r="LVR306" s="173"/>
      <c r="LVS306" s="173"/>
      <c r="LVT306" s="173"/>
      <c r="LVU306" s="173"/>
      <c r="LVV306" s="125"/>
      <c r="LVW306" s="125"/>
      <c r="LVX306" s="134"/>
      <c r="LVY306" s="135"/>
      <c r="LVZ306" s="135"/>
      <c r="LWA306" s="135"/>
      <c r="LWB306" s="135"/>
      <c r="LWC306" s="173"/>
      <c r="LWD306" s="173"/>
      <c r="LWE306" s="173"/>
      <c r="LWF306" s="173"/>
      <c r="LWG306" s="173"/>
      <c r="LWH306" s="173"/>
      <c r="LWI306" s="173"/>
      <c r="LWJ306" s="173"/>
      <c r="LWK306" s="173"/>
      <c r="LWL306" s="173"/>
      <c r="LWM306" s="125"/>
      <c r="LWN306" s="125"/>
      <c r="LWO306" s="134"/>
      <c r="LWP306" s="135"/>
      <c r="LWQ306" s="135"/>
      <c r="LWR306" s="135"/>
      <c r="LWS306" s="135"/>
      <c r="LWT306" s="173"/>
      <c r="LWU306" s="173"/>
      <c r="LWV306" s="173"/>
      <c r="LWW306" s="173"/>
      <c r="LWX306" s="173"/>
      <c r="LWY306" s="173"/>
      <c r="LWZ306" s="173"/>
      <c r="LXA306" s="173"/>
      <c r="LXB306" s="173"/>
      <c r="LXC306" s="173"/>
      <c r="LXD306" s="125"/>
      <c r="LXE306" s="125"/>
      <c r="LXF306" s="134"/>
      <c r="LXG306" s="135"/>
      <c r="LXH306" s="135"/>
      <c r="LXI306" s="135"/>
      <c r="LXJ306" s="135"/>
      <c r="LXK306" s="173"/>
      <c r="LXL306" s="173"/>
      <c r="LXM306" s="173"/>
      <c r="LXN306" s="173"/>
      <c r="LXO306" s="173"/>
      <c r="LXP306" s="173"/>
      <c r="LXQ306" s="173"/>
      <c r="LXR306" s="173"/>
      <c r="LXS306" s="173"/>
      <c r="LXT306" s="173"/>
      <c r="LXU306" s="125"/>
      <c r="LXV306" s="125"/>
      <c r="LXW306" s="134"/>
      <c r="LXX306" s="135"/>
      <c r="LXY306" s="135"/>
      <c r="LXZ306" s="135"/>
      <c r="LYA306" s="135"/>
      <c r="LYB306" s="173"/>
      <c r="LYC306" s="173"/>
      <c r="LYD306" s="173"/>
      <c r="LYE306" s="173"/>
      <c r="LYF306" s="173"/>
      <c r="LYG306" s="173"/>
      <c r="LYH306" s="173"/>
      <c r="LYI306" s="173"/>
      <c r="LYJ306" s="173"/>
      <c r="LYK306" s="173"/>
      <c r="LYL306" s="125"/>
      <c r="LYM306" s="125"/>
      <c r="LYN306" s="134"/>
      <c r="LYO306" s="135"/>
      <c r="LYP306" s="135"/>
      <c r="LYQ306" s="135"/>
      <c r="LYR306" s="135"/>
      <c r="LYS306" s="173"/>
      <c r="LYT306" s="173"/>
      <c r="LYU306" s="173"/>
      <c r="LYV306" s="173"/>
      <c r="LYW306" s="173"/>
      <c r="LYX306" s="173"/>
      <c r="LYY306" s="173"/>
      <c r="LYZ306" s="173"/>
      <c r="LZA306" s="173"/>
      <c r="LZB306" s="173"/>
      <c r="LZC306" s="125"/>
      <c r="LZD306" s="125"/>
      <c r="LZE306" s="134"/>
      <c r="LZF306" s="135"/>
      <c r="LZG306" s="135"/>
      <c r="LZH306" s="135"/>
      <c r="LZI306" s="135"/>
      <c r="LZJ306" s="173"/>
      <c r="LZK306" s="173"/>
      <c r="LZL306" s="173"/>
      <c r="LZM306" s="173"/>
      <c r="LZN306" s="173"/>
      <c r="LZO306" s="173"/>
      <c r="LZP306" s="173"/>
      <c r="LZQ306" s="173"/>
      <c r="LZR306" s="173"/>
      <c r="LZS306" s="173"/>
      <c r="LZT306" s="125"/>
      <c r="LZU306" s="125"/>
      <c r="LZV306" s="134"/>
      <c r="LZW306" s="135"/>
      <c r="LZX306" s="135"/>
      <c r="LZY306" s="135"/>
      <c r="LZZ306" s="135"/>
      <c r="MAA306" s="173"/>
      <c r="MAB306" s="173"/>
      <c r="MAC306" s="173"/>
      <c r="MAD306" s="173"/>
      <c r="MAE306" s="173"/>
      <c r="MAF306" s="173"/>
      <c r="MAG306" s="173"/>
      <c r="MAH306" s="173"/>
      <c r="MAI306" s="173"/>
      <c r="MAJ306" s="173"/>
      <c r="MAK306" s="125"/>
      <c r="MAL306" s="125"/>
      <c r="MAM306" s="134"/>
      <c r="MAN306" s="135"/>
      <c r="MAO306" s="135"/>
      <c r="MAP306" s="135"/>
      <c r="MAQ306" s="135"/>
      <c r="MAR306" s="173"/>
      <c r="MAS306" s="173"/>
      <c r="MAT306" s="173"/>
      <c r="MAU306" s="173"/>
      <c r="MAV306" s="173"/>
      <c r="MAW306" s="173"/>
      <c r="MAX306" s="173"/>
      <c r="MAY306" s="173"/>
      <c r="MAZ306" s="173"/>
      <c r="MBA306" s="173"/>
      <c r="MBB306" s="125"/>
      <c r="MBC306" s="125"/>
      <c r="MBD306" s="134"/>
      <c r="MBE306" s="135"/>
      <c r="MBF306" s="135"/>
      <c r="MBG306" s="135"/>
      <c r="MBH306" s="135"/>
      <c r="MBI306" s="173"/>
      <c r="MBJ306" s="173"/>
      <c r="MBK306" s="173"/>
      <c r="MBL306" s="173"/>
      <c r="MBM306" s="173"/>
      <c r="MBN306" s="173"/>
      <c r="MBO306" s="173"/>
      <c r="MBP306" s="173"/>
      <c r="MBQ306" s="173"/>
      <c r="MBR306" s="173"/>
      <c r="MBS306" s="125"/>
      <c r="MBT306" s="125"/>
      <c r="MBU306" s="134"/>
      <c r="MBV306" s="135"/>
      <c r="MBW306" s="135"/>
      <c r="MBX306" s="135"/>
      <c r="MBY306" s="135"/>
      <c r="MBZ306" s="173"/>
      <c r="MCA306" s="173"/>
      <c r="MCB306" s="173"/>
      <c r="MCC306" s="173"/>
      <c r="MCD306" s="173"/>
      <c r="MCE306" s="173"/>
      <c r="MCF306" s="173"/>
      <c r="MCG306" s="173"/>
      <c r="MCH306" s="173"/>
      <c r="MCI306" s="173"/>
      <c r="MCJ306" s="125"/>
      <c r="MCK306" s="125"/>
      <c r="MCL306" s="134"/>
      <c r="MCM306" s="135"/>
      <c r="MCN306" s="135"/>
      <c r="MCO306" s="135"/>
      <c r="MCP306" s="135"/>
      <c r="MCQ306" s="173"/>
      <c r="MCR306" s="173"/>
      <c r="MCS306" s="173"/>
      <c r="MCT306" s="173"/>
      <c r="MCU306" s="173"/>
      <c r="MCV306" s="173"/>
      <c r="MCW306" s="173"/>
      <c r="MCX306" s="173"/>
      <c r="MCY306" s="173"/>
      <c r="MCZ306" s="173"/>
      <c r="MDA306" s="125"/>
      <c r="MDB306" s="125"/>
      <c r="MDC306" s="134"/>
      <c r="MDD306" s="135"/>
      <c r="MDE306" s="135"/>
      <c r="MDF306" s="135"/>
      <c r="MDG306" s="135"/>
      <c r="MDH306" s="173"/>
      <c r="MDI306" s="173"/>
      <c r="MDJ306" s="173"/>
      <c r="MDK306" s="173"/>
      <c r="MDL306" s="173"/>
      <c r="MDM306" s="173"/>
      <c r="MDN306" s="173"/>
      <c r="MDO306" s="173"/>
      <c r="MDP306" s="173"/>
      <c r="MDQ306" s="173"/>
      <c r="MDR306" s="125"/>
      <c r="MDS306" s="125"/>
      <c r="MDT306" s="134"/>
      <c r="MDU306" s="135"/>
      <c r="MDV306" s="135"/>
      <c r="MDW306" s="135"/>
      <c r="MDX306" s="135"/>
      <c r="MDY306" s="173"/>
      <c r="MDZ306" s="173"/>
      <c r="MEA306" s="173"/>
      <c r="MEB306" s="173"/>
      <c r="MEC306" s="173"/>
      <c r="MED306" s="173"/>
      <c r="MEE306" s="173"/>
      <c r="MEF306" s="173"/>
      <c r="MEG306" s="173"/>
      <c r="MEH306" s="173"/>
      <c r="MEI306" s="125"/>
      <c r="MEJ306" s="125"/>
      <c r="MEK306" s="134"/>
      <c r="MEL306" s="135"/>
      <c r="MEM306" s="135"/>
      <c r="MEN306" s="135"/>
      <c r="MEO306" s="135"/>
      <c r="MEP306" s="173"/>
      <c r="MEQ306" s="173"/>
      <c r="MER306" s="173"/>
      <c r="MES306" s="173"/>
      <c r="MET306" s="173"/>
      <c r="MEU306" s="173"/>
      <c r="MEV306" s="173"/>
      <c r="MEW306" s="173"/>
      <c r="MEX306" s="173"/>
      <c r="MEY306" s="173"/>
      <c r="MEZ306" s="125"/>
      <c r="MFA306" s="125"/>
      <c r="MFB306" s="134"/>
      <c r="MFC306" s="135"/>
      <c r="MFD306" s="135"/>
      <c r="MFE306" s="135"/>
      <c r="MFF306" s="135"/>
      <c r="MFG306" s="173"/>
      <c r="MFH306" s="173"/>
      <c r="MFI306" s="173"/>
      <c r="MFJ306" s="173"/>
      <c r="MFK306" s="173"/>
      <c r="MFL306" s="173"/>
      <c r="MFM306" s="173"/>
      <c r="MFN306" s="173"/>
      <c r="MFO306" s="173"/>
      <c r="MFP306" s="173"/>
      <c r="MFQ306" s="125"/>
      <c r="MFR306" s="125"/>
      <c r="MFS306" s="134"/>
      <c r="MFT306" s="135"/>
      <c r="MFU306" s="135"/>
      <c r="MFV306" s="135"/>
      <c r="MFW306" s="135"/>
      <c r="MFX306" s="173"/>
      <c r="MFY306" s="173"/>
      <c r="MFZ306" s="173"/>
      <c r="MGA306" s="173"/>
      <c r="MGB306" s="173"/>
      <c r="MGC306" s="173"/>
      <c r="MGD306" s="173"/>
      <c r="MGE306" s="173"/>
      <c r="MGF306" s="173"/>
      <c r="MGG306" s="173"/>
      <c r="MGH306" s="125"/>
      <c r="MGI306" s="125"/>
      <c r="MGJ306" s="134"/>
      <c r="MGK306" s="135"/>
      <c r="MGL306" s="135"/>
      <c r="MGM306" s="135"/>
      <c r="MGN306" s="135"/>
      <c r="MGO306" s="173"/>
      <c r="MGP306" s="173"/>
      <c r="MGQ306" s="173"/>
      <c r="MGR306" s="173"/>
      <c r="MGS306" s="173"/>
      <c r="MGT306" s="173"/>
      <c r="MGU306" s="173"/>
      <c r="MGV306" s="173"/>
      <c r="MGW306" s="173"/>
      <c r="MGX306" s="173"/>
      <c r="MGY306" s="125"/>
      <c r="MGZ306" s="125"/>
      <c r="MHA306" s="134"/>
      <c r="MHB306" s="135"/>
      <c r="MHC306" s="135"/>
      <c r="MHD306" s="135"/>
      <c r="MHE306" s="135"/>
      <c r="MHF306" s="173"/>
      <c r="MHG306" s="173"/>
      <c r="MHH306" s="173"/>
      <c r="MHI306" s="173"/>
      <c r="MHJ306" s="173"/>
      <c r="MHK306" s="173"/>
      <c r="MHL306" s="173"/>
      <c r="MHM306" s="173"/>
      <c r="MHN306" s="173"/>
      <c r="MHO306" s="173"/>
      <c r="MHP306" s="125"/>
      <c r="MHQ306" s="125"/>
      <c r="MHR306" s="134"/>
      <c r="MHS306" s="135"/>
      <c r="MHT306" s="135"/>
      <c r="MHU306" s="135"/>
      <c r="MHV306" s="135"/>
      <c r="MHW306" s="173"/>
      <c r="MHX306" s="173"/>
      <c r="MHY306" s="173"/>
      <c r="MHZ306" s="173"/>
      <c r="MIA306" s="173"/>
      <c r="MIB306" s="173"/>
      <c r="MIC306" s="173"/>
      <c r="MID306" s="173"/>
      <c r="MIE306" s="173"/>
      <c r="MIF306" s="173"/>
      <c r="MIG306" s="125"/>
      <c r="MIH306" s="125"/>
      <c r="MII306" s="134"/>
      <c r="MIJ306" s="135"/>
      <c r="MIK306" s="135"/>
      <c r="MIL306" s="135"/>
      <c r="MIM306" s="135"/>
      <c r="MIN306" s="173"/>
      <c r="MIO306" s="173"/>
      <c r="MIP306" s="173"/>
      <c r="MIQ306" s="173"/>
      <c r="MIR306" s="173"/>
      <c r="MIS306" s="173"/>
      <c r="MIT306" s="173"/>
      <c r="MIU306" s="173"/>
      <c r="MIV306" s="173"/>
      <c r="MIW306" s="173"/>
      <c r="MIX306" s="125"/>
      <c r="MIY306" s="125"/>
      <c r="MIZ306" s="134"/>
      <c r="MJA306" s="135"/>
      <c r="MJB306" s="135"/>
      <c r="MJC306" s="135"/>
      <c r="MJD306" s="135"/>
      <c r="MJE306" s="173"/>
      <c r="MJF306" s="173"/>
      <c r="MJG306" s="173"/>
      <c r="MJH306" s="173"/>
      <c r="MJI306" s="173"/>
      <c r="MJJ306" s="173"/>
      <c r="MJK306" s="173"/>
      <c r="MJL306" s="173"/>
      <c r="MJM306" s="173"/>
      <c r="MJN306" s="173"/>
      <c r="MJO306" s="125"/>
      <c r="MJP306" s="125"/>
      <c r="MJQ306" s="134"/>
      <c r="MJR306" s="135"/>
      <c r="MJS306" s="135"/>
      <c r="MJT306" s="135"/>
      <c r="MJU306" s="135"/>
      <c r="MJV306" s="173"/>
      <c r="MJW306" s="173"/>
      <c r="MJX306" s="173"/>
      <c r="MJY306" s="173"/>
      <c r="MJZ306" s="173"/>
      <c r="MKA306" s="173"/>
      <c r="MKB306" s="173"/>
      <c r="MKC306" s="173"/>
      <c r="MKD306" s="173"/>
      <c r="MKE306" s="173"/>
      <c r="MKF306" s="125"/>
      <c r="MKG306" s="125"/>
      <c r="MKH306" s="134"/>
      <c r="MKI306" s="135"/>
      <c r="MKJ306" s="135"/>
      <c r="MKK306" s="135"/>
      <c r="MKL306" s="135"/>
      <c r="MKM306" s="173"/>
      <c r="MKN306" s="173"/>
      <c r="MKO306" s="173"/>
      <c r="MKP306" s="173"/>
      <c r="MKQ306" s="173"/>
      <c r="MKR306" s="173"/>
      <c r="MKS306" s="173"/>
      <c r="MKT306" s="173"/>
      <c r="MKU306" s="173"/>
      <c r="MKV306" s="173"/>
      <c r="MKW306" s="125"/>
      <c r="MKX306" s="125"/>
      <c r="MKY306" s="134"/>
      <c r="MKZ306" s="135"/>
      <c r="MLA306" s="135"/>
      <c r="MLB306" s="135"/>
      <c r="MLC306" s="135"/>
      <c r="MLD306" s="173"/>
      <c r="MLE306" s="173"/>
      <c r="MLF306" s="173"/>
      <c r="MLG306" s="173"/>
      <c r="MLH306" s="173"/>
      <c r="MLI306" s="173"/>
      <c r="MLJ306" s="173"/>
      <c r="MLK306" s="173"/>
      <c r="MLL306" s="173"/>
      <c r="MLM306" s="173"/>
      <c r="MLN306" s="125"/>
      <c r="MLO306" s="125"/>
      <c r="MLP306" s="134"/>
      <c r="MLQ306" s="135"/>
      <c r="MLR306" s="135"/>
      <c r="MLS306" s="135"/>
      <c r="MLT306" s="135"/>
      <c r="MLU306" s="173"/>
      <c r="MLV306" s="173"/>
      <c r="MLW306" s="173"/>
      <c r="MLX306" s="173"/>
      <c r="MLY306" s="173"/>
      <c r="MLZ306" s="173"/>
      <c r="MMA306" s="173"/>
      <c r="MMB306" s="173"/>
      <c r="MMC306" s="173"/>
      <c r="MMD306" s="173"/>
      <c r="MME306" s="125"/>
      <c r="MMF306" s="125"/>
      <c r="MMG306" s="134"/>
      <c r="MMH306" s="135"/>
      <c r="MMI306" s="135"/>
      <c r="MMJ306" s="135"/>
      <c r="MMK306" s="135"/>
      <c r="MML306" s="173"/>
      <c r="MMM306" s="173"/>
      <c r="MMN306" s="173"/>
      <c r="MMO306" s="173"/>
      <c r="MMP306" s="173"/>
      <c r="MMQ306" s="173"/>
      <c r="MMR306" s="173"/>
      <c r="MMS306" s="173"/>
      <c r="MMT306" s="173"/>
      <c r="MMU306" s="173"/>
      <c r="MMV306" s="125"/>
      <c r="MMW306" s="125"/>
      <c r="MMX306" s="134"/>
      <c r="MMY306" s="135"/>
      <c r="MMZ306" s="135"/>
      <c r="MNA306" s="135"/>
      <c r="MNB306" s="135"/>
      <c r="MNC306" s="173"/>
      <c r="MND306" s="173"/>
      <c r="MNE306" s="173"/>
      <c r="MNF306" s="173"/>
      <c r="MNG306" s="173"/>
      <c r="MNH306" s="173"/>
      <c r="MNI306" s="173"/>
      <c r="MNJ306" s="173"/>
      <c r="MNK306" s="173"/>
      <c r="MNL306" s="173"/>
      <c r="MNM306" s="125"/>
      <c r="MNN306" s="125"/>
      <c r="MNO306" s="134"/>
      <c r="MNP306" s="135"/>
      <c r="MNQ306" s="135"/>
      <c r="MNR306" s="135"/>
      <c r="MNS306" s="135"/>
      <c r="MNT306" s="173"/>
      <c r="MNU306" s="173"/>
      <c r="MNV306" s="173"/>
      <c r="MNW306" s="173"/>
      <c r="MNX306" s="173"/>
      <c r="MNY306" s="173"/>
      <c r="MNZ306" s="173"/>
      <c r="MOA306" s="173"/>
      <c r="MOB306" s="173"/>
      <c r="MOC306" s="173"/>
      <c r="MOD306" s="125"/>
      <c r="MOE306" s="125"/>
      <c r="MOF306" s="134"/>
      <c r="MOG306" s="135"/>
      <c r="MOH306" s="135"/>
      <c r="MOI306" s="135"/>
      <c r="MOJ306" s="135"/>
      <c r="MOK306" s="173"/>
      <c r="MOL306" s="173"/>
      <c r="MOM306" s="173"/>
      <c r="MON306" s="173"/>
      <c r="MOO306" s="173"/>
      <c r="MOP306" s="173"/>
      <c r="MOQ306" s="173"/>
      <c r="MOR306" s="173"/>
      <c r="MOS306" s="173"/>
      <c r="MOT306" s="173"/>
      <c r="MOU306" s="125"/>
      <c r="MOV306" s="125"/>
      <c r="MOW306" s="134"/>
      <c r="MOX306" s="135"/>
      <c r="MOY306" s="135"/>
      <c r="MOZ306" s="135"/>
      <c r="MPA306" s="135"/>
      <c r="MPB306" s="173"/>
      <c r="MPC306" s="173"/>
      <c r="MPD306" s="173"/>
      <c r="MPE306" s="173"/>
      <c r="MPF306" s="173"/>
      <c r="MPG306" s="173"/>
      <c r="MPH306" s="173"/>
      <c r="MPI306" s="173"/>
      <c r="MPJ306" s="173"/>
      <c r="MPK306" s="173"/>
      <c r="MPL306" s="125"/>
      <c r="MPM306" s="125"/>
      <c r="MPN306" s="134"/>
      <c r="MPO306" s="135"/>
      <c r="MPP306" s="135"/>
      <c r="MPQ306" s="135"/>
      <c r="MPR306" s="135"/>
      <c r="MPS306" s="173"/>
      <c r="MPT306" s="173"/>
      <c r="MPU306" s="173"/>
      <c r="MPV306" s="173"/>
      <c r="MPW306" s="173"/>
      <c r="MPX306" s="173"/>
      <c r="MPY306" s="173"/>
      <c r="MPZ306" s="173"/>
      <c r="MQA306" s="173"/>
      <c r="MQB306" s="173"/>
      <c r="MQC306" s="125"/>
      <c r="MQD306" s="125"/>
      <c r="MQE306" s="134"/>
      <c r="MQF306" s="135"/>
      <c r="MQG306" s="135"/>
      <c r="MQH306" s="135"/>
      <c r="MQI306" s="135"/>
      <c r="MQJ306" s="173"/>
      <c r="MQK306" s="173"/>
      <c r="MQL306" s="173"/>
      <c r="MQM306" s="173"/>
      <c r="MQN306" s="173"/>
      <c r="MQO306" s="173"/>
      <c r="MQP306" s="173"/>
      <c r="MQQ306" s="173"/>
      <c r="MQR306" s="173"/>
      <c r="MQS306" s="173"/>
      <c r="MQT306" s="125"/>
      <c r="MQU306" s="125"/>
      <c r="MQV306" s="134"/>
      <c r="MQW306" s="135"/>
      <c r="MQX306" s="135"/>
      <c r="MQY306" s="135"/>
      <c r="MQZ306" s="135"/>
      <c r="MRA306" s="173"/>
      <c r="MRB306" s="173"/>
      <c r="MRC306" s="173"/>
      <c r="MRD306" s="173"/>
      <c r="MRE306" s="173"/>
      <c r="MRF306" s="173"/>
      <c r="MRG306" s="173"/>
      <c r="MRH306" s="173"/>
      <c r="MRI306" s="173"/>
      <c r="MRJ306" s="173"/>
      <c r="MRK306" s="125"/>
      <c r="MRL306" s="125"/>
      <c r="MRM306" s="134"/>
      <c r="MRN306" s="135"/>
      <c r="MRO306" s="135"/>
      <c r="MRP306" s="135"/>
      <c r="MRQ306" s="135"/>
      <c r="MRR306" s="173"/>
      <c r="MRS306" s="173"/>
      <c r="MRT306" s="173"/>
      <c r="MRU306" s="173"/>
      <c r="MRV306" s="173"/>
      <c r="MRW306" s="173"/>
      <c r="MRX306" s="173"/>
      <c r="MRY306" s="173"/>
      <c r="MRZ306" s="173"/>
      <c r="MSA306" s="173"/>
      <c r="MSB306" s="125"/>
      <c r="MSC306" s="125"/>
      <c r="MSD306" s="134"/>
      <c r="MSE306" s="135"/>
      <c r="MSF306" s="135"/>
      <c r="MSG306" s="135"/>
      <c r="MSH306" s="135"/>
      <c r="MSI306" s="173"/>
      <c r="MSJ306" s="173"/>
      <c r="MSK306" s="173"/>
      <c r="MSL306" s="173"/>
      <c r="MSM306" s="173"/>
      <c r="MSN306" s="173"/>
      <c r="MSO306" s="173"/>
      <c r="MSP306" s="173"/>
      <c r="MSQ306" s="173"/>
      <c r="MSR306" s="173"/>
      <c r="MSS306" s="125"/>
      <c r="MST306" s="125"/>
      <c r="MSU306" s="134"/>
      <c r="MSV306" s="135"/>
      <c r="MSW306" s="135"/>
      <c r="MSX306" s="135"/>
      <c r="MSY306" s="135"/>
      <c r="MSZ306" s="173"/>
      <c r="MTA306" s="173"/>
      <c r="MTB306" s="173"/>
      <c r="MTC306" s="173"/>
      <c r="MTD306" s="173"/>
      <c r="MTE306" s="173"/>
      <c r="MTF306" s="173"/>
      <c r="MTG306" s="173"/>
      <c r="MTH306" s="173"/>
      <c r="MTI306" s="173"/>
      <c r="MTJ306" s="125"/>
      <c r="MTK306" s="125"/>
      <c r="MTL306" s="134"/>
      <c r="MTM306" s="135"/>
      <c r="MTN306" s="135"/>
      <c r="MTO306" s="135"/>
      <c r="MTP306" s="135"/>
      <c r="MTQ306" s="173"/>
      <c r="MTR306" s="173"/>
      <c r="MTS306" s="173"/>
      <c r="MTT306" s="173"/>
      <c r="MTU306" s="173"/>
      <c r="MTV306" s="173"/>
      <c r="MTW306" s="173"/>
      <c r="MTX306" s="173"/>
      <c r="MTY306" s="173"/>
      <c r="MTZ306" s="173"/>
      <c r="MUA306" s="125"/>
      <c r="MUB306" s="125"/>
      <c r="MUC306" s="134"/>
      <c r="MUD306" s="135"/>
      <c r="MUE306" s="135"/>
      <c r="MUF306" s="135"/>
      <c r="MUG306" s="135"/>
      <c r="MUH306" s="173"/>
      <c r="MUI306" s="173"/>
      <c r="MUJ306" s="173"/>
      <c r="MUK306" s="173"/>
      <c r="MUL306" s="173"/>
      <c r="MUM306" s="173"/>
      <c r="MUN306" s="173"/>
      <c r="MUO306" s="173"/>
      <c r="MUP306" s="173"/>
      <c r="MUQ306" s="173"/>
      <c r="MUR306" s="125"/>
      <c r="MUS306" s="125"/>
      <c r="MUT306" s="134"/>
      <c r="MUU306" s="135"/>
      <c r="MUV306" s="135"/>
      <c r="MUW306" s="135"/>
      <c r="MUX306" s="135"/>
      <c r="MUY306" s="173"/>
      <c r="MUZ306" s="173"/>
      <c r="MVA306" s="173"/>
      <c r="MVB306" s="173"/>
      <c r="MVC306" s="173"/>
      <c r="MVD306" s="173"/>
      <c r="MVE306" s="173"/>
      <c r="MVF306" s="173"/>
      <c r="MVG306" s="173"/>
      <c r="MVH306" s="173"/>
      <c r="MVI306" s="125"/>
      <c r="MVJ306" s="125"/>
      <c r="MVK306" s="134"/>
      <c r="MVL306" s="135"/>
      <c r="MVM306" s="135"/>
      <c r="MVN306" s="135"/>
      <c r="MVO306" s="135"/>
      <c r="MVP306" s="173"/>
      <c r="MVQ306" s="173"/>
      <c r="MVR306" s="173"/>
      <c r="MVS306" s="173"/>
      <c r="MVT306" s="173"/>
      <c r="MVU306" s="173"/>
      <c r="MVV306" s="173"/>
      <c r="MVW306" s="173"/>
      <c r="MVX306" s="173"/>
      <c r="MVY306" s="173"/>
      <c r="MVZ306" s="125"/>
      <c r="MWA306" s="125"/>
      <c r="MWB306" s="134"/>
      <c r="MWC306" s="135"/>
      <c r="MWD306" s="135"/>
      <c r="MWE306" s="135"/>
      <c r="MWF306" s="135"/>
      <c r="MWG306" s="173"/>
      <c r="MWH306" s="173"/>
      <c r="MWI306" s="173"/>
      <c r="MWJ306" s="173"/>
      <c r="MWK306" s="173"/>
      <c r="MWL306" s="173"/>
      <c r="MWM306" s="173"/>
      <c r="MWN306" s="173"/>
      <c r="MWO306" s="173"/>
      <c r="MWP306" s="173"/>
      <c r="MWQ306" s="125"/>
      <c r="MWR306" s="125"/>
      <c r="MWS306" s="134"/>
      <c r="MWT306" s="135"/>
      <c r="MWU306" s="135"/>
      <c r="MWV306" s="135"/>
      <c r="MWW306" s="135"/>
      <c r="MWX306" s="173"/>
      <c r="MWY306" s="173"/>
      <c r="MWZ306" s="173"/>
      <c r="MXA306" s="173"/>
      <c r="MXB306" s="173"/>
      <c r="MXC306" s="173"/>
      <c r="MXD306" s="173"/>
      <c r="MXE306" s="173"/>
      <c r="MXF306" s="173"/>
      <c r="MXG306" s="173"/>
      <c r="MXH306" s="125"/>
      <c r="MXI306" s="125"/>
      <c r="MXJ306" s="134"/>
      <c r="MXK306" s="135"/>
      <c r="MXL306" s="135"/>
      <c r="MXM306" s="135"/>
      <c r="MXN306" s="135"/>
      <c r="MXO306" s="173"/>
      <c r="MXP306" s="173"/>
      <c r="MXQ306" s="173"/>
      <c r="MXR306" s="173"/>
      <c r="MXS306" s="173"/>
      <c r="MXT306" s="173"/>
      <c r="MXU306" s="173"/>
      <c r="MXV306" s="173"/>
      <c r="MXW306" s="173"/>
      <c r="MXX306" s="173"/>
      <c r="MXY306" s="125"/>
      <c r="MXZ306" s="125"/>
      <c r="MYA306" s="134"/>
      <c r="MYB306" s="135"/>
      <c r="MYC306" s="135"/>
      <c r="MYD306" s="135"/>
      <c r="MYE306" s="135"/>
      <c r="MYF306" s="173"/>
      <c r="MYG306" s="173"/>
      <c r="MYH306" s="173"/>
      <c r="MYI306" s="173"/>
      <c r="MYJ306" s="173"/>
      <c r="MYK306" s="173"/>
      <c r="MYL306" s="173"/>
      <c r="MYM306" s="173"/>
      <c r="MYN306" s="173"/>
      <c r="MYO306" s="173"/>
      <c r="MYP306" s="125"/>
      <c r="MYQ306" s="125"/>
      <c r="MYR306" s="134"/>
      <c r="MYS306" s="135"/>
      <c r="MYT306" s="135"/>
      <c r="MYU306" s="135"/>
      <c r="MYV306" s="135"/>
      <c r="MYW306" s="173"/>
      <c r="MYX306" s="173"/>
      <c r="MYY306" s="173"/>
      <c r="MYZ306" s="173"/>
      <c r="MZA306" s="173"/>
      <c r="MZB306" s="173"/>
      <c r="MZC306" s="173"/>
      <c r="MZD306" s="173"/>
      <c r="MZE306" s="173"/>
      <c r="MZF306" s="173"/>
      <c r="MZG306" s="125"/>
      <c r="MZH306" s="125"/>
      <c r="MZI306" s="134"/>
      <c r="MZJ306" s="135"/>
      <c r="MZK306" s="135"/>
      <c r="MZL306" s="135"/>
      <c r="MZM306" s="135"/>
      <c r="MZN306" s="173"/>
      <c r="MZO306" s="173"/>
      <c r="MZP306" s="173"/>
      <c r="MZQ306" s="173"/>
      <c r="MZR306" s="173"/>
      <c r="MZS306" s="173"/>
      <c r="MZT306" s="173"/>
      <c r="MZU306" s="173"/>
      <c r="MZV306" s="173"/>
      <c r="MZW306" s="173"/>
      <c r="MZX306" s="125"/>
      <c r="MZY306" s="125"/>
      <c r="MZZ306" s="134"/>
      <c r="NAA306" s="135"/>
      <c r="NAB306" s="135"/>
      <c r="NAC306" s="135"/>
      <c r="NAD306" s="135"/>
      <c r="NAE306" s="173"/>
      <c r="NAF306" s="173"/>
      <c r="NAG306" s="173"/>
      <c r="NAH306" s="173"/>
      <c r="NAI306" s="173"/>
      <c r="NAJ306" s="173"/>
      <c r="NAK306" s="173"/>
      <c r="NAL306" s="173"/>
      <c r="NAM306" s="173"/>
      <c r="NAN306" s="173"/>
      <c r="NAO306" s="125"/>
      <c r="NAP306" s="125"/>
      <c r="NAQ306" s="134"/>
      <c r="NAR306" s="135"/>
      <c r="NAS306" s="135"/>
      <c r="NAT306" s="135"/>
      <c r="NAU306" s="135"/>
      <c r="NAV306" s="173"/>
      <c r="NAW306" s="173"/>
      <c r="NAX306" s="173"/>
      <c r="NAY306" s="173"/>
      <c r="NAZ306" s="173"/>
      <c r="NBA306" s="173"/>
      <c r="NBB306" s="173"/>
      <c r="NBC306" s="173"/>
      <c r="NBD306" s="173"/>
      <c r="NBE306" s="173"/>
      <c r="NBF306" s="125"/>
      <c r="NBG306" s="125"/>
      <c r="NBH306" s="134"/>
      <c r="NBI306" s="135"/>
      <c r="NBJ306" s="135"/>
      <c r="NBK306" s="135"/>
      <c r="NBL306" s="135"/>
      <c r="NBM306" s="173"/>
      <c r="NBN306" s="173"/>
      <c r="NBO306" s="173"/>
      <c r="NBP306" s="173"/>
      <c r="NBQ306" s="173"/>
      <c r="NBR306" s="173"/>
      <c r="NBS306" s="173"/>
      <c r="NBT306" s="173"/>
      <c r="NBU306" s="173"/>
      <c r="NBV306" s="173"/>
      <c r="NBW306" s="125"/>
      <c r="NBX306" s="125"/>
      <c r="NBY306" s="134"/>
      <c r="NBZ306" s="135"/>
      <c r="NCA306" s="135"/>
      <c r="NCB306" s="135"/>
      <c r="NCC306" s="135"/>
      <c r="NCD306" s="173"/>
      <c r="NCE306" s="173"/>
      <c r="NCF306" s="173"/>
      <c r="NCG306" s="173"/>
      <c r="NCH306" s="173"/>
      <c r="NCI306" s="173"/>
      <c r="NCJ306" s="173"/>
      <c r="NCK306" s="173"/>
      <c r="NCL306" s="173"/>
      <c r="NCM306" s="173"/>
      <c r="NCN306" s="125"/>
      <c r="NCO306" s="125"/>
      <c r="NCP306" s="134"/>
      <c r="NCQ306" s="135"/>
      <c r="NCR306" s="135"/>
      <c r="NCS306" s="135"/>
      <c r="NCT306" s="135"/>
      <c r="NCU306" s="173"/>
      <c r="NCV306" s="173"/>
      <c r="NCW306" s="173"/>
      <c r="NCX306" s="173"/>
      <c r="NCY306" s="173"/>
      <c r="NCZ306" s="173"/>
      <c r="NDA306" s="173"/>
      <c r="NDB306" s="173"/>
      <c r="NDC306" s="173"/>
      <c r="NDD306" s="173"/>
      <c r="NDE306" s="125"/>
      <c r="NDF306" s="125"/>
      <c r="NDG306" s="134"/>
      <c r="NDH306" s="135"/>
      <c r="NDI306" s="135"/>
      <c r="NDJ306" s="135"/>
      <c r="NDK306" s="135"/>
      <c r="NDL306" s="173"/>
      <c r="NDM306" s="173"/>
      <c r="NDN306" s="173"/>
      <c r="NDO306" s="173"/>
      <c r="NDP306" s="173"/>
      <c r="NDQ306" s="173"/>
      <c r="NDR306" s="173"/>
      <c r="NDS306" s="173"/>
      <c r="NDT306" s="173"/>
      <c r="NDU306" s="173"/>
      <c r="NDV306" s="125"/>
      <c r="NDW306" s="125"/>
      <c r="NDX306" s="134"/>
      <c r="NDY306" s="135"/>
      <c r="NDZ306" s="135"/>
      <c r="NEA306" s="135"/>
      <c r="NEB306" s="135"/>
      <c r="NEC306" s="173"/>
      <c r="NED306" s="173"/>
      <c r="NEE306" s="173"/>
      <c r="NEF306" s="173"/>
      <c r="NEG306" s="173"/>
      <c r="NEH306" s="173"/>
      <c r="NEI306" s="173"/>
      <c r="NEJ306" s="173"/>
      <c r="NEK306" s="173"/>
      <c r="NEL306" s="173"/>
      <c r="NEM306" s="125"/>
      <c r="NEN306" s="125"/>
      <c r="NEO306" s="134"/>
      <c r="NEP306" s="135"/>
      <c r="NEQ306" s="135"/>
      <c r="NER306" s="135"/>
      <c r="NES306" s="135"/>
      <c r="NET306" s="173"/>
      <c r="NEU306" s="173"/>
      <c r="NEV306" s="173"/>
      <c r="NEW306" s="173"/>
      <c r="NEX306" s="173"/>
      <c r="NEY306" s="173"/>
      <c r="NEZ306" s="173"/>
      <c r="NFA306" s="173"/>
      <c r="NFB306" s="173"/>
      <c r="NFC306" s="173"/>
      <c r="NFD306" s="125"/>
      <c r="NFE306" s="125"/>
      <c r="NFF306" s="134"/>
      <c r="NFG306" s="135"/>
      <c r="NFH306" s="135"/>
      <c r="NFI306" s="135"/>
      <c r="NFJ306" s="135"/>
      <c r="NFK306" s="173"/>
      <c r="NFL306" s="173"/>
      <c r="NFM306" s="173"/>
      <c r="NFN306" s="173"/>
      <c r="NFO306" s="173"/>
      <c r="NFP306" s="173"/>
      <c r="NFQ306" s="173"/>
      <c r="NFR306" s="173"/>
      <c r="NFS306" s="173"/>
      <c r="NFT306" s="173"/>
      <c r="NFU306" s="125"/>
      <c r="NFV306" s="125"/>
      <c r="NFW306" s="134"/>
      <c r="NFX306" s="135"/>
      <c r="NFY306" s="135"/>
      <c r="NFZ306" s="135"/>
      <c r="NGA306" s="135"/>
      <c r="NGB306" s="173"/>
      <c r="NGC306" s="173"/>
      <c r="NGD306" s="173"/>
      <c r="NGE306" s="173"/>
      <c r="NGF306" s="173"/>
      <c r="NGG306" s="173"/>
      <c r="NGH306" s="173"/>
      <c r="NGI306" s="173"/>
      <c r="NGJ306" s="173"/>
      <c r="NGK306" s="173"/>
      <c r="NGL306" s="125"/>
      <c r="NGM306" s="125"/>
      <c r="NGN306" s="134"/>
      <c r="NGO306" s="135"/>
      <c r="NGP306" s="135"/>
      <c r="NGQ306" s="135"/>
      <c r="NGR306" s="135"/>
      <c r="NGS306" s="173"/>
      <c r="NGT306" s="173"/>
      <c r="NGU306" s="173"/>
      <c r="NGV306" s="173"/>
      <c r="NGW306" s="173"/>
      <c r="NGX306" s="173"/>
      <c r="NGY306" s="173"/>
      <c r="NGZ306" s="173"/>
      <c r="NHA306" s="173"/>
      <c r="NHB306" s="173"/>
      <c r="NHC306" s="125"/>
      <c r="NHD306" s="125"/>
      <c r="NHE306" s="134"/>
      <c r="NHF306" s="135"/>
      <c r="NHG306" s="135"/>
      <c r="NHH306" s="135"/>
      <c r="NHI306" s="135"/>
      <c r="NHJ306" s="173"/>
      <c r="NHK306" s="173"/>
      <c r="NHL306" s="173"/>
      <c r="NHM306" s="173"/>
      <c r="NHN306" s="173"/>
      <c r="NHO306" s="173"/>
      <c r="NHP306" s="173"/>
      <c r="NHQ306" s="173"/>
      <c r="NHR306" s="173"/>
      <c r="NHS306" s="173"/>
      <c r="NHT306" s="125"/>
      <c r="NHU306" s="125"/>
      <c r="NHV306" s="134"/>
      <c r="NHW306" s="135"/>
      <c r="NHX306" s="135"/>
      <c r="NHY306" s="135"/>
      <c r="NHZ306" s="135"/>
      <c r="NIA306" s="173"/>
      <c r="NIB306" s="173"/>
      <c r="NIC306" s="173"/>
      <c r="NID306" s="173"/>
      <c r="NIE306" s="173"/>
      <c r="NIF306" s="173"/>
      <c r="NIG306" s="173"/>
      <c r="NIH306" s="173"/>
      <c r="NII306" s="173"/>
      <c r="NIJ306" s="173"/>
      <c r="NIK306" s="125"/>
      <c r="NIL306" s="125"/>
      <c r="NIM306" s="134"/>
      <c r="NIN306" s="135"/>
      <c r="NIO306" s="135"/>
      <c r="NIP306" s="135"/>
      <c r="NIQ306" s="135"/>
      <c r="NIR306" s="173"/>
      <c r="NIS306" s="173"/>
      <c r="NIT306" s="173"/>
      <c r="NIU306" s="173"/>
      <c r="NIV306" s="173"/>
      <c r="NIW306" s="173"/>
      <c r="NIX306" s="173"/>
      <c r="NIY306" s="173"/>
      <c r="NIZ306" s="173"/>
      <c r="NJA306" s="173"/>
      <c r="NJB306" s="125"/>
      <c r="NJC306" s="125"/>
      <c r="NJD306" s="134"/>
      <c r="NJE306" s="135"/>
      <c r="NJF306" s="135"/>
      <c r="NJG306" s="135"/>
      <c r="NJH306" s="135"/>
      <c r="NJI306" s="173"/>
      <c r="NJJ306" s="173"/>
      <c r="NJK306" s="173"/>
      <c r="NJL306" s="173"/>
      <c r="NJM306" s="173"/>
      <c r="NJN306" s="173"/>
      <c r="NJO306" s="173"/>
      <c r="NJP306" s="173"/>
      <c r="NJQ306" s="173"/>
      <c r="NJR306" s="173"/>
      <c r="NJS306" s="125"/>
      <c r="NJT306" s="125"/>
      <c r="NJU306" s="134"/>
      <c r="NJV306" s="135"/>
      <c r="NJW306" s="135"/>
      <c r="NJX306" s="135"/>
      <c r="NJY306" s="135"/>
      <c r="NJZ306" s="173"/>
      <c r="NKA306" s="173"/>
      <c r="NKB306" s="173"/>
      <c r="NKC306" s="173"/>
      <c r="NKD306" s="173"/>
      <c r="NKE306" s="173"/>
      <c r="NKF306" s="173"/>
      <c r="NKG306" s="173"/>
      <c r="NKH306" s="173"/>
      <c r="NKI306" s="173"/>
      <c r="NKJ306" s="125"/>
      <c r="NKK306" s="125"/>
      <c r="NKL306" s="134"/>
      <c r="NKM306" s="135"/>
      <c r="NKN306" s="135"/>
      <c r="NKO306" s="135"/>
      <c r="NKP306" s="135"/>
      <c r="NKQ306" s="173"/>
      <c r="NKR306" s="173"/>
      <c r="NKS306" s="173"/>
      <c r="NKT306" s="173"/>
      <c r="NKU306" s="173"/>
      <c r="NKV306" s="173"/>
      <c r="NKW306" s="173"/>
      <c r="NKX306" s="173"/>
      <c r="NKY306" s="173"/>
      <c r="NKZ306" s="173"/>
      <c r="NLA306" s="125"/>
      <c r="NLB306" s="125"/>
      <c r="NLC306" s="134"/>
      <c r="NLD306" s="135"/>
      <c r="NLE306" s="135"/>
      <c r="NLF306" s="135"/>
      <c r="NLG306" s="135"/>
      <c r="NLH306" s="173"/>
      <c r="NLI306" s="173"/>
      <c r="NLJ306" s="173"/>
      <c r="NLK306" s="173"/>
      <c r="NLL306" s="173"/>
      <c r="NLM306" s="173"/>
      <c r="NLN306" s="173"/>
      <c r="NLO306" s="173"/>
      <c r="NLP306" s="173"/>
      <c r="NLQ306" s="173"/>
      <c r="NLR306" s="125"/>
      <c r="NLS306" s="125"/>
      <c r="NLT306" s="134"/>
      <c r="NLU306" s="135"/>
      <c r="NLV306" s="135"/>
      <c r="NLW306" s="135"/>
      <c r="NLX306" s="135"/>
      <c r="NLY306" s="173"/>
      <c r="NLZ306" s="173"/>
      <c r="NMA306" s="173"/>
      <c r="NMB306" s="173"/>
      <c r="NMC306" s="173"/>
      <c r="NMD306" s="173"/>
      <c r="NME306" s="173"/>
      <c r="NMF306" s="173"/>
      <c r="NMG306" s="173"/>
      <c r="NMH306" s="173"/>
      <c r="NMI306" s="125"/>
      <c r="NMJ306" s="125"/>
      <c r="NMK306" s="134"/>
      <c r="NML306" s="135"/>
      <c r="NMM306" s="135"/>
      <c r="NMN306" s="135"/>
      <c r="NMO306" s="135"/>
      <c r="NMP306" s="173"/>
      <c r="NMQ306" s="173"/>
      <c r="NMR306" s="173"/>
      <c r="NMS306" s="173"/>
      <c r="NMT306" s="173"/>
      <c r="NMU306" s="173"/>
      <c r="NMV306" s="173"/>
      <c r="NMW306" s="173"/>
      <c r="NMX306" s="173"/>
      <c r="NMY306" s="173"/>
      <c r="NMZ306" s="125"/>
      <c r="NNA306" s="125"/>
      <c r="NNB306" s="134"/>
      <c r="NNC306" s="135"/>
      <c r="NND306" s="135"/>
      <c r="NNE306" s="135"/>
      <c r="NNF306" s="135"/>
      <c r="NNG306" s="173"/>
      <c r="NNH306" s="173"/>
      <c r="NNI306" s="173"/>
      <c r="NNJ306" s="173"/>
      <c r="NNK306" s="173"/>
      <c r="NNL306" s="173"/>
      <c r="NNM306" s="173"/>
      <c r="NNN306" s="173"/>
      <c r="NNO306" s="173"/>
      <c r="NNP306" s="173"/>
      <c r="NNQ306" s="125"/>
      <c r="NNR306" s="125"/>
      <c r="NNS306" s="134"/>
      <c r="NNT306" s="135"/>
      <c r="NNU306" s="135"/>
      <c r="NNV306" s="135"/>
      <c r="NNW306" s="135"/>
      <c r="NNX306" s="173"/>
      <c r="NNY306" s="173"/>
      <c r="NNZ306" s="173"/>
      <c r="NOA306" s="173"/>
      <c r="NOB306" s="173"/>
      <c r="NOC306" s="173"/>
      <c r="NOD306" s="173"/>
      <c r="NOE306" s="173"/>
      <c r="NOF306" s="173"/>
      <c r="NOG306" s="173"/>
      <c r="NOH306" s="125"/>
      <c r="NOI306" s="125"/>
      <c r="NOJ306" s="134"/>
      <c r="NOK306" s="135"/>
      <c r="NOL306" s="135"/>
      <c r="NOM306" s="135"/>
      <c r="NON306" s="135"/>
      <c r="NOO306" s="173"/>
      <c r="NOP306" s="173"/>
      <c r="NOQ306" s="173"/>
      <c r="NOR306" s="173"/>
      <c r="NOS306" s="173"/>
      <c r="NOT306" s="173"/>
      <c r="NOU306" s="173"/>
      <c r="NOV306" s="173"/>
      <c r="NOW306" s="173"/>
      <c r="NOX306" s="173"/>
      <c r="NOY306" s="125"/>
      <c r="NOZ306" s="125"/>
      <c r="NPA306" s="134"/>
      <c r="NPB306" s="135"/>
      <c r="NPC306" s="135"/>
      <c r="NPD306" s="135"/>
      <c r="NPE306" s="135"/>
      <c r="NPF306" s="173"/>
      <c r="NPG306" s="173"/>
      <c r="NPH306" s="173"/>
      <c r="NPI306" s="173"/>
      <c r="NPJ306" s="173"/>
      <c r="NPK306" s="173"/>
      <c r="NPL306" s="173"/>
      <c r="NPM306" s="173"/>
      <c r="NPN306" s="173"/>
      <c r="NPO306" s="173"/>
      <c r="NPP306" s="125"/>
      <c r="NPQ306" s="125"/>
      <c r="NPR306" s="134"/>
      <c r="NPS306" s="135"/>
      <c r="NPT306" s="135"/>
      <c r="NPU306" s="135"/>
      <c r="NPV306" s="135"/>
      <c r="NPW306" s="173"/>
      <c r="NPX306" s="173"/>
      <c r="NPY306" s="173"/>
      <c r="NPZ306" s="173"/>
      <c r="NQA306" s="173"/>
      <c r="NQB306" s="173"/>
      <c r="NQC306" s="173"/>
      <c r="NQD306" s="173"/>
      <c r="NQE306" s="173"/>
      <c r="NQF306" s="173"/>
      <c r="NQG306" s="125"/>
      <c r="NQH306" s="125"/>
      <c r="NQI306" s="134"/>
      <c r="NQJ306" s="135"/>
      <c r="NQK306" s="135"/>
      <c r="NQL306" s="135"/>
      <c r="NQM306" s="135"/>
      <c r="NQN306" s="173"/>
      <c r="NQO306" s="173"/>
      <c r="NQP306" s="173"/>
      <c r="NQQ306" s="173"/>
      <c r="NQR306" s="173"/>
      <c r="NQS306" s="173"/>
      <c r="NQT306" s="173"/>
      <c r="NQU306" s="173"/>
      <c r="NQV306" s="173"/>
      <c r="NQW306" s="173"/>
      <c r="NQX306" s="125"/>
      <c r="NQY306" s="125"/>
      <c r="NQZ306" s="134"/>
      <c r="NRA306" s="135"/>
      <c r="NRB306" s="135"/>
      <c r="NRC306" s="135"/>
      <c r="NRD306" s="135"/>
      <c r="NRE306" s="173"/>
      <c r="NRF306" s="173"/>
      <c r="NRG306" s="173"/>
      <c r="NRH306" s="173"/>
      <c r="NRI306" s="173"/>
      <c r="NRJ306" s="173"/>
      <c r="NRK306" s="173"/>
      <c r="NRL306" s="173"/>
      <c r="NRM306" s="173"/>
      <c r="NRN306" s="173"/>
      <c r="NRO306" s="125"/>
      <c r="NRP306" s="125"/>
      <c r="NRQ306" s="134"/>
      <c r="NRR306" s="135"/>
      <c r="NRS306" s="135"/>
      <c r="NRT306" s="135"/>
      <c r="NRU306" s="135"/>
      <c r="NRV306" s="173"/>
      <c r="NRW306" s="173"/>
      <c r="NRX306" s="173"/>
      <c r="NRY306" s="173"/>
      <c r="NRZ306" s="173"/>
      <c r="NSA306" s="173"/>
      <c r="NSB306" s="173"/>
      <c r="NSC306" s="173"/>
      <c r="NSD306" s="173"/>
      <c r="NSE306" s="173"/>
      <c r="NSF306" s="125"/>
      <c r="NSG306" s="125"/>
      <c r="NSH306" s="134"/>
      <c r="NSI306" s="135"/>
      <c r="NSJ306" s="135"/>
      <c r="NSK306" s="135"/>
      <c r="NSL306" s="135"/>
      <c r="NSM306" s="173"/>
      <c r="NSN306" s="173"/>
      <c r="NSO306" s="173"/>
      <c r="NSP306" s="173"/>
      <c r="NSQ306" s="173"/>
      <c r="NSR306" s="173"/>
      <c r="NSS306" s="173"/>
      <c r="NST306" s="173"/>
      <c r="NSU306" s="173"/>
      <c r="NSV306" s="173"/>
      <c r="NSW306" s="125"/>
      <c r="NSX306" s="125"/>
      <c r="NSY306" s="134"/>
      <c r="NSZ306" s="135"/>
      <c r="NTA306" s="135"/>
      <c r="NTB306" s="135"/>
      <c r="NTC306" s="135"/>
      <c r="NTD306" s="173"/>
      <c r="NTE306" s="173"/>
      <c r="NTF306" s="173"/>
      <c r="NTG306" s="173"/>
      <c r="NTH306" s="173"/>
      <c r="NTI306" s="173"/>
      <c r="NTJ306" s="173"/>
      <c r="NTK306" s="173"/>
      <c r="NTL306" s="173"/>
      <c r="NTM306" s="173"/>
      <c r="NTN306" s="125"/>
      <c r="NTO306" s="125"/>
      <c r="NTP306" s="134"/>
      <c r="NTQ306" s="135"/>
      <c r="NTR306" s="135"/>
      <c r="NTS306" s="135"/>
      <c r="NTT306" s="135"/>
      <c r="NTU306" s="173"/>
      <c r="NTV306" s="173"/>
      <c r="NTW306" s="173"/>
      <c r="NTX306" s="173"/>
      <c r="NTY306" s="173"/>
      <c r="NTZ306" s="173"/>
      <c r="NUA306" s="173"/>
      <c r="NUB306" s="173"/>
      <c r="NUC306" s="173"/>
      <c r="NUD306" s="173"/>
      <c r="NUE306" s="125"/>
      <c r="NUF306" s="125"/>
      <c r="NUG306" s="134"/>
      <c r="NUH306" s="135"/>
      <c r="NUI306" s="135"/>
      <c r="NUJ306" s="135"/>
      <c r="NUK306" s="135"/>
      <c r="NUL306" s="173"/>
      <c r="NUM306" s="173"/>
      <c r="NUN306" s="173"/>
      <c r="NUO306" s="173"/>
      <c r="NUP306" s="173"/>
      <c r="NUQ306" s="173"/>
      <c r="NUR306" s="173"/>
      <c r="NUS306" s="173"/>
      <c r="NUT306" s="173"/>
      <c r="NUU306" s="173"/>
      <c r="NUV306" s="125"/>
      <c r="NUW306" s="125"/>
      <c r="NUX306" s="134"/>
      <c r="NUY306" s="135"/>
      <c r="NUZ306" s="135"/>
      <c r="NVA306" s="135"/>
      <c r="NVB306" s="135"/>
      <c r="NVC306" s="173"/>
      <c r="NVD306" s="173"/>
      <c r="NVE306" s="173"/>
      <c r="NVF306" s="173"/>
      <c r="NVG306" s="173"/>
      <c r="NVH306" s="173"/>
      <c r="NVI306" s="173"/>
      <c r="NVJ306" s="173"/>
      <c r="NVK306" s="173"/>
      <c r="NVL306" s="173"/>
      <c r="NVM306" s="125"/>
      <c r="NVN306" s="125"/>
      <c r="NVO306" s="134"/>
      <c r="NVP306" s="135"/>
      <c r="NVQ306" s="135"/>
      <c r="NVR306" s="135"/>
      <c r="NVS306" s="135"/>
      <c r="NVT306" s="173"/>
      <c r="NVU306" s="173"/>
      <c r="NVV306" s="173"/>
      <c r="NVW306" s="173"/>
      <c r="NVX306" s="173"/>
      <c r="NVY306" s="173"/>
      <c r="NVZ306" s="173"/>
      <c r="NWA306" s="173"/>
      <c r="NWB306" s="173"/>
      <c r="NWC306" s="173"/>
      <c r="NWD306" s="125"/>
      <c r="NWE306" s="125"/>
      <c r="NWF306" s="134"/>
      <c r="NWG306" s="135"/>
      <c r="NWH306" s="135"/>
      <c r="NWI306" s="135"/>
      <c r="NWJ306" s="135"/>
      <c r="NWK306" s="173"/>
      <c r="NWL306" s="173"/>
      <c r="NWM306" s="173"/>
      <c r="NWN306" s="173"/>
      <c r="NWO306" s="173"/>
      <c r="NWP306" s="173"/>
      <c r="NWQ306" s="173"/>
      <c r="NWR306" s="173"/>
      <c r="NWS306" s="173"/>
      <c r="NWT306" s="173"/>
      <c r="NWU306" s="125"/>
      <c r="NWV306" s="125"/>
      <c r="NWW306" s="134"/>
      <c r="NWX306" s="135"/>
      <c r="NWY306" s="135"/>
      <c r="NWZ306" s="135"/>
      <c r="NXA306" s="135"/>
      <c r="NXB306" s="173"/>
      <c r="NXC306" s="173"/>
      <c r="NXD306" s="173"/>
      <c r="NXE306" s="173"/>
      <c r="NXF306" s="173"/>
      <c r="NXG306" s="173"/>
      <c r="NXH306" s="173"/>
      <c r="NXI306" s="173"/>
      <c r="NXJ306" s="173"/>
      <c r="NXK306" s="173"/>
      <c r="NXL306" s="125"/>
      <c r="NXM306" s="125"/>
      <c r="NXN306" s="134"/>
      <c r="NXO306" s="135"/>
      <c r="NXP306" s="135"/>
      <c r="NXQ306" s="135"/>
      <c r="NXR306" s="135"/>
      <c r="NXS306" s="173"/>
      <c r="NXT306" s="173"/>
      <c r="NXU306" s="173"/>
      <c r="NXV306" s="173"/>
      <c r="NXW306" s="173"/>
      <c r="NXX306" s="173"/>
      <c r="NXY306" s="173"/>
      <c r="NXZ306" s="173"/>
      <c r="NYA306" s="173"/>
      <c r="NYB306" s="173"/>
      <c r="NYC306" s="125"/>
      <c r="NYD306" s="125"/>
      <c r="NYE306" s="134"/>
      <c r="NYF306" s="135"/>
      <c r="NYG306" s="135"/>
      <c r="NYH306" s="135"/>
      <c r="NYI306" s="135"/>
      <c r="NYJ306" s="173"/>
      <c r="NYK306" s="173"/>
      <c r="NYL306" s="173"/>
      <c r="NYM306" s="173"/>
      <c r="NYN306" s="173"/>
      <c r="NYO306" s="173"/>
      <c r="NYP306" s="173"/>
      <c r="NYQ306" s="173"/>
      <c r="NYR306" s="173"/>
      <c r="NYS306" s="173"/>
      <c r="NYT306" s="125"/>
      <c r="NYU306" s="125"/>
      <c r="NYV306" s="134"/>
      <c r="NYW306" s="135"/>
      <c r="NYX306" s="135"/>
      <c r="NYY306" s="135"/>
      <c r="NYZ306" s="135"/>
      <c r="NZA306" s="173"/>
      <c r="NZB306" s="173"/>
      <c r="NZC306" s="173"/>
      <c r="NZD306" s="173"/>
      <c r="NZE306" s="173"/>
      <c r="NZF306" s="173"/>
      <c r="NZG306" s="173"/>
      <c r="NZH306" s="173"/>
      <c r="NZI306" s="173"/>
      <c r="NZJ306" s="173"/>
      <c r="NZK306" s="125"/>
      <c r="NZL306" s="125"/>
      <c r="NZM306" s="134"/>
      <c r="NZN306" s="135"/>
      <c r="NZO306" s="135"/>
      <c r="NZP306" s="135"/>
      <c r="NZQ306" s="135"/>
      <c r="NZR306" s="173"/>
      <c r="NZS306" s="173"/>
      <c r="NZT306" s="173"/>
      <c r="NZU306" s="173"/>
      <c r="NZV306" s="173"/>
      <c r="NZW306" s="173"/>
      <c r="NZX306" s="173"/>
      <c r="NZY306" s="173"/>
      <c r="NZZ306" s="173"/>
      <c r="OAA306" s="173"/>
      <c r="OAB306" s="125"/>
      <c r="OAC306" s="125"/>
      <c r="OAD306" s="134"/>
      <c r="OAE306" s="135"/>
      <c r="OAF306" s="135"/>
      <c r="OAG306" s="135"/>
      <c r="OAH306" s="135"/>
      <c r="OAI306" s="173"/>
      <c r="OAJ306" s="173"/>
      <c r="OAK306" s="173"/>
      <c r="OAL306" s="173"/>
      <c r="OAM306" s="173"/>
      <c r="OAN306" s="173"/>
      <c r="OAO306" s="173"/>
      <c r="OAP306" s="173"/>
      <c r="OAQ306" s="173"/>
      <c r="OAR306" s="173"/>
      <c r="OAS306" s="125"/>
      <c r="OAT306" s="125"/>
      <c r="OAU306" s="134"/>
      <c r="OAV306" s="135"/>
      <c r="OAW306" s="135"/>
      <c r="OAX306" s="135"/>
      <c r="OAY306" s="135"/>
      <c r="OAZ306" s="173"/>
      <c r="OBA306" s="173"/>
      <c r="OBB306" s="173"/>
      <c r="OBC306" s="173"/>
      <c r="OBD306" s="173"/>
      <c r="OBE306" s="173"/>
      <c r="OBF306" s="173"/>
      <c r="OBG306" s="173"/>
      <c r="OBH306" s="173"/>
      <c r="OBI306" s="173"/>
      <c r="OBJ306" s="125"/>
      <c r="OBK306" s="125"/>
      <c r="OBL306" s="134"/>
      <c r="OBM306" s="135"/>
      <c r="OBN306" s="135"/>
      <c r="OBO306" s="135"/>
      <c r="OBP306" s="135"/>
      <c r="OBQ306" s="173"/>
      <c r="OBR306" s="173"/>
      <c r="OBS306" s="173"/>
      <c r="OBT306" s="173"/>
      <c r="OBU306" s="173"/>
      <c r="OBV306" s="173"/>
      <c r="OBW306" s="173"/>
      <c r="OBX306" s="173"/>
      <c r="OBY306" s="173"/>
      <c r="OBZ306" s="173"/>
      <c r="OCA306" s="125"/>
      <c r="OCB306" s="125"/>
      <c r="OCC306" s="134"/>
      <c r="OCD306" s="135"/>
      <c r="OCE306" s="135"/>
      <c r="OCF306" s="135"/>
      <c r="OCG306" s="135"/>
      <c r="OCH306" s="173"/>
      <c r="OCI306" s="173"/>
      <c r="OCJ306" s="173"/>
      <c r="OCK306" s="173"/>
      <c r="OCL306" s="173"/>
      <c r="OCM306" s="173"/>
      <c r="OCN306" s="173"/>
      <c r="OCO306" s="173"/>
      <c r="OCP306" s="173"/>
      <c r="OCQ306" s="173"/>
      <c r="OCR306" s="125"/>
      <c r="OCS306" s="125"/>
      <c r="OCT306" s="134"/>
      <c r="OCU306" s="135"/>
      <c r="OCV306" s="135"/>
      <c r="OCW306" s="135"/>
      <c r="OCX306" s="135"/>
      <c r="OCY306" s="173"/>
      <c r="OCZ306" s="173"/>
      <c r="ODA306" s="173"/>
      <c r="ODB306" s="173"/>
      <c r="ODC306" s="173"/>
      <c r="ODD306" s="173"/>
      <c r="ODE306" s="173"/>
      <c r="ODF306" s="173"/>
      <c r="ODG306" s="173"/>
      <c r="ODH306" s="173"/>
      <c r="ODI306" s="125"/>
      <c r="ODJ306" s="125"/>
      <c r="ODK306" s="134"/>
      <c r="ODL306" s="135"/>
      <c r="ODM306" s="135"/>
      <c r="ODN306" s="135"/>
      <c r="ODO306" s="135"/>
      <c r="ODP306" s="173"/>
      <c r="ODQ306" s="173"/>
      <c r="ODR306" s="173"/>
      <c r="ODS306" s="173"/>
      <c r="ODT306" s="173"/>
      <c r="ODU306" s="173"/>
      <c r="ODV306" s="173"/>
      <c r="ODW306" s="173"/>
      <c r="ODX306" s="173"/>
      <c r="ODY306" s="173"/>
      <c r="ODZ306" s="125"/>
      <c r="OEA306" s="125"/>
      <c r="OEB306" s="134"/>
      <c r="OEC306" s="135"/>
      <c r="OED306" s="135"/>
      <c r="OEE306" s="135"/>
      <c r="OEF306" s="135"/>
      <c r="OEG306" s="173"/>
      <c r="OEH306" s="173"/>
      <c r="OEI306" s="173"/>
      <c r="OEJ306" s="173"/>
      <c r="OEK306" s="173"/>
      <c r="OEL306" s="173"/>
      <c r="OEM306" s="173"/>
      <c r="OEN306" s="173"/>
      <c r="OEO306" s="173"/>
      <c r="OEP306" s="173"/>
      <c r="OEQ306" s="125"/>
      <c r="OER306" s="125"/>
      <c r="OES306" s="134"/>
      <c r="OET306" s="135"/>
      <c r="OEU306" s="135"/>
      <c r="OEV306" s="135"/>
      <c r="OEW306" s="135"/>
      <c r="OEX306" s="173"/>
      <c r="OEY306" s="173"/>
      <c r="OEZ306" s="173"/>
      <c r="OFA306" s="173"/>
      <c r="OFB306" s="173"/>
      <c r="OFC306" s="173"/>
      <c r="OFD306" s="173"/>
      <c r="OFE306" s="173"/>
      <c r="OFF306" s="173"/>
      <c r="OFG306" s="173"/>
      <c r="OFH306" s="125"/>
      <c r="OFI306" s="125"/>
      <c r="OFJ306" s="134"/>
      <c r="OFK306" s="135"/>
      <c r="OFL306" s="135"/>
      <c r="OFM306" s="135"/>
      <c r="OFN306" s="135"/>
      <c r="OFO306" s="173"/>
      <c r="OFP306" s="173"/>
      <c r="OFQ306" s="173"/>
      <c r="OFR306" s="173"/>
      <c r="OFS306" s="173"/>
      <c r="OFT306" s="173"/>
      <c r="OFU306" s="173"/>
      <c r="OFV306" s="173"/>
      <c r="OFW306" s="173"/>
      <c r="OFX306" s="173"/>
      <c r="OFY306" s="125"/>
      <c r="OFZ306" s="125"/>
      <c r="OGA306" s="134"/>
      <c r="OGB306" s="135"/>
      <c r="OGC306" s="135"/>
      <c r="OGD306" s="135"/>
      <c r="OGE306" s="135"/>
      <c r="OGF306" s="173"/>
      <c r="OGG306" s="173"/>
      <c r="OGH306" s="173"/>
      <c r="OGI306" s="173"/>
      <c r="OGJ306" s="173"/>
      <c r="OGK306" s="173"/>
      <c r="OGL306" s="173"/>
      <c r="OGM306" s="173"/>
      <c r="OGN306" s="173"/>
      <c r="OGO306" s="173"/>
      <c r="OGP306" s="125"/>
      <c r="OGQ306" s="125"/>
      <c r="OGR306" s="134"/>
      <c r="OGS306" s="135"/>
      <c r="OGT306" s="135"/>
      <c r="OGU306" s="135"/>
      <c r="OGV306" s="135"/>
      <c r="OGW306" s="173"/>
      <c r="OGX306" s="173"/>
      <c r="OGY306" s="173"/>
      <c r="OGZ306" s="173"/>
      <c r="OHA306" s="173"/>
      <c r="OHB306" s="173"/>
      <c r="OHC306" s="173"/>
      <c r="OHD306" s="173"/>
      <c r="OHE306" s="173"/>
      <c r="OHF306" s="173"/>
      <c r="OHG306" s="125"/>
      <c r="OHH306" s="125"/>
      <c r="OHI306" s="134"/>
      <c r="OHJ306" s="135"/>
      <c r="OHK306" s="135"/>
      <c r="OHL306" s="135"/>
      <c r="OHM306" s="135"/>
      <c r="OHN306" s="173"/>
      <c r="OHO306" s="173"/>
      <c r="OHP306" s="173"/>
      <c r="OHQ306" s="173"/>
      <c r="OHR306" s="173"/>
      <c r="OHS306" s="173"/>
      <c r="OHT306" s="173"/>
      <c r="OHU306" s="173"/>
      <c r="OHV306" s="173"/>
      <c r="OHW306" s="173"/>
      <c r="OHX306" s="125"/>
      <c r="OHY306" s="125"/>
      <c r="OHZ306" s="134"/>
      <c r="OIA306" s="135"/>
      <c r="OIB306" s="135"/>
      <c r="OIC306" s="135"/>
      <c r="OID306" s="135"/>
      <c r="OIE306" s="173"/>
      <c r="OIF306" s="173"/>
      <c r="OIG306" s="173"/>
      <c r="OIH306" s="173"/>
      <c r="OII306" s="173"/>
      <c r="OIJ306" s="173"/>
      <c r="OIK306" s="173"/>
      <c r="OIL306" s="173"/>
      <c r="OIM306" s="173"/>
      <c r="OIN306" s="173"/>
      <c r="OIO306" s="125"/>
      <c r="OIP306" s="125"/>
      <c r="OIQ306" s="134"/>
      <c r="OIR306" s="135"/>
      <c r="OIS306" s="135"/>
      <c r="OIT306" s="135"/>
      <c r="OIU306" s="135"/>
      <c r="OIV306" s="173"/>
      <c r="OIW306" s="173"/>
      <c r="OIX306" s="173"/>
      <c r="OIY306" s="173"/>
      <c r="OIZ306" s="173"/>
      <c r="OJA306" s="173"/>
      <c r="OJB306" s="173"/>
      <c r="OJC306" s="173"/>
      <c r="OJD306" s="173"/>
      <c r="OJE306" s="173"/>
      <c r="OJF306" s="125"/>
      <c r="OJG306" s="125"/>
      <c r="OJH306" s="134"/>
      <c r="OJI306" s="135"/>
      <c r="OJJ306" s="135"/>
      <c r="OJK306" s="135"/>
      <c r="OJL306" s="135"/>
      <c r="OJM306" s="173"/>
      <c r="OJN306" s="173"/>
      <c r="OJO306" s="173"/>
      <c r="OJP306" s="173"/>
      <c r="OJQ306" s="173"/>
      <c r="OJR306" s="173"/>
      <c r="OJS306" s="173"/>
      <c r="OJT306" s="173"/>
      <c r="OJU306" s="173"/>
      <c r="OJV306" s="173"/>
      <c r="OJW306" s="125"/>
      <c r="OJX306" s="125"/>
      <c r="OJY306" s="134"/>
      <c r="OJZ306" s="135"/>
      <c r="OKA306" s="135"/>
      <c r="OKB306" s="135"/>
      <c r="OKC306" s="135"/>
      <c r="OKD306" s="173"/>
      <c r="OKE306" s="173"/>
      <c r="OKF306" s="173"/>
      <c r="OKG306" s="173"/>
      <c r="OKH306" s="173"/>
      <c r="OKI306" s="173"/>
      <c r="OKJ306" s="173"/>
      <c r="OKK306" s="173"/>
      <c r="OKL306" s="173"/>
      <c r="OKM306" s="173"/>
      <c r="OKN306" s="125"/>
      <c r="OKO306" s="125"/>
      <c r="OKP306" s="134"/>
      <c r="OKQ306" s="135"/>
      <c r="OKR306" s="135"/>
      <c r="OKS306" s="135"/>
      <c r="OKT306" s="135"/>
      <c r="OKU306" s="173"/>
      <c r="OKV306" s="173"/>
      <c r="OKW306" s="173"/>
      <c r="OKX306" s="173"/>
      <c r="OKY306" s="173"/>
      <c r="OKZ306" s="173"/>
      <c r="OLA306" s="173"/>
      <c r="OLB306" s="173"/>
      <c r="OLC306" s="173"/>
      <c r="OLD306" s="173"/>
      <c r="OLE306" s="125"/>
      <c r="OLF306" s="125"/>
      <c r="OLG306" s="134"/>
      <c r="OLH306" s="135"/>
      <c r="OLI306" s="135"/>
      <c r="OLJ306" s="135"/>
      <c r="OLK306" s="135"/>
      <c r="OLL306" s="173"/>
      <c r="OLM306" s="173"/>
      <c r="OLN306" s="173"/>
      <c r="OLO306" s="173"/>
      <c r="OLP306" s="173"/>
      <c r="OLQ306" s="173"/>
      <c r="OLR306" s="173"/>
      <c r="OLS306" s="173"/>
      <c r="OLT306" s="173"/>
      <c r="OLU306" s="173"/>
      <c r="OLV306" s="125"/>
      <c r="OLW306" s="125"/>
      <c r="OLX306" s="134"/>
      <c r="OLY306" s="135"/>
      <c r="OLZ306" s="135"/>
      <c r="OMA306" s="135"/>
      <c r="OMB306" s="135"/>
      <c r="OMC306" s="173"/>
      <c r="OMD306" s="173"/>
      <c r="OME306" s="173"/>
      <c r="OMF306" s="173"/>
      <c r="OMG306" s="173"/>
      <c r="OMH306" s="173"/>
      <c r="OMI306" s="173"/>
      <c r="OMJ306" s="173"/>
      <c r="OMK306" s="173"/>
      <c r="OML306" s="173"/>
      <c r="OMM306" s="125"/>
      <c r="OMN306" s="125"/>
      <c r="OMO306" s="134"/>
      <c r="OMP306" s="135"/>
      <c r="OMQ306" s="135"/>
      <c r="OMR306" s="135"/>
      <c r="OMS306" s="135"/>
      <c r="OMT306" s="173"/>
      <c r="OMU306" s="173"/>
      <c r="OMV306" s="173"/>
      <c r="OMW306" s="173"/>
      <c r="OMX306" s="173"/>
      <c r="OMY306" s="173"/>
      <c r="OMZ306" s="173"/>
      <c r="ONA306" s="173"/>
      <c r="ONB306" s="173"/>
      <c r="ONC306" s="173"/>
      <c r="OND306" s="125"/>
      <c r="ONE306" s="125"/>
      <c r="ONF306" s="134"/>
      <c r="ONG306" s="135"/>
      <c r="ONH306" s="135"/>
      <c r="ONI306" s="135"/>
      <c r="ONJ306" s="135"/>
      <c r="ONK306" s="173"/>
      <c r="ONL306" s="173"/>
      <c r="ONM306" s="173"/>
      <c r="ONN306" s="173"/>
      <c r="ONO306" s="173"/>
      <c r="ONP306" s="173"/>
      <c r="ONQ306" s="173"/>
      <c r="ONR306" s="173"/>
      <c r="ONS306" s="173"/>
      <c r="ONT306" s="173"/>
      <c r="ONU306" s="125"/>
      <c r="ONV306" s="125"/>
      <c r="ONW306" s="134"/>
      <c r="ONX306" s="135"/>
      <c r="ONY306" s="135"/>
      <c r="ONZ306" s="135"/>
      <c r="OOA306" s="135"/>
      <c r="OOB306" s="173"/>
      <c r="OOC306" s="173"/>
      <c r="OOD306" s="173"/>
      <c r="OOE306" s="173"/>
      <c r="OOF306" s="173"/>
      <c r="OOG306" s="173"/>
      <c r="OOH306" s="173"/>
      <c r="OOI306" s="173"/>
      <c r="OOJ306" s="173"/>
      <c r="OOK306" s="173"/>
      <c r="OOL306" s="125"/>
      <c r="OOM306" s="125"/>
      <c r="OON306" s="134"/>
      <c r="OOO306" s="135"/>
      <c r="OOP306" s="135"/>
      <c r="OOQ306" s="135"/>
      <c r="OOR306" s="135"/>
      <c r="OOS306" s="173"/>
      <c r="OOT306" s="173"/>
      <c r="OOU306" s="173"/>
      <c r="OOV306" s="173"/>
      <c r="OOW306" s="173"/>
      <c r="OOX306" s="173"/>
      <c r="OOY306" s="173"/>
      <c r="OOZ306" s="173"/>
      <c r="OPA306" s="173"/>
      <c r="OPB306" s="173"/>
      <c r="OPC306" s="125"/>
      <c r="OPD306" s="125"/>
      <c r="OPE306" s="134"/>
      <c r="OPF306" s="135"/>
      <c r="OPG306" s="135"/>
      <c r="OPH306" s="135"/>
      <c r="OPI306" s="135"/>
      <c r="OPJ306" s="173"/>
      <c r="OPK306" s="173"/>
      <c r="OPL306" s="173"/>
      <c r="OPM306" s="173"/>
      <c r="OPN306" s="173"/>
      <c r="OPO306" s="173"/>
      <c r="OPP306" s="173"/>
      <c r="OPQ306" s="173"/>
      <c r="OPR306" s="173"/>
      <c r="OPS306" s="173"/>
      <c r="OPT306" s="125"/>
      <c r="OPU306" s="125"/>
      <c r="OPV306" s="134"/>
      <c r="OPW306" s="135"/>
      <c r="OPX306" s="135"/>
      <c r="OPY306" s="135"/>
      <c r="OPZ306" s="135"/>
      <c r="OQA306" s="173"/>
      <c r="OQB306" s="173"/>
      <c r="OQC306" s="173"/>
      <c r="OQD306" s="173"/>
      <c r="OQE306" s="173"/>
      <c r="OQF306" s="173"/>
      <c r="OQG306" s="173"/>
      <c r="OQH306" s="173"/>
      <c r="OQI306" s="173"/>
      <c r="OQJ306" s="173"/>
      <c r="OQK306" s="125"/>
      <c r="OQL306" s="125"/>
      <c r="OQM306" s="134"/>
      <c r="OQN306" s="135"/>
      <c r="OQO306" s="135"/>
      <c r="OQP306" s="135"/>
      <c r="OQQ306" s="135"/>
      <c r="OQR306" s="173"/>
      <c r="OQS306" s="173"/>
      <c r="OQT306" s="173"/>
      <c r="OQU306" s="173"/>
      <c r="OQV306" s="173"/>
      <c r="OQW306" s="173"/>
      <c r="OQX306" s="173"/>
      <c r="OQY306" s="173"/>
      <c r="OQZ306" s="173"/>
      <c r="ORA306" s="173"/>
      <c r="ORB306" s="125"/>
      <c r="ORC306" s="125"/>
      <c r="ORD306" s="134"/>
      <c r="ORE306" s="135"/>
      <c r="ORF306" s="135"/>
      <c r="ORG306" s="135"/>
      <c r="ORH306" s="135"/>
      <c r="ORI306" s="173"/>
      <c r="ORJ306" s="173"/>
      <c r="ORK306" s="173"/>
      <c r="ORL306" s="173"/>
      <c r="ORM306" s="173"/>
      <c r="ORN306" s="173"/>
      <c r="ORO306" s="173"/>
      <c r="ORP306" s="173"/>
      <c r="ORQ306" s="173"/>
      <c r="ORR306" s="173"/>
      <c r="ORS306" s="125"/>
      <c r="ORT306" s="125"/>
      <c r="ORU306" s="134"/>
      <c r="ORV306" s="135"/>
      <c r="ORW306" s="135"/>
      <c r="ORX306" s="135"/>
      <c r="ORY306" s="135"/>
      <c r="ORZ306" s="173"/>
      <c r="OSA306" s="173"/>
      <c r="OSB306" s="173"/>
      <c r="OSC306" s="173"/>
      <c r="OSD306" s="173"/>
      <c r="OSE306" s="173"/>
      <c r="OSF306" s="173"/>
      <c r="OSG306" s="173"/>
      <c r="OSH306" s="173"/>
      <c r="OSI306" s="173"/>
      <c r="OSJ306" s="125"/>
      <c r="OSK306" s="125"/>
      <c r="OSL306" s="134"/>
      <c r="OSM306" s="135"/>
      <c r="OSN306" s="135"/>
      <c r="OSO306" s="135"/>
      <c r="OSP306" s="135"/>
      <c r="OSQ306" s="173"/>
      <c r="OSR306" s="173"/>
      <c r="OSS306" s="173"/>
      <c r="OST306" s="173"/>
      <c r="OSU306" s="173"/>
      <c r="OSV306" s="173"/>
      <c r="OSW306" s="173"/>
      <c r="OSX306" s="173"/>
      <c r="OSY306" s="173"/>
      <c r="OSZ306" s="173"/>
      <c r="OTA306" s="125"/>
      <c r="OTB306" s="125"/>
      <c r="OTC306" s="134"/>
      <c r="OTD306" s="135"/>
      <c r="OTE306" s="135"/>
      <c r="OTF306" s="135"/>
      <c r="OTG306" s="135"/>
      <c r="OTH306" s="173"/>
      <c r="OTI306" s="173"/>
      <c r="OTJ306" s="173"/>
      <c r="OTK306" s="173"/>
      <c r="OTL306" s="173"/>
      <c r="OTM306" s="173"/>
      <c r="OTN306" s="173"/>
      <c r="OTO306" s="173"/>
      <c r="OTP306" s="173"/>
      <c r="OTQ306" s="173"/>
      <c r="OTR306" s="125"/>
      <c r="OTS306" s="125"/>
      <c r="OTT306" s="134"/>
      <c r="OTU306" s="135"/>
      <c r="OTV306" s="135"/>
      <c r="OTW306" s="135"/>
      <c r="OTX306" s="135"/>
      <c r="OTY306" s="173"/>
      <c r="OTZ306" s="173"/>
      <c r="OUA306" s="173"/>
      <c r="OUB306" s="173"/>
      <c r="OUC306" s="173"/>
      <c r="OUD306" s="173"/>
      <c r="OUE306" s="173"/>
      <c r="OUF306" s="173"/>
      <c r="OUG306" s="173"/>
      <c r="OUH306" s="173"/>
      <c r="OUI306" s="125"/>
      <c r="OUJ306" s="125"/>
      <c r="OUK306" s="134"/>
      <c r="OUL306" s="135"/>
      <c r="OUM306" s="135"/>
      <c r="OUN306" s="135"/>
      <c r="OUO306" s="135"/>
      <c r="OUP306" s="173"/>
      <c r="OUQ306" s="173"/>
      <c r="OUR306" s="173"/>
      <c r="OUS306" s="173"/>
      <c r="OUT306" s="173"/>
      <c r="OUU306" s="173"/>
      <c r="OUV306" s="173"/>
      <c r="OUW306" s="173"/>
      <c r="OUX306" s="173"/>
      <c r="OUY306" s="173"/>
      <c r="OUZ306" s="125"/>
      <c r="OVA306" s="125"/>
      <c r="OVB306" s="134"/>
      <c r="OVC306" s="135"/>
      <c r="OVD306" s="135"/>
      <c r="OVE306" s="135"/>
      <c r="OVF306" s="135"/>
      <c r="OVG306" s="173"/>
      <c r="OVH306" s="173"/>
      <c r="OVI306" s="173"/>
      <c r="OVJ306" s="173"/>
      <c r="OVK306" s="173"/>
      <c r="OVL306" s="173"/>
      <c r="OVM306" s="173"/>
      <c r="OVN306" s="173"/>
      <c r="OVO306" s="173"/>
      <c r="OVP306" s="173"/>
      <c r="OVQ306" s="125"/>
      <c r="OVR306" s="125"/>
      <c r="OVS306" s="134"/>
      <c r="OVT306" s="135"/>
      <c r="OVU306" s="135"/>
      <c r="OVV306" s="135"/>
      <c r="OVW306" s="135"/>
      <c r="OVX306" s="173"/>
      <c r="OVY306" s="173"/>
      <c r="OVZ306" s="173"/>
      <c r="OWA306" s="173"/>
      <c r="OWB306" s="173"/>
      <c r="OWC306" s="173"/>
      <c r="OWD306" s="173"/>
      <c r="OWE306" s="173"/>
      <c r="OWF306" s="173"/>
      <c r="OWG306" s="173"/>
      <c r="OWH306" s="125"/>
      <c r="OWI306" s="125"/>
      <c r="OWJ306" s="134"/>
      <c r="OWK306" s="135"/>
      <c r="OWL306" s="135"/>
      <c r="OWM306" s="135"/>
      <c r="OWN306" s="135"/>
      <c r="OWO306" s="173"/>
      <c r="OWP306" s="173"/>
      <c r="OWQ306" s="173"/>
      <c r="OWR306" s="173"/>
      <c r="OWS306" s="173"/>
      <c r="OWT306" s="173"/>
      <c r="OWU306" s="173"/>
      <c r="OWV306" s="173"/>
      <c r="OWW306" s="173"/>
      <c r="OWX306" s="173"/>
      <c r="OWY306" s="125"/>
      <c r="OWZ306" s="125"/>
      <c r="OXA306" s="134"/>
      <c r="OXB306" s="135"/>
      <c r="OXC306" s="135"/>
      <c r="OXD306" s="135"/>
      <c r="OXE306" s="135"/>
      <c r="OXF306" s="173"/>
      <c r="OXG306" s="173"/>
      <c r="OXH306" s="173"/>
      <c r="OXI306" s="173"/>
      <c r="OXJ306" s="173"/>
      <c r="OXK306" s="173"/>
      <c r="OXL306" s="173"/>
      <c r="OXM306" s="173"/>
      <c r="OXN306" s="173"/>
      <c r="OXO306" s="173"/>
      <c r="OXP306" s="125"/>
      <c r="OXQ306" s="125"/>
      <c r="OXR306" s="134"/>
      <c r="OXS306" s="135"/>
      <c r="OXT306" s="135"/>
      <c r="OXU306" s="135"/>
      <c r="OXV306" s="135"/>
      <c r="OXW306" s="173"/>
      <c r="OXX306" s="173"/>
      <c r="OXY306" s="173"/>
      <c r="OXZ306" s="173"/>
      <c r="OYA306" s="173"/>
      <c r="OYB306" s="173"/>
      <c r="OYC306" s="173"/>
      <c r="OYD306" s="173"/>
      <c r="OYE306" s="173"/>
      <c r="OYF306" s="173"/>
      <c r="OYG306" s="125"/>
      <c r="OYH306" s="125"/>
      <c r="OYI306" s="134"/>
      <c r="OYJ306" s="135"/>
      <c r="OYK306" s="135"/>
      <c r="OYL306" s="135"/>
      <c r="OYM306" s="135"/>
      <c r="OYN306" s="173"/>
      <c r="OYO306" s="173"/>
      <c r="OYP306" s="173"/>
      <c r="OYQ306" s="173"/>
      <c r="OYR306" s="173"/>
      <c r="OYS306" s="173"/>
      <c r="OYT306" s="173"/>
      <c r="OYU306" s="173"/>
      <c r="OYV306" s="173"/>
      <c r="OYW306" s="173"/>
      <c r="OYX306" s="125"/>
      <c r="OYY306" s="125"/>
      <c r="OYZ306" s="134"/>
      <c r="OZA306" s="135"/>
      <c r="OZB306" s="135"/>
      <c r="OZC306" s="135"/>
      <c r="OZD306" s="135"/>
      <c r="OZE306" s="173"/>
      <c r="OZF306" s="173"/>
      <c r="OZG306" s="173"/>
      <c r="OZH306" s="173"/>
      <c r="OZI306" s="173"/>
      <c r="OZJ306" s="173"/>
      <c r="OZK306" s="173"/>
      <c r="OZL306" s="173"/>
      <c r="OZM306" s="173"/>
      <c r="OZN306" s="173"/>
      <c r="OZO306" s="125"/>
      <c r="OZP306" s="125"/>
      <c r="OZQ306" s="134"/>
      <c r="OZR306" s="135"/>
      <c r="OZS306" s="135"/>
      <c r="OZT306" s="135"/>
      <c r="OZU306" s="135"/>
      <c r="OZV306" s="173"/>
      <c r="OZW306" s="173"/>
      <c r="OZX306" s="173"/>
      <c r="OZY306" s="173"/>
      <c r="OZZ306" s="173"/>
      <c r="PAA306" s="173"/>
      <c r="PAB306" s="173"/>
      <c r="PAC306" s="173"/>
      <c r="PAD306" s="173"/>
      <c r="PAE306" s="173"/>
      <c r="PAF306" s="125"/>
      <c r="PAG306" s="125"/>
      <c r="PAH306" s="134"/>
      <c r="PAI306" s="135"/>
      <c r="PAJ306" s="135"/>
      <c r="PAK306" s="135"/>
      <c r="PAL306" s="135"/>
      <c r="PAM306" s="173"/>
      <c r="PAN306" s="173"/>
      <c r="PAO306" s="173"/>
      <c r="PAP306" s="173"/>
      <c r="PAQ306" s="173"/>
      <c r="PAR306" s="173"/>
      <c r="PAS306" s="173"/>
      <c r="PAT306" s="173"/>
      <c r="PAU306" s="173"/>
      <c r="PAV306" s="173"/>
      <c r="PAW306" s="125"/>
      <c r="PAX306" s="125"/>
      <c r="PAY306" s="134"/>
      <c r="PAZ306" s="135"/>
      <c r="PBA306" s="135"/>
      <c r="PBB306" s="135"/>
      <c r="PBC306" s="135"/>
      <c r="PBD306" s="173"/>
      <c r="PBE306" s="173"/>
      <c r="PBF306" s="173"/>
      <c r="PBG306" s="173"/>
      <c r="PBH306" s="173"/>
      <c r="PBI306" s="173"/>
      <c r="PBJ306" s="173"/>
      <c r="PBK306" s="173"/>
      <c r="PBL306" s="173"/>
      <c r="PBM306" s="173"/>
      <c r="PBN306" s="125"/>
      <c r="PBO306" s="125"/>
      <c r="PBP306" s="134"/>
      <c r="PBQ306" s="135"/>
      <c r="PBR306" s="135"/>
      <c r="PBS306" s="135"/>
      <c r="PBT306" s="135"/>
      <c r="PBU306" s="173"/>
      <c r="PBV306" s="173"/>
      <c r="PBW306" s="173"/>
      <c r="PBX306" s="173"/>
      <c r="PBY306" s="173"/>
      <c r="PBZ306" s="173"/>
      <c r="PCA306" s="173"/>
      <c r="PCB306" s="173"/>
      <c r="PCC306" s="173"/>
      <c r="PCD306" s="173"/>
      <c r="PCE306" s="125"/>
      <c r="PCF306" s="125"/>
      <c r="PCG306" s="134"/>
      <c r="PCH306" s="135"/>
      <c r="PCI306" s="135"/>
      <c r="PCJ306" s="135"/>
      <c r="PCK306" s="135"/>
      <c r="PCL306" s="173"/>
      <c r="PCM306" s="173"/>
      <c r="PCN306" s="173"/>
      <c r="PCO306" s="173"/>
      <c r="PCP306" s="173"/>
      <c r="PCQ306" s="173"/>
      <c r="PCR306" s="173"/>
      <c r="PCS306" s="173"/>
      <c r="PCT306" s="173"/>
      <c r="PCU306" s="173"/>
      <c r="PCV306" s="125"/>
      <c r="PCW306" s="125"/>
      <c r="PCX306" s="134"/>
      <c r="PCY306" s="135"/>
      <c r="PCZ306" s="135"/>
      <c r="PDA306" s="135"/>
      <c r="PDB306" s="135"/>
      <c r="PDC306" s="173"/>
      <c r="PDD306" s="173"/>
      <c r="PDE306" s="173"/>
      <c r="PDF306" s="173"/>
      <c r="PDG306" s="173"/>
      <c r="PDH306" s="173"/>
      <c r="PDI306" s="173"/>
      <c r="PDJ306" s="173"/>
      <c r="PDK306" s="173"/>
      <c r="PDL306" s="173"/>
      <c r="PDM306" s="125"/>
      <c r="PDN306" s="125"/>
      <c r="PDO306" s="134"/>
      <c r="PDP306" s="135"/>
      <c r="PDQ306" s="135"/>
      <c r="PDR306" s="135"/>
      <c r="PDS306" s="135"/>
      <c r="PDT306" s="173"/>
      <c r="PDU306" s="173"/>
      <c r="PDV306" s="173"/>
      <c r="PDW306" s="173"/>
      <c r="PDX306" s="173"/>
      <c r="PDY306" s="173"/>
      <c r="PDZ306" s="173"/>
      <c r="PEA306" s="173"/>
      <c r="PEB306" s="173"/>
      <c r="PEC306" s="173"/>
      <c r="PED306" s="125"/>
      <c r="PEE306" s="125"/>
      <c r="PEF306" s="134"/>
      <c r="PEG306" s="135"/>
      <c r="PEH306" s="135"/>
      <c r="PEI306" s="135"/>
      <c r="PEJ306" s="135"/>
      <c r="PEK306" s="173"/>
      <c r="PEL306" s="173"/>
      <c r="PEM306" s="173"/>
      <c r="PEN306" s="173"/>
      <c r="PEO306" s="173"/>
      <c r="PEP306" s="173"/>
      <c r="PEQ306" s="173"/>
      <c r="PER306" s="173"/>
      <c r="PES306" s="173"/>
      <c r="PET306" s="173"/>
      <c r="PEU306" s="125"/>
      <c r="PEV306" s="125"/>
      <c r="PEW306" s="134"/>
      <c r="PEX306" s="135"/>
      <c r="PEY306" s="135"/>
      <c r="PEZ306" s="135"/>
      <c r="PFA306" s="135"/>
      <c r="PFB306" s="173"/>
      <c r="PFC306" s="173"/>
      <c r="PFD306" s="173"/>
      <c r="PFE306" s="173"/>
      <c r="PFF306" s="173"/>
      <c r="PFG306" s="173"/>
      <c r="PFH306" s="173"/>
      <c r="PFI306" s="173"/>
      <c r="PFJ306" s="173"/>
      <c r="PFK306" s="173"/>
      <c r="PFL306" s="125"/>
      <c r="PFM306" s="125"/>
      <c r="PFN306" s="134"/>
      <c r="PFO306" s="135"/>
      <c r="PFP306" s="135"/>
      <c r="PFQ306" s="135"/>
      <c r="PFR306" s="135"/>
      <c r="PFS306" s="173"/>
      <c r="PFT306" s="173"/>
      <c r="PFU306" s="173"/>
      <c r="PFV306" s="173"/>
      <c r="PFW306" s="173"/>
      <c r="PFX306" s="173"/>
      <c r="PFY306" s="173"/>
      <c r="PFZ306" s="173"/>
      <c r="PGA306" s="173"/>
      <c r="PGB306" s="173"/>
      <c r="PGC306" s="125"/>
      <c r="PGD306" s="125"/>
      <c r="PGE306" s="134"/>
      <c r="PGF306" s="135"/>
      <c r="PGG306" s="135"/>
      <c r="PGH306" s="135"/>
      <c r="PGI306" s="135"/>
      <c r="PGJ306" s="173"/>
      <c r="PGK306" s="173"/>
      <c r="PGL306" s="173"/>
      <c r="PGM306" s="173"/>
      <c r="PGN306" s="173"/>
      <c r="PGO306" s="173"/>
      <c r="PGP306" s="173"/>
      <c r="PGQ306" s="173"/>
      <c r="PGR306" s="173"/>
      <c r="PGS306" s="173"/>
      <c r="PGT306" s="125"/>
      <c r="PGU306" s="125"/>
      <c r="PGV306" s="134"/>
      <c r="PGW306" s="135"/>
      <c r="PGX306" s="135"/>
      <c r="PGY306" s="135"/>
      <c r="PGZ306" s="135"/>
      <c r="PHA306" s="173"/>
      <c r="PHB306" s="173"/>
      <c r="PHC306" s="173"/>
      <c r="PHD306" s="173"/>
      <c r="PHE306" s="173"/>
      <c r="PHF306" s="173"/>
      <c r="PHG306" s="173"/>
      <c r="PHH306" s="173"/>
      <c r="PHI306" s="173"/>
      <c r="PHJ306" s="173"/>
      <c r="PHK306" s="125"/>
      <c r="PHL306" s="125"/>
      <c r="PHM306" s="134"/>
      <c r="PHN306" s="135"/>
      <c r="PHO306" s="135"/>
      <c r="PHP306" s="135"/>
      <c r="PHQ306" s="135"/>
      <c r="PHR306" s="173"/>
      <c r="PHS306" s="173"/>
      <c r="PHT306" s="173"/>
      <c r="PHU306" s="173"/>
      <c r="PHV306" s="173"/>
      <c r="PHW306" s="173"/>
      <c r="PHX306" s="173"/>
      <c r="PHY306" s="173"/>
      <c r="PHZ306" s="173"/>
      <c r="PIA306" s="173"/>
      <c r="PIB306" s="125"/>
      <c r="PIC306" s="125"/>
      <c r="PID306" s="134"/>
      <c r="PIE306" s="135"/>
      <c r="PIF306" s="135"/>
      <c r="PIG306" s="135"/>
      <c r="PIH306" s="135"/>
      <c r="PII306" s="173"/>
      <c r="PIJ306" s="173"/>
      <c r="PIK306" s="173"/>
      <c r="PIL306" s="173"/>
      <c r="PIM306" s="173"/>
      <c r="PIN306" s="173"/>
      <c r="PIO306" s="173"/>
      <c r="PIP306" s="173"/>
      <c r="PIQ306" s="173"/>
      <c r="PIR306" s="173"/>
      <c r="PIS306" s="125"/>
      <c r="PIT306" s="125"/>
      <c r="PIU306" s="134"/>
      <c r="PIV306" s="135"/>
      <c r="PIW306" s="135"/>
      <c r="PIX306" s="135"/>
      <c r="PIY306" s="135"/>
      <c r="PIZ306" s="173"/>
      <c r="PJA306" s="173"/>
      <c r="PJB306" s="173"/>
      <c r="PJC306" s="173"/>
      <c r="PJD306" s="173"/>
      <c r="PJE306" s="173"/>
      <c r="PJF306" s="173"/>
      <c r="PJG306" s="173"/>
      <c r="PJH306" s="173"/>
      <c r="PJI306" s="173"/>
      <c r="PJJ306" s="125"/>
      <c r="PJK306" s="125"/>
      <c r="PJL306" s="134"/>
      <c r="PJM306" s="135"/>
      <c r="PJN306" s="135"/>
      <c r="PJO306" s="135"/>
      <c r="PJP306" s="135"/>
      <c r="PJQ306" s="173"/>
      <c r="PJR306" s="173"/>
      <c r="PJS306" s="173"/>
      <c r="PJT306" s="173"/>
      <c r="PJU306" s="173"/>
      <c r="PJV306" s="173"/>
      <c r="PJW306" s="173"/>
      <c r="PJX306" s="173"/>
      <c r="PJY306" s="173"/>
      <c r="PJZ306" s="173"/>
      <c r="PKA306" s="125"/>
      <c r="PKB306" s="125"/>
      <c r="PKC306" s="134"/>
      <c r="PKD306" s="135"/>
      <c r="PKE306" s="135"/>
      <c r="PKF306" s="135"/>
      <c r="PKG306" s="135"/>
      <c r="PKH306" s="173"/>
      <c r="PKI306" s="173"/>
      <c r="PKJ306" s="173"/>
      <c r="PKK306" s="173"/>
      <c r="PKL306" s="173"/>
      <c r="PKM306" s="173"/>
      <c r="PKN306" s="173"/>
      <c r="PKO306" s="173"/>
      <c r="PKP306" s="173"/>
      <c r="PKQ306" s="173"/>
      <c r="PKR306" s="125"/>
      <c r="PKS306" s="125"/>
      <c r="PKT306" s="134"/>
      <c r="PKU306" s="135"/>
      <c r="PKV306" s="135"/>
      <c r="PKW306" s="135"/>
      <c r="PKX306" s="135"/>
      <c r="PKY306" s="173"/>
      <c r="PKZ306" s="173"/>
      <c r="PLA306" s="173"/>
      <c r="PLB306" s="173"/>
      <c r="PLC306" s="173"/>
      <c r="PLD306" s="173"/>
      <c r="PLE306" s="173"/>
      <c r="PLF306" s="173"/>
      <c r="PLG306" s="173"/>
      <c r="PLH306" s="173"/>
      <c r="PLI306" s="125"/>
      <c r="PLJ306" s="125"/>
      <c r="PLK306" s="134"/>
      <c r="PLL306" s="135"/>
      <c r="PLM306" s="135"/>
      <c r="PLN306" s="135"/>
      <c r="PLO306" s="135"/>
      <c r="PLP306" s="173"/>
      <c r="PLQ306" s="173"/>
      <c r="PLR306" s="173"/>
      <c r="PLS306" s="173"/>
      <c r="PLT306" s="173"/>
      <c r="PLU306" s="173"/>
      <c r="PLV306" s="173"/>
      <c r="PLW306" s="173"/>
      <c r="PLX306" s="173"/>
      <c r="PLY306" s="173"/>
      <c r="PLZ306" s="125"/>
      <c r="PMA306" s="125"/>
      <c r="PMB306" s="134"/>
      <c r="PMC306" s="135"/>
      <c r="PMD306" s="135"/>
      <c r="PME306" s="135"/>
      <c r="PMF306" s="135"/>
      <c r="PMG306" s="173"/>
      <c r="PMH306" s="173"/>
      <c r="PMI306" s="173"/>
      <c r="PMJ306" s="173"/>
      <c r="PMK306" s="173"/>
      <c r="PML306" s="173"/>
      <c r="PMM306" s="173"/>
      <c r="PMN306" s="173"/>
      <c r="PMO306" s="173"/>
      <c r="PMP306" s="173"/>
      <c r="PMQ306" s="125"/>
      <c r="PMR306" s="125"/>
      <c r="PMS306" s="134"/>
      <c r="PMT306" s="135"/>
      <c r="PMU306" s="135"/>
      <c r="PMV306" s="135"/>
      <c r="PMW306" s="135"/>
      <c r="PMX306" s="173"/>
      <c r="PMY306" s="173"/>
      <c r="PMZ306" s="173"/>
      <c r="PNA306" s="173"/>
      <c r="PNB306" s="173"/>
      <c r="PNC306" s="173"/>
      <c r="PND306" s="173"/>
      <c r="PNE306" s="173"/>
      <c r="PNF306" s="173"/>
      <c r="PNG306" s="173"/>
      <c r="PNH306" s="125"/>
      <c r="PNI306" s="125"/>
      <c r="PNJ306" s="134"/>
      <c r="PNK306" s="135"/>
      <c r="PNL306" s="135"/>
      <c r="PNM306" s="135"/>
      <c r="PNN306" s="135"/>
      <c r="PNO306" s="173"/>
      <c r="PNP306" s="173"/>
      <c r="PNQ306" s="173"/>
      <c r="PNR306" s="173"/>
      <c r="PNS306" s="173"/>
      <c r="PNT306" s="173"/>
      <c r="PNU306" s="173"/>
      <c r="PNV306" s="173"/>
      <c r="PNW306" s="173"/>
      <c r="PNX306" s="173"/>
      <c r="PNY306" s="125"/>
      <c r="PNZ306" s="125"/>
      <c r="POA306" s="134"/>
      <c r="POB306" s="135"/>
      <c r="POC306" s="135"/>
      <c r="POD306" s="135"/>
      <c r="POE306" s="135"/>
      <c r="POF306" s="173"/>
      <c r="POG306" s="173"/>
      <c r="POH306" s="173"/>
      <c r="POI306" s="173"/>
      <c r="POJ306" s="173"/>
      <c r="POK306" s="173"/>
      <c r="POL306" s="173"/>
      <c r="POM306" s="173"/>
      <c r="PON306" s="173"/>
      <c r="POO306" s="173"/>
      <c r="POP306" s="125"/>
      <c r="POQ306" s="125"/>
      <c r="POR306" s="134"/>
      <c r="POS306" s="135"/>
      <c r="POT306" s="135"/>
      <c r="POU306" s="135"/>
      <c r="POV306" s="135"/>
      <c r="POW306" s="173"/>
      <c r="POX306" s="173"/>
      <c r="POY306" s="173"/>
      <c r="POZ306" s="173"/>
      <c r="PPA306" s="173"/>
      <c r="PPB306" s="173"/>
      <c r="PPC306" s="173"/>
      <c r="PPD306" s="173"/>
      <c r="PPE306" s="173"/>
      <c r="PPF306" s="173"/>
      <c r="PPG306" s="125"/>
      <c r="PPH306" s="125"/>
      <c r="PPI306" s="134"/>
      <c r="PPJ306" s="135"/>
      <c r="PPK306" s="135"/>
      <c r="PPL306" s="135"/>
      <c r="PPM306" s="135"/>
      <c r="PPN306" s="173"/>
      <c r="PPO306" s="173"/>
      <c r="PPP306" s="173"/>
      <c r="PPQ306" s="173"/>
      <c r="PPR306" s="173"/>
      <c r="PPS306" s="173"/>
      <c r="PPT306" s="173"/>
      <c r="PPU306" s="173"/>
      <c r="PPV306" s="173"/>
      <c r="PPW306" s="173"/>
      <c r="PPX306" s="125"/>
      <c r="PPY306" s="125"/>
      <c r="PPZ306" s="134"/>
      <c r="PQA306" s="135"/>
      <c r="PQB306" s="135"/>
      <c r="PQC306" s="135"/>
      <c r="PQD306" s="135"/>
      <c r="PQE306" s="173"/>
      <c r="PQF306" s="173"/>
      <c r="PQG306" s="173"/>
      <c r="PQH306" s="173"/>
      <c r="PQI306" s="173"/>
      <c r="PQJ306" s="173"/>
      <c r="PQK306" s="173"/>
      <c r="PQL306" s="173"/>
      <c r="PQM306" s="173"/>
      <c r="PQN306" s="173"/>
      <c r="PQO306" s="125"/>
      <c r="PQP306" s="125"/>
      <c r="PQQ306" s="134"/>
      <c r="PQR306" s="135"/>
      <c r="PQS306" s="135"/>
      <c r="PQT306" s="135"/>
      <c r="PQU306" s="135"/>
      <c r="PQV306" s="173"/>
      <c r="PQW306" s="173"/>
      <c r="PQX306" s="173"/>
      <c r="PQY306" s="173"/>
      <c r="PQZ306" s="173"/>
      <c r="PRA306" s="173"/>
      <c r="PRB306" s="173"/>
      <c r="PRC306" s="173"/>
      <c r="PRD306" s="173"/>
      <c r="PRE306" s="173"/>
      <c r="PRF306" s="125"/>
      <c r="PRG306" s="125"/>
      <c r="PRH306" s="134"/>
      <c r="PRI306" s="135"/>
      <c r="PRJ306" s="135"/>
      <c r="PRK306" s="135"/>
      <c r="PRL306" s="135"/>
      <c r="PRM306" s="173"/>
      <c r="PRN306" s="173"/>
      <c r="PRO306" s="173"/>
      <c r="PRP306" s="173"/>
      <c r="PRQ306" s="173"/>
      <c r="PRR306" s="173"/>
      <c r="PRS306" s="173"/>
      <c r="PRT306" s="173"/>
      <c r="PRU306" s="173"/>
      <c r="PRV306" s="173"/>
      <c r="PRW306" s="125"/>
      <c r="PRX306" s="125"/>
      <c r="PRY306" s="134"/>
      <c r="PRZ306" s="135"/>
      <c r="PSA306" s="135"/>
      <c r="PSB306" s="135"/>
      <c r="PSC306" s="135"/>
      <c r="PSD306" s="173"/>
      <c r="PSE306" s="173"/>
      <c r="PSF306" s="173"/>
      <c r="PSG306" s="173"/>
      <c r="PSH306" s="173"/>
      <c r="PSI306" s="173"/>
      <c r="PSJ306" s="173"/>
      <c r="PSK306" s="173"/>
      <c r="PSL306" s="173"/>
      <c r="PSM306" s="173"/>
      <c r="PSN306" s="125"/>
      <c r="PSO306" s="125"/>
      <c r="PSP306" s="134"/>
      <c r="PSQ306" s="135"/>
      <c r="PSR306" s="135"/>
      <c r="PSS306" s="135"/>
      <c r="PST306" s="135"/>
      <c r="PSU306" s="173"/>
      <c r="PSV306" s="173"/>
      <c r="PSW306" s="173"/>
      <c r="PSX306" s="173"/>
      <c r="PSY306" s="173"/>
      <c r="PSZ306" s="173"/>
      <c r="PTA306" s="173"/>
      <c r="PTB306" s="173"/>
      <c r="PTC306" s="173"/>
      <c r="PTD306" s="173"/>
      <c r="PTE306" s="125"/>
      <c r="PTF306" s="125"/>
      <c r="PTG306" s="134"/>
      <c r="PTH306" s="135"/>
      <c r="PTI306" s="135"/>
      <c r="PTJ306" s="135"/>
      <c r="PTK306" s="135"/>
      <c r="PTL306" s="173"/>
      <c r="PTM306" s="173"/>
      <c r="PTN306" s="173"/>
      <c r="PTO306" s="173"/>
      <c r="PTP306" s="173"/>
      <c r="PTQ306" s="173"/>
      <c r="PTR306" s="173"/>
      <c r="PTS306" s="173"/>
      <c r="PTT306" s="173"/>
      <c r="PTU306" s="173"/>
      <c r="PTV306" s="125"/>
      <c r="PTW306" s="125"/>
      <c r="PTX306" s="134"/>
      <c r="PTY306" s="135"/>
      <c r="PTZ306" s="135"/>
      <c r="PUA306" s="135"/>
      <c r="PUB306" s="135"/>
      <c r="PUC306" s="173"/>
      <c r="PUD306" s="173"/>
      <c r="PUE306" s="173"/>
      <c r="PUF306" s="173"/>
      <c r="PUG306" s="173"/>
      <c r="PUH306" s="173"/>
      <c r="PUI306" s="173"/>
      <c r="PUJ306" s="173"/>
      <c r="PUK306" s="173"/>
      <c r="PUL306" s="173"/>
      <c r="PUM306" s="125"/>
      <c r="PUN306" s="125"/>
      <c r="PUO306" s="134"/>
      <c r="PUP306" s="135"/>
      <c r="PUQ306" s="135"/>
      <c r="PUR306" s="135"/>
      <c r="PUS306" s="135"/>
      <c r="PUT306" s="173"/>
      <c r="PUU306" s="173"/>
      <c r="PUV306" s="173"/>
      <c r="PUW306" s="173"/>
      <c r="PUX306" s="173"/>
      <c r="PUY306" s="173"/>
      <c r="PUZ306" s="173"/>
      <c r="PVA306" s="173"/>
      <c r="PVB306" s="173"/>
      <c r="PVC306" s="173"/>
      <c r="PVD306" s="125"/>
      <c r="PVE306" s="125"/>
      <c r="PVF306" s="134"/>
      <c r="PVG306" s="135"/>
      <c r="PVH306" s="135"/>
      <c r="PVI306" s="135"/>
      <c r="PVJ306" s="135"/>
      <c r="PVK306" s="173"/>
      <c r="PVL306" s="173"/>
      <c r="PVM306" s="173"/>
      <c r="PVN306" s="173"/>
      <c r="PVO306" s="173"/>
      <c r="PVP306" s="173"/>
      <c r="PVQ306" s="173"/>
      <c r="PVR306" s="173"/>
      <c r="PVS306" s="173"/>
      <c r="PVT306" s="173"/>
      <c r="PVU306" s="125"/>
      <c r="PVV306" s="125"/>
      <c r="PVW306" s="134"/>
      <c r="PVX306" s="135"/>
      <c r="PVY306" s="135"/>
      <c r="PVZ306" s="135"/>
      <c r="PWA306" s="135"/>
      <c r="PWB306" s="173"/>
      <c r="PWC306" s="173"/>
      <c r="PWD306" s="173"/>
      <c r="PWE306" s="173"/>
      <c r="PWF306" s="173"/>
      <c r="PWG306" s="173"/>
      <c r="PWH306" s="173"/>
      <c r="PWI306" s="173"/>
      <c r="PWJ306" s="173"/>
      <c r="PWK306" s="173"/>
      <c r="PWL306" s="125"/>
      <c r="PWM306" s="125"/>
      <c r="PWN306" s="134"/>
      <c r="PWO306" s="135"/>
      <c r="PWP306" s="135"/>
      <c r="PWQ306" s="135"/>
      <c r="PWR306" s="135"/>
      <c r="PWS306" s="173"/>
      <c r="PWT306" s="173"/>
      <c r="PWU306" s="173"/>
      <c r="PWV306" s="173"/>
      <c r="PWW306" s="173"/>
      <c r="PWX306" s="173"/>
      <c r="PWY306" s="173"/>
      <c r="PWZ306" s="173"/>
      <c r="PXA306" s="173"/>
      <c r="PXB306" s="173"/>
      <c r="PXC306" s="125"/>
      <c r="PXD306" s="125"/>
      <c r="PXE306" s="134"/>
      <c r="PXF306" s="135"/>
      <c r="PXG306" s="135"/>
      <c r="PXH306" s="135"/>
      <c r="PXI306" s="135"/>
      <c r="PXJ306" s="173"/>
      <c r="PXK306" s="173"/>
      <c r="PXL306" s="173"/>
      <c r="PXM306" s="173"/>
      <c r="PXN306" s="173"/>
      <c r="PXO306" s="173"/>
      <c r="PXP306" s="173"/>
      <c r="PXQ306" s="173"/>
      <c r="PXR306" s="173"/>
      <c r="PXS306" s="173"/>
      <c r="PXT306" s="125"/>
      <c r="PXU306" s="125"/>
      <c r="PXV306" s="134"/>
      <c r="PXW306" s="135"/>
      <c r="PXX306" s="135"/>
      <c r="PXY306" s="135"/>
      <c r="PXZ306" s="135"/>
      <c r="PYA306" s="173"/>
      <c r="PYB306" s="173"/>
      <c r="PYC306" s="173"/>
      <c r="PYD306" s="173"/>
      <c r="PYE306" s="173"/>
      <c r="PYF306" s="173"/>
      <c r="PYG306" s="173"/>
      <c r="PYH306" s="173"/>
      <c r="PYI306" s="173"/>
      <c r="PYJ306" s="173"/>
      <c r="PYK306" s="125"/>
      <c r="PYL306" s="125"/>
      <c r="PYM306" s="134"/>
      <c r="PYN306" s="135"/>
      <c r="PYO306" s="135"/>
      <c r="PYP306" s="135"/>
      <c r="PYQ306" s="135"/>
      <c r="PYR306" s="173"/>
      <c r="PYS306" s="173"/>
      <c r="PYT306" s="173"/>
      <c r="PYU306" s="173"/>
      <c r="PYV306" s="173"/>
      <c r="PYW306" s="173"/>
      <c r="PYX306" s="173"/>
      <c r="PYY306" s="173"/>
      <c r="PYZ306" s="173"/>
      <c r="PZA306" s="173"/>
      <c r="PZB306" s="125"/>
      <c r="PZC306" s="125"/>
      <c r="PZD306" s="134"/>
      <c r="PZE306" s="135"/>
      <c r="PZF306" s="135"/>
      <c r="PZG306" s="135"/>
      <c r="PZH306" s="135"/>
      <c r="PZI306" s="173"/>
      <c r="PZJ306" s="173"/>
      <c r="PZK306" s="173"/>
      <c r="PZL306" s="173"/>
      <c r="PZM306" s="173"/>
      <c r="PZN306" s="173"/>
      <c r="PZO306" s="173"/>
      <c r="PZP306" s="173"/>
      <c r="PZQ306" s="173"/>
      <c r="PZR306" s="173"/>
      <c r="PZS306" s="125"/>
      <c r="PZT306" s="125"/>
      <c r="PZU306" s="134"/>
      <c r="PZV306" s="135"/>
      <c r="PZW306" s="135"/>
      <c r="PZX306" s="135"/>
      <c r="PZY306" s="135"/>
      <c r="PZZ306" s="173"/>
      <c r="QAA306" s="173"/>
      <c r="QAB306" s="173"/>
      <c r="QAC306" s="173"/>
      <c r="QAD306" s="173"/>
      <c r="QAE306" s="173"/>
      <c r="QAF306" s="173"/>
      <c r="QAG306" s="173"/>
      <c r="QAH306" s="173"/>
      <c r="QAI306" s="173"/>
      <c r="QAJ306" s="125"/>
      <c r="QAK306" s="125"/>
      <c r="QAL306" s="134"/>
      <c r="QAM306" s="135"/>
      <c r="QAN306" s="135"/>
      <c r="QAO306" s="135"/>
      <c r="QAP306" s="135"/>
      <c r="QAQ306" s="173"/>
      <c r="QAR306" s="173"/>
      <c r="QAS306" s="173"/>
      <c r="QAT306" s="173"/>
      <c r="QAU306" s="173"/>
      <c r="QAV306" s="173"/>
      <c r="QAW306" s="173"/>
      <c r="QAX306" s="173"/>
      <c r="QAY306" s="173"/>
      <c r="QAZ306" s="173"/>
      <c r="QBA306" s="125"/>
      <c r="QBB306" s="125"/>
      <c r="QBC306" s="134"/>
      <c r="QBD306" s="135"/>
      <c r="QBE306" s="135"/>
      <c r="QBF306" s="135"/>
      <c r="QBG306" s="135"/>
      <c r="QBH306" s="173"/>
      <c r="QBI306" s="173"/>
      <c r="QBJ306" s="173"/>
      <c r="QBK306" s="173"/>
      <c r="QBL306" s="173"/>
      <c r="QBM306" s="173"/>
      <c r="QBN306" s="173"/>
      <c r="QBO306" s="173"/>
      <c r="QBP306" s="173"/>
      <c r="QBQ306" s="173"/>
      <c r="QBR306" s="125"/>
      <c r="QBS306" s="125"/>
      <c r="QBT306" s="134"/>
      <c r="QBU306" s="135"/>
      <c r="QBV306" s="135"/>
      <c r="QBW306" s="135"/>
      <c r="QBX306" s="135"/>
      <c r="QBY306" s="173"/>
      <c r="QBZ306" s="173"/>
      <c r="QCA306" s="173"/>
      <c r="QCB306" s="173"/>
      <c r="QCC306" s="173"/>
      <c r="QCD306" s="173"/>
      <c r="QCE306" s="173"/>
      <c r="QCF306" s="173"/>
      <c r="QCG306" s="173"/>
      <c r="QCH306" s="173"/>
      <c r="QCI306" s="125"/>
      <c r="QCJ306" s="125"/>
      <c r="QCK306" s="134"/>
      <c r="QCL306" s="135"/>
      <c r="QCM306" s="135"/>
      <c r="QCN306" s="135"/>
      <c r="QCO306" s="135"/>
      <c r="QCP306" s="173"/>
      <c r="QCQ306" s="173"/>
      <c r="QCR306" s="173"/>
      <c r="QCS306" s="173"/>
      <c r="QCT306" s="173"/>
      <c r="QCU306" s="173"/>
      <c r="QCV306" s="173"/>
      <c r="QCW306" s="173"/>
      <c r="QCX306" s="173"/>
      <c r="QCY306" s="173"/>
      <c r="QCZ306" s="125"/>
      <c r="QDA306" s="125"/>
      <c r="QDB306" s="134"/>
      <c r="QDC306" s="135"/>
      <c r="QDD306" s="135"/>
      <c r="QDE306" s="135"/>
      <c r="QDF306" s="135"/>
      <c r="QDG306" s="173"/>
      <c r="QDH306" s="173"/>
      <c r="QDI306" s="173"/>
      <c r="QDJ306" s="173"/>
      <c r="QDK306" s="173"/>
      <c r="QDL306" s="173"/>
      <c r="QDM306" s="173"/>
      <c r="QDN306" s="173"/>
      <c r="QDO306" s="173"/>
      <c r="QDP306" s="173"/>
      <c r="QDQ306" s="125"/>
      <c r="QDR306" s="125"/>
      <c r="QDS306" s="134"/>
      <c r="QDT306" s="135"/>
      <c r="QDU306" s="135"/>
      <c r="QDV306" s="135"/>
      <c r="QDW306" s="135"/>
      <c r="QDX306" s="173"/>
      <c r="QDY306" s="173"/>
      <c r="QDZ306" s="173"/>
      <c r="QEA306" s="173"/>
      <c r="QEB306" s="173"/>
      <c r="QEC306" s="173"/>
      <c r="QED306" s="173"/>
      <c r="QEE306" s="173"/>
      <c r="QEF306" s="173"/>
      <c r="QEG306" s="173"/>
      <c r="QEH306" s="125"/>
      <c r="QEI306" s="125"/>
      <c r="QEJ306" s="134"/>
      <c r="QEK306" s="135"/>
      <c r="QEL306" s="135"/>
      <c r="QEM306" s="135"/>
      <c r="QEN306" s="135"/>
      <c r="QEO306" s="173"/>
      <c r="QEP306" s="173"/>
      <c r="QEQ306" s="173"/>
      <c r="QER306" s="173"/>
      <c r="QES306" s="173"/>
      <c r="QET306" s="173"/>
      <c r="QEU306" s="173"/>
      <c r="QEV306" s="173"/>
      <c r="QEW306" s="173"/>
      <c r="QEX306" s="173"/>
      <c r="QEY306" s="125"/>
      <c r="QEZ306" s="125"/>
      <c r="QFA306" s="134"/>
      <c r="QFB306" s="135"/>
      <c r="QFC306" s="135"/>
      <c r="QFD306" s="135"/>
      <c r="QFE306" s="135"/>
      <c r="QFF306" s="173"/>
      <c r="QFG306" s="173"/>
      <c r="QFH306" s="173"/>
      <c r="QFI306" s="173"/>
      <c r="QFJ306" s="173"/>
      <c r="QFK306" s="173"/>
      <c r="QFL306" s="173"/>
      <c r="QFM306" s="173"/>
      <c r="QFN306" s="173"/>
      <c r="QFO306" s="173"/>
      <c r="QFP306" s="125"/>
      <c r="QFQ306" s="125"/>
      <c r="QFR306" s="134"/>
      <c r="QFS306" s="135"/>
      <c r="QFT306" s="135"/>
      <c r="QFU306" s="135"/>
      <c r="QFV306" s="135"/>
      <c r="QFW306" s="173"/>
      <c r="QFX306" s="173"/>
      <c r="QFY306" s="173"/>
      <c r="QFZ306" s="173"/>
      <c r="QGA306" s="173"/>
      <c r="QGB306" s="173"/>
      <c r="QGC306" s="173"/>
      <c r="QGD306" s="173"/>
      <c r="QGE306" s="173"/>
      <c r="QGF306" s="173"/>
      <c r="QGG306" s="125"/>
      <c r="QGH306" s="125"/>
      <c r="QGI306" s="134"/>
      <c r="QGJ306" s="135"/>
      <c r="QGK306" s="135"/>
      <c r="QGL306" s="135"/>
      <c r="QGM306" s="135"/>
      <c r="QGN306" s="173"/>
      <c r="QGO306" s="173"/>
      <c r="QGP306" s="173"/>
      <c r="QGQ306" s="173"/>
      <c r="QGR306" s="173"/>
      <c r="QGS306" s="173"/>
      <c r="QGT306" s="173"/>
      <c r="QGU306" s="173"/>
      <c r="QGV306" s="173"/>
      <c r="QGW306" s="173"/>
      <c r="QGX306" s="125"/>
      <c r="QGY306" s="125"/>
      <c r="QGZ306" s="134"/>
      <c r="QHA306" s="135"/>
      <c r="QHB306" s="135"/>
      <c r="QHC306" s="135"/>
      <c r="QHD306" s="135"/>
      <c r="QHE306" s="173"/>
      <c r="QHF306" s="173"/>
      <c r="QHG306" s="173"/>
      <c r="QHH306" s="173"/>
      <c r="QHI306" s="173"/>
      <c r="QHJ306" s="173"/>
      <c r="QHK306" s="173"/>
      <c r="QHL306" s="173"/>
      <c r="QHM306" s="173"/>
      <c r="QHN306" s="173"/>
      <c r="QHO306" s="125"/>
      <c r="QHP306" s="125"/>
      <c r="QHQ306" s="134"/>
      <c r="QHR306" s="135"/>
      <c r="QHS306" s="135"/>
      <c r="QHT306" s="135"/>
      <c r="QHU306" s="135"/>
      <c r="QHV306" s="173"/>
      <c r="QHW306" s="173"/>
      <c r="QHX306" s="173"/>
      <c r="QHY306" s="173"/>
      <c r="QHZ306" s="173"/>
      <c r="QIA306" s="173"/>
      <c r="QIB306" s="173"/>
      <c r="QIC306" s="173"/>
      <c r="QID306" s="173"/>
      <c r="QIE306" s="173"/>
      <c r="QIF306" s="125"/>
      <c r="QIG306" s="125"/>
      <c r="QIH306" s="134"/>
      <c r="QII306" s="135"/>
      <c r="QIJ306" s="135"/>
      <c r="QIK306" s="135"/>
      <c r="QIL306" s="135"/>
      <c r="QIM306" s="173"/>
      <c r="QIN306" s="173"/>
      <c r="QIO306" s="173"/>
      <c r="QIP306" s="173"/>
      <c r="QIQ306" s="173"/>
      <c r="QIR306" s="173"/>
      <c r="QIS306" s="173"/>
      <c r="QIT306" s="173"/>
      <c r="QIU306" s="173"/>
      <c r="QIV306" s="173"/>
      <c r="QIW306" s="125"/>
      <c r="QIX306" s="125"/>
      <c r="QIY306" s="134"/>
      <c r="QIZ306" s="135"/>
      <c r="QJA306" s="135"/>
      <c r="QJB306" s="135"/>
      <c r="QJC306" s="135"/>
      <c r="QJD306" s="173"/>
      <c r="QJE306" s="173"/>
      <c r="QJF306" s="173"/>
      <c r="QJG306" s="173"/>
      <c r="QJH306" s="173"/>
      <c r="QJI306" s="173"/>
      <c r="QJJ306" s="173"/>
      <c r="QJK306" s="173"/>
      <c r="QJL306" s="173"/>
      <c r="QJM306" s="173"/>
      <c r="QJN306" s="125"/>
      <c r="QJO306" s="125"/>
      <c r="QJP306" s="134"/>
      <c r="QJQ306" s="135"/>
      <c r="QJR306" s="135"/>
      <c r="QJS306" s="135"/>
      <c r="QJT306" s="135"/>
      <c r="QJU306" s="173"/>
      <c r="QJV306" s="173"/>
      <c r="QJW306" s="173"/>
      <c r="QJX306" s="173"/>
      <c r="QJY306" s="173"/>
      <c r="QJZ306" s="173"/>
      <c r="QKA306" s="173"/>
      <c r="QKB306" s="173"/>
      <c r="QKC306" s="173"/>
      <c r="QKD306" s="173"/>
      <c r="QKE306" s="125"/>
      <c r="QKF306" s="125"/>
      <c r="QKG306" s="134"/>
      <c r="QKH306" s="135"/>
      <c r="QKI306" s="135"/>
      <c r="QKJ306" s="135"/>
      <c r="QKK306" s="135"/>
      <c r="QKL306" s="173"/>
      <c r="QKM306" s="173"/>
      <c r="QKN306" s="173"/>
      <c r="QKO306" s="173"/>
      <c r="QKP306" s="173"/>
      <c r="QKQ306" s="173"/>
      <c r="QKR306" s="173"/>
      <c r="QKS306" s="173"/>
      <c r="QKT306" s="173"/>
      <c r="QKU306" s="173"/>
      <c r="QKV306" s="125"/>
      <c r="QKW306" s="125"/>
      <c r="QKX306" s="134"/>
      <c r="QKY306" s="135"/>
      <c r="QKZ306" s="135"/>
      <c r="QLA306" s="135"/>
      <c r="QLB306" s="135"/>
      <c r="QLC306" s="173"/>
      <c r="QLD306" s="173"/>
      <c r="QLE306" s="173"/>
      <c r="QLF306" s="173"/>
      <c r="QLG306" s="173"/>
      <c r="QLH306" s="173"/>
      <c r="QLI306" s="173"/>
      <c r="QLJ306" s="173"/>
      <c r="QLK306" s="173"/>
      <c r="QLL306" s="173"/>
      <c r="QLM306" s="125"/>
      <c r="QLN306" s="125"/>
      <c r="QLO306" s="134"/>
      <c r="QLP306" s="135"/>
      <c r="QLQ306" s="135"/>
      <c r="QLR306" s="135"/>
      <c r="QLS306" s="135"/>
      <c r="QLT306" s="173"/>
      <c r="QLU306" s="173"/>
      <c r="QLV306" s="173"/>
      <c r="QLW306" s="173"/>
      <c r="QLX306" s="173"/>
      <c r="QLY306" s="173"/>
      <c r="QLZ306" s="173"/>
      <c r="QMA306" s="173"/>
      <c r="QMB306" s="173"/>
      <c r="QMC306" s="173"/>
      <c r="QMD306" s="125"/>
      <c r="QME306" s="125"/>
      <c r="QMF306" s="134"/>
      <c r="QMG306" s="135"/>
      <c r="QMH306" s="135"/>
      <c r="QMI306" s="135"/>
      <c r="QMJ306" s="135"/>
      <c r="QMK306" s="173"/>
      <c r="QML306" s="173"/>
      <c r="QMM306" s="173"/>
      <c r="QMN306" s="173"/>
      <c r="QMO306" s="173"/>
      <c r="QMP306" s="173"/>
      <c r="QMQ306" s="173"/>
      <c r="QMR306" s="173"/>
      <c r="QMS306" s="173"/>
      <c r="QMT306" s="173"/>
      <c r="QMU306" s="125"/>
      <c r="QMV306" s="125"/>
      <c r="QMW306" s="134"/>
      <c r="QMX306" s="135"/>
      <c r="QMY306" s="135"/>
      <c r="QMZ306" s="135"/>
      <c r="QNA306" s="135"/>
      <c r="QNB306" s="173"/>
      <c r="QNC306" s="173"/>
      <c r="QND306" s="173"/>
      <c r="QNE306" s="173"/>
      <c r="QNF306" s="173"/>
      <c r="QNG306" s="173"/>
      <c r="QNH306" s="173"/>
      <c r="QNI306" s="173"/>
      <c r="QNJ306" s="173"/>
      <c r="QNK306" s="173"/>
      <c r="QNL306" s="125"/>
      <c r="QNM306" s="125"/>
      <c r="QNN306" s="134"/>
      <c r="QNO306" s="135"/>
      <c r="QNP306" s="135"/>
      <c r="QNQ306" s="135"/>
      <c r="QNR306" s="135"/>
      <c r="QNS306" s="173"/>
      <c r="QNT306" s="173"/>
      <c r="QNU306" s="173"/>
      <c r="QNV306" s="173"/>
      <c r="QNW306" s="173"/>
      <c r="QNX306" s="173"/>
      <c r="QNY306" s="173"/>
      <c r="QNZ306" s="173"/>
      <c r="QOA306" s="173"/>
      <c r="QOB306" s="173"/>
      <c r="QOC306" s="125"/>
      <c r="QOD306" s="125"/>
      <c r="QOE306" s="134"/>
      <c r="QOF306" s="135"/>
      <c r="QOG306" s="135"/>
      <c r="QOH306" s="135"/>
      <c r="QOI306" s="135"/>
      <c r="QOJ306" s="173"/>
      <c r="QOK306" s="173"/>
      <c r="QOL306" s="173"/>
      <c r="QOM306" s="173"/>
      <c r="QON306" s="173"/>
      <c r="QOO306" s="173"/>
      <c r="QOP306" s="173"/>
      <c r="QOQ306" s="173"/>
      <c r="QOR306" s="173"/>
      <c r="QOS306" s="173"/>
      <c r="QOT306" s="125"/>
      <c r="QOU306" s="125"/>
      <c r="QOV306" s="134"/>
      <c r="QOW306" s="135"/>
      <c r="QOX306" s="135"/>
      <c r="QOY306" s="135"/>
      <c r="QOZ306" s="135"/>
      <c r="QPA306" s="173"/>
      <c r="QPB306" s="173"/>
      <c r="QPC306" s="173"/>
      <c r="QPD306" s="173"/>
      <c r="QPE306" s="173"/>
      <c r="QPF306" s="173"/>
      <c r="QPG306" s="173"/>
      <c r="QPH306" s="173"/>
      <c r="QPI306" s="173"/>
      <c r="QPJ306" s="173"/>
      <c r="QPK306" s="125"/>
      <c r="QPL306" s="125"/>
      <c r="QPM306" s="134"/>
      <c r="QPN306" s="135"/>
      <c r="QPO306" s="135"/>
      <c r="QPP306" s="135"/>
      <c r="QPQ306" s="135"/>
      <c r="QPR306" s="173"/>
      <c r="QPS306" s="173"/>
      <c r="QPT306" s="173"/>
      <c r="QPU306" s="173"/>
      <c r="QPV306" s="173"/>
      <c r="QPW306" s="173"/>
      <c r="QPX306" s="173"/>
      <c r="QPY306" s="173"/>
      <c r="QPZ306" s="173"/>
      <c r="QQA306" s="173"/>
      <c r="QQB306" s="125"/>
      <c r="QQC306" s="125"/>
      <c r="QQD306" s="134"/>
      <c r="QQE306" s="135"/>
      <c r="QQF306" s="135"/>
      <c r="QQG306" s="135"/>
      <c r="QQH306" s="135"/>
      <c r="QQI306" s="173"/>
      <c r="QQJ306" s="173"/>
      <c r="QQK306" s="173"/>
      <c r="QQL306" s="173"/>
      <c r="QQM306" s="173"/>
      <c r="QQN306" s="173"/>
      <c r="QQO306" s="173"/>
      <c r="QQP306" s="173"/>
      <c r="QQQ306" s="173"/>
      <c r="QQR306" s="173"/>
      <c r="QQS306" s="125"/>
      <c r="QQT306" s="125"/>
      <c r="QQU306" s="134"/>
      <c r="QQV306" s="135"/>
      <c r="QQW306" s="135"/>
      <c r="QQX306" s="135"/>
      <c r="QQY306" s="135"/>
      <c r="QQZ306" s="173"/>
      <c r="QRA306" s="173"/>
      <c r="QRB306" s="173"/>
      <c r="QRC306" s="173"/>
      <c r="QRD306" s="173"/>
      <c r="QRE306" s="173"/>
      <c r="QRF306" s="173"/>
      <c r="QRG306" s="173"/>
      <c r="QRH306" s="173"/>
      <c r="QRI306" s="173"/>
      <c r="QRJ306" s="125"/>
      <c r="QRK306" s="125"/>
      <c r="QRL306" s="134"/>
      <c r="QRM306" s="135"/>
      <c r="QRN306" s="135"/>
      <c r="QRO306" s="135"/>
      <c r="QRP306" s="135"/>
      <c r="QRQ306" s="173"/>
      <c r="QRR306" s="173"/>
      <c r="QRS306" s="173"/>
      <c r="QRT306" s="173"/>
      <c r="QRU306" s="173"/>
      <c r="QRV306" s="173"/>
      <c r="QRW306" s="173"/>
      <c r="QRX306" s="173"/>
      <c r="QRY306" s="173"/>
      <c r="QRZ306" s="173"/>
      <c r="QSA306" s="125"/>
      <c r="QSB306" s="125"/>
      <c r="QSC306" s="134"/>
      <c r="QSD306" s="135"/>
      <c r="QSE306" s="135"/>
      <c r="QSF306" s="135"/>
      <c r="QSG306" s="135"/>
      <c r="QSH306" s="173"/>
      <c r="QSI306" s="173"/>
      <c r="QSJ306" s="173"/>
      <c r="QSK306" s="173"/>
      <c r="QSL306" s="173"/>
      <c r="QSM306" s="173"/>
      <c r="QSN306" s="173"/>
      <c r="QSO306" s="173"/>
      <c r="QSP306" s="173"/>
      <c r="QSQ306" s="173"/>
      <c r="QSR306" s="125"/>
      <c r="QSS306" s="125"/>
      <c r="QST306" s="134"/>
      <c r="QSU306" s="135"/>
      <c r="QSV306" s="135"/>
      <c r="QSW306" s="135"/>
      <c r="QSX306" s="135"/>
      <c r="QSY306" s="173"/>
      <c r="QSZ306" s="173"/>
      <c r="QTA306" s="173"/>
      <c r="QTB306" s="173"/>
      <c r="QTC306" s="173"/>
      <c r="QTD306" s="173"/>
      <c r="QTE306" s="173"/>
      <c r="QTF306" s="173"/>
      <c r="QTG306" s="173"/>
      <c r="QTH306" s="173"/>
      <c r="QTI306" s="125"/>
      <c r="QTJ306" s="125"/>
      <c r="QTK306" s="134"/>
      <c r="QTL306" s="135"/>
      <c r="QTM306" s="135"/>
      <c r="QTN306" s="135"/>
      <c r="QTO306" s="135"/>
      <c r="QTP306" s="173"/>
      <c r="QTQ306" s="173"/>
      <c r="QTR306" s="173"/>
      <c r="QTS306" s="173"/>
      <c r="QTT306" s="173"/>
      <c r="QTU306" s="173"/>
      <c r="QTV306" s="173"/>
      <c r="QTW306" s="173"/>
      <c r="QTX306" s="173"/>
      <c r="QTY306" s="173"/>
      <c r="QTZ306" s="125"/>
      <c r="QUA306" s="125"/>
      <c r="QUB306" s="134"/>
      <c r="QUC306" s="135"/>
      <c r="QUD306" s="135"/>
      <c r="QUE306" s="135"/>
      <c r="QUF306" s="135"/>
      <c r="QUG306" s="173"/>
      <c r="QUH306" s="173"/>
      <c r="QUI306" s="173"/>
      <c r="QUJ306" s="173"/>
      <c r="QUK306" s="173"/>
      <c r="QUL306" s="173"/>
      <c r="QUM306" s="173"/>
      <c r="QUN306" s="173"/>
      <c r="QUO306" s="173"/>
      <c r="QUP306" s="173"/>
      <c r="QUQ306" s="125"/>
      <c r="QUR306" s="125"/>
      <c r="QUS306" s="134"/>
      <c r="QUT306" s="135"/>
      <c r="QUU306" s="135"/>
      <c r="QUV306" s="135"/>
      <c r="QUW306" s="135"/>
      <c r="QUX306" s="173"/>
      <c r="QUY306" s="173"/>
      <c r="QUZ306" s="173"/>
      <c r="QVA306" s="173"/>
      <c r="QVB306" s="173"/>
      <c r="QVC306" s="173"/>
      <c r="QVD306" s="173"/>
      <c r="QVE306" s="173"/>
      <c r="QVF306" s="173"/>
      <c r="QVG306" s="173"/>
      <c r="QVH306" s="125"/>
      <c r="QVI306" s="125"/>
      <c r="QVJ306" s="134"/>
      <c r="QVK306" s="135"/>
      <c r="QVL306" s="135"/>
      <c r="QVM306" s="135"/>
      <c r="QVN306" s="135"/>
      <c r="QVO306" s="173"/>
      <c r="QVP306" s="173"/>
      <c r="QVQ306" s="173"/>
      <c r="QVR306" s="173"/>
      <c r="QVS306" s="173"/>
      <c r="QVT306" s="173"/>
      <c r="QVU306" s="173"/>
      <c r="QVV306" s="173"/>
      <c r="QVW306" s="173"/>
      <c r="QVX306" s="173"/>
      <c r="QVY306" s="125"/>
      <c r="QVZ306" s="125"/>
      <c r="QWA306" s="134"/>
      <c r="QWB306" s="135"/>
      <c r="QWC306" s="135"/>
      <c r="QWD306" s="135"/>
      <c r="QWE306" s="135"/>
      <c r="QWF306" s="173"/>
      <c r="QWG306" s="173"/>
      <c r="QWH306" s="173"/>
      <c r="QWI306" s="173"/>
      <c r="QWJ306" s="173"/>
      <c r="QWK306" s="173"/>
      <c r="QWL306" s="173"/>
      <c r="QWM306" s="173"/>
      <c r="QWN306" s="173"/>
      <c r="QWO306" s="173"/>
      <c r="QWP306" s="125"/>
      <c r="QWQ306" s="125"/>
      <c r="QWR306" s="134"/>
      <c r="QWS306" s="135"/>
      <c r="QWT306" s="135"/>
      <c r="QWU306" s="135"/>
      <c r="QWV306" s="135"/>
      <c r="QWW306" s="173"/>
      <c r="QWX306" s="173"/>
      <c r="QWY306" s="173"/>
      <c r="QWZ306" s="173"/>
      <c r="QXA306" s="173"/>
      <c r="QXB306" s="173"/>
      <c r="QXC306" s="173"/>
      <c r="QXD306" s="173"/>
      <c r="QXE306" s="173"/>
      <c r="QXF306" s="173"/>
      <c r="QXG306" s="125"/>
      <c r="QXH306" s="125"/>
      <c r="QXI306" s="134"/>
      <c r="QXJ306" s="135"/>
      <c r="QXK306" s="135"/>
      <c r="QXL306" s="135"/>
      <c r="QXM306" s="135"/>
      <c r="QXN306" s="173"/>
      <c r="QXO306" s="173"/>
      <c r="QXP306" s="173"/>
      <c r="QXQ306" s="173"/>
      <c r="QXR306" s="173"/>
      <c r="QXS306" s="173"/>
      <c r="QXT306" s="173"/>
      <c r="QXU306" s="173"/>
      <c r="QXV306" s="173"/>
      <c r="QXW306" s="173"/>
      <c r="QXX306" s="125"/>
      <c r="QXY306" s="125"/>
      <c r="QXZ306" s="134"/>
      <c r="QYA306" s="135"/>
      <c r="QYB306" s="135"/>
      <c r="QYC306" s="135"/>
      <c r="QYD306" s="135"/>
      <c r="QYE306" s="173"/>
      <c r="QYF306" s="173"/>
      <c r="QYG306" s="173"/>
      <c r="QYH306" s="173"/>
      <c r="QYI306" s="173"/>
      <c r="QYJ306" s="173"/>
      <c r="QYK306" s="173"/>
      <c r="QYL306" s="173"/>
      <c r="QYM306" s="173"/>
      <c r="QYN306" s="173"/>
      <c r="QYO306" s="125"/>
      <c r="QYP306" s="125"/>
      <c r="QYQ306" s="134"/>
      <c r="QYR306" s="135"/>
      <c r="QYS306" s="135"/>
      <c r="QYT306" s="135"/>
      <c r="QYU306" s="135"/>
      <c r="QYV306" s="173"/>
      <c r="QYW306" s="173"/>
      <c r="QYX306" s="173"/>
      <c r="QYY306" s="173"/>
      <c r="QYZ306" s="173"/>
      <c r="QZA306" s="173"/>
      <c r="QZB306" s="173"/>
      <c r="QZC306" s="173"/>
      <c r="QZD306" s="173"/>
      <c r="QZE306" s="173"/>
      <c r="QZF306" s="125"/>
      <c r="QZG306" s="125"/>
      <c r="QZH306" s="134"/>
      <c r="QZI306" s="135"/>
      <c r="QZJ306" s="135"/>
      <c r="QZK306" s="135"/>
      <c r="QZL306" s="135"/>
      <c r="QZM306" s="173"/>
      <c r="QZN306" s="173"/>
      <c r="QZO306" s="173"/>
      <c r="QZP306" s="173"/>
      <c r="QZQ306" s="173"/>
      <c r="QZR306" s="173"/>
      <c r="QZS306" s="173"/>
      <c r="QZT306" s="173"/>
      <c r="QZU306" s="173"/>
      <c r="QZV306" s="173"/>
      <c r="QZW306" s="125"/>
      <c r="QZX306" s="125"/>
      <c r="QZY306" s="134"/>
      <c r="QZZ306" s="135"/>
      <c r="RAA306" s="135"/>
      <c r="RAB306" s="135"/>
      <c r="RAC306" s="135"/>
      <c r="RAD306" s="173"/>
      <c r="RAE306" s="173"/>
      <c r="RAF306" s="173"/>
      <c r="RAG306" s="173"/>
      <c r="RAH306" s="173"/>
      <c r="RAI306" s="173"/>
      <c r="RAJ306" s="173"/>
      <c r="RAK306" s="173"/>
      <c r="RAL306" s="173"/>
      <c r="RAM306" s="173"/>
      <c r="RAN306" s="125"/>
      <c r="RAO306" s="125"/>
      <c r="RAP306" s="134"/>
      <c r="RAQ306" s="135"/>
      <c r="RAR306" s="135"/>
      <c r="RAS306" s="135"/>
      <c r="RAT306" s="135"/>
      <c r="RAU306" s="173"/>
      <c r="RAV306" s="173"/>
      <c r="RAW306" s="173"/>
      <c r="RAX306" s="173"/>
      <c r="RAY306" s="173"/>
      <c r="RAZ306" s="173"/>
      <c r="RBA306" s="173"/>
      <c r="RBB306" s="173"/>
      <c r="RBC306" s="173"/>
      <c r="RBD306" s="173"/>
      <c r="RBE306" s="125"/>
      <c r="RBF306" s="125"/>
      <c r="RBG306" s="134"/>
      <c r="RBH306" s="135"/>
      <c r="RBI306" s="135"/>
      <c r="RBJ306" s="135"/>
      <c r="RBK306" s="135"/>
      <c r="RBL306" s="173"/>
      <c r="RBM306" s="173"/>
      <c r="RBN306" s="173"/>
      <c r="RBO306" s="173"/>
      <c r="RBP306" s="173"/>
      <c r="RBQ306" s="173"/>
      <c r="RBR306" s="173"/>
      <c r="RBS306" s="173"/>
      <c r="RBT306" s="173"/>
      <c r="RBU306" s="173"/>
      <c r="RBV306" s="125"/>
      <c r="RBW306" s="125"/>
      <c r="RBX306" s="134"/>
      <c r="RBY306" s="135"/>
      <c r="RBZ306" s="135"/>
      <c r="RCA306" s="135"/>
      <c r="RCB306" s="135"/>
      <c r="RCC306" s="173"/>
      <c r="RCD306" s="173"/>
      <c r="RCE306" s="173"/>
      <c r="RCF306" s="173"/>
      <c r="RCG306" s="173"/>
      <c r="RCH306" s="173"/>
      <c r="RCI306" s="173"/>
      <c r="RCJ306" s="173"/>
      <c r="RCK306" s="173"/>
      <c r="RCL306" s="173"/>
      <c r="RCM306" s="125"/>
      <c r="RCN306" s="125"/>
      <c r="RCO306" s="134"/>
      <c r="RCP306" s="135"/>
      <c r="RCQ306" s="135"/>
      <c r="RCR306" s="135"/>
      <c r="RCS306" s="135"/>
      <c r="RCT306" s="173"/>
      <c r="RCU306" s="173"/>
      <c r="RCV306" s="173"/>
      <c r="RCW306" s="173"/>
      <c r="RCX306" s="173"/>
      <c r="RCY306" s="173"/>
      <c r="RCZ306" s="173"/>
      <c r="RDA306" s="173"/>
      <c r="RDB306" s="173"/>
      <c r="RDC306" s="173"/>
      <c r="RDD306" s="125"/>
      <c r="RDE306" s="125"/>
      <c r="RDF306" s="134"/>
      <c r="RDG306" s="135"/>
      <c r="RDH306" s="135"/>
      <c r="RDI306" s="135"/>
      <c r="RDJ306" s="135"/>
      <c r="RDK306" s="173"/>
      <c r="RDL306" s="173"/>
      <c r="RDM306" s="173"/>
      <c r="RDN306" s="173"/>
      <c r="RDO306" s="173"/>
      <c r="RDP306" s="173"/>
      <c r="RDQ306" s="173"/>
      <c r="RDR306" s="173"/>
      <c r="RDS306" s="173"/>
      <c r="RDT306" s="173"/>
      <c r="RDU306" s="125"/>
      <c r="RDV306" s="125"/>
      <c r="RDW306" s="134"/>
      <c r="RDX306" s="135"/>
      <c r="RDY306" s="135"/>
      <c r="RDZ306" s="135"/>
      <c r="REA306" s="135"/>
      <c r="REB306" s="173"/>
      <c r="REC306" s="173"/>
      <c r="RED306" s="173"/>
      <c r="REE306" s="173"/>
      <c r="REF306" s="173"/>
      <c r="REG306" s="173"/>
      <c r="REH306" s="173"/>
      <c r="REI306" s="173"/>
      <c r="REJ306" s="173"/>
      <c r="REK306" s="173"/>
      <c r="REL306" s="125"/>
      <c r="REM306" s="125"/>
      <c r="REN306" s="134"/>
      <c r="REO306" s="135"/>
      <c r="REP306" s="135"/>
      <c r="REQ306" s="135"/>
      <c r="RER306" s="135"/>
      <c r="RES306" s="173"/>
      <c r="RET306" s="173"/>
      <c r="REU306" s="173"/>
      <c r="REV306" s="173"/>
      <c r="REW306" s="173"/>
      <c r="REX306" s="173"/>
      <c r="REY306" s="173"/>
      <c r="REZ306" s="173"/>
      <c r="RFA306" s="173"/>
      <c r="RFB306" s="173"/>
      <c r="RFC306" s="125"/>
      <c r="RFD306" s="125"/>
      <c r="RFE306" s="134"/>
      <c r="RFF306" s="135"/>
      <c r="RFG306" s="135"/>
      <c r="RFH306" s="135"/>
      <c r="RFI306" s="135"/>
      <c r="RFJ306" s="173"/>
      <c r="RFK306" s="173"/>
      <c r="RFL306" s="173"/>
      <c r="RFM306" s="173"/>
      <c r="RFN306" s="173"/>
      <c r="RFO306" s="173"/>
      <c r="RFP306" s="173"/>
      <c r="RFQ306" s="173"/>
      <c r="RFR306" s="173"/>
      <c r="RFS306" s="173"/>
      <c r="RFT306" s="125"/>
      <c r="RFU306" s="125"/>
      <c r="RFV306" s="134"/>
      <c r="RFW306" s="135"/>
      <c r="RFX306" s="135"/>
      <c r="RFY306" s="135"/>
      <c r="RFZ306" s="135"/>
      <c r="RGA306" s="173"/>
      <c r="RGB306" s="173"/>
      <c r="RGC306" s="173"/>
      <c r="RGD306" s="173"/>
      <c r="RGE306" s="173"/>
      <c r="RGF306" s="173"/>
      <c r="RGG306" s="173"/>
      <c r="RGH306" s="173"/>
      <c r="RGI306" s="173"/>
      <c r="RGJ306" s="173"/>
      <c r="RGK306" s="125"/>
      <c r="RGL306" s="125"/>
      <c r="RGM306" s="134"/>
      <c r="RGN306" s="135"/>
      <c r="RGO306" s="135"/>
      <c r="RGP306" s="135"/>
      <c r="RGQ306" s="135"/>
      <c r="RGR306" s="173"/>
      <c r="RGS306" s="173"/>
      <c r="RGT306" s="173"/>
      <c r="RGU306" s="173"/>
      <c r="RGV306" s="173"/>
      <c r="RGW306" s="173"/>
      <c r="RGX306" s="173"/>
      <c r="RGY306" s="173"/>
      <c r="RGZ306" s="173"/>
      <c r="RHA306" s="173"/>
      <c r="RHB306" s="125"/>
      <c r="RHC306" s="125"/>
      <c r="RHD306" s="134"/>
      <c r="RHE306" s="135"/>
      <c r="RHF306" s="135"/>
      <c r="RHG306" s="135"/>
      <c r="RHH306" s="135"/>
      <c r="RHI306" s="173"/>
      <c r="RHJ306" s="173"/>
      <c r="RHK306" s="173"/>
      <c r="RHL306" s="173"/>
      <c r="RHM306" s="173"/>
      <c r="RHN306" s="173"/>
      <c r="RHO306" s="173"/>
      <c r="RHP306" s="173"/>
      <c r="RHQ306" s="173"/>
      <c r="RHR306" s="173"/>
      <c r="RHS306" s="125"/>
      <c r="RHT306" s="125"/>
      <c r="RHU306" s="134"/>
      <c r="RHV306" s="135"/>
      <c r="RHW306" s="135"/>
      <c r="RHX306" s="135"/>
      <c r="RHY306" s="135"/>
      <c r="RHZ306" s="173"/>
      <c r="RIA306" s="173"/>
      <c r="RIB306" s="173"/>
      <c r="RIC306" s="173"/>
      <c r="RID306" s="173"/>
      <c r="RIE306" s="173"/>
      <c r="RIF306" s="173"/>
      <c r="RIG306" s="173"/>
      <c r="RIH306" s="173"/>
      <c r="RII306" s="173"/>
      <c r="RIJ306" s="125"/>
      <c r="RIK306" s="125"/>
      <c r="RIL306" s="134"/>
      <c r="RIM306" s="135"/>
      <c r="RIN306" s="135"/>
      <c r="RIO306" s="135"/>
      <c r="RIP306" s="135"/>
      <c r="RIQ306" s="173"/>
      <c r="RIR306" s="173"/>
      <c r="RIS306" s="173"/>
      <c r="RIT306" s="173"/>
      <c r="RIU306" s="173"/>
      <c r="RIV306" s="173"/>
      <c r="RIW306" s="173"/>
      <c r="RIX306" s="173"/>
      <c r="RIY306" s="173"/>
      <c r="RIZ306" s="173"/>
      <c r="RJA306" s="125"/>
      <c r="RJB306" s="125"/>
      <c r="RJC306" s="134"/>
      <c r="RJD306" s="135"/>
      <c r="RJE306" s="135"/>
      <c r="RJF306" s="135"/>
      <c r="RJG306" s="135"/>
      <c r="RJH306" s="173"/>
      <c r="RJI306" s="173"/>
      <c r="RJJ306" s="173"/>
      <c r="RJK306" s="173"/>
      <c r="RJL306" s="173"/>
      <c r="RJM306" s="173"/>
      <c r="RJN306" s="173"/>
      <c r="RJO306" s="173"/>
      <c r="RJP306" s="173"/>
      <c r="RJQ306" s="173"/>
      <c r="RJR306" s="125"/>
      <c r="RJS306" s="125"/>
      <c r="RJT306" s="134"/>
      <c r="RJU306" s="135"/>
      <c r="RJV306" s="135"/>
      <c r="RJW306" s="135"/>
      <c r="RJX306" s="135"/>
      <c r="RJY306" s="173"/>
      <c r="RJZ306" s="173"/>
      <c r="RKA306" s="173"/>
      <c r="RKB306" s="173"/>
      <c r="RKC306" s="173"/>
      <c r="RKD306" s="173"/>
      <c r="RKE306" s="173"/>
      <c r="RKF306" s="173"/>
      <c r="RKG306" s="173"/>
      <c r="RKH306" s="173"/>
      <c r="RKI306" s="125"/>
      <c r="RKJ306" s="125"/>
      <c r="RKK306" s="134"/>
      <c r="RKL306" s="135"/>
      <c r="RKM306" s="135"/>
      <c r="RKN306" s="135"/>
      <c r="RKO306" s="135"/>
      <c r="RKP306" s="173"/>
      <c r="RKQ306" s="173"/>
      <c r="RKR306" s="173"/>
      <c r="RKS306" s="173"/>
      <c r="RKT306" s="173"/>
      <c r="RKU306" s="173"/>
      <c r="RKV306" s="173"/>
      <c r="RKW306" s="173"/>
      <c r="RKX306" s="173"/>
      <c r="RKY306" s="173"/>
      <c r="RKZ306" s="125"/>
      <c r="RLA306" s="125"/>
      <c r="RLB306" s="134"/>
      <c r="RLC306" s="135"/>
      <c r="RLD306" s="135"/>
      <c r="RLE306" s="135"/>
      <c r="RLF306" s="135"/>
      <c r="RLG306" s="173"/>
      <c r="RLH306" s="173"/>
      <c r="RLI306" s="173"/>
      <c r="RLJ306" s="173"/>
      <c r="RLK306" s="173"/>
      <c r="RLL306" s="173"/>
      <c r="RLM306" s="173"/>
      <c r="RLN306" s="173"/>
      <c r="RLO306" s="173"/>
      <c r="RLP306" s="173"/>
      <c r="RLQ306" s="125"/>
      <c r="RLR306" s="125"/>
      <c r="RLS306" s="134"/>
      <c r="RLT306" s="135"/>
      <c r="RLU306" s="135"/>
      <c r="RLV306" s="135"/>
      <c r="RLW306" s="135"/>
      <c r="RLX306" s="173"/>
      <c r="RLY306" s="173"/>
      <c r="RLZ306" s="173"/>
      <c r="RMA306" s="173"/>
      <c r="RMB306" s="173"/>
      <c r="RMC306" s="173"/>
      <c r="RMD306" s="173"/>
      <c r="RME306" s="173"/>
      <c r="RMF306" s="173"/>
      <c r="RMG306" s="173"/>
      <c r="RMH306" s="125"/>
      <c r="RMI306" s="125"/>
      <c r="RMJ306" s="134"/>
      <c r="RMK306" s="135"/>
      <c r="RML306" s="135"/>
      <c r="RMM306" s="135"/>
      <c r="RMN306" s="135"/>
      <c r="RMO306" s="173"/>
      <c r="RMP306" s="173"/>
      <c r="RMQ306" s="173"/>
      <c r="RMR306" s="173"/>
      <c r="RMS306" s="173"/>
      <c r="RMT306" s="173"/>
      <c r="RMU306" s="173"/>
      <c r="RMV306" s="173"/>
      <c r="RMW306" s="173"/>
      <c r="RMX306" s="173"/>
      <c r="RMY306" s="125"/>
      <c r="RMZ306" s="125"/>
      <c r="RNA306" s="134"/>
      <c r="RNB306" s="135"/>
      <c r="RNC306" s="135"/>
      <c r="RND306" s="135"/>
      <c r="RNE306" s="135"/>
      <c r="RNF306" s="173"/>
      <c r="RNG306" s="173"/>
      <c r="RNH306" s="173"/>
      <c r="RNI306" s="173"/>
      <c r="RNJ306" s="173"/>
      <c r="RNK306" s="173"/>
      <c r="RNL306" s="173"/>
      <c r="RNM306" s="173"/>
      <c r="RNN306" s="173"/>
      <c r="RNO306" s="173"/>
      <c r="RNP306" s="125"/>
      <c r="RNQ306" s="125"/>
      <c r="RNR306" s="134"/>
      <c r="RNS306" s="135"/>
      <c r="RNT306" s="135"/>
      <c r="RNU306" s="135"/>
      <c r="RNV306" s="135"/>
      <c r="RNW306" s="173"/>
      <c r="RNX306" s="173"/>
      <c r="RNY306" s="173"/>
      <c r="RNZ306" s="173"/>
      <c r="ROA306" s="173"/>
      <c r="ROB306" s="173"/>
      <c r="ROC306" s="173"/>
      <c r="ROD306" s="173"/>
      <c r="ROE306" s="173"/>
      <c r="ROF306" s="173"/>
      <c r="ROG306" s="125"/>
      <c r="ROH306" s="125"/>
      <c r="ROI306" s="134"/>
      <c r="ROJ306" s="135"/>
      <c r="ROK306" s="135"/>
      <c r="ROL306" s="135"/>
      <c r="ROM306" s="135"/>
      <c r="RON306" s="173"/>
      <c r="ROO306" s="173"/>
      <c r="ROP306" s="173"/>
      <c r="ROQ306" s="173"/>
      <c r="ROR306" s="173"/>
      <c r="ROS306" s="173"/>
      <c r="ROT306" s="173"/>
      <c r="ROU306" s="173"/>
      <c r="ROV306" s="173"/>
      <c r="ROW306" s="173"/>
      <c r="ROX306" s="125"/>
      <c r="ROY306" s="125"/>
      <c r="ROZ306" s="134"/>
      <c r="RPA306" s="135"/>
      <c r="RPB306" s="135"/>
      <c r="RPC306" s="135"/>
      <c r="RPD306" s="135"/>
      <c r="RPE306" s="173"/>
      <c r="RPF306" s="173"/>
      <c r="RPG306" s="173"/>
      <c r="RPH306" s="173"/>
      <c r="RPI306" s="173"/>
      <c r="RPJ306" s="173"/>
      <c r="RPK306" s="173"/>
      <c r="RPL306" s="173"/>
      <c r="RPM306" s="173"/>
      <c r="RPN306" s="173"/>
      <c r="RPO306" s="125"/>
      <c r="RPP306" s="125"/>
      <c r="RPQ306" s="134"/>
      <c r="RPR306" s="135"/>
      <c r="RPS306" s="135"/>
      <c r="RPT306" s="135"/>
      <c r="RPU306" s="135"/>
      <c r="RPV306" s="173"/>
      <c r="RPW306" s="173"/>
      <c r="RPX306" s="173"/>
      <c r="RPY306" s="173"/>
      <c r="RPZ306" s="173"/>
      <c r="RQA306" s="173"/>
      <c r="RQB306" s="173"/>
      <c r="RQC306" s="173"/>
      <c r="RQD306" s="173"/>
      <c r="RQE306" s="173"/>
      <c r="RQF306" s="125"/>
      <c r="RQG306" s="125"/>
      <c r="RQH306" s="134"/>
      <c r="RQI306" s="135"/>
      <c r="RQJ306" s="135"/>
      <c r="RQK306" s="135"/>
      <c r="RQL306" s="135"/>
      <c r="RQM306" s="173"/>
      <c r="RQN306" s="173"/>
      <c r="RQO306" s="173"/>
      <c r="RQP306" s="173"/>
      <c r="RQQ306" s="173"/>
      <c r="RQR306" s="173"/>
      <c r="RQS306" s="173"/>
      <c r="RQT306" s="173"/>
      <c r="RQU306" s="173"/>
      <c r="RQV306" s="173"/>
      <c r="RQW306" s="125"/>
      <c r="RQX306" s="125"/>
      <c r="RQY306" s="134"/>
      <c r="RQZ306" s="135"/>
      <c r="RRA306" s="135"/>
      <c r="RRB306" s="135"/>
      <c r="RRC306" s="135"/>
      <c r="RRD306" s="173"/>
      <c r="RRE306" s="173"/>
      <c r="RRF306" s="173"/>
      <c r="RRG306" s="173"/>
      <c r="RRH306" s="173"/>
      <c r="RRI306" s="173"/>
      <c r="RRJ306" s="173"/>
      <c r="RRK306" s="173"/>
      <c r="RRL306" s="173"/>
      <c r="RRM306" s="173"/>
      <c r="RRN306" s="125"/>
      <c r="RRO306" s="125"/>
      <c r="RRP306" s="134"/>
      <c r="RRQ306" s="135"/>
      <c r="RRR306" s="135"/>
      <c r="RRS306" s="135"/>
      <c r="RRT306" s="135"/>
      <c r="RRU306" s="173"/>
      <c r="RRV306" s="173"/>
      <c r="RRW306" s="173"/>
      <c r="RRX306" s="173"/>
      <c r="RRY306" s="173"/>
      <c r="RRZ306" s="173"/>
      <c r="RSA306" s="173"/>
      <c r="RSB306" s="173"/>
      <c r="RSC306" s="173"/>
      <c r="RSD306" s="173"/>
      <c r="RSE306" s="125"/>
      <c r="RSF306" s="125"/>
      <c r="RSG306" s="134"/>
      <c r="RSH306" s="135"/>
      <c r="RSI306" s="135"/>
      <c r="RSJ306" s="135"/>
      <c r="RSK306" s="135"/>
      <c r="RSL306" s="173"/>
      <c r="RSM306" s="173"/>
      <c r="RSN306" s="173"/>
      <c r="RSO306" s="173"/>
      <c r="RSP306" s="173"/>
      <c r="RSQ306" s="173"/>
      <c r="RSR306" s="173"/>
      <c r="RSS306" s="173"/>
      <c r="RST306" s="173"/>
      <c r="RSU306" s="173"/>
      <c r="RSV306" s="125"/>
      <c r="RSW306" s="125"/>
      <c r="RSX306" s="134"/>
      <c r="RSY306" s="135"/>
      <c r="RSZ306" s="135"/>
      <c r="RTA306" s="135"/>
      <c r="RTB306" s="135"/>
      <c r="RTC306" s="173"/>
      <c r="RTD306" s="173"/>
      <c r="RTE306" s="173"/>
      <c r="RTF306" s="173"/>
      <c r="RTG306" s="173"/>
      <c r="RTH306" s="173"/>
      <c r="RTI306" s="173"/>
      <c r="RTJ306" s="173"/>
      <c r="RTK306" s="173"/>
      <c r="RTL306" s="173"/>
      <c r="RTM306" s="125"/>
      <c r="RTN306" s="125"/>
      <c r="RTO306" s="134"/>
      <c r="RTP306" s="135"/>
      <c r="RTQ306" s="135"/>
      <c r="RTR306" s="135"/>
      <c r="RTS306" s="135"/>
      <c r="RTT306" s="173"/>
      <c r="RTU306" s="173"/>
      <c r="RTV306" s="173"/>
      <c r="RTW306" s="173"/>
      <c r="RTX306" s="173"/>
      <c r="RTY306" s="173"/>
      <c r="RTZ306" s="173"/>
      <c r="RUA306" s="173"/>
      <c r="RUB306" s="173"/>
      <c r="RUC306" s="173"/>
      <c r="RUD306" s="125"/>
      <c r="RUE306" s="125"/>
      <c r="RUF306" s="134"/>
      <c r="RUG306" s="135"/>
      <c r="RUH306" s="135"/>
      <c r="RUI306" s="135"/>
      <c r="RUJ306" s="135"/>
      <c r="RUK306" s="173"/>
      <c r="RUL306" s="173"/>
      <c r="RUM306" s="173"/>
      <c r="RUN306" s="173"/>
      <c r="RUO306" s="173"/>
      <c r="RUP306" s="173"/>
      <c r="RUQ306" s="173"/>
      <c r="RUR306" s="173"/>
      <c r="RUS306" s="173"/>
      <c r="RUT306" s="173"/>
      <c r="RUU306" s="125"/>
      <c r="RUV306" s="125"/>
      <c r="RUW306" s="134"/>
      <c r="RUX306" s="135"/>
      <c r="RUY306" s="135"/>
      <c r="RUZ306" s="135"/>
      <c r="RVA306" s="135"/>
      <c r="RVB306" s="173"/>
      <c r="RVC306" s="173"/>
      <c r="RVD306" s="173"/>
      <c r="RVE306" s="173"/>
      <c r="RVF306" s="173"/>
      <c r="RVG306" s="173"/>
      <c r="RVH306" s="173"/>
      <c r="RVI306" s="173"/>
      <c r="RVJ306" s="173"/>
      <c r="RVK306" s="173"/>
      <c r="RVL306" s="125"/>
      <c r="RVM306" s="125"/>
      <c r="RVN306" s="134"/>
      <c r="RVO306" s="135"/>
      <c r="RVP306" s="135"/>
      <c r="RVQ306" s="135"/>
      <c r="RVR306" s="135"/>
      <c r="RVS306" s="173"/>
      <c r="RVT306" s="173"/>
      <c r="RVU306" s="173"/>
      <c r="RVV306" s="173"/>
      <c r="RVW306" s="173"/>
      <c r="RVX306" s="173"/>
      <c r="RVY306" s="173"/>
      <c r="RVZ306" s="173"/>
      <c r="RWA306" s="173"/>
      <c r="RWB306" s="173"/>
      <c r="RWC306" s="125"/>
      <c r="RWD306" s="125"/>
      <c r="RWE306" s="134"/>
      <c r="RWF306" s="135"/>
      <c r="RWG306" s="135"/>
      <c r="RWH306" s="135"/>
      <c r="RWI306" s="135"/>
      <c r="RWJ306" s="173"/>
      <c r="RWK306" s="173"/>
      <c r="RWL306" s="173"/>
      <c r="RWM306" s="173"/>
      <c r="RWN306" s="173"/>
      <c r="RWO306" s="173"/>
      <c r="RWP306" s="173"/>
      <c r="RWQ306" s="173"/>
      <c r="RWR306" s="173"/>
      <c r="RWS306" s="173"/>
      <c r="RWT306" s="125"/>
      <c r="RWU306" s="125"/>
      <c r="RWV306" s="134"/>
      <c r="RWW306" s="135"/>
      <c r="RWX306" s="135"/>
      <c r="RWY306" s="135"/>
      <c r="RWZ306" s="135"/>
      <c r="RXA306" s="173"/>
      <c r="RXB306" s="173"/>
      <c r="RXC306" s="173"/>
      <c r="RXD306" s="173"/>
      <c r="RXE306" s="173"/>
      <c r="RXF306" s="173"/>
      <c r="RXG306" s="173"/>
      <c r="RXH306" s="173"/>
      <c r="RXI306" s="173"/>
      <c r="RXJ306" s="173"/>
      <c r="RXK306" s="125"/>
      <c r="RXL306" s="125"/>
      <c r="RXM306" s="134"/>
      <c r="RXN306" s="135"/>
      <c r="RXO306" s="135"/>
      <c r="RXP306" s="135"/>
      <c r="RXQ306" s="135"/>
      <c r="RXR306" s="173"/>
      <c r="RXS306" s="173"/>
      <c r="RXT306" s="173"/>
      <c r="RXU306" s="173"/>
      <c r="RXV306" s="173"/>
      <c r="RXW306" s="173"/>
      <c r="RXX306" s="173"/>
      <c r="RXY306" s="173"/>
      <c r="RXZ306" s="173"/>
      <c r="RYA306" s="173"/>
      <c r="RYB306" s="125"/>
      <c r="RYC306" s="125"/>
      <c r="RYD306" s="134"/>
      <c r="RYE306" s="135"/>
      <c r="RYF306" s="135"/>
      <c r="RYG306" s="135"/>
      <c r="RYH306" s="135"/>
      <c r="RYI306" s="173"/>
      <c r="RYJ306" s="173"/>
      <c r="RYK306" s="173"/>
      <c r="RYL306" s="173"/>
      <c r="RYM306" s="173"/>
      <c r="RYN306" s="173"/>
      <c r="RYO306" s="173"/>
      <c r="RYP306" s="173"/>
      <c r="RYQ306" s="173"/>
      <c r="RYR306" s="173"/>
      <c r="RYS306" s="125"/>
      <c r="RYT306" s="125"/>
      <c r="RYU306" s="134"/>
      <c r="RYV306" s="135"/>
      <c r="RYW306" s="135"/>
      <c r="RYX306" s="135"/>
      <c r="RYY306" s="135"/>
      <c r="RYZ306" s="173"/>
      <c r="RZA306" s="173"/>
      <c r="RZB306" s="173"/>
      <c r="RZC306" s="173"/>
      <c r="RZD306" s="173"/>
      <c r="RZE306" s="173"/>
      <c r="RZF306" s="173"/>
      <c r="RZG306" s="173"/>
      <c r="RZH306" s="173"/>
      <c r="RZI306" s="173"/>
      <c r="RZJ306" s="125"/>
      <c r="RZK306" s="125"/>
      <c r="RZL306" s="134"/>
      <c r="RZM306" s="135"/>
      <c r="RZN306" s="135"/>
      <c r="RZO306" s="135"/>
      <c r="RZP306" s="135"/>
      <c r="RZQ306" s="173"/>
      <c r="RZR306" s="173"/>
      <c r="RZS306" s="173"/>
      <c r="RZT306" s="173"/>
      <c r="RZU306" s="173"/>
      <c r="RZV306" s="173"/>
      <c r="RZW306" s="173"/>
      <c r="RZX306" s="173"/>
      <c r="RZY306" s="173"/>
      <c r="RZZ306" s="173"/>
      <c r="SAA306" s="125"/>
      <c r="SAB306" s="125"/>
      <c r="SAC306" s="134"/>
      <c r="SAD306" s="135"/>
      <c r="SAE306" s="135"/>
      <c r="SAF306" s="135"/>
      <c r="SAG306" s="135"/>
      <c r="SAH306" s="173"/>
      <c r="SAI306" s="173"/>
      <c r="SAJ306" s="173"/>
      <c r="SAK306" s="173"/>
      <c r="SAL306" s="173"/>
      <c r="SAM306" s="173"/>
      <c r="SAN306" s="173"/>
      <c r="SAO306" s="173"/>
      <c r="SAP306" s="173"/>
      <c r="SAQ306" s="173"/>
      <c r="SAR306" s="125"/>
      <c r="SAS306" s="125"/>
      <c r="SAT306" s="134"/>
      <c r="SAU306" s="135"/>
      <c r="SAV306" s="135"/>
      <c r="SAW306" s="135"/>
      <c r="SAX306" s="135"/>
      <c r="SAY306" s="173"/>
      <c r="SAZ306" s="173"/>
      <c r="SBA306" s="173"/>
      <c r="SBB306" s="173"/>
      <c r="SBC306" s="173"/>
      <c r="SBD306" s="173"/>
      <c r="SBE306" s="173"/>
      <c r="SBF306" s="173"/>
      <c r="SBG306" s="173"/>
      <c r="SBH306" s="173"/>
      <c r="SBI306" s="125"/>
      <c r="SBJ306" s="125"/>
      <c r="SBK306" s="134"/>
      <c r="SBL306" s="135"/>
      <c r="SBM306" s="135"/>
      <c r="SBN306" s="135"/>
      <c r="SBO306" s="135"/>
      <c r="SBP306" s="173"/>
      <c r="SBQ306" s="173"/>
      <c r="SBR306" s="173"/>
      <c r="SBS306" s="173"/>
      <c r="SBT306" s="173"/>
      <c r="SBU306" s="173"/>
      <c r="SBV306" s="173"/>
      <c r="SBW306" s="173"/>
      <c r="SBX306" s="173"/>
      <c r="SBY306" s="173"/>
      <c r="SBZ306" s="125"/>
      <c r="SCA306" s="125"/>
      <c r="SCB306" s="134"/>
      <c r="SCC306" s="135"/>
      <c r="SCD306" s="135"/>
      <c r="SCE306" s="135"/>
      <c r="SCF306" s="135"/>
      <c r="SCG306" s="173"/>
      <c r="SCH306" s="173"/>
      <c r="SCI306" s="173"/>
      <c r="SCJ306" s="173"/>
      <c r="SCK306" s="173"/>
      <c r="SCL306" s="173"/>
      <c r="SCM306" s="173"/>
      <c r="SCN306" s="173"/>
      <c r="SCO306" s="173"/>
      <c r="SCP306" s="173"/>
      <c r="SCQ306" s="125"/>
      <c r="SCR306" s="125"/>
      <c r="SCS306" s="134"/>
      <c r="SCT306" s="135"/>
      <c r="SCU306" s="135"/>
      <c r="SCV306" s="135"/>
      <c r="SCW306" s="135"/>
      <c r="SCX306" s="173"/>
      <c r="SCY306" s="173"/>
      <c r="SCZ306" s="173"/>
      <c r="SDA306" s="173"/>
      <c r="SDB306" s="173"/>
      <c r="SDC306" s="173"/>
      <c r="SDD306" s="173"/>
      <c r="SDE306" s="173"/>
      <c r="SDF306" s="173"/>
      <c r="SDG306" s="173"/>
      <c r="SDH306" s="125"/>
      <c r="SDI306" s="125"/>
      <c r="SDJ306" s="134"/>
      <c r="SDK306" s="135"/>
      <c r="SDL306" s="135"/>
      <c r="SDM306" s="135"/>
      <c r="SDN306" s="135"/>
      <c r="SDO306" s="173"/>
      <c r="SDP306" s="173"/>
      <c r="SDQ306" s="173"/>
      <c r="SDR306" s="173"/>
      <c r="SDS306" s="173"/>
      <c r="SDT306" s="173"/>
      <c r="SDU306" s="173"/>
      <c r="SDV306" s="173"/>
      <c r="SDW306" s="173"/>
      <c r="SDX306" s="173"/>
      <c r="SDY306" s="125"/>
      <c r="SDZ306" s="125"/>
      <c r="SEA306" s="134"/>
      <c r="SEB306" s="135"/>
      <c r="SEC306" s="135"/>
      <c r="SED306" s="135"/>
      <c r="SEE306" s="135"/>
      <c r="SEF306" s="173"/>
      <c r="SEG306" s="173"/>
      <c r="SEH306" s="173"/>
      <c r="SEI306" s="173"/>
      <c r="SEJ306" s="173"/>
      <c r="SEK306" s="173"/>
      <c r="SEL306" s="173"/>
      <c r="SEM306" s="173"/>
      <c r="SEN306" s="173"/>
      <c r="SEO306" s="173"/>
      <c r="SEP306" s="125"/>
      <c r="SEQ306" s="125"/>
      <c r="SER306" s="134"/>
      <c r="SES306" s="135"/>
      <c r="SET306" s="135"/>
      <c r="SEU306" s="135"/>
      <c r="SEV306" s="135"/>
      <c r="SEW306" s="173"/>
      <c r="SEX306" s="173"/>
      <c r="SEY306" s="173"/>
      <c r="SEZ306" s="173"/>
      <c r="SFA306" s="173"/>
      <c r="SFB306" s="173"/>
      <c r="SFC306" s="173"/>
      <c r="SFD306" s="173"/>
      <c r="SFE306" s="173"/>
      <c r="SFF306" s="173"/>
      <c r="SFG306" s="125"/>
      <c r="SFH306" s="125"/>
      <c r="SFI306" s="134"/>
      <c r="SFJ306" s="135"/>
      <c r="SFK306" s="135"/>
      <c r="SFL306" s="135"/>
      <c r="SFM306" s="135"/>
      <c r="SFN306" s="173"/>
      <c r="SFO306" s="173"/>
      <c r="SFP306" s="173"/>
      <c r="SFQ306" s="173"/>
      <c r="SFR306" s="173"/>
      <c r="SFS306" s="173"/>
      <c r="SFT306" s="173"/>
      <c r="SFU306" s="173"/>
      <c r="SFV306" s="173"/>
      <c r="SFW306" s="173"/>
      <c r="SFX306" s="125"/>
      <c r="SFY306" s="125"/>
      <c r="SFZ306" s="134"/>
      <c r="SGA306" s="135"/>
      <c r="SGB306" s="135"/>
      <c r="SGC306" s="135"/>
      <c r="SGD306" s="135"/>
      <c r="SGE306" s="173"/>
      <c r="SGF306" s="173"/>
      <c r="SGG306" s="173"/>
      <c r="SGH306" s="173"/>
      <c r="SGI306" s="173"/>
      <c r="SGJ306" s="173"/>
      <c r="SGK306" s="173"/>
      <c r="SGL306" s="173"/>
      <c r="SGM306" s="173"/>
      <c r="SGN306" s="173"/>
      <c r="SGO306" s="125"/>
      <c r="SGP306" s="125"/>
      <c r="SGQ306" s="134"/>
      <c r="SGR306" s="135"/>
      <c r="SGS306" s="135"/>
      <c r="SGT306" s="135"/>
      <c r="SGU306" s="135"/>
      <c r="SGV306" s="173"/>
      <c r="SGW306" s="173"/>
      <c r="SGX306" s="173"/>
      <c r="SGY306" s="173"/>
      <c r="SGZ306" s="173"/>
      <c r="SHA306" s="173"/>
      <c r="SHB306" s="173"/>
      <c r="SHC306" s="173"/>
      <c r="SHD306" s="173"/>
      <c r="SHE306" s="173"/>
      <c r="SHF306" s="125"/>
      <c r="SHG306" s="125"/>
      <c r="SHH306" s="134"/>
      <c r="SHI306" s="135"/>
      <c r="SHJ306" s="135"/>
      <c r="SHK306" s="135"/>
      <c r="SHL306" s="135"/>
      <c r="SHM306" s="173"/>
      <c r="SHN306" s="173"/>
      <c r="SHO306" s="173"/>
      <c r="SHP306" s="173"/>
      <c r="SHQ306" s="173"/>
      <c r="SHR306" s="173"/>
      <c r="SHS306" s="173"/>
      <c r="SHT306" s="173"/>
      <c r="SHU306" s="173"/>
      <c r="SHV306" s="173"/>
      <c r="SHW306" s="125"/>
      <c r="SHX306" s="125"/>
      <c r="SHY306" s="134"/>
      <c r="SHZ306" s="135"/>
      <c r="SIA306" s="135"/>
      <c r="SIB306" s="135"/>
      <c r="SIC306" s="135"/>
      <c r="SID306" s="173"/>
      <c r="SIE306" s="173"/>
      <c r="SIF306" s="173"/>
      <c r="SIG306" s="173"/>
      <c r="SIH306" s="173"/>
      <c r="SII306" s="173"/>
      <c r="SIJ306" s="173"/>
      <c r="SIK306" s="173"/>
      <c r="SIL306" s="173"/>
      <c r="SIM306" s="173"/>
      <c r="SIN306" s="125"/>
      <c r="SIO306" s="125"/>
      <c r="SIP306" s="134"/>
      <c r="SIQ306" s="135"/>
      <c r="SIR306" s="135"/>
      <c r="SIS306" s="135"/>
      <c r="SIT306" s="135"/>
      <c r="SIU306" s="173"/>
      <c r="SIV306" s="173"/>
      <c r="SIW306" s="173"/>
      <c r="SIX306" s="173"/>
      <c r="SIY306" s="173"/>
      <c r="SIZ306" s="173"/>
      <c r="SJA306" s="173"/>
      <c r="SJB306" s="173"/>
      <c r="SJC306" s="173"/>
      <c r="SJD306" s="173"/>
      <c r="SJE306" s="125"/>
      <c r="SJF306" s="125"/>
      <c r="SJG306" s="134"/>
      <c r="SJH306" s="135"/>
      <c r="SJI306" s="135"/>
      <c r="SJJ306" s="135"/>
      <c r="SJK306" s="135"/>
      <c r="SJL306" s="173"/>
      <c r="SJM306" s="173"/>
      <c r="SJN306" s="173"/>
      <c r="SJO306" s="173"/>
      <c r="SJP306" s="173"/>
      <c r="SJQ306" s="173"/>
      <c r="SJR306" s="173"/>
      <c r="SJS306" s="173"/>
      <c r="SJT306" s="173"/>
      <c r="SJU306" s="173"/>
      <c r="SJV306" s="125"/>
      <c r="SJW306" s="125"/>
      <c r="SJX306" s="134"/>
      <c r="SJY306" s="135"/>
      <c r="SJZ306" s="135"/>
      <c r="SKA306" s="135"/>
      <c r="SKB306" s="135"/>
      <c r="SKC306" s="173"/>
      <c r="SKD306" s="173"/>
      <c r="SKE306" s="173"/>
      <c r="SKF306" s="173"/>
      <c r="SKG306" s="173"/>
      <c r="SKH306" s="173"/>
      <c r="SKI306" s="173"/>
      <c r="SKJ306" s="173"/>
      <c r="SKK306" s="173"/>
      <c r="SKL306" s="173"/>
      <c r="SKM306" s="125"/>
      <c r="SKN306" s="125"/>
      <c r="SKO306" s="134"/>
      <c r="SKP306" s="135"/>
      <c r="SKQ306" s="135"/>
      <c r="SKR306" s="135"/>
      <c r="SKS306" s="135"/>
      <c r="SKT306" s="173"/>
      <c r="SKU306" s="173"/>
      <c r="SKV306" s="173"/>
      <c r="SKW306" s="173"/>
      <c r="SKX306" s="173"/>
      <c r="SKY306" s="173"/>
      <c r="SKZ306" s="173"/>
      <c r="SLA306" s="173"/>
      <c r="SLB306" s="173"/>
      <c r="SLC306" s="173"/>
      <c r="SLD306" s="125"/>
      <c r="SLE306" s="125"/>
      <c r="SLF306" s="134"/>
      <c r="SLG306" s="135"/>
      <c r="SLH306" s="135"/>
      <c r="SLI306" s="135"/>
      <c r="SLJ306" s="135"/>
      <c r="SLK306" s="173"/>
      <c r="SLL306" s="173"/>
      <c r="SLM306" s="173"/>
      <c r="SLN306" s="173"/>
      <c r="SLO306" s="173"/>
      <c r="SLP306" s="173"/>
      <c r="SLQ306" s="173"/>
      <c r="SLR306" s="173"/>
      <c r="SLS306" s="173"/>
      <c r="SLT306" s="173"/>
      <c r="SLU306" s="125"/>
      <c r="SLV306" s="125"/>
      <c r="SLW306" s="134"/>
      <c r="SLX306" s="135"/>
      <c r="SLY306" s="135"/>
      <c r="SLZ306" s="135"/>
      <c r="SMA306" s="135"/>
      <c r="SMB306" s="173"/>
      <c r="SMC306" s="173"/>
      <c r="SMD306" s="173"/>
      <c r="SME306" s="173"/>
      <c r="SMF306" s="173"/>
      <c r="SMG306" s="173"/>
      <c r="SMH306" s="173"/>
      <c r="SMI306" s="173"/>
      <c r="SMJ306" s="173"/>
      <c r="SMK306" s="173"/>
      <c r="SML306" s="125"/>
      <c r="SMM306" s="125"/>
      <c r="SMN306" s="134"/>
      <c r="SMO306" s="135"/>
      <c r="SMP306" s="135"/>
      <c r="SMQ306" s="135"/>
      <c r="SMR306" s="135"/>
      <c r="SMS306" s="173"/>
      <c r="SMT306" s="173"/>
      <c r="SMU306" s="173"/>
      <c r="SMV306" s="173"/>
      <c r="SMW306" s="173"/>
      <c r="SMX306" s="173"/>
      <c r="SMY306" s="173"/>
      <c r="SMZ306" s="173"/>
      <c r="SNA306" s="173"/>
      <c r="SNB306" s="173"/>
      <c r="SNC306" s="125"/>
      <c r="SND306" s="125"/>
      <c r="SNE306" s="134"/>
      <c r="SNF306" s="135"/>
      <c r="SNG306" s="135"/>
      <c r="SNH306" s="135"/>
      <c r="SNI306" s="135"/>
      <c r="SNJ306" s="173"/>
      <c r="SNK306" s="173"/>
      <c r="SNL306" s="173"/>
      <c r="SNM306" s="173"/>
      <c r="SNN306" s="173"/>
      <c r="SNO306" s="173"/>
      <c r="SNP306" s="173"/>
      <c r="SNQ306" s="173"/>
      <c r="SNR306" s="173"/>
      <c r="SNS306" s="173"/>
      <c r="SNT306" s="125"/>
      <c r="SNU306" s="125"/>
      <c r="SNV306" s="134"/>
      <c r="SNW306" s="135"/>
      <c r="SNX306" s="135"/>
      <c r="SNY306" s="135"/>
      <c r="SNZ306" s="135"/>
      <c r="SOA306" s="173"/>
      <c r="SOB306" s="173"/>
      <c r="SOC306" s="173"/>
      <c r="SOD306" s="173"/>
      <c r="SOE306" s="173"/>
      <c r="SOF306" s="173"/>
      <c r="SOG306" s="173"/>
      <c r="SOH306" s="173"/>
      <c r="SOI306" s="173"/>
      <c r="SOJ306" s="173"/>
      <c r="SOK306" s="125"/>
      <c r="SOL306" s="125"/>
      <c r="SOM306" s="134"/>
      <c r="SON306" s="135"/>
      <c r="SOO306" s="135"/>
      <c r="SOP306" s="135"/>
      <c r="SOQ306" s="135"/>
      <c r="SOR306" s="173"/>
      <c r="SOS306" s="173"/>
      <c r="SOT306" s="173"/>
      <c r="SOU306" s="173"/>
      <c r="SOV306" s="173"/>
      <c r="SOW306" s="173"/>
      <c r="SOX306" s="173"/>
      <c r="SOY306" s="173"/>
      <c r="SOZ306" s="173"/>
      <c r="SPA306" s="173"/>
      <c r="SPB306" s="125"/>
      <c r="SPC306" s="125"/>
      <c r="SPD306" s="134"/>
      <c r="SPE306" s="135"/>
      <c r="SPF306" s="135"/>
      <c r="SPG306" s="135"/>
      <c r="SPH306" s="135"/>
      <c r="SPI306" s="173"/>
      <c r="SPJ306" s="173"/>
      <c r="SPK306" s="173"/>
      <c r="SPL306" s="173"/>
      <c r="SPM306" s="173"/>
      <c r="SPN306" s="173"/>
      <c r="SPO306" s="173"/>
      <c r="SPP306" s="173"/>
      <c r="SPQ306" s="173"/>
      <c r="SPR306" s="173"/>
      <c r="SPS306" s="125"/>
      <c r="SPT306" s="125"/>
      <c r="SPU306" s="134"/>
      <c r="SPV306" s="135"/>
      <c r="SPW306" s="135"/>
      <c r="SPX306" s="135"/>
      <c r="SPY306" s="135"/>
      <c r="SPZ306" s="173"/>
      <c r="SQA306" s="173"/>
      <c r="SQB306" s="173"/>
      <c r="SQC306" s="173"/>
      <c r="SQD306" s="173"/>
      <c r="SQE306" s="173"/>
      <c r="SQF306" s="173"/>
      <c r="SQG306" s="173"/>
      <c r="SQH306" s="173"/>
      <c r="SQI306" s="173"/>
      <c r="SQJ306" s="125"/>
      <c r="SQK306" s="125"/>
      <c r="SQL306" s="134"/>
      <c r="SQM306" s="135"/>
      <c r="SQN306" s="135"/>
      <c r="SQO306" s="135"/>
      <c r="SQP306" s="135"/>
      <c r="SQQ306" s="173"/>
      <c r="SQR306" s="173"/>
      <c r="SQS306" s="173"/>
      <c r="SQT306" s="173"/>
      <c r="SQU306" s="173"/>
      <c r="SQV306" s="173"/>
      <c r="SQW306" s="173"/>
      <c r="SQX306" s="173"/>
      <c r="SQY306" s="173"/>
      <c r="SQZ306" s="173"/>
      <c r="SRA306" s="125"/>
      <c r="SRB306" s="125"/>
      <c r="SRC306" s="134"/>
      <c r="SRD306" s="135"/>
      <c r="SRE306" s="135"/>
      <c r="SRF306" s="135"/>
      <c r="SRG306" s="135"/>
      <c r="SRH306" s="173"/>
      <c r="SRI306" s="173"/>
      <c r="SRJ306" s="173"/>
      <c r="SRK306" s="173"/>
      <c r="SRL306" s="173"/>
      <c r="SRM306" s="173"/>
      <c r="SRN306" s="173"/>
      <c r="SRO306" s="173"/>
      <c r="SRP306" s="173"/>
      <c r="SRQ306" s="173"/>
      <c r="SRR306" s="125"/>
      <c r="SRS306" s="125"/>
      <c r="SRT306" s="134"/>
      <c r="SRU306" s="135"/>
      <c r="SRV306" s="135"/>
      <c r="SRW306" s="135"/>
      <c r="SRX306" s="135"/>
      <c r="SRY306" s="173"/>
      <c r="SRZ306" s="173"/>
      <c r="SSA306" s="173"/>
      <c r="SSB306" s="173"/>
      <c r="SSC306" s="173"/>
      <c r="SSD306" s="173"/>
      <c r="SSE306" s="173"/>
      <c r="SSF306" s="173"/>
      <c r="SSG306" s="173"/>
      <c r="SSH306" s="173"/>
      <c r="SSI306" s="125"/>
      <c r="SSJ306" s="125"/>
      <c r="SSK306" s="134"/>
      <c r="SSL306" s="135"/>
      <c r="SSM306" s="135"/>
      <c r="SSN306" s="135"/>
      <c r="SSO306" s="135"/>
      <c r="SSP306" s="173"/>
      <c r="SSQ306" s="173"/>
      <c r="SSR306" s="173"/>
      <c r="SSS306" s="173"/>
      <c r="SST306" s="173"/>
      <c r="SSU306" s="173"/>
      <c r="SSV306" s="173"/>
      <c r="SSW306" s="173"/>
      <c r="SSX306" s="173"/>
      <c r="SSY306" s="173"/>
      <c r="SSZ306" s="125"/>
      <c r="STA306" s="125"/>
      <c r="STB306" s="134"/>
      <c r="STC306" s="135"/>
      <c r="STD306" s="135"/>
      <c r="STE306" s="135"/>
      <c r="STF306" s="135"/>
      <c r="STG306" s="173"/>
      <c r="STH306" s="173"/>
      <c r="STI306" s="173"/>
      <c r="STJ306" s="173"/>
      <c r="STK306" s="173"/>
      <c r="STL306" s="173"/>
      <c r="STM306" s="173"/>
      <c r="STN306" s="173"/>
      <c r="STO306" s="173"/>
      <c r="STP306" s="173"/>
      <c r="STQ306" s="125"/>
      <c r="STR306" s="125"/>
      <c r="STS306" s="134"/>
      <c r="STT306" s="135"/>
      <c r="STU306" s="135"/>
      <c r="STV306" s="135"/>
      <c r="STW306" s="135"/>
      <c r="STX306" s="173"/>
      <c r="STY306" s="173"/>
      <c r="STZ306" s="173"/>
      <c r="SUA306" s="173"/>
      <c r="SUB306" s="173"/>
      <c r="SUC306" s="173"/>
      <c r="SUD306" s="173"/>
      <c r="SUE306" s="173"/>
      <c r="SUF306" s="173"/>
      <c r="SUG306" s="173"/>
      <c r="SUH306" s="125"/>
      <c r="SUI306" s="125"/>
      <c r="SUJ306" s="134"/>
      <c r="SUK306" s="135"/>
      <c r="SUL306" s="135"/>
      <c r="SUM306" s="135"/>
      <c r="SUN306" s="135"/>
      <c r="SUO306" s="173"/>
      <c r="SUP306" s="173"/>
      <c r="SUQ306" s="173"/>
      <c r="SUR306" s="173"/>
      <c r="SUS306" s="173"/>
      <c r="SUT306" s="173"/>
      <c r="SUU306" s="173"/>
      <c r="SUV306" s="173"/>
      <c r="SUW306" s="173"/>
      <c r="SUX306" s="173"/>
      <c r="SUY306" s="125"/>
      <c r="SUZ306" s="125"/>
      <c r="SVA306" s="134"/>
      <c r="SVB306" s="135"/>
      <c r="SVC306" s="135"/>
      <c r="SVD306" s="135"/>
      <c r="SVE306" s="135"/>
      <c r="SVF306" s="173"/>
      <c r="SVG306" s="173"/>
      <c r="SVH306" s="173"/>
      <c r="SVI306" s="173"/>
      <c r="SVJ306" s="173"/>
      <c r="SVK306" s="173"/>
      <c r="SVL306" s="173"/>
      <c r="SVM306" s="173"/>
      <c r="SVN306" s="173"/>
      <c r="SVO306" s="173"/>
      <c r="SVP306" s="125"/>
      <c r="SVQ306" s="125"/>
      <c r="SVR306" s="134"/>
      <c r="SVS306" s="135"/>
      <c r="SVT306" s="135"/>
      <c r="SVU306" s="135"/>
      <c r="SVV306" s="135"/>
      <c r="SVW306" s="173"/>
      <c r="SVX306" s="173"/>
      <c r="SVY306" s="173"/>
      <c r="SVZ306" s="173"/>
      <c r="SWA306" s="173"/>
      <c r="SWB306" s="173"/>
      <c r="SWC306" s="173"/>
      <c r="SWD306" s="173"/>
      <c r="SWE306" s="173"/>
      <c r="SWF306" s="173"/>
      <c r="SWG306" s="125"/>
      <c r="SWH306" s="125"/>
      <c r="SWI306" s="134"/>
      <c r="SWJ306" s="135"/>
      <c r="SWK306" s="135"/>
      <c r="SWL306" s="135"/>
      <c r="SWM306" s="135"/>
      <c r="SWN306" s="173"/>
      <c r="SWO306" s="173"/>
      <c r="SWP306" s="173"/>
      <c r="SWQ306" s="173"/>
      <c r="SWR306" s="173"/>
      <c r="SWS306" s="173"/>
      <c r="SWT306" s="173"/>
      <c r="SWU306" s="173"/>
      <c r="SWV306" s="173"/>
      <c r="SWW306" s="173"/>
      <c r="SWX306" s="125"/>
      <c r="SWY306" s="125"/>
      <c r="SWZ306" s="134"/>
      <c r="SXA306" s="135"/>
      <c r="SXB306" s="135"/>
      <c r="SXC306" s="135"/>
      <c r="SXD306" s="135"/>
      <c r="SXE306" s="173"/>
      <c r="SXF306" s="173"/>
      <c r="SXG306" s="173"/>
      <c r="SXH306" s="173"/>
      <c r="SXI306" s="173"/>
      <c r="SXJ306" s="173"/>
      <c r="SXK306" s="173"/>
      <c r="SXL306" s="173"/>
      <c r="SXM306" s="173"/>
      <c r="SXN306" s="173"/>
      <c r="SXO306" s="125"/>
      <c r="SXP306" s="125"/>
      <c r="SXQ306" s="134"/>
      <c r="SXR306" s="135"/>
      <c r="SXS306" s="135"/>
      <c r="SXT306" s="135"/>
      <c r="SXU306" s="135"/>
      <c r="SXV306" s="173"/>
      <c r="SXW306" s="173"/>
      <c r="SXX306" s="173"/>
      <c r="SXY306" s="173"/>
      <c r="SXZ306" s="173"/>
      <c r="SYA306" s="173"/>
      <c r="SYB306" s="173"/>
      <c r="SYC306" s="173"/>
      <c r="SYD306" s="173"/>
      <c r="SYE306" s="173"/>
      <c r="SYF306" s="125"/>
      <c r="SYG306" s="125"/>
      <c r="SYH306" s="134"/>
      <c r="SYI306" s="135"/>
      <c r="SYJ306" s="135"/>
      <c r="SYK306" s="135"/>
      <c r="SYL306" s="135"/>
      <c r="SYM306" s="173"/>
      <c r="SYN306" s="173"/>
      <c r="SYO306" s="173"/>
      <c r="SYP306" s="173"/>
      <c r="SYQ306" s="173"/>
      <c r="SYR306" s="173"/>
      <c r="SYS306" s="173"/>
      <c r="SYT306" s="173"/>
      <c r="SYU306" s="173"/>
      <c r="SYV306" s="173"/>
      <c r="SYW306" s="125"/>
      <c r="SYX306" s="125"/>
      <c r="SYY306" s="134"/>
      <c r="SYZ306" s="135"/>
      <c r="SZA306" s="135"/>
      <c r="SZB306" s="135"/>
      <c r="SZC306" s="135"/>
      <c r="SZD306" s="173"/>
      <c r="SZE306" s="173"/>
      <c r="SZF306" s="173"/>
      <c r="SZG306" s="173"/>
      <c r="SZH306" s="173"/>
      <c r="SZI306" s="173"/>
      <c r="SZJ306" s="173"/>
      <c r="SZK306" s="173"/>
      <c r="SZL306" s="173"/>
      <c r="SZM306" s="173"/>
      <c r="SZN306" s="125"/>
      <c r="SZO306" s="125"/>
      <c r="SZP306" s="134"/>
      <c r="SZQ306" s="135"/>
      <c r="SZR306" s="135"/>
      <c r="SZS306" s="135"/>
      <c r="SZT306" s="135"/>
      <c r="SZU306" s="173"/>
      <c r="SZV306" s="173"/>
      <c r="SZW306" s="173"/>
      <c r="SZX306" s="173"/>
      <c r="SZY306" s="173"/>
      <c r="SZZ306" s="173"/>
      <c r="TAA306" s="173"/>
      <c r="TAB306" s="173"/>
      <c r="TAC306" s="173"/>
      <c r="TAD306" s="173"/>
      <c r="TAE306" s="125"/>
      <c r="TAF306" s="125"/>
      <c r="TAG306" s="134"/>
      <c r="TAH306" s="135"/>
      <c r="TAI306" s="135"/>
      <c r="TAJ306" s="135"/>
      <c r="TAK306" s="135"/>
      <c r="TAL306" s="173"/>
      <c r="TAM306" s="173"/>
      <c r="TAN306" s="173"/>
      <c r="TAO306" s="173"/>
      <c r="TAP306" s="173"/>
      <c r="TAQ306" s="173"/>
      <c r="TAR306" s="173"/>
      <c r="TAS306" s="173"/>
      <c r="TAT306" s="173"/>
      <c r="TAU306" s="173"/>
      <c r="TAV306" s="125"/>
      <c r="TAW306" s="125"/>
      <c r="TAX306" s="134"/>
      <c r="TAY306" s="135"/>
      <c r="TAZ306" s="135"/>
      <c r="TBA306" s="135"/>
      <c r="TBB306" s="135"/>
      <c r="TBC306" s="173"/>
      <c r="TBD306" s="173"/>
      <c r="TBE306" s="173"/>
      <c r="TBF306" s="173"/>
      <c r="TBG306" s="173"/>
      <c r="TBH306" s="173"/>
      <c r="TBI306" s="173"/>
      <c r="TBJ306" s="173"/>
      <c r="TBK306" s="173"/>
      <c r="TBL306" s="173"/>
      <c r="TBM306" s="125"/>
      <c r="TBN306" s="125"/>
      <c r="TBO306" s="134"/>
      <c r="TBP306" s="135"/>
      <c r="TBQ306" s="135"/>
      <c r="TBR306" s="135"/>
      <c r="TBS306" s="135"/>
      <c r="TBT306" s="173"/>
      <c r="TBU306" s="173"/>
      <c r="TBV306" s="173"/>
      <c r="TBW306" s="173"/>
      <c r="TBX306" s="173"/>
      <c r="TBY306" s="173"/>
      <c r="TBZ306" s="173"/>
      <c r="TCA306" s="173"/>
      <c r="TCB306" s="173"/>
      <c r="TCC306" s="173"/>
      <c r="TCD306" s="125"/>
      <c r="TCE306" s="125"/>
      <c r="TCF306" s="134"/>
      <c r="TCG306" s="135"/>
      <c r="TCH306" s="135"/>
      <c r="TCI306" s="135"/>
      <c r="TCJ306" s="135"/>
      <c r="TCK306" s="173"/>
      <c r="TCL306" s="173"/>
      <c r="TCM306" s="173"/>
      <c r="TCN306" s="173"/>
      <c r="TCO306" s="173"/>
      <c r="TCP306" s="173"/>
      <c r="TCQ306" s="173"/>
      <c r="TCR306" s="173"/>
      <c r="TCS306" s="173"/>
      <c r="TCT306" s="173"/>
      <c r="TCU306" s="125"/>
      <c r="TCV306" s="125"/>
      <c r="TCW306" s="134"/>
      <c r="TCX306" s="135"/>
      <c r="TCY306" s="135"/>
      <c r="TCZ306" s="135"/>
      <c r="TDA306" s="135"/>
      <c r="TDB306" s="173"/>
      <c r="TDC306" s="173"/>
      <c r="TDD306" s="173"/>
      <c r="TDE306" s="173"/>
      <c r="TDF306" s="173"/>
      <c r="TDG306" s="173"/>
      <c r="TDH306" s="173"/>
      <c r="TDI306" s="173"/>
      <c r="TDJ306" s="173"/>
      <c r="TDK306" s="173"/>
      <c r="TDL306" s="125"/>
      <c r="TDM306" s="125"/>
      <c r="TDN306" s="134"/>
      <c r="TDO306" s="135"/>
      <c r="TDP306" s="135"/>
      <c r="TDQ306" s="135"/>
      <c r="TDR306" s="135"/>
      <c r="TDS306" s="173"/>
      <c r="TDT306" s="173"/>
      <c r="TDU306" s="173"/>
      <c r="TDV306" s="173"/>
      <c r="TDW306" s="173"/>
      <c r="TDX306" s="173"/>
      <c r="TDY306" s="173"/>
      <c r="TDZ306" s="173"/>
      <c r="TEA306" s="173"/>
      <c r="TEB306" s="173"/>
      <c r="TEC306" s="125"/>
      <c r="TED306" s="125"/>
      <c r="TEE306" s="134"/>
      <c r="TEF306" s="135"/>
      <c r="TEG306" s="135"/>
      <c r="TEH306" s="135"/>
      <c r="TEI306" s="135"/>
      <c r="TEJ306" s="173"/>
      <c r="TEK306" s="173"/>
      <c r="TEL306" s="173"/>
      <c r="TEM306" s="173"/>
      <c r="TEN306" s="173"/>
      <c r="TEO306" s="173"/>
      <c r="TEP306" s="173"/>
      <c r="TEQ306" s="173"/>
      <c r="TER306" s="173"/>
      <c r="TES306" s="173"/>
      <c r="TET306" s="125"/>
      <c r="TEU306" s="125"/>
      <c r="TEV306" s="134"/>
      <c r="TEW306" s="135"/>
      <c r="TEX306" s="135"/>
      <c r="TEY306" s="135"/>
      <c r="TEZ306" s="135"/>
      <c r="TFA306" s="173"/>
      <c r="TFB306" s="173"/>
      <c r="TFC306" s="173"/>
      <c r="TFD306" s="173"/>
      <c r="TFE306" s="173"/>
      <c r="TFF306" s="173"/>
      <c r="TFG306" s="173"/>
      <c r="TFH306" s="173"/>
      <c r="TFI306" s="173"/>
      <c r="TFJ306" s="173"/>
      <c r="TFK306" s="125"/>
      <c r="TFL306" s="125"/>
      <c r="TFM306" s="134"/>
      <c r="TFN306" s="135"/>
      <c r="TFO306" s="135"/>
      <c r="TFP306" s="135"/>
      <c r="TFQ306" s="135"/>
      <c r="TFR306" s="173"/>
      <c r="TFS306" s="173"/>
      <c r="TFT306" s="173"/>
      <c r="TFU306" s="173"/>
      <c r="TFV306" s="173"/>
      <c r="TFW306" s="173"/>
      <c r="TFX306" s="173"/>
      <c r="TFY306" s="173"/>
      <c r="TFZ306" s="173"/>
      <c r="TGA306" s="173"/>
      <c r="TGB306" s="125"/>
      <c r="TGC306" s="125"/>
      <c r="TGD306" s="134"/>
      <c r="TGE306" s="135"/>
      <c r="TGF306" s="135"/>
      <c r="TGG306" s="135"/>
      <c r="TGH306" s="135"/>
      <c r="TGI306" s="173"/>
      <c r="TGJ306" s="173"/>
      <c r="TGK306" s="173"/>
      <c r="TGL306" s="173"/>
      <c r="TGM306" s="173"/>
      <c r="TGN306" s="173"/>
      <c r="TGO306" s="173"/>
      <c r="TGP306" s="173"/>
      <c r="TGQ306" s="173"/>
      <c r="TGR306" s="173"/>
      <c r="TGS306" s="125"/>
      <c r="TGT306" s="125"/>
      <c r="TGU306" s="134"/>
      <c r="TGV306" s="135"/>
      <c r="TGW306" s="135"/>
      <c r="TGX306" s="135"/>
      <c r="TGY306" s="135"/>
      <c r="TGZ306" s="173"/>
      <c r="THA306" s="173"/>
      <c r="THB306" s="173"/>
      <c r="THC306" s="173"/>
      <c r="THD306" s="173"/>
      <c r="THE306" s="173"/>
      <c r="THF306" s="173"/>
      <c r="THG306" s="173"/>
      <c r="THH306" s="173"/>
      <c r="THI306" s="173"/>
      <c r="THJ306" s="125"/>
      <c r="THK306" s="125"/>
      <c r="THL306" s="134"/>
      <c r="THM306" s="135"/>
      <c r="THN306" s="135"/>
      <c r="THO306" s="135"/>
      <c r="THP306" s="135"/>
      <c r="THQ306" s="173"/>
      <c r="THR306" s="173"/>
      <c r="THS306" s="173"/>
      <c r="THT306" s="173"/>
      <c r="THU306" s="173"/>
      <c r="THV306" s="173"/>
      <c r="THW306" s="173"/>
      <c r="THX306" s="173"/>
      <c r="THY306" s="173"/>
      <c r="THZ306" s="173"/>
      <c r="TIA306" s="125"/>
      <c r="TIB306" s="125"/>
      <c r="TIC306" s="134"/>
      <c r="TID306" s="135"/>
      <c r="TIE306" s="135"/>
      <c r="TIF306" s="135"/>
      <c r="TIG306" s="135"/>
      <c r="TIH306" s="173"/>
      <c r="TII306" s="173"/>
      <c r="TIJ306" s="173"/>
      <c r="TIK306" s="173"/>
      <c r="TIL306" s="173"/>
      <c r="TIM306" s="173"/>
      <c r="TIN306" s="173"/>
      <c r="TIO306" s="173"/>
      <c r="TIP306" s="173"/>
      <c r="TIQ306" s="173"/>
      <c r="TIR306" s="125"/>
      <c r="TIS306" s="125"/>
      <c r="TIT306" s="134"/>
      <c r="TIU306" s="135"/>
      <c r="TIV306" s="135"/>
      <c r="TIW306" s="135"/>
      <c r="TIX306" s="135"/>
      <c r="TIY306" s="173"/>
      <c r="TIZ306" s="173"/>
      <c r="TJA306" s="173"/>
      <c r="TJB306" s="173"/>
      <c r="TJC306" s="173"/>
      <c r="TJD306" s="173"/>
      <c r="TJE306" s="173"/>
      <c r="TJF306" s="173"/>
      <c r="TJG306" s="173"/>
      <c r="TJH306" s="173"/>
      <c r="TJI306" s="125"/>
      <c r="TJJ306" s="125"/>
      <c r="TJK306" s="134"/>
      <c r="TJL306" s="135"/>
      <c r="TJM306" s="135"/>
      <c r="TJN306" s="135"/>
      <c r="TJO306" s="135"/>
      <c r="TJP306" s="173"/>
      <c r="TJQ306" s="173"/>
      <c r="TJR306" s="173"/>
      <c r="TJS306" s="173"/>
      <c r="TJT306" s="173"/>
      <c r="TJU306" s="173"/>
      <c r="TJV306" s="173"/>
      <c r="TJW306" s="173"/>
      <c r="TJX306" s="173"/>
      <c r="TJY306" s="173"/>
      <c r="TJZ306" s="125"/>
      <c r="TKA306" s="125"/>
      <c r="TKB306" s="134"/>
      <c r="TKC306" s="135"/>
      <c r="TKD306" s="135"/>
      <c r="TKE306" s="135"/>
      <c r="TKF306" s="135"/>
      <c r="TKG306" s="173"/>
      <c r="TKH306" s="173"/>
      <c r="TKI306" s="173"/>
      <c r="TKJ306" s="173"/>
      <c r="TKK306" s="173"/>
      <c r="TKL306" s="173"/>
      <c r="TKM306" s="173"/>
      <c r="TKN306" s="173"/>
      <c r="TKO306" s="173"/>
      <c r="TKP306" s="173"/>
      <c r="TKQ306" s="125"/>
      <c r="TKR306" s="125"/>
      <c r="TKS306" s="134"/>
      <c r="TKT306" s="135"/>
      <c r="TKU306" s="135"/>
      <c r="TKV306" s="135"/>
      <c r="TKW306" s="135"/>
      <c r="TKX306" s="173"/>
      <c r="TKY306" s="173"/>
      <c r="TKZ306" s="173"/>
      <c r="TLA306" s="173"/>
      <c r="TLB306" s="173"/>
      <c r="TLC306" s="173"/>
      <c r="TLD306" s="173"/>
      <c r="TLE306" s="173"/>
      <c r="TLF306" s="173"/>
      <c r="TLG306" s="173"/>
      <c r="TLH306" s="125"/>
      <c r="TLI306" s="125"/>
      <c r="TLJ306" s="134"/>
      <c r="TLK306" s="135"/>
      <c r="TLL306" s="135"/>
      <c r="TLM306" s="135"/>
      <c r="TLN306" s="135"/>
      <c r="TLO306" s="173"/>
      <c r="TLP306" s="173"/>
      <c r="TLQ306" s="173"/>
      <c r="TLR306" s="173"/>
      <c r="TLS306" s="173"/>
      <c r="TLT306" s="173"/>
      <c r="TLU306" s="173"/>
      <c r="TLV306" s="173"/>
      <c r="TLW306" s="173"/>
      <c r="TLX306" s="173"/>
      <c r="TLY306" s="125"/>
      <c r="TLZ306" s="125"/>
      <c r="TMA306" s="134"/>
      <c r="TMB306" s="135"/>
      <c r="TMC306" s="135"/>
      <c r="TMD306" s="135"/>
      <c r="TME306" s="135"/>
      <c r="TMF306" s="173"/>
      <c r="TMG306" s="173"/>
      <c r="TMH306" s="173"/>
      <c r="TMI306" s="173"/>
      <c r="TMJ306" s="173"/>
      <c r="TMK306" s="173"/>
      <c r="TML306" s="173"/>
      <c r="TMM306" s="173"/>
      <c r="TMN306" s="173"/>
      <c r="TMO306" s="173"/>
      <c r="TMP306" s="125"/>
      <c r="TMQ306" s="125"/>
      <c r="TMR306" s="134"/>
      <c r="TMS306" s="135"/>
      <c r="TMT306" s="135"/>
      <c r="TMU306" s="135"/>
      <c r="TMV306" s="135"/>
      <c r="TMW306" s="173"/>
      <c r="TMX306" s="173"/>
      <c r="TMY306" s="173"/>
      <c r="TMZ306" s="173"/>
      <c r="TNA306" s="173"/>
      <c r="TNB306" s="173"/>
      <c r="TNC306" s="173"/>
      <c r="TND306" s="173"/>
      <c r="TNE306" s="173"/>
      <c r="TNF306" s="173"/>
      <c r="TNG306" s="125"/>
      <c r="TNH306" s="125"/>
      <c r="TNI306" s="134"/>
      <c r="TNJ306" s="135"/>
      <c r="TNK306" s="135"/>
      <c r="TNL306" s="135"/>
      <c r="TNM306" s="135"/>
      <c r="TNN306" s="173"/>
      <c r="TNO306" s="173"/>
      <c r="TNP306" s="173"/>
      <c r="TNQ306" s="173"/>
      <c r="TNR306" s="173"/>
      <c r="TNS306" s="173"/>
      <c r="TNT306" s="173"/>
      <c r="TNU306" s="173"/>
      <c r="TNV306" s="173"/>
      <c r="TNW306" s="173"/>
      <c r="TNX306" s="125"/>
      <c r="TNY306" s="125"/>
      <c r="TNZ306" s="134"/>
      <c r="TOA306" s="135"/>
      <c r="TOB306" s="135"/>
      <c r="TOC306" s="135"/>
      <c r="TOD306" s="135"/>
      <c r="TOE306" s="173"/>
      <c r="TOF306" s="173"/>
      <c r="TOG306" s="173"/>
      <c r="TOH306" s="173"/>
      <c r="TOI306" s="173"/>
      <c r="TOJ306" s="173"/>
      <c r="TOK306" s="173"/>
      <c r="TOL306" s="173"/>
      <c r="TOM306" s="173"/>
      <c r="TON306" s="173"/>
      <c r="TOO306" s="125"/>
      <c r="TOP306" s="125"/>
      <c r="TOQ306" s="134"/>
      <c r="TOR306" s="135"/>
      <c r="TOS306" s="135"/>
      <c r="TOT306" s="135"/>
      <c r="TOU306" s="135"/>
      <c r="TOV306" s="173"/>
      <c r="TOW306" s="173"/>
      <c r="TOX306" s="173"/>
      <c r="TOY306" s="173"/>
      <c r="TOZ306" s="173"/>
      <c r="TPA306" s="173"/>
      <c r="TPB306" s="173"/>
      <c r="TPC306" s="173"/>
      <c r="TPD306" s="173"/>
      <c r="TPE306" s="173"/>
      <c r="TPF306" s="125"/>
      <c r="TPG306" s="125"/>
      <c r="TPH306" s="134"/>
      <c r="TPI306" s="135"/>
      <c r="TPJ306" s="135"/>
      <c r="TPK306" s="135"/>
      <c r="TPL306" s="135"/>
      <c r="TPM306" s="173"/>
      <c r="TPN306" s="173"/>
      <c r="TPO306" s="173"/>
      <c r="TPP306" s="173"/>
      <c r="TPQ306" s="173"/>
      <c r="TPR306" s="173"/>
      <c r="TPS306" s="173"/>
      <c r="TPT306" s="173"/>
      <c r="TPU306" s="173"/>
      <c r="TPV306" s="173"/>
      <c r="TPW306" s="125"/>
      <c r="TPX306" s="125"/>
      <c r="TPY306" s="134"/>
      <c r="TPZ306" s="135"/>
      <c r="TQA306" s="135"/>
      <c r="TQB306" s="135"/>
      <c r="TQC306" s="135"/>
      <c r="TQD306" s="173"/>
      <c r="TQE306" s="173"/>
      <c r="TQF306" s="173"/>
      <c r="TQG306" s="173"/>
      <c r="TQH306" s="173"/>
      <c r="TQI306" s="173"/>
      <c r="TQJ306" s="173"/>
      <c r="TQK306" s="173"/>
      <c r="TQL306" s="173"/>
      <c r="TQM306" s="173"/>
      <c r="TQN306" s="125"/>
      <c r="TQO306" s="125"/>
      <c r="TQP306" s="134"/>
      <c r="TQQ306" s="135"/>
      <c r="TQR306" s="135"/>
      <c r="TQS306" s="135"/>
      <c r="TQT306" s="135"/>
      <c r="TQU306" s="173"/>
      <c r="TQV306" s="173"/>
      <c r="TQW306" s="173"/>
      <c r="TQX306" s="173"/>
      <c r="TQY306" s="173"/>
      <c r="TQZ306" s="173"/>
      <c r="TRA306" s="173"/>
      <c r="TRB306" s="173"/>
      <c r="TRC306" s="173"/>
      <c r="TRD306" s="173"/>
      <c r="TRE306" s="125"/>
      <c r="TRF306" s="125"/>
      <c r="TRG306" s="134"/>
      <c r="TRH306" s="135"/>
      <c r="TRI306" s="135"/>
      <c r="TRJ306" s="135"/>
      <c r="TRK306" s="135"/>
      <c r="TRL306" s="173"/>
      <c r="TRM306" s="173"/>
      <c r="TRN306" s="173"/>
      <c r="TRO306" s="173"/>
      <c r="TRP306" s="173"/>
      <c r="TRQ306" s="173"/>
      <c r="TRR306" s="173"/>
      <c r="TRS306" s="173"/>
      <c r="TRT306" s="173"/>
      <c r="TRU306" s="173"/>
      <c r="TRV306" s="125"/>
      <c r="TRW306" s="125"/>
      <c r="TRX306" s="134"/>
      <c r="TRY306" s="135"/>
      <c r="TRZ306" s="135"/>
      <c r="TSA306" s="135"/>
      <c r="TSB306" s="135"/>
      <c r="TSC306" s="173"/>
      <c r="TSD306" s="173"/>
      <c r="TSE306" s="173"/>
      <c r="TSF306" s="173"/>
      <c r="TSG306" s="173"/>
      <c r="TSH306" s="173"/>
      <c r="TSI306" s="173"/>
      <c r="TSJ306" s="173"/>
      <c r="TSK306" s="173"/>
      <c r="TSL306" s="173"/>
      <c r="TSM306" s="125"/>
      <c r="TSN306" s="125"/>
      <c r="TSO306" s="134"/>
      <c r="TSP306" s="135"/>
      <c r="TSQ306" s="135"/>
      <c r="TSR306" s="135"/>
      <c r="TSS306" s="135"/>
      <c r="TST306" s="173"/>
      <c r="TSU306" s="173"/>
      <c r="TSV306" s="173"/>
      <c r="TSW306" s="173"/>
      <c r="TSX306" s="173"/>
      <c r="TSY306" s="173"/>
      <c r="TSZ306" s="173"/>
      <c r="TTA306" s="173"/>
      <c r="TTB306" s="173"/>
      <c r="TTC306" s="173"/>
      <c r="TTD306" s="125"/>
      <c r="TTE306" s="125"/>
      <c r="TTF306" s="134"/>
      <c r="TTG306" s="135"/>
      <c r="TTH306" s="135"/>
      <c r="TTI306" s="135"/>
      <c r="TTJ306" s="135"/>
      <c r="TTK306" s="173"/>
      <c r="TTL306" s="173"/>
      <c r="TTM306" s="173"/>
      <c r="TTN306" s="173"/>
      <c r="TTO306" s="173"/>
      <c r="TTP306" s="173"/>
      <c r="TTQ306" s="173"/>
      <c r="TTR306" s="173"/>
      <c r="TTS306" s="173"/>
      <c r="TTT306" s="173"/>
      <c r="TTU306" s="125"/>
      <c r="TTV306" s="125"/>
      <c r="TTW306" s="134"/>
      <c r="TTX306" s="135"/>
      <c r="TTY306" s="135"/>
      <c r="TTZ306" s="135"/>
      <c r="TUA306" s="135"/>
      <c r="TUB306" s="173"/>
      <c r="TUC306" s="173"/>
      <c r="TUD306" s="173"/>
      <c r="TUE306" s="173"/>
      <c r="TUF306" s="173"/>
      <c r="TUG306" s="173"/>
      <c r="TUH306" s="173"/>
      <c r="TUI306" s="173"/>
      <c r="TUJ306" s="173"/>
      <c r="TUK306" s="173"/>
      <c r="TUL306" s="125"/>
      <c r="TUM306" s="125"/>
      <c r="TUN306" s="134"/>
      <c r="TUO306" s="135"/>
      <c r="TUP306" s="135"/>
      <c r="TUQ306" s="135"/>
      <c r="TUR306" s="135"/>
      <c r="TUS306" s="173"/>
      <c r="TUT306" s="173"/>
      <c r="TUU306" s="173"/>
      <c r="TUV306" s="173"/>
      <c r="TUW306" s="173"/>
      <c r="TUX306" s="173"/>
      <c r="TUY306" s="173"/>
      <c r="TUZ306" s="173"/>
      <c r="TVA306" s="173"/>
      <c r="TVB306" s="173"/>
      <c r="TVC306" s="125"/>
      <c r="TVD306" s="125"/>
      <c r="TVE306" s="134"/>
      <c r="TVF306" s="135"/>
      <c r="TVG306" s="135"/>
      <c r="TVH306" s="135"/>
      <c r="TVI306" s="135"/>
      <c r="TVJ306" s="173"/>
      <c r="TVK306" s="173"/>
      <c r="TVL306" s="173"/>
      <c r="TVM306" s="173"/>
      <c r="TVN306" s="173"/>
      <c r="TVO306" s="173"/>
      <c r="TVP306" s="173"/>
      <c r="TVQ306" s="173"/>
      <c r="TVR306" s="173"/>
      <c r="TVS306" s="173"/>
      <c r="TVT306" s="125"/>
      <c r="TVU306" s="125"/>
      <c r="TVV306" s="134"/>
      <c r="TVW306" s="135"/>
      <c r="TVX306" s="135"/>
      <c r="TVY306" s="135"/>
      <c r="TVZ306" s="135"/>
      <c r="TWA306" s="173"/>
      <c r="TWB306" s="173"/>
      <c r="TWC306" s="173"/>
      <c r="TWD306" s="173"/>
      <c r="TWE306" s="173"/>
      <c r="TWF306" s="173"/>
      <c r="TWG306" s="173"/>
      <c r="TWH306" s="173"/>
      <c r="TWI306" s="173"/>
      <c r="TWJ306" s="173"/>
      <c r="TWK306" s="125"/>
      <c r="TWL306" s="125"/>
      <c r="TWM306" s="134"/>
      <c r="TWN306" s="135"/>
      <c r="TWO306" s="135"/>
      <c r="TWP306" s="135"/>
      <c r="TWQ306" s="135"/>
      <c r="TWR306" s="173"/>
      <c r="TWS306" s="173"/>
      <c r="TWT306" s="173"/>
      <c r="TWU306" s="173"/>
      <c r="TWV306" s="173"/>
      <c r="TWW306" s="173"/>
      <c r="TWX306" s="173"/>
      <c r="TWY306" s="173"/>
      <c r="TWZ306" s="173"/>
      <c r="TXA306" s="173"/>
      <c r="TXB306" s="125"/>
      <c r="TXC306" s="125"/>
      <c r="TXD306" s="134"/>
      <c r="TXE306" s="135"/>
      <c r="TXF306" s="135"/>
      <c r="TXG306" s="135"/>
      <c r="TXH306" s="135"/>
      <c r="TXI306" s="173"/>
      <c r="TXJ306" s="173"/>
      <c r="TXK306" s="173"/>
      <c r="TXL306" s="173"/>
      <c r="TXM306" s="173"/>
      <c r="TXN306" s="173"/>
      <c r="TXO306" s="173"/>
      <c r="TXP306" s="173"/>
      <c r="TXQ306" s="173"/>
      <c r="TXR306" s="173"/>
      <c r="TXS306" s="125"/>
      <c r="TXT306" s="125"/>
      <c r="TXU306" s="134"/>
      <c r="TXV306" s="135"/>
      <c r="TXW306" s="135"/>
      <c r="TXX306" s="135"/>
      <c r="TXY306" s="135"/>
      <c r="TXZ306" s="173"/>
      <c r="TYA306" s="173"/>
      <c r="TYB306" s="173"/>
      <c r="TYC306" s="173"/>
      <c r="TYD306" s="173"/>
      <c r="TYE306" s="173"/>
      <c r="TYF306" s="173"/>
      <c r="TYG306" s="173"/>
      <c r="TYH306" s="173"/>
      <c r="TYI306" s="173"/>
      <c r="TYJ306" s="125"/>
      <c r="TYK306" s="125"/>
      <c r="TYL306" s="134"/>
      <c r="TYM306" s="135"/>
      <c r="TYN306" s="135"/>
      <c r="TYO306" s="135"/>
      <c r="TYP306" s="135"/>
      <c r="TYQ306" s="173"/>
      <c r="TYR306" s="173"/>
      <c r="TYS306" s="173"/>
      <c r="TYT306" s="173"/>
      <c r="TYU306" s="173"/>
      <c r="TYV306" s="173"/>
      <c r="TYW306" s="173"/>
      <c r="TYX306" s="173"/>
      <c r="TYY306" s="173"/>
      <c r="TYZ306" s="173"/>
      <c r="TZA306" s="125"/>
      <c r="TZB306" s="125"/>
      <c r="TZC306" s="134"/>
      <c r="TZD306" s="135"/>
      <c r="TZE306" s="135"/>
      <c r="TZF306" s="135"/>
      <c r="TZG306" s="135"/>
      <c r="TZH306" s="173"/>
      <c r="TZI306" s="173"/>
      <c r="TZJ306" s="173"/>
      <c r="TZK306" s="173"/>
      <c r="TZL306" s="173"/>
      <c r="TZM306" s="173"/>
      <c r="TZN306" s="173"/>
      <c r="TZO306" s="173"/>
      <c r="TZP306" s="173"/>
      <c r="TZQ306" s="173"/>
      <c r="TZR306" s="125"/>
      <c r="TZS306" s="125"/>
      <c r="TZT306" s="134"/>
      <c r="TZU306" s="135"/>
      <c r="TZV306" s="135"/>
      <c r="TZW306" s="135"/>
      <c r="TZX306" s="135"/>
      <c r="TZY306" s="173"/>
      <c r="TZZ306" s="173"/>
      <c r="UAA306" s="173"/>
      <c r="UAB306" s="173"/>
      <c r="UAC306" s="173"/>
      <c r="UAD306" s="173"/>
      <c r="UAE306" s="173"/>
      <c r="UAF306" s="173"/>
      <c r="UAG306" s="173"/>
      <c r="UAH306" s="173"/>
      <c r="UAI306" s="125"/>
      <c r="UAJ306" s="125"/>
      <c r="UAK306" s="134"/>
      <c r="UAL306" s="135"/>
      <c r="UAM306" s="135"/>
      <c r="UAN306" s="135"/>
      <c r="UAO306" s="135"/>
      <c r="UAP306" s="173"/>
      <c r="UAQ306" s="173"/>
      <c r="UAR306" s="173"/>
      <c r="UAS306" s="173"/>
      <c r="UAT306" s="173"/>
      <c r="UAU306" s="173"/>
      <c r="UAV306" s="173"/>
      <c r="UAW306" s="173"/>
      <c r="UAX306" s="173"/>
      <c r="UAY306" s="173"/>
      <c r="UAZ306" s="125"/>
      <c r="UBA306" s="125"/>
      <c r="UBB306" s="134"/>
      <c r="UBC306" s="135"/>
      <c r="UBD306" s="135"/>
      <c r="UBE306" s="135"/>
      <c r="UBF306" s="135"/>
      <c r="UBG306" s="173"/>
      <c r="UBH306" s="173"/>
      <c r="UBI306" s="173"/>
      <c r="UBJ306" s="173"/>
      <c r="UBK306" s="173"/>
      <c r="UBL306" s="173"/>
      <c r="UBM306" s="173"/>
      <c r="UBN306" s="173"/>
      <c r="UBO306" s="173"/>
      <c r="UBP306" s="173"/>
      <c r="UBQ306" s="125"/>
      <c r="UBR306" s="125"/>
      <c r="UBS306" s="134"/>
      <c r="UBT306" s="135"/>
      <c r="UBU306" s="135"/>
      <c r="UBV306" s="135"/>
      <c r="UBW306" s="135"/>
      <c r="UBX306" s="173"/>
      <c r="UBY306" s="173"/>
      <c r="UBZ306" s="173"/>
      <c r="UCA306" s="173"/>
      <c r="UCB306" s="173"/>
      <c r="UCC306" s="173"/>
      <c r="UCD306" s="173"/>
      <c r="UCE306" s="173"/>
      <c r="UCF306" s="173"/>
      <c r="UCG306" s="173"/>
      <c r="UCH306" s="125"/>
      <c r="UCI306" s="125"/>
      <c r="UCJ306" s="134"/>
      <c r="UCK306" s="135"/>
      <c r="UCL306" s="135"/>
      <c r="UCM306" s="135"/>
      <c r="UCN306" s="135"/>
      <c r="UCO306" s="173"/>
      <c r="UCP306" s="173"/>
      <c r="UCQ306" s="173"/>
      <c r="UCR306" s="173"/>
      <c r="UCS306" s="173"/>
      <c r="UCT306" s="173"/>
      <c r="UCU306" s="173"/>
      <c r="UCV306" s="173"/>
      <c r="UCW306" s="173"/>
      <c r="UCX306" s="173"/>
      <c r="UCY306" s="125"/>
      <c r="UCZ306" s="125"/>
      <c r="UDA306" s="134"/>
      <c r="UDB306" s="135"/>
      <c r="UDC306" s="135"/>
      <c r="UDD306" s="135"/>
      <c r="UDE306" s="135"/>
      <c r="UDF306" s="173"/>
      <c r="UDG306" s="173"/>
      <c r="UDH306" s="173"/>
      <c r="UDI306" s="173"/>
      <c r="UDJ306" s="173"/>
      <c r="UDK306" s="173"/>
      <c r="UDL306" s="173"/>
      <c r="UDM306" s="173"/>
      <c r="UDN306" s="173"/>
      <c r="UDO306" s="173"/>
      <c r="UDP306" s="125"/>
      <c r="UDQ306" s="125"/>
      <c r="UDR306" s="134"/>
      <c r="UDS306" s="135"/>
      <c r="UDT306" s="135"/>
      <c r="UDU306" s="135"/>
      <c r="UDV306" s="135"/>
      <c r="UDW306" s="173"/>
      <c r="UDX306" s="173"/>
      <c r="UDY306" s="173"/>
      <c r="UDZ306" s="173"/>
      <c r="UEA306" s="173"/>
      <c r="UEB306" s="173"/>
      <c r="UEC306" s="173"/>
      <c r="UED306" s="173"/>
      <c r="UEE306" s="173"/>
      <c r="UEF306" s="173"/>
      <c r="UEG306" s="125"/>
      <c r="UEH306" s="125"/>
      <c r="UEI306" s="134"/>
      <c r="UEJ306" s="135"/>
      <c r="UEK306" s="135"/>
      <c r="UEL306" s="135"/>
      <c r="UEM306" s="135"/>
      <c r="UEN306" s="173"/>
      <c r="UEO306" s="173"/>
      <c r="UEP306" s="173"/>
      <c r="UEQ306" s="173"/>
      <c r="UER306" s="173"/>
      <c r="UES306" s="173"/>
      <c r="UET306" s="173"/>
      <c r="UEU306" s="173"/>
      <c r="UEV306" s="173"/>
      <c r="UEW306" s="173"/>
      <c r="UEX306" s="125"/>
      <c r="UEY306" s="125"/>
      <c r="UEZ306" s="134"/>
      <c r="UFA306" s="135"/>
      <c r="UFB306" s="135"/>
      <c r="UFC306" s="135"/>
      <c r="UFD306" s="135"/>
      <c r="UFE306" s="173"/>
      <c r="UFF306" s="173"/>
      <c r="UFG306" s="173"/>
      <c r="UFH306" s="173"/>
      <c r="UFI306" s="173"/>
      <c r="UFJ306" s="173"/>
      <c r="UFK306" s="173"/>
      <c r="UFL306" s="173"/>
      <c r="UFM306" s="173"/>
      <c r="UFN306" s="173"/>
      <c r="UFO306" s="125"/>
      <c r="UFP306" s="125"/>
      <c r="UFQ306" s="134"/>
      <c r="UFR306" s="135"/>
      <c r="UFS306" s="135"/>
      <c r="UFT306" s="135"/>
      <c r="UFU306" s="135"/>
      <c r="UFV306" s="173"/>
      <c r="UFW306" s="173"/>
      <c r="UFX306" s="173"/>
      <c r="UFY306" s="173"/>
      <c r="UFZ306" s="173"/>
      <c r="UGA306" s="173"/>
      <c r="UGB306" s="173"/>
      <c r="UGC306" s="173"/>
      <c r="UGD306" s="173"/>
      <c r="UGE306" s="173"/>
      <c r="UGF306" s="125"/>
      <c r="UGG306" s="125"/>
      <c r="UGH306" s="134"/>
      <c r="UGI306" s="135"/>
      <c r="UGJ306" s="135"/>
      <c r="UGK306" s="135"/>
      <c r="UGL306" s="135"/>
      <c r="UGM306" s="173"/>
      <c r="UGN306" s="173"/>
      <c r="UGO306" s="173"/>
      <c r="UGP306" s="173"/>
      <c r="UGQ306" s="173"/>
      <c r="UGR306" s="173"/>
      <c r="UGS306" s="173"/>
      <c r="UGT306" s="173"/>
      <c r="UGU306" s="173"/>
      <c r="UGV306" s="173"/>
      <c r="UGW306" s="125"/>
      <c r="UGX306" s="125"/>
      <c r="UGY306" s="134"/>
      <c r="UGZ306" s="135"/>
      <c r="UHA306" s="135"/>
      <c r="UHB306" s="135"/>
      <c r="UHC306" s="135"/>
      <c r="UHD306" s="173"/>
      <c r="UHE306" s="173"/>
      <c r="UHF306" s="173"/>
      <c r="UHG306" s="173"/>
      <c r="UHH306" s="173"/>
      <c r="UHI306" s="173"/>
      <c r="UHJ306" s="173"/>
      <c r="UHK306" s="173"/>
      <c r="UHL306" s="173"/>
      <c r="UHM306" s="173"/>
      <c r="UHN306" s="125"/>
      <c r="UHO306" s="125"/>
      <c r="UHP306" s="134"/>
      <c r="UHQ306" s="135"/>
      <c r="UHR306" s="135"/>
      <c r="UHS306" s="135"/>
      <c r="UHT306" s="135"/>
      <c r="UHU306" s="173"/>
      <c r="UHV306" s="173"/>
      <c r="UHW306" s="173"/>
      <c r="UHX306" s="173"/>
      <c r="UHY306" s="173"/>
      <c r="UHZ306" s="173"/>
      <c r="UIA306" s="173"/>
      <c r="UIB306" s="173"/>
      <c r="UIC306" s="173"/>
      <c r="UID306" s="173"/>
      <c r="UIE306" s="125"/>
      <c r="UIF306" s="125"/>
      <c r="UIG306" s="134"/>
      <c r="UIH306" s="135"/>
      <c r="UII306" s="135"/>
      <c r="UIJ306" s="135"/>
      <c r="UIK306" s="135"/>
      <c r="UIL306" s="173"/>
      <c r="UIM306" s="173"/>
      <c r="UIN306" s="173"/>
      <c r="UIO306" s="173"/>
      <c r="UIP306" s="173"/>
      <c r="UIQ306" s="173"/>
      <c r="UIR306" s="173"/>
      <c r="UIS306" s="173"/>
      <c r="UIT306" s="173"/>
      <c r="UIU306" s="173"/>
      <c r="UIV306" s="125"/>
      <c r="UIW306" s="125"/>
      <c r="UIX306" s="134"/>
      <c r="UIY306" s="135"/>
      <c r="UIZ306" s="135"/>
      <c r="UJA306" s="135"/>
      <c r="UJB306" s="135"/>
      <c r="UJC306" s="173"/>
      <c r="UJD306" s="173"/>
      <c r="UJE306" s="173"/>
      <c r="UJF306" s="173"/>
      <c r="UJG306" s="173"/>
      <c r="UJH306" s="173"/>
      <c r="UJI306" s="173"/>
      <c r="UJJ306" s="173"/>
      <c r="UJK306" s="173"/>
      <c r="UJL306" s="173"/>
      <c r="UJM306" s="125"/>
      <c r="UJN306" s="125"/>
      <c r="UJO306" s="134"/>
      <c r="UJP306" s="135"/>
      <c r="UJQ306" s="135"/>
      <c r="UJR306" s="135"/>
      <c r="UJS306" s="135"/>
      <c r="UJT306" s="173"/>
      <c r="UJU306" s="173"/>
      <c r="UJV306" s="173"/>
      <c r="UJW306" s="173"/>
      <c r="UJX306" s="173"/>
      <c r="UJY306" s="173"/>
      <c r="UJZ306" s="173"/>
      <c r="UKA306" s="173"/>
      <c r="UKB306" s="173"/>
      <c r="UKC306" s="173"/>
      <c r="UKD306" s="125"/>
      <c r="UKE306" s="125"/>
      <c r="UKF306" s="134"/>
      <c r="UKG306" s="135"/>
      <c r="UKH306" s="135"/>
      <c r="UKI306" s="135"/>
      <c r="UKJ306" s="135"/>
      <c r="UKK306" s="173"/>
      <c r="UKL306" s="173"/>
      <c r="UKM306" s="173"/>
      <c r="UKN306" s="173"/>
      <c r="UKO306" s="173"/>
      <c r="UKP306" s="173"/>
      <c r="UKQ306" s="173"/>
      <c r="UKR306" s="173"/>
      <c r="UKS306" s="173"/>
      <c r="UKT306" s="173"/>
      <c r="UKU306" s="125"/>
      <c r="UKV306" s="125"/>
      <c r="UKW306" s="134"/>
      <c r="UKX306" s="135"/>
      <c r="UKY306" s="135"/>
      <c r="UKZ306" s="135"/>
      <c r="ULA306" s="135"/>
      <c r="ULB306" s="173"/>
      <c r="ULC306" s="173"/>
      <c r="ULD306" s="173"/>
      <c r="ULE306" s="173"/>
      <c r="ULF306" s="173"/>
      <c r="ULG306" s="173"/>
      <c r="ULH306" s="173"/>
      <c r="ULI306" s="173"/>
      <c r="ULJ306" s="173"/>
      <c r="ULK306" s="173"/>
      <c r="ULL306" s="125"/>
      <c r="ULM306" s="125"/>
      <c r="ULN306" s="134"/>
      <c r="ULO306" s="135"/>
      <c r="ULP306" s="135"/>
      <c r="ULQ306" s="135"/>
      <c r="ULR306" s="135"/>
      <c r="ULS306" s="173"/>
      <c r="ULT306" s="173"/>
      <c r="ULU306" s="173"/>
      <c r="ULV306" s="173"/>
      <c r="ULW306" s="173"/>
      <c r="ULX306" s="173"/>
      <c r="ULY306" s="173"/>
      <c r="ULZ306" s="173"/>
      <c r="UMA306" s="173"/>
      <c r="UMB306" s="173"/>
      <c r="UMC306" s="125"/>
      <c r="UMD306" s="125"/>
      <c r="UME306" s="134"/>
      <c r="UMF306" s="135"/>
      <c r="UMG306" s="135"/>
      <c r="UMH306" s="135"/>
      <c r="UMI306" s="135"/>
      <c r="UMJ306" s="173"/>
      <c r="UMK306" s="173"/>
      <c r="UML306" s="173"/>
      <c r="UMM306" s="173"/>
      <c r="UMN306" s="173"/>
      <c r="UMO306" s="173"/>
      <c r="UMP306" s="173"/>
      <c r="UMQ306" s="173"/>
      <c r="UMR306" s="173"/>
      <c r="UMS306" s="173"/>
      <c r="UMT306" s="125"/>
      <c r="UMU306" s="125"/>
      <c r="UMV306" s="134"/>
      <c r="UMW306" s="135"/>
      <c r="UMX306" s="135"/>
      <c r="UMY306" s="135"/>
      <c r="UMZ306" s="135"/>
      <c r="UNA306" s="173"/>
      <c r="UNB306" s="173"/>
      <c r="UNC306" s="173"/>
      <c r="UND306" s="173"/>
      <c r="UNE306" s="173"/>
      <c r="UNF306" s="173"/>
      <c r="UNG306" s="173"/>
      <c r="UNH306" s="173"/>
      <c r="UNI306" s="173"/>
      <c r="UNJ306" s="173"/>
      <c r="UNK306" s="125"/>
      <c r="UNL306" s="125"/>
      <c r="UNM306" s="134"/>
      <c r="UNN306" s="135"/>
      <c r="UNO306" s="135"/>
      <c r="UNP306" s="135"/>
      <c r="UNQ306" s="135"/>
      <c r="UNR306" s="173"/>
      <c r="UNS306" s="173"/>
      <c r="UNT306" s="173"/>
      <c r="UNU306" s="173"/>
      <c r="UNV306" s="173"/>
      <c r="UNW306" s="173"/>
      <c r="UNX306" s="173"/>
      <c r="UNY306" s="173"/>
      <c r="UNZ306" s="173"/>
      <c r="UOA306" s="173"/>
      <c r="UOB306" s="125"/>
      <c r="UOC306" s="125"/>
      <c r="UOD306" s="134"/>
      <c r="UOE306" s="135"/>
      <c r="UOF306" s="135"/>
      <c r="UOG306" s="135"/>
      <c r="UOH306" s="135"/>
      <c r="UOI306" s="173"/>
      <c r="UOJ306" s="173"/>
      <c r="UOK306" s="173"/>
      <c r="UOL306" s="173"/>
      <c r="UOM306" s="173"/>
      <c r="UON306" s="173"/>
      <c r="UOO306" s="173"/>
      <c r="UOP306" s="173"/>
      <c r="UOQ306" s="173"/>
      <c r="UOR306" s="173"/>
      <c r="UOS306" s="125"/>
      <c r="UOT306" s="125"/>
      <c r="UOU306" s="134"/>
      <c r="UOV306" s="135"/>
      <c r="UOW306" s="135"/>
      <c r="UOX306" s="135"/>
      <c r="UOY306" s="135"/>
      <c r="UOZ306" s="173"/>
      <c r="UPA306" s="173"/>
      <c r="UPB306" s="173"/>
      <c r="UPC306" s="173"/>
      <c r="UPD306" s="173"/>
      <c r="UPE306" s="173"/>
      <c r="UPF306" s="173"/>
      <c r="UPG306" s="173"/>
      <c r="UPH306" s="173"/>
      <c r="UPI306" s="173"/>
      <c r="UPJ306" s="125"/>
      <c r="UPK306" s="125"/>
      <c r="UPL306" s="134"/>
      <c r="UPM306" s="135"/>
      <c r="UPN306" s="135"/>
      <c r="UPO306" s="135"/>
      <c r="UPP306" s="135"/>
      <c r="UPQ306" s="173"/>
      <c r="UPR306" s="173"/>
      <c r="UPS306" s="173"/>
      <c r="UPT306" s="173"/>
      <c r="UPU306" s="173"/>
      <c r="UPV306" s="173"/>
      <c r="UPW306" s="173"/>
      <c r="UPX306" s="173"/>
      <c r="UPY306" s="173"/>
      <c r="UPZ306" s="173"/>
      <c r="UQA306" s="125"/>
      <c r="UQB306" s="125"/>
      <c r="UQC306" s="134"/>
      <c r="UQD306" s="135"/>
      <c r="UQE306" s="135"/>
      <c r="UQF306" s="135"/>
      <c r="UQG306" s="135"/>
      <c r="UQH306" s="173"/>
      <c r="UQI306" s="173"/>
      <c r="UQJ306" s="173"/>
      <c r="UQK306" s="173"/>
      <c r="UQL306" s="173"/>
      <c r="UQM306" s="173"/>
      <c r="UQN306" s="173"/>
      <c r="UQO306" s="173"/>
      <c r="UQP306" s="173"/>
      <c r="UQQ306" s="173"/>
      <c r="UQR306" s="125"/>
      <c r="UQS306" s="125"/>
      <c r="UQT306" s="134"/>
      <c r="UQU306" s="135"/>
      <c r="UQV306" s="135"/>
      <c r="UQW306" s="135"/>
      <c r="UQX306" s="135"/>
      <c r="UQY306" s="173"/>
      <c r="UQZ306" s="173"/>
      <c r="URA306" s="173"/>
      <c r="URB306" s="173"/>
      <c r="URC306" s="173"/>
      <c r="URD306" s="173"/>
      <c r="URE306" s="173"/>
      <c r="URF306" s="173"/>
      <c r="URG306" s="173"/>
      <c r="URH306" s="173"/>
      <c r="URI306" s="125"/>
      <c r="URJ306" s="125"/>
      <c r="URK306" s="134"/>
      <c r="URL306" s="135"/>
      <c r="URM306" s="135"/>
      <c r="URN306" s="135"/>
      <c r="URO306" s="135"/>
      <c r="URP306" s="173"/>
      <c r="URQ306" s="173"/>
      <c r="URR306" s="173"/>
      <c r="URS306" s="173"/>
      <c r="URT306" s="173"/>
      <c r="URU306" s="173"/>
      <c r="URV306" s="173"/>
      <c r="URW306" s="173"/>
      <c r="URX306" s="173"/>
      <c r="URY306" s="173"/>
      <c r="URZ306" s="125"/>
      <c r="USA306" s="125"/>
      <c r="USB306" s="134"/>
      <c r="USC306" s="135"/>
      <c r="USD306" s="135"/>
      <c r="USE306" s="135"/>
      <c r="USF306" s="135"/>
      <c r="USG306" s="173"/>
      <c r="USH306" s="173"/>
      <c r="USI306" s="173"/>
      <c r="USJ306" s="173"/>
      <c r="USK306" s="173"/>
      <c r="USL306" s="173"/>
      <c r="USM306" s="173"/>
      <c r="USN306" s="173"/>
      <c r="USO306" s="173"/>
      <c r="USP306" s="173"/>
      <c r="USQ306" s="125"/>
      <c r="USR306" s="125"/>
      <c r="USS306" s="134"/>
      <c r="UST306" s="135"/>
      <c r="USU306" s="135"/>
      <c r="USV306" s="135"/>
      <c r="USW306" s="135"/>
      <c r="USX306" s="173"/>
      <c r="USY306" s="173"/>
      <c r="USZ306" s="173"/>
      <c r="UTA306" s="173"/>
      <c r="UTB306" s="173"/>
      <c r="UTC306" s="173"/>
      <c r="UTD306" s="173"/>
      <c r="UTE306" s="173"/>
      <c r="UTF306" s="173"/>
      <c r="UTG306" s="173"/>
      <c r="UTH306" s="125"/>
      <c r="UTI306" s="125"/>
      <c r="UTJ306" s="134"/>
      <c r="UTK306" s="135"/>
      <c r="UTL306" s="135"/>
      <c r="UTM306" s="135"/>
      <c r="UTN306" s="135"/>
      <c r="UTO306" s="173"/>
      <c r="UTP306" s="173"/>
      <c r="UTQ306" s="173"/>
      <c r="UTR306" s="173"/>
      <c r="UTS306" s="173"/>
      <c r="UTT306" s="173"/>
      <c r="UTU306" s="173"/>
      <c r="UTV306" s="173"/>
      <c r="UTW306" s="173"/>
      <c r="UTX306" s="173"/>
      <c r="UTY306" s="125"/>
      <c r="UTZ306" s="125"/>
      <c r="UUA306" s="134"/>
      <c r="UUB306" s="135"/>
      <c r="UUC306" s="135"/>
      <c r="UUD306" s="135"/>
      <c r="UUE306" s="135"/>
      <c r="UUF306" s="173"/>
      <c r="UUG306" s="173"/>
      <c r="UUH306" s="173"/>
      <c r="UUI306" s="173"/>
      <c r="UUJ306" s="173"/>
      <c r="UUK306" s="173"/>
      <c r="UUL306" s="173"/>
      <c r="UUM306" s="173"/>
      <c r="UUN306" s="173"/>
      <c r="UUO306" s="173"/>
      <c r="UUP306" s="125"/>
      <c r="UUQ306" s="125"/>
      <c r="UUR306" s="134"/>
      <c r="UUS306" s="135"/>
      <c r="UUT306" s="135"/>
      <c r="UUU306" s="135"/>
      <c r="UUV306" s="135"/>
      <c r="UUW306" s="173"/>
      <c r="UUX306" s="173"/>
      <c r="UUY306" s="173"/>
      <c r="UUZ306" s="173"/>
      <c r="UVA306" s="173"/>
      <c r="UVB306" s="173"/>
      <c r="UVC306" s="173"/>
      <c r="UVD306" s="173"/>
      <c r="UVE306" s="173"/>
      <c r="UVF306" s="173"/>
      <c r="UVG306" s="125"/>
      <c r="UVH306" s="125"/>
      <c r="UVI306" s="134"/>
      <c r="UVJ306" s="135"/>
      <c r="UVK306" s="135"/>
      <c r="UVL306" s="135"/>
      <c r="UVM306" s="135"/>
      <c r="UVN306" s="173"/>
      <c r="UVO306" s="173"/>
      <c r="UVP306" s="173"/>
      <c r="UVQ306" s="173"/>
      <c r="UVR306" s="173"/>
      <c r="UVS306" s="173"/>
      <c r="UVT306" s="173"/>
      <c r="UVU306" s="173"/>
      <c r="UVV306" s="173"/>
      <c r="UVW306" s="173"/>
      <c r="UVX306" s="125"/>
      <c r="UVY306" s="125"/>
      <c r="UVZ306" s="134"/>
      <c r="UWA306" s="135"/>
      <c r="UWB306" s="135"/>
      <c r="UWC306" s="135"/>
      <c r="UWD306" s="135"/>
      <c r="UWE306" s="173"/>
      <c r="UWF306" s="173"/>
      <c r="UWG306" s="173"/>
      <c r="UWH306" s="173"/>
      <c r="UWI306" s="173"/>
      <c r="UWJ306" s="173"/>
      <c r="UWK306" s="173"/>
      <c r="UWL306" s="173"/>
      <c r="UWM306" s="173"/>
      <c r="UWN306" s="173"/>
      <c r="UWO306" s="125"/>
      <c r="UWP306" s="125"/>
      <c r="UWQ306" s="134"/>
      <c r="UWR306" s="135"/>
      <c r="UWS306" s="135"/>
      <c r="UWT306" s="135"/>
      <c r="UWU306" s="135"/>
      <c r="UWV306" s="173"/>
      <c r="UWW306" s="173"/>
      <c r="UWX306" s="173"/>
      <c r="UWY306" s="173"/>
      <c r="UWZ306" s="173"/>
      <c r="UXA306" s="173"/>
      <c r="UXB306" s="173"/>
      <c r="UXC306" s="173"/>
      <c r="UXD306" s="173"/>
      <c r="UXE306" s="173"/>
      <c r="UXF306" s="125"/>
      <c r="UXG306" s="125"/>
      <c r="UXH306" s="134"/>
      <c r="UXI306" s="135"/>
      <c r="UXJ306" s="135"/>
      <c r="UXK306" s="135"/>
      <c r="UXL306" s="135"/>
      <c r="UXM306" s="173"/>
      <c r="UXN306" s="173"/>
      <c r="UXO306" s="173"/>
      <c r="UXP306" s="173"/>
      <c r="UXQ306" s="173"/>
      <c r="UXR306" s="173"/>
      <c r="UXS306" s="173"/>
      <c r="UXT306" s="173"/>
      <c r="UXU306" s="173"/>
      <c r="UXV306" s="173"/>
      <c r="UXW306" s="125"/>
      <c r="UXX306" s="125"/>
      <c r="UXY306" s="134"/>
      <c r="UXZ306" s="135"/>
      <c r="UYA306" s="135"/>
      <c r="UYB306" s="135"/>
      <c r="UYC306" s="135"/>
      <c r="UYD306" s="173"/>
      <c r="UYE306" s="173"/>
      <c r="UYF306" s="173"/>
      <c r="UYG306" s="173"/>
      <c r="UYH306" s="173"/>
      <c r="UYI306" s="173"/>
      <c r="UYJ306" s="173"/>
      <c r="UYK306" s="173"/>
      <c r="UYL306" s="173"/>
      <c r="UYM306" s="173"/>
      <c r="UYN306" s="125"/>
      <c r="UYO306" s="125"/>
      <c r="UYP306" s="134"/>
      <c r="UYQ306" s="135"/>
      <c r="UYR306" s="135"/>
      <c r="UYS306" s="135"/>
      <c r="UYT306" s="135"/>
      <c r="UYU306" s="173"/>
      <c r="UYV306" s="173"/>
      <c r="UYW306" s="173"/>
      <c r="UYX306" s="173"/>
      <c r="UYY306" s="173"/>
      <c r="UYZ306" s="173"/>
      <c r="UZA306" s="173"/>
      <c r="UZB306" s="173"/>
      <c r="UZC306" s="173"/>
      <c r="UZD306" s="173"/>
      <c r="UZE306" s="125"/>
      <c r="UZF306" s="125"/>
      <c r="UZG306" s="134"/>
      <c r="UZH306" s="135"/>
      <c r="UZI306" s="135"/>
      <c r="UZJ306" s="135"/>
      <c r="UZK306" s="135"/>
      <c r="UZL306" s="173"/>
      <c r="UZM306" s="173"/>
      <c r="UZN306" s="173"/>
      <c r="UZO306" s="173"/>
      <c r="UZP306" s="173"/>
      <c r="UZQ306" s="173"/>
      <c r="UZR306" s="173"/>
      <c r="UZS306" s="173"/>
      <c r="UZT306" s="173"/>
      <c r="UZU306" s="173"/>
      <c r="UZV306" s="125"/>
      <c r="UZW306" s="125"/>
      <c r="UZX306" s="134"/>
      <c r="UZY306" s="135"/>
      <c r="UZZ306" s="135"/>
      <c r="VAA306" s="135"/>
      <c r="VAB306" s="135"/>
      <c r="VAC306" s="173"/>
      <c r="VAD306" s="173"/>
      <c r="VAE306" s="173"/>
      <c r="VAF306" s="173"/>
      <c r="VAG306" s="173"/>
      <c r="VAH306" s="173"/>
      <c r="VAI306" s="173"/>
      <c r="VAJ306" s="173"/>
      <c r="VAK306" s="173"/>
      <c r="VAL306" s="173"/>
      <c r="VAM306" s="125"/>
      <c r="VAN306" s="125"/>
      <c r="VAO306" s="134"/>
      <c r="VAP306" s="135"/>
      <c r="VAQ306" s="135"/>
      <c r="VAR306" s="135"/>
      <c r="VAS306" s="135"/>
      <c r="VAT306" s="173"/>
      <c r="VAU306" s="173"/>
      <c r="VAV306" s="173"/>
      <c r="VAW306" s="173"/>
      <c r="VAX306" s="173"/>
      <c r="VAY306" s="173"/>
      <c r="VAZ306" s="173"/>
      <c r="VBA306" s="173"/>
      <c r="VBB306" s="173"/>
      <c r="VBC306" s="173"/>
      <c r="VBD306" s="125"/>
      <c r="VBE306" s="125"/>
      <c r="VBF306" s="134"/>
      <c r="VBG306" s="135"/>
      <c r="VBH306" s="135"/>
      <c r="VBI306" s="135"/>
      <c r="VBJ306" s="135"/>
      <c r="VBK306" s="173"/>
      <c r="VBL306" s="173"/>
      <c r="VBM306" s="173"/>
      <c r="VBN306" s="173"/>
      <c r="VBO306" s="173"/>
      <c r="VBP306" s="173"/>
      <c r="VBQ306" s="173"/>
      <c r="VBR306" s="173"/>
      <c r="VBS306" s="173"/>
      <c r="VBT306" s="173"/>
      <c r="VBU306" s="125"/>
      <c r="VBV306" s="125"/>
      <c r="VBW306" s="134"/>
      <c r="VBX306" s="135"/>
      <c r="VBY306" s="135"/>
      <c r="VBZ306" s="135"/>
      <c r="VCA306" s="135"/>
      <c r="VCB306" s="173"/>
      <c r="VCC306" s="173"/>
      <c r="VCD306" s="173"/>
      <c r="VCE306" s="173"/>
      <c r="VCF306" s="173"/>
      <c r="VCG306" s="173"/>
      <c r="VCH306" s="173"/>
      <c r="VCI306" s="173"/>
      <c r="VCJ306" s="173"/>
      <c r="VCK306" s="173"/>
      <c r="VCL306" s="125"/>
      <c r="VCM306" s="125"/>
      <c r="VCN306" s="134"/>
      <c r="VCO306" s="135"/>
      <c r="VCP306" s="135"/>
      <c r="VCQ306" s="135"/>
      <c r="VCR306" s="135"/>
      <c r="VCS306" s="173"/>
      <c r="VCT306" s="173"/>
      <c r="VCU306" s="173"/>
      <c r="VCV306" s="173"/>
      <c r="VCW306" s="173"/>
      <c r="VCX306" s="173"/>
      <c r="VCY306" s="173"/>
      <c r="VCZ306" s="173"/>
      <c r="VDA306" s="173"/>
      <c r="VDB306" s="173"/>
      <c r="VDC306" s="125"/>
      <c r="VDD306" s="125"/>
      <c r="VDE306" s="134"/>
      <c r="VDF306" s="135"/>
      <c r="VDG306" s="135"/>
      <c r="VDH306" s="135"/>
      <c r="VDI306" s="135"/>
      <c r="VDJ306" s="173"/>
      <c r="VDK306" s="173"/>
      <c r="VDL306" s="173"/>
      <c r="VDM306" s="173"/>
      <c r="VDN306" s="173"/>
      <c r="VDO306" s="173"/>
      <c r="VDP306" s="173"/>
      <c r="VDQ306" s="173"/>
      <c r="VDR306" s="173"/>
      <c r="VDS306" s="173"/>
      <c r="VDT306" s="125"/>
      <c r="VDU306" s="125"/>
      <c r="VDV306" s="134"/>
      <c r="VDW306" s="135"/>
      <c r="VDX306" s="135"/>
      <c r="VDY306" s="135"/>
      <c r="VDZ306" s="135"/>
      <c r="VEA306" s="173"/>
      <c r="VEB306" s="173"/>
      <c r="VEC306" s="173"/>
      <c r="VED306" s="173"/>
      <c r="VEE306" s="173"/>
      <c r="VEF306" s="173"/>
      <c r="VEG306" s="173"/>
      <c r="VEH306" s="173"/>
      <c r="VEI306" s="173"/>
      <c r="VEJ306" s="173"/>
      <c r="VEK306" s="125"/>
      <c r="VEL306" s="125"/>
      <c r="VEM306" s="134"/>
      <c r="VEN306" s="135"/>
      <c r="VEO306" s="135"/>
      <c r="VEP306" s="135"/>
      <c r="VEQ306" s="135"/>
      <c r="VER306" s="173"/>
      <c r="VES306" s="173"/>
      <c r="VET306" s="173"/>
      <c r="VEU306" s="173"/>
      <c r="VEV306" s="173"/>
      <c r="VEW306" s="173"/>
      <c r="VEX306" s="173"/>
      <c r="VEY306" s="173"/>
      <c r="VEZ306" s="173"/>
      <c r="VFA306" s="173"/>
      <c r="VFB306" s="125"/>
      <c r="VFC306" s="125"/>
      <c r="VFD306" s="134"/>
      <c r="VFE306" s="135"/>
      <c r="VFF306" s="135"/>
      <c r="VFG306" s="135"/>
      <c r="VFH306" s="135"/>
      <c r="VFI306" s="173"/>
      <c r="VFJ306" s="173"/>
      <c r="VFK306" s="173"/>
      <c r="VFL306" s="173"/>
      <c r="VFM306" s="173"/>
      <c r="VFN306" s="173"/>
      <c r="VFO306" s="173"/>
      <c r="VFP306" s="173"/>
      <c r="VFQ306" s="173"/>
      <c r="VFR306" s="173"/>
      <c r="VFS306" s="125"/>
      <c r="VFT306" s="125"/>
      <c r="VFU306" s="134"/>
      <c r="VFV306" s="135"/>
      <c r="VFW306" s="135"/>
      <c r="VFX306" s="135"/>
      <c r="VFY306" s="135"/>
      <c r="VFZ306" s="173"/>
      <c r="VGA306" s="173"/>
      <c r="VGB306" s="173"/>
      <c r="VGC306" s="173"/>
      <c r="VGD306" s="173"/>
      <c r="VGE306" s="173"/>
      <c r="VGF306" s="173"/>
      <c r="VGG306" s="173"/>
      <c r="VGH306" s="173"/>
      <c r="VGI306" s="173"/>
      <c r="VGJ306" s="125"/>
      <c r="VGK306" s="125"/>
      <c r="VGL306" s="134"/>
      <c r="VGM306" s="135"/>
      <c r="VGN306" s="135"/>
      <c r="VGO306" s="135"/>
      <c r="VGP306" s="135"/>
      <c r="VGQ306" s="173"/>
      <c r="VGR306" s="173"/>
      <c r="VGS306" s="173"/>
      <c r="VGT306" s="173"/>
      <c r="VGU306" s="173"/>
      <c r="VGV306" s="173"/>
      <c r="VGW306" s="173"/>
      <c r="VGX306" s="173"/>
      <c r="VGY306" s="173"/>
      <c r="VGZ306" s="173"/>
      <c r="VHA306" s="125"/>
      <c r="VHB306" s="125"/>
      <c r="VHC306" s="134"/>
      <c r="VHD306" s="135"/>
      <c r="VHE306" s="135"/>
      <c r="VHF306" s="135"/>
      <c r="VHG306" s="135"/>
      <c r="VHH306" s="173"/>
      <c r="VHI306" s="173"/>
      <c r="VHJ306" s="173"/>
      <c r="VHK306" s="173"/>
      <c r="VHL306" s="173"/>
      <c r="VHM306" s="173"/>
      <c r="VHN306" s="173"/>
      <c r="VHO306" s="173"/>
      <c r="VHP306" s="173"/>
      <c r="VHQ306" s="173"/>
      <c r="VHR306" s="125"/>
      <c r="VHS306" s="125"/>
      <c r="VHT306" s="134"/>
      <c r="VHU306" s="135"/>
      <c r="VHV306" s="135"/>
      <c r="VHW306" s="135"/>
      <c r="VHX306" s="135"/>
      <c r="VHY306" s="173"/>
      <c r="VHZ306" s="173"/>
      <c r="VIA306" s="173"/>
      <c r="VIB306" s="173"/>
      <c r="VIC306" s="173"/>
      <c r="VID306" s="173"/>
      <c r="VIE306" s="173"/>
      <c r="VIF306" s="173"/>
      <c r="VIG306" s="173"/>
      <c r="VIH306" s="173"/>
      <c r="VII306" s="125"/>
      <c r="VIJ306" s="125"/>
      <c r="VIK306" s="134"/>
      <c r="VIL306" s="135"/>
      <c r="VIM306" s="135"/>
      <c r="VIN306" s="135"/>
      <c r="VIO306" s="135"/>
      <c r="VIP306" s="173"/>
      <c r="VIQ306" s="173"/>
      <c r="VIR306" s="173"/>
      <c r="VIS306" s="173"/>
      <c r="VIT306" s="173"/>
      <c r="VIU306" s="173"/>
      <c r="VIV306" s="173"/>
      <c r="VIW306" s="173"/>
      <c r="VIX306" s="173"/>
      <c r="VIY306" s="173"/>
      <c r="VIZ306" s="125"/>
      <c r="VJA306" s="125"/>
      <c r="VJB306" s="134"/>
      <c r="VJC306" s="135"/>
      <c r="VJD306" s="135"/>
      <c r="VJE306" s="135"/>
      <c r="VJF306" s="135"/>
      <c r="VJG306" s="173"/>
      <c r="VJH306" s="173"/>
      <c r="VJI306" s="173"/>
      <c r="VJJ306" s="173"/>
      <c r="VJK306" s="173"/>
      <c r="VJL306" s="173"/>
      <c r="VJM306" s="173"/>
      <c r="VJN306" s="173"/>
      <c r="VJO306" s="173"/>
      <c r="VJP306" s="173"/>
      <c r="VJQ306" s="125"/>
      <c r="VJR306" s="125"/>
      <c r="VJS306" s="134"/>
      <c r="VJT306" s="135"/>
      <c r="VJU306" s="135"/>
      <c r="VJV306" s="135"/>
      <c r="VJW306" s="135"/>
      <c r="VJX306" s="173"/>
      <c r="VJY306" s="173"/>
      <c r="VJZ306" s="173"/>
      <c r="VKA306" s="173"/>
      <c r="VKB306" s="173"/>
      <c r="VKC306" s="173"/>
      <c r="VKD306" s="173"/>
      <c r="VKE306" s="173"/>
      <c r="VKF306" s="173"/>
      <c r="VKG306" s="173"/>
      <c r="VKH306" s="125"/>
      <c r="VKI306" s="125"/>
      <c r="VKJ306" s="134"/>
      <c r="VKK306" s="135"/>
      <c r="VKL306" s="135"/>
      <c r="VKM306" s="135"/>
      <c r="VKN306" s="135"/>
      <c r="VKO306" s="173"/>
      <c r="VKP306" s="173"/>
      <c r="VKQ306" s="173"/>
      <c r="VKR306" s="173"/>
      <c r="VKS306" s="173"/>
      <c r="VKT306" s="173"/>
      <c r="VKU306" s="173"/>
      <c r="VKV306" s="173"/>
      <c r="VKW306" s="173"/>
      <c r="VKX306" s="173"/>
      <c r="VKY306" s="125"/>
      <c r="VKZ306" s="125"/>
      <c r="VLA306" s="134"/>
      <c r="VLB306" s="135"/>
      <c r="VLC306" s="135"/>
      <c r="VLD306" s="135"/>
      <c r="VLE306" s="135"/>
      <c r="VLF306" s="173"/>
      <c r="VLG306" s="173"/>
      <c r="VLH306" s="173"/>
      <c r="VLI306" s="173"/>
      <c r="VLJ306" s="173"/>
      <c r="VLK306" s="173"/>
      <c r="VLL306" s="173"/>
      <c r="VLM306" s="173"/>
      <c r="VLN306" s="173"/>
      <c r="VLO306" s="173"/>
      <c r="VLP306" s="125"/>
      <c r="VLQ306" s="125"/>
      <c r="VLR306" s="134"/>
      <c r="VLS306" s="135"/>
      <c r="VLT306" s="135"/>
      <c r="VLU306" s="135"/>
      <c r="VLV306" s="135"/>
      <c r="VLW306" s="173"/>
      <c r="VLX306" s="173"/>
      <c r="VLY306" s="173"/>
      <c r="VLZ306" s="173"/>
      <c r="VMA306" s="173"/>
      <c r="VMB306" s="173"/>
      <c r="VMC306" s="173"/>
      <c r="VMD306" s="173"/>
      <c r="VME306" s="173"/>
      <c r="VMF306" s="173"/>
      <c r="VMG306" s="125"/>
      <c r="VMH306" s="125"/>
      <c r="VMI306" s="134"/>
      <c r="VMJ306" s="135"/>
      <c r="VMK306" s="135"/>
      <c r="VML306" s="135"/>
      <c r="VMM306" s="135"/>
      <c r="VMN306" s="173"/>
      <c r="VMO306" s="173"/>
      <c r="VMP306" s="173"/>
      <c r="VMQ306" s="173"/>
      <c r="VMR306" s="173"/>
      <c r="VMS306" s="173"/>
      <c r="VMT306" s="173"/>
      <c r="VMU306" s="173"/>
      <c r="VMV306" s="173"/>
      <c r="VMW306" s="173"/>
      <c r="VMX306" s="125"/>
      <c r="VMY306" s="125"/>
      <c r="VMZ306" s="134"/>
      <c r="VNA306" s="135"/>
      <c r="VNB306" s="135"/>
      <c r="VNC306" s="135"/>
      <c r="VND306" s="135"/>
      <c r="VNE306" s="173"/>
      <c r="VNF306" s="173"/>
      <c r="VNG306" s="173"/>
      <c r="VNH306" s="173"/>
      <c r="VNI306" s="173"/>
      <c r="VNJ306" s="173"/>
      <c r="VNK306" s="173"/>
      <c r="VNL306" s="173"/>
      <c r="VNM306" s="173"/>
      <c r="VNN306" s="173"/>
      <c r="VNO306" s="125"/>
      <c r="VNP306" s="125"/>
      <c r="VNQ306" s="134"/>
      <c r="VNR306" s="135"/>
      <c r="VNS306" s="135"/>
      <c r="VNT306" s="135"/>
      <c r="VNU306" s="135"/>
      <c r="VNV306" s="173"/>
      <c r="VNW306" s="173"/>
      <c r="VNX306" s="173"/>
      <c r="VNY306" s="173"/>
      <c r="VNZ306" s="173"/>
      <c r="VOA306" s="173"/>
      <c r="VOB306" s="173"/>
      <c r="VOC306" s="173"/>
      <c r="VOD306" s="173"/>
      <c r="VOE306" s="173"/>
      <c r="VOF306" s="125"/>
      <c r="VOG306" s="125"/>
      <c r="VOH306" s="134"/>
      <c r="VOI306" s="135"/>
      <c r="VOJ306" s="135"/>
      <c r="VOK306" s="135"/>
      <c r="VOL306" s="135"/>
      <c r="VOM306" s="173"/>
      <c r="VON306" s="173"/>
      <c r="VOO306" s="173"/>
      <c r="VOP306" s="173"/>
      <c r="VOQ306" s="173"/>
      <c r="VOR306" s="173"/>
      <c r="VOS306" s="173"/>
      <c r="VOT306" s="173"/>
      <c r="VOU306" s="173"/>
      <c r="VOV306" s="173"/>
      <c r="VOW306" s="125"/>
      <c r="VOX306" s="125"/>
      <c r="VOY306" s="134"/>
      <c r="VOZ306" s="135"/>
      <c r="VPA306" s="135"/>
      <c r="VPB306" s="135"/>
      <c r="VPC306" s="135"/>
      <c r="VPD306" s="173"/>
      <c r="VPE306" s="173"/>
      <c r="VPF306" s="173"/>
      <c r="VPG306" s="173"/>
      <c r="VPH306" s="173"/>
      <c r="VPI306" s="173"/>
      <c r="VPJ306" s="173"/>
      <c r="VPK306" s="173"/>
      <c r="VPL306" s="173"/>
      <c r="VPM306" s="173"/>
      <c r="VPN306" s="125"/>
      <c r="VPO306" s="125"/>
      <c r="VPP306" s="134"/>
      <c r="VPQ306" s="135"/>
      <c r="VPR306" s="135"/>
      <c r="VPS306" s="135"/>
      <c r="VPT306" s="135"/>
      <c r="VPU306" s="173"/>
      <c r="VPV306" s="173"/>
      <c r="VPW306" s="173"/>
      <c r="VPX306" s="173"/>
      <c r="VPY306" s="173"/>
      <c r="VPZ306" s="173"/>
      <c r="VQA306" s="173"/>
      <c r="VQB306" s="173"/>
      <c r="VQC306" s="173"/>
      <c r="VQD306" s="173"/>
      <c r="VQE306" s="125"/>
      <c r="VQF306" s="125"/>
      <c r="VQG306" s="134"/>
      <c r="VQH306" s="135"/>
      <c r="VQI306" s="135"/>
      <c r="VQJ306" s="135"/>
      <c r="VQK306" s="135"/>
      <c r="VQL306" s="173"/>
      <c r="VQM306" s="173"/>
      <c r="VQN306" s="173"/>
      <c r="VQO306" s="173"/>
      <c r="VQP306" s="173"/>
      <c r="VQQ306" s="173"/>
      <c r="VQR306" s="173"/>
      <c r="VQS306" s="173"/>
      <c r="VQT306" s="173"/>
      <c r="VQU306" s="173"/>
      <c r="VQV306" s="125"/>
      <c r="VQW306" s="125"/>
      <c r="VQX306" s="134"/>
      <c r="VQY306" s="135"/>
      <c r="VQZ306" s="135"/>
      <c r="VRA306" s="135"/>
      <c r="VRB306" s="135"/>
      <c r="VRC306" s="173"/>
      <c r="VRD306" s="173"/>
      <c r="VRE306" s="173"/>
      <c r="VRF306" s="173"/>
      <c r="VRG306" s="173"/>
      <c r="VRH306" s="173"/>
      <c r="VRI306" s="173"/>
      <c r="VRJ306" s="173"/>
      <c r="VRK306" s="173"/>
      <c r="VRL306" s="173"/>
      <c r="VRM306" s="125"/>
      <c r="VRN306" s="125"/>
      <c r="VRO306" s="134"/>
      <c r="VRP306" s="135"/>
      <c r="VRQ306" s="135"/>
      <c r="VRR306" s="135"/>
      <c r="VRS306" s="135"/>
      <c r="VRT306" s="173"/>
      <c r="VRU306" s="173"/>
      <c r="VRV306" s="173"/>
      <c r="VRW306" s="173"/>
      <c r="VRX306" s="173"/>
      <c r="VRY306" s="173"/>
      <c r="VRZ306" s="173"/>
      <c r="VSA306" s="173"/>
      <c r="VSB306" s="173"/>
      <c r="VSC306" s="173"/>
      <c r="VSD306" s="125"/>
      <c r="VSE306" s="125"/>
      <c r="VSF306" s="134"/>
      <c r="VSG306" s="135"/>
      <c r="VSH306" s="135"/>
      <c r="VSI306" s="135"/>
      <c r="VSJ306" s="135"/>
      <c r="VSK306" s="173"/>
      <c r="VSL306" s="173"/>
      <c r="VSM306" s="173"/>
      <c r="VSN306" s="173"/>
      <c r="VSO306" s="173"/>
      <c r="VSP306" s="173"/>
      <c r="VSQ306" s="173"/>
      <c r="VSR306" s="173"/>
      <c r="VSS306" s="173"/>
      <c r="VST306" s="173"/>
      <c r="VSU306" s="125"/>
      <c r="VSV306" s="125"/>
      <c r="VSW306" s="134"/>
      <c r="VSX306" s="135"/>
      <c r="VSY306" s="135"/>
      <c r="VSZ306" s="135"/>
      <c r="VTA306" s="135"/>
      <c r="VTB306" s="173"/>
      <c r="VTC306" s="173"/>
      <c r="VTD306" s="173"/>
      <c r="VTE306" s="173"/>
      <c r="VTF306" s="173"/>
      <c r="VTG306" s="173"/>
      <c r="VTH306" s="173"/>
      <c r="VTI306" s="173"/>
      <c r="VTJ306" s="173"/>
      <c r="VTK306" s="173"/>
      <c r="VTL306" s="125"/>
      <c r="VTM306" s="125"/>
      <c r="VTN306" s="134"/>
      <c r="VTO306" s="135"/>
      <c r="VTP306" s="135"/>
      <c r="VTQ306" s="135"/>
      <c r="VTR306" s="135"/>
      <c r="VTS306" s="173"/>
      <c r="VTT306" s="173"/>
      <c r="VTU306" s="173"/>
      <c r="VTV306" s="173"/>
      <c r="VTW306" s="173"/>
      <c r="VTX306" s="173"/>
      <c r="VTY306" s="173"/>
      <c r="VTZ306" s="173"/>
      <c r="VUA306" s="173"/>
      <c r="VUB306" s="173"/>
      <c r="VUC306" s="125"/>
      <c r="VUD306" s="125"/>
      <c r="VUE306" s="134"/>
      <c r="VUF306" s="135"/>
      <c r="VUG306" s="135"/>
      <c r="VUH306" s="135"/>
      <c r="VUI306" s="135"/>
      <c r="VUJ306" s="173"/>
      <c r="VUK306" s="173"/>
      <c r="VUL306" s="173"/>
      <c r="VUM306" s="173"/>
      <c r="VUN306" s="173"/>
      <c r="VUO306" s="173"/>
      <c r="VUP306" s="173"/>
      <c r="VUQ306" s="173"/>
      <c r="VUR306" s="173"/>
      <c r="VUS306" s="173"/>
      <c r="VUT306" s="125"/>
      <c r="VUU306" s="125"/>
      <c r="VUV306" s="134"/>
      <c r="VUW306" s="135"/>
      <c r="VUX306" s="135"/>
      <c r="VUY306" s="135"/>
      <c r="VUZ306" s="135"/>
      <c r="VVA306" s="173"/>
      <c r="VVB306" s="173"/>
      <c r="VVC306" s="173"/>
      <c r="VVD306" s="173"/>
      <c r="VVE306" s="173"/>
      <c r="VVF306" s="173"/>
      <c r="VVG306" s="173"/>
      <c r="VVH306" s="173"/>
      <c r="VVI306" s="173"/>
      <c r="VVJ306" s="173"/>
      <c r="VVK306" s="125"/>
      <c r="VVL306" s="125"/>
      <c r="VVM306" s="134"/>
      <c r="VVN306" s="135"/>
      <c r="VVO306" s="135"/>
      <c r="VVP306" s="135"/>
      <c r="VVQ306" s="135"/>
      <c r="VVR306" s="173"/>
      <c r="VVS306" s="173"/>
      <c r="VVT306" s="173"/>
      <c r="VVU306" s="173"/>
      <c r="VVV306" s="173"/>
      <c r="VVW306" s="173"/>
      <c r="VVX306" s="173"/>
      <c r="VVY306" s="173"/>
      <c r="VVZ306" s="173"/>
      <c r="VWA306" s="173"/>
      <c r="VWB306" s="125"/>
      <c r="VWC306" s="125"/>
      <c r="VWD306" s="134"/>
      <c r="VWE306" s="135"/>
      <c r="VWF306" s="135"/>
      <c r="VWG306" s="135"/>
      <c r="VWH306" s="135"/>
      <c r="VWI306" s="173"/>
      <c r="VWJ306" s="173"/>
      <c r="VWK306" s="173"/>
      <c r="VWL306" s="173"/>
      <c r="VWM306" s="173"/>
      <c r="VWN306" s="173"/>
      <c r="VWO306" s="173"/>
      <c r="VWP306" s="173"/>
      <c r="VWQ306" s="173"/>
      <c r="VWR306" s="173"/>
      <c r="VWS306" s="125"/>
      <c r="VWT306" s="125"/>
      <c r="VWU306" s="134"/>
      <c r="VWV306" s="135"/>
      <c r="VWW306" s="135"/>
      <c r="VWX306" s="135"/>
      <c r="VWY306" s="135"/>
      <c r="VWZ306" s="173"/>
      <c r="VXA306" s="173"/>
      <c r="VXB306" s="173"/>
      <c r="VXC306" s="173"/>
      <c r="VXD306" s="173"/>
      <c r="VXE306" s="173"/>
      <c r="VXF306" s="173"/>
      <c r="VXG306" s="173"/>
      <c r="VXH306" s="173"/>
      <c r="VXI306" s="173"/>
      <c r="VXJ306" s="125"/>
      <c r="VXK306" s="125"/>
      <c r="VXL306" s="134"/>
      <c r="VXM306" s="135"/>
      <c r="VXN306" s="135"/>
      <c r="VXO306" s="135"/>
      <c r="VXP306" s="135"/>
      <c r="VXQ306" s="173"/>
      <c r="VXR306" s="173"/>
      <c r="VXS306" s="173"/>
      <c r="VXT306" s="173"/>
      <c r="VXU306" s="173"/>
      <c r="VXV306" s="173"/>
      <c r="VXW306" s="173"/>
      <c r="VXX306" s="173"/>
      <c r="VXY306" s="173"/>
      <c r="VXZ306" s="173"/>
      <c r="VYA306" s="125"/>
      <c r="VYB306" s="125"/>
      <c r="VYC306" s="134"/>
      <c r="VYD306" s="135"/>
      <c r="VYE306" s="135"/>
      <c r="VYF306" s="135"/>
      <c r="VYG306" s="135"/>
      <c r="VYH306" s="173"/>
      <c r="VYI306" s="173"/>
      <c r="VYJ306" s="173"/>
      <c r="VYK306" s="173"/>
      <c r="VYL306" s="173"/>
      <c r="VYM306" s="173"/>
      <c r="VYN306" s="173"/>
      <c r="VYO306" s="173"/>
      <c r="VYP306" s="173"/>
      <c r="VYQ306" s="173"/>
      <c r="VYR306" s="125"/>
      <c r="VYS306" s="125"/>
      <c r="VYT306" s="134"/>
      <c r="VYU306" s="135"/>
      <c r="VYV306" s="135"/>
      <c r="VYW306" s="135"/>
      <c r="VYX306" s="135"/>
      <c r="VYY306" s="173"/>
      <c r="VYZ306" s="173"/>
      <c r="VZA306" s="173"/>
      <c r="VZB306" s="173"/>
      <c r="VZC306" s="173"/>
      <c r="VZD306" s="173"/>
      <c r="VZE306" s="173"/>
      <c r="VZF306" s="173"/>
      <c r="VZG306" s="173"/>
      <c r="VZH306" s="173"/>
      <c r="VZI306" s="125"/>
      <c r="VZJ306" s="125"/>
      <c r="VZK306" s="134"/>
      <c r="VZL306" s="135"/>
      <c r="VZM306" s="135"/>
      <c r="VZN306" s="135"/>
      <c r="VZO306" s="135"/>
      <c r="VZP306" s="173"/>
      <c r="VZQ306" s="173"/>
      <c r="VZR306" s="173"/>
      <c r="VZS306" s="173"/>
      <c r="VZT306" s="173"/>
      <c r="VZU306" s="173"/>
      <c r="VZV306" s="173"/>
      <c r="VZW306" s="173"/>
      <c r="VZX306" s="173"/>
      <c r="VZY306" s="173"/>
      <c r="VZZ306" s="125"/>
      <c r="WAA306" s="125"/>
      <c r="WAB306" s="134"/>
      <c r="WAC306" s="135"/>
      <c r="WAD306" s="135"/>
      <c r="WAE306" s="135"/>
      <c r="WAF306" s="135"/>
      <c r="WAG306" s="173"/>
      <c r="WAH306" s="173"/>
      <c r="WAI306" s="173"/>
      <c r="WAJ306" s="173"/>
      <c r="WAK306" s="173"/>
      <c r="WAL306" s="173"/>
      <c r="WAM306" s="173"/>
      <c r="WAN306" s="173"/>
      <c r="WAO306" s="173"/>
      <c r="WAP306" s="173"/>
      <c r="WAQ306" s="125"/>
      <c r="WAR306" s="125"/>
      <c r="WAS306" s="134"/>
      <c r="WAT306" s="135"/>
      <c r="WAU306" s="135"/>
      <c r="WAV306" s="135"/>
      <c r="WAW306" s="135"/>
      <c r="WAX306" s="173"/>
      <c r="WAY306" s="173"/>
      <c r="WAZ306" s="173"/>
      <c r="WBA306" s="173"/>
      <c r="WBB306" s="173"/>
      <c r="WBC306" s="173"/>
      <c r="WBD306" s="173"/>
      <c r="WBE306" s="173"/>
      <c r="WBF306" s="173"/>
      <c r="WBG306" s="173"/>
      <c r="WBH306" s="125"/>
      <c r="WBI306" s="125"/>
      <c r="WBJ306" s="134"/>
      <c r="WBK306" s="135"/>
      <c r="WBL306" s="135"/>
      <c r="WBM306" s="135"/>
      <c r="WBN306" s="135"/>
      <c r="WBO306" s="173"/>
      <c r="WBP306" s="173"/>
      <c r="WBQ306" s="173"/>
      <c r="WBR306" s="173"/>
      <c r="WBS306" s="173"/>
      <c r="WBT306" s="173"/>
      <c r="WBU306" s="173"/>
      <c r="WBV306" s="173"/>
      <c r="WBW306" s="173"/>
      <c r="WBX306" s="173"/>
      <c r="WBY306" s="125"/>
      <c r="WBZ306" s="125"/>
      <c r="WCA306" s="134"/>
      <c r="WCB306" s="135"/>
      <c r="WCC306" s="135"/>
      <c r="WCD306" s="135"/>
      <c r="WCE306" s="135"/>
      <c r="WCF306" s="173"/>
      <c r="WCG306" s="173"/>
      <c r="WCH306" s="173"/>
      <c r="WCI306" s="173"/>
      <c r="WCJ306" s="173"/>
      <c r="WCK306" s="173"/>
      <c r="WCL306" s="173"/>
      <c r="WCM306" s="173"/>
      <c r="WCN306" s="173"/>
      <c r="WCO306" s="173"/>
      <c r="WCP306" s="125"/>
      <c r="WCQ306" s="125"/>
      <c r="WCR306" s="134"/>
      <c r="WCS306" s="135"/>
      <c r="WCT306" s="135"/>
      <c r="WCU306" s="135"/>
      <c r="WCV306" s="135"/>
      <c r="WCW306" s="173"/>
      <c r="WCX306" s="173"/>
      <c r="WCY306" s="173"/>
      <c r="WCZ306" s="173"/>
      <c r="WDA306" s="173"/>
      <c r="WDB306" s="173"/>
      <c r="WDC306" s="173"/>
      <c r="WDD306" s="173"/>
      <c r="WDE306" s="173"/>
      <c r="WDF306" s="173"/>
      <c r="WDG306" s="125"/>
      <c r="WDH306" s="125"/>
      <c r="WDI306" s="134"/>
      <c r="WDJ306" s="135"/>
      <c r="WDK306" s="135"/>
      <c r="WDL306" s="135"/>
      <c r="WDM306" s="135"/>
      <c r="WDN306" s="173"/>
      <c r="WDO306" s="173"/>
      <c r="WDP306" s="173"/>
      <c r="WDQ306" s="173"/>
      <c r="WDR306" s="173"/>
      <c r="WDS306" s="173"/>
      <c r="WDT306" s="173"/>
      <c r="WDU306" s="173"/>
      <c r="WDV306" s="173"/>
      <c r="WDW306" s="173"/>
      <c r="WDX306" s="125"/>
      <c r="WDY306" s="125"/>
      <c r="WDZ306" s="134"/>
      <c r="WEA306" s="135"/>
      <c r="WEB306" s="135"/>
      <c r="WEC306" s="135"/>
      <c r="WED306" s="135"/>
      <c r="WEE306" s="173"/>
      <c r="WEF306" s="173"/>
      <c r="WEG306" s="173"/>
      <c r="WEH306" s="173"/>
      <c r="WEI306" s="173"/>
      <c r="WEJ306" s="173"/>
      <c r="WEK306" s="173"/>
      <c r="WEL306" s="173"/>
      <c r="WEM306" s="173"/>
      <c r="WEN306" s="173"/>
      <c r="WEO306" s="125"/>
      <c r="WEP306" s="125"/>
      <c r="WEQ306" s="134"/>
      <c r="WER306" s="135"/>
      <c r="WES306" s="135"/>
      <c r="WET306" s="135"/>
      <c r="WEU306" s="135"/>
      <c r="WEV306" s="173"/>
      <c r="WEW306" s="173"/>
      <c r="WEX306" s="173"/>
      <c r="WEY306" s="173"/>
      <c r="WEZ306" s="173"/>
      <c r="WFA306" s="173"/>
      <c r="WFB306" s="173"/>
      <c r="WFC306" s="173"/>
      <c r="WFD306" s="173"/>
      <c r="WFE306" s="173"/>
      <c r="WFF306" s="125"/>
      <c r="WFG306" s="125"/>
      <c r="WFH306" s="134"/>
      <c r="WFI306" s="135"/>
      <c r="WFJ306" s="135"/>
      <c r="WFK306" s="135"/>
      <c r="WFL306" s="135"/>
      <c r="WFM306" s="173"/>
      <c r="WFN306" s="173"/>
      <c r="WFO306" s="173"/>
      <c r="WFP306" s="173"/>
      <c r="WFQ306" s="173"/>
      <c r="WFR306" s="173"/>
      <c r="WFS306" s="173"/>
      <c r="WFT306" s="173"/>
      <c r="WFU306" s="173"/>
      <c r="WFV306" s="173"/>
      <c r="WFW306" s="125"/>
      <c r="WFX306" s="125"/>
      <c r="WFY306" s="134"/>
      <c r="WFZ306" s="135"/>
      <c r="WGA306" s="135"/>
      <c r="WGB306" s="135"/>
      <c r="WGC306" s="135"/>
      <c r="WGD306" s="173"/>
      <c r="WGE306" s="173"/>
      <c r="WGF306" s="173"/>
      <c r="WGG306" s="173"/>
      <c r="WGH306" s="173"/>
      <c r="WGI306" s="173"/>
      <c r="WGJ306" s="173"/>
      <c r="WGK306" s="173"/>
      <c r="WGL306" s="173"/>
      <c r="WGM306" s="173"/>
      <c r="WGN306" s="125"/>
      <c r="WGO306" s="125"/>
      <c r="WGP306" s="134"/>
      <c r="WGQ306" s="135"/>
      <c r="WGR306" s="135"/>
      <c r="WGS306" s="135"/>
      <c r="WGT306" s="135"/>
      <c r="WGU306" s="173"/>
      <c r="WGV306" s="173"/>
      <c r="WGW306" s="173"/>
      <c r="WGX306" s="173"/>
      <c r="WGY306" s="173"/>
      <c r="WGZ306" s="173"/>
      <c r="WHA306" s="173"/>
      <c r="WHB306" s="173"/>
      <c r="WHC306" s="173"/>
      <c r="WHD306" s="173"/>
      <c r="WHE306" s="125"/>
      <c r="WHF306" s="125"/>
      <c r="WHG306" s="134"/>
      <c r="WHH306" s="135"/>
      <c r="WHI306" s="135"/>
      <c r="WHJ306" s="135"/>
      <c r="WHK306" s="135"/>
      <c r="WHL306" s="173"/>
      <c r="WHM306" s="173"/>
      <c r="WHN306" s="173"/>
      <c r="WHO306" s="173"/>
      <c r="WHP306" s="173"/>
      <c r="WHQ306" s="173"/>
      <c r="WHR306" s="173"/>
      <c r="WHS306" s="173"/>
      <c r="WHT306" s="173"/>
      <c r="WHU306" s="173"/>
      <c r="WHV306" s="125"/>
      <c r="WHW306" s="125"/>
      <c r="WHX306" s="134"/>
      <c r="WHY306" s="135"/>
      <c r="WHZ306" s="135"/>
      <c r="WIA306" s="135"/>
      <c r="WIB306" s="135"/>
      <c r="WIC306" s="173"/>
      <c r="WID306" s="173"/>
      <c r="WIE306" s="173"/>
      <c r="WIF306" s="173"/>
      <c r="WIG306" s="173"/>
      <c r="WIH306" s="173"/>
      <c r="WII306" s="173"/>
      <c r="WIJ306" s="173"/>
      <c r="WIK306" s="173"/>
      <c r="WIL306" s="173"/>
      <c r="WIM306" s="125"/>
      <c r="WIN306" s="125"/>
      <c r="WIO306" s="134"/>
      <c r="WIP306" s="135"/>
      <c r="WIQ306" s="135"/>
      <c r="WIR306" s="135"/>
      <c r="WIS306" s="135"/>
      <c r="WIT306" s="173"/>
      <c r="WIU306" s="173"/>
      <c r="WIV306" s="173"/>
      <c r="WIW306" s="173"/>
      <c r="WIX306" s="173"/>
      <c r="WIY306" s="173"/>
      <c r="WIZ306" s="173"/>
      <c r="WJA306" s="173"/>
      <c r="WJB306" s="173"/>
      <c r="WJC306" s="173"/>
      <c r="WJD306" s="125"/>
      <c r="WJE306" s="125"/>
      <c r="WJF306" s="134"/>
      <c r="WJG306" s="135"/>
      <c r="WJH306" s="135"/>
      <c r="WJI306" s="135"/>
      <c r="WJJ306" s="135"/>
      <c r="WJK306" s="173"/>
      <c r="WJL306" s="173"/>
      <c r="WJM306" s="173"/>
      <c r="WJN306" s="173"/>
      <c r="WJO306" s="173"/>
      <c r="WJP306" s="173"/>
      <c r="WJQ306" s="173"/>
      <c r="WJR306" s="173"/>
      <c r="WJS306" s="173"/>
      <c r="WJT306" s="173"/>
      <c r="WJU306" s="125"/>
      <c r="WJV306" s="125"/>
      <c r="WJW306" s="134"/>
      <c r="WJX306" s="135"/>
      <c r="WJY306" s="135"/>
      <c r="WJZ306" s="135"/>
      <c r="WKA306" s="135"/>
      <c r="WKB306" s="173"/>
      <c r="WKC306" s="173"/>
      <c r="WKD306" s="173"/>
      <c r="WKE306" s="173"/>
      <c r="WKF306" s="173"/>
      <c r="WKG306" s="173"/>
      <c r="WKH306" s="173"/>
      <c r="WKI306" s="173"/>
      <c r="WKJ306" s="173"/>
      <c r="WKK306" s="173"/>
      <c r="WKL306" s="125"/>
      <c r="WKM306" s="125"/>
      <c r="WKN306" s="134"/>
      <c r="WKO306" s="135"/>
      <c r="WKP306" s="135"/>
      <c r="WKQ306" s="135"/>
      <c r="WKR306" s="135"/>
      <c r="WKS306" s="173"/>
      <c r="WKT306" s="173"/>
      <c r="WKU306" s="173"/>
      <c r="WKV306" s="173"/>
      <c r="WKW306" s="173"/>
      <c r="WKX306" s="173"/>
      <c r="WKY306" s="173"/>
      <c r="WKZ306" s="173"/>
      <c r="WLA306" s="173"/>
      <c r="WLB306" s="173"/>
      <c r="WLC306" s="125"/>
      <c r="WLD306" s="125"/>
      <c r="WLE306" s="134"/>
      <c r="WLF306" s="135"/>
      <c r="WLG306" s="135"/>
      <c r="WLH306" s="135"/>
      <c r="WLI306" s="135"/>
      <c r="WLJ306" s="173"/>
      <c r="WLK306" s="173"/>
      <c r="WLL306" s="173"/>
      <c r="WLM306" s="173"/>
      <c r="WLN306" s="173"/>
      <c r="WLO306" s="173"/>
      <c r="WLP306" s="173"/>
      <c r="WLQ306" s="173"/>
      <c r="WLR306" s="173"/>
      <c r="WLS306" s="173"/>
      <c r="WLT306" s="125"/>
      <c r="WLU306" s="125"/>
      <c r="WLV306" s="134"/>
      <c r="WLW306" s="135"/>
      <c r="WLX306" s="135"/>
      <c r="WLY306" s="135"/>
      <c r="WLZ306" s="135"/>
      <c r="WMA306" s="173"/>
      <c r="WMB306" s="173"/>
      <c r="WMC306" s="173"/>
      <c r="WMD306" s="173"/>
      <c r="WME306" s="173"/>
      <c r="WMF306" s="173"/>
      <c r="WMG306" s="173"/>
      <c r="WMH306" s="173"/>
      <c r="WMI306" s="173"/>
      <c r="WMJ306" s="173"/>
      <c r="WMK306" s="125"/>
      <c r="WML306" s="125"/>
      <c r="WMM306" s="134"/>
      <c r="WMN306" s="135"/>
      <c r="WMO306" s="135"/>
      <c r="WMP306" s="135"/>
      <c r="WMQ306" s="135"/>
      <c r="WMR306" s="173"/>
      <c r="WMS306" s="173"/>
      <c r="WMT306" s="173"/>
      <c r="WMU306" s="173"/>
      <c r="WMV306" s="173"/>
      <c r="WMW306" s="173"/>
      <c r="WMX306" s="173"/>
      <c r="WMY306" s="173"/>
      <c r="WMZ306" s="173"/>
      <c r="WNA306" s="173"/>
      <c r="WNB306" s="125"/>
      <c r="WNC306" s="125"/>
      <c r="WND306" s="134"/>
      <c r="WNE306" s="135"/>
      <c r="WNF306" s="135"/>
      <c r="WNG306" s="135"/>
      <c r="WNH306" s="135"/>
      <c r="WNI306" s="173"/>
      <c r="WNJ306" s="173"/>
      <c r="WNK306" s="173"/>
      <c r="WNL306" s="173"/>
      <c r="WNM306" s="173"/>
      <c r="WNN306" s="173"/>
      <c r="WNO306" s="173"/>
      <c r="WNP306" s="173"/>
      <c r="WNQ306" s="173"/>
      <c r="WNR306" s="173"/>
      <c r="WNS306" s="125"/>
      <c r="WNT306" s="125"/>
      <c r="WNU306" s="134"/>
      <c r="WNV306" s="135"/>
      <c r="WNW306" s="135"/>
      <c r="WNX306" s="135"/>
      <c r="WNY306" s="135"/>
      <c r="WNZ306" s="173"/>
      <c r="WOA306" s="173"/>
      <c r="WOB306" s="173"/>
      <c r="WOC306" s="173"/>
      <c r="WOD306" s="173"/>
      <c r="WOE306" s="173"/>
      <c r="WOF306" s="173"/>
      <c r="WOG306" s="173"/>
      <c r="WOH306" s="173"/>
      <c r="WOI306" s="173"/>
      <c r="WOJ306" s="125"/>
      <c r="WOK306" s="125"/>
      <c r="WOL306" s="134"/>
      <c r="WOM306" s="135"/>
      <c r="WON306" s="135"/>
      <c r="WOO306" s="135"/>
      <c r="WOP306" s="135"/>
      <c r="WOQ306" s="173"/>
      <c r="WOR306" s="173"/>
      <c r="WOS306" s="173"/>
      <c r="WOT306" s="173"/>
      <c r="WOU306" s="173"/>
      <c r="WOV306" s="173"/>
      <c r="WOW306" s="173"/>
      <c r="WOX306" s="173"/>
      <c r="WOY306" s="173"/>
      <c r="WOZ306" s="173"/>
      <c r="WPA306" s="125"/>
      <c r="WPB306" s="125"/>
      <c r="WPC306" s="134"/>
      <c r="WPD306" s="135"/>
      <c r="WPE306" s="135"/>
      <c r="WPF306" s="135"/>
      <c r="WPG306" s="135"/>
      <c r="WPH306" s="173"/>
      <c r="WPI306" s="173"/>
      <c r="WPJ306" s="173"/>
      <c r="WPK306" s="173"/>
      <c r="WPL306" s="173"/>
      <c r="WPM306" s="173"/>
      <c r="WPN306" s="173"/>
      <c r="WPO306" s="173"/>
      <c r="WPP306" s="173"/>
      <c r="WPQ306" s="173"/>
      <c r="WPR306" s="125"/>
      <c r="WPS306" s="125"/>
      <c r="WPT306" s="134"/>
      <c r="WPU306" s="135"/>
      <c r="WPV306" s="135"/>
      <c r="WPW306" s="135"/>
      <c r="WPX306" s="135"/>
      <c r="WPY306" s="173"/>
      <c r="WPZ306" s="173"/>
      <c r="WQA306" s="173"/>
      <c r="WQB306" s="173"/>
      <c r="WQC306" s="173"/>
      <c r="WQD306" s="173"/>
      <c r="WQE306" s="173"/>
      <c r="WQF306" s="173"/>
      <c r="WQG306" s="173"/>
      <c r="WQH306" s="173"/>
      <c r="WQI306" s="125"/>
      <c r="WQJ306" s="125"/>
      <c r="WQK306" s="134"/>
      <c r="WQL306" s="135"/>
      <c r="WQM306" s="135"/>
      <c r="WQN306" s="135"/>
      <c r="WQO306" s="135"/>
      <c r="WQP306" s="173"/>
      <c r="WQQ306" s="173"/>
      <c r="WQR306" s="173"/>
      <c r="WQS306" s="173"/>
      <c r="WQT306" s="173"/>
      <c r="WQU306" s="173"/>
      <c r="WQV306" s="173"/>
      <c r="WQW306" s="173"/>
      <c r="WQX306" s="173"/>
      <c r="WQY306" s="173"/>
      <c r="WQZ306" s="125"/>
      <c r="WRA306" s="125"/>
      <c r="WRB306" s="134"/>
      <c r="WRC306" s="135"/>
      <c r="WRD306" s="135"/>
      <c r="WRE306" s="135"/>
      <c r="WRF306" s="135"/>
      <c r="WRG306" s="173"/>
      <c r="WRH306" s="173"/>
      <c r="WRI306" s="173"/>
      <c r="WRJ306" s="173"/>
      <c r="WRK306" s="173"/>
      <c r="WRL306" s="173"/>
      <c r="WRM306" s="173"/>
      <c r="WRN306" s="173"/>
      <c r="WRO306" s="173"/>
      <c r="WRP306" s="173"/>
      <c r="WRQ306" s="125"/>
      <c r="WRR306" s="125"/>
      <c r="WRS306" s="134"/>
      <c r="WRT306" s="135"/>
      <c r="WRU306" s="135"/>
      <c r="WRV306" s="135"/>
      <c r="WRW306" s="135"/>
      <c r="WRX306" s="173"/>
      <c r="WRY306" s="173"/>
      <c r="WRZ306" s="173"/>
      <c r="WSA306" s="173"/>
      <c r="WSB306" s="173"/>
      <c r="WSC306" s="173"/>
      <c r="WSD306" s="173"/>
      <c r="WSE306" s="173"/>
      <c r="WSF306" s="173"/>
      <c r="WSG306" s="173"/>
      <c r="WSH306" s="125"/>
      <c r="WSI306" s="125"/>
      <c r="WSJ306" s="134"/>
      <c r="WSK306" s="135"/>
      <c r="WSL306" s="135"/>
      <c r="WSM306" s="135"/>
      <c r="WSN306" s="135"/>
      <c r="WSO306" s="173"/>
      <c r="WSP306" s="173"/>
      <c r="WSQ306" s="173"/>
      <c r="WSR306" s="173"/>
      <c r="WSS306" s="173"/>
      <c r="WST306" s="173"/>
      <c r="WSU306" s="173"/>
      <c r="WSV306" s="173"/>
      <c r="WSW306" s="173"/>
      <c r="WSX306" s="173"/>
      <c r="WSY306" s="125"/>
      <c r="WSZ306" s="125"/>
      <c r="WTA306" s="134"/>
      <c r="WTB306" s="135"/>
      <c r="WTC306" s="135"/>
      <c r="WTD306" s="135"/>
      <c r="WTE306" s="135"/>
      <c r="WTF306" s="173"/>
      <c r="WTG306" s="173"/>
      <c r="WTH306" s="173"/>
      <c r="WTI306" s="173"/>
      <c r="WTJ306" s="173"/>
      <c r="WTK306" s="173"/>
      <c r="WTL306" s="173"/>
      <c r="WTM306" s="173"/>
      <c r="WTN306" s="173"/>
      <c r="WTO306" s="173"/>
      <c r="WTP306" s="125"/>
      <c r="WTQ306" s="125"/>
      <c r="WTR306" s="134"/>
      <c r="WTS306" s="135"/>
      <c r="WTT306" s="135"/>
      <c r="WTU306" s="135"/>
      <c r="WTV306" s="135"/>
      <c r="WTW306" s="173"/>
      <c r="WTX306" s="173"/>
      <c r="WTY306" s="173"/>
      <c r="WTZ306" s="173"/>
      <c r="WUA306" s="173"/>
      <c r="WUB306" s="173"/>
      <c r="WUC306" s="173"/>
      <c r="WUD306" s="173"/>
      <c r="WUE306" s="173"/>
      <c r="WUF306" s="173"/>
      <c r="WUG306" s="125"/>
      <c r="WUH306" s="125"/>
      <c r="WUI306" s="134"/>
      <c r="WUJ306" s="135"/>
      <c r="WUK306" s="135"/>
      <c r="WUL306" s="135"/>
      <c r="WUM306" s="135"/>
      <c r="WUN306" s="173"/>
      <c r="WUO306" s="173"/>
      <c r="WUP306" s="173"/>
      <c r="WUQ306" s="173"/>
      <c r="WUR306" s="173"/>
      <c r="WUS306" s="173"/>
      <c r="WUT306" s="173"/>
      <c r="WUU306" s="173"/>
      <c r="WUV306" s="173"/>
      <c r="WUW306" s="173"/>
      <c r="WUX306" s="125"/>
      <c r="WUY306" s="125"/>
      <c r="WUZ306" s="134"/>
      <c r="WVA306" s="135"/>
      <c r="WVB306" s="135"/>
      <c r="WVC306" s="135"/>
      <c r="WVD306" s="135"/>
      <c r="WVE306" s="173"/>
      <c r="WVF306" s="173"/>
      <c r="WVG306" s="173"/>
      <c r="WVH306" s="173"/>
      <c r="WVI306" s="173"/>
      <c r="WVJ306" s="173"/>
      <c r="WVK306" s="173"/>
      <c r="WVL306" s="173"/>
      <c r="WVM306" s="173"/>
      <c r="WVN306" s="173"/>
      <c r="WVO306" s="125"/>
      <c r="WVP306" s="125"/>
      <c r="WVQ306" s="134"/>
      <c r="WVR306" s="135"/>
      <c r="WVS306" s="135"/>
      <c r="WVT306" s="135"/>
      <c r="WVU306" s="135"/>
      <c r="WVV306" s="173"/>
      <c r="WVW306" s="173"/>
      <c r="WVX306" s="173"/>
      <c r="WVY306" s="173"/>
      <c r="WVZ306" s="173"/>
      <c r="WWA306" s="173"/>
      <c r="WWB306" s="173"/>
      <c r="WWC306" s="173"/>
      <c r="WWD306" s="173"/>
      <c r="WWE306" s="173"/>
      <c r="WWF306" s="125"/>
      <c r="WWG306" s="125"/>
      <c r="WWH306" s="134"/>
      <c r="WWI306" s="135"/>
      <c r="WWJ306" s="135"/>
      <c r="WWK306" s="135"/>
      <c r="WWL306" s="135"/>
      <c r="WWM306" s="173"/>
      <c r="WWN306" s="173"/>
      <c r="WWO306" s="173"/>
      <c r="WWP306" s="173"/>
      <c r="WWQ306" s="173"/>
      <c r="WWR306" s="173"/>
      <c r="WWS306" s="173"/>
      <c r="WWT306" s="173"/>
      <c r="WWU306" s="173"/>
      <c r="WWV306" s="173"/>
      <c r="WWW306" s="125"/>
      <c r="WWX306" s="125"/>
      <c r="WWY306" s="134"/>
      <c r="WWZ306" s="135"/>
      <c r="WXA306" s="135"/>
      <c r="WXB306" s="135"/>
      <c r="WXC306" s="135"/>
      <c r="WXD306" s="173"/>
      <c r="WXE306" s="173"/>
      <c r="WXF306" s="173"/>
      <c r="WXG306" s="173"/>
      <c r="WXH306" s="173"/>
      <c r="WXI306" s="173"/>
      <c r="WXJ306" s="173"/>
      <c r="WXK306" s="173"/>
      <c r="WXL306" s="173"/>
      <c r="WXM306" s="173"/>
      <c r="WXN306" s="125"/>
      <c r="WXO306" s="125"/>
      <c r="WXP306" s="134"/>
      <c r="WXQ306" s="135"/>
      <c r="WXR306" s="135"/>
      <c r="WXS306" s="135"/>
      <c r="WXT306" s="135"/>
      <c r="WXU306" s="173"/>
      <c r="WXV306" s="173"/>
      <c r="WXW306" s="173"/>
      <c r="WXX306" s="173"/>
      <c r="WXY306" s="173"/>
      <c r="WXZ306" s="173"/>
      <c r="WYA306" s="173"/>
      <c r="WYB306" s="173"/>
      <c r="WYC306" s="173"/>
      <c r="WYD306" s="173"/>
      <c r="WYE306" s="125"/>
      <c r="WYF306" s="125"/>
      <c r="WYG306" s="134"/>
      <c r="WYH306" s="135"/>
      <c r="WYI306" s="135"/>
      <c r="WYJ306" s="135"/>
      <c r="WYK306" s="135"/>
      <c r="WYL306" s="173"/>
      <c r="WYM306" s="173"/>
      <c r="WYN306" s="173"/>
      <c r="WYO306" s="173"/>
      <c r="WYP306" s="173"/>
      <c r="WYQ306" s="173"/>
      <c r="WYR306" s="173"/>
      <c r="WYS306" s="173"/>
      <c r="WYT306" s="173"/>
      <c r="WYU306" s="173"/>
      <c r="WYV306" s="125"/>
      <c r="WYW306" s="125"/>
      <c r="WYX306" s="134"/>
      <c r="WYY306" s="135"/>
      <c r="WYZ306" s="135"/>
      <c r="WZA306" s="135"/>
      <c r="WZB306" s="135"/>
      <c r="WZC306" s="173"/>
      <c r="WZD306" s="173"/>
      <c r="WZE306" s="173"/>
      <c r="WZF306" s="173"/>
      <c r="WZG306" s="173"/>
      <c r="WZH306" s="173"/>
      <c r="WZI306" s="173"/>
      <c r="WZJ306" s="173"/>
      <c r="WZK306" s="173"/>
      <c r="WZL306" s="173"/>
      <c r="WZM306" s="125"/>
      <c r="WZN306" s="125"/>
      <c r="WZO306" s="134"/>
      <c r="WZP306" s="135"/>
      <c r="WZQ306" s="135"/>
      <c r="WZR306" s="135"/>
      <c r="WZS306" s="135"/>
      <c r="WZT306" s="173"/>
      <c r="WZU306" s="173"/>
      <c r="WZV306" s="173"/>
      <c r="WZW306" s="173"/>
      <c r="WZX306" s="173"/>
      <c r="WZY306" s="173"/>
      <c r="WZZ306" s="173"/>
      <c r="XAA306" s="173"/>
      <c r="XAB306" s="173"/>
      <c r="XAC306" s="173"/>
      <c r="XAD306" s="125"/>
      <c r="XAE306" s="125"/>
      <c r="XAF306" s="134"/>
      <c r="XAG306" s="135"/>
      <c r="XAH306" s="135"/>
      <c r="XAI306" s="135"/>
      <c r="XAJ306" s="135"/>
      <c r="XAK306" s="173"/>
      <c r="XAL306" s="173"/>
      <c r="XAM306" s="173"/>
      <c r="XAN306" s="173"/>
      <c r="XAO306" s="173"/>
      <c r="XAP306" s="173"/>
      <c r="XAQ306" s="173"/>
      <c r="XAR306" s="173"/>
      <c r="XAS306" s="173"/>
      <c r="XAT306" s="173"/>
      <c r="XAU306" s="125"/>
      <c r="XAV306" s="125"/>
      <c r="XAW306" s="134"/>
      <c r="XAX306" s="135"/>
      <c r="XAY306" s="135"/>
      <c r="XAZ306" s="135"/>
      <c r="XBA306" s="135"/>
      <c r="XBB306" s="173"/>
      <c r="XBC306" s="173"/>
      <c r="XBD306" s="173"/>
      <c r="XBE306" s="173"/>
      <c r="XBF306" s="173"/>
      <c r="XBG306" s="173"/>
      <c r="XBH306" s="173"/>
      <c r="XBI306" s="173"/>
      <c r="XBJ306" s="173"/>
      <c r="XBK306" s="173"/>
      <c r="XBL306" s="125"/>
      <c r="XBM306" s="125"/>
      <c r="XBN306" s="134"/>
      <c r="XBO306" s="135"/>
      <c r="XBP306" s="135"/>
      <c r="XBQ306" s="135"/>
      <c r="XBR306" s="135"/>
      <c r="XBS306" s="173"/>
      <c r="XBT306" s="173"/>
      <c r="XBU306" s="173"/>
      <c r="XBV306" s="173"/>
      <c r="XBW306" s="173"/>
      <c r="XBX306" s="173"/>
      <c r="XBY306" s="173"/>
      <c r="XBZ306" s="173"/>
      <c r="XCA306" s="173"/>
      <c r="XCB306" s="173"/>
      <c r="XCC306" s="125"/>
      <c r="XCD306" s="125"/>
      <c r="XCE306" s="134"/>
      <c r="XCF306" s="135"/>
      <c r="XCG306" s="135"/>
      <c r="XCH306" s="135"/>
      <c r="XCI306" s="135"/>
      <c r="XCJ306" s="173"/>
      <c r="XCK306" s="173"/>
      <c r="XCL306" s="173"/>
      <c r="XCM306" s="173"/>
      <c r="XCN306" s="173"/>
      <c r="XCO306" s="173"/>
      <c r="XCP306" s="173"/>
      <c r="XCQ306" s="173"/>
      <c r="XCR306" s="173"/>
      <c r="XCS306" s="173"/>
      <c r="XCT306" s="125"/>
      <c r="XCU306" s="125"/>
      <c r="XCV306" s="134"/>
      <c r="XCW306" s="135"/>
      <c r="XCX306" s="135"/>
      <c r="XCY306" s="135"/>
      <c r="XCZ306" s="135"/>
      <c r="XDA306" s="173"/>
      <c r="XDB306" s="173"/>
      <c r="XDC306" s="173"/>
      <c r="XDD306" s="173"/>
      <c r="XDE306" s="173"/>
      <c r="XDF306" s="173"/>
      <c r="XDG306" s="173"/>
      <c r="XDH306" s="173"/>
      <c r="XDI306" s="173"/>
      <c r="XDJ306" s="173"/>
      <c r="XDK306" s="125"/>
      <c r="XDL306" s="125"/>
      <c r="XDM306" s="134"/>
      <c r="XDN306" s="135"/>
      <c r="XDO306" s="135"/>
      <c r="XDP306" s="135"/>
      <c r="XDQ306" s="135"/>
      <c r="XDR306" s="173"/>
      <c r="XDS306" s="173"/>
      <c r="XDT306" s="173"/>
      <c r="XDU306" s="173"/>
      <c r="XDV306" s="173"/>
      <c r="XDW306" s="173"/>
      <c r="XDX306" s="173"/>
      <c r="XDY306" s="173"/>
      <c r="XDZ306" s="173"/>
      <c r="XEA306" s="173"/>
      <c r="XEB306" s="125"/>
      <c r="XEC306" s="125"/>
      <c r="XED306" s="134"/>
      <c r="XEE306" s="135"/>
      <c r="XEF306" s="135"/>
      <c r="XEG306" s="135"/>
      <c r="XEH306" s="135"/>
      <c r="XEI306" s="173"/>
      <c r="XEJ306" s="173"/>
      <c r="XEK306" s="173"/>
      <c r="XEL306" s="173"/>
      <c r="XEM306" s="173"/>
      <c r="XEN306" s="173"/>
      <c r="XEO306" s="173"/>
      <c r="XEP306" s="173"/>
      <c r="XEQ306" s="173"/>
      <c r="XER306" s="173"/>
      <c r="XES306" s="125"/>
      <c r="XET306" s="125"/>
      <c r="XEU306" s="134"/>
      <c r="XEV306" s="135"/>
      <c r="XEW306" s="135"/>
      <c r="XEX306" s="135"/>
      <c r="XEY306" s="135"/>
      <c r="XEZ306" s="173"/>
      <c r="XFA306" s="173"/>
      <c r="XFB306" s="173"/>
    </row>
    <row r="307" spans="1:16382">
      <c r="C307" s="164" t="s">
        <v>184</v>
      </c>
      <c r="G307" s="164" t="s">
        <v>176</v>
      </c>
      <c r="J307" s="170">
        <f t="shared" ref="J307:R307" si="217">J306/I306-1</f>
        <v>-4.9747632979681322E-2</v>
      </c>
      <c r="K307" s="170">
        <f t="shared" si="217"/>
        <v>2.133194761324142E-2</v>
      </c>
      <c r="L307" s="170">
        <f t="shared" si="217"/>
        <v>-6.831097141088982E-3</v>
      </c>
      <c r="M307" s="170">
        <f t="shared" si="217"/>
        <v>2.2989689120436196E-3</v>
      </c>
      <c r="N307" s="170">
        <f t="shared" si="217"/>
        <v>-6.9478133631601713E-2</v>
      </c>
      <c r="O307" s="170">
        <f t="shared" si="217"/>
        <v>8.9847733937624685E-3</v>
      </c>
      <c r="P307" s="170">
        <f t="shared" si="217"/>
        <v>6.1965499631206233E-2</v>
      </c>
      <c r="Q307" s="170">
        <f t="shared" si="217"/>
        <v>0.14317955708353014</v>
      </c>
      <c r="R307" s="170">
        <f t="shared" si="217"/>
        <v>0.10871174990072152</v>
      </c>
      <c r="S307"/>
      <c r="T307"/>
      <c r="U307"/>
      <c r="V307"/>
      <c r="W307"/>
      <c r="X307"/>
      <c r="Y307"/>
      <c r="AA307"/>
      <c r="AB307"/>
      <c r="AC307"/>
      <c r="AD307"/>
      <c r="AE307"/>
      <c r="AF307"/>
    </row>
    <row r="308" spans="1:16382">
      <c r="A308" s="129" t="str">
        <f>'[7]Input sheet'!A126</f>
        <v>Turkey</v>
      </c>
      <c r="B308" s="129" t="str">
        <f>'[7]Input sheet'!B126</f>
        <v>Tourism Spend Factors</v>
      </c>
      <c r="C308" s="129" t="str">
        <f>'[7]Input sheet'!C126</f>
        <v>Percentage of Total Resident Income Spent on Tourism</v>
      </c>
      <c r="D308" s="15" t="str">
        <f>'[7]Input sheet'!D126</f>
        <v>Domestic Trips</v>
      </c>
      <c r="E308"/>
      <c r="F308"/>
      <c r="G308" s="1" t="str">
        <f>'[7]Input sheet'!G126</f>
        <v>%</v>
      </c>
      <c r="H308" s="188">
        <f>(H5*Home!B5)/H474</f>
        <v>2.9146208384257621E-3</v>
      </c>
      <c r="I308" s="188">
        <f>(I5*Home!C5)/I474</f>
        <v>3.1803632508965386E-3</v>
      </c>
      <c r="J308" s="188">
        <f>(J5*Home!D5)/J474</f>
        <v>3.3140771288598441E-3</v>
      </c>
      <c r="K308" s="188">
        <f>(K5*Home!E5)/K474</f>
        <v>2.8437641424577799E-3</v>
      </c>
      <c r="L308" s="188">
        <f>(L5*Home!F5)/L474</f>
        <v>2.6427509396056057E-3</v>
      </c>
      <c r="M308" s="188">
        <f>(M5*Home!G5)/M474</f>
        <v>2.4341291759419747E-3</v>
      </c>
      <c r="N308" s="188">
        <f>(N5*Home!H5)/N474</f>
        <v>2.4547580320928644E-3</v>
      </c>
      <c r="O308" s="188">
        <f>(O5*Home!I5)/O474</f>
        <v>2.3906189375719109E-3</v>
      </c>
      <c r="P308" s="188">
        <f>(P5*Home!J5)/P474</f>
        <v>2.4178517148276584E-3</v>
      </c>
      <c r="Q308" s="188">
        <f>(Q5*Home!K5)/Q474</f>
        <v>2.4639569848056353E-3</v>
      </c>
      <c r="R308" s="188">
        <f>(R5*Home!L5)/R474</f>
        <v>2.4475090856541006E-3</v>
      </c>
      <c r="S308"/>
      <c r="T308"/>
      <c r="U308"/>
      <c r="V308"/>
      <c r="W308"/>
      <c r="X308"/>
      <c r="Y308"/>
      <c r="AA308"/>
      <c r="AB308"/>
      <c r="AC308"/>
      <c r="AD308"/>
      <c r="AE308"/>
      <c r="AF308"/>
    </row>
    <row r="309" spans="1:16382">
      <c r="C309" s="164" t="s">
        <v>184</v>
      </c>
      <c r="G309" s="164" t="s">
        <v>176</v>
      </c>
      <c r="J309" s="170">
        <f t="shared" ref="J309:R309" si="218">J308/I308-1</f>
        <v>4.2043586664388677E-2</v>
      </c>
      <c r="K309" s="170">
        <f t="shared" si="218"/>
        <v>-0.14191371175596867</v>
      </c>
      <c r="L309" s="170">
        <f t="shared" si="218"/>
        <v>-7.0685609910829172E-2</v>
      </c>
      <c r="M309" s="170">
        <f t="shared" si="218"/>
        <v>-7.8941136880180229E-2</v>
      </c>
      <c r="N309" s="170">
        <f t="shared" si="218"/>
        <v>8.4748403473313694E-3</v>
      </c>
      <c r="O309" s="170">
        <f t="shared" si="218"/>
        <v>-2.6128479337847454E-2</v>
      </c>
      <c r="P309" s="170">
        <f t="shared" si="218"/>
        <v>1.1391517413229746E-2</v>
      </c>
      <c r="Q309" s="170">
        <f t="shared" si="218"/>
        <v>1.906869213493656E-2</v>
      </c>
      <c r="R309" s="170">
        <f t="shared" si="218"/>
        <v>-6.6754002821327596E-3</v>
      </c>
      <c r="S309"/>
      <c r="T309"/>
      <c r="U309"/>
      <c r="V309"/>
      <c r="W309"/>
      <c r="X309"/>
      <c r="Y309"/>
      <c r="AA309"/>
      <c r="AB309"/>
      <c r="AC309"/>
      <c r="AD309"/>
      <c r="AE309"/>
      <c r="AF309"/>
    </row>
    <row r="310" spans="1:16382">
      <c r="A310" s="129" t="str">
        <f>'[7]Input sheet'!A127</f>
        <v>Turkey</v>
      </c>
      <c r="B310" s="129" t="str">
        <f>'[7]Input sheet'!B127</f>
        <v>Tourism Spend Factors</v>
      </c>
      <c r="C310" s="129" t="str">
        <f>'[7]Input sheet'!C127</f>
        <v>Percentage of Total Resident Income Spent on Tourism</v>
      </c>
      <c r="D310" s="15" t="str">
        <f>'[7]Input sheet'!D127</f>
        <v>International Trips</v>
      </c>
      <c r="E310"/>
      <c r="F310"/>
      <c r="G310" s="1" t="str">
        <f>'[7]Input sheet'!G127</f>
        <v>%</v>
      </c>
      <c r="H310" s="188">
        <f>(H37*Home!B5)/H474</f>
        <v>6.6221655203973051E-2</v>
      </c>
      <c r="I310" s="188">
        <f>(I37*Home!C5)/I474</f>
        <v>6.8235001042581817E-2</v>
      </c>
      <c r="J310" s="188">
        <f>(J37*Home!D5)/J474</f>
        <v>6.4548541832636322E-2</v>
      </c>
      <c r="K310" s="188">
        <f>(K37*Home!E5)/K474</f>
        <v>6.6466496651622381E-2</v>
      </c>
      <c r="L310" s="188">
        <f>(L37*Home!F5)/L474</f>
        <v>6.6194044730115989E-2</v>
      </c>
      <c r="M310" s="188">
        <f>(M37*Home!G5)/M474</f>
        <v>6.6560920147028996E-2</v>
      </c>
      <c r="N310" s="188">
        <f>(N37*Home!H5)/N474</f>
        <v>6.1746644034097777E-2</v>
      </c>
      <c r="O310" s="188">
        <f>(O37*Home!I5)/O474</f>
        <v>6.2387618177745296E-2</v>
      </c>
      <c r="P310" s="188">
        <f>(P37*Home!J5)/P474</f>
        <v>6.6374401228568927E-2</v>
      </c>
      <c r="Q310" s="188">
        <f>(Q37*Home!K5)/Q474</f>
        <v>7.6177940265804642E-2</v>
      </c>
      <c r="R310" s="188">
        <f>(R37*Home!L5)/R474</f>
        <v>8.4743686430582763E-2</v>
      </c>
      <c r="S310"/>
      <c r="T310"/>
      <c r="U310"/>
      <c r="V310"/>
      <c r="W310"/>
      <c r="X310"/>
      <c r="Y310"/>
      <c r="AA310"/>
      <c r="AB310"/>
      <c r="AC310"/>
      <c r="AD310"/>
      <c r="AE310"/>
      <c r="AF310"/>
    </row>
    <row r="311" spans="1:16382">
      <c r="C311" s="164" t="s">
        <v>184</v>
      </c>
      <c r="G311" s="164" t="s">
        <v>176</v>
      </c>
      <c r="J311" s="170">
        <f t="shared" ref="J311:R311" si="219">J310/I310-1</f>
        <v>-5.4025927363069437E-2</v>
      </c>
      <c r="K311" s="170">
        <f t="shared" si="219"/>
        <v>2.9713371743687045E-2</v>
      </c>
      <c r="L311" s="170">
        <f t="shared" si="219"/>
        <v>-4.0990865357989348E-3</v>
      </c>
      <c r="M311" s="170">
        <f t="shared" si="219"/>
        <v>5.5424233163092751E-3</v>
      </c>
      <c r="N311" s="170">
        <f t="shared" si="219"/>
        <v>-7.2328869587391154E-2</v>
      </c>
      <c r="O311" s="170">
        <f t="shared" si="219"/>
        <v>1.0380712242329393E-2</v>
      </c>
      <c r="P311" s="170">
        <f t="shared" si="219"/>
        <v>6.3903434163251616E-2</v>
      </c>
      <c r="Q311" s="170">
        <f t="shared" si="219"/>
        <v>0.14770060227701265</v>
      </c>
      <c r="R311" s="170">
        <f t="shared" si="219"/>
        <v>0.11244391926179675</v>
      </c>
      <c r="S311"/>
      <c r="T311"/>
      <c r="U311"/>
      <c r="V311"/>
      <c r="W311"/>
      <c r="X311"/>
      <c r="Y311"/>
      <c r="AA311"/>
      <c r="AB311"/>
      <c r="AC311"/>
      <c r="AD311"/>
      <c r="AE311"/>
      <c r="AF311"/>
    </row>
    <row r="312" spans="1:16382" customFormat="1">
      <c r="A312" s="125" t="str">
        <f>'[7]Input sheet'!A128</f>
        <v>Turkey</v>
      </c>
      <c r="B312" s="125" t="str">
        <f>'[7]Input sheet'!B128</f>
        <v>Tourism Spend Factors</v>
      </c>
      <c r="C312" s="134" t="str">
        <f>'[7]Input sheet'!C128</f>
        <v>Total National Tourism Expenditure by Tourist Destination</v>
      </c>
      <c r="D312" s="135"/>
      <c r="E312" s="135"/>
      <c r="F312" s="135"/>
      <c r="G312" s="260" t="str">
        <f>Home!$B$2&amp;" Million"</f>
        <v>Foriant Million</v>
      </c>
      <c r="H312" s="167">
        <f>H314+H316</f>
        <v>2950784.3524490898</v>
      </c>
      <c r="I312" s="167">
        <f>I314+I316</f>
        <v>2990108.2399451397</v>
      </c>
      <c r="J312" s="167">
        <f t="shared" ref="J312:M312" si="220">J314+J316</f>
        <v>2880123.2667114399</v>
      </c>
      <c r="K312" s="167">
        <f t="shared" si="220"/>
        <v>3312936.8408839097</v>
      </c>
      <c r="L312" s="167">
        <f t="shared" si="220"/>
        <v>3698765.625</v>
      </c>
      <c r="M312" s="167">
        <f t="shared" si="220"/>
        <v>4129828.8156058746</v>
      </c>
      <c r="N312" s="173">
        <f>N314+N316</f>
        <v>3941191.6070922096</v>
      </c>
      <c r="O312" s="173">
        <f>O314+O316</f>
        <v>4014252.6353329425</v>
      </c>
      <c r="P312" s="173">
        <f>P314+P316</f>
        <v>4212092.7477486394</v>
      </c>
      <c r="Q312" s="173">
        <f>Q314+Q316</f>
        <v>4798154.8197517777</v>
      </c>
      <c r="R312" s="173">
        <f>R314+R316</f>
        <v>5387357.3588620322</v>
      </c>
      <c r="AG312" s="173"/>
      <c r="AH312" s="173"/>
      <c r="AI312" s="173"/>
      <c r="AJ312" s="125"/>
      <c r="AK312" s="125"/>
      <c r="AL312" s="134"/>
      <c r="AM312" s="135"/>
      <c r="AN312" s="135"/>
      <c r="AO312" s="135"/>
      <c r="AP312" s="135"/>
      <c r="AQ312" s="173"/>
      <c r="AR312" s="173"/>
      <c r="AS312" s="173"/>
      <c r="AT312" s="173"/>
      <c r="AU312" s="173"/>
      <c r="AV312" s="173"/>
      <c r="AW312" s="173"/>
      <c r="AX312" s="173"/>
      <c r="AY312" s="173"/>
      <c r="AZ312" s="173"/>
      <c r="BA312" s="125"/>
      <c r="BB312" s="125"/>
      <c r="BC312" s="134"/>
      <c r="BD312" s="135"/>
      <c r="BE312" s="135"/>
      <c r="BF312" s="135"/>
      <c r="BG312" s="135"/>
      <c r="BH312" s="173"/>
      <c r="BI312" s="173"/>
      <c r="BJ312" s="173"/>
      <c r="BK312" s="173"/>
      <c r="BL312" s="173"/>
      <c r="BM312" s="173"/>
      <c r="BN312" s="173"/>
      <c r="BO312" s="173"/>
      <c r="BP312" s="173"/>
      <c r="BQ312" s="173"/>
      <c r="BR312" s="125"/>
      <c r="BS312" s="125"/>
      <c r="BT312" s="134"/>
      <c r="BU312" s="135"/>
      <c r="BV312" s="135"/>
      <c r="BW312" s="135"/>
      <c r="BX312" s="135"/>
      <c r="BY312" s="173"/>
      <c r="BZ312" s="173"/>
      <c r="CA312" s="173"/>
      <c r="CB312" s="173"/>
      <c r="CC312" s="173"/>
      <c r="CD312" s="173"/>
      <c r="CE312" s="173"/>
      <c r="CF312" s="173"/>
      <c r="CG312" s="173"/>
      <c r="CH312" s="173"/>
      <c r="CI312" s="125"/>
      <c r="CJ312" s="125"/>
      <c r="CK312" s="134"/>
      <c r="CL312" s="135"/>
      <c r="CM312" s="135"/>
      <c r="CN312" s="135"/>
      <c r="CO312" s="135"/>
      <c r="CP312" s="173"/>
      <c r="CQ312" s="173"/>
      <c r="CR312" s="173"/>
      <c r="CS312" s="173"/>
      <c r="CT312" s="173"/>
      <c r="CU312" s="173"/>
      <c r="CV312" s="173"/>
      <c r="CW312" s="173"/>
      <c r="CX312" s="173"/>
      <c r="CY312" s="173"/>
      <c r="CZ312" s="125"/>
      <c r="DA312" s="125"/>
      <c r="DB312" s="134"/>
      <c r="DC312" s="135"/>
      <c r="DD312" s="135"/>
      <c r="DE312" s="135"/>
      <c r="DF312" s="135"/>
      <c r="DG312" s="173"/>
      <c r="DH312" s="173"/>
      <c r="DI312" s="173"/>
      <c r="DJ312" s="173"/>
      <c r="DK312" s="173"/>
      <c r="DL312" s="173"/>
      <c r="DM312" s="173"/>
      <c r="DN312" s="173"/>
      <c r="DO312" s="173"/>
      <c r="DP312" s="173"/>
      <c r="DQ312" s="125"/>
      <c r="DR312" s="125"/>
      <c r="DS312" s="134"/>
      <c r="DT312" s="135"/>
      <c r="DU312" s="135"/>
      <c r="DV312" s="135"/>
      <c r="DW312" s="135"/>
      <c r="DX312" s="173"/>
      <c r="DY312" s="173"/>
      <c r="DZ312" s="173"/>
      <c r="EA312" s="173"/>
      <c r="EB312" s="173"/>
      <c r="EC312" s="173"/>
      <c r="ED312" s="173"/>
      <c r="EE312" s="173"/>
      <c r="EF312" s="173"/>
      <c r="EG312" s="173"/>
      <c r="EH312" s="125"/>
      <c r="EI312" s="125"/>
      <c r="EJ312" s="134"/>
      <c r="EK312" s="135"/>
      <c r="EL312" s="135"/>
      <c r="EM312" s="135"/>
      <c r="EN312" s="135"/>
      <c r="EO312" s="173"/>
      <c r="EP312" s="173"/>
      <c r="EQ312" s="173"/>
      <c r="ER312" s="173"/>
      <c r="ES312" s="173"/>
      <c r="ET312" s="173"/>
      <c r="EU312" s="173"/>
      <c r="EV312" s="173"/>
      <c r="EW312" s="173"/>
      <c r="EX312" s="173"/>
      <c r="EY312" s="125"/>
      <c r="EZ312" s="125"/>
      <c r="FA312" s="134"/>
      <c r="FB312" s="135"/>
      <c r="FC312" s="135"/>
      <c r="FD312" s="135"/>
      <c r="FE312" s="135"/>
      <c r="FF312" s="173"/>
      <c r="FG312" s="173"/>
      <c r="FH312" s="173"/>
      <c r="FI312" s="173"/>
      <c r="FJ312" s="173"/>
      <c r="FK312" s="173"/>
      <c r="FL312" s="173"/>
      <c r="FM312" s="173"/>
      <c r="FN312" s="173"/>
      <c r="FO312" s="173"/>
      <c r="FP312" s="125"/>
      <c r="FQ312" s="125"/>
      <c r="FR312" s="134"/>
      <c r="FS312" s="135"/>
      <c r="FT312" s="135"/>
      <c r="FU312" s="135"/>
      <c r="FV312" s="135"/>
      <c r="FW312" s="173"/>
      <c r="FX312" s="173"/>
      <c r="FY312" s="173"/>
      <c r="FZ312" s="173"/>
      <c r="GA312" s="173"/>
      <c r="GB312" s="173"/>
      <c r="GC312" s="173"/>
      <c r="GD312" s="173"/>
      <c r="GE312" s="173"/>
      <c r="GF312" s="173"/>
      <c r="GG312" s="125"/>
      <c r="GH312" s="125"/>
      <c r="GI312" s="134"/>
      <c r="GJ312" s="135"/>
      <c r="GK312" s="135"/>
      <c r="GL312" s="135"/>
      <c r="GM312" s="135"/>
      <c r="GN312" s="173"/>
      <c r="GO312" s="173"/>
      <c r="GP312" s="173"/>
      <c r="GQ312" s="173"/>
      <c r="GR312" s="173"/>
      <c r="GS312" s="173"/>
      <c r="GT312" s="173"/>
      <c r="GU312" s="173"/>
      <c r="GV312" s="173"/>
      <c r="GW312" s="173"/>
      <c r="GX312" s="125"/>
      <c r="GY312" s="125"/>
      <c r="GZ312" s="134"/>
      <c r="HA312" s="135"/>
      <c r="HB312" s="135"/>
      <c r="HC312" s="135"/>
      <c r="HD312" s="135"/>
      <c r="HE312" s="173"/>
      <c r="HF312" s="173"/>
      <c r="HG312" s="173"/>
      <c r="HH312" s="173"/>
      <c r="HI312" s="173"/>
      <c r="HJ312" s="173"/>
      <c r="HK312" s="173"/>
      <c r="HL312" s="173"/>
      <c r="HM312" s="173"/>
      <c r="HN312" s="173"/>
      <c r="HO312" s="125"/>
      <c r="HP312" s="125"/>
      <c r="HQ312" s="134"/>
      <c r="HR312" s="135"/>
      <c r="HS312" s="135"/>
      <c r="HT312" s="135"/>
      <c r="HU312" s="135"/>
      <c r="HV312" s="173"/>
      <c r="HW312" s="173"/>
      <c r="HX312" s="173"/>
      <c r="HY312" s="173"/>
      <c r="HZ312" s="173"/>
      <c r="IA312" s="173"/>
      <c r="IB312" s="173"/>
      <c r="IC312" s="173"/>
      <c r="ID312" s="173"/>
      <c r="IE312" s="173"/>
      <c r="IF312" s="125"/>
      <c r="IG312" s="125"/>
      <c r="IH312" s="134"/>
      <c r="II312" s="135"/>
      <c r="IJ312" s="135"/>
      <c r="IK312" s="135"/>
      <c r="IL312" s="135"/>
      <c r="IM312" s="173"/>
      <c r="IN312" s="173"/>
      <c r="IO312" s="173"/>
      <c r="IP312" s="173"/>
      <c r="IQ312" s="173"/>
      <c r="IR312" s="173"/>
      <c r="IS312" s="173"/>
      <c r="IT312" s="173"/>
      <c r="IU312" s="173"/>
      <c r="IV312" s="173"/>
      <c r="IW312" s="125"/>
      <c r="IX312" s="125"/>
      <c r="IY312" s="134"/>
      <c r="IZ312" s="135"/>
      <c r="JA312" s="135"/>
      <c r="JB312" s="135"/>
      <c r="JC312" s="135"/>
      <c r="JD312" s="173"/>
      <c r="JE312" s="173"/>
      <c r="JF312" s="173"/>
      <c r="JG312" s="173"/>
      <c r="JH312" s="173"/>
      <c r="JI312" s="173"/>
      <c r="JJ312" s="173"/>
      <c r="JK312" s="173"/>
      <c r="JL312" s="173"/>
      <c r="JM312" s="173"/>
      <c r="JN312" s="125"/>
      <c r="JO312" s="125"/>
      <c r="JP312" s="134"/>
      <c r="JQ312" s="135"/>
      <c r="JR312" s="135"/>
      <c r="JS312" s="135"/>
      <c r="JT312" s="135"/>
      <c r="JU312" s="173"/>
      <c r="JV312" s="173"/>
      <c r="JW312" s="173"/>
      <c r="JX312" s="173"/>
      <c r="JY312" s="173"/>
      <c r="JZ312" s="173"/>
      <c r="KA312" s="173"/>
      <c r="KB312" s="173"/>
      <c r="KC312" s="173"/>
      <c r="KD312" s="173"/>
      <c r="KE312" s="125"/>
      <c r="KF312" s="125"/>
      <c r="KG312" s="134"/>
      <c r="KH312" s="135"/>
      <c r="KI312" s="135"/>
      <c r="KJ312" s="135"/>
      <c r="KK312" s="135"/>
      <c r="KL312" s="173"/>
      <c r="KM312" s="173"/>
      <c r="KN312" s="173"/>
      <c r="KO312" s="173"/>
      <c r="KP312" s="173"/>
      <c r="KQ312" s="173"/>
      <c r="KR312" s="173"/>
      <c r="KS312" s="173"/>
      <c r="KT312" s="173"/>
      <c r="KU312" s="173"/>
      <c r="KV312" s="125"/>
      <c r="KW312" s="125"/>
      <c r="KX312" s="134"/>
      <c r="KY312" s="135"/>
      <c r="KZ312" s="135"/>
      <c r="LA312" s="135"/>
      <c r="LB312" s="135"/>
      <c r="LC312" s="173"/>
      <c r="LD312" s="173"/>
      <c r="LE312" s="173"/>
      <c r="LF312" s="173"/>
      <c r="LG312" s="173"/>
      <c r="LH312" s="173"/>
      <c r="LI312" s="173"/>
      <c r="LJ312" s="173"/>
      <c r="LK312" s="173"/>
      <c r="LL312" s="173"/>
      <c r="LM312" s="125"/>
      <c r="LN312" s="125"/>
      <c r="LO312" s="134"/>
      <c r="LP312" s="135"/>
      <c r="LQ312" s="135"/>
      <c r="LR312" s="135"/>
      <c r="LS312" s="135"/>
      <c r="LT312" s="173"/>
      <c r="LU312" s="173"/>
      <c r="LV312" s="173"/>
      <c r="LW312" s="173"/>
      <c r="LX312" s="173"/>
      <c r="LY312" s="173"/>
      <c r="LZ312" s="173"/>
      <c r="MA312" s="173"/>
      <c r="MB312" s="173"/>
      <c r="MC312" s="173"/>
      <c r="MD312" s="125"/>
      <c r="ME312" s="125"/>
      <c r="MF312" s="134"/>
      <c r="MG312" s="135"/>
      <c r="MH312" s="135"/>
      <c r="MI312" s="135"/>
      <c r="MJ312" s="135"/>
      <c r="MK312" s="173"/>
      <c r="ML312" s="173"/>
      <c r="MM312" s="173"/>
      <c r="MN312" s="173"/>
      <c r="MO312" s="173"/>
      <c r="MP312" s="173"/>
      <c r="MQ312" s="173"/>
      <c r="MR312" s="173"/>
      <c r="MS312" s="173"/>
      <c r="MT312" s="173"/>
      <c r="MU312" s="125"/>
      <c r="MV312" s="125"/>
      <c r="MW312" s="134"/>
      <c r="MX312" s="135"/>
      <c r="MY312" s="135"/>
      <c r="MZ312" s="135"/>
      <c r="NA312" s="135"/>
      <c r="NB312" s="173"/>
      <c r="NC312" s="173"/>
      <c r="ND312" s="173"/>
      <c r="NE312" s="173"/>
      <c r="NF312" s="173"/>
      <c r="NG312" s="173"/>
      <c r="NH312" s="173"/>
      <c r="NI312" s="173"/>
      <c r="NJ312" s="173"/>
      <c r="NK312" s="173"/>
      <c r="NL312" s="125"/>
      <c r="NM312" s="125"/>
      <c r="NN312" s="134"/>
      <c r="NO312" s="135"/>
      <c r="NP312" s="135"/>
      <c r="NQ312" s="135"/>
      <c r="NR312" s="135"/>
      <c r="NS312" s="173"/>
      <c r="NT312" s="173"/>
      <c r="NU312" s="173"/>
      <c r="NV312" s="173"/>
      <c r="NW312" s="173"/>
      <c r="NX312" s="173"/>
      <c r="NY312" s="173"/>
      <c r="NZ312" s="173"/>
      <c r="OA312" s="173"/>
      <c r="OB312" s="173"/>
      <c r="OC312" s="125"/>
      <c r="OD312" s="125"/>
      <c r="OE312" s="134"/>
      <c r="OF312" s="135"/>
      <c r="OG312" s="135"/>
      <c r="OH312" s="135"/>
      <c r="OI312" s="135"/>
      <c r="OJ312" s="173"/>
      <c r="OK312" s="173"/>
      <c r="OL312" s="173"/>
      <c r="OM312" s="173"/>
      <c r="ON312" s="173"/>
      <c r="OO312" s="173"/>
      <c r="OP312" s="173"/>
      <c r="OQ312" s="173"/>
      <c r="OR312" s="173"/>
      <c r="OS312" s="173"/>
      <c r="OT312" s="125"/>
      <c r="OU312" s="125"/>
      <c r="OV312" s="134"/>
      <c r="OW312" s="135"/>
      <c r="OX312" s="135"/>
      <c r="OY312" s="135"/>
      <c r="OZ312" s="135"/>
      <c r="PA312" s="173"/>
      <c r="PB312" s="173"/>
      <c r="PC312" s="173"/>
      <c r="PD312" s="173"/>
      <c r="PE312" s="173"/>
      <c r="PF312" s="173"/>
      <c r="PG312" s="173"/>
      <c r="PH312" s="173"/>
      <c r="PI312" s="173"/>
      <c r="PJ312" s="173"/>
      <c r="PK312" s="125"/>
      <c r="PL312" s="125"/>
      <c r="PM312" s="134"/>
      <c r="PN312" s="135"/>
      <c r="PO312" s="135"/>
      <c r="PP312" s="135"/>
      <c r="PQ312" s="135"/>
      <c r="PR312" s="173"/>
      <c r="PS312" s="173"/>
      <c r="PT312" s="173"/>
      <c r="PU312" s="173"/>
      <c r="PV312" s="173"/>
      <c r="PW312" s="173"/>
      <c r="PX312" s="173"/>
      <c r="PY312" s="173"/>
      <c r="PZ312" s="173"/>
      <c r="QA312" s="173"/>
      <c r="QB312" s="125"/>
      <c r="QC312" s="125"/>
      <c r="QD312" s="134"/>
      <c r="QE312" s="135"/>
      <c r="QF312" s="135"/>
      <c r="QG312" s="135"/>
      <c r="QH312" s="135"/>
      <c r="QI312" s="173"/>
      <c r="QJ312" s="173"/>
      <c r="QK312" s="173"/>
      <c r="QL312" s="173"/>
      <c r="QM312" s="173"/>
      <c r="QN312" s="173"/>
      <c r="QO312" s="173"/>
      <c r="QP312" s="173"/>
      <c r="QQ312" s="173"/>
      <c r="QR312" s="173"/>
      <c r="QS312" s="125"/>
      <c r="QT312" s="125"/>
      <c r="QU312" s="134"/>
      <c r="QV312" s="135"/>
      <c r="QW312" s="135"/>
      <c r="QX312" s="135"/>
      <c r="QY312" s="135"/>
      <c r="QZ312" s="173"/>
      <c r="RA312" s="173"/>
      <c r="RB312" s="173"/>
      <c r="RC312" s="173"/>
      <c r="RD312" s="173"/>
      <c r="RE312" s="173"/>
      <c r="RF312" s="173"/>
      <c r="RG312" s="173"/>
      <c r="RH312" s="173"/>
      <c r="RI312" s="173"/>
      <c r="RJ312" s="125"/>
      <c r="RK312" s="125"/>
      <c r="RL312" s="134"/>
      <c r="RM312" s="135"/>
      <c r="RN312" s="135"/>
      <c r="RO312" s="135"/>
      <c r="RP312" s="135"/>
      <c r="RQ312" s="173"/>
      <c r="RR312" s="173"/>
      <c r="RS312" s="173"/>
      <c r="RT312" s="173"/>
      <c r="RU312" s="173"/>
      <c r="RV312" s="173"/>
      <c r="RW312" s="173"/>
      <c r="RX312" s="173"/>
      <c r="RY312" s="173"/>
      <c r="RZ312" s="173"/>
      <c r="SA312" s="125"/>
      <c r="SB312" s="125"/>
      <c r="SC312" s="134"/>
      <c r="SD312" s="135"/>
      <c r="SE312" s="135"/>
      <c r="SF312" s="135"/>
      <c r="SG312" s="135"/>
      <c r="SH312" s="173"/>
      <c r="SI312" s="173"/>
      <c r="SJ312" s="173"/>
      <c r="SK312" s="173"/>
      <c r="SL312" s="173"/>
      <c r="SM312" s="173"/>
      <c r="SN312" s="173"/>
      <c r="SO312" s="173"/>
      <c r="SP312" s="173"/>
      <c r="SQ312" s="173"/>
      <c r="SR312" s="125"/>
      <c r="SS312" s="125"/>
      <c r="ST312" s="134"/>
      <c r="SU312" s="135"/>
      <c r="SV312" s="135"/>
      <c r="SW312" s="135"/>
      <c r="SX312" s="135"/>
      <c r="SY312" s="173"/>
      <c r="SZ312" s="173"/>
      <c r="TA312" s="173"/>
      <c r="TB312" s="173"/>
      <c r="TC312" s="173"/>
      <c r="TD312" s="173"/>
      <c r="TE312" s="173"/>
      <c r="TF312" s="173"/>
      <c r="TG312" s="173"/>
      <c r="TH312" s="173"/>
      <c r="TI312" s="125"/>
      <c r="TJ312" s="125"/>
      <c r="TK312" s="134"/>
      <c r="TL312" s="135"/>
      <c r="TM312" s="135"/>
      <c r="TN312" s="135"/>
      <c r="TO312" s="135"/>
      <c r="TP312" s="173"/>
      <c r="TQ312" s="173"/>
      <c r="TR312" s="173"/>
      <c r="TS312" s="173"/>
      <c r="TT312" s="173"/>
      <c r="TU312" s="173"/>
      <c r="TV312" s="173"/>
      <c r="TW312" s="173"/>
      <c r="TX312" s="173"/>
      <c r="TY312" s="173"/>
      <c r="TZ312" s="125"/>
      <c r="UA312" s="125"/>
      <c r="UB312" s="134"/>
      <c r="UC312" s="135"/>
      <c r="UD312" s="135"/>
      <c r="UE312" s="135"/>
      <c r="UF312" s="135"/>
      <c r="UG312" s="173"/>
      <c r="UH312" s="173"/>
      <c r="UI312" s="173"/>
      <c r="UJ312" s="173"/>
      <c r="UK312" s="173"/>
      <c r="UL312" s="173"/>
      <c r="UM312" s="173"/>
      <c r="UN312" s="173"/>
      <c r="UO312" s="173"/>
      <c r="UP312" s="173"/>
      <c r="UQ312" s="125"/>
      <c r="UR312" s="125"/>
      <c r="US312" s="134"/>
      <c r="UT312" s="135"/>
      <c r="UU312" s="135"/>
      <c r="UV312" s="135"/>
      <c r="UW312" s="135"/>
      <c r="UX312" s="173"/>
      <c r="UY312" s="173"/>
      <c r="UZ312" s="173"/>
      <c r="VA312" s="173"/>
      <c r="VB312" s="173"/>
      <c r="VC312" s="173"/>
      <c r="VD312" s="173"/>
      <c r="VE312" s="173"/>
      <c r="VF312" s="173"/>
      <c r="VG312" s="173"/>
      <c r="VH312" s="125"/>
      <c r="VI312" s="125"/>
      <c r="VJ312" s="134"/>
      <c r="VK312" s="135"/>
      <c r="VL312" s="135"/>
      <c r="VM312" s="135"/>
      <c r="VN312" s="135"/>
      <c r="VO312" s="173"/>
      <c r="VP312" s="173"/>
      <c r="VQ312" s="173"/>
      <c r="VR312" s="173"/>
      <c r="VS312" s="173"/>
      <c r="VT312" s="173"/>
      <c r="VU312" s="173"/>
      <c r="VV312" s="173"/>
      <c r="VW312" s="173"/>
      <c r="VX312" s="173"/>
      <c r="VY312" s="125"/>
      <c r="VZ312" s="125"/>
      <c r="WA312" s="134"/>
      <c r="WB312" s="135"/>
      <c r="WC312" s="135"/>
      <c r="WD312" s="135"/>
      <c r="WE312" s="135"/>
      <c r="WF312" s="173"/>
      <c r="WG312" s="173"/>
      <c r="WH312" s="173"/>
      <c r="WI312" s="173"/>
      <c r="WJ312" s="173"/>
      <c r="WK312" s="173"/>
      <c r="WL312" s="173"/>
      <c r="WM312" s="173"/>
      <c r="WN312" s="173"/>
      <c r="WO312" s="173"/>
      <c r="WP312" s="125"/>
      <c r="WQ312" s="125"/>
      <c r="WR312" s="134"/>
      <c r="WS312" s="135"/>
      <c r="WT312" s="135"/>
      <c r="WU312" s="135"/>
      <c r="WV312" s="135"/>
      <c r="WW312" s="173"/>
      <c r="WX312" s="173"/>
      <c r="WY312" s="173"/>
      <c r="WZ312" s="173"/>
      <c r="XA312" s="173"/>
      <c r="XB312" s="173"/>
      <c r="XC312" s="173"/>
      <c r="XD312" s="173"/>
      <c r="XE312" s="173"/>
      <c r="XF312" s="173"/>
      <c r="XG312" s="125"/>
      <c r="XH312" s="125"/>
      <c r="XI312" s="134"/>
      <c r="XJ312" s="135"/>
      <c r="XK312" s="135"/>
      <c r="XL312" s="135"/>
      <c r="XM312" s="135"/>
      <c r="XN312" s="173"/>
      <c r="XO312" s="173"/>
      <c r="XP312" s="173"/>
      <c r="XQ312" s="173"/>
      <c r="XR312" s="173"/>
      <c r="XS312" s="173"/>
      <c r="XT312" s="173"/>
      <c r="XU312" s="173"/>
      <c r="XV312" s="173"/>
      <c r="XW312" s="173"/>
      <c r="XX312" s="125"/>
      <c r="XY312" s="125"/>
      <c r="XZ312" s="134"/>
      <c r="YA312" s="135"/>
      <c r="YB312" s="135"/>
      <c r="YC312" s="135"/>
      <c r="YD312" s="135"/>
      <c r="YE312" s="173"/>
      <c r="YF312" s="173"/>
      <c r="YG312" s="173"/>
      <c r="YH312" s="173"/>
      <c r="YI312" s="173"/>
      <c r="YJ312" s="173"/>
      <c r="YK312" s="173"/>
      <c r="YL312" s="173"/>
      <c r="YM312" s="173"/>
      <c r="YN312" s="173"/>
      <c r="YO312" s="125"/>
      <c r="YP312" s="125"/>
      <c r="YQ312" s="134"/>
      <c r="YR312" s="135"/>
      <c r="YS312" s="135"/>
      <c r="YT312" s="135"/>
      <c r="YU312" s="135"/>
      <c r="YV312" s="173"/>
      <c r="YW312" s="173"/>
      <c r="YX312" s="173"/>
      <c r="YY312" s="173"/>
      <c r="YZ312" s="173"/>
      <c r="ZA312" s="173"/>
      <c r="ZB312" s="173"/>
      <c r="ZC312" s="173"/>
      <c r="ZD312" s="173"/>
      <c r="ZE312" s="173"/>
      <c r="ZF312" s="125"/>
      <c r="ZG312" s="125"/>
      <c r="ZH312" s="134"/>
      <c r="ZI312" s="135"/>
      <c r="ZJ312" s="135"/>
      <c r="ZK312" s="135"/>
      <c r="ZL312" s="135"/>
      <c r="ZM312" s="173"/>
      <c r="ZN312" s="173"/>
      <c r="ZO312" s="173"/>
      <c r="ZP312" s="173"/>
      <c r="ZQ312" s="173"/>
      <c r="ZR312" s="173"/>
      <c r="ZS312" s="173"/>
      <c r="ZT312" s="173"/>
      <c r="ZU312" s="173"/>
      <c r="ZV312" s="173"/>
      <c r="ZW312" s="125"/>
      <c r="ZX312" s="125"/>
      <c r="ZY312" s="134"/>
      <c r="ZZ312" s="135"/>
      <c r="AAA312" s="135"/>
      <c r="AAB312" s="135"/>
      <c r="AAC312" s="135"/>
      <c r="AAD312" s="173"/>
      <c r="AAE312" s="173"/>
      <c r="AAF312" s="173"/>
      <c r="AAG312" s="173"/>
      <c r="AAH312" s="173"/>
      <c r="AAI312" s="173"/>
      <c r="AAJ312" s="173"/>
      <c r="AAK312" s="173"/>
      <c r="AAL312" s="173"/>
      <c r="AAM312" s="173"/>
      <c r="AAN312" s="125"/>
      <c r="AAO312" s="125"/>
      <c r="AAP312" s="134"/>
      <c r="AAQ312" s="135"/>
      <c r="AAR312" s="135"/>
      <c r="AAS312" s="135"/>
      <c r="AAT312" s="135"/>
      <c r="AAU312" s="173"/>
      <c r="AAV312" s="173"/>
      <c r="AAW312" s="173"/>
      <c r="AAX312" s="173"/>
      <c r="AAY312" s="173"/>
      <c r="AAZ312" s="173"/>
      <c r="ABA312" s="173"/>
      <c r="ABB312" s="173"/>
      <c r="ABC312" s="173"/>
      <c r="ABD312" s="173"/>
      <c r="ABE312" s="125"/>
      <c r="ABF312" s="125"/>
      <c r="ABG312" s="134"/>
      <c r="ABH312" s="135"/>
      <c r="ABI312" s="135"/>
      <c r="ABJ312" s="135"/>
      <c r="ABK312" s="135"/>
      <c r="ABL312" s="173"/>
      <c r="ABM312" s="173"/>
      <c r="ABN312" s="173"/>
      <c r="ABO312" s="173"/>
      <c r="ABP312" s="173"/>
      <c r="ABQ312" s="173"/>
      <c r="ABR312" s="173"/>
      <c r="ABS312" s="173"/>
      <c r="ABT312" s="173"/>
      <c r="ABU312" s="173"/>
      <c r="ABV312" s="125"/>
      <c r="ABW312" s="125"/>
      <c r="ABX312" s="134"/>
      <c r="ABY312" s="135"/>
      <c r="ABZ312" s="135"/>
      <c r="ACA312" s="135"/>
      <c r="ACB312" s="135"/>
      <c r="ACC312" s="173"/>
      <c r="ACD312" s="173"/>
      <c r="ACE312" s="173"/>
      <c r="ACF312" s="173"/>
      <c r="ACG312" s="173"/>
      <c r="ACH312" s="173"/>
      <c r="ACI312" s="173"/>
      <c r="ACJ312" s="173"/>
      <c r="ACK312" s="173"/>
      <c r="ACL312" s="173"/>
      <c r="ACM312" s="125"/>
      <c r="ACN312" s="125"/>
      <c r="ACO312" s="134"/>
      <c r="ACP312" s="135"/>
      <c r="ACQ312" s="135"/>
      <c r="ACR312" s="135"/>
      <c r="ACS312" s="135"/>
      <c r="ACT312" s="173"/>
      <c r="ACU312" s="173"/>
      <c r="ACV312" s="173"/>
      <c r="ACW312" s="173"/>
      <c r="ACX312" s="173"/>
      <c r="ACY312" s="173"/>
      <c r="ACZ312" s="173"/>
      <c r="ADA312" s="173"/>
      <c r="ADB312" s="173"/>
      <c r="ADC312" s="173"/>
      <c r="ADD312" s="125"/>
      <c r="ADE312" s="125"/>
      <c r="ADF312" s="134"/>
      <c r="ADG312" s="135"/>
      <c r="ADH312" s="135"/>
      <c r="ADI312" s="135"/>
      <c r="ADJ312" s="135"/>
      <c r="ADK312" s="173"/>
      <c r="ADL312" s="173"/>
      <c r="ADM312" s="173"/>
      <c r="ADN312" s="173"/>
      <c r="ADO312" s="173"/>
      <c r="ADP312" s="173"/>
      <c r="ADQ312" s="173"/>
      <c r="ADR312" s="173"/>
      <c r="ADS312" s="173"/>
      <c r="ADT312" s="173"/>
      <c r="ADU312" s="125"/>
      <c r="ADV312" s="125"/>
      <c r="ADW312" s="134"/>
      <c r="ADX312" s="135"/>
      <c r="ADY312" s="135"/>
      <c r="ADZ312" s="135"/>
      <c r="AEA312" s="135"/>
      <c r="AEB312" s="173"/>
      <c r="AEC312" s="173"/>
      <c r="AED312" s="173"/>
      <c r="AEE312" s="173"/>
      <c r="AEF312" s="173"/>
      <c r="AEG312" s="173"/>
      <c r="AEH312" s="173"/>
      <c r="AEI312" s="173"/>
      <c r="AEJ312" s="173"/>
      <c r="AEK312" s="173"/>
      <c r="AEL312" s="125"/>
      <c r="AEM312" s="125"/>
      <c r="AEN312" s="134"/>
      <c r="AEO312" s="135"/>
      <c r="AEP312" s="135"/>
      <c r="AEQ312" s="135"/>
      <c r="AER312" s="135"/>
      <c r="AES312" s="173"/>
      <c r="AET312" s="173"/>
      <c r="AEU312" s="173"/>
      <c r="AEV312" s="173"/>
      <c r="AEW312" s="173"/>
      <c r="AEX312" s="173"/>
      <c r="AEY312" s="173"/>
      <c r="AEZ312" s="173"/>
      <c r="AFA312" s="173"/>
      <c r="AFB312" s="173"/>
      <c r="AFC312" s="125"/>
      <c r="AFD312" s="125"/>
      <c r="AFE312" s="134"/>
      <c r="AFF312" s="135"/>
      <c r="AFG312" s="135"/>
      <c r="AFH312" s="135"/>
      <c r="AFI312" s="135"/>
      <c r="AFJ312" s="173"/>
      <c r="AFK312" s="173"/>
      <c r="AFL312" s="173"/>
      <c r="AFM312" s="173"/>
      <c r="AFN312" s="173"/>
      <c r="AFO312" s="173"/>
      <c r="AFP312" s="173"/>
      <c r="AFQ312" s="173"/>
      <c r="AFR312" s="173"/>
      <c r="AFS312" s="173"/>
      <c r="AFT312" s="125"/>
      <c r="AFU312" s="125"/>
      <c r="AFV312" s="134"/>
      <c r="AFW312" s="135"/>
      <c r="AFX312" s="135"/>
      <c r="AFY312" s="135"/>
      <c r="AFZ312" s="135"/>
      <c r="AGA312" s="173"/>
      <c r="AGB312" s="173"/>
      <c r="AGC312" s="173"/>
      <c r="AGD312" s="173"/>
      <c r="AGE312" s="173"/>
      <c r="AGF312" s="173"/>
      <c r="AGG312" s="173"/>
      <c r="AGH312" s="173"/>
      <c r="AGI312" s="173"/>
      <c r="AGJ312" s="173"/>
      <c r="AGK312" s="125"/>
      <c r="AGL312" s="125"/>
      <c r="AGM312" s="134"/>
      <c r="AGN312" s="135"/>
      <c r="AGO312" s="135"/>
      <c r="AGP312" s="135"/>
      <c r="AGQ312" s="135"/>
      <c r="AGR312" s="173"/>
      <c r="AGS312" s="173"/>
      <c r="AGT312" s="173"/>
      <c r="AGU312" s="173"/>
      <c r="AGV312" s="173"/>
      <c r="AGW312" s="173"/>
      <c r="AGX312" s="173"/>
      <c r="AGY312" s="173"/>
      <c r="AGZ312" s="173"/>
      <c r="AHA312" s="173"/>
      <c r="AHB312" s="125"/>
      <c r="AHC312" s="125"/>
      <c r="AHD312" s="134"/>
      <c r="AHE312" s="135"/>
      <c r="AHF312" s="135"/>
      <c r="AHG312" s="135"/>
      <c r="AHH312" s="135"/>
      <c r="AHI312" s="173"/>
      <c r="AHJ312" s="173"/>
      <c r="AHK312" s="173"/>
      <c r="AHL312" s="173"/>
      <c r="AHM312" s="173"/>
      <c r="AHN312" s="173"/>
      <c r="AHO312" s="173"/>
      <c r="AHP312" s="173"/>
      <c r="AHQ312" s="173"/>
      <c r="AHR312" s="173"/>
      <c r="AHS312" s="125"/>
      <c r="AHT312" s="125"/>
      <c r="AHU312" s="134"/>
      <c r="AHV312" s="135"/>
      <c r="AHW312" s="135"/>
      <c r="AHX312" s="135"/>
      <c r="AHY312" s="135"/>
      <c r="AHZ312" s="173"/>
      <c r="AIA312" s="173"/>
      <c r="AIB312" s="173"/>
      <c r="AIC312" s="173"/>
      <c r="AID312" s="173"/>
      <c r="AIE312" s="173"/>
      <c r="AIF312" s="173"/>
      <c r="AIG312" s="173"/>
      <c r="AIH312" s="173"/>
      <c r="AII312" s="173"/>
      <c r="AIJ312" s="125"/>
      <c r="AIK312" s="125"/>
      <c r="AIL312" s="134"/>
      <c r="AIM312" s="135"/>
      <c r="AIN312" s="135"/>
      <c r="AIO312" s="135"/>
      <c r="AIP312" s="135"/>
      <c r="AIQ312" s="173"/>
      <c r="AIR312" s="173"/>
      <c r="AIS312" s="173"/>
      <c r="AIT312" s="173"/>
      <c r="AIU312" s="173"/>
      <c r="AIV312" s="173"/>
      <c r="AIW312" s="173"/>
      <c r="AIX312" s="173"/>
      <c r="AIY312" s="173"/>
      <c r="AIZ312" s="173"/>
      <c r="AJA312" s="125"/>
      <c r="AJB312" s="125"/>
      <c r="AJC312" s="134"/>
      <c r="AJD312" s="135"/>
      <c r="AJE312" s="135"/>
      <c r="AJF312" s="135"/>
      <c r="AJG312" s="135"/>
      <c r="AJH312" s="173"/>
      <c r="AJI312" s="173"/>
      <c r="AJJ312" s="173"/>
      <c r="AJK312" s="173"/>
      <c r="AJL312" s="173"/>
      <c r="AJM312" s="173"/>
      <c r="AJN312" s="173"/>
      <c r="AJO312" s="173"/>
      <c r="AJP312" s="173"/>
      <c r="AJQ312" s="173"/>
      <c r="AJR312" s="125"/>
      <c r="AJS312" s="125"/>
      <c r="AJT312" s="134"/>
      <c r="AJU312" s="135"/>
      <c r="AJV312" s="135"/>
      <c r="AJW312" s="135"/>
      <c r="AJX312" s="135"/>
      <c r="AJY312" s="173"/>
      <c r="AJZ312" s="173"/>
      <c r="AKA312" s="173"/>
      <c r="AKB312" s="173"/>
      <c r="AKC312" s="173"/>
      <c r="AKD312" s="173"/>
      <c r="AKE312" s="173"/>
      <c r="AKF312" s="173"/>
      <c r="AKG312" s="173"/>
      <c r="AKH312" s="173"/>
      <c r="AKI312" s="125"/>
      <c r="AKJ312" s="125"/>
      <c r="AKK312" s="134"/>
      <c r="AKL312" s="135"/>
      <c r="AKM312" s="135"/>
      <c r="AKN312" s="135"/>
      <c r="AKO312" s="135"/>
      <c r="AKP312" s="173"/>
      <c r="AKQ312" s="173"/>
      <c r="AKR312" s="173"/>
      <c r="AKS312" s="173"/>
      <c r="AKT312" s="173"/>
      <c r="AKU312" s="173"/>
      <c r="AKV312" s="173"/>
      <c r="AKW312" s="173"/>
      <c r="AKX312" s="173"/>
      <c r="AKY312" s="173"/>
      <c r="AKZ312" s="125"/>
      <c r="ALA312" s="125"/>
      <c r="ALB312" s="134"/>
      <c r="ALC312" s="135"/>
      <c r="ALD312" s="135"/>
      <c r="ALE312" s="135"/>
      <c r="ALF312" s="135"/>
      <c r="ALG312" s="173"/>
      <c r="ALH312" s="173"/>
      <c r="ALI312" s="173"/>
      <c r="ALJ312" s="173"/>
      <c r="ALK312" s="173"/>
      <c r="ALL312" s="173"/>
      <c r="ALM312" s="173"/>
      <c r="ALN312" s="173"/>
      <c r="ALO312" s="173"/>
      <c r="ALP312" s="173"/>
      <c r="ALQ312" s="125"/>
      <c r="ALR312" s="125"/>
      <c r="ALS312" s="134"/>
      <c r="ALT312" s="135"/>
      <c r="ALU312" s="135"/>
      <c r="ALV312" s="135"/>
      <c r="ALW312" s="135"/>
      <c r="ALX312" s="173"/>
      <c r="ALY312" s="173"/>
      <c r="ALZ312" s="173"/>
      <c r="AMA312" s="173"/>
      <c r="AMB312" s="173"/>
      <c r="AMC312" s="173"/>
      <c r="AMD312" s="173"/>
      <c r="AME312" s="173"/>
      <c r="AMF312" s="173"/>
      <c r="AMG312" s="173"/>
      <c r="AMH312" s="125"/>
      <c r="AMI312" s="125"/>
      <c r="AMJ312" s="134"/>
      <c r="AMK312" s="135"/>
      <c r="AML312" s="135"/>
      <c r="AMM312" s="135"/>
      <c r="AMN312" s="135"/>
      <c r="AMO312" s="173"/>
      <c r="AMP312" s="173"/>
      <c r="AMQ312" s="173"/>
      <c r="AMR312" s="173"/>
      <c r="AMS312" s="173"/>
      <c r="AMT312" s="173"/>
      <c r="AMU312" s="173"/>
      <c r="AMV312" s="173"/>
      <c r="AMW312" s="173"/>
      <c r="AMX312" s="173"/>
      <c r="AMY312" s="125"/>
      <c r="AMZ312" s="125"/>
      <c r="ANA312" s="134"/>
      <c r="ANB312" s="135"/>
      <c r="ANC312" s="135"/>
      <c r="AND312" s="135"/>
      <c r="ANE312" s="135"/>
      <c r="ANF312" s="173"/>
      <c r="ANG312" s="173"/>
      <c r="ANH312" s="173"/>
      <c r="ANI312" s="173"/>
      <c r="ANJ312" s="173"/>
      <c r="ANK312" s="173"/>
      <c r="ANL312" s="173"/>
      <c r="ANM312" s="173"/>
      <c r="ANN312" s="173"/>
      <c r="ANO312" s="173"/>
      <c r="ANP312" s="125"/>
      <c r="ANQ312" s="125"/>
      <c r="ANR312" s="134"/>
      <c r="ANS312" s="135"/>
      <c r="ANT312" s="135"/>
      <c r="ANU312" s="135"/>
      <c r="ANV312" s="135"/>
      <c r="ANW312" s="173"/>
      <c r="ANX312" s="173"/>
      <c r="ANY312" s="173"/>
      <c r="ANZ312" s="173"/>
      <c r="AOA312" s="173"/>
      <c r="AOB312" s="173"/>
      <c r="AOC312" s="173"/>
      <c r="AOD312" s="173"/>
      <c r="AOE312" s="173"/>
      <c r="AOF312" s="173"/>
      <c r="AOG312" s="125"/>
      <c r="AOH312" s="125"/>
      <c r="AOI312" s="134"/>
      <c r="AOJ312" s="135"/>
      <c r="AOK312" s="135"/>
      <c r="AOL312" s="135"/>
      <c r="AOM312" s="135"/>
      <c r="AON312" s="173"/>
      <c r="AOO312" s="173"/>
      <c r="AOP312" s="173"/>
      <c r="AOQ312" s="173"/>
      <c r="AOR312" s="173"/>
      <c r="AOS312" s="173"/>
      <c r="AOT312" s="173"/>
      <c r="AOU312" s="173"/>
      <c r="AOV312" s="173"/>
      <c r="AOW312" s="173"/>
      <c r="AOX312" s="125"/>
      <c r="AOY312" s="125"/>
      <c r="AOZ312" s="134"/>
      <c r="APA312" s="135"/>
      <c r="APB312" s="135"/>
      <c r="APC312" s="135"/>
      <c r="APD312" s="135"/>
      <c r="APE312" s="173"/>
      <c r="APF312" s="173"/>
      <c r="APG312" s="173"/>
      <c r="APH312" s="173"/>
      <c r="API312" s="173"/>
      <c r="APJ312" s="173"/>
      <c r="APK312" s="173"/>
      <c r="APL312" s="173"/>
      <c r="APM312" s="173"/>
      <c r="APN312" s="173"/>
      <c r="APO312" s="125"/>
      <c r="APP312" s="125"/>
      <c r="APQ312" s="134"/>
      <c r="APR312" s="135"/>
      <c r="APS312" s="135"/>
      <c r="APT312" s="135"/>
      <c r="APU312" s="135"/>
      <c r="APV312" s="173"/>
      <c r="APW312" s="173"/>
      <c r="APX312" s="173"/>
      <c r="APY312" s="173"/>
      <c r="APZ312" s="173"/>
      <c r="AQA312" s="173"/>
      <c r="AQB312" s="173"/>
      <c r="AQC312" s="173"/>
      <c r="AQD312" s="173"/>
      <c r="AQE312" s="173"/>
      <c r="AQF312" s="125"/>
      <c r="AQG312" s="125"/>
      <c r="AQH312" s="134"/>
      <c r="AQI312" s="135"/>
      <c r="AQJ312" s="135"/>
      <c r="AQK312" s="135"/>
      <c r="AQL312" s="135"/>
      <c r="AQM312" s="173"/>
      <c r="AQN312" s="173"/>
      <c r="AQO312" s="173"/>
      <c r="AQP312" s="173"/>
      <c r="AQQ312" s="173"/>
      <c r="AQR312" s="173"/>
      <c r="AQS312" s="173"/>
      <c r="AQT312" s="173"/>
      <c r="AQU312" s="173"/>
      <c r="AQV312" s="173"/>
      <c r="AQW312" s="125"/>
      <c r="AQX312" s="125"/>
      <c r="AQY312" s="134"/>
      <c r="AQZ312" s="135"/>
      <c r="ARA312" s="135"/>
      <c r="ARB312" s="135"/>
      <c r="ARC312" s="135"/>
      <c r="ARD312" s="173"/>
      <c r="ARE312" s="173"/>
      <c r="ARF312" s="173"/>
      <c r="ARG312" s="173"/>
      <c r="ARH312" s="173"/>
      <c r="ARI312" s="173"/>
      <c r="ARJ312" s="173"/>
      <c r="ARK312" s="173"/>
      <c r="ARL312" s="173"/>
      <c r="ARM312" s="173"/>
      <c r="ARN312" s="125"/>
      <c r="ARO312" s="125"/>
      <c r="ARP312" s="134"/>
      <c r="ARQ312" s="135"/>
      <c r="ARR312" s="135"/>
      <c r="ARS312" s="135"/>
      <c r="ART312" s="135"/>
      <c r="ARU312" s="173"/>
      <c r="ARV312" s="173"/>
      <c r="ARW312" s="173"/>
      <c r="ARX312" s="173"/>
      <c r="ARY312" s="173"/>
      <c r="ARZ312" s="173"/>
      <c r="ASA312" s="173"/>
      <c r="ASB312" s="173"/>
      <c r="ASC312" s="173"/>
      <c r="ASD312" s="173"/>
      <c r="ASE312" s="125"/>
      <c r="ASF312" s="125"/>
      <c r="ASG312" s="134"/>
      <c r="ASH312" s="135"/>
      <c r="ASI312" s="135"/>
      <c r="ASJ312" s="135"/>
      <c r="ASK312" s="135"/>
      <c r="ASL312" s="173"/>
      <c r="ASM312" s="173"/>
      <c r="ASN312" s="173"/>
      <c r="ASO312" s="173"/>
      <c r="ASP312" s="173"/>
      <c r="ASQ312" s="173"/>
      <c r="ASR312" s="173"/>
      <c r="ASS312" s="173"/>
      <c r="AST312" s="173"/>
      <c r="ASU312" s="173"/>
      <c r="ASV312" s="125"/>
      <c r="ASW312" s="125"/>
      <c r="ASX312" s="134"/>
      <c r="ASY312" s="135"/>
      <c r="ASZ312" s="135"/>
      <c r="ATA312" s="135"/>
      <c r="ATB312" s="135"/>
      <c r="ATC312" s="173"/>
      <c r="ATD312" s="173"/>
      <c r="ATE312" s="173"/>
      <c r="ATF312" s="173"/>
      <c r="ATG312" s="173"/>
      <c r="ATH312" s="173"/>
      <c r="ATI312" s="173"/>
      <c r="ATJ312" s="173"/>
      <c r="ATK312" s="173"/>
      <c r="ATL312" s="173"/>
      <c r="ATM312" s="125"/>
      <c r="ATN312" s="125"/>
      <c r="ATO312" s="134"/>
      <c r="ATP312" s="135"/>
      <c r="ATQ312" s="135"/>
      <c r="ATR312" s="135"/>
      <c r="ATS312" s="135"/>
      <c r="ATT312" s="173"/>
      <c r="ATU312" s="173"/>
      <c r="ATV312" s="173"/>
      <c r="ATW312" s="173"/>
      <c r="ATX312" s="173"/>
      <c r="ATY312" s="173"/>
      <c r="ATZ312" s="173"/>
      <c r="AUA312" s="173"/>
      <c r="AUB312" s="173"/>
      <c r="AUC312" s="173"/>
      <c r="AUD312" s="125"/>
      <c r="AUE312" s="125"/>
      <c r="AUF312" s="134"/>
      <c r="AUG312" s="135"/>
      <c r="AUH312" s="135"/>
      <c r="AUI312" s="135"/>
      <c r="AUJ312" s="135"/>
      <c r="AUK312" s="173"/>
      <c r="AUL312" s="173"/>
      <c r="AUM312" s="173"/>
      <c r="AUN312" s="173"/>
      <c r="AUO312" s="173"/>
      <c r="AUP312" s="173"/>
      <c r="AUQ312" s="173"/>
      <c r="AUR312" s="173"/>
      <c r="AUS312" s="173"/>
      <c r="AUT312" s="173"/>
      <c r="AUU312" s="125"/>
      <c r="AUV312" s="125"/>
      <c r="AUW312" s="134"/>
      <c r="AUX312" s="135"/>
      <c r="AUY312" s="135"/>
      <c r="AUZ312" s="135"/>
      <c r="AVA312" s="135"/>
      <c r="AVB312" s="173"/>
      <c r="AVC312" s="173"/>
      <c r="AVD312" s="173"/>
      <c r="AVE312" s="173"/>
      <c r="AVF312" s="173"/>
      <c r="AVG312" s="173"/>
      <c r="AVH312" s="173"/>
      <c r="AVI312" s="173"/>
      <c r="AVJ312" s="173"/>
      <c r="AVK312" s="173"/>
      <c r="AVL312" s="125"/>
      <c r="AVM312" s="125"/>
      <c r="AVN312" s="134"/>
      <c r="AVO312" s="135"/>
      <c r="AVP312" s="135"/>
      <c r="AVQ312" s="135"/>
      <c r="AVR312" s="135"/>
      <c r="AVS312" s="173"/>
      <c r="AVT312" s="173"/>
      <c r="AVU312" s="173"/>
      <c r="AVV312" s="173"/>
      <c r="AVW312" s="173"/>
      <c r="AVX312" s="173"/>
      <c r="AVY312" s="173"/>
      <c r="AVZ312" s="173"/>
      <c r="AWA312" s="173"/>
      <c r="AWB312" s="173"/>
      <c r="AWC312" s="125"/>
      <c r="AWD312" s="125"/>
      <c r="AWE312" s="134"/>
      <c r="AWF312" s="135"/>
      <c r="AWG312" s="135"/>
      <c r="AWH312" s="135"/>
      <c r="AWI312" s="135"/>
      <c r="AWJ312" s="173"/>
      <c r="AWK312" s="173"/>
      <c r="AWL312" s="173"/>
      <c r="AWM312" s="173"/>
      <c r="AWN312" s="173"/>
      <c r="AWO312" s="173"/>
      <c r="AWP312" s="173"/>
      <c r="AWQ312" s="173"/>
      <c r="AWR312" s="173"/>
      <c r="AWS312" s="173"/>
      <c r="AWT312" s="125"/>
      <c r="AWU312" s="125"/>
      <c r="AWV312" s="134"/>
      <c r="AWW312" s="135"/>
      <c r="AWX312" s="135"/>
      <c r="AWY312" s="135"/>
      <c r="AWZ312" s="135"/>
      <c r="AXA312" s="173"/>
      <c r="AXB312" s="173"/>
      <c r="AXC312" s="173"/>
      <c r="AXD312" s="173"/>
      <c r="AXE312" s="173"/>
      <c r="AXF312" s="173"/>
      <c r="AXG312" s="173"/>
      <c r="AXH312" s="173"/>
      <c r="AXI312" s="173"/>
      <c r="AXJ312" s="173"/>
      <c r="AXK312" s="125"/>
      <c r="AXL312" s="125"/>
      <c r="AXM312" s="134"/>
      <c r="AXN312" s="135"/>
      <c r="AXO312" s="135"/>
      <c r="AXP312" s="135"/>
      <c r="AXQ312" s="135"/>
      <c r="AXR312" s="173"/>
      <c r="AXS312" s="173"/>
      <c r="AXT312" s="173"/>
      <c r="AXU312" s="173"/>
      <c r="AXV312" s="173"/>
      <c r="AXW312" s="173"/>
      <c r="AXX312" s="173"/>
      <c r="AXY312" s="173"/>
      <c r="AXZ312" s="173"/>
      <c r="AYA312" s="173"/>
      <c r="AYB312" s="125"/>
      <c r="AYC312" s="125"/>
      <c r="AYD312" s="134"/>
      <c r="AYE312" s="135"/>
      <c r="AYF312" s="135"/>
      <c r="AYG312" s="135"/>
      <c r="AYH312" s="135"/>
      <c r="AYI312" s="173"/>
      <c r="AYJ312" s="173"/>
      <c r="AYK312" s="173"/>
      <c r="AYL312" s="173"/>
      <c r="AYM312" s="173"/>
      <c r="AYN312" s="173"/>
      <c r="AYO312" s="173"/>
      <c r="AYP312" s="173"/>
      <c r="AYQ312" s="173"/>
      <c r="AYR312" s="173"/>
      <c r="AYS312" s="125"/>
      <c r="AYT312" s="125"/>
      <c r="AYU312" s="134"/>
      <c r="AYV312" s="135"/>
      <c r="AYW312" s="135"/>
      <c r="AYX312" s="135"/>
      <c r="AYY312" s="135"/>
      <c r="AYZ312" s="173"/>
      <c r="AZA312" s="173"/>
      <c r="AZB312" s="173"/>
      <c r="AZC312" s="173"/>
      <c r="AZD312" s="173"/>
      <c r="AZE312" s="173"/>
      <c r="AZF312" s="173"/>
      <c r="AZG312" s="173"/>
      <c r="AZH312" s="173"/>
      <c r="AZI312" s="173"/>
      <c r="AZJ312" s="125"/>
      <c r="AZK312" s="125"/>
      <c r="AZL312" s="134"/>
      <c r="AZM312" s="135"/>
      <c r="AZN312" s="135"/>
      <c r="AZO312" s="135"/>
      <c r="AZP312" s="135"/>
      <c r="AZQ312" s="173"/>
      <c r="AZR312" s="173"/>
      <c r="AZS312" s="173"/>
      <c r="AZT312" s="173"/>
      <c r="AZU312" s="173"/>
      <c r="AZV312" s="173"/>
      <c r="AZW312" s="173"/>
      <c r="AZX312" s="173"/>
      <c r="AZY312" s="173"/>
      <c r="AZZ312" s="173"/>
      <c r="BAA312" s="125"/>
      <c r="BAB312" s="125"/>
      <c r="BAC312" s="134"/>
      <c r="BAD312" s="135"/>
      <c r="BAE312" s="135"/>
      <c r="BAF312" s="135"/>
      <c r="BAG312" s="135"/>
      <c r="BAH312" s="173"/>
      <c r="BAI312" s="173"/>
      <c r="BAJ312" s="173"/>
      <c r="BAK312" s="173"/>
      <c r="BAL312" s="173"/>
      <c r="BAM312" s="173"/>
      <c r="BAN312" s="173"/>
      <c r="BAO312" s="173"/>
      <c r="BAP312" s="173"/>
      <c r="BAQ312" s="173"/>
      <c r="BAR312" s="125"/>
      <c r="BAS312" s="125"/>
      <c r="BAT312" s="134"/>
      <c r="BAU312" s="135"/>
      <c r="BAV312" s="135"/>
      <c r="BAW312" s="135"/>
      <c r="BAX312" s="135"/>
      <c r="BAY312" s="173"/>
      <c r="BAZ312" s="173"/>
      <c r="BBA312" s="173"/>
      <c r="BBB312" s="173"/>
      <c r="BBC312" s="173"/>
      <c r="BBD312" s="173"/>
      <c r="BBE312" s="173"/>
      <c r="BBF312" s="173"/>
      <c r="BBG312" s="173"/>
      <c r="BBH312" s="173"/>
      <c r="BBI312" s="125"/>
      <c r="BBJ312" s="125"/>
      <c r="BBK312" s="134"/>
      <c r="BBL312" s="135"/>
      <c r="BBM312" s="135"/>
      <c r="BBN312" s="135"/>
      <c r="BBO312" s="135"/>
      <c r="BBP312" s="173"/>
      <c r="BBQ312" s="173"/>
      <c r="BBR312" s="173"/>
      <c r="BBS312" s="173"/>
      <c r="BBT312" s="173"/>
      <c r="BBU312" s="173"/>
      <c r="BBV312" s="173"/>
      <c r="BBW312" s="173"/>
      <c r="BBX312" s="173"/>
      <c r="BBY312" s="173"/>
      <c r="BBZ312" s="125"/>
      <c r="BCA312" s="125"/>
      <c r="BCB312" s="134"/>
      <c r="BCC312" s="135"/>
      <c r="BCD312" s="135"/>
      <c r="BCE312" s="135"/>
      <c r="BCF312" s="135"/>
      <c r="BCG312" s="173"/>
      <c r="BCH312" s="173"/>
      <c r="BCI312" s="173"/>
      <c r="BCJ312" s="173"/>
      <c r="BCK312" s="173"/>
      <c r="BCL312" s="173"/>
      <c r="BCM312" s="173"/>
      <c r="BCN312" s="173"/>
      <c r="BCO312" s="173"/>
      <c r="BCP312" s="173"/>
      <c r="BCQ312" s="125"/>
      <c r="BCR312" s="125"/>
      <c r="BCS312" s="134"/>
      <c r="BCT312" s="135"/>
      <c r="BCU312" s="135"/>
      <c r="BCV312" s="135"/>
      <c r="BCW312" s="135"/>
      <c r="BCX312" s="173"/>
      <c r="BCY312" s="173"/>
      <c r="BCZ312" s="173"/>
      <c r="BDA312" s="173"/>
      <c r="BDB312" s="173"/>
      <c r="BDC312" s="173"/>
      <c r="BDD312" s="173"/>
      <c r="BDE312" s="173"/>
      <c r="BDF312" s="173"/>
      <c r="BDG312" s="173"/>
      <c r="BDH312" s="125"/>
      <c r="BDI312" s="125"/>
      <c r="BDJ312" s="134"/>
      <c r="BDK312" s="135"/>
      <c r="BDL312" s="135"/>
      <c r="BDM312" s="135"/>
      <c r="BDN312" s="135"/>
      <c r="BDO312" s="173"/>
      <c r="BDP312" s="173"/>
      <c r="BDQ312" s="173"/>
      <c r="BDR312" s="173"/>
      <c r="BDS312" s="173"/>
      <c r="BDT312" s="173"/>
      <c r="BDU312" s="173"/>
      <c r="BDV312" s="173"/>
      <c r="BDW312" s="173"/>
      <c r="BDX312" s="173"/>
      <c r="BDY312" s="125"/>
      <c r="BDZ312" s="125"/>
      <c r="BEA312" s="134"/>
      <c r="BEB312" s="135"/>
      <c r="BEC312" s="135"/>
      <c r="BED312" s="135"/>
      <c r="BEE312" s="135"/>
      <c r="BEF312" s="173"/>
      <c r="BEG312" s="173"/>
      <c r="BEH312" s="173"/>
      <c r="BEI312" s="173"/>
      <c r="BEJ312" s="173"/>
      <c r="BEK312" s="173"/>
      <c r="BEL312" s="173"/>
      <c r="BEM312" s="173"/>
      <c r="BEN312" s="173"/>
      <c r="BEO312" s="173"/>
      <c r="BEP312" s="125"/>
      <c r="BEQ312" s="125"/>
      <c r="BER312" s="134"/>
      <c r="BES312" s="135"/>
      <c r="BET312" s="135"/>
      <c r="BEU312" s="135"/>
      <c r="BEV312" s="135"/>
      <c r="BEW312" s="173"/>
      <c r="BEX312" s="173"/>
      <c r="BEY312" s="173"/>
      <c r="BEZ312" s="173"/>
      <c r="BFA312" s="173"/>
      <c r="BFB312" s="173"/>
      <c r="BFC312" s="173"/>
      <c r="BFD312" s="173"/>
      <c r="BFE312" s="173"/>
      <c r="BFF312" s="173"/>
      <c r="BFG312" s="125"/>
      <c r="BFH312" s="125"/>
      <c r="BFI312" s="134"/>
      <c r="BFJ312" s="135"/>
      <c r="BFK312" s="135"/>
      <c r="BFL312" s="135"/>
      <c r="BFM312" s="135"/>
      <c r="BFN312" s="173"/>
      <c r="BFO312" s="173"/>
      <c r="BFP312" s="173"/>
      <c r="BFQ312" s="173"/>
      <c r="BFR312" s="173"/>
      <c r="BFS312" s="173"/>
      <c r="BFT312" s="173"/>
      <c r="BFU312" s="173"/>
      <c r="BFV312" s="173"/>
      <c r="BFW312" s="173"/>
      <c r="BFX312" s="125"/>
      <c r="BFY312" s="125"/>
      <c r="BFZ312" s="134"/>
      <c r="BGA312" s="135"/>
      <c r="BGB312" s="135"/>
      <c r="BGC312" s="135"/>
      <c r="BGD312" s="135"/>
      <c r="BGE312" s="173"/>
      <c r="BGF312" s="173"/>
      <c r="BGG312" s="173"/>
      <c r="BGH312" s="173"/>
      <c r="BGI312" s="173"/>
      <c r="BGJ312" s="173"/>
      <c r="BGK312" s="173"/>
      <c r="BGL312" s="173"/>
      <c r="BGM312" s="173"/>
      <c r="BGN312" s="173"/>
      <c r="BGO312" s="125"/>
      <c r="BGP312" s="125"/>
      <c r="BGQ312" s="134"/>
      <c r="BGR312" s="135"/>
      <c r="BGS312" s="135"/>
      <c r="BGT312" s="135"/>
      <c r="BGU312" s="135"/>
      <c r="BGV312" s="173"/>
      <c r="BGW312" s="173"/>
      <c r="BGX312" s="173"/>
      <c r="BGY312" s="173"/>
      <c r="BGZ312" s="173"/>
      <c r="BHA312" s="173"/>
      <c r="BHB312" s="173"/>
      <c r="BHC312" s="173"/>
      <c r="BHD312" s="173"/>
      <c r="BHE312" s="173"/>
      <c r="BHF312" s="125"/>
      <c r="BHG312" s="125"/>
      <c r="BHH312" s="134"/>
      <c r="BHI312" s="135"/>
      <c r="BHJ312" s="135"/>
      <c r="BHK312" s="135"/>
      <c r="BHL312" s="135"/>
      <c r="BHM312" s="173"/>
      <c r="BHN312" s="173"/>
      <c r="BHO312" s="173"/>
      <c r="BHP312" s="173"/>
      <c r="BHQ312" s="173"/>
      <c r="BHR312" s="173"/>
      <c r="BHS312" s="173"/>
      <c r="BHT312" s="173"/>
      <c r="BHU312" s="173"/>
      <c r="BHV312" s="173"/>
      <c r="BHW312" s="125"/>
      <c r="BHX312" s="125"/>
      <c r="BHY312" s="134"/>
      <c r="BHZ312" s="135"/>
      <c r="BIA312" s="135"/>
      <c r="BIB312" s="135"/>
      <c r="BIC312" s="135"/>
      <c r="BID312" s="173"/>
      <c r="BIE312" s="173"/>
      <c r="BIF312" s="173"/>
      <c r="BIG312" s="173"/>
      <c r="BIH312" s="173"/>
      <c r="BII312" s="173"/>
      <c r="BIJ312" s="173"/>
      <c r="BIK312" s="173"/>
      <c r="BIL312" s="173"/>
      <c r="BIM312" s="173"/>
      <c r="BIN312" s="125"/>
      <c r="BIO312" s="125"/>
      <c r="BIP312" s="134"/>
      <c r="BIQ312" s="135"/>
      <c r="BIR312" s="135"/>
      <c r="BIS312" s="135"/>
      <c r="BIT312" s="135"/>
      <c r="BIU312" s="173"/>
      <c r="BIV312" s="173"/>
      <c r="BIW312" s="173"/>
      <c r="BIX312" s="173"/>
      <c r="BIY312" s="173"/>
      <c r="BIZ312" s="173"/>
      <c r="BJA312" s="173"/>
      <c r="BJB312" s="173"/>
      <c r="BJC312" s="173"/>
      <c r="BJD312" s="173"/>
      <c r="BJE312" s="125"/>
      <c r="BJF312" s="125"/>
      <c r="BJG312" s="134"/>
      <c r="BJH312" s="135"/>
      <c r="BJI312" s="135"/>
      <c r="BJJ312" s="135"/>
      <c r="BJK312" s="135"/>
      <c r="BJL312" s="173"/>
      <c r="BJM312" s="173"/>
      <c r="BJN312" s="173"/>
      <c r="BJO312" s="173"/>
      <c r="BJP312" s="173"/>
      <c r="BJQ312" s="173"/>
      <c r="BJR312" s="173"/>
      <c r="BJS312" s="173"/>
      <c r="BJT312" s="173"/>
      <c r="BJU312" s="173"/>
      <c r="BJV312" s="125"/>
      <c r="BJW312" s="125"/>
      <c r="BJX312" s="134"/>
      <c r="BJY312" s="135"/>
      <c r="BJZ312" s="135"/>
      <c r="BKA312" s="135"/>
      <c r="BKB312" s="135"/>
      <c r="BKC312" s="173"/>
      <c r="BKD312" s="173"/>
      <c r="BKE312" s="173"/>
      <c r="BKF312" s="173"/>
      <c r="BKG312" s="173"/>
      <c r="BKH312" s="173"/>
      <c r="BKI312" s="173"/>
      <c r="BKJ312" s="173"/>
      <c r="BKK312" s="173"/>
      <c r="BKL312" s="173"/>
      <c r="BKM312" s="125"/>
      <c r="BKN312" s="125"/>
      <c r="BKO312" s="134"/>
      <c r="BKP312" s="135"/>
      <c r="BKQ312" s="135"/>
      <c r="BKR312" s="135"/>
      <c r="BKS312" s="135"/>
      <c r="BKT312" s="173"/>
      <c r="BKU312" s="173"/>
      <c r="BKV312" s="173"/>
      <c r="BKW312" s="173"/>
      <c r="BKX312" s="173"/>
      <c r="BKY312" s="173"/>
      <c r="BKZ312" s="173"/>
      <c r="BLA312" s="173"/>
      <c r="BLB312" s="173"/>
      <c r="BLC312" s="173"/>
      <c r="BLD312" s="125"/>
      <c r="BLE312" s="125"/>
      <c r="BLF312" s="134"/>
      <c r="BLG312" s="135"/>
      <c r="BLH312" s="135"/>
      <c r="BLI312" s="135"/>
      <c r="BLJ312" s="135"/>
      <c r="BLK312" s="173"/>
      <c r="BLL312" s="173"/>
      <c r="BLM312" s="173"/>
      <c r="BLN312" s="173"/>
      <c r="BLO312" s="173"/>
      <c r="BLP312" s="173"/>
      <c r="BLQ312" s="173"/>
      <c r="BLR312" s="173"/>
      <c r="BLS312" s="173"/>
      <c r="BLT312" s="173"/>
      <c r="BLU312" s="125"/>
      <c r="BLV312" s="125"/>
      <c r="BLW312" s="134"/>
      <c r="BLX312" s="135"/>
      <c r="BLY312" s="135"/>
      <c r="BLZ312" s="135"/>
      <c r="BMA312" s="135"/>
      <c r="BMB312" s="173"/>
      <c r="BMC312" s="173"/>
      <c r="BMD312" s="173"/>
      <c r="BME312" s="173"/>
      <c r="BMF312" s="173"/>
      <c r="BMG312" s="173"/>
      <c r="BMH312" s="173"/>
      <c r="BMI312" s="173"/>
      <c r="BMJ312" s="173"/>
      <c r="BMK312" s="173"/>
      <c r="BML312" s="125"/>
      <c r="BMM312" s="125"/>
      <c r="BMN312" s="134"/>
      <c r="BMO312" s="135"/>
      <c r="BMP312" s="135"/>
      <c r="BMQ312" s="135"/>
      <c r="BMR312" s="135"/>
      <c r="BMS312" s="173"/>
      <c r="BMT312" s="173"/>
      <c r="BMU312" s="173"/>
      <c r="BMV312" s="173"/>
      <c r="BMW312" s="173"/>
      <c r="BMX312" s="173"/>
      <c r="BMY312" s="173"/>
      <c r="BMZ312" s="173"/>
      <c r="BNA312" s="173"/>
      <c r="BNB312" s="173"/>
      <c r="BNC312" s="125"/>
      <c r="BND312" s="125"/>
      <c r="BNE312" s="134"/>
      <c r="BNF312" s="135"/>
      <c r="BNG312" s="135"/>
      <c r="BNH312" s="135"/>
      <c r="BNI312" s="135"/>
      <c r="BNJ312" s="173"/>
      <c r="BNK312" s="173"/>
      <c r="BNL312" s="173"/>
      <c r="BNM312" s="173"/>
      <c r="BNN312" s="173"/>
      <c r="BNO312" s="173"/>
      <c r="BNP312" s="173"/>
      <c r="BNQ312" s="173"/>
      <c r="BNR312" s="173"/>
      <c r="BNS312" s="173"/>
      <c r="BNT312" s="125"/>
      <c r="BNU312" s="125"/>
      <c r="BNV312" s="134"/>
      <c r="BNW312" s="135"/>
      <c r="BNX312" s="135"/>
      <c r="BNY312" s="135"/>
      <c r="BNZ312" s="135"/>
      <c r="BOA312" s="173"/>
      <c r="BOB312" s="173"/>
      <c r="BOC312" s="173"/>
      <c r="BOD312" s="173"/>
      <c r="BOE312" s="173"/>
      <c r="BOF312" s="173"/>
      <c r="BOG312" s="173"/>
      <c r="BOH312" s="173"/>
      <c r="BOI312" s="173"/>
      <c r="BOJ312" s="173"/>
      <c r="BOK312" s="125"/>
      <c r="BOL312" s="125"/>
      <c r="BOM312" s="134"/>
      <c r="BON312" s="135"/>
      <c r="BOO312" s="135"/>
      <c r="BOP312" s="135"/>
      <c r="BOQ312" s="135"/>
      <c r="BOR312" s="173"/>
      <c r="BOS312" s="173"/>
      <c r="BOT312" s="173"/>
      <c r="BOU312" s="173"/>
      <c r="BOV312" s="173"/>
      <c r="BOW312" s="173"/>
      <c r="BOX312" s="173"/>
      <c r="BOY312" s="173"/>
      <c r="BOZ312" s="173"/>
      <c r="BPA312" s="173"/>
      <c r="BPB312" s="125"/>
      <c r="BPC312" s="125"/>
      <c r="BPD312" s="134"/>
      <c r="BPE312" s="135"/>
      <c r="BPF312" s="135"/>
      <c r="BPG312" s="135"/>
      <c r="BPH312" s="135"/>
      <c r="BPI312" s="173"/>
      <c r="BPJ312" s="173"/>
      <c r="BPK312" s="173"/>
      <c r="BPL312" s="173"/>
      <c r="BPM312" s="173"/>
      <c r="BPN312" s="173"/>
      <c r="BPO312" s="173"/>
      <c r="BPP312" s="173"/>
      <c r="BPQ312" s="173"/>
      <c r="BPR312" s="173"/>
      <c r="BPS312" s="125"/>
      <c r="BPT312" s="125"/>
      <c r="BPU312" s="134"/>
      <c r="BPV312" s="135"/>
      <c r="BPW312" s="135"/>
      <c r="BPX312" s="135"/>
      <c r="BPY312" s="135"/>
      <c r="BPZ312" s="173"/>
      <c r="BQA312" s="173"/>
      <c r="BQB312" s="173"/>
      <c r="BQC312" s="173"/>
      <c r="BQD312" s="173"/>
      <c r="BQE312" s="173"/>
      <c r="BQF312" s="173"/>
      <c r="BQG312" s="173"/>
      <c r="BQH312" s="173"/>
      <c r="BQI312" s="173"/>
      <c r="BQJ312" s="125"/>
      <c r="BQK312" s="125"/>
      <c r="BQL312" s="134"/>
      <c r="BQM312" s="135"/>
      <c r="BQN312" s="135"/>
      <c r="BQO312" s="135"/>
      <c r="BQP312" s="135"/>
      <c r="BQQ312" s="173"/>
      <c r="BQR312" s="173"/>
      <c r="BQS312" s="173"/>
      <c r="BQT312" s="173"/>
      <c r="BQU312" s="173"/>
      <c r="BQV312" s="173"/>
      <c r="BQW312" s="173"/>
      <c r="BQX312" s="173"/>
      <c r="BQY312" s="173"/>
      <c r="BQZ312" s="173"/>
      <c r="BRA312" s="125"/>
      <c r="BRB312" s="125"/>
      <c r="BRC312" s="134"/>
      <c r="BRD312" s="135"/>
      <c r="BRE312" s="135"/>
      <c r="BRF312" s="135"/>
      <c r="BRG312" s="135"/>
      <c r="BRH312" s="173"/>
      <c r="BRI312" s="173"/>
      <c r="BRJ312" s="173"/>
      <c r="BRK312" s="173"/>
      <c r="BRL312" s="173"/>
      <c r="BRM312" s="173"/>
      <c r="BRN312" s="173"/>
      <c r="BRO312" s="173"/>
      <c r="BRP312" s="173"/>
      <c r="BRQ312" s="173"/>
      <c r="BRR312" s="125"/>
      <c r="BRS312" s="125"/>
      <c r="BRT312" s="134"/>
      <c r="BRU312" s="135"/>
      <c r="BRV312" s="135"/>
      <c r="BRW312" s="135"/>
      <c r="BRX312" s="135"/>
      <c r="BRY312" s="173"/>
      <c r="BRZ312" s="173"/>
      <c r="BSA312" s="173"/>
      <c r="BSB312" s="173"/>
      <c r="BSC312" s="173"/>
      <c r="BSD312" s="173"/>
      <c r="BSE312" s="173"/>
      <c r="BSF312" s="173"/>
      <c r="BSG312" s="173"/>
      <c r="BSH312" s="173"/>
      <c r="BSI312" s="125"/>
      <c r="BSJ312" s="125"/>
      <c r="BSK312" s="134"/>
      <c r="BSL312" s="135"/>
      <c r="BSM312" s="135"/>
      <c r="BSN312" s="135"/>
      <c r="BSO312" s="135"/>
      <c r="BSP312" s="173"/>
      <c r="BSQ312" s="173"/>
      <c r="BSR312" s="173"/>
      <c r="BSS312" s="173"/>
      <c r="BST312" s="173"/>
      <c r="BSU312" s="173"/>
      <c r="BSV312" s="173"/>
      <c r="BSW312" s="173"/>
      <c r="BSX312" s="173"/>
      <c r="BSY312" s="173"/>
      <c r="BSZ312" s="125"/>
      <c r="BTA312" s="125"/>
      <c r="BTB312" s="134"/>
      <c r="BTC312" s="135"/>
      <c r="BTD312" s="135"/>
      <c r="BTE312" s="135"/>
      <c r="BTF312" s="135"/>
      <c r="BTG312" s="173"/>
      <c r="BTH312" s="173"/>
      <c r="BTI312" s="173"/>
      <c r="BTJ312" s="173"/>
      <c r="BTK312" s="173"/>
      <c r="BTL312" s="173"/>
      <c r="BTM312" s="173"/>
      <c r="BTN312" s="173"/>
      <c r="BTO312" s="173"/>
      <c r="BTP312" s="173"/>
      <c r="BTQ312" s="125"/>
      <c r="BTR312" s="125"/>
      <c r="BTS312" s="134"/>
      <c r="BTT312" s="135"/>
      <c r="BTU312" s="135"/>
      <c r="BTV312" s="135"/>
      <c r="BTW312" s="135"/>
      <c r="BTX312" s="173"/>
      <c r="BTY312" s="173"/>
      <c r="BTZ312" s="173"/>
      <c r="BUA312" s="173"/>
      <c r="BUB312" s="173"/>
      <c r="BUC312" s="173"/>
      <c r="BUD312" s="173"/>
      <c r="BUE312" s="173"/>
      <c r="BUF312" s="173"/>
      <c r="BUG312" s="173"/>
      <c r="BUH312" s="125"/>
      <c r="BUI312" s="125"/>
      <c r="BUJ312" s="134"/>
      <c r="BUK312" s="135"/>
      <c r="BUL312" s="135"/>
      <c r="BUM312" s="135"/>
      <c r="BUN312" s="135"/>
      <c r="BUO312" s="173"/>
      <c r="BUP312" s="173"/>
      <c r="BUQ312" s="173"/>
      <c r="BUR312" s="173"/>
      <c r="BUS312" s="173"/>
      <c r="BUT312" s="173"/>
      <c r="BUU312" s="173"/>
      <c r="BUV312" s="173"/>
      <c r="BUW312" s="173"/>
      <c r="BUX312" s="173"/>
      <c r="BUY312" s="125"/>
      <c r="BUZ312" s="125"/>
      <c r="BVA312" s="134"/>
      <c r="BVB312" s="135"/>
      <c r="BVC312" s="135"/>
      <c r="BVD312" s="135"/>
      <c r="BVE312" s="135"/>
      <c r="BVF312" s="173"/>
      <c r="BVG312" s="173"/>
      <c r="BVH312" s="173"/>
      <c r="BVI312" s="173"/>
      <c r="BVJ312" s="173"/>
      <c r="BVK312" s="173"/>
      <c r="BVL312" s="173"/>
      <c r="BVM312" s="173"/>
      <c r="BVN312" s="173"/>
      <c r="BVO312" s="173"/>
      <c r="BVP312" s="125"/>
      <c r="BVQ312" s="125"/>
      <c r="BVR312" s="134"/>
      <c r="BVS312" s="135"/>
      <c r="BVT312" s="135"/>
      <c r="BVU312" s="135"/>
      <c r="BVV312" s="135"/>
      <c r="BVW312" s="173"/>
      <c r="BVX312" s="173"/>
      <c r="BVY312" s="173"/>
      <c r="BVZ312" s="173"/>
      <c r="BWA312" s="173"/>
      <c r="BWB312" s="173"/>
      <c r="BWC312" s="173"/>
      <c r="BWD312" s="173"/>
      <c r="BWE312" s="173"/>
      <c r="BWF312" s="173"/>
      <c r="BWG312" s="125"/>
      <c r="BWH312" s="125"/>
      <c r="BWI312" s="134"/>
      <c r="BWJ312" s="135"/>
      <c r="BWK312" s="135"/>
      <c r="BWL312" s="135"/>
      <c r="BWM312" s="135"/>
      <c r="BWN312" s="173"/>
      <c r="BWO312" s="173"/>
      <c r="BWP312" s="173"/>
      <c r="BWQ312" s="173"/>
      <c r="BWR312" s="173"/>
      <c r="BWS312" s="173"/>
      <c r="BWT312" s="173"/>
      <c r="BWU312" s="173"/>
      <c r="BWV312" s="173"/>
      <c r="BWW312" s="173"/>
      <c r="BWX312" s="125"/>
      <c r="BWY312" s="125"/>
      <c r="BWZ312" s="134"/>
      <c r="BXA312" s="135"/>
      <c r="BXB312" s="135"/>
      <c r="BXC312" s="135"/>
      <c r="BXD312" s="135"/>
      <c r="BXE312" s="173"/>
      <c r="BXF312" s="173"/>
      <c r="BXG312" s="173"/>
      <c r="BXH312" s="173"/>
      <c r="BXI312" s="173"/>
      <c r="BXJ312" s="173"/>
      <c r="BXK312" s="173"/>
      <c r="BXL312" s="173"/>
      <c r="BXM312" s="173"/>
      <c r="BXN312" s="173"/>
      <c r="BXO312" s="125"/>
      <c r="BXP312" s="125"/>
      <c r="BXQ312" s="134"/>
      <c r="BXR312" s="135"/>
      <c r="BXS312" s="135"/>
      <c r="BXT312" s="135"/>
      <c r="BXU312" s="135"/>
      <c r="BXV312" s="173"/>
      <c r="BXW312" s="173"/>
      <c r="BXX312" s="173"/>
      <c r="BXY312" s="173"/>
      <c r="BXZ312" s="173"/>
      <c r="BYA312" s="173"/>
      <c r="BYB312" s="173"/>
      <c r="BYC312" s="173"/>
      <c r="BYD312" s="173"/>
      <c r="BYE312" s="173"/>
      <c r="BYF312" s="125"/>
      <c r="BYG312" s="125"/>
      <c r="BYH312" s="134"/>
      <c r="BYI312" s="135"/>
      <c r="BYJ312" s="135"/>
      <c r="BYK312" s="135"/>
      <c r="BYL312" s="135"/>
      <c r="BYM312" s="173"/>
      <c r="BYN312" s="173"/>
      <c r="BYO312" s="173"/>
      <c r="BYP312" s="173"/>
      <c r="BYQ312" s="173"/>
      <c r="BYR312" s="173"/>
      <c r="BYS312" s="173"/>
      <c r="BYT312" s="173"/>
      <c r="BYU312" s="173"/>
      <c r="BYV312" s="173"/>
      <c r="BYW312" s="125"/>
      <c r="BYX312" s="125"/>
      <c r="BYY312" s="134"/>
      <c r="BYZ312" s="135"/>
      <c r="BZA312" s="135"/>
      <c r="BZB312" s="135"/>
      <c r="BZC312" s="135"/>
      <c r="BZD312" s="173"/>
      <c r="BZE312" s="173"/>
      <c r="BZF312" s="173"/>
      <c r="BZG312" s="173"/>
      <c r="BZH312" s="173"/>
      <c r="BZI312" s="173"/>
      <c r="BZJ312" s="173"/>
      <c r="BZK312" s="173"/>
      <c r="BZL312" s="173"/>
      <c r="BZM312" s="173"/>
      <c r="BZN312" s="125"/>
      <c r="BZO312" s="125"/>
      <c r="BZP312" s="134"/>
      <c r="BZQ312" s="135"/>
      <c r="BZR312" s="135"/>
      <c r="BZS312" s="135"/>
      <c r="BZT312" s="135"/>
      <c r="BZU312" s="173"/>
      <c r="BZV312" s="173"/>
      <c r="BZW312" s="173"/>
      <c r="BZX312" s="173"/>
      <c r="BZY312" s="173"/>
      <c r="BZZ312" s="173"/>
      <c r="CAA312" s="173"/>
      <c r="CAB312" s="173"/>
      <c r="CAC312" s="173"/>
      <c r="CAD312" s="173"/>
      <c r="CAE312" s="125"/>
      <c r="CAF312" s="125"/>
      <c r="CAG312" s="134"/>
      <c r="CAH312" s="135"/>
      <c r="CAI312" s="135"/>
      <c r="CAJ312" s="135"/>
      <c r="CAK312" s="135"/>
      <c r="CAL312" s="173"/>
      <c r="CAM312" s="173"/>
      <c r="CAN312" s="173"/>
      <c r="CAO312" s="173"/>
      <c r="CAP312" s="173"/>
      <c r="CAQ312" s="173"/>
      <c r="CAR312" s="173"/>
      <c r="CAS312" s="173"/>
      <c r="CAT312" s="173"/>
      <c r="CAU312" s="173"/>
      <c r="CAV312" s="125"/>
      <c r="CAW312" s="125"/>
      <c r="CAX312" s="134"/>
      <c r="CAY312" s="135"/>
      <c r="CAZ312" s="135"/>
      <c r="CBA312" s="135"/>
      <c r="CBB312" s="135"/>
      <c r="CBC312" s="173"/>
      <c r="CBD312" s="173"/>
      <c r="CBE312" s="173"/>
      <c r="CBF312" s="173"/>
      <c r="CBG312" s="173"/>
      <c r="CBH312" s="173"/>
      <c r="CBI312" s="173"/>
      <c r="CBJ312" s="173"/>
      <c r="CBK312" s="173"/>
      <c r="CBL312" s="173"/>
      <c r="CBM312" s="125"/>
      <c r="CBN312" s="125"/>
      <c r="CBO312" s="134"/>
      <c r="CBP312" s="135"/>
      <c r="CBQ312" s="135"/>
      <c r="CBR312" s="135"/>
      <c r="CBS312" s="135"/>
      <c r="CBT312" s="173"/>
      <c r="CBU312" s="173"/>
      <c r="CBV312" s="173"/>
      <c r="CBW312" s="173"/>
      <c r="CBX312" s="173"/>
      <c r="CBY312" s="173"/>
      <c r="CBZ312" s="173"/>
      <c r="CCA312" s="173"/>
      <c r="CCB312" s="173"/>
      <c r="CCC312" s="173"/>
      <c r="CCD312" s="125"/>
      <c r="CCE312" s="125"/>
      <c r="CCF312" s="134"/>
      <c r="CCG312" s="135"/>
      <c r="CCH312" s="135"/>
      <c r="CCI312" s="135"/>
      <c r="CCJ312" s="135"/>
      <c r="CCK312" s="173"/>
      <c r="CCL312" s="173"/>
      <c r="CCM312" s="173"/>
      <c r="CCN312" s="173"/>
      <c r="CCO312" s="173"/>
      <c r="CCP312" s="173"/>
      <c r="CCQ312" s="173"/>
      <c r="CCR312" s="173"/>
      <c r="CCS312" s="173"/>
      <c r="CCT312" s="173"/>
      <c r="CCU312" s="125"/>
      <c r="CCV312" s="125"/>
      <c r="CCW312" s="134"/>
      <c r="CCX312" s="135"/>
      <c r="CCY312" s="135"/>
      <c r="CCZ312" s="135"/>
      <c r="CDA312" s="135"/>
      <c r="CDB312" s="173"/>
      <c r="CDC312" s="173"/>
      <c r="CDD312" s="173"/>
      <c r="CDE312" s="173"/>
      <c r="CDF312" s="173"/>
      <c r="CDG312" s="173"/>
      <c r="CDH312" s="173"/>
      <c r="CDI312" s="173"/>
      <c r="CDJ312" s="173"/>
      <c r="CDK312" s="173"/>
      <c r="CDL312" s="125"/>
      <c r="CDM312" s="125"/>
      <c r="CDN312" s="134"/>
      <c r="CDO312" s="135"/>
      <c r="CDP312" s="135"/>
      <c r="CDQ312" s="135"/>
      <c r="CDR312" s="135"/>
      <c r="CDS312" s="173"/>
      <c r="CDT312" s="173"/>
      <c r="CDU312" s="173"/>
      <c r="CDV312" s="173"/>
      <c r="CDW312" s="173"/>
      <c r="CDX312" s="173"/>
      <c r="CDY312" s="173"/>
      <c r="CDZ312" s="173"/>
      <c r="CEA312" s="173"/>
      <c r="CEB312" s="173"/>
      <c r="CEC312" s="125"/>
      <c r="CED312" s="125"/>
      <c r="CEE312" s="134"/>
      <c r="CEF312" s="135"/>
      <c r="CEG312" s="135"/>
      <c r="CEH312" s="135"/>
      <c r="CEI312" s="135"/>
      <c r="CEJ312" s="173"/>
      <c r="CEK312" s="173"/>
      <c r="CEL312" s="173"/>
      <c r="CEM312" s="173"/>
      <c r="CEN312" s="173"/>
      <c r="CEO312" s="173"/>
      <c r="CEP312" s="173"/>
      <c r="CEQ312" s="173"/>
      <c r="CER312" s="173"/>
      <c r="CES312" s="173"/>
      <c r="CET312" s="125"/>
      <c r="CEU312" s="125"/>
      <c r="CEV312" s="134"/>
      <c r="CEW312" s="135"/>
      <c r="CEX312" s="135"/>
      <c r="CEY312" s="135"/>
      <c r="CEZ312" s="135"/>
      <c r="CFA312" s="173"/>
      <c r="CFB312" s="173"/>
      <c r="CFC312" s="173"/>
      <c r="CFD312" s="173"/>
      <c r="CFE312" s="173"/>
      <c r="CFF312" s="173"/>
      <c r="CFG312" s="173"/>
      <c r="CFH312" s="173"/>
      <c r="CFI312" s="173"/>
      <c r="CFJ312" s="173"/>
      <c r="CFK312" s="125"/>
      <c r="CFL312" s="125"/>
      <c r="CFM312" s="134"/>
      <c r="CFN312" s="135"/>
      <c r="CFO312" s="135"/>
      <c r="CFP312" s="135"/>
      <c r="CFQ312" s="135"/>
      <c r="CFR312" s="173"/>
      <c r="CFS312" s="173"/>
      <c r="CFT312" s="173"/>
      <c r="CFU312" s="173"/>
      <c r="CFV312" s="173"/>
      <c r="CFW312" s="173"/>
      <c r="CFX312" s="173"/>
      <c r="CFY312" s="173"/>
      <c r="CFZ312" s="173"/>
      <c r="CGA312" s="173"/>
      <c r="CGB312" s="125"/>
      <c r="CGC312" s="125"/>
      <c r="CGD312" s="134"/>
      <c r="CGE312" s="135"/>
      <c r="CGF312" s="135"/>
      <c r="CGG312" s="135"/>
      <c r="CGH312" s="135"/>
      <c r="CGI312" s="173"/>
      <c r="CGJ312" s="173"/>
      <c r="CGK312" s="173"/>
      <c r="CGL312" s="173"/>
      <c r="CGM312" s="173"/>
      <c r="CGN312" s="173"/>
      <c r="CGO312" s="173"/>
      <c r="CGP312" s="173"/>
      <c r="CGQ312" s="173"/>
      <c r="CGR312" s="173"/>
      <c r="CGS312" s="125"/>
      <c r="CGT312" s="125"/>
      <c r="CGU312" s="134"/>
      <c r="CGV312" s="135"/>
      <c r="CGW312" s="135"/>
      <c r="CGX312" s="135"/>
      <c r="CGY312" s="135"/>
      <c r="CGZ312" s="173"/>
      <c r="CHA312" s="173"/>
      <c r="CHB312" s="173"/>
      <c r="CHC312" s="173"/>
      <c r="CHD312" s="173"/>
      <c r="CHE312" s="173"/>
      <c r="CHF312" s="173"/>
      <c r="CHG312" s="173"/>
      <c r="CHH312" s="173"/>
      <c r="CHI312" s="173"/>
      <c r="CHJ312" s="125"/>
      <c r="CHK312" s="125"/>
      <c r="CHL312" s="134"/>
      <c r="CHM312" s="135"/>
      <c r="CHN312" s="135"/>
      <c r="CHO312" s="135"/>
      <c r="CHP312" s="135"/>
      <c r="CHQ312" s="173"/>
      <c r="CHR312" s="173"/>
      <c r="CHS312" s="173"/>
      <c r="CHT312" s="173"/>
      <c r="CHU312" s="173"/>
      <c r="CHV312" s="173"/>
      <c r="CHW312" s="173"/>
      <c r="CHX312" s="173"/>
      <c r="CHY312" s="173"/>
      <c r="CHZ312" s="173"/>
      <c r="CIA312" s="125"/>
      <c r="CIB312" s="125"/>
      <c r="CIC312" s="134"/>
      <c r="CID312" s="135"/>
      <c r="CIE312" s="135"/>
      <c r="CIF312" s="135"/>
      <c r="CIG312" s="135"/>
      <c r="CIH312" s="173"/>
      <c r="CII312" s="173"/>
      <c r="CIJ312" s="173"/>
      <c r="CIK312" s="173"/>
      <c r="CIL312" s="173"/>
      <c r="CIM312" s="173"/>
      <c r="CIN312" s="173"/>
      <c r="CIO312" s="173"/>
      <c r="CIP312" s="173"/>
      <c r="CIQ312" s="173"/>
      <c r="CIR312" s="125"/>
      <c r="CIS312" s="125"/>
      <c r="CIT312" s="134"/>
      <c r="CIU312" s="135"/>
      <c r="CIV312" s="135"/>
      <c r="CIW312" s="135"/>
      <c r="CIX312" s="135"/>
      <c r="CIY312" s="173"/>
      <c r="CIZ312" s="173"/>
      <c r="CJA312" s="173"/>
      <c r="CJB312" s="173"/>
      <c r="CJC312" s="173"/>
      <c r="CJD312" s="173"/>
      <c r="CJE312" s="173"/>
      <c r="CJF312" s="173"/>
      <c r="CJG312" s="173"/>
      <c r="CJH312" s="173"/>
      <c r="CJI312" s="125"/>
      <c r="CJJ312" s="125"/>
      <c r="CJK312" s="134"/>
      <c r="CJL312" s="135"/>
      <c r="CJM312" s="135"/>
      <c r="CJN312" s="135"/>
      <c r="CJO312" s="135"/>
      <c r="CJP312" s="173"/>
      <c r="CJQ312" s="173"/>
      <c r="CJR312" s="173"/>
      <c r="CJS312" s="173"/>
      <c r="CJT312" s="173"/>
      <c r="CJU312" s="173"/>
      <c r="CJV312" s="173"/>
      <c r="CJW312" s="173"/>
      <c r="CJX312" s="173"/>
      <c r="CJY312" s="173"/>
      <c r="CJZ312" s="125"/>
      <c r="CKA312" s="125"/>
      <c r="CKB312" s="134"/>
      <c r="CKC312" s="135"/>
      <c r="CKD312" s="135"/>
      <c r="CKE312" s="135"/>
      <c r="CKF312" s="135"/>
      <c r="CKG312" s="173"/>
      <c r="CKH312" s="173"/>
      <c r="CKI312" s="173"/>
      <c r="CKJ312" s="173"/>
      <c r="CKK312" s="173"/>
      <c r="CKL312" s="173"/>
      <c r="CKM312" s="173"/>
      <c r="CKN312" s="173"/>
      <c r="CKO312" s="173"/>
      <c r="CKP312" s="173"/>
      <c r="CKQ312" s="125"/>
      <c r="CKR312" s="125"/>
      <c r="CKS312" s="134"/>
      <c r="CKT312" s="135"/>
      <c r="CKU312" s="135"/>
      <c r="CKV312" s="135"/>
      <c r="CKW312" s="135"/>
      <c r="CKX312" s="173"/>
      <c r="CKY312" s="173"/>
      <c r="CKZ312" s="173"/>
      <c r="CLA312" s="173"/>
      <c r="CLB312" s="173"/>
      <c r="CLC312" s="173"/>
      <c r="CLD312" s="173"/>
      <c r="CLE312" s="173"/>
      <c r="CLF312" s="173"/>
      <c r="CLG312" s="173"/>
      <c r="CLH312" s="125"/>
      <c r="CLI312" s="125"/>
      <c r="CLJ312" s="134"/>
      <c r="CLK312" s="135"/>
      <c r="CLL312" s="135"/>
      <c r="CLM312" s="135"/>
      <c r="CLN312" s="135"/>
      <c r="CLO312" s="173"/>
      <c r="CLP312" s="173"/>
      <c r="CLQ312" s="173"/>
      <c r="CLR312" s="173"/>
      <c r="CLS312" s="173"/>
      <c r="CLT312" s="173"/>
      <c r="CLU312" s="173"/>
      <c r="CLV312" s="173"/>
      <c r="CLW312" s="173"/>
      <c r="CLX312" s="173"/>
      <c r="CLY312" s="125"/>
      <c r="CLZ312" s="125"/>
      <c r="CMA312" s="134"/>
      <c r="CMB312" s="135"/>
      <c r="CMC312" s="135"/>
      <c r="CMD312" s="135"/>
      <c r="CME312" s="135"/>
      <c r="CMF312" s="173"/>
      <c r="CMG312" s="173"/>
      <c r="CMH312" s="173"/>
      <c r="CMI312" s="173"/>
      <c r="CMJ312" s="173"/>
      <c r="CMK312" s="173"/>
      <c r="CML312" s="173"/>
      <c r="CMM312" s="173"/>
      <c r="CMN312" s="173"/>
      <c r="CMO312" s="173"/>
      <c r="CMP312" s="125"/>
      <c r="CMQ312" s="125"/>
      <c r="CMR312" s="134"/>
      <c r="CMS312" s="135"/>
      <c r="CMT312" s="135"/>
      <c r="CMU312" s="135"/>
      <c r="CMV312" s="135"/>
      <c r="CMW312" s="173"/>
      <c r="CMX312" s="173"/>
      <c r="CMY312" s="173"/>
      <c r="CMZ312" s="173"/>
      <c r="CNA312" s="173"/>
      <c r="CNB312" s="173"/>
      <c r="CNC312" s="173"/>
      <c r="CND312" s="173"/>
      <c r="CNE312" s="173"/>
      <c r="CNF312" s="173"/>
      <c r="CNG312" s="125"/>
      <c r="CNH312" s="125"/>
      <c r="CNI312" s="134"/>
      <c r="CNJ312" s="135"/>
      <c r="CNK312" s="135"/>
      <c r="CNL312" s="135"/>
      <c r="CNM312" s="135"/>
      <c r="CNN312" s="173"/>
      <c r="CNO312" s="173"/>
      <c r="CNP312" s="173"/>
      <c r="CNQ312" s="173"/>
      <c r="CNR312" s="173"/>
      <c r="CNS312" s="173"/>
      <c r="CNT312" s="173"/>
      <c r="CNU312" s="173"/>
      <c r="CNV312" s="173"/>
      <c r="CNW312" s="173"/>
      <c r="CNX312" s="125"/>
      <c r="CNY312" s="125"/>
      <c r="CNZ312" s="134"/>
      <c r="COA312" s="135"/>
      <c r="COB312" s="135"/>
      <c r="COC312" s="135"/>
      <c r="COD312" s="135"/>
      <c r="COE312" s="173"/>
      <c r="COF312" s="173"/>
      <c r="COG312" s="173"/>
      <c r="COH312" s="173"/>
      <c r="COI312" s="173"/>
      <c r="COJ312" s="173"/>
      <c r="COK312" s="173"/>
      <c r="COL312" s="173"/>
      <c r="COM312" s="173"/>
      <c r="CON312" s="173"/>
      <c r="COO312" s="125"/>
      <c r="COP312" s="125"/>
      <c r="COQ312" s="134"/>
      <c r="COR312" s="135"/>
      <c r="COS312" s="135"/>
      <c r="COT312" s="135"/>
      <c r="COU312" s="135"/>
      <c r="COV312" s="173"/>
      <c r="COW312" s="173"/>
      <c r="COX312" s="173"/>
      <c r="COY312" s="173"/>
      <c r="COZ312" s="173"/>
      <c r="CPA312" s="173"/>
      <c r="CPB312" s="173"/>
      <c r="CPC312" s="173"/>
      <c r="CPD312" s="173"/>
      <c r="CPE312" s="173"/>
      <c r="CPF312" s="125"/>
      <c r="CPG312" s="125"/>
      <c r="CPH312" s="134"/>
      <c r="CPI312" s="135"/>
      <c r="CPJ312" s="135"/>
      <c r="CPK312" s="135"/>
      <c r="CPL312" s="135"/>
      <c r="CPM312" s="173"/>
      <c r="CPN312" s="173"/>
      <c r="CPO312" s="173"/>
      <c r="CPP312" s="173"/>
      <c r="CPQ312" s="173"/>
      <c r="CPR312" s="173"/>
      <c r="CPS312" s="173"/>
      <c r="CPT312" s="173"/>
      <c r="CPU312" s="173"/>
      <c r="CPV312" s="173"/>
      <c r="CPW312" s="125"/>
      <c r="CPX312" s="125"/>
      <c r="CPY312" s="134"/>
      <c r="CPZ312" s="135"/>
      <c r="CQA312" s="135"/>
      <c r="CQB312" s="135"/>
      <c r="CQC312" s="135"/>
      <c r="CQD312" s="173"/>
      <c r="CQE312" s="173"/>
      <c r="CQF312" s="173"/>
      <c r="CQG312" s="173"/>
      <c r="CQH312" s="173"/>
      <c r="CQI312" s="173"/>
      <c r="CQJ312" s="173"/>
      <c r="CQK312" s="173"/>
      <c r="CQL312" s="173"/>
      <c r="CQM312" s="173"/>
      <c r="CQN312" s="125"/>
      <c r="CQO312" s="125"/>
      <c r="CQP312" s="134"/>
      <c r="CQQ312" s="135"/>
      <c r="CQR312" s="135"/>
      <c r="CQS312" s="135"/>
      <c r="CQT312" s="135"/>
      <c r="CQU312" s="173"/>
      <c r="CQV312" s="173"/>
      <c r="CQW312" s="173"/>
      <c r="CQX312" s="173"/>
      <c r="CQY312" s="173"/>
      <c r="CQZ312" s="173"/>
      <c r="CRA312" s="173"/>
      <c r="CRB312" s="173"/>
      <c r="CRC312" s="173"/>
      <c r="CRD312" s="173"/>
      <c r="CRE312" s="125"/>
      <c r="CRF312" s="125"/>
      <c r="CRG312" s="134"/>
      <c r="CRH312" s="135"/>
      <c r="CRI312" s="135"/>
      <c r="CRJ312" s="135"/>
      <c r="CRK312" s="135"/>
      <c r="CRL312" s="173"/>
      <c r="CRM312" s="173"/>
      <c r="CRN312" s="173"/>
      <c r="CRO312" s="173"/>
      <c r="CRP312" s="173"/>
      <c r="CRQ312" s="173"/>
      <c r="CRR312" s="173"/>
      <c r="CRS312" s="173"/>
      <c r="CRT312" s="173"/>
      <c r="CRU312" s="173"/>
      <c r="CRV312" s="125"/>
      <c r="CRW312" s="125"/>
      <c r="CRX312" s="134"/>
      <c r="CRY312" s="135"/>
      <c r="CRZ312" s="135"/>
      <c r="CSA312" s="135"/>
      <c r="CSB312" s="135"/>
      <c r="CSC312" s="173"/>
      <c r="CSD312" s="173"/>
      <c r="CSE312" s="173"/>
      <c r="CSF312" s="173"/>
      <c r="CSG312" s="173"/>
      <c r="CSH312" s="173"/>
      <c r="CSI312" s="173"/>
      <c r="CSJ312" s="173"/>
      <c r="CSK312" s="173"/>
      <c r="CSL312" s="173"/>
      <c r="CSM312" s="125"/>
      <c r="CSN312" s="125"/>
      <c r="CSO312" s="134"/>
      <c r="CSP312" s="135"/>
      <c r="CSQ312" s="135"/>
      <c r="CSR312" s="135"/>
      <c r="CSS312" s="135"/>
      <c r="CST312" s="173"/>
      <c r="CSU312" s="173"/>
      <c r="CSV312" s="173"/>
      <c r="CSW312" s="173"/>
      <c r="CSX312" s="173"/>
      <c r="CSY312" s="173"/>
      <c r="CSZ312" s="173"/>
      <c r="CTA312" s="173"/>
      <c r="CTB312" s="173"/>
      <c r="CTC312" s="173"/>
      <c r="CTD312" s="125"/>
      <c r="CTE312" s="125"/>
      <c r="CTF312" s="134"/>
      <c r="CTG312" s="135"/>
      <c r="CTH312" s="135"/>
      <c r="CTI312" s="135"/>
      <c r="CTJ312" s="135"/>
      <c r="CTK312" s="173"/>
      <c r="CTL312" s="173"/>
      <c r="CTM312" s="173"/>
      <c r="CTN312" s="173"/>
      <c r="CTO312" s="173"/>
      <c r="CTP312" s="173"/>
      <c r="CTQ312" s="173"/>
      <c r="CTR312" s="173"/>
      <c r="CTS312" s="173"/>
      <c r="CTT312" s="173"/>
      <c r="CTU312" s="125"/>
      <c r="CTV312" s="125"/>
      <c r="CTW312" s="134"/>
      <c r="CTX312" s="135"/>
      <c r="CTY312" s="135"/>
      <c r="CTZ312" s="135"/>
      <c r="CUA312" s="135"/>
      <c r="CUB312" s="173"/>
      <c r="CUC312" s="173"/>
      <c r="CUD312" s="173"/>
      <c r="CUE312" s="173"/>
      <c r="CUF312" s="173"/>
      <c r="CUG312" s="173"/>
      <c r="CUH312" s="173"/>
      <c r="CUI312" s="173"/>
      <c r="CUJ312" s="173"/>
      <c r="CUK312" s="173"/>
      <c r="CUL312" s="125"/>
      <c r="CUM312" s="125"/>
      <c r="CUN312" s="134"/>
      <c r="CUO312" s="135"/>
      <c r="CUP312" s="135"/>
      <c r="CUQ312" s="135"/>
      <c r="CUR312" s="135"/>
      <c r="CUS312" s="173"/>
      <c r="CUT312" s="173"/>
      <c r="CUU312" s="173"/>
      <c r="CUV312" s="173"/>
      <c r="CUW312" s="173"/>
      <c r="CUX312" s="173"/>
      <c r="CUY312" s="173"/>
      <c r="CUZ312" s="173"/>
      <c r="CVA312" s="173"/>
      <c r="CVB312" s="173"/>
      <c r="CVC312" s="125"/>
      <c r="CVD312" s="125"/>
      <c r="CVE312" s="134"/>
      <c r="CVF312" s="135"/>
      <c r="CVG312" s="135"/>
      <c r="CVH312" s="135"/>
      <c r="CVI312" s="135"/>
      <c r="CVJ312" s="173"/>
      <c r="CVK312" s="173"/>
      <c r="CVL312" s="173"/>
      <c r="CVM312" s="173"/>
      <c r="CVN312" s="173"/>
      <c r="CVO312" s="173"/>
      <c r="CVP312" s="173"/>
      <c r="CVQ312" s="173"/>
      <c r="CVR312" s="173"/>
      <c r="CVS312" s="173"/>
      <c r="CVT312" s="125"/>
      <c r="CVU312" s="125"/>
      <c r="CVV312" s="134"/>
      <c r="CVW312" s="135"/>
      <c r="CVX312" s="135"/>
      <c r="CVY312" s="135"/>
      <c r="CVZ312" s="135"/>
      <c r="CWA312" s="173"/>
      <c r="CWB312" s="173"/>
      <c r="CWC312" s="173"/>
      <c r="CWD312" s="173"/>
      <c r="CWE312" s="173"/>
      <c r="CWF312" s="173"/>
      <c r="CWG312" s="173"/>
      <c r="CWH312" s="173"/>
      <c r="CWI312" s="173"/>
      <c r="CWJ312" s="173"/>
      <c r="CWK312" s="125"/>
      <c r="CWL312" s="125"/>
      <c r="CWM312" s="134"/>
      <c r="CWN312" s="135"/>
      <c r="CWO312" s="135"/>
      <c r="CWP312" s="135"/>
      <c r="CWQ312" s="135"/>
      <c r="CWR312" s="173"/>
      <c r="CWS312" s="173"/>
      <c r="CWT312" s="173"/>
      <c r="CWU312" s="173"/>
      <c r="CWV312" s="173"/>
      <c r="CWW312" s="173"/>
      <c r="CWX312" s="173"/>
      <c r="CWY312" s="173"/>
      <c r="CWZ312" s="173"/>
      <c r="CXA312" s="173"/>
      <c r="CXB312" s="125"/>
      <c r="CXC312" s="125"/>
      <c r="CXD312" s="134"/>
      <c r="CXE312" s="135"/>
      <c r="CXF312" s="135"/>
      <c r="CXG312" s="135"/>
      <c r="CXH312" s="135"/>
      <c r="CXI312" s="173"/>
      <c r="CXJ312" s="173"/>
      <c r="CXK312" s="173"/>
      <c r="CXL312" s="173"/>
      <c r="CXM312" s="173"/>
      <c r="CXN312" s="173"/>
      <c r="CXO312" s="173"/>
      <c r="CXP312" s="173"/>
      <c r="CXQ312" s="173"/>
      <c r="CXR312" s="173"/>
      <c r="CXS312" s="125"/>
      <c r="CXT312" s="125"/>
      <c r="CXU312" s="134"/>
      <c r="CXV312" s="135"/>
      <c r="CXW312" s="135"/>
      <c r="CXX312" s="135"/>
      <c r="CXY312" s="135"/>
      <c r="CXZ312" s="173"/>
      <c r="CYA312" s="173"/>
      <c r="CYB312" s="173"/>
      <c r="CYC312" s="173"/>
      <c r="CYD312" s="173"/>
      <c r="CYE312" s="173"/>
      <c r="CYF312" s="173"/>
      <c r="CYG312" s="173"/>
      <c r="CYH312" s="173"/>
      <c r="CYI312" s="173"/>
      <c r="CYJ312" s="125"/>
      <c r="CYK312" s="125"/>
      <c r="CYL312" s="134"/>
      <c r="CYM312" s="135"/>
      <c r="CYN312" s="135"/>
      <c r="CYO312" s="135"/>
      <c r="CYP312" s="135"/>
      <c r="CYQ312" s="173"/>
      <c r="CYR312" s="173"/>
      <c r="CYS312" s="173"/>
      <c r="CYT312" s="173"/>
      <c r="CYU312" s="173"/>
      <c r="CYV312" s="173"/>
      <c r="CYW312" s="173"/>
      <c r="CYX312" s="173"/>
      <c r="CYY312" s="173"/>
      <c r="CYZ312" s="173"/>
      <c r="CZA312" s="125"/>
      <c r="CZB312" s="125"/>
      <c r="CZC312" s="134"/>
      <c r="CZD312" s="135"/>
      <c r="CZE312" s="135"/>
      <c r="CZF312" s="135"/>
      <c r="CZG312" s="135"/>
      <c r="CZH312" s="173"/>
      <c r="CZI312" s="173"/>
      <c r="CZJ312" s="173"/>
      <c r="CZK312" s="173"/>
      <c r="CZL312" s="173"/>
      <c r="CZM312" s="173"/>
      <c r="CZN312" s="173"/>
      <c r="CZO312" s="173"/>
      <c r="CZP312" s="173"/>
      <c r="CZQ312" s="173"/>
      <c r="CZR312" s="125"/>
      <c r="CZS312" s="125"/>
      <c r="CZT312" s="134"/>
      <c r="CZU312" s="135"/>
      <c r="CZV312" s="135"/>
      <c r="CZW312" s="135"/>
      <c r="CZX312" s="135"/>
      <c r="CZY312" s="173"/>
      <c r="CZZ312" s="173"/>
      <c r="DAA312" s="173"/>
      <c r="DAB312" s="173"/>
      <c r="DAC312" s="173"/>
      <c r="DAD312" s="173"/>
      <c r="DAE312" s="173"/>
      <c r="DAF312" s="173"/>
      <c r="DAG312" s="173"/>
      <c r="DAH312" s="173"/>
      <c r="DAI312" s="125"/>
      <c r="DAJ312" s="125"/>
      <c r="DAK312" s="134"/>
      <c r="DAL312" s="135"/>
      <c r="DAM312" s="135"/>
      <c r="DAN312" s="135"/>
      <c r="DAO312" s="135"/>
      <c r="DAP312" s="173"/>
      <c r="DAQ312" s="173"/>
      <c r="DAR312" s="173"/>
      <c r="DAS312" s="173"/>
      <c r="DAT312" s="173"/>
      <c r="DAU312" s="173"/>
      <c r="DAV312" s="173"/>
      <c r="DAW312" s="173"/>
      <c r="DAX312" s="173"/>
      <c r="DAY312" s="173"/>
      <c r="DAZ312" s="125"/>
      <c r="DBA312" s="125"/>
      <c r="DBB312" s="134"/>
      <c r="DBC312" s="135"/>
      <c r="DBD312" s="135"/>
      <c r="DBE312" s="135"/>
      <c r="DBF312" s="135"/>
      <c r="DBG312" s="173"/>
      <c r="DBH312" s="173"/>
      <c r="DBI312" s="173"/>
      <c r="DBJ312" s="173"/>
      <c r="DBK312" s="173"/>
      <c r="DBL312" s="173"/>
      <c r="DBM312" s="173"/>
      <c r="DBN312" s="173"/>
      <c r="DBO312" s="173"/>
      <c r="DBP312" s="173"/>
      <c r="DBQ312" s="125"/>
      <c r="DBR312" s="125"/>
      <c r="DBS312" s="134"/>
      <c r="DBT312" s="135"/>
      <c r="DBU312" s="135"/>
      <c r="DBV312" s="135"/>
      <c r="DBW312" s="135"/>
      <c r="DBX312" s="173"/>
      <c r="DBY312" s="173"/>
      <c r="DBZ312" s="173"/>
      <c r="DCA312" s="173"/>
      <c r="DCB312" s="173"/>
      <c r="DCC312" s="173"/>
      <c r="DCD312" s="173"/>
      <c r="DCE312" s="173"/>
      <c r="DCF312" s="173"/>
      <c r="DCG312" s="173"/>
      <c r="DCH312" s="125"/>
      <c r="DCI312" s="125"/>
      <c r="DCJ312" s="134"/>
      <c r="DCK312" s="135"/>
      <c r="DCL312" s="135"/>
      <c r="DCM312" s="135"/>
      <c r="DCN312" s="135"/>
      <c r="DCO312" s="173"/>
      <c r="DCP312" s="173"/>
      <c r="DCQ312" s="173"/>
      <c r="DCR312" s="173"/>
      <c r="DCS312" s="173"/>
      <c r="DCT312" s="173"/>
      <c r="DCU312" s="173"/>
      <c r="DCV312" s="173"/>
      <c r="DCW312" s="173"/>
      <c r="DCX312" s="173"/>
      <c r="DCY312" s="125"/>
      <c r="DCZ312" s="125"/>
      <c r="DDA312" s="134"/>
      <c r="DDB312" s="135"/>
      <c r="DDC312" s="135"/>
      <c r="DDD312" s="135"/>
      <c r="DDE312" s="135"/>
      <c r="DDF312" s="173"/>
      <c r="DDG312" s="173"/>
      <c r="DDH312" s="173"/>
      <c r="DDI312" s="173"/>
      <c r="DDJ312" s="173"/>
      <c r="DDK312" s="173"/>
      <c r="DDL312" s="173"/>
      <c r="DDM312" s="173"/>
      <c r="DDN312" s="173"/>
      <c r="DDO312" s="173"/>
      <c r="DDP312" s="125"/>
      <c r="DDQ312" s="125"/>
      <c r="DDR312" s="134"/>
      <c r="DDS312" s="135"/>
      <c r="DDT312" s="135"/>
      <c r="DDU312" s="135"/>
      <c r="DDV312" s="135"/>
      <c r="DDW312" s="173"/>
      <c r="DDX312" s="173"/>
      <c r="DDY312" s="173"/>
      <c r="DDZ312" s="173"/>
      <c r="DEA312" s="173"/>
      <c r="DEB312" s="173"/>
      <c r="DEC312" s="173"/>
      <c r="DED312" s="173"/>
      <c r="DEE312" s="173"/>
      <c r="DEF312" s="173"/>
      <c r="DEG312" s="125"/>
      <c r="DEH312" s="125"/>
      <c r="DEI312" s="134"/>
      <c r="DEJ312" s="135"/>
      <c r="DEK312" s="135"/>
      <c r="DEL312" s="135"/>
      <c r="DEM312" s="135"/>
      <c r="DEN312" s="173"/>
      <c r="DEO312" s="173"/>
      <c r="DEP312" s="173"/>
      <c r="DEQ312" s="173"/>
      <c r="DER312" s="173"/>
      <c r="DES312" s="173"/>
      <c r="DET312" s="173"/>
      <c r="DEU312" s="173"/>
      <c r="DEV312" s="173"/>
      <c r="DEW312" s="173"/>
      <c r="DEX312" s="125"/>
      <c r="DEY312" s="125"/>
      <c r="DEZ312" s="134"/>
      <c r="DFA312" s="135"/>
      <c r="DFB312" s="135"/>
      <c r="DFC312" s="135"/>
      <c r="DFD312" s="135"/>
      <c r="DFE312" s="173"/>
      <c r="DFF312" s="173"/>
      <c r="DFG312" s="173"/>
      <c r="DFH312" s="173"/>
      <c r="DFI312" s="173"/>
      <c r="DFJ312" s="173"/>
      <c r="DFK312" s="173"/>
      <c r="DFL312" s="173"/>
      <c r="DFM312" s="173"/>
      <c r="DFN312" s="173"/>
      <c r="DFO312" s="125"/>
      <c r="DFP312" s="125"/>
      <c r="DFQ312" s="134"/>
      <c r="DFR312" s="135"/>
      <c r="DFS312" s="135"/>
      <c r="DFT312" s="135"/>
      <c r="DFU312" s="135"/>
      <c r="DFV312" s="173"/>
      <c r="DFW312" s="173"/>
      <c r="DFX312" s="173"/>
      <c r="DFY312" s="173"/>
      <c r="DFZ312" s="173"/>
      <c r="DGA312" s="173"/>
      <c r="DGB312" s="173"/>
      <c r="DGC312" s="173"/>
      <c r="DGD312" s="173"/>
      <c r="DGE312" s="173"/>
      <c r="DGF312" s="125"/>
      <c r="DGG312" s="125"/>
      <c r="DGH312" s="134"/>
      <c r="DGI312" s="135"/>
      <c r="DGJ312" s="135"/>
      <c r="DGK312" s="135"/>
      <c r="DGL312" s="135"/>
      <c r="DGM312" s="173"/>
      <c r="DGN312" s="173"/>
      <c r="DGO312" s="173"/>
      <c r="DGP312" s="173"/>
      <c r="DGQ312" s="173"/>
      <c r="DGR312" s="173"/>
      <c r="DGS312" s="173"/>
      <c r="DGT312" s="173"/>
      <c r="DGU312" s="173"/>
      <c r="DGV312" s="173"/>
      <c r="DGW312" s="125"/>
      <c r="DGX312" s="125"/>
      <c r="DGY312" s="134"/>
      <c r="DGZ312" s="135"/>
      <c r="DHA312" s="135"/>
      <c r="DHB312" s="135"/>
      <c r="DHC312" s="135"/>
      <c r="DHD312" s="173"/>
      <c r="DHE312" s="173"/>
      <c r="DHF312" s="173"/>
      <c r="DHG312" s="173"/>
      <c r="DHH312" s="173"/>
      <c r="DHI312" s="173"/>
      <c r="DHJ312" s="173"/>
      <c r="DHK312" s="173"/>
      <c r="DHL312" s="173"/>
      <c r="DHM312" s="173"/>
      <c r="DHN312" s="125"/>
      <c r="DHO312" s="125"/>
      <c r="DHP312" s="134"/>
      <c r="DHQ312" s="135"/>
      <c r="DHR312" s="135"/>
      <c r="DHS312" s="135"/>
      <c r="DHT312" s="135"/>
      <c r="DHU312" s="173"/>
      <c r="DHV312" s="173"/>
      <c r="DHW312" s="173"/>
      <c r="DHX312" s="173"/>
      <c r="DHY312" s="173"/>
      <c r="DHZ312" s="173"/>
      <c r="DIA312" s="173"/>
      <c r="DIB312" s="173"/>
      <c r="DIC312" s="173"/>
      <c r="DID312" s="173"/>
      <c r="DIE312" s="125"/>
      <c r="DIF312" s="125"/>
      <c r="DIG312" s="134"/>
      <c r="DIH312" s="135"/>
      <c r="DII312" s="135"/>
      <c r="DIJ312" s="135"/>
      <c r="DIK312" s="135"/>
      <c r="DIL312" s="173"/>
      <c r="DIM312" s="173"/>
      <c r="DIN312" s="173"/>
      <c r="DIO312" s="173"/>
      <c r="DIP312" s="173"/>
      <c r="DIQ312" s="173"/>
      <c r="DIR312" s="173"/>
      <c r="DIS312" s="173"/>
      <c r="DIT312" s="173"/>
      <c r="DIU312" s="173"/>
      <c r="DIV312" s="125"/>
      <c r="DIW312" s="125"/>
      <c r="DIX312" s="134"/>
      <c r="DIY312" s="135"/>
      <c r="DIZ312" s="135"/>
      <c r="DJA312" s="135"/>
      <c r="DJB312" s="135"/>
      <c r="DJC312" s="173"/>
      <c r="DJD312" s="173"/>
      <c r="DJE312" s="173"/>
      <c r="DJF312" s="173"/>
      <c r="DJG312" s="173"/>
      <c r="DJH312" s="173"/>
      <c r="DJI312" s="173"/>
      <c r="DJJ312" s="173"/>
      <c r="DJK312" s="173"/>
      <c r="DJL312" s="173"/>
      <c r="DJM312" s="125"/>
      <c r="DJN312" s="125"/>
      <c r="DJO312" s="134"/>
      <c r="DJP312" s="135"/>
      <c r="DJQ312" s="135"/>
      <c r="DJR312" s="135"/>
      <c r="DJS312" s="135"/>
      <c r="DJT312" s="173"/>
      <c r="DJU312" s="173"/>
      <c r="DJV312" s="173"/>
      <c r="DJW312" s="173"/>
      <c r="DJX312" s="173"/>
      <c r="DJY312" s="173"/>
      <c r="DJZ312" s="173"/>
      <c r="DKA312" s="173"/>
      <c r="DKB312" s="173"/>
      <c r="DKC312" s="173"/>
      <c r="DKD312" s="125"/>
      <c r="DKE312" s="125"/>
      <c r="DKF312" s="134"/>
      <c r="DKG312" s="135"/>
      <c r="DKH312" s="135"/>
      <c r="DKI312" s="135"/>
      <c r="DKJ312" s="135"/>
      <c r="DKK312" s="173"/>
      <c r="DKL312" s="173"/>
      <c r="DKM312" s="173"/>
      <c r="DKN312" s="173"/>
      <c r="DKO312" s="173"/>
      <c r="DKP312" s="173"/>
      <c r="DKQ312" s="173"/>
      <c r="DKR312" s="173"/>
      <c r="DKS312" s="173"/>
      <c r="DKT312" s="173"/>
      <c r="DKU312" s="125"/>
      <c r="DKV312" s="125"/>
      <c r="DKW312" s="134"/>
      <c r="DKX312" s="135"/>
      <c r="DKY312" s="135"/>
      <c r="DKZ312" s="135"/>
      <c r="DLA312" s="135"/>
      <c r="DLB312" s="173"/>
      <c r="DLC312" s="173"/>
      <c r="DLD312" s="173"/>
      <c r="DLE312" s="173"/>
      <c r="DLF312" s="173"/>
      <c r="DLG312" s="173"/>
      <c r="DLH312" s="173"/>
      <c r="DLI312" s="173"/>
      <c r="DLJ312" s="173"/>
      <c r="DLK312" s="173"/>
      <c r="DLL312" s="125"/>
      <c r="DLM312" s="125"/>
      <c r="DLN312" s="134"/>
      <c r="DLO312" s="135"/>
      <c r="DLP312" s="135"/>
      <c r="DLQ312" s="135"/>
      <c r="DLR312" s="135"/>
      <c r="DLS312" s="173"/>
      <c r="DLT312" s="173"/>
      <c r="DLU312" s="173"/>
      <c r="DLV312" s="173"/>
      <c r="DLW312" s="173"/>
      <c r="DLX312" s="173"/>
      <c r="DLY312" s="173"/>
      <c r="DLZ312" s="173"/>
      <c r="DMA312" s="173"/>
      <c r="DMB312" s="173"/>
      <c r="DMC312" s="125"/>
      <c r="DMD312" s="125"/>
      <c r="DME312" s="134"/>
      <c r="DMF312" s="135"/>
      <c r="DMG312" s="135"/>
      <c r="DMH312" s="135"/>
      <c r="DMI312" s="135"/>
      <c r="DMJ312" s="173"/>
      <c r="DMK312" s="173"/>
      <c r="DML312" s="173"/>
      <c r="DMM312" s="173"/>
      <c r="DMN312" s="173"/>
      <c r="DMO312" s="173"/>
      <c r="DMP312" s="173"/>
      <c r="DMQ312" s="173"/>
      <c r="DMR312" s="173"/>
      <c r="DMS312" s="173"/>
      <c r="DMT312" s="125"/>
      <c r="DMU312" s="125"/>
      <c r="DMV312" s="134"/>
      <c r="DMW312" s="135"/>
      <c r="DMX312" s="135"/>
      <c r="DMY312" s="135"/>
      <c r="DMZ312" s="135"/>
      <c r="DNA312" s="173"/>
      <c r="DNB312" s="173"/>
      <c r="DNC312" s="173"/>
      <c r="DND312" s="173"/>
      <c r="DNE312" s="173"/>
      <c r="DNF312" s="173"/>
      <c r="DNG312" s="173"/>
      <c r="DNH312" s="173"/>
      <c r="DNI312" s="173"/>
      <c r="DNJ312" s="173"/>
      <c r="DNK312" s="125"/>
      <c r="DNL312" s="125"/>
      <c r="DNM312" s="134"/>
      <c r="DNN312" s="135"/>
      <c r="DNO312" s="135"/>
      <c r="DNP312" s="135"/>
      <c r="DNQ312" s="135"/>
      <c r="DNR312" s="173"/>
      <c r="DNS312" s="173"/>
      <c r="DNT312" s="173"/>
      <c r="DNU312" s="173"/>
      <c r="DNV312" s="173"/>
      <c r="DNW312" s="173"/>
      <c r="DNX312" s="173"/>
      <c r="DNY312" s="173"/>
      <c r="DNZ312" s="173"/>
      <c r="DOA312" s="173"/>
      <c r="DOB312" s="125"/>
      <c r="DOC312" s="125"/>
      <c r="DOD312" s="134"/>
      <c r="DOE312" s="135"/>
      <c r="DOF312" s="135"/>
      <c r="DOG312" s="135"/>
      <c r="DOH312" s="135"/>
      <c r="DOI312" s="173"/>
      <c r="DOJ312" s="173"/>
      <c r="DOK312" s="173"/>
      <c r="DOL312" s="173"/>
      <c r="DOM312" s="173"/>
      <c r="DON312" s="173"/>
      <c r="DOO312" s="173"/>
      <c r="DOP312" s="173"/>
      <c r="DOQ312" s="173"/>
      <c r="DOR312" s="173"/>
      <c r="DOS312" s="125"/>
      <c r="DOT312" s="125"/>
      <c r="DOU312" s="134"/>
      <c r="DOV312" s="135"/>
      <c r="DOW312" s="135"/>
      <c r="DOX312" s="135"/>
      <c r="DOY312" s="135"/>
      <c r="DOZ312" s="173"/>
      <c r="DPA312" s="173"/>
      <c r="DPB312" s="173"/>
      <c r="DPC312" s="173"/>
      <c r="DPD312" s="173"/>
      <c r="DPE312" s="173"/>
      <c r="DPF312" s="173"/>
      <c r="DPG312" s="173"/>
      <c r="DPH312" s="173"/>
      <c r="DPI312" s="173"/>
      <c r="DPJ312" s="125"/>
      <c r="DPK312" s="125"/>
      <c r="DPL312" s="134"/>
      <c r="DPM312" s="135"/>
      <c r="DPN312" s="135"/>
      <c r="DPO312" s="135"/>
      <c r="DPP312" s="135"/>
      <c r="DPQ312" s="173"/>
      <c r="DPR312" s="173"/>
      <c r="DPS312" s="173"/>
      <c r="DPT312" s="173"/>
      <c r="DPU312" s="173"/>
      <c r="DPV312" s="173"/>
      <c r="DPW312" s="173"/>
      <c r="DPX312" s="173"/>
      <c r="DPY312" s="173"/>
      <c r="DPZ312" s="173"/>
      <c r="DQA312" s="125"/>
      <c r="DQB312" s="125"/>
      <c r="DQC312" s="134"/>
      <c r="DQD312" s="135"/>
      <c r="DQE312" s="135"/>
      <c r="DQF312" s="135"/>
      <c r="DQG312" s="135"/>
      <c r="DQH312" s="173"/>
      <c r="DQI312" s="173"/>
      <c r="DQJ312" s="173"/>
      <c r="DQK312" s="173"/>
      <c r="DQL312" s="173"/>
      <c r="DQM312" s="173"/>
      <c r="DQN312" s="173"/>
      <c r="DQO312" s="173"/>
      <c r="DQP312" s="173"/>
      <c r="DQQ312" s="173"/>
      <c r="DQR312" s="125"/>
      <c r="DQS312" s="125"/>
      <c r="DQT312" s="134"/>
      <c r="DQU312" s="135"/>
      <c r="DQV312" s="135"/>
      <c r="DQW312" s="135"/>
      <c r="DQX312" s="135"/>
      <c r="DQY312" s="173"/>
      <c r="DQZ312" s="173"/>
      <c r="DRA312" s="173"/>
      <c r="DRB312" s="173"/>
      <c r="DRC312" s="173"/>
      <c r="DRD312" s="173"/>
      <c r="DRE312" s="173"/>
      <c r="DRF312" s="173"/>
      <c r="DRG312" s="173"/>
      <c r="DRH312" s="173"/>
      <c r="DRI312" s="125"/>
      <c r="DRJ312" s="125"/>
      <c r="DRK312" s="134"/>
      <c r="DRL312" s="135"/>
      <c r="DRM312" s="135"/>
      <c r="DRN312" s="135"/>
      <c r="DRO312" s="135"/>
      <c r="DRP312" s="173"/>
      <c r="DRQ312" s="173"/>
      <c r="DRR312" s="173"/>
      <c r="DRS312" s="173"/>
      <c r="DRT312" s="173"/>
      <c r="DRU312" s="173"/>
      <c r="DRV312" s="173"/>
      <c r="DRW312" s="173"/>
      <c r="DRX312" s="173"/>
      <c r="DRY312" s="173"/>
      <c r="DRZ312" s="125"/>
      <c r="DSA312" s="125"/>
      <c r="DSB312" s="134"/>
      <c r="DSC312" s="135"/>
      <c r="DSD312" s="135"/>
      <c r="DSE312" s="135"/>
      <c r="DSF312" s="135"/>
      <c r="DSG312" s="173"/>
      <c r="DSH312" s="173"/>
      <c r="DSI312" s="173"/>
      <c r="DSJ312" s="173"/>
      <c r="DSK312" s="173"/>
      <c r="DSL312" s="173"/>
      <c r="DSM312" s="173"/>
      <c r="DSN312" s="173"/>
      <c r="DSO312" s="173"/>
      <c r="DSP312" s="173"/>
      <c r="DSQ312" s="125"/>
      <c r="DSR312" s="125"/>
      <c r="DSS312" s="134"/>
      <c r="DST312" s="135"/>
      <c r="DSU312" s="135"/>
      <c r="DSV312" s="135"/>
      <c r="DSW312" s="135"/>
      <c r="DSX312" s="173"/>
      <c r="DSY312" s="173"/>
      <c r="DSZ312" s="173"/>
      <c r="DTA312" s="173"/>
      <c r="DTB312" s="173"/>
      <c r="DTC312" s="173"/>
      <c r="DTD312" s="173"/>
      <c r="DTE312" s="173"/>
      <c r="DTF312" s="173"/>
      <c r="DTG312" s="173"/>
      <c r="DTH312" s="125"/>
      <c r="DTI312" s="125"/>
      <c r="DTJ312" s="134"/>
      <c r="DTK312" s="135"/>
      <c r="DTL312" s="135"/>
      <c r="DTM312" s="135"/>
      <c r="DTN312" s="135"/>
      <c r="DTO312" s="173"/>
      <c r="DTP312" s="173"/>
      <c r="DTQ312" s="173"/>
      <c r="DTR312" s="173"/>
      <c r="DTS312" s="173"/>
      <c r="DTT312" s="173"/>
      <c r="DTU312" s="173"/>
      <c r="DTV312" s="173"/>
      <c r="DTW312" s="173"/>
      <c r="DTX312" s="173"/>
      <c r="DTY312" s="125"/>
      <c r="DTZ312" s="125"/>
      <c r="DUA312" s="134"/>
      <c r="DUB312" s="135"/>
      <c r="DUC312" s="135"/>
      <c r="DUD312" s="135"/>
      <c r="DUE312" s="135"/>
      <c r="DUF312" s="173"/>
      <c r="DUG312" s="173"/>
      <c r="DUH312" s="173"/>
      <c r="DUI312" s="173"/>
      <c r="DUJ312" s="173"/>
      <c r="DUK312" s="173"/>
      <c r="DUL312" s="173"/>
      <c r="DUM312" s="173"/>
      <c r="DUN312" s="173"/>
      <c r="DUO312" s="173"/>
      <c r="DUP312" s="125"/>
      <c r="DUQ312" s="125"/>
      <c r="DUR312" s="134"/>
      <c r="DUS312" s="135"/>
      <c r="DUT312" s="135"/>
      <c r="DUU312" s="135"/>
      <c r="DUV312" s="135"/>
      <c r="DUW312" s="173"/>
      <c r="DUX312" s="173"/>
      <c r="DUY312" s="173"/>
      <c r="DUZ312" s="173"/>
      <c r="DVA312" s="173"/>
      <c r="DVB312" s="173"/>
      <c r="DVC312" s="173"/>
      <c r="DVD312" s="173"/>
      <c r="DVE312" s="173"/>
      <c r="DVF312" s="173"/>
      <c r="DVG312" s="125"/>
      <c r="DVH312" s="125"/>
      <c r="DVI312" s="134"/>
      <c r="DVJ312" s="135"/>
      <c r="DVK312" s="135"/>
      <c r="DVL312" s="135"/>
      <c r="DVM312" s="135"/>
      <c r="DVN312" s="173"/>
      <c r="DVO312" s="173"/>
      <c r="DVP312" s="173"/>
      <c r="DVQ312" s="173"/>
      <c r="DVR312" s="173"/>
      <c r="DVS312" s="173"/>
      <c r="DVT312" s="173"/>
      <c r="DVU312" s="173"/>
      <c r="DVV312" s="173"/>
      <c r="DVW312" s="173"/>
      <c r="DVX312" s="125"/>
      <c r="DVY312" s="125"/>
      <c r="DVZ312" s="134"/>
      <c r="DWA312" s="135"/>
      <c r="DWB312" s="135"/>
      <c r="DWC312" s="135"/>
      <c r="DWD312" s="135"/>
      <c r="DWE312" s="173"/>
      <c r="DWF312" s="173"/>
      <c r="DWG312" s="173"/>
      <c r="DWH312" s="173"/>
      <c r="DWI312" s="173"/>
      <c r="DWJ312" s="173"/>
      <c r="DWK312" s="173"/>
      <c r="DWL312" s="173"/>
      <c r="DWM312" s="173"/>
      <c r="DWN312" s="173"/>
      <c r="DWO312" s="125"/>
      <c r="DWP312" s="125"/>
      <c r="DWQ312" s="134"/>
      <c r="DWR312" s="135"/>
      <c r="DWS312" s="135"/>
      <c r="DWT312" s="135"/>
      <c r="DWU312" s="135"/>
      <c r="DWV312" s="173"/>
      <c r="DWW312" s="173"/>
      <c r="DWX312" s="173"/>
      <c r="DWY312" s="173"/>
      <c r="DWZ312" s="173"/>
      <c r="DXA312" s="173"/>
      <c r="DXB312" s="173"/>
      <c r="DXC312" s="173"/>
      <c r="DXD312" s="173"/>
      <c r="DXE312" s="173"/>
      <c r="DXF312" s="125"/>
      <c r="DXG312" s="125"/>
      <c r="DXH312" s="134"/>
      <c r="DXI312" s="135"/>
      <c r="DXJ312" s="135"/>
      <c r="DXK312" s="135"/>
      <c r="DXL312" s="135"/>
      <c r="DXM312" s="173"/>
      <c r="DXN312" s="173"/>
      <c r="DXO312" s="173"/>
      <c r="DXP312" s="173"/>
      <c r="DXQ312" s="173"/>
      <c r="DXR312" s="173"/>
      <c r="DXS312" s="173"/>
      <c r="DXT312" s="173"/>
      <c r="DXU312" s="173"/>
      <c r="DXV312" s="173"/>
      <c r="DXW312" s="125"/>
      <c r="DXX312" s="125"/>
      <c r="DXY312" s="134"/>
      <c r="DXZ312" s="135"/>
      <c r="DYA312" s="135"/>
      <c r="DYB312" s="135"/>
      <c r="DYC312" s="135"/>
      <c r="DYD312" s="173"/>
      <c r="DYE312" s="173"/>
      <c r="DYF312" s="173"/>
      <c r="DYG312" s="173"/>
      <c r="DYH312" s="173"/>
      <c r="DYI312" s="173"/>
      <c r="DYJ312" s="173"/>
      <c r="DYK312" s="173"/>
      <c r="DYL312" s="173"/>
      <c r="DYM312" s="173"/>
      <c r="DYN312" s="125"/>
      <c r="DYO312" s="125"/>
      <c r="DYP312" s="134"/>
      <c r="DYQ312" s="135"/>
      <c r="DYR312" s="135"/>
      <c r="DYS312" s="135"/>
      <c r="DYT312" s="135"/>
      <c r="DYU312" s="173"/>
      <c r="DYV312" s="173"/>
      <c r="DYW312" s="173"/>
      <c r="DYX312" s="173"/>
      <c r="DYY312" s="173"/>
      <c r="DYZ312" s="173"/>
      <c r="DZA312" s="173"/>
      <c r="DZB312" s="173"/>
      <c r="DZC312" s="173"/>
      <c r="DZD312" s="173"/>
      <c r="DZE312" s="125"/>
      <c r="DZF312" s="125"/>
      <c r="DZG312" s="134"/>
      <c r="DZH312" s="135"/>
      <c r="DZI312" s="135"/>
      <c r="DZJ312" s="135"/>
      <c r="DZK312" s="135"/>
      <c r="DZL312" s="173"/>
      <c r="DZM312" s="173"/>
      <c r="DZN312" s="173"/>
      <c r="DZO312" s="173"/>
      <c r="DZP312" s="173"/>
      <c r="DZQ312" s="173"/>
      <c r="DZR312" s="173"/>
      <c r="DZS312" s="173"/>
      <c r="DZT312" s="173"/>
      <c r="DZU312" s="173"/>
      <c r="DZV312" s="125"/>
      <c r="DZW312" s="125"/>
      <c r="DZX312" s="134"/>
      <c r="DZY312" s="135"/>
      <c r="DZZ312" s="135"/>
      <c r="EAA312" s="135"/>
      <c r="EAB312" s="135"/>
      <c r="EAC312" s="173"/>
      <c r="EAD312" s="173"/>
      <c r="EAE312" s="173"/>
      <c r="EAF312" s="173"/>
      <c r="EAG312" s="173"/>
      <c r="EAH312" s="173"/>
      <c r="EAI312" s="173"/>
      <c r="EAJ312" s="173"/>
      <c r="EAK312" s="173"/>
      <c r="EAL312" s="173"/>
      <c r="EAM312" s="125"/>
      <c r="EAN312" s="125"/>
      <c r="EAO312" s="134"/>
      <c r="EAP312" s="135"/>
      <c r="EAQ312" s="135"/>
      <c r="EAR312" s="135"/>
      <c r="EAS312" s="135"/>
      <c r="EAT312" s="173"/>
      <c r="EAU312" s="173"/>
      <c r="EAV312" s="173"/>
      <c r="EAW312" s="173"/>
      <c r="EAX312" s="173"/>
      <c r="EAY312" s="173"/>
      <c r="EAZ312" s="173"/>
      <c r="EBA312" s="173"/>
      <c r="EBB312" s="173"/>
      <c r="EBC312" s="173"/>
      <c r="EBD312" s="125"/>
      <c r="EBE312" s="125"/>
      <c r="EBF312" s="134"/>
      <c r="EBG312" s="135"/>
      <c r="EBH312" s="135"/>
      <c r="EBI312" s="135"/>
      <c r="EBJ312" s="135"/>
      <c r="EBK312" s="173"/>
      <c r="EBL312" s="173"/>
      <c r="EBM312" s="173"/>
      <c r="EBN312" s="173"/>
      <c r="EBO312" s="173"/>
      <c r="EBP312" s="173"/>
      <c r="EBQ312" s="173"/>
      <c r="EBR312" s="173"/>
      <c r="EBS312" s="173"/>
      <c r="EBT312" s="173"/>
      <c r="EBU312" s="125"/>
      <c r="EBV312" s="125"/>
      <c r="EBW312" s="134"/>
      <c r="EBX312" s="135"/>
      <c r="EBY312" s="135"/>
      <c r="EBZ312" s="135"/>
      <c r="ECA312" s="135"/>
      <c r="ECB312" s="173"/>
      <c r="ECC312" s="173"/>
      <c r="ECD312" s="173"/>
      <c r="ECE312" s="173"/>
      <c r="ECF312" s="173"/>
      <c r="ECG312" s="173"/>
      <c r="ECH312" s="173"/>
      <c r="ECI312" s="173"/>
      <c r="ECJ312" s="173"/>
      <c r="ECK312" s="173"/>
      <c r="ECL312" s="125"/>
      <c r="ECM312" s="125"/>
      <c r="ECN312" s="134"/>
      <c r="ECO312" s="135"/>
      <c r="ECP312" s="135"/>
      <c r="ECQ312" s="135"/>
      <c r="ECR312" s="135"/>
      <c r="ECS312" s="173"/>
      <c r="ECT312" s="173"/>
      <c r="ECU312" s="173"/>
      <c r="ECV312" s="173"/>
      <c r="ECW312" s="173"/>
      <c r="ECX312" s="173"/>
      <c r="ECY312" s="173"/>
      <c r="ECZ312" s="173"/>
      <c r="EDA312" s="173"/>
      <c r="EDB312" s="173"/>
      <c r="EDC312" s="125"/>
      <c r="EDD312" s="125"/>
      <c r="EDE312" s="134"/>
      <c r="EDF312" s="135"/>
      <c r="EDG312" s="135"/>
      <c r="EDH312" s="135"/>
      <c r="EDI312" s="135"/>
      <c r="EDJ312" s="173"/>
      <c r="EDK312" s="173"/>
      <c r="EDL312" s="173"/>
      <c r="EDM312" s="173"/>
      <c r="EDN312" s="173"/>
      <c r="EDO312" s="173"/>
      <c r="EDP312" s="173"/>
      <c r="EDQ312" s="173"/>
      <c r="EDR312" s="173"/>
      <c r="EDS312" s="173"/>
      <c r="EDT312" s="125"/>
      <c r="EDU312" s="125"/>
      <c r="EDV312" s="134"/>
      <c r="EDW312" s="135"/>
      <c r="EDX312" s="135"/>
      <c r="EDY312" s="135"/>
      <c r="EDZ312" s="135"/>
      <c r="EEA312" s="173"/>
      <c r="EEB312" s="173"/>
      <c r="EEC312" s="173"/>
      <c r="EED312" s="173"/>
      <c r="EEE312" s="173"/>
      <c r="EEF312" s="173"/>
      <c r="EEG312" s="173"/>
      <c r="EEH312" s="173"/>
      <c r="EEI312" s="173"/>
      <c r="EEJ312" s="173"/>
      <c r="EEK312" s="125"/>
      <c r="EEL312" s="125"/>
      <c r="EEM312" s="134"/>
      <c r="EEN312" s="135"/>
      <c r="EEO312" s="135"/>
      <c r="EEP312" s="135"/>
      <c r="EEQ312" s="135"/>
      <c r="EER312" s="173"/>
      <c r="EES312" s="173"/>
      <c r="EET312" s="173"/>
      <c r="EEU312" s="173"/>
      <c r="EEV312" s="173"/>
      <c r="EEW312" s="173"/>
      <c r="EEX312" s="173"/>
      <c r="EEY312" s="173"/>
      <c r="EEZ312" s="173"/>
      <c r="EFA312" s="173"/>
      <c r="EFB312" s="125"/>
      <c r="EFC312" s="125"/>
      <c r="EFD312" s="134"/>
      <c r="EFE312" s="135"/>
      <c r="EFF312" s="135"/>
      <c r="EFG312" s="135"/>
      <c r="EFH312" s="135"/>
      <c r="EFI312" s="173"/>
      <c r="EFJ312" s="173"/>
      <c r="EFK312" s="173"/>
      <c r="EFL312" s="173"/>
      <c r="EFM312" s="173"/>
      <c r="EFN312" s="173"/>
      <c r="EFO312" s="173"/>
      <c r="EFP312" s="173"/>
      <c r="EFQ312" s="173"/>
      <c r="EFR312" s="173"/>
      <c r="EFS312" s="125"/>
      <c r="EFT312" s="125"/>
      <c r="EFU312" s="134"/>
      <c r="EFV312" s="135"/>
      <c r="EFW312" s="135"/>
      <c r="EFX312" s="135"/>
      <c r="EFY312" s="135"/>
      <c r="EFZ312" s="173"/>
      <c r="EGA312" s="173"/>
      <c r="EGB312" s="173"/>
      <c r="EGC312" s="173"/>
      <c r="EGD312" s="173"/>
      <c r="EGE312" s="173"/>
      <c r="EGF312" s="173"/>
      <c r="EGG312" s="173"/>
      <c r="EGH312" s="173"/>
      <c r="EGI312" s="173"/>
      <c r="EGJ312" s="125"/>
      <c r="EGK312" s="125"/>
      <c r="EGL312" s="134"/>
      <c r="EGM312" s="135"/>
      <c r="EGN312" s="135"/>
      <c r="EGO312" s="135"/>
      <c r="EGP312" s="135"/>
      <c r="EGQ312" s="173"/>
      <c r="EGR312" s="173"/>
      <c r="EGS312" s="173"/>
      <c r="EGT312" s="173"/>
      <c r="EGU312" s="173"/>
      <c r="EGV312" s="173"/>
      <c r="EGW312" s="173"/>
      <c r="EGX312" s="173"/>
      <c r="EGY312" s="173"/>
      <c r="EGZ312" s="173"/>
      <c r="EHA312" s="125"/>
      <c r="EHB312" s="125"/>
      <c r="EHC312" s="134"/>
      <c r="EHD312" s="135"/>
      <c r="EHE312" s="135"/>
      <c r="EHF312" s="135"/>
      <c r="EHG312" s="135"/>
      <c r="EHH312" s="173"/>
      <c r="EHI312" s="173"/>
      <c r="EHJ312" s="173"/>
      <c r="EHK312" s="173"/>
      <c r="EHL312" s="173"/>
      <c r="EHM312" s="173"/>
      <c r="EHN312" s="173"/>
      <c r="EHO312" s="173"/>
      <c r="EHP312" s="173"/>
      <c r="EHQ312" s="173"/>
      <c r="EHR312" s="125"/>
      <c r="EHS312" s="125"/>
      <c r="EHT312" s="134"/>
      <c r="EHU312" s="135"/>
      <c r="EHV312" s="135"/>
      <c r="EHW312" s="135"/>
      <c r="EHX312" s="135"/>
      <c r="EHY312" s="173"/>
      <c r="EHZ312" s="173"/>
      <c r="EIA312" s="173"/>
      <c r="EIB312" s="173"/>
      <c r="EIC312" s="173"/>
      <c r="EID312" s="173"/>
      <c r="EIE312" s="173"/>
      <c r="EIF312" s="173"/>
      <c r="EIG312" s="173"/>
      <c r="EIH312" s="173"/>
      <c r="EII312" s="125"/>
      <c r="EIJ312" s="125"/>
      <c r="EIK312" s="134"/>
      <c r="EIL312" s="135"/>
      <c r="EIM312" s="135"/>
      <c r="EIN312" s="135"/>
      <c r="EIO312" s="135"/>
      <c r="EIP312" s="173"/>
      <c r="EIQ312" s="173"/>
      <c r="EIR312" s="173"/>
      <c r="EIS312" s="173"/>
      <c r="EIT312" s="173"/>
      <c r="EIU312" s="173"/>
      <c r="EIV312" s="173"/>
      <c r="EIW312" s="173"/>
      <c r="EIX312" s="173"/>
      <c r="EIY312" s="173"/>
      <c r="EIZ312" s="125"/>
      <c r="EJA312" s="125"/>
      <c r="EJB312" s="134"/>
      <c r="EJC312" s="135"/>
      <c r="EJD312" s="135"/>
      <c r="EJE312" s="135"/>
      <c r="EJF312" s="135"/>
      <c r="EJG312" s="173"/>
      <c r="EJH312" s="173"/>
      <c r="EJI312" s="173"/>
      <c r="EJJ312" s="173"/>
      <c r="EJK312" s="173"/>
      <c r="EJL312" s="173"/>
      <c r="EJM312" s="173"/>
      <c r="EJN312" s="173"/>
      <c r="EJO312" s="173"/>
      <c r="EJP312" s="173"/>
      <c r="EJQ312" s="125"/>
      <c r="EJR312" s="125"/>
      <c r="EJS312" s="134"/>
      <c r="EJT312" s="135"/>
      <c r="EJU312" s="135"/>
      <c r="EJV312" s="135"/>
      <c r="EJW312" s="135"/>
      <c r="EJX312" s="173"/>
      <c r="EJY312" s="173"/>
      <c r="EJZ312" s="173"/>
      <c r="EKA312" s="173"/>
      <c r="EKB312" s="173"/>
      <c r="EKC312" s="173"/>
      <c r="EKD312" s="173"/>
      <c r="EKE312" s="173"/>
      <c r="EKF312" s="173"/>
      <c r="EKG312" s="173"/>
      <c r="EKH312" s="125"/>
      <c r="EKI312" s="125"/>
      <c r="EKJ312" s="134"/>
      <c r="EKK312" s="135"/>
      <c r="EKL312" s="135"/>
      <c r="EKM312" s="135"/>
      <c r="EKN312" s="135"/>
      <c r="EKO312" s="173"/>
      <c r="EKP312" s="173"/>
      <c r="EKQ312" s="173"/>
      <c r="EKR312" s="173"/>
      <c r="EKS312" s="173"/>
      <c r="EKT312" s="173"/>
      <c r="EKU312" s="173"/>
      <c r="EKV312" s="173"/>
      <c r="EKW312" s="173"/>
      <c r="EKX312" s="173"/>
      <c r="EKY312" s="125"/>
      <c r="EKZ312" s="125"/>
      <c r="ELA312" s="134"/>
      <c r="ELB312" s="135"/>
      <c r="ELC312" s="135"/>
      <c r="ELD312" s="135"/>
      <c r="ELE312" s="135"/>
      <c r="ELF312" s="173"/>
      <c r="ELG312" s="173"/>
      <c r="ELH312" s="173"/>
      <c r="ELI312" s="173"/>
      <c r="ELJ312" s="173"/>
      <c r="ELK312" s="173"/>
      <c r="ELL312" s="173"/>
      <c r="ELM312" s="173"/>
      <c r="ELN312" s="173"/>
      <c r="ELO312" s="173"/>
      <c r="ELP312" s="125"/>
      <c r="ELQ312" s="125"/>
      <c r="ELR312" s="134"/>
      <c r="ELS312" s="135"/>
      <c r="ELT312" s="135"/>
      <c r="ELU312" s="135"/>
      <c r="ELV312" s="135"/>
      <c r="ELW312" s="173"/>
      <c r="ELX312" s="173"/>
      <c r="ELY312" s="173"/>
      <c r="ELZ312" s="173"/>
      <c r="EMA312" s="173"/>
      <c r="EMB312" s="173"/>
      <c r="EMC312" s="173"/>
      <c r="EMD312" s="173"/>
      <c r="EME312" s="173"/>
      <c r="EMF312" s="173"/>
      <c r="EMG312" s="125"/>
      <c r="EMH312" s="125"/>
      <c r="EMI312" s="134"/>
      <c r="EMJ312" s="135"/>
      <c r="EMK312" s="135"/>
      <c r="EML312" s="135"/>
      <c r="EMM312" s="135"/>
      <c r="EMN312" s="173"/>
      <c r="EMO312" s="173"/>
      <c r="EMP312" s="173"/>
      <c r="EMQ312" s="173"/>
      <c r="EMR312" s="173"/>
      <c r="EMS312" s="173"/>
      <c r="EMT312" s="173"/>
      <c r="EMU312" s="173"/>
      <c r="EMV312" s="173"/>
      <c r="EMW312" s="173"/>
      <c r="EMX312" s="125"/>
      <c r="EMY312" s="125"/>
      <c r="EMZ312" s="134"/>
      <c r="ENA312" s="135"/>
      <c r="ENB312" s="135"/>
      <c r="ENC312" s="135"/>
      <c r="END312" s="135"/>
      <c r="ENE312" s="173"/>
      <c r="ENF312" s="173"/>
      <c r="ENG312" s="173"/>
      <c r="ENH312" s="173"/>
      <c r="ENI312" s="173"/>
      <c r="ENJ312" s="173"/>
      <c r="ENK312" s="173"/>
      <c r="ENL312" s="173"/>
      <c r="ENM312" s="173"/>
      <c r="ENN312" s="173"/>
      <c r="ENO312" s="125"/>
      <c r="ENP312" s="125"/>
      <c r="ENQ312" s="134"/>
      <c r="ENR312" s="135"/>
      <c r="ENS312" s="135"/>
      <c r="ENT312" s="135"/>
      <c r="ENU312" s="135"/>
      <c r="ENV312" s="173"/>
      <c r="ENW312" s="173"/>
      <c r="ENX312" s="173"/>
      <c r="ENY312" s="173"/>
      <c r="ENZ312" s="173"/>
      <c r="EOA312" s="173"/>
      <c r="EOB312" s="173"/>
      <c r="EOC312" s="173"/>
      <c r="EOD312" s="173"/>
      <c r="EOE312" s="173"/>
      <c r="EOF312" s="125"/>
      <c r="EOG312" s="125"/>
      <c r="EOH312" s="134"/>
      <c r="EOI312" s="135"/>
      <c r="EOJ312" s="135"/>
      <c r="EOK312" s="135"/>
      <c r="EOL312" s="135"/>
      <c r="EOM312" s="173"/>
      <c r="EON312" s="173"/>
      <c r="EOO312" s="173"/>
      <c r="EOP312" s="173"/>
      <c r="EOQ312" s="173"/>
      <c r="EOR312" s="173"/>
      <c r="EOS312" s="173"/>
      <c r="EOT312" s="173"/>
      <c r="EOU312" s="173"/>
      <c r="EOV312" s="173"/>
      <c r="EOW312" s="125"/>
      <c r="EOX312" s="125"/>
      <c r="EOY312" s="134"/>
      <c r="EOZ312" s="135"/>
      <c r="EPA312" s="135"/>
      <c r="EPB312" s="135"/>
      <c r="EPC312" s="135"/>
      <c r="EPD312" s="173"/>
      <c r="EPE312" s="173"/>
      <c r="EPF312" s="173"/>
      <c r="EPG312" s="173"/>
      <c r="EPH312" s="173"/>
      <c r="EPI312" s="173"/>
      <c r="EPJ312" s="173"/>
      <c r="EPK312" s="173"/>
      <c r="EPL312" s="173"/>
      <c r="EPM312" s="173"/>
      <c r="EPN312" s="125"/>
      <c r="EPO312" s="125"/>
      <c r="EPP312" s="134"/>
      <c r="EPQ312" s="135"/>
      <c r="EPR312" s="135"/>
      <c r="EPS312" s="135"/>
      <c r="EPT312" s="135"/>
      <c r="EPU312" s="173"/>
      <c r="EPV312" s="173"/>
      <c r="EPW312" s="173"/>
      <c r="EPX312" s="173"/>
      <c r="EPY312" s="173"/>
      <c r="EPZ312" s="173"/>
      <c r="EQA312" s="173"/>
      <c r="EQB312" s="173"/>
      <c r="EQC312" s="173"/>
      <c r="EQD312" s="173"/>
      <c r="EQE312" s="125"/>
      <c r="EQF312" s="125"/>
      <c r="EQG312" s="134"/>
      <c r="EQH312" s="135"/>
      <c r="EQI312" s="135"/>
      <c r="EQJ312" s="135"/>
      <c r="EQK312" s="135"/>
      <c r="EQL312" s="173"/>
      <c r="EQM312" s="173"/>
      <c r="EQN312" s="173"/>
      <c r="EQO312" s="173"/>
      <c r="EQP312" s="173"/>
      <c r="EQQ312" s="173"/>
      <c r="EQR312" s="173"/>
      <c r="EQS312" s="173"/>
      <c r="EQT312" s="173"/>
      <c r="EQU312" s="173"/>
      <c r="EQV312" s="125"/>
      <c r="EQW312" s="125"/>
      <c r="EQX312" s="134"/>
      <c r="EQY312" s="135"/>
      <c r="EQZ312" s="135"/>
      <c r="ERA312" s="135"/>
      <c r="ERB312" s="135"/>
      <c r="ERC312" s="173"/>
      <c r="ERD312" s="173"/>
      <c r="ERE312" s="173"/>
      <c r="ERF312" s="173"/>
      <c r="ERG312" s="173"/>
      <c r="ERH312" s="173"/>
      <c r="ERI312" s="173"/>
      <c r="ERJ312" s="173"/>
      <c r="ERK312" s="173"/>
      <c r="ERL312" s="173"/>
      <c r="ERM312" s="125"/>
      <c r="ERN312" s="125"/>
      <c r="ERO312" s="134"/>
      <c r="ERP312" s="135"/>
      <c r="ERQ312" s="135"/>
      <c r="ERR312" s="135"/>
      <c r="ERS312" s="135"/>
      <c r="ERT312" s="173"/>
      <c r="ERU312" s="173"/>
      <c r="ERV312" s="173"/>
      <c r="ERW312" s="173"/>
      <c r="ERX312" s="173"/>
      <c r="ERY312" s="173"/>
      <c r="ERZ312" s="173"/>
      <c r="ESA312" s="173"/>
      <c r="ESB312" s="173"/>
      <c r="ESC312" s="173"/>
      <c r="ESD312" s="125"/>
      <c r="ESE312" s="125"/>
      <c r="ESF312" s="134"/>
      <c r="ESG312" s="135"/>
      <c r="ESH312" s="135"/>
      <c r="ESI312" s="135"/>
      <c r="ESJ312" s="135"/>
      <c r="ESK312" s="173"/>
      <c r="ESL312" s="173"/>
      <c r="ESM312" s="173"/>
      <c r="ESN312" s="173"/>
      <c r="ESO312" s="173"/>
      <c r="ESP312" s="173"/>
      <c r="ESQ312" s="173"/>
      <c r="ESR312" s="173"/>
      <c r="ESS312" s="173"/>
      <c r="EST312" s="173"/>
      <c r="ESU312" s="125"/>
      <c r="ESV312" s="125"/>
      <c r="ESW312" s="134"/>
      <c r="ESX312" s="135"/>
      <c r="ESY312" s="135"/>
      <c r="ESZ312" s="135"/>
      <c r="ETA312" s="135"/>
      <c r="ETB312" s="173"/>
      <c r="ETC312" s="173"/>
      <c r="ETD312" s="173"/>
      <c r="ETE312" s="173"/>
      <c r="ETF312" s="173"/>
      <c r="ETG312" s="173"/>
      <c r="ETH312" s="173"/>
      <c r="ETI312" s="173"/>
      <c r="ETJ312" s="173"/>
      <c r="ETK312" s="173"/>
      <c r="ETL312" s="125"/>
      <c r="ETM312" s="125"/>
      <c r="ETN312" s="134"/>
      <c r="ETO312" s="135"/>
      <c r="ETP312" s="135"/>
      <c r="ETQ312" s="135"/>
      <c r="ETR312" s="135"/>
      <c r="ETS312" s="173"/>
      <c r="ETT312" s="173"/>
      <c r="ETU312" s="173"/>
      <c r="ETV312" s="173"/>
      <c r="ETW312" s="173"/>
      <c r="ETX312" s="173"/>
      <c r="ETY312" s="173"/>
      <c r="ETZ312" s="173"/>
      <c r="EUA312" s="173"/>
      <c r="EUB312" s="173"/>
      <c r="EUC312" s="125"/>
      <c r="EUD312" s="125"/>
      <c r="EUE312" s="134"/>
      <c r="EUF312" s="135"/>
      <c r="EUG312" s="135"/>
      <c r="EUH312" s="135"/>
      <c r="EUI312" s="135"/>
      <c r="EUJ312" s="173"/>
      <c r="EUK312" s="173"/>
      <c r="EUL312" s="173"/>
      <c r="EUM312" s="173"/>
      <c r="EUN312" s="173"/>
      <c r="EUO312" s="173"/>
      <c r="EUP312" s="173"/>
      <c r="EUQ312" s="173"/>
      <c r="EUR312" s="173"/>
      <c r="EUS312" s="173"/>
      <c r="EUT312" s="125"/>
      <c r="EUU312" s="125"/>
      <c r="EUV312" s="134"/>
      <c r="EUW312" s="135"/>
      <c r="EUX312" s="135"/>
      <c r="EUY312" s="135"/>
      <c r="EUZ312" s="135"/>
      <c r="EVA312" s="173"/>
      <c r="EVB312" s="173"/>
      <c r="EVC312" s="173"/>
      <c r="EVD312" s="173"/>
      <c r="EVE312" s="173"/>
      <c r="EVF312" s="173"/>
      <c r="EVG312" s="173"/>
      <c r="EVH312" s="173"/>
      <c r="EVI312" s="173"/>
      <c r="EVJ312" s="173"/>
      <c r="EVK312" s="125"/>
      <c r="EVL312" s="125"/>
      <c r="EVM312" s="134"/>
      <c r="EVN312" s="135"/>
      <c r="EVO312" s="135"/>
      <c r="EVP312" s="135"/>
      <c r="EVQ312" s="135"/>
      <c r="EVR312" s="173"/>
      <c r="EVS312" s="173"/>
      <c r="EVT312" s="173"/>
      <c r="EVU312" s="173"/>
      <c r="EVV312" s="173"/>
      <c r="EVW312" s="173"/>
      <c r="EVX312" s="173"/>
      <c r="EVY312" s="173"/>
      <c r="EVZ312" s="173"/>
      <c r="EWA312" s="173"/>
      <c r="EWB312" s="125"/>
      <c r="EWC312" s="125"/>
      <c r="EWD312" s="134"/>
      <c r="EWE312" s="135"/>
      <c r="EWF312" s="135"/>
      <c r="EWG312" s="135"/>
      <c r="EWH312" s="135"/>
      <c r="EWI312" s="173"/>
      <c r="EWJ312" s="173"/>
      <c r="EWK312" s="173"/>
      <c r="EWL312" s="173"/>
      <c r="EWM312" s="173"/>
      <c r="EWN312" s="173"/>
      <c r="EWO312" s="173"/>
      <c r="EWP312" s="173"/>
      <c r="EWQ312" s="173"/>
      <c r="EWR312" s="173"/>
      <c r="EWS312" s="125"/>
      <c r="EWT312" s="125"/>
      <c r="EWU312" s="134"/>
      <c r="EWV312" s="135"/>
      <c r="EWW312" s="135"/>
      <c r="EWX312" s="135"/>
      <c r="EWY312" s="135"/>
      <c r="EWZ312" s="173"/>
      <c r="EXA312" s="173"/>
      <c r="EXB312" s="173"/>
      <c r="EXC312" s="173"/>
      <c r="EXD312" s="173"/>
      <c r="EXE312" s="173"/>
      <c r="EXF312" s="173"/>
      <c r="EXG312" s="173"/>
      <c r="EXH312" s="173"/>
      <c r="EXI312" s="173"/>
      <c r="EXJ312" s="125"/>
      <c r="EXK312" s="125"/>
      <c r="EXL312" s="134"/>
      <c r="EXM312" s="135"/>
      <c r="EXN312" s="135"/>
      <c r="EXO312" s="135"/>
      <c r="EXP312" s="135"/>
      <c r="EXQ312" s="173"/>
      <c r="EXR312" s="173"/>
      <c r="EXS312" s="173"/>
      <c r="EXT312" s="173"/>
      <c r="EXU312" s="173"/>
      <c r="EXV312" s="173"/>
      <c r="EXW312" s="173"/>
      <c r="EXX312" s="173"/>
      <c r="EXY312" s="173"/>
      <c r="EXZ312" s="173"/>
      <c r="EYA312" s="125"/>
      <c r="EYB312" s="125"/>
      <c r="EYC312" s="134"/>
      <c r="EYD312" s="135"/>
      <c r="EYE312" s="135"/>
      <c r="EYF312" s="135"/>
      <c r="EYG312" s="135"/>
      <c r="EYH312" s="173"/>
      <c r="EYI312" s="173"/>
      <c r="EYJ312" s="173"/>
      <c r="EYK312" s="173"/>
      <c r="EYL312" s="173"/>
      <c r="EYM312" s="173"/>
      <c r="EYN312" s="173"/>
      <c r="EYO312" s="173"/>
      <c r="EYP312" s="173"/>
      <c r="EYQ312" s="173"/>
      <c r="EYR312" s="125"/>
      <c r="EYS312" s="125"/>
      <c r="EYT312" s="134"/>
      <c r="EYU312" s="135"/>
      <c r="EYV312" s="135"/>
      <c r="EYW312" s="135"/>
      <c r="EYX312" s="135"/>
      <c r="EYY312" s="173"/>
      <c r="EYZ312" s="173"/>
      <c r="EZA312" s="173"/>
      <c r="EZB312" s="173"/>
      <c r="EZC312" s="173"/>
      <c r="EZD312" s="173"/>
      <c r="EZE312" s="173"/>
      <c r="EZF312" s="173"/>
      <c r="EZG312" s="173"/>
      <c r="EZH312" s="173"/>
      <c r="EZI312" s="125"/>
      <c r="EZJ312" s="125"/>
      <c r="EZK312" s="134"/>
      <c r="EZL312" s="135"/>
      <c r="EZM312" s="135"/>
      <c r="EZN312" s="135"/>
      <c r="EZO312" s="135"/>
      <c r="EZP312" s="173"/>
      <c r="EZQ312" s="173"/>
      <c r="EZR312" s="173"/>
      <c r="EZS312" s="173"/>
      <c r="EZT312" s="173"/>
      <c r="EZU312" s="173"/>
      <c r="EZV312" s="173"/>
      <c r="EZW312" s="173"/>
      <c r="EZX312" s="173"/>
      <c r="EZY312" s="173"/>
      <c r="EZZ312" s="125"/>
      <c r="FAA312" s="125"/>
      <c r="FAB312" s="134"/>
      <c r="FAC312" s="135"/>
      <c r="FAD312" s="135"/>
      <c r="FAE312" s="135"/>
      <c r="FAF312" s="135"/>
      <c r="FAG312" s="173"/>
      <c r="FAH312" s="173"/>
      <c r="FAI312" s="173"/>
      <c r="FAJ312" s="173"/>
      <c r="FAK312" s="173"/>
      <c r="FAL312" s="173"/>
      <c r="FAM312" s="173"/>
      <c r="FAN312" s="173"/>
      <c r="FAO312" s="173"/>
      <c r="FAP312" s="173"/>
      <c r="FAQ312" s="125"/>
      <c r="FAR312" s="125"/>
      <c r="FAS312" s="134"/>
      <c r="FAT312" s="135"/>
      <c r="FAU312" s="135"/>
      <c r="FAV312" s="135"/>
      <c r="FAW312" s="135"/>
      <c r="FAX312" s="173"/>
      <c r="FAY312" s="173"/>
      <c r="FAZ312" s="173"/>
      <c r="FBA312" s="173"/>
      <c r="FBB312" s="173"/>
      <c r="FBC312" s="173"/>
      <c r="FBD312" s="173"/>
      <c r="FBE312" s="173"/>
      <c r="FBF312" s="173"/>
      <c r="FBG312" s="173"/>
      <c r="FBH312" s="125"/>
      <c r="FBI312" s="125"/>
      <c r="FBJ312" s="134"/>
      <c r="FBK312" s="135"/>
      <c r="FBL312" s="135"/>
      <c r="FBM312" s="135"/>
      <c r="FBN312" s="135"/>
      <c r="FBO312" s="173"/>
      <c r="FBP312" s="173"/>
      <c r="FBQ312" s="173"/>
      <c r="FBR312" s="173"/>
      <c r="FBS312" s="173"/>
      <c r="FBT312" s="173"/>
      <c r="FBU312" s="173"/>
      <c r="FBV312" s="173"/>
      <c r="FBW312" s="173"/>
      <c r="FBX312" s="173"/>
      <c r="FBY312" s="125"/>
      <c r="FBZ312" s="125"/>
      <c r="FCA312" s="134"/>
      <c r="FCB312" s="135"/>
      <c r="FCC312" s="135"/>
      <c r="FCD312" s="135"/>
      <c r="FCE312" s="135"/>
      <c r="FCF312" s="173"/>
      <c r="FCG312" s="173"/>
      <c r="FCH312" s="173"/>
      <c r="FCI312" s="173"/>
      <c r="FCJ312" s="173"/>
      <c r="FCK312" s="173"/>
      <c r="FCL312" s="173"/>
      <c r="FCM312" s="173"/>
      <c r="FCN312" s="173"/>
      <c r="FCO312" s="173"/>
      <c r="FCP312" s="125"/>
      <c r="FCQ312" s="125"/>
      <c r="FCR312" s="134"/>
      <c r="FCS312" s="135"/>
      <c r="FCT312" s="135"/>
      <c r="FCU312" s="135"/>
      <c r="FCV312" s="135"/>
      <c r="FCW312" s="173"/>
      <c r="FCX312" s="173"/>
      <c r="FCY312" s="173"/>
      <c r="FCZ312" s="173"/>
      <c r="FDA312" s="173"/>
      <c r="FDB312" s="173"/>
      <c r="FDC312" s="173"/>
      <c r="FDD312" s="173"/>
      <c r="FDE312" s="173"/>
      <c r="FDF312" s="173"/>
      <c r="FDG312" s="125"/>
      <c r="FDH312" s="125"/>
      <c r="FDI312" s="134"/>
      <c r="FDJ312" s="135"/>
      <c r="FDK312" s="135"/>
      <c r="FDL312" s="135"/>
      <c r="FDM312" s="135"/>
      <c r="FDN312" s="173"/>
      <c r="FDO312" s="173"/>
      <c r="FDP312" s="173"/>
      <c r="FDQ312" s="173"/>
      <c r="FDR312" s="173"/>
      <c r="FDS312" s="173"/>
      <c r="FDT312" s="173"/>
      <c r="FDU312" s="173"/>
      <c r="FDV312" s="173"/>
      <c r="FDW312" s="173"/>
      <c r="FDX312" s="125"/>
      <c r="FDY312" s="125"/>
      <c r="FDZ312" s="134"/>
      <c r="FEA312" s="135"/>
      <c r="FEB312" s="135"/>
      <c r="FEC312" s="135"/>
      <c r="FED312" s="135"/>
      <c r="FEE312" s="173"/>
      <c r="FEF312" s="173"/>
      <c r="FEG312" s="173"/>
      <c r="FEH312" s="173"/>
      <c r="FEI312" s="173"/>
      <c r="FEJ312" s="173"/>
      <c r="FEK312" s="173"/>
      <c r="FEL312" s="173"/>
      <c r="FEM312" s="173"/>
      <c r="FEN312" s="173"/>
      <c r="FEO312" s="125"/>
      <c r="FEP312" s="125"/>
      <c r="FEQ312" s="134"/>
      <c r="FER312" s="135"/>
      <c r="FES312" s="135"/>
      <c r="FET312" s="135"/>
      <c r="FEU312" s="135"/>
      <c r="FEV312" s="173"/>
      <c r="FEW312" s="173"/>
      <c r="FEX312" s="173"/>
      <c r="FEY312" s="173"/>
      <c r="FEZ312" s="173"/>
      <c r="FFA312" s="173"/>
      <c r="FFB312" s="173"/>
      <c r="FFC312" s="173"/>
      <c r="FFD312" s="173"/>
      <c r="FFE312" s="173"/>
      <c r="FFF312" s="125"/>
      <c r="FFG312" s="125"/>
      <c r="FFH312" s="134"/>
      <c r="FFI312" s="135"/>
      <c r="FFJ312" s="135"/>
      <c r="FFK312" s="135"/>
      <c r="FFL312" s="135"/>
      <c r="FFM312" s="173"/>
      <c r="FFN312" s="173"/>
      <c r="FFO312" s="173"/>
      <c r="FFP312" s="173"/>
      <c r="FFQ312" s="173"/>
      <c r="FFR312" s="173"/>
      <c r="FFS312" s="173"/>
      <c r="FFT312" s="173"/>
      <c r="FFU312" s="173"/>
      <c r="FFV312" s="173"/>
      <c r="FFW312" s="125"/>
      <c r="FFX312" s="125"/>
      <c r="FFY312" s="134"/>
      <c r="FFZ312" s="135"/>
      <c r="FGA312" s="135"/>
      <c r="FGB312" s="135"/>
      <c r="FGC312" s="135"/>
      <c r="FGD312" s="173"/>
      <c r="FGE312" s="173"/>
      <c r="FGF312" s="173"/>
      <c r="FGG312" s="173"/>
      <c r="FGH312" s="173"/>
      <c r="FGI312" s="173"/>
      <c r="FGJ312" s="173"/>
      <c r="FGK312" s="173"/>
      <c r="FGL312" s="173"/>
      <c r="FGM312" s="173"/>
      <c r="FGN312" s="125"/>
      <c r="FGO312" s="125"/>
      <c r="FGP312" s="134"/>
      <c r="FGQ312" s="135"/>
      <c r="FGR312" s="135"/>
      <c r="FGS312" s="135"/>
      <c r="FGT312" s="135"/>
      <c r="FGU312" s="173"/>
      <c r="FGV312" s="173"/>
      <c r="FGW312" s="173"/>
      <c r="FGX312" s="173"/>
      <c r="FGY312" s="173"/>
      <c r="FGZ312" s="173"/>
      <c r="FHA312" s="173"/>
      <c r="FHB312" s="173"/>
      <c r="FHC312" s="173"/>
      <c r="FHD312" s="173"/>
      <c r="FHE312" s="125"/>
      <c r="FHF312" s="125"/>
      <c r="FHG312" s="134"/>
      <c r="FHH312" s="135"/>
      <c r="FHI312" s="135"/>
      <c r="FHJ312" s="135"/>
      <c r="FHK312" s="135"/>
      <c r="FHL312" s="173"/>
      <c r="FHM312" s="173"/>
      <c r="FHN312" s="173"/>
      <c r="FHO312" s="173"/>
      <c r="FHP312" s="173"/>
      <c r="FHQ312" s="173"/>
      <c r="FHR312" s="173"/>
      <c r="FHS312" s="173"/>
      <c r="FHT312" s="173"/>
      <c r="FHU312" s="173"/>
      <c r="FHV312" s="125"/>
      <c r="FHW312" s="125"/>
      <c r="FHX312" s="134"/>
      <c r="FHY312" s="135"/>
      <c r="FHZ312" s="135"/>
      <c r="FIA312" s="135"/>
      <c r="FIB312" s="135"/>
      <c r="FIC312" s="173"/>
      <c r="FID312" s="173"/>
      <c r="FIE312" s="173"/>
      <c r="FIF312" s="173"/>
      <c r="FIG312" s="173"/>
      <c r="FIH312" s="173"/>
      <c r="FII312" s="173"/>
      <c r="FIJ312" s="173"/>
      <c r="FIK312" s="173"/>
      <c r="FIL312" s="173"/>
      <c r="FIM312" s="125"/>
      <c r="FIN312" s="125"/>
      <c r="FIO312" s="134"/>
      <c r="FIP312" s="135"/>
      <c r="FIQ312" s="135"/>
      <c r="FIR312" s="135"/>
      <c r="FIS312" s="135"/>
      <c r="FIT312" s="173"/>
      <c r="FIU312" s="173"/>
      <c r="FIV312" s="173"/>
      <c r="FIW312" s="173"/>
      <c r="FIX312" s="173"/>
      <c r="FIY312" s="173"/>
      <c r="FIZ312" s="173"/>
      <c r="FJA312" s="173"/>
      <c r="FJB312" s="173"/>
      <c r="FJC312" s="173"/>
      <c r="FJD312" s="125"/>
      <c r="FJE312" s="125"/>
      <c r="FJF312" s="134"/>
      <c r="FJG312" s="135"/>
      <c r="FJH312" s="135"/>
      <c r="FJI312" s="135"/>
      <c r="FJJ312" s="135"/>
      <c r="FJK312" s="173"/>
      <c r="FJL312" s="173"/>
      <c r="FJM312" s="173"/>
      <c r="FJN312" s="173"/>
      <c r="FJO312" s="173"/>
      <c r="FJP312" s="173"/>
      <c r="FJQ312" s="173"/>
      <c r="FJR312" s="173"/>
      <c r="FJS312" s="173"/>
      <c r="FJT312" s="173"/>
      <c r="FJU312" s="125"/>
      <c r="FJV312" s="125"/>
      <c r="FJW312" s="134"/>
      <c r="FJX312" s="135"/>
      <c r="FJY312" s="135"/>
      <c r="FJZ312" s="135"/>
      <c r="FKA312" s="135"/>
      <c r="FKB312" s="173"/>
      <c r="FKC312" s="173"/>
      <c r="FKD312" s="173"/>
      <c r="FKE312" s="173"/>
      <c r="FKF312" s="173"/>
      <c r="FKG312" s="173"/>
      <c r="FKH312" s="173"/>
      <c r="FKI312" s="173"/>
      <c r="FKJ312" s="173"/>
      <c r="FKK312" s="173"/>
      <c r="FKL312" s="125"/>
      <c r="FKM312" s="125"/>
      <c r="FKN312" s="134"/>
      <c r="FKO312" s="135"/>
      <c r="FKP312" s="135"/>
      <c r="FKQ312" s="135"/>
      <c r="FKR312" s="135"/>
      <c r="FKS312" s="173"/>
      <c r="FKT312" s="173"/>
      <c r="FKU312" s="173"/>
      <c r="FKV312" s="173"/>
      <c r="FKW312" s="173"/>
      <c r="FKX312" s="173"/>
      <c r="FKY312" s="173"/>
      <c r="FKZ312" s="173"/>
      <c r="FLA312" s="173"/>
      <c r="FLB312" s="173"/>
      <c r="FLC312" s="125"/>
      <c r="FLD312" s="125"/>
      <c r="FLE312" s="134"/>
      <c r="FLF312" s="135"/>
      <c r="FLG312" s="135"/>
      <c r="FLH312" s="135"/>
      <c r="FLI312" s="135"/>
      <c r="FLJ312" s="173"/>
      <c r="FLK312" s="173"/>
      <c r="FLL312" s="173"/>
      <c r="FLM312" s="173"/>
      <c r="FLN312" s="173"/>
      <c r="FLO312" s="173"/>
      <c r="FLP312" s="173"/>
      <c r="FLQ312" s="173"/>
      <c r="FLR312" s="173"/>
      <c r="FLS312" s="173"/>
      <c r="FLT312" s="125"/>
      <c r="FLU312" s="125"/>
      <c r="FLV312" s="134"/>
      <c r="FLW312" s="135"/>
      <c r="FLX312" s="135"/>
      <c r="FLY312" s="135"/>
      <c r="FLZ312" s="135"/>
      <c r="FMA312" s="173"/>
      <c r="FMB312" s="173"/>
      <c r="FMC312" s="173"/>
      <c r="FMD312" s="173"/>
      <c r="FME312" s="173"/>
      <c r="FMF312" s="173"/>
      <c r="FMG312" s="173"/>
      <c r="FMH312" s="173"/>
      <c r="FMI312" s="173"/>
      <c r="FMJ312" s="173"/>
      <c r="FMK312" s="125"/>
      <c r="FML312" s="125"/>
      <c r="FMM312" s="134"/>
      <c r="FMN312" s="135"/>
      <c r="FMO312" s="135"/>
      <c r="FMP312" s="135"/>
      <c r="FMQ312" s="135"/>
      <c r="FMR312" s="173"/>
      <c r="FMS312" s="173"/>
      <c r="FMT312" s="173"/>
      <c r="FMU312" s="173"/>
      <c r="FMV312" s="173"/>
      <c r="FMW312" s="173"/>
      <c r="FMX312" s="173"/>
      <c r="FMY312" s="173"/>
      <c r="FMZ312" s="173"/>
      <c r="FNA312" s="173"/>
      <c r="FNB312" s="125"/>
      <c r="FNC312" s="125"/>
      <c r="FND312" s="134"/>
      <c r="FNE312" s="135"/>
      <c r="FNF312" s="135"/>
      <c r="FNG312" s="135"/>
      <c r="FNH312" s="135"/>
      <c r="FNI312" s="173"/>
      <c r="FNJ312" s="173"/>
      <c r="FNK312" s="173"/>
      <c r="FNL312" s="173"/>
      <c r="FNM312" s="173"/>
      <c r="FNN312" s="173"/>
      <c r="FNO312" s="173"/>
      <c r="FNP312" s="173"/>
      <c r="FNQ312" s="173"/>
      <c r="FNR312" s="173"/>
      <c r="FNS312" s="125"/>
      <c r="FNT312" s="125"/>
      <c r="FNU312" s="134"/>
      <c r="FNV312" s="135"/>
      <c r="FNW312" s="135"/>
      <c r="FNX312" s="135"/>
      <c r="FNY312" s="135"/>
      <c r="FNZ312" s="173"/>
      <c r="FOA312" s="173"/>
      <c r="FOB312" s="173"/>
      <c r="FOC312" s="173"/>
      <c r="FOD312" s="173"/>
      <c r="FOE312" s="173"/>
      <c r="FOF312" s="173"/>
      <c r="FOG312" s="173"/>
      <c r="FOH312" s="173"/>
      <c r="FOI312" s="173"/>
      <c r="FOJ312" s="125"/>
      <c r="FOK312" s="125"/>
      <c r="FOL312" s="134"/>
      <c r="FOM312" s="135"/>
      <c r="FON312" s="135"/>
      <c r="FOO312" s="135"/>
      <c r="FOP312" s="135"/>
      <c r="FOQ312" s="173"/>
      <c r="FOR312" s="173"/>
      <c r="FOS312" s="173"/>
      <c r="FOT312" s="173"/>
      <c r="FOU312" s="173"/>
      <c r="FOV312" s="173"/>
      <c r="FOW312" s="173"/>
      <c r="FOX312" s="173"/>
      <c r="FOY312" s="173"/>
      <c r="FOZ312" s="173"/>
      <c r="FPA312" s="125"/>
      <c r="FPB312" s="125"/>
      <c r="FPC312" s="134"/>
      <c r="FPD312" s="135"/>
      <c r="FPE312" s="135"/>
      <c r="FPF312" s="135"/>
      <c r="FPG312" s="135"/>
      <c r="FPH312" s="173"/>
      <c r="FPI312" s="173"/>
      <c r="FPJ312" s="173"/>
      <c r="FPK312" s="173"/>
      <c r="FPL312" s="173"/>
      <c r="FPM312" s="173"/>
      <c r="FPN312" s="173"/>
      <c r="FPO312" s="173"/>
      <c r="FPP312" s="173"/>
      <c r="FPQ312" s="173"/>
      <c r="FPR312" s="125"/>
      <c r="FPS312" s="125"/>
      <c r="FPT312" s="134"/>
      <c r="FPU312" s="135"/>
      <c r="FPV312" s="135"/>
      <c r="FPW312" s="135"/>
      <c r="FPX312" s="135"/>
      <c r="FPY312" s="173"/>
      <c r="FPZ312" s="173"/>
      <c r="FQA312" s="173"/>
      <c r="FQB312" s="173"/>
      <c r="FQC312" s="173"/>
      <c r="FQD312" s="173"/>
      <c r="FQE312" s="173"/>
      <c r="FQF312" s="173"/>
      <c r="FQG312" s="173"/>
      <c r="FQH312" s="173"/>
      <c r="FQI312" s="125"/>
      <c r="FQJ312" s="125"/>
      <c r="FQK312" s="134"/>
      <c r="FQL312" s="135"/>
      <c r="FQM312" s="135"/>
      <c r="FQN312" s="135"/>
      <c r="FQO312" s="135"/>
      <c r="FQP312" s="173"/>
      <c r="FQQ312" s="173"/>
      <c r="FQR312" s="173"/>
      <c r="FQS312" s="173"/>
      <c r="FQT312" s="173"/>
      <c r="FQU312" s="173"/>
      <c r="FQV312" s="173"/>
      <c r="FQW312" s="173"/>
      <c r="FQX312" s="173"/>
      <c r="FQY312" s="173"/>
      <c r="FQZ312" s="125"/>
      <c r="FRA312" s="125"/>
      <c r="FRB312" s="134"/>
      <c r="FRC312" s="135"/>
      <c r="FRD312" s="135"/>
      <c r="FRE312" s="135"/>
      <c r="FRF312" s="135"/>
      <c r="FRG312" s="173"/>
      <c r="FRH312" s="173"/>
      <c r="FRI312" s="173"/>
      <c r="FRJ312" s="173"/>
      <c r="FRK312" s="173"/>
      <c r="FRL312" s="173"/>
      <c r="FRM312" s="173"/>
      <c r="FRN312" s="173"/>
      <c r="FRO312" s="173"/>
      <c r="FRP312" s="173"/>
      <c r="FRQ312" s="125"/>
      <c r="FRR312" s="125"/>
      <c r="FRS312" s="134"/>
      <c r="FRT312" s="135"/>
      <c r="FRU312" s="135"/>
      <c r="FRV312" s="135"/>
      <c r="FRW312" s="135"/>
      <c r="FRX312" s="173"/>
      <c r="FRY312" s="173"/>
      <c r="FRZ312" s="173"/>
      <c r="FSA312" s="173"/>
      <c r="FSB312" s="173"/>
      <c r="FSC312" s="173"/>
      <c r="FSD312" s="173"/>
      <c r="FSE312" s="173"/>
      <c r="FSF312" s="173"/>
      <c r="FSG312" s="173"/>
      <c r="FSH312" s="125"/>
      <c r="FSI312" s="125"/>
      <c r="FSJ312" s="134"/>
      <c r="FSK312" s="135"/>
      <c r="FSL312" s="135"/>
      <c r="FSM312" s="135"/>
      <c r="FSN312" s="135"/>
      <c r="FSO312" s="173"/>
      <c r="FSP312" s="173"/>
      <c r="FSQ312" s="173"/>
      <c r="FSR312" s="173"/>
      <c r="FSS312" s="173"/>
      <c r="FST312" s="173"/>
      <c r="FSU312" s="173"/>
      <c r="FSV312" s="173"/>
      <c r="FSW312" s="173"/>
      <c r="FSX312" s="173"/>
      <c r="FSY312" s="125"/>
      <c r="FSZ312" s="125"/>
      <c r="FTA312" s="134"/>
      <c r="FTB312" s="135"/>
      <c r="FTC312" s="135"/>
      <c r="FTD312" s="135"/>
      <c r="FTE312" s="135"/>
      <c r="FTF312" s="173"/>
      <c r="FTG312" s="173"/>
      <c r="FTH312" s="173"/>
      <c r="FTI312" s="173"/>
      <c r="FTJ312" s="173"/>
      <c r="FTK312" s="173"/>
      <c r="FTL312" s="173"/>
      <c r="FTM312" s="173"/>
      <c r="FTN312" s="173"/>
      <c r="FTO312" s="173"/>
      <c r="FTP312" s="125"/>
      <c r="FTQ312" s="125"/>
      <c r="FTR312" s="134"/>
      <c r="FTS312" s="135"/>
      <c r="FTT312" s="135"/>
      <c r="FTU312" s="135"/>
      <c r="FTV312" s="135"/>
      <c r="FTW312" s="173"/>
      <c r="FTX312" s="173"/>
      <c r="FTY312" s="173"/>
      <c r="FTZ312" s="173"/>
      <c r="FUA312" s="173"/>
      <c r="FUB312" s="173"/>
      <c r="FUC312" s="173"/>
      <c r="FUD312" s="173"/>
      <c r="FUE312" s="173"/>
      <c r="FUF312" s="173"/>
      <c r="FUG312" s="125"/>
      <c r="FUH312" s="125"/>
      <c r="FUI312" s="134"/>
      <c r="FUJ312" s="135"/>
      <c r="FUK312" s="135"/>
      <c r="FUL312" s="135"/>
      <c r="FUM312" s="135"/>
      <c r="FUN312" s="173"/>
      <c r="FUO312" s="173"/>
      <c r="FUP312" s="173"/>
      <c r="FUQ312" s="173"/>
      <c r="FUR312" s="173"/>
      <c r="FUS312" s="173"/>
      <c r="FUT312" s="173"/>
      <c r="FUU312" s="173"/>
      <c r="FUV312" s="173"/>
      <c r="FUW312" s="173"/>
      <c r="FUX312" s="125"/>
      <c r="FUY312" s="125"/>
      <c r="FUZ312" s="134"/>
      <c r="FVA312" s="135"/>
      <c r="FVB312" s="135"/>
      <c r="FVC312" s="135"/>
      <c r="FVD312" s="135"/>
      <c r="FVE312" s="173"/>
      <c r="FVF312" s="173"/>
      <c r="FVG312" s="173"/>
      <c r="FVH312" s="173"/>
      <c r="FVI312" s="173"/>
      <c r="FVJ312" s="173"/>
      <c r="FVK312" s="173"/>
      <c r="FVL312" s="173"/>
      <c r="FVM312" s="173"/>
      <c r="FVN312" s="173"/>
      <c r="FVO312" s="125"/>
      <c r="FVP312" s="125"/>
      <c r="FVQ312" s="134"/>
      <c r="FVR312" s="135"/>
      <c r="FVS312" s="135"/>
      <c r="FVT312" s="135"/>
      <c r="FVU312" s="135"/>
      <c r="FVV312" s="173"/>
      <c r="FVW312" s="173"/>
      <c r="FVX312" s="173"/>
      <c r="FVY312" s="173"/>
      <c r="FVZ312" s="173"/>
      <c r="FWA312" s="173"/>
      <c r="FWB312" s="173"/>
      <c r="FWC312" s="173"/>
      <c r="FWD312" s="173"/>
      <c r="FWE312" s="173"/>
      <c r="FWF312" s="125"/>
      <c r="FWG312" s="125"/>
      <c r="FWH312" s="134"/>
      <c r="FWI312" s="135"/>
      <c r="FWJ312" s="135"/>
      <c r="FWK312" s="135"/>
      <c r="FWL312" s="135"/>
      <c r="FWM312" s="173"/>
      <c r="FWN312" s="173"/>
      <c r="FWO312" s="173"/>
      <c r="FWP312" s="173"/>
      <c r="FWQ312" s="173"/>
      <c r="FWR312" s="173"/>
      <c r="FWS312" s="173"/>
      <c r="FWT312" s="173"/>
      <c r="FWU312" s="173"/>
      <c r="FWV312" s="173"/>
      <c r="FWW312" s="125"/>
      <c r="FWX312" s="125"/>
      <c r="FWY312" s="134"/>
      <c r="FWZ312" s="135"/>
      <c r="FXA312" s="135"/>
      <c r="FXB312" s="135"/>
      <c r="FXC312" s="135"/>
      <c r="FXD312" s="173"/>
      <c r="FXE312" s="173"/>
      <c r="FXF312" s="173"/>
      <c r="FXG312" s="173"/>
      <c r="FXH312" s="173"/>
      <c r="FXI312" s="173"/>
      <c r="FXJ312" s="173"/>
      <c r="FXK312" s="173"/>
      <c r="FXL312" s="173"/>
      <c r="FXM312" s="173"/>
      <c r="FXN312" s="125"/>
      <c r="FXO312" s="125"/>
      <c r="FXP312" s="134"/>
      <c r="FXQ312" s="135"/>
      <c r="FXR312" s="135"/>
      <c r="FXS312" s="135"/>
      <c r="FXT312" s="135"/>
      <c r="FXU312" s="173"/>
      <c r="FXV312" s="173"/>
      <c r="FXW312" s="173"/>
      <c r="FXX312" s="173"/>
      <c r="FXY312" s="173"/>
      <c r="FXZ312" s="173"/>
      <c r="FYA312" s="173"/>
      <c r="FYB312" s="173"/>
      <c r="FYC312" s="173"/>
      <c r="FYD312" s="173"/>
      <c r="FYE312" s="125"/>
      <c r="FYF312" s="125"/>
      <c r="FYG312" s="134"/>
      <c r="FYH312" s="135"/>
      <c r="FYI312" s="135"/>
      <c r="FYJ312" s="135"/>
      <c r="FYK312" s="135"/>
      <c r="FYL312" s="173"/>
      <c r="FYM312" s="173"/>
      <c r="FYN312" s="173"/>
      <c r="FYO312" s="173"/>
      <c r="FYP312" s="173"/>
      <c r="FYQ312" s="173"/>
      <c r="FYR312" s="173"/>
      <c r="FYS312" s="173"/>
      <c r="FYT312" s="173"/>
      <c r="FYU312" s="173"/>
      <c r="FYV312" s="125"/>
      <c r="FYW312" s="125"/>
      <c r="FYX312" s="134"/>
      <c r="FYY312" s="135"/>
      <c r="FYZ312" s="135"/>
      <c r="FZA312" s="135"/>
      <c r="FZB312" s="135"/>
      <c r="FZC312" s="173"/>
      <c r="FZD312" s="173"/>
      <c r="FZE312" s="173"/>
      <c r="FZF312" s="173"/>
      <c r="FZG312" s="173"/>
      <c r="FZH312" s="173"/>
      <c r="FZI312" s="173"/>
      <c r="FZJ312" s="173"/>
      <c r="FZK312" s="173"/>
      <c r="FZL312" s="173"/>
      <c r="FZM312" s="125"/>
      <c r="FZN312" s="125"/>
      <c r="FZO312" s="134"/>
      <c r="FZP312" s="135"/>
      <c r="FZQ312" s="135"/>
      <c r="FZR312" s="135"/>
      <c r="FZS312" s="135"/>
      <c r="FZT312" s="173"/>
      <c r="FZU312" s="173"/>
      <c r="FZV312" s="173"/>
      <c r="FZW312" s="173"/>
      <c r="FZX312" s="173"/>
      <c r="FZY312" s="173"/>
      <c r="FZZ312" s="173"/>
      <c r="GAA312" s="173"/>
      <c r="GAB312" s="173"/>
      <c r="GAC312" s="173"/>
      <c r="GAD312" s="125"/>
      <c r="GAE312" s="125"/>
      <c r="GAF312" s="134"/>
      <c r="GAG312" s="135"/>
      <c r="GAH312" s="135"/>
      <c r="GAI312" s="135"/>
      <c r="GAJ312" s="135"/>
      <c r="GAK312" s="173"/>
      <c r="GAL312" s="173"/>
      <c r="GAM312" s="173"/>
      <c r="GAN312" s="173"/>
      <c r="GAO312" s="173"/>
      <c r="GAP312" s="173"/>
      <c r="GAQ312" s="173"/>
      <c r="GAR312" s="173"/>
      <c r="GAS312" s="173"/>
      <c r="GAT312" s="173"/>
      <c r="GAU312" s="125"/>
      <c r="GAV312" s="125"/>
      <c r="GAW312" s="134"/>
      <c r="GAX312" s="135"/>
      <c r="GAY312" s="135"/>
      <c r="GAZ312" s="135"/>
      <c r="GBA312" s="135"/>
      <c r="GBB312" s="173"/>
      <c r="GBC312" s="173"/>
      <c r="GBD312" s="173"/>
      <c r="GBE312" s="173"/>
      <c r="GBF312" s="173"/>
      <c r="GBG312" s="173"/>
      <c r="GBH312" s="173"/>
      <c r="GBI312" s="173"/>
      <c r="GBJ312" s="173"/>
      <c r="GBK312" s="173"/>
      <c r="GBL312" s="125"/>
      <c r="GBM312" s="125"/>
      <c r="GBN312" s="134"/>
      <c r="GBO312" s="135"/>
      <c r="GBP312" s="135"/>
      <c r="GBQ312" s="135"/>
      <c r="GBR312" s="135"/>
      <c r="GBS312" s="173"/>
      <c r="GBT312" s="173"/>
      <c r="GBU312" s="173"/>
      <c r="GBV312" s="173"/>
      <c r="GBW312" s="173"/>
      <c r="GBX312" s="173"/>
      <c r="GBY312" s="173"/>
      <c r="GBZ312" s="173"/>
      <c r="GCA312" s="173"/>
      <c r="GCB312" s="173"/>
      <c r="GCC312" s="125"/>
      <c r="GCD312" s="125"/>
      <c r="GCE312" s="134"/>
      <c r="GCF312" s="135"/>
      <c r="GCG312" s="135"/>
      <c r="GCH312" s="135"/>
      <c r="GCI312" s="135"/>
      <c r="GCJ312" s="173"/>
      <c r="GCK312" s="173"/>
      <c r="GCL312" s="173"/>
      <c r="GCM312" s="173"/>
      <c r="GCN312" s="173"/>
      <c r="GCO312" s="173"/>
      <c r="GCP312" s="173"/>
      <c r="GCQ312" s="173"/>
      <c r="GCR312" s="173"/>
      <c r="GCS312" s="173"/>
      <c r="GCT312" s="125"/>
      <c r="GCU312" s="125"/>
      <c r="GCV312" s="134"/>
      <c r="GCW312" s="135"/>
      <c r="GCX312" s="135"/>
      <c r="GCY312" s="135"/>
      <c r="GCZ312" s="135"/>
      <c r="GDA312" s="173"/>
      <c r="GDB312" s="173"/>
      <c r="GDC312" s="173"/>
      <c r="GDD312" s="173"/>
      <c r="GDE312" s="173"/>
      <c r="GDF312" s="173"/>
      <c r="GDG312" s="173"/>
      <c r="GDH312" s="173"/>
      <c r="GDI312" s="173"/>
      <c r="GDJ312" s="173"/>
      <c r="GDK312" s="125"/>
      <c r="GDL312" s="125"/>
      <c r="GDM312" s="134"/>
      <c r="GDN312" s="135"/>
      <c r="GDO312" s="135"/>
      <c r="GDP312" s="135"/>
      <c r="GDQ312" s="135"/>
      <c r="GDR312" s="173"/>
      <c r="GDS312" s="173"/>
      <c r="GDT312" s="173"/>
      <c r="GDU312" s="173"/>
      <c r="GDV312" s="173"/>
      <c r="GDW312" s="173"/>
      <c r="GDX312" s="173"/>
      <c r="GDY312" s="173"/>
      <c r="GDZ312" s="173"/>
      <c r="GEA312" s="173"/>
      <c r="GEB312" s="125"/>
      <c r="GEC312" s="125"/>
      <c r="GED312" s="134"/>
      <c r="GEE312" s="135"/>
      <c r="GEF312" s="135"/>
      <c r="GEG312" s="135"/>
      <c r="GEH312" s="135"/>
      <c r="GEI312" s="173"/>
      <c r="GEJ312" s="173"/>
      <c r="GEK312" s="173"/>
      <c r="GEL312" s="173"/>
      <c r="GEM312" s="173"/>
      <c r="GEN312" s="173"/>
      <c r="GEO312" s="173"/>
      <c r="GEP312" s="173"/>
      <c r="GEQ312" s="173"/>
      <c r="GER312" s="173"/>
      <c r="GES312" s="125"/>
      <c r="GET312" s="125"/>
      <c r="GEU312" s="134"/>
      <c r="GEV312" s="135"/>
      <c r="GEW312" s="135"/>
      <c r="GEX312" s="135"/>
      <c r="GEY312" s="135"/>
      <c r="GEZ312" s="173"/>
      <c r="GFA312" s="173"/>
      <c r="GFB312" s="173"/>
      <c r="GFC312" s="173"/>
      <c r="GFD312" s="173"/>
      <c r="GFE312" s="173"/>
      <c r="GFF312" s="173"/>
      <c r="GFG312" s="173"/>
      <c r="GFH312" s="173"/>
      <c r="GFI312" s="173"/>
      <c r="GFJ312" s="125"/>
      <c r="GFK312" s="125"/>
      <c r="GFL312" s="134"/>
      <c r="GFM312" s="135"/>
      <c r="GFN312" s="135"/>
      <c r="GFO312" s="135"/>
      <c r="GFP312" s="135"/>
      <c r="GFQ312" s="173"/>
      <c r="GFR312" s="173"/>
      <c r="GFS312" s="173"/>
      <c r="GFT312" s="173"/>
      <c r="GFU312" s="173"/>
      <c r="GFV312" s="173"/>
      <c r="GFW312" s="173"/>
      <c r="GFX312" s="173"/>
      <c r="GFY312" s="173"/>
      <c r="GFZ312" s="173"/>
      <c r="GGA312" s="125"/>
      <c r="GGB312" s="125"/>
      <c r="GGC312" s="134"/>
      <c r="GGD312" s="135"/>
      <c r="GGE312" s="135"/>
      <c r="GGF312" s="135"/>
      <c r="GGG312" s="135"/>
      <c r="GGH312" s="173"/>
      <c r="GGI312" s="173"/>
      <c r="GGJ312" s="173"/>
      <c r="GGK312" s="173"/>
      <c r="GGL312" s="173"/>
      <c r="GGM312" s="173"/>
      <c r="GGN312" s="173"/>
      <c r="GGO312" s="173"/>
      <c r="GGP312" s="173"/>
      <c r="GGQ312" s="173"/>
      <c r="GGR312" s="125"/>
      <c r="GGS312" s="125"/>
      <c r="GGT312" s="134"/>
      <c r="GGU312" s="135"/>
      <c r="GGV312" s="135"/>
      <c r="GGW312" s="135"/>
      <c r="GGX312" s="135"/>
      <c r="GGY312" s="173"/>
      <c r="GGZ312" s="173"/>
      <c r="GHA312" s="173"/>
      <c r="GHB312" s="173"/>
      <c r="GHC312" s="173"/>
      <c r="GHD312" s="173"/>
      <c r="GHE312" s="173"/>
      <c r="GHF312" s="173"/>
      <c r="GHG312" s="173"/>
      <c r="GHH312" s="173"/>
      <c r="GHI312" s="125"/>
      <c r="GHJ312" s="125"/>
      <c r="GHK312" s="134"/>
      <c r="GHL312" s="135"/>
      <c r="GHM312" s="135"/>
      <c r="GHN312" s="135"/>
      <c r="GHO312" s="135"/>
      <c r="GHP312" s="173"/>
      <c r="GHQ312" s="173"/>
      <c r="GHR312" s="173"/>
      <c r="GHS312" s="173"/>
      <c r="GHT312" s="173"/>
      <c r="GHU312" s="173"/>
      <c r="GHV312" s="173"/>
      <c r="GHW312" s="173"/>
      <c r="GHX312" s="173"/>
      <c r="GHY312" s="173"/>
      <c r="GHZ312" s="125"/>
      <c r="GIA312" s="125"/>
      <c r="GIB312" s="134"/>
      <c r="GIC312" s="135"/>
      <c r="GID312" s="135"/>
      <c r="GIE312" s="135"/>
      <c r="GIF312" s="135"/>
      <c r="GIG312" s="173"/>
      <c r="GIH312" s="173"/>
      <c r="GII312" s="173"/>
      <c r="GIJ312" s="173"/>
      <c r="GIK312" s="173"/>
      <c r="GIL312" s="173"/>
      <c r="GIM312" s="173"/>
      <c r="GIN312" s="173"/>
      <c r="GIO312" s="173"/>
      <c r="GIP312" s="173"/>
      <c r="GIQ312" s="125"/>
      <c r="GIR312" s="125"/>
      <c r="GIS312" s="134"/>
      <c r="GIT312" s="135"/>
      <c r="GIU312" s="135"/>
      <c r="GIV312" s="135"/>
      <c r="GIW312" s="135"/>
      <c r="GIX312" s="173"/>
      <c r="GIY312" s="173"/>
      <c r="GIZ312" s="173"/>
      <c r="GJA312" s="173"/>
      <c r="GJB312" s="173"/>
      <c r="GJC312" s="173"/>
      <c r="GJD312" s="173"/>
      <c r="GJE312" s="173"/>
      <c r="GJF312" s="173"/>
      <c r="GJG312" s="173"/>
      <c r="GJH312" s="125"/>
      <c r="GJI312" s="125"/>
      <c r="GJJ312" s="134"/>
      <c r="GJK312" s="135"/>
      <c r="GJL312" s="135"/>
      <c r="GJM312" s="135"/>
      <c r="GJN312" s="135"/>
      <c r="GJO312" s="173"/>
      <c r="GJP312" s="173"/>
      <c r="GJQ312" s="173"/>
      <c r="GJR312" s="173"/>
      <c r="GJS312" s="173"/>
      <c r="GJT312" s="173"/>
      <c r="GJU312" s="173"/>
      <c r="GJV312" s="173"/>
      <c r="GJW312" s="173"/>
      <c r="GJX312" s="173"/>
      <c r="GJY312" s="125"/>
      <c r="GJZ312" s="125"/>
      <c r="GKA312" s="134"/>
      <c r="GKB312" s="135"/>
      <c r="GKC312" s="135"/>
      <c r="GKD312" s="135"/>
      <c r="GKE312" s="135"/>
      <c r="GKF312" s="173"/>
      <c r="GKG312" s="173"/>
      <c r="GKH312" s="173"/>
      <c r="GKI312" s="173"/>
      <c r="GKJ312" s="173"/>
      <c r="GKK312" s="173"/>
      <c r="GKL312" s="173"/>
      <c r="GKM312" s="173"/>
      <c r="GKN312" s="173"/>
      <c r="GKO312" s="173"/>
      <c r="GKP312" s="125"/>
      <c r="GKQ312" s="125"/>
      <c r="GKR312" s="134"/>
      <c r="GKS312" s="135"/>
      <c r="GKT312" s="135"/>
      <c r="GKU312" s="135"/>
      <c r="GKV312" s="135"/>
      <c r="GKW312" s="173"/>
      <c r="GKX312" s="173"/>
      <c r="GKY312" s="173"/>
      <c r="GKZ312" s="173"/>
      <c r="GLA312" s="173"/>
      <c r="GLB312" s="173"/>
      <c r="GLC312" s="173"/>
      <c r="GLD312" s="173"/>
      <c r="GLE312" s="173"/>
      <c r="GLF312" s="173"/>
      <c r="GLG312" s="125"/>
      <c r="GLH312" s="125"/>
      <c r="GLI312" s="134"/>
      <c r="GLJ312" s="135"/>
      <c r="GLK312" s="135"/>
      <c r="GLL312" s="135"/>
      <c r="GLM312" s="135"/>
      <c r="GLN312" s="173"/>
      <c r="GLO312" s="173"/>
      <c r="GLP312" s="173"/>
      <c r="GLQ312" s="173"/>
      <c r="GLR312" s="173"/>
      <c r="GLS312" s="173"/>
      <c r="GLT312" s="173"/>
      <c r="GLU312" s="173"/>
      <c r="GLV312" s="173"/>
      <c r="GLW312" s="173"/>
      <c r="GLX312" s="125"/>
      <c r="GLY312" s="125"/>
      <c r="GLZ312" s="134"/>
      <c r="GMA312" s="135"/>
      <c r="GMB312" s="135"/>
      <c r="GMC312" s="135"/>
      <c r="GMD312" s="135"/>
      <c r="GME312" s="173"/>
      <c r="GMF312" s="173"/>
      <c r="GMG312" s="173"/>
      <c r="GMH312" s="173"/>
      <c r="GMI312" s="173"/>
      <c r="GMJ312" s="173"/>
      <c r="GMK312" s="173"/>
      <c r="GML312" s="173"/>
      <c r="GMM312" s="173"/>
      <c r="GMN312" s="173"/>
      <c r="GMO312" s="125"/>
      <c r="GMP312" s="125"/>
      <c r="GMQ312" s="134"/>
      <c r="GMR312" s="135"/>
      <c r="GMS312" s="135"/>
      <c r="GMT312" s="135"/>
      <c r="GMU312" s="135"/>
      <c r="GMV312" s="173"/>
      <c r="GMW312" s="173"/>
      <c r="GMX312" s="173"/>
      <c r="GMY312" s="173"/>
      <c r="GMZ312" s="173"/>
      <c r="GNA312" s="173"/>
      <c r="GNB312" s="173"/>
      <c r="GNC312" s="173"/>
      <c r="GND312" s="173"/>
      <c r="GNE312" s="173"/>
      <c r="GNF312" s="125"/>
      <c r="GNG312" s="125"/>
      <c r="GNH312" s="134"/>
      <c r="GNI312" s="135"/>
      <c r="GNJ312" s="135"/>
      <c r="GNK312" s="135"/>
      <c r="GNL312" s="135"/>
      <c r="GNM312" s="173"/>
      <c r="GNN312" s="173"/>
      <c r="GNO312" s="173"/>
      <c r="GNP312" s="173"/>
      <c r="GNQ312" s="173"/>
      <c r="GNR312" s="173"/>
      <c r="GNS312" s="173"/>
      <c r="GNT312" s="173"/>
      <c r="GNU312" s="173"/>
      <c r="GNV312" s="173"/>
      <c r="GNW312" s="125"/>
      <c r="GNX312" s="125"/>
      <c r="GNY312" s="134"/>
      <c r="GNZ312" s="135"/>
      <c r="GOA312" s="135"/>
      <c r="GOB312" s="135"/>
      <c r="GOC312" s="135"/>
      <c r="GOD312" s="173"/>
      <c r="GOE312" s="173"/>
      <c r="GOF312" s="173"/>
      <c r="GOG312" s="173"/>
      <c r="GOH312" s="173"/>
      <c r="GOI312" s="173"/>
      <c r="GOJ312" s="173"/>
      <c r="GOK312" s="173"/>
      <c r="GOL312" s="173"/>
      <c r="GOM312" s="173"/>
      <c r="GON312" s="125"/>
      <c r="GOO312" s="125"/>
      <c r="GOP312" s="134"/>
      <c r="GOQ312" s="135"/>
      <c r="GOR312" s="135"/>
      <c r="GOS312" s="135"/>
      <c r="GOT312" s="135"/>
      <c r="GOU312" s="173"/>
      <c r="GOV312" s="173"/>
      <c r="GOW312" s="173"/>
      <c r="GOX312" s="173"/>
      <c r="GOY312" s="173"/>
      <c r="GOZ312" s="173"/>
      <c r="GPA312" s="173"/>
      <c r="GPB312" s="173"/>
      <c r="GPC312" s="173"/>
      <c r="GPD312" s="173"/>
      <c r="GPE312" s="125"/>
      <c r="GPF312" s="125"/>
      <c r="GPG312" s="134"/>
      <c r="GPH312" s="135"/>
      <c r="GPI312" s="135"/>
      <c r="GPJ312" s="135"/>
      <c r="GPK312" s="135"/>
      <c r="GPL312" s="173"/>
      <c r="GPM312" s="173"/>
      <c r="GPN312" s="173"/>
      <c r="GPO312" s="173"/>
      <c r="GPP312" s="173"/>
      <c r="GPQ312" s="173"/>
      <c r="GPR312" s="173"/>
      <c r="GPS312" s="173"/>
      <c r="GPT312" s="173"/>
      <c r="GPU312" s="173"/>
      <c r="GPV312" s="125"/>
      <c r="GPW312" s="125"/>
      <c r="GPX312" s="134"/>
      <c r="GPY312" s="135"/>
      <c r="GPZ312" s="135"/>
      <c r="GQA312" s="135"/>
      <c r="GQB312" s="135"/>
      <c r="GQC312" s="173"/>
      <c r="GQD312" s="173"/>
      <c r="GQE312" s="173"/>
      <c r="GQF312" s="173"/>
      <c r="GQG312" s="173"/>
      <c r="GQH312" s="173"/>
      <c r="GQI312" s="173"/>
      <c r="GQJ312" s="173"/>
      <c r="GQK312" s="173"/>
      <c r="GQL312" s="173"/>
      <c r="GQM312" s="125"/>
      <c r="GQN312" s="125"/>
      <c r="GQO312" s="134"/>
      <c r="GQP312" s="135"/>
      <c r="GQQ312" s="135"/>
      <c r="GQR312" s="135"/>
      <c r="GQS312" s="135"/>
      <c r="GQT312" s="173"/>
      <c r="GQU312" s="173"/>
      <c r="GQV312" s="173"/>
      <c r="GQW312" s="173"/>
      <c r="GQX312" s="173"/>
      <c r="GQY312" s="173"/>
      <c r="GQZ312" s="173"/>
      <c r="GRA312" s="173"/>
      <c r="GRB312" s="173"/>
      <c r="GRC312" s="173"/>
      <c r="GRD312" s="125"/>
      <c r="GRE312" s="125"/>
      <c r="GRF312" s="134"/>
      <c r="GRG312" s="135"/>
      <c r="GRH312" s="135"/>
      <c r="GRI312" s="135"/>
      <c r="GRJ312" s="135"/>
      <c r="GRK312" s="173"/>
      <c r="GRL312" s="173"/>
      <c r="GRM312" s="173"/>
      <c r="GRN312" s="173"/>
      <c r="GRO312" s="173"/>
      <c r="GRP312" s="173"/>
      <c r="GRQ312" s="173"/>
      <c r="GRR312" s="173"/>
      <c r="GRS312" s="173"/>
      <c r="GRT312" s="173"/>
      <c r="GRU312" s="125"/>
      <c r="GRV312" s="125"/>
      <c r="GRW312" s="134"/>
      <c r="GRX312" s="135"/>
      <c r="GRY312" s="135"/>
      <c r="GRZ312" s="135"/>
      <c r="GSA312" s="135"/>
      <c r="GSB312" s="173"/>
      <c r="GSC312" s="173"/>
      <c r="GSD312" s="173"/>
      <c r="GSE312" s="173"/>
      <c r="GSF312" s="173"/>
      <c r="GSG312" s="173"/>
      <c r="GSH312" s="173"/>
      <c r="GSI312" s="173"/>
      <c r="GSJ312" s="173"/>
      <c r="GSK312" s="173"/>
      <c r="GSL312" s="125"/>
      <c r="GSM312" s="125"/>
      <c r="GSN312" s="134"/>
      <c r="GSO312" s="135"/>
      <c r="GSP312" s="135"/>
      <c r="GSQ312" s="135"/>
      <c r="GSR312" s="135"/>
      <c r="GSS312" s="173"/>
      <c r="GST312" s="173"/>
      <c r="GSU312" s="173"/>
      <c r="GSV312" s="173"/>
      <c r="GSW312" s="173"/>
      <c r="GSX312" s="173"/>
      <c r="GSY312" s="173"/>
      <c r="GSZ312" s="173"/>
      <c r="GTA312" s="173"/>
      <c r="GTB312" s="173"/>
      <c r="GTC312" s="125"/>
      <c r="GTD312" s="125"/>
      <c r="GTE312" s="134"/>
      <c r="GTF312" s="135"/>
      <c r="GTG312" s="135"/>
      <c r="GTH312" s="135"/>
      <c r="GTI312" s="135"/>
      <c r="GTJ312" s="173"/>
      <c r="GTK312" s="173"/>
      <c r="GTL312" s="173"/>
      <c r="GTM312" s="173"/>
      <c r="GTN312" s="173"/>
      <c r="GTO312" s="173"/>
      <c r="GTP312" s="173"/>
      <c r="GTQ312" s="173"/>
      <c r="GTR312" s="173"/>
      <c r="GTS312" s="173"/>
      <c r="GTT312" s="125"/>
      <c r="GTU312" s="125"/>
      <c r="GTV312" s="134"/>
      <c r="GTW312" s="135"/>
      <c r="GTX312" s="135"/>
      <c r="GTY312" s="135"/>
      <c r="GTZ312" s="135"/>
      <c r="GUA312" s="173"/>
      <c r="GUB312" s="173"/>
      <c r="GUC312" s="173"/>
      <c r="GUD312" s="173"/>
      <c r="GUE312" s="173"/>
      <c r="GUF312" s="173"/>
      <c r="GUG312" s="173"/>
      <c r="GUH312" s="173"/>
      <c r="GUI312" s="173"/>
      <c r="GUJ312" s="173"/>
      <c r="GUK312" s="125"/>
      <c r="GUL312" s="125"/>
      <c r="GUM312" s="134"/>
      <c r="GUN312" s="135"/>
      <c r="GUO312" s="135"/>
      <c r="GUP312" s="135"/>
      <c r="GUQ312" s="135"/>
      <c r="GUR312" s="173"/>
      <c r="GUS312" s="173"/>
      <c r="GUT312" s="173"/>
      <c r="GUU312" s="173"/>
      <c r="GUV312" s="173"/>
      <c r="GUW312" s="173"/>
      <c r="GUX312" s="173"/>
      <c r="GUY312" s="173"/>
      <c r="GUZ312" s="173"/>
      <c r="GVA312" s="173"/>
      <c r="GVB312" s="125"/>
      <c r="GVC312" s="125"/>
      <c r="GVD312" s="134"/>
      <c r="GVE312" s="135"/>
      <c r="GVF312" s="135"/>
      <c r="GVG312" s="135"/>
      <c r="GVH312" s="135"/>
      <c r="GVI312" s="173"/>
      <c r="GVJ312" s="173"/>
      <c r="GVK312" s="173"/>
      <c r="GVL312" s="173"/>
      <c r="GVM312" s="173"/>
      <c r="GVN312" s="173"/>
      <c r="GVO312" s="173"/>
      <c r="GVP312" s="173"/>
      <c r="GVQ312" s="173"/>
      <c r="GVR312" s="173"/>
      <c r="GVS312" s="125"/>
      <c r="GVT312" s="125"/>
      <c r="GVU312" s="134"/>
      <c r="GVV312" s="135"/>
      <c r="GVW312" s="135"/>
      <c r="GVX312" s="135"/>
      <c r="GVY312" s="135"/>
      <c r="GVZ312" s="173"/>
      <c r="GWA312" s="173"/>
      <c r="GWB312" s="173"/>
      <c r="GWC312" s="173"/>
      <c r="GWD312" s="173"/>
      <c r="GWE312" s="173"/>
      <c r="GWF312" s="173"/>
      <c r="GWG312" s="173"/>
      <c r="GWH312" s="173"/>
      <c r="GWI312" s="173"/>
      <c r="GWJ312" s="125"/>
      <c r="GWK312" s="125"/>
      <c r="GWL312" s="134"/>
      <c r="GWM312" s="135"/>
      <c r="GWN312" s="135"/>
      <c r="GWO312" s="135"/>
      <c r="GWP312" s="135"/>
      <c r="GWQ312" s="173"/>
      <c r="GWR312" s="173"/>
      <c r="GWS312" s="173"/>
      <c r="GWT312" s="173"/>
      <c r="GWU312" s="173"/>
      <c r="GWV312" s="173"/>
      <c r="GWW312" s="173"/>
      <c r="GWX312" s="173"/>
      <c r="GWY312" s="173"/>
      <c r="GWZ312" s="173"/>
      <c r="GXA312" s="125"/>
      <c r="GXB312" s="125"/>
      <c r="GXC312" s="134"/>
      <c r="GXD312" s="135"/>
      <c r="GXE312" s="135"/>
      <c r="GXF312" s="135"/>
      <c r="GXG312" s="135"/>
      <c r="GXH312" s="173"/>
      <c r="GXI312" s="173"/>
      <c r="GXJ312" s="173"/>
      <c r="GXK312" s="173"/>
      <c r="GXL312" s="173"/>
      <c r="GXM312" s="173"/>
      <c r="GXN312" s="173"/>
      <c r="GXO312" s="173"/>
      <c r="GXP312" s="173"/>
      <c r="GXQ312" s="173"/>
      <c r="GXR312" s="125"/>
      <c r="GXS312" s="125"/>
      <c r="GXT312" s="134"/>
      <c r="GXU312" s="135"/>
      <c r="GXV312" s="135"/>
      <c r="GXW312" s="135"/>
      <c r="GXX312" s="135"/>
      <c r="GXY312" s="173"/>
      <c r="GXZ312" s="173"/>
      <c r="GYA312" s="173"/>
      <c r="GYB312" s="173"/>
      <c r="GYC312" s="173"/>
      <c r="GYD312" s="173"/>
      <c r="GYE312" s="173"/>
      <c r="GYF312" s="173"/>
      <c r="GYG312" s="173"/>
      <c r="GYH312" s="173"/>
      <c r="GYI312" s="125"/>
      <c r="GYJ312" s="125"/>
      <c r="GYK312" s="134"/>
      <c r="GYL312" s="135"/>
      <c r="GYM312" s="135"/>
      <c r="GYN312" s="135"/>
      <c r="GYO312" s="135"/>
      <c r="GYP312" s="173"/>
      <c r="GYQ312" s="173"/>
      <c r="GYR312" s="173"/>
      <c r="GYS312" s="173"/>
      <c r="GYT312" s="173"/>
      <c r="GYU312" s="173"/>
      <c r="GYV312" s="173"/>
      <c r="GYW312" s="173"/>
      <c r="GYX312" s="173"/>
      <c r="GYY312" s="173"/>
      <c r="GYZ312" s="125"/>
      <c r="GZA312" s="125"/>
      <c r="GZB312" s="134"/>
      <c r="GZC312" s="135"/>
      <c r="GZD312" s="135"/>
      <c r="GZE312" s="135"/>
      <c r="GZF312" s="135"/>
      <c r="GZG312" s="173"/>
      <c r="GZH312" s="173"/>
      <c r="GZI312" s="173"/>
      <c r="GZJ312" s="173"/>
      <c r="GZK312" s="173"/>
      <c r="GZL312" s="173"/>
      <c r="GZM312" s="173"/>
      <c r="GZN312" s="173"/>
      <c r="GZO312" s="173"/>
      <c r="GZP312" s="173"/>
      <c r="GZQ312" s="125"/>
      <c r="GZR312" s="125"/>
      <c r="GZS312" s="134"/>
      <c r="GZT312" s="135"/>
      <c r="GZU312" s="135"/>
      <c r="GZV312" s="135"/>
      <c r="GZW312" s="135"/>
      <c r="GZX312" s="173"/>
      <c r="GZY312" s="173"/>
      <c r="GZZ312" s="173"/>
      <c r="HAA312" s="173"/>
      <c r="HAB312" s="173"/>
      <c r="HAC312" s="173"/>
      <c r="HAD312" s="173"/>
      <c r="HAE312" s="173"/>
      <c r="HAF312" s="173"/>
      <c r="HAG312" s="173"/>
      <c r="HAH312" s="125"/>
      <c r="HAI312" s="125"/>
      <c r="HAJ312" s="134"/>
      <c r="HAK312" s="135"/>
      <c r="HAL312" s="135"/>
      <c r="HAM312" s="135"/>
      <c r="HAN312" s="135"/>
      <c r="HAO312" s="173"/>
      <c r="HAP312" s="173"/>
      <c r="HAQ312" s="173"/>
      <c r="HAR312" s="173"/>
      <c r="HAS312" s="173"/>
      <c r="HAT312" s="173"/>
      <c r="HAU312" s="173"/>
      <c r="HAV312" s="173"/>
      <c r="HAW312" s="173"/>
      <c r="HAX312" s="173"/>
      <c r="HAY312" s="125"/>
      <c r="HAZ312" s="125"/>
      <c r="HBA312" s="134"/>
      <c r="HBB312" s="135"/>
      <c r="HBC312" s="135"/>
      <c r="HBD312" s="135"/>
      <c r="HBE312" s="135"/>
      <c r="HBF312" s="173"/>
      <c r="HBG312" s="173"/>
      <c r="HBH312" s="173"/>
      <c r="HBI312" s="173"/>
      <c r="HBJ312" s="173"/>
      <c r="HBK312" s="173"/>
      <c r="HBL312" s="173"/>
      <c r="HBM312" s="173"/>
      <c r="HBN312" s="173"/>
      <c r="HBO312" s="173"/>
      <c r="HBP312" s="125"/>
      <c r="HBQ312" s="125"/>
      <c r="HBR312" s="134"/>
      <c r="HBS312" s="135"/>
      <c r="HBT312" s="135"/>
      <c r="HBU312" s="135"/>
      <c r="HBV312" s="135"/>
      <c r="HBW312" s="173"/>
      <c r="HBX312" s="173"/>
      <c r="HBY312" s="173"/>
      <c r="HBZ312" s="173"/>
      <c r="HCA312" s="173"/>
      <c r="HCB312" s="173"/>
      <c r="HCC312" s="173"/>
      <c r="HCD312" s="173"/>
      <c r="HCE312" s="173"/>
      <c r="HCF312" s="173"/>
      <c r="HCG312" s="125"/>
      <c r="HCH312" s="125"/>
      <c r="HCI312" s="134"/>
      <c r="HCJ312" s="135"/>
      <c r="HCK312" s="135"/>
      <c r="HCL312" s="135"/>
      <c r="HCM312" s="135"/>
      <c r="HCN312" s="173"/>
      <c r="HCO312" s="173"/>
      <c r="HCP312" s="173"/>
      <c r="HCQ312" s="173"/>
      <c r="HCR312" s="173"/>
      <c r="HCS312" s="173"/>
      <c r="HCT312" s="173"/>
      <c r="HCU312" s="173"/>
      <c r="HCV312" s="173"/>
      <c r="HCW312" s="173"/>
      <c r="HCX312" s="125"/>
      <c r="HCY312" s="125"/>
      <c r="HCZ312" s="134"/>
      <c r="HDA312" s="135"/>
      <c r="HDB312" s="135"/>
      <c r="HDC312" s="135"/>
      <c r="HDD312" s="135"/>
      <c r="HDE312" s="173"/>
      <c r="HDF312" s="173"/>
      <c r="HDG312" s="173"/>
      <c r="HDH312" s="173"/>
      <c r="HDI312" s="173"/>
      <c r="HDJ312" s="173"/>
      <c r="HDK312" s="173"/>
      <c r="HDL312" s="173"/>
      <c r="HDM312" s="173"/>
      <c r="HDN312" s="173"/>
      <c r="HDO312" s="125"/>
      <c r="HDP312" s="125"/>
      <c r="HDQ312" s="134"/>
      <c r="HDR312" s="135"/>
      <c r="HDS312" s="135"/>
      <c r="HDT312" s="135"/>
      <c r="HDU312" s="135"/>
      <c r="HDV312" s="173"/>
      <c r="HDW312" s="173"/>
      <c r="HDX312" s="173"/>
      <c r="HDY312" s="173"/>
      <c r="HDZ312" s="173"/>
      <c r="HEA312" s="173"/>
      <c r="HEB312" s="173"/>
      <c r="HEC312" s="173"/>
      <c r="HED312" s="173"/>
      <c r="HEE312" s="173"/>
      <c r="HEF312" s="125"/>
      <c r="HEG312" s="125"/>
      <c r="HEH312" s="134"/>
      <c r="HEI312" s="135"/>
      <c r="HEJ312" s="135"/>
      <c r="HEK312" s="135"/>
      <c r="HEL312" s="135"/>
      <c r="HEM312" s="173"/>
      <c r="HEN312" s="173"/>
      <c r="HEO312" s="173"/>
      <c r="HEP312" s="173"/>
      <c r="HEQ312" s="173"/>
      <c r="HER312" s="173"/>
      <c r="HES312" s="173"/>
      <c r="HET312" s="173"/>
      <c r="HEU312" s="173"/>
      <c r="HEV312" s="173"/>
      <c r="HEW312" s="125"/>
      <c r="HEX312" s="125"/>
      <c r="HEY312" s="134"/>
      <c r="HEZ312" s="135"/>
      <c r="HFA312" s="135"/>
      <c r="HFB312" s="135"/>
      <c r="HFC312" s="135"/>
      <c r="HFD312" s="173"/>
      <c r="HFE312" s="173"/>
      <c r="HFF312" s="173"/>
      <c r="HFG312" s="173"/>
      <c r="HFH312" s="173"/>
      <c r="HFI312" s="173"/>
      <c r="HFJ312" s="173"/>
      <c r="HFK312" s="173"/>
      <c r="HFL312" s="173"/>
      <c r="HFM312" s="173"/>
      <c r="HFN312" s="125"/>
      <c r="HFO312" s="125"/>
      <c r="HFP312" s="134"/>
      <c r="HFQ312" s="135"/>
      <c r="HFR312" s="135"/>
      <c r="HFS312" s="135"/>
      <c r="HFT312" s="135"/>
      <c r="HFU312" s="173"/>
      <c r="HFV312" s="173"/>
      <c r="HFW312" s="173"/>
      <c r="HFX312" s="173"/>
      <c r="HFY312" s="173"/>
      <c r="HFZ312" s="173"/>
      <c r="HGA312" s="173"/>
      <c r="HGB312" s="173"/>
      <c r="HGC312" s="173"/>
      <c r="HGD312" s="173"/>
      <c r="HGE312" s="125"/>
      <c r="HGF312" s="125"/>
      <c r="HGG312" s="134"/>
      <c r="HGH312" s="135"/>
      <c r="HGI312" s="135"/>
      <c r="HGJ312" s="135"/>
      <c r="HGK312" s="135"/>
      <c r="HGL312" s="173"/>
      <c r="HGM312" s="173"/>
      <c r="HGN312" s="173"/>
      <c r="HGO312" s="173"/>
      <c r="HGP312" s="173"/>
      <c r="HGQ312" s="173"/>
      <c r="HGR312" s="173"/>
      <c r="HGS312" s="173"/>
      <c r="HGT312" s="173"/>
      <c r="HGU312" s="173"/>
      <c r="HGV312" s="125"/>
      <c r="HGW312" s="125"/>
      <c r="HGX312" s="134"/>
      <c r="HGY312" s="135"/>
      <c r="HGZ312" s="135"/>
      <c r="HHA312" s="135"/>
      <c r="HHB312" s="135"/>
      <c r="HHC312" s="173"/>
      <c r="HHD312" s="173"/>
      <c r="HHE312" s="173"/>
      <c r="HHF312" s="173"/>
      <c r="HHG312" s="173"/>
      <c r="HHH312" s="173"/>
      <c r="HHI312" s="173"/>
      <c r="HHJ312" s="173"/>
      <c r="HHK312" s="173"/>
      <c r="HHL312" s="173"/>
      <c r="HHM312" s="125"/>
      <c r="HHN312" s="125"/>
      <c r="HHO312" s="134"/>
      <c r="HHP312" s="135"/>
      <c r="HHQ312" s="135"/>
      <c r="HHR312" s="135"/>
      <c r="HHS312" s="135"/>
      <c r="HHT312" s="173"/>
      <c r="HHU312" s="173"/>
      <c r="HHV312" s="173"/>
      <c r="HHW312" s="173"/>
      <c r="HHX312" s="173"/>
      <c r="HHY312" s="173"/>
      <c r="HHZ312" s="173"/>
      <c r="HIA312" s="173"/>
      <c r="HIB312" s="173"/>
      <c r="HIC312" s="173"/>
      <c r="HID312" s="125"/>
      <c r="HIE312" s="125"/>
      <c r="HIF312" s="134"/>
      <c r="HIG312" s="135"/>
      <c r="HIH312" s="135"/>
      <c r="HII312" s="135"/>
      <c r="HIJ312" s="135"/>
      <c r="HIK312" s="173"/>
      <c r="HIL312" s="173"/>
      <c r="HIM312" s="173"/>
      <c r="HIN312" s="173"/>
      <c r="HIO312" s="173"/>
      <c r="HIP312" s="173"/>
      <c r="HIQ312" s="173"/>
      <c r="HIR312" s="173"/>
      <c r="HIS312" s="173"/>
      <c r="HIT312" s="173"/>
      <c r="HIU312" s="125"/>
      <c r="HIV312" s="125"/>
      <c r="HIW312" s="134"/>
      <c r="HIX312" s="135"/>
      <c r="HIY312" s="135"/>
      <c r="HIZ312" s="135"/>
      <c r="HJA312" s="135"/>
      <c r="HJB312" s="173"/>
      <c r="HJC312" s="173"/>
      <c r="HJD312" s="173"/>
      <c r="HJE312" s="173"/>
      <c r="HJF312" s="173"/>
      <c r="HJG312" s="173"/>
      <c r="HJH312" s="173"/>
      <c r="HJI312" s="173"/>
      <c r="HJJ312" s="173"/>
      <c r="HJK312" s="173"/>
      <c r="HJL312" s="125"/>
      <c r="HJM312" s="125"/>
      <c r="HJN312" s="134"/>
      <c r="HJO312" s="135"/>
      <c r="HJP312" s="135"/>
      <c r="HJQ312" s="135"/>
      <c r="HJR312" s="135"/>
      <c r="HJS312" s="173"/>
      <c r="HJT312" s="173"/>
      <c r="HJU312" s="173"/>
      <c r="HJV312" s="173"/>
      <c r="HJW312" s="173"/>
      <c r="HJX312" s="173"/>
      <c r="HJY312" s="173"/>
      <c r="HJZ312" s="173"/>
      <c r="HKA312" s="173"/>
      <c r="HKB312" s="173"/>
      <c r="HKC312" s="125"/>
      <c r="HKD312" s="125"/>
      <c r="HKE312" s="134"/>
      <c r="HKF312" s="135"/>
      <c r="HKG312" s="135"/>
      <c r="HKH312" s="135"/>
      <c r="HKI312" s="135"/>
      <c r="HKJ312" s="173"/>
      <c r="HKK312" s="173"/>
      <c r="HKL312" s="173"/>
      <c r="HKM312" s="173"/>
      <c r="HKN312" s="173"/>
      <c r="HKO312" s="173"/>
      <c r="HKP312" s="173"/>
      <c r="HKQ312" s="173"/>
      <c r="HKR312" s="173"/>
      <c r="HKS312" s="173"/>
      <c r="HKT312" s="125"/>
      <c r="HKU312" s="125"/>
      <c r="HKV312" s="134"/>
      <c r="HKW312" s="135"/>
      <c r="HKX312" s="135"/>
      <c r="HKY312" s="135"/>
      <c r="HKZ312" s="135"/>
      <c r="HLA312" s="173"/>
      <c r="HLB312" s="173"/>
      <c r="HLC312" s="173"/>
      <c r="HLD312" s="173"/>
      <c r="HLE312" s="173"/>
      <c r="HLF312" s="173"/>
      <c r="HLG312" s="173"/>
      <c r="HLH312" s="173"/>
      <c r="HLI312" s="173"/>
      <c r="HLJ312" s="173"/>
      <c r="HLK312" s="125"/>
      <c r="HLL312" s="125"/>
      <c r="HLM312" s="134"/>
      <c r="HLN312" s="135"/>
      <c r="HLO312" s="135"/>
      <c r="HLP312" s="135"/>
      <c r="HLQ312" s="135"/>
      <c r="HLR312" s="173"/>
      <c r="HLS312" s="173"/>
      <c r="HLT312" s="173"/>
      <c r="HLU312" s="173"/>
      <c r="HLV312" s="173"/>
      <c r="HLW312" s="173"/>
      <c r="HLX312" s="173"/>
      <c r="HLY312" s="173"/>
      <c r="HLZ312" s="173"/>
      <c r="HMA312" s="173"/>
      <c r="HMB312" s="125"/>
      <c r="HMC312" s="125"/>
      <c r="HMD312" s="134"/>
      <c r="HME312" s="135"/>
      <c r="HMF312" s="135"/>
      <c r="HMG312" s="135"/>
      <c r="HMH312" s="135"/>
      <c r="HMI312" s="173"/>
      <c r="HMJ312" s="173"/>
      <c r="HMK312" s="173"/>
      <c r="HML312" s="173"/>
      <c r="HMM312" s="173"/>
      <c r="HMN312" s="173"/>
      <c r="HMO312" s="173"/>
      <c r="HMP312" s="173"/>
      <c r="HMQ312" s="173"/>
      <c r="HMR312" s="173"/>
      <c r="HMS312" s="125"/>
      <c r="HMT312" s="125"/>
      <c r="HMU312" s="134"/>
      <c r="HMV312" s="135"/>
      <c r="HMW312" s="135"/>
      <c r="HMX312" s="135"/>
      <c r="HMY312" s="135"/>
      <c r="HMZ312" s="173"/>
      <c r="HNA312" s="173"/>
      <c r="HNB312" s="173"/>
      <c r="HNC312" s="173"/>
      <c r="HND312" s="173"/>
      <c r="HNE312" s="173"/>
      <c r="HNF312" s="173"/>
      <c r="HNG312" s="173"/>
      <c r="HNH312" s="173"/>
      <c r="HNI312" s="173"/>
      <c r="HNJ312" s="125"/>
      <c r="HNK312" s="125"/>
      <c r="HNL312" s="134"/>
      <c r="HNM312" s="135"/>
      <c r="HNN312" s="135"/>
      <c r="HNO312" s="135"/>
      <c r="HNP312" s="135"/>
      <c r="HNQ312" s="173"/>
      <c r="HNR312" s="173"/>
      <c r="HNS312" s="173"/>
      <c r="HNT312" s="173"/>
      <c r="HNU312" s="173"/>
      <c r="HNV312" s="173"/>
      <c r="HNW312" s="173"/>
      <c r="HNX312" s="173"/>
      <c r="HNY312" s="173"/>
      <c r="HNZ312" s="173"/>
      <c r="HOA312" s="125"/>
      <c r="HOB312" s="125"/>
      <c r="HOC312" s="134"/>
      <c r="HOD312" s="135"/>
      <c r="HOE312" s="135"/>
      <c r="HOF312" s="135"/>
      <c r="HOG312" s="135"/>
      <c r="HOH312" s="173"/>
      <c r="HOI312" s="173"/>
      <c r="HOJ312" s="173"/>
      <c r="HOK312" s="173"/>
      <c r="HOL312" s="173"/>
      <c r="HOM312" s="173"/>
      <c r="HON312" s="173"/>
      <c r="HOO312" s="173"/>
      <c r="HOP312" s="173"/>
      <c r="HOQ312" s="173"/>
      <c r="HOR312" s="125"/>
      <c r="HOS312" s="125"/>
      <c r="HOT312" s="134"/>
      <c r="HOU312" s="135"/>
      <c r="HOV312" s="135"/>
      <c r="HOW312" s="135"/>
      <c r="HOX312" s="135"/>
      <c r="HOY312" s="173"/>
      <c r="HOZ312" s="173"/>
      <c r="HPA312" s="173"/>
      <c r="HPB312" s="173"/>
      <c r="HPC312" s="173"/>
      <c r="HPD312" s="173"/>
      <c r="HPE312" s="173"/>
      <c r="HPF312" s="173"/>
      <c r="HPG312" s="173"/>
      <c r="HPH312" s="173"/>
      <c r="HPI312" s="125"/>
      <c r="HPJ312" s="125"/>
      <c r="HPK312" s="134"/>
      <c r="HPL312" s="135"/>
      <c r="HPM312" s="135"/>
      <c r="HPN312" s="135"/>
      <c r="HPO312" s="135"/>
      <c r="HPP312" s="173"/>
      <c r="HPQ312" s="173"/>
      <c r="HPR312" s="173"/>
      <c r="HPS312" s="173"/>
      <c r="HPT312" s="173"/>
      <c r="HPU312" s="173"/>
      <c r="HPV312" s="173"/>
      <c r="HPW312" s="173"/>
      <c r="HPX312" s="173"/>
      <c r="HPY312" s="173"/>
      <c r="HPZ312" s="125"/>
      <c r="HQA312" s="125"/>
      <c r="HQB312" s="134"/>
      <c r="HQC312" s="135"/>
      <c r="HQD312" s="135"/>
      <c r="HQE312" s="135"/>
      <c r="HQF312" s="135"/>
      <c r="HQG312" s="173"/>
      <c r="HQH312" s="173"/>
      <c r="HQI312" s="173"/>
      <c r="HQJ312" s="173"/>
      <c r="HQK312" s="173"/>
      <c r="HQL312" s="173"/>
      <c r="HQM312" s="173"/>
      <c r="HQN312" s="173"/>
      <c r="HQO312" s="173"/>
      <c r="HQP312" s="173"/>
      <c r="HQQ312" s="125"/>
      <c r="HQR312" s="125"/>
      <c r="HQS312" s="134"/>
      <c r="HQT312" s="135"/>
      <c r="HQU312" s="135"/>
      <c r="HQV312" s="135"/>
      <c r="HQW312" s="135"/>
      <c r="HQX312" s="173"/>
      <c r="HQY312" s="173"/>
      <c r="HQZ312" s="173"/>
      <c r="HRA312" s="173"/>
      <c r="HRB312" s="173"/>
      <c r="HRC312" s="173"/>
      <c r="HRD312" s="173"/>
      <c r="HRE312" s="173"/>
      <c r="HRF312" s="173"/>
      <c r="HRG312" s="173"/>
      <c r="HRH312" s="125"/>
      <c r="HRI312" s="125"/>
      <c r="HRJ312" s="134"/>
      <c r="HRK312" s="135"/>
      <c r="HRL312" s="135"/>
      <c r="HRM312" s="135"/>
      <c r="HRN312" s="135"/>
      <c r="HRO312" s="173"/>
      <c r="HRP312" s="173"/>
      <c r="HRQ312" s="173"/>
      <c r="HRR312" s="173"/>
      <c r="HRS312" s="173"/>
      <c r="HRT312" s="173"/>
      <c r="HRU312" s="173"/>
      <c r="HRV312" s="173"/>
      <c r="HRW312" s="173"/>
      <c r="HRX312" s="173"/>
      <c r="HRY312" s="125"/>
      <c r="HRZ312" s="125"/>
      <c r="HSA312" s="134"/>
      <c r="HSB312" s="135"/>
      <c r="HSC312" s="135"/>
      <c r="HSD312" s="135"/>
      <c r="HSE312" s="135"/>
      <c r="HSF312" s="173"/>
      <c r="HSG312" s="173"/>
      <c r="HSH312" s="173"/>
      <c r="HSI312" s="173"/>
      <c r="HSJ312" s="173"/>
      <c r="HSK312" s="173"/>
      <c r="HSL312" s="173"/>
      <c r="HSM312" s="173"/>
      <c r="HSN312" s="173"/>
      <c r="HSO312" s="173"/>
      <c r="HSP312" s="125"/>
      <c r="HSQ312" s="125"/>
      <c r="HSR312" s="134"/>
      <c r="HSS312" s="135"/>
      <c r="HST312" s="135"/>
      <c r="HSU312" s="135"/>
      <c r="HSV312" s="135"/>
      <c r="HSW312" s="173"/>
      <c r="HSX312" s="173"/>
      <c r="HSY312" s="173"/>
      <c r="HSZ312" s="173"/>
      <c r="HTA312" s="173"/>
      <c r="HTB312" s="173"/>
      <c r="HTC312" s="173"/>
      <c r="HTD312" s="173"/>
      <c r="HTE312" s="173"/>
      <c r="HTF312" s="173"/>
      <c r="HTG312" s="125"/>
      <c r="HTH312" s="125"/>
      <c r="HTI312" s="134"/>
      <c r="HTJ312" s="135"/>
      <c r="HTK312" s="135"/>
      <c r="HTL312" s="135"/>
      <c r="HTM312" s="135"/>
      <c r="HTN312" s="173"/>
      <c r="HTO312" s="173"/>
      <c r="HTP312" s="173"/>
      <c r="HTQ312" s="173"/>
      <c r="HTR312" s="173"/>
      <c r="HTS312" s="173"/>
      <c r="HTT312" s="173"/>
      <c r="HTU312" s="173"/>
      <c r="HTV312" s="173"/>
      <c r="HTW312" s="173"/>
      <c r="HTX312" s="125"/>
      <c r="HTY312" s="125"/>
      <c r="HTZ312" s="134"/>
      <c r="HUA312" s="135"/>
      <c r="HUB312" s="135"/>
      <c r="HUC312" s="135"/>
      <c r="HUD312" s="135"/>
      <c r="HUE312" s="173"/>
      <c r="HUF312" s="173"/>
      <c r="HUG312" s="173"/>
      <c r="HUH312" s="173"/>
      <c r="HUI312" s="173"/>
      <c r="HUJ312" s="173"/>
      <c r="HUK312" s="173"/>
      <c r="HUL312" s="173"/>
      <c r="HUM312" s="173"/>
      <c r="HUN312" s="173"/>
      <c r="HUO312" s="125"/>
      <c r="HUP312" s="125"/>
      <c r="HUQ312" s="134"/>
      <c r="HUR312" s="135"/>
      <c r="HUS312" s="135"/>
      <c r="HUT312" s="135"/>
      <c r="HUU312" s="135"/>
      <c r="HUV312" s="173"/>
      <c r="HUW312" s="173"/>
      <c r="HUX312" s="173"/>
      <c r="HUY312" s="173"/>
      <c r="HUZ312" s="173"/>
      <c r="HVA312" s="173"/>
      <c r="HVB312" s="173"/>
      <c r="HVC312" s="173"/>
      <c r="HVD312" s="173"/>
      <c r="HVE312" s="173"/>
      <c r="HVF312" s="125"/>
      <c r="HVG312" s="125"/>
      <c r="HVH312" s="134"/>
      <c r="HVI312" s="135"/>
      <c r="HVJ312" s="135"/>
      <c r="HVK312" s="135"/>
      <c r="HVL312" s="135"/>
      <c r="HVM312" s="173"/>
      <c r="HVN312" s="173"/>
      <c r="HVO312" s="173"/>
      <c r="HVP312" s="173"/>
      <c r="HVQ312" s="173"/>
      <c r="HVR312" s="173"/>
      <c r="HVS312" s="173"/>
      <c r="HVT312" s="173"/>
      <c r="HVU312" s="173"/>
      <c r="HVV312" s="173"/>
      <c r="HVW312" s="125"/>
      <c r="HVX312" s="125"/>
      <c r="HVY312" s="134"/>
      <c r="HVZ312" s="135"/>
      <c r="HWA312" s="135"/>
      <c r="HWB312" s="135"/>
      <c r="HWC312" s="135"/>
      <c r="HWD312" s="173"/>
      <c r="HWE312" s="173"/>
      <c r="HWF312" s="173"/>
      <c r="HWG312" s="173"/>
      <c r="HWH312" s="173"/>
      <c r="HWI312" s="173"/>
      <c r="HWJ312" s="173"/>
      <c r="HWK312" s="173"/>
      <c r="HWL312" s="173"/>
      <c r="HWM312" s="173"/>
      <c r="HWN312" s="125"/>
      <c r="HWO312" s="125"/>
      <c r="HWP312" s="134"/>
      <c r="HWQ312" s="135"/>
      <c r="HWR312" s="135"/>
      <c r="HWS312" s="135"/>
      <c r="HWT312" s="135"/>
      <c r="HWU312" s="173"/>
      <c r="HWV312" s="173"/>
      <c r="HWW312" s="173"/>
      <c r="HWX312" s="173"/>
      <c r="HWY312" s="173"/>
      <c r="HWZ312" s="173"/>
      <c r="HXA312" s="173"/>
      <c r="HXB312" s="173"/>
      <c r="HXC312" s="173"/>
      <c r="HXD312" s="173"/>
      <c r="HXE312" s="125"/>
      <c r="HXF312" s="125"/>
      <c r="HXG312" s="134"/>
      <c r="HXH312" s="135"/>
      <c r="HXI312" s="135"/>
      <c r="HXJ312" s="135"/>
      <c r="HXK312" s="135"/>
      <c r="HXL312" s="173"/>
      <c r="HXM312" s="173"/>
      <c r="HXN312" s="173"/>
      <c r="HXO312" s="173"/>
      <c r="HXP312" s="173"/>
      <c r="HXQ312" s="173"/>
      <c r="HXR312" s="173"/>
      <c r="HXS312" s="173"/>
      <c r="HXT312" s="173"/>
      <c r="HXU312" s="173"/>
      <c r="HXV312" s="125"/>
      <c r="HXW312" s="125"/>
      <c r="HXX312" s="134"/>
      <c r="HXY312" s="135"/>
      <c r="HXZ312" s="135"/>
      <c r="HYA312" s="135"/>
      <c r="HYB312" s="135"/>
      <c r="HYC312" s="173"/>
      <c r="HYD312" s="173"/>
      <c r="HYE312" s="173"/>
      <c r="HYF312" s="173"/>
      <c r="HYG312" s="173"/>
      <c r="HYH312" s="173"/>
      <c r="HYI312" s="173"/>
      <c r="HYJ312" s="173"/>
      <c r="HYK312" s="173"/>
      <c r="HYL312" s="173"/>
      <c r="HYM312" s="125"/>
      <c r="HYN312" s="125"/>
      <c r="HYO312" s="134"/>
      <c r="HYP312" s="135"/>
      <c r="HYQ312" s="135"/>
      <c r="HYR312" s="135"/>
      <c r="HYS312" s="135"/>
      <c r="HYT312" s="173"/>
      <c r="HYU312" s="173"/>
      <c r="HYV312" s="173"/>
      <c r="HYW312" s="173"/>
      <c r="HYX312" s="173"/>
      <c r="HYY312" s="173"/>
      <c r="HYZ312" s="173"/>
      <c r="HZA312" s="173"/>
      <c r="HZB312" s="173"/>
      <c r="HZC312" s="173"/>
      <c r="HZD312" s="125"/>
      <c r="HZE312" s="125"/>
      <c r="HZF312" s="134"/>
      <c r="HZG312" s="135"/>
      <c r="HZH312" s="135"/>
      <c r="HZI312" s="135"/>
      <c r="HZJ312" s="135"/>
      <c r="HZK312" s="173"/>
      <c r="HZL312" s="173"/>
      <c r="HZM312" s="173"/>
      <c r="HZN312" s="173"/>
      <c r="HZO312" s="173"/>
      <c r="HZP312" s="173"/>
      <c r="HZQ312" s="173"/>
      <c r="HZR312" s="173"/>
      <c r="HZS312" s="173"/>
      <c r="HZT312" s="173"/>
      <c r="HZU312" s="125"/>
      <c r="HZV312" s="125"/>
      <c r="HZW312" s="134"/>
      <c r="HZX312" s="135"/>
      <c r="HZY312" s="135"/>
      <c r="HZZ312" s="135"/>
      <c r="IAA312" s="135"/>
      <c r="IAB312" s="173"/>
      <c r="IAC312" s="173"/>
      <c r="IAD312" s="173"/>
      <c r="IAE312" s="173"/>
      <c r="IAF312" s="173"/>
      <c r="IAG312" s="173"/>
      <c r="IAH312" s="173"/>
      <c r="IAI312" s="173"/>
      <c r="IAJ312" s="173"/>
      <c r="IAK312" s="173"/>
      <c r="IAL312" s="125"/>
      <c r="IAM312" s="125"/>
      <c r="IAN312" s="134"/>
      <c r="IAO312" s="135"/>
      <c r="IAP312" s="135"/>
      <c r="IAQ312" s="135"/>
      <c r="IAR312" s="135"/>
      <c r="IAS312" s="173"/>
      <c r="IAT312" s="173"/>
      <c r="IAU312" s="173"/>
      <c r="IAV312" s="173"/>
      <c r="IAW312" s="173"/>
      <c r="IAX312" s="173"/>
      <c r="IAY312" s="173"/>
      <c r="IAZ312" s="173"/>
      <c r="IBA312" s="173"/>
      <c r="IBB312" s="173"/>
      <c r="IBC312" s="125"/>
      <c r="IBD312" s="125"/>
      <c r="IBE312" s="134"/>
      <c r="IBF312" s="135"/>
      <c r="IBG312" s="135"/>
      <c r="IBH312" s="135"/>
      <c r="IBI312" s="135"/>
      <c r="IBJ312" s="173"/>
      <c r="IBK312" s="173"/>
      <c r="IBL312" s="173"/>
      <c r="IBM312" s="173"/>
      <c r="IBN312" s="173"/>
      <c r="IBO312" s="173"/>
      <c r="IBP312" s="173"/>
      <c r="IBQ312" s="173"/>
      <c r="IBR312" s="173"/>
      <c r="IBS312" s="173"/>
      <c r="IBT312" s="125"/>
      <c r="IBU312" s="125"/>
      <c r="IBV312" s="134"/>
      <c r="IBW312" s="135"/>
      <c r="IBX312" s="135"/>
      <c r="IBY312" s="135"/>
      <c r="IBZ312" s="135"/>
      <c r="ICA312" s="173"/>
      <c r="ICB312" s="173"/>
      <c r="ICC312" s="173"/>
      <c r="ICD312" s="173"/>
      <c r="ICE312" s="173"/>
      <c r="ICF312" s="173"/>
      <c r="ICG312" s="173"/>
      <c r="ICH312" s="173"/>
      <c r="ICI312" s="173"/>
      <c r="ICJ312" s="173"/>
      <c r="ICK312" s="125"/>
      <c r="ICL312" s="125"/>
      <c r="ICM312" s="134"/>
      <c r="ICN312" s="135"/>
      <c r="ICO312" s="135"/>
      <c r="ICP312" s="135"/>
      <c r="ICQ312" s="135"/>
      <c r="ICR312" s="173"/>
      <c r="ICS312" s="173"/>
      <c r="ICT312" s="173"/>
      <c r="ICU312" s="173"/>
      <c r="ICV312" s="173"/>
      <c r="ICW312" s="173"/>
      <c r="ICX312" s="173"/>
      <c r="ICY312" s="173"/>
      <c r="ICZ312" s="173"/>
      <c r="IDA312" s="173"/>
      <c r="IDB312" s="125"/>
      <c r="IDC312" s="125"/>
      <c r="IDD312" s="134"/>
      <c r="IDE312" s="135"/>
      <c r="IDF312" s="135"/>
      <c r="IDG312" s="135"/>
      <c r="IDH312" s="135"/>
      <c r="IDI312" s="173"/>
      <c r="IDJ312" s="173"/>
      <c r="IDK312" s="173"/>
      <c r="IDL312" s="173"/>
      <c r="IDM312" s="173"/>
      <c r="IDN312" s="173"/>
      <c r="IDO312" s="173"/>
      <c r="IDP312" s="173"/>
      <c r="IDQ312" s="173"/>
      <c r="IDR312" s="173"/>
      <c r="IDS312" s="125"/>
      <c r="IDT312" s="125"/>
      <c r="IDU312" s="134"/>
      <c r="IDV312" s="135"/>
      <c r="IDW312" s="135"/>
      <c r="IDX312" s="135"/>
      <c r="IDY312" s="135"/>
      <c r="IDZ312" s="173"/>
      <c r="IEA312" s="173"/>
      <c r="IEB312" s="173"/>
      <c r="IEC312" s="173"/>
      <c r="IED312" s="173"/>
      <c r="IEE312" s="173"/>
      <c r="IEF312" s="173"/>
      <c r="IEG312" s="173"/>
      <c r="IEH312" s="173"/>
      <c r="IEI312" s="173"/>
      <c r="IEJ312" s="125"/>
      <c r="IEK312" s="125"/>
      <c r="IEL312" s="134"/>
      <c r="IEM312" s="135"/>
      <c r="IEN312" s="135"/>
      <c r="IEO312" s="135"/>
      <c r="IEP312" s="135"/>
      <c r="IEQ312" s="173"/>
      <c r="IER312" s="173"/>
      <c r="IES312" s="173"/>
      <c r="IET312" s="173"/>
      <c r="IEU312" s="173"/>
      <c r="IEV312" s="173"/>
      <c r="IEW312" s="173"/>
      <c r="IEX312" s="173"/>
      <c r="IEY312" s="173"/>
      <c r="IEZ312" s="173"/>
      <c r="IFA312" s="125"/>
      <c r="IFB312" s="125"/>
      <c r="IFC312" s="134"/>
      <c r="IFD312" s="135"/>
      <c r="IFE312" s="135"/>
      <c r="IFF312" s="135"/>
      <c r="IFG312" s="135"/>
      <c r="IFH312" s="173"/>
      <c r="IFI312" s="173"/>
      <c r="IFJ312" s="173"/>
      <c r="IFK312" s="173"/>
      <c r="IFL312" s="173"/>
      <c r="IFM312" s="173"/>
      <c r="IFN312" s="173"/>
      <c r="IFO312" s="173"/>
      <c r="IFP312" s="173"/>
      <c r="IFQ312" s="173"/>
      <c r="IFR312" s="125"/>
      <c r="IFS312" s="125"/>
      <c r="IFT312" s="134"/>
      <c r="IFU312" s="135"/>
      <c r="IFV312" s="135"/>
      <c r="IFW312" s="135"/>
      <c r="IFX312" s="135"/>
      <c r="IFY312" s="173"/>
      <c r="IFZ312" s="173"/>
      <c r="IGA312" s="173"/>
      <c r="IGB312" s="173"/>
      <c r="IGC312" s="173"/>
      <c r="IGD312" s="173"/>
      <c r="IGE312" s="173"/>
      <c r="IGF312" s="173"/>
      <c r="IGG312" s="173"/>
      <c r="IGH312" s="173"/>
      <c r="IGI312" s="125"/>
      <c r="IGJ312" s="125"/>
      <c r="IGK312" s="134"/>
      <c r="IGL312" s="135"/>
      <c r="IGM312" s="135"/>
      <c r="IGN312" s="135"/>
      <c r="IGO312" s="135"/>
      <c r="IGP312" s="173"/>
      <c r="IGQ312" s="173"/>
      <c r="IGR312" s="173"/>
      <c r="IGS312" s="173"/>
      <c r="IGT312" s="173"/>
      <c r="IGU312" s="173"/>
      <c r="IGV312" s="173"/>
      <c r="IGW312" s="173"/>
      <c r="IGX312" s="173"/>
      <c r="IGY312" s="173"/>
      <c r="IGZ312" s="125"/>
      <c r="IHA312" s="125"/>
      <c r="IHB312" s="134"/>
      <c r="IHC312" s="135"/>
      <c r="IHD312" s="135"/>
      <c r="IHE312" s="135"/>
      <c r="IHF312" s="135"/>
      <c r="IHG312" s="173"/>
      <c r="IHH312" s="173"/>
      <c r="IHI312" s="173"/>
      <c r="IHJ312" s="173"/>
      <c r="IHK312" s="173"/>
      <c r="IHL312" s="173"/>
      <c r="IHM312" s="173"/>
      <c r="IHN312" s="173"/>
      <c r="IHO312" s="173"/>
      <c r="IHP312" s="173"/>
      <c r="IHQ312" s="125"/>
      <c r="IHR312" s="125"/>
      <c r="IHS312" s="134"/>
      <c r="IHT312" s="135"/>
      <c r="IHU312" s="135"/>
      <c r="IHV312" s="135"/>
      <c r="IHW312" s="135"/>
      <c r="IHX312" s="173"/>
      <c r="IHY312" s="173"/>
      <c r="IHZ312" s="173"/>
      <c r="IIA312" s="173"/>
      <c r="IIB312" s="173"/>
      <c r="IIC312" s="173"/>
      <c r="IID312" s="173"/>
      <c r="IIE312" s="173"/>
      <c r="IIF312" s="173"/>
      <c r="IIG312" s="173"/>
      <c r="IIH312" s="125"/>
      <c r="III312" s="125"/>
      <c r="IIJ312" s="134"/>
      <c r="IIK312" s="135"/>
      <c r="IIL312" s="135"/>
      <c r="IIM312" s="135"/>
      <c r="IIN312" s="135"/>
      <c r="IIO312" s="173"/>
      <c r="IIP312" s="173"/>
      <c r="IIQ312" s="173"/>
      <c r="IIR312" s="173"/>
      <c r="IIS312" s="173"/>
      <c r="IIT312" s="173"/>
      <c r="IIU312" s="173"/>
      <c r="IIV312" s="173"/>
      <c r="IIW312" s="173"/>
      <c r="IIX312" s="173"/>
      <c r="IIY312" s="125"/>
      <c r="IIZ312" s="125"/>
      <c r="IJA312" s="134"/>
      <c r="IJB312" s="135"/>
      <c r="IJC312" s="135"/>
      <c r="IJD312" s="135"/>
      <c r="IJE312" s="135"/>
      <c r="IJF312" s="173"/>
      <c r="IJG312" s="173"/>
      <c r="IJH312" s="173"/>
      <c r="IJI312" s="173"/>
      <c r="IJJ312" s="173"/>
      <c r="IJK312" s="173"/>
      <c r="IJL312" s="173"/>
      <c r="IJM312" s="173"/>
      <c r="IJN312" s="173"/>
      <c r="IJO312" s="173"/>
      <c r="IJP312" s="125"/>
      <c r="IJQ312" s="125"/>
      <c r="IJR312" s="134"/>
      <c r="IJS312" s="135"/>
      <c r="IJT312" s="135"/>
      <c r="IJU312" s="135"/>
      <c r="IJV312" s="135"/>
      <c r="IJW312" s="173"/>
      <c r="IJX312" s="173"/>
      <c r="IJY312" s="173"/>
      <c r="IJZ312" s="173"/>
      <c r="IKA312" s="173"/>
      <c r="IKB312" s="173"/>
      <c r="IKC312" s="173"/>
      <c r="IKD312" s="173"/>
      <c r="IKE312" s="173"/>
      <c r="IKF312" s="173"/>
      <c r="IKG312" s="125"/>
      <c r="IKH312" s="125"/>
      <c r="IKI312" s="134"/>
      <c r="IKJ312" s="135"/>
      <c r="IKK312" s="135"/>
      <c r="IKL312" s="135"/>
      <c r="IKM312" s="135"/>
      <c r="IKN312" s="173"/>
      <c r="IKO312" s="173"/>
      <c r="IKP312" s="173"/>
      <c r="IKQ312" s="173"/>
      <c r="IKR312" s="173"/>
      <c r="IKS312" s="173"/>
      <c r="IKT312" s="173"/>
      <c r="IKU312" s="173"/>
      <c r="IKV312" s="173"/>
      <c r="IKW312" s="173"/>
      <c r="IKX312" s="125"/>
      <c r="IKY312" s="125"/>
      <c r="IKZ312" s="134"/>
      <c r="ILA312" s="135"/>
      <c r="ILB312" s="135"/>
      <c r="ILC312" s="135"/>
      <c r="ILD312" s="135"/>
      <c r="ILE312" s="173"/>
      <c r="ILF312" s="173"/>
      <c r="ILG312" s="173"/>
      <c r="ILH312" s="173"/>
      <c r="ILI312" s="173"/>
      <c r="ILJ312" s="173"/>
      <c r="ILK312" s="173"/>
      <c r="ILL312" s="173"/>
      <c r="ILM312" s="173"/>
      <c r="ILN312" s="173"/>
      <c r="ILO312" s="125"/>
      <c r="ILP312" s="125"/>
      <c r="ILQ312" s="134"/>
      <c r="ILR312" s="135"/>
      <c r="ILS312" s="135"/>
      <c r="ILT312" s="135"/>
      <c r="ILU312" s="135"/>
      <c r="ILV312" s="173"/>
      <c r="ILW312" s="173"/>
      <c r="ILX312" s="173"/>
      <c r="ILY312" s="173"/>
      <c r="ILZ312" s="173"/>
      <c r="IMA312" s="173"/>
      <c r="IMB312" s="173"/>
      <c r="IMC312" s="173"/>
      <c r="IMD312" s="173"/>
      <c r="IME312" s="173"/>
      <c r="IMF312" s="125"/>
      <c r="IMG312" s="125"/>
      <c r="IMH312" s="134"/>
      <c r="IMI312" s="135"/>
      <c r="IMJ312" s="135"/>
      <c r="IMK312" s="135"/>
      <c r="IML312" s="135"/>
      <c r="IMM312" s="173"/>
      <c r="IMN312" s="173"/>
      <c r="IMO312" s="173"/>
      <c r="IMP312" s="173"/>
      <c r="IMQ312" s="173"/>
      <c r="IMR312" s="173"/>
      <c r="IMS312" s="173"/>
      <c r="IMT312" s="173"/>
      <c r="IMU312" s="173"/>
      <c r="IMV312" s="173"/>
      <c r="IMW312" s="125"/>
      <c r="IMX312" s="125"/>
      <c r="IMY312" s="134"/>
      <c r="IMZ312" s="135"/>
      <c r="INA312" s="135"/>
      <c r="INB312" s="135"/>
      <c r="INC312" s="135"/>
      <c r="IND312" s="173"/>
      <c r="INE312" s="173"/>
      <c r="INF312" s="173"/>
      <c r="ING312" s="173"/>
      <c r="INH312" s="173"/>
      <c r="INI312" s="173"/>
      <c r="INJ312" s="173"/>
      <c r="INK312" s="173"/>
      <c r="INL312" s="173"/>
      <c r="INM312" s="173"/>
      <c r="INN312" s="125"/>
      <c r="INO312" s="125"/>
      <c r="INP312" s="134"/>
      <c r="INQ312" s="135"/>
      <c r="INR312" s="135"/>
      <c r="INS312" s="135"/>
      <c r="INT312" s="135"/>
      <c r="INU312" s="173"/>
      <c r="INV312" s="173"/>
      <c r="INW312" s="173"/>
      <c r="INX312" s="173"/>
      <c r="INY312" s="173"/>
      <c r="INZ312" s="173"/>
      <c r="IOA312" s="173"/>
      <c r="IOB312" s="173"/>
      <c r="IOC312" s="173"/>
      <c r="IOD312" s="173"/>
      <c r="IOE312" s="125"/>
      <c r="IOF312" s="125"/>
      <c r="IOG312" s="134"/>
      <c r="IOH312" s="135"/>
      <c r="IOI312" s="135"/>
      <c r="IOJ312" s="135"/>
      <c r="IOK312" s="135"/>
      <c r="IOL312" s="173"/>
      <c r="IOM312" s="173"/>
      <c r="ION312" s="173"/>
      <c r="IOO312" s="173"/>
      <c r="IOP312" s="173"/>
      <c r="IOQ312" s="173"/>
      <c r="IOR312" s="173"/>
      <c r="IOS312" s="173"/>
      <c r="IOT312" s="173"/>
      <c r="IOU312" s="173"/>
      <c r="IOV312" s="125"/>
      <c r="IOW312" s="125"/>
      <c r="IOX312" s="134"/>
      <c r="IOY312" s="135"/>
      <c r="IOZ312" s="135"/>
      <c r="IPA312" s="135"/>
      <c r="IPB312" s="135"/>
      <c r="IPC312" s="173"/>
      <c r="IPD312" s="173"/>
      <c r="IPE312" s="173"/>
      <c r="IPF312" s="173"/>
      <c r="IPG312" s="173"/>
      <c r="IPH312" s="173"/>
      <c r="IPI312" s="173"/>
      <c r="IPJ312" s="173"/>
      <c r="IPK312" s="173"/>
      <c r="IPL312" s="173"/>
      <c r="IPM312" s="125"/>
      <c r="IPN312" s="125"/>
      <c r="IPO312" s="134"/>
      <c r="IPP312" s="135"/>
      <c r="IPQ312" s="135"/>
      <c r="IPR312" s="135"/>
      <c r="IPS312" s="135"/>
      <c r="IPT312" s="173"/>
      <c r="IPU312" s="173"/>
      <c r="IPV312" s="173"/>
      <c r="IPW312" s="173"/>
      <c r="IPX312" s="173"/>
      <c r="IPY312" s="173"/>
      <c r="IPZ312" s="173"/>
      <c r="IQA312" s="173"/>
      <c r="IQB312" s="173"/>
      <c r="IQC312" s="173"/>
      <c r="IQD312" s="125"/>
      <c r="IQE312" s="125"/>
      <c r="IQF312" s="134"/>
      <c r="IQG312" s="135"/>
      <c r="IQH312" s="135"/>
      <c r="IQI312" s="135"/>
      <c r="IQJ312" s="135"/>
      <c r="IQK312" s="173"/>
      <c r="IQL312" s="173"/>
      <c r="IQM312" s="173"/>
      <c r="IQN312" s="173"/>
      <c r="IQO312" s="173"/>
      <c r="IQP312" s="173"/>
      <c r="IQQ312" s="173"/>
      <c r="IQR312" s="173"/>
      <c r="IQS312" s="173"/>
      <c r="IQT312" s="173"/>
      <c r="IQU312" s="125"/>
      <c r="IQV312" s="125"/>
      <c r="IQW312" s="134"/>
      <c r="IQX312" s="135"/>
      <c r="IQY312" s="135"/>
      <c r="IQZ312" s="135"/>
      <c r="IRA312" s="135"/>
      <c r="IRB312" s="173"/>
      <c r="IRC312" s="173"/>
      <c r="IRD312" s="173"/>
      <c r="IRE312" s="173"/>
      <c r="IRF312" s="173"/>
      <c r="IRG312" s="173"/>
      <c r="IRH312" s="173"/>
      <c r="IRI312" s="173"/>
      <c r="IRJ312" s="173"/>
      <c r="IRK312" s="173"/>
      <c r="IRL312" s="125"/>
      <c r="IRM312" s="125"/>
      <c r="IRN312" s="134"/>
      <c r="IRO312" s="135"/>
      <c r="IRP312" s="135"/>
      <c r="IRQ312" s="135"/>
      <c r="IRR312" s="135"/>
      <c r="IRS312" s="173"/>
      <c r="IRT312" s="173"/>
      <c r="IRU312" s="173"/>
      <c r="IRV312" s="173"/>
      <c r="IRW312" s="173"/>
      <c r="IRX312" s="173"/>
      <c r="IRY312" s="173"/>
      <c r="IRZ312" s="173"/>
      <c r="ISA312" s="173"/>
      <c r="ISB312" s="173"/>
      <c r="ISC312" s="125"/>
      <c r="ISD312" s="125"/>
      <c r="ISE312" s="134"/>
      <c r="ISF312" s="135"/>
      <c r="ISG312" s="135"/>
      <c r="ISH312" s="135"/>
      <c r="ISI312" s="135"/>
      <c r="ISJ312" s="173"/>
      <c r="ISK312" s="173"/>
      <c r="ISL312" s="173"/>
      <c r="ISM312" s="173"/>
      <c r="ISN312" s="173"/>
      <c r="ISO312" s="173"/>
      <c r="ISP312" s="173"/>
      <c r="ISQ312" s="173"/>
      <c r="ISR312" s="173"/>
      <c r="ISS312" s="173"/>
      <c r="IST312" s="125"/>
      <c r="ISU312" s="125"/>
      <c r="ISV312" s="134"/>
      <c r="ISW312" s="135"/>
      <c r="ISX312" s="135"/>
      <c r="ISY312" s="135"/>
      <c r="ISZ312" s="135"/>
      <c r="ITA312" s="173"/>
      <c r="ITB312" s="173"/>
      <c r="ITC312" s="173"/>
      <c r="ITD312" s="173"/>
      <c r="ITE312" s="173"/>
      <c r="ITF312" s="173"/>
      <c r="ITG312" s="173"/>
      <c r="ITH312" s="173"/>
      <c r="ITI312" s="173"/>
      <c r="ITJ312" s="173"/>
      <c r="ITK312" s="125"/>
      <c r="ITL312" s="125"/>
      <c r="ITM312" s="134"/>
      <c r="ITN312" s="135"/>
      <c r="ITO312" s="135"/>
      <c r="ITP312" s="135"/>
      <c r="ITQ312" s="135"/>
      <c r="ITR312" s="173"/>
      <c r="ITS312" s="173"/>
      <c r="ITT312" s="173"/>
      <c r="ITU312" s="173"/>
      <c r="ITV312" s="173"/>
      <c r="ITW312" s="173"/>
      <c r="ITX312" s="173"/>
      <c r="ITY312" s="173"/>
      <c r="ITZ312" s="173"/>
      <c r="IUA312" s="173"/>
      <c r="IUB312" s="125"/>
      <c r="IUC312" s="125"/>
      <c r="IUD312" s="134"/>
      <c r="IUE312" s="135"/>
      <c r="IUF312" s="135"/>
      <c r="IUG312" s="135"/>
      <c r="IUH312" s="135"/>
      <c r="IUI312" s="173"/>
      <c r="IUJ312" s="173"/>
      <c r="IUK312" s="173"/>
      <c r="IUL312" s="173"/>
      <c r="IUM312" s="173"/>
      <c r="IUN312" s="173"/>
      <c r="IUO312" s="173"/>
      <c r="IUP312" s="173"/>
      <c r="IUQ312" s="173"/>
      <c r="IUR312" s="173"/>
      <c r="IUS312" s="125"/>
      <c r="IUT312" s="125"/>
      <c r="IUU312" s="134"/>
      <c r="IUV312" s="135"/>
      <c r="IUW312" s="135"/>
      <c r="IUX312" s="135"/>
      <c r="IUY312" s="135"/>
      <c r="IUZ312" s="173"/>
      <c r="IVA312" s="173"/>
      <c r="IVB312" s="173"/>
      <c r="IVC312" s="173"/>
      <c r="IVD312" s="173"/>
      <c r="IVE312" s="173"/>
      <c r="IVF312" s="173"/>
      <c r="IVG312" s="173"/>
      <c r="IVH312" s="173"/>
      <c r="IVI312" s="173"/>
      <c r="IVJ312" s="125"/>
      <c r="IVK312" s="125"/>
      <c r="IVL312" s="134"/>
      <c r="IVM312" s="135"/>
      <c r="IVN312" s="135"/>
      <c r="IVO312" s="135"/>
      <c r="IVP312" s="135"/>
      <c r="IVQ312" s="173"/>
      <c r="IVR312" s="173"/>
      <c r="IVS312" s="173"/>
      <c r="IVT312" s="173"/>
      <c r="IVU312" s="173"/>
      <c r="IVV312" s="173"/>
      <c r="IVW312" s="173"/>
      <c r="IVX312" s="173"/>
      <c r="IVY312" s="173"/>
      <c r="IVZ312" s="173"/>
      <c r="IWA312" s="125"/>
      <c r="IWB312" s="125"/>
      <c r="IWC312" s="134"/>
      <c r="IWD312" s="135"/>
      <c r="IWE312" s="135"/>
      <c r="IWF312" s="135"/>
      <c r="IWG312" s="135"/>
      <c r="IWH312" s="173"/>
      <c r="IWI312" s="173"/>
      <c r="IWJ312" s="173"/>
      <c r="IWK312" s="173"/>
      <c r="IWL312" s="173"/>
      <c r="IWM312" s="173"/>
      <c r="IWN312" s="173"/>
      <c r="IWO312" s="173"/>
      <c r="IWP312" s="173"/>
      <c r="IWQ312" s="173"/>
      <c r="IWR312" s="125"/>
      <c r="IWS312" s="125"/>
      <c r="IWT312" s="134"/>
      <c r="IWU312" s="135"/>
      <c r="IWV312" s="135"/>
      <c r="IWW312" s="135"/>
      <c r="IWX312" s="135"/>
      <c r="IWY312" s="173"/>
      <c r="IWZ312" s="173"/>
      <c r="IXA312" s="173"/>
      <c r="IXB312" s="173"/>
      <c r="IXC312" s="173"/>
      <c r="IXD312" s="173"/>
      <c r="IXE312" s="173"/>
      <c r="IXF312" s="173"/>
      <c r="IXG312" s="173"/>
      <c r="IXH312" s="173"/>
      <c r="IXI312" s="125"/>
      <c r="IXJ312" s="125"/>
      <c r="IXK312" s="134"/>
      <c r="IXL312" s="135"/>
      <c r="IXM312" s="135"/>
      <c r="IXN312" s="135"/>
      <c r="IXO312" s="135"/>
      <c r="IXP312" s="173"/>
      <c r="IXQ312" s="173"/>
      <c r="IXR312" s="173"/>
      <c r="IXS312" s="173"/>
      <c r="IXT312" s="173"/>
      <c r="IXU312" s="173"/>
      <c r="IXV312" s="173"/>
      <c r="IXW312" s="173"/>
      <c r="IXX312" s="173"/>
      <c r="IXY312" s="173"/>
      <c r="IXZ312" s="125"/>
      <c r="IYA312" s="125"/>
      <c r="IYB312" s="134"/>
      <c r="IYC312" s="135"/>
      <c r="IYD312" s="135"/>
      <c r="IYE312" s="135"/>
      <c r="IYF312" s="135"/>
      <c r="IYG312" s="173"/>
      <c r="IYH312" s="173"/>
      <c r="IYI312" s="173"/>
      <c r="IYJ312" s="173"/>
      <c r="IYK312" s="173"/>
      <c r="IYL312" s="173"/>
      <c r="IYM312" s="173"/>
      <c r="IYN312" s="173"/>
      <c r="IYO312" s="173"/>
      <c r="IYP312" s="173"/>
      <c r="IYQ312" s="125"/>
      <c r="IYR312" s="125"/>
      <c r="IYS312" s="134"/>
      <c r="IYT312" s="135"/>
      <c r="IYU312" s="135"/>
      <c r="IYV312" s="135"/>
      <c r="IYW312" s="135"/>
      <c r="IYX312" s="173"/>
      <c r="IYY312" s="173"/>
      <c r="IYZ312" s="173"/>
      <c r="IZA312" s="173"/>
      <c r="IZB312" s="173"/>
      <c r="IZC312" s="173"/>
      <c r="IZD312" s="173"/>
      <c r="IZE312" s="173"/>
      <c r="IZF312" s="173"/>
      <c r="IZG312" s="173"/>
      <c r="IZH312" s="125"/>
      <c r="IZI312" s="125"/>
      <c r="IZJ312" s="134"/>
      <c r="IZK312" s="135"/>
      <c r="IZL312" s="135"/>
      <c r="IZM312" s="135"/>
      <c r="IZN312" s="135"/>
      <c r="IZO312" s="173"/>
      <c r="IZP312" s="173"/>
      <c r="IZQ312" s="173"/>
      <c r="IZR312" s="173"/>
      <c r="IZS312" s="173"/>
      <c r="IZT312" s="173"/>
      <c r="IZU312" s="173"/>
      <c r="IZV312" s="173"/>
      <c r="IZW312" s="173"/>
      <c r="IZX312" s="173"/>
      <c r="IZY312" s="125"/>
      <c r="IZZ312" s="125"/>
      <c r="JAA312" s="134"/>
      <c r="JAB312" s="135"/>
      <c r="JAC312" s="135"/>
      <c r="JAD312" s="135"/>
      <c r="JAE312" s="135"/>
      <c r="JAF312" s="173"/>
      <c r="JAG312" s="173"/>
      <c r="JAH312" s="173"/>
      <c r="JAI312" s="173"/>
      <c r="JAJ312" s="173"/>
      <c r="JAK312" s="173"/>
      <c r="JAL312" s="173"/>
      <c r="JAM312" s="173"/>
      <c r="JAN312" s="173"/>
      <c r="JAO312" s="173"/>
      <c r="JAP312" s="125"/>
      <c r="JAQ312" s="125"/>
      <c r="JAR312" s="134"/>
      <c r="JAS312" s="135"/>
      <c r="JAT312" s="135"/>
      <c r="JAU312" s="135"/>
      <c r="JAV312" s="135"/>
      <c r="JAW312" s="173"/>
      <c r="JAX312" s="173"/>
      <c r="JAY312" s="173"/>
      <c r="JAZ312" s="173"/>
      <c r="JBA312" s="173"/>
      <c r="JBB312" s="173"/>
      <c r="JBC312" s="173"/>
      <c r="JBD312" s="173"/>
      <c r="JBE312" s="173"/>
      <c r="JBF312" s="173"/>
      <c r="JBG312" s="125"/>
      <c r="JBH312" s="125"/>
      <c r="JBI312" s="134"/>
      <c r="JBJ312" s="135"/>
      <c r="JBK312" s="135"/>
      <c r="JBL312" s="135"/>
      <c r="JBM312" s="135"/>
      <c r="JBN312" s="173"/>
      <c r="JBO312" s="173"/>
      <c r="JBP312" s="173"/>
      <c r="JBQ312" s="173"/>
      <c r="JBR312" s="173"/>
      <c r="JBS312" s="173"/>
      <c r="JBT312" s="173"/>
      <c r="JBU312" s="173"/>
      <c r="JBV312" s="173"/>
      <c r="JBW312" s="173"/>
      <c r="JBX312" s="125"/>
      <c r="JBY312" s="125"/>
      <c r="JBZ312" s="134"/>
      <c r="JCA312" s="135"/>
      <c r="JCB312" s="135"/>
      <c r="JCC312" s="135"/>
      <c r="JCD312" s="135"/>
      <c r="JCE312" s="173"/>
      <c r="JCF312" s="173"/>
      <c r="JCG312" s="173"/>
      <c r="JCH312" s="173"/>
      <c r="JCI312" s="173"/>
      <c r="JCJ312" s="173"/>
      <c r="JCK312" s="173"/>
      <c r="JCL312" s="173"/>
      <c r="JCM312" s="173"/>
      <c r="JCN312" s="173"/>
      <c r="JCO312" s="125"/>
      <c r="JCP312" s="125"/>
      <c r="JCQ312" s="134"/>
      <c r="JCR312" s="135"/>
      <c r="JCS312" s="135"/>
      <c r="JCT312" s="135"/>
      <c r="JCU312" s="135"/>
      <c r="JCV312" s="173"/>
      <c r="JCW312" s="173"/>
      <c r="JCX312" s="173"/>
      <c r="JCY312" s="173"/>
      <c r="JCZ312" s="173"/>
      <c r="JDA312" s="173"/>
      <c r="JDB312" s="173"/>
      <c r="JDC312" s="173"/>
      <c r="JDD312" s="173"/>
      <c r="JDE312" s="173"/>
      <c r="JDF312" s="125"/>
      <c r="JDG312" s="125"/>
      <c r="JDH312" s="134"/>
      <c r="JDI312" s="135"/>
      <c r="JDJ312" s="135"/>
      <c r="JDK312" s="135"/>
      <c r="JDL312" s="135"/>
      <c r="JDM312" s="173"/>
      <c r="JDN312" s="173"/>
      <c r="JDO312" s="173"/>
      <c r="JDP312" s="173"/>
      <c r="JDQ312" s="173"/>
      <c r="JDR312" s="173"/>
      <c r="JDS312" s="173"/>
      <c r="JDT312" s="173"/>
      <c r="JDU312" s="173"/>
      <c r="JDV312" s="173"/>
      <c r="JDW312" s="125"/>
      <c r="JDX312" s="125"/>
      <c r="JDY312" s="134"/>
      <c r="JDZ312" s="135"/>
      <c r="JEA312" s="135"/>
      <c r="JEB312" s="135"/>
      <c r="JEC312" s="135"/>
      <c r="JED312" s="173"/>
      <c r="JEE312" s="173"/>
      <c r="JEF312" s="173"/>
      <c r="JEG312" s="173"/>
      <c r="JEH312" s="173"/>
      <c r="JEI312" s="173"/>
      <c r="JEJ312" s="173"/>
      <c r="JEK312" s="173"/>
      <c r="JEL312" s="173"/>
      <c r="JEM312" s="173"/>
      <c r="JEN312" s="125"/>
      <c r="JEO312" s="125"/>
      <c r="JEP312" s="134"/>
      <c r="JEQ312" s="135"/>
      <c r="JER312" s="135"/>
      <c r="JES312" s="135"/>
      <c r="JET312" s="135"/>
      <c r="JEU312" s="173"/>
      <c r="JEV312" s="173"/>
      <c r="JEW312" s="173"/>
      <c r="JEX312" s="173"/>
      <c r="JEY312" s="173"/>
      <c r="JEZ312" s="173"/>
      <c r="JFA312" s="173"/>
      <c r="JFB312" s="173"/>
      <c r="JFC312" s="173"/>
      <c r="JFD312" s="173"/>
      <c r="JFE312" s="125"/>
      <c r="JFF312" s="125"/>
      <c r="JFG312" s="134"/>
      <c r="JFH312" s="135"/>
      <c r="JFI312" s="135"/>
      <c r="JFJ312" s="135"/>
      <c r="JFK312" s="135"/>
      <c r="JFL312" s="173"/>
      <c r="JFM312" s="173"/>
      <c r="JFN312" s="173"/>
      <c r="JFO312" s="173"/>
      <c r="JFP312" s="173"/>
      <c r="JFQ312" s="173"/>
      <c r="JFR312" s="173"/>
      <c r="JFS312" s="173"/>
      <c r="JFT312" s="173"/>
      <c r="JFU312" s="173"/>
      <c r="JFV312" s="125"/>
      <c r="JFW312" s="125"/>
      <c r="JFX312" s="134"/>
      <c r="JFY312" s="135"/>
      <c r="JFZ312" s="135"/>
      <c r="JGA312" s="135"/>
      <c r="JGB312" s="135"/>
      <c r="JGC312" s="173"/>
      <c r="JGD312" s="173"/>
      <c r="JGE312" s="173"/>
      <c r="JGF312" s="173"/>
      <c r="JGG312" s="173"/>
      <c r="JGH312" s="173"/>
      <c r="JGI312" s="173"/>
      <c r="JGJ312" s="173"/>
      <c r="JGK312" s="173"/>
      <c r="JGL312" s="173"/>
      <c r="JGM312" s="125"/>
      <c r="JGN312" s="125"/>
      <c r="JGO312" s="134"/>
      <c r="JGP312" s="135"/>
      <c r="JGQ312" s="135"/>
      <c r="JGR312" s="135"/>
      <c r="JGS312" s="135"/>
      <c r="JGT312" s="173"/>
      <c r="JGU312" s="173"/>
      <c r="JGV312" s="173"/>
      <c r="JGW312" s="173"/>
      <c r="JGX312" s="173"/>
      <c r="JGY312" s="173"/>
      <c r="JGZ312" s="173"/>
      <c r="JHA312" s="173"/>
      <c r="JHB312" s="173"/>
      <c r="JHC312" s="173"/>
      <c r="JHD312" s="125"/>
      <c r="JHE312" s="125"/>
      <c r="JHF312" s="134"/>
      <c r="JHG312" s="135"/>
      <c r="JHH312" s="135"/>
      <c r="JHI312" s="135"/>
      <c r="JHJ312" s="135"/>
      <c r="JHK312" s="173"/>
      <c r="JHL312" s="173"/>
      <c r="JHM312" s="173"/>
      <c r="JHN312" s="173"/>
      <c r="JHO312" s="173"/>
      <c r="JHP312" s="173"/>
      <c r="JHQ312" s="173"/>
      <c r="JHR312" s="173"/>
      <c r="JHS312" s="173"/>
      <c r="JHT312" s="173"/>
      <c r="JHU312" s="125"/>
      <c r="JHV312" s="125"/>
      <c r="JHW312" s="134"/>
      <c r="JHX312" s="135"/>
      <c r="JHY312" s="135"/>
      <c r="JHZ312" s="135"/>
      <c r="JIA312" s="135"/>
      <c r="JIB312" s="173"/>
      <c r="JIC312" s="173"/>
      <c r="JID312" s="173"/>
      <c r="JIE312" s="173"/>
      <c r="JIF312" s="173"/>
      <c r="JIG312" s="173"/>
      <c r="JIH312" s="173"/>
      <c r="JII312" s="173"/>
      <c r="JIJ312" s="173"/>
      <c r="JIK312" s="173"/>
      <c r="JIL312" s="125"/>
      <c r="JIM312" s="125"/>
      <c r="JIN312" s="134"/>
      <c r="JIO312" s="135"/>
      <c r="JIP312" s="135"/>
      <c r="JIQ312" s="135"/>
      <c r="JIR312" s="135"/>
      <c r="JIS312" s="173"/>
      <c r="JIT312" s="173"/>
      <c r="JIU312" s="173"/>
      <c r="JIV312" s="173"/>
      <c r="JIW312" s="173"/>
      <c r="JIX312" s="173"/>
      <c r="JIY312" s="173"/>
      <c r="JIZ312" s="173"/>
      <c r="JJA312" s="173"/>
      <c r="JJB312" s="173"/>
      <c r="JJC312" s="125"/>
      <c r="JJD312" s="125"/>
      <c r="JJE312" s="134"/>
      <c r="JJF312" s="135"/>
      <c r="JJG312" s="135"/>
      <c r="JJH312" s="135"/>
      <c r="JJI312" s="135"/>
      <c r="JJJ312" s="173"/>
      <c r="JJK312" s="173"/>
      <c r="JJL312" s="173"/>
      <c r="JJM312" s="173"/>
      <c r="JJN312" s="173"/>
      <c r="JJO312" s="173"/>
      <c r="JJP312" s="173"/>
      <c r="JJQ312" s="173"/>
      <c r="JJR312" s="173"/>
      <c r="JJS312" s="173"/>
      <c r="JJT312" s="125"/>
      <c r="JJU312" s="125"/>
      <c r="JJV312" s="134"/>
      <c r="JJW312" s="135"/>
      <c r="JJX312" s="135"/>
      <c r="JJY312" s="135"/>
      <c r="JJZ312" s="135"/>
      <c r="JKA312" s="173"/>
      <c r="JKB312" s="173"/>
      <c r="JKC312" s="173"/>
      <c r="JKD312" s="173"/>
      <c r="JKE312" s="173"/>
      <c r="JKF312" s="173"/>
      <c r="JKG312" s="173"/>
      <c r="JKH312" s="173"/>
      <c r="JKI312" s="173"/>
      <c r="JKJ312" s="173"/>
      <c r="JKK312" s="125"/>
      <c r="JKL312" s="125"/>
      <c r="JKM312" s="134"/>
      <c r="JKN312" s="135"/>
      <c r="JKO312" s="135"/>
      <c r="JKP312" s="135"/>
      <c r="JKQ312" s="135"/>
      <c r="JKR312" s="173"/>
      <c r="JKS312" s="173"/>
      <c r="JKT312" s="173"/>
      <c r="JKU312" s="173"/>
      <c r="JKV312" s="173"/>
      <c r="JKW312" s="173"/>
      <c r="JKX312" s="173"/>
      <c r="JKY312" s="173"/>
      <c r="JKZ312" s="173"/>
      <c r="JLA312" s="173"/>
      <c r="JLB312" s="125"/>
      <c r="JLC312" s="125"/>
      <c r="JLD312" s="134"/>
      <c r="JLE312" s="135"/>
      <c r="JLF312" s="135"/>
      <c r="JLG312" s="135"/>
      <c r="JLH312" s="135"/>
      <c r="JLI312" s="173"/>
      <c r="JLJ312" s="173"/>
      <c r="JLK312" s="173"/>
      <c r="JLL312" s="173"/>
      <c r="JLM312" s="173"/>
      <c r="JLN312" s="173"/>
      <c r="JLO312" s="173"/>
      <c r="JLP312" s="173"/>
      <c r="JLQ312" s="173"/>
      <c r="JLR312" s="173"/>
      <c r="JLS312" s="125"/>
      <c r="JLT312" s="125"/>
      <c r="JLU312" s="134"/>
      <c r="JLV312" s="135"/>
      <c r="JLW312" s="135"/>
      <c r="JLX312" s="135"/>
      <c r="JLY312" s="135"/>
      <c r="JLZ312" s="173"/>
      <c r="JMA312" s="173"/>
      <c r="JMB312" s="173"/>
      <c r="JMC312" s="173"/>
      <c r="JMD312" s="173"/>
      <c r="JME312" s="173"/>
      <c r="JMF312" s="173"/>
      <c r="JMG312" s="173"/>
      <c r="JMH312" s="173"/>
      <c r="JMI312" s="173"/>
      <c r="JMJ312" s="125"/>
      <c r="JMK312" s="125"/>
      <c r="JML312" s="134"/>
      <c r="JMM312" s="135"/>
      <c r="JMN312" s="135"/>
      <c r="JMO312" s="135"/>
      <c r="JMP312" s="135"/>
      <c r="JMQ312" s="173"/>
      <c r="JMR312" s="173"/>
      <c r="JMS312" s="173"/>
      <c r="JMT312" s="173"/>
      <c r="JMU312" s="173"/>
      <c r="JMV312" s="173"/>
      <c r="JMW312" s="173"/>
      <c r="JMX312" s="173"/>
      <c r="JMY312" s="173"/>
      <c r="JMZ312" s="173"/>
      <c r="JNA312" s="125"/>
      <c r="JNB312" s="125"/>
      <c r="JNC312" s="134"/>
      <c r="JND312" s="135"/>
      <c r="JNE312" s="135"/>
      <c r="JNF312" s="135"/>
      <c r="JNG312" s="135"/>
      <c r="JNH312" s="173"/>
      <c r="JNI312" s="173"/>
      <c r="JNJ312" s="173"/>
      <c r="JNK312" s="173"/>
      <c r="JNL312" s="173"/>
      <c r="JNM312" s="173"/>
      <c r="JNN312" s="173"/>
      <c r="JNO312" s="173"/>
      <c r="JNP312" s="173"/>
      <c r="JNQ312" s="173"/>
      <c r="JNR312" s="125"/>
      <c r="JNS312" s="125"/>
      <c r="JNT312" s="134"/>
      <c r="JNU312" s="135"/>
      <c r="JNV312" s="135"/>
      <c r="JNW312" s="135"/>
      <c r="JNX312" s="135"/>
      <c r="JNY312" s="173"/>
      <c r="JNZ312" s="173"/>
      <c r="JOA312" s="173"/>
      <c r="JOB312" s="173"/>
      <c r="JOC312" s="173"/>
      <c r="JOD312" s="173"/>
      <c r="JOE312" s="173"/>
      <c r="JOF312" s="173"/>
      <c r="JOG312" s="173"/>
      <c r="JOH312" s="173"/>
      <c r="JOI312" s="125"/>
      <c r="JOJ312" s="125"/>
      <c r="JOK312" s="134"/>
      <c r="JOL312" s="135"/>
      <c r="JOM312" s="135"/>
      <c r="JON312" s="135"/>
      <c r="JOO312" s="135"/>
      <c r="JOP312" s="173"/>
      <c r="JOQ312" s="173"/>
      <c r="JOR312" s="173"/>
      <c r="JOS312" s="173"/>
      <c r="JOT312" s="173"/>
      <c r="JOU312" s="173"/>
      <c r="JOV312" s="173"/>
      <c r="JOW312" s="173"/>
      <c r="JOX312" s="173"/>
      <c r="JOY312" s="173"/>
      <c r="JOZ312" s="125"/>
      <c r="JPA312" s="125"/>
      <c r="JPB312" s="134"/>
      <c r="JPC312" s="135"/>
      <c r="JPD312" s="135"/>
      <c r="JPE312" s="135"/>
      <c r="JPF312" s="135"/>
      <c r="JPG312" s="173"/>
      <c r="JPH312" s="173"/>
      <c r="JPI312" s="173"/>
      <c r="JPJ312" s="173"/>
      <c r="JPK312" s="173"/>
      <c r="JPL312" s="173"/>
      <c r="JPM312" s="173"/>
      <c r="JPN312" s="173"/>
      <c r="JPO312" s="173"/>
      <c r="JPP312" s="173"/>
      <c r="JPQ312" s="125"/>
      <c r="JPR312" s="125"/>
      <c r="JPS312" s="134"/>
      <c r="JPT312" s="135"/>
      <c r="JPU312" s="135"/>
      <c r="JPV312" s="135"/>
      <c r="JPW312" s="135"/>
      <c r="JPX312" s="173"/>
      <c r="JPY312" s="173"/>
      <c r="JPZ312" s="173"/>
      <c r="JQA312" s="173"/>
      <c r="JQB312" s="173"/>
      <c r="JQC312" s="173"/>
      <c r="JQD312" s="173"/>
      <c r="JQE312" s="173"/>
      <c r="JQF312" s="173"/>
      <c r="JQG312" s="173"/>
      <c r="JQH312" s="125"/>
      <c r="JQI312" s="125"/>
      <c r="JQJ312" s="134"/>
      <c r="JQK312" s="135"/>
      <c r="JQL312" s="135"/>
      <c r="JQM312" s="135"/>
      <c r="JQN312" s="135"/>
      <c r="JQO312" s="173"/>
      <c r="JQP312" s="173"/>
      <c r="JQQ312" s="173"/>
      <c r="JQR312" s="173"/>
      <c r="JQS312" s="173"/>
      <c r="JQT312" s="173"/>
      <c r="JQU312" s="173"/>
      <c r="JQV312" s="173"/>
      <c r="JQW312" s="173"/>
      <c r="JQX312" s="173"/>
      <c r="JQY312" s="125"/>
      <c r="JQZ312" s="125"/>
      <c r="JRA312" s="134"/>
      <c r="JRB312" s="135"/>
      <c r="JRC312" s="135"/>
      <c r="JRD312" s="135"/>
      <c r="JRE312" s="135"/>
      <c r="JRF312" s="173"/>
      <c r="JRG312" s="173"/>
      <c r="JRH312" s="173"/>
      <c r="JRI312" s="173"/>
      <c r="JRJ312" s="173"/>
      <c r="JRK312" s="173"/>
      <c r="JRL312" s="173"/>
      <c r="JRM312" s="173"/>
      <c r="JRN312" s="173"/>
      <c r="JRO312" s="173"/>
      <c r="JRP312" s="125"/>
      <c r="JRQ312" s="125"/>
      <c r="JRR312" s="134"/>
      <c r="JRS312" s="135"/>
      <c r="JRT312" s="135"/>
      <c r="JRU312" s="135"/>
      <c r="JRV312" s="135"/>
      <c r="JRW312" s="173"/>
      <c r="JRX312" s="173"/>
      <c r="JRY312" s="173"/>
      <c r="JRZ312" s="173"/>
      <c r="JSA312" s="173"/>
      <c r="JSB312" s="173"/>
      <c r="JSC312" s="173"/>
      <c r="JSD312" s="173"/>
      <c r="JSE312" s="173"/>
      <c r="JSF312" s="173"/>
      <c r="JSG312" s="125"/>
      <c r="JSH312" s="125"/>
      <c r="JSI312" s="134"/>
      <c r="JSJ312" s="135"/>
      <c r="JSK312" s="135"/>
      <c r="JSL312" s="135"/>
      <c r="JSM312" s="135"/>
      <c r="JSN312" s="173"/>
      <c r="JSO312" s="173"/>
      <c r="JSP312" s="173"/>
      <c r="JSQ312" s="173"/>
      <c r="JSR312" s="173"/>
      <c r="JSS312" s="173"/>
      <c r="JST312" s="173"/>
      <c r="JSU312" s="173"/>
      <c r="JSV312" s="173"/>
      <c r="JSW312" s="173"/>
      <c r="JSX312" s="125"/>
      <c r="JSY312" s="125"/>
      <c r="JSZ312" s="134"/>
      <c r="JTA312" s="135"/>
      <c r="JTB312" s="135"/>
      <c r="JTC312" s="135"/>
      <c r="JTD312" s="135"/>
      <c r="JTE312" s="173"/>
      <c r="JTF312" s="173"/>
      <c r="JTG312" s="173"/>
      <c r="JTH312" s="173"/>
      <c r="JTI312" s="173"/>
      <c r="JTJ312" s="173"/>
      <c r="JTK312" s="173"/>
      <c r="JTL312" s="173"/>
      <c r="JTM312" s="173"/>
      <c r="JTN312" s="173"/>
      <c r="JTO312" s="125"/>
      <c r="JTP312" s="125"/>
      <c r="JTQ312" s="134"/>
      <c r="JTR312" s="135"/>
      <c r="JTS312" s="135"/>
      <c r="JTT312" s="135"/>
      <c r="JTU312" s="135"/>
      <c r="JTV312" s="173"/>
      <c r="JTW312" s="173"/>
      <c r="JTX312" s="173"/>
      <c r="JTY312" s="173"/>
      <c r="JTZ312" s="173"/>
      <c r="JUA312" s="173"/>
      <c r="JUB312" s="173"/>
      <c r="JUC312" s="173"/>
      <c r="JUD312" s="173"/>
      <c r="JUE312" s="173"/>
      <c r="JUF312" s="125"/>
      <c r="JUG312" s="125"/>
      <c r="JUH312" s="134"/>
      <c r="JUI312" s="135"/>
      <c r="JUJ312" s="135"/>
      <c r="JUK312" s="135"/>
      <c r="JUL312" s="135"/>
      <c r="JUM312" s="173"/>
      <c r="JUN312" s="173"/>
      <c r="JUO312" s="173"/>
      <c r="JUP312" s="173"/>
      <c r="JUQ312" s="173"/>
      <c r="JUR312" s="173"/>
      <c r="JUS312" s="173"/>
      <c r="JUT312" s="173"/>
      <c r="JUU312" s="173"/>
      <c r="JUV312" s="173"/>
      <c r="JUW312" s="125"/>
      <c r="JUX312" s="125"/>
      <c r="JUY312" s="134"/>
      <c r="JUZ312" s="135"/>
      <c r="JVA312" s="135"/>
      <c r="JVB312" s="135"/>
      <c r="JVC312" s="135"/>
      <c r="JVD312" s="173"/>
      <c r="JVE312" s="173"/>
      <c r="JVF312" s="173"/>
      <c r="JVG312" s="173"/>
      <c r="JVH312" s="173"/>
      <c r="JVI312" s="173"/>
      <c r="JVJ312" s="173"/>
      <c r="JVK312" s="173"/>
      <c r="JVL312" s="173"/>
      <c r="JVM312" s="173"/>
      <c r="JVN312" s="125"/>
      <c r="JVO312" s="125"/>
      <c r="JVP312" s="134"/>
      <c r="JVQ312" s="135"/>
      <c r="JVR312" s="135"/>
      <c r="JVS312" s="135"/>
      <c r="JVT312" s="135"/>
      <c r="JVU312" s="173"/>
      <c r="JVV312" s="173"/>
      <c r="JVW312" s="173"/>
      <c r="JVX312" s="173"/>
      <c r="JVY312" s="173"/>
      <c r="JVZ312" s="173"/>
      <c r="JWA312" s="173"/>
      <c r="JWB312" s="173"/>
      <c r="JWC312" s="173"/>
      <c r="JWD312" s="173"/>
      <c r="JWE312" s="125"/>
      <c r="JWF312" s="125"/>
      <c r="JWG312" s="134"/>
      <c r="JWH312" s="135"/>
      <c r="JWI312" s="135"/>
      <c r="JWJ312" s="135"/>
      <c r="JWK312" s="135"/>
      <c r="JWL312" s="173"/>
      <c r="JWM312" s="173"/>
      <c r="JWN312" s="173"/>
      <c r="JWO312" s="173"/>
      <c r="JWP312" s="173"/>
      <c r="JWQ312" s="173"/>
      <c r="JWR312" s="173"/>
      <c r="JWS312" s="173"/>
      <c r="JWT312" s="173"/>
      <c r="JWU312" s="173"/>
      <c r="JWV312" s="125"/>
      <c r="JWW312" s="125"/>
      <c r="JWX312" s="134"/>
      <c r="JWY312" s="135"/>
      <c r="JWZ312" s="135"/>
      <c r="JXA312" s="135"/>
      <c r="JXB312" s="135"/>
      <c r="JXC312" s="173"/>
      <c r="JXD312" s="173"/>
      <c r="JXE312" s="173"/>
      <c r="JXF312" s="173"/>
      <c r="JXG312" s="173"/>
      <c r="JXH312" s="173"/>
      <c r="JXI312" s="173"/>
      <c r="JXJ312" s="173"/>
      <c r="JXK312" s="173"/>
      <c r="JXL312" s="173"/>
      <c r="JXM312" s="125"/>
      <c r="JXN312" s="125"/>
      <c r="JXO312" s="134"/>
      <c r="JXP312" s="135"/>
      <c r="JXQ312" s="135"/>
      <c r="JXR312" s="135"/>
      <c r="JXS312" s="135"/>
      <c r="JXT312" s="173"/>
      <c r="JXU312" s="173"/>
      <c r="JXV312" s="173"/>
      <c r="JXW312" s="173"/>
      <c r="JXX312" s="173"/>
      <c r="JXY312" s="173"/>
      <c r="JXZ312" s="173"/>
      <c r="JYA312" s="173"/>
      <c r="JYB312" s="173"/>
      <c r="JYC312" s="173"/>
      <c r="JYD312" s="125"/>
      <c r="JYE312" s="125"/>
      <c r="JYF312" s="134"/>
      <c r="JYG312" s="135"/>
      <c r="JYH312" s="135"/>
      <c r="JYI312" s="135"/>
      <c r="JYJ312" s="135"/>
      <c r="JYK312" s="173"/>
      <c r="JYL312" s="173"/>
      <c r="JYM312" s="173"/>
      <c r="JYN312" s="173"/>
      <c r="JYO312" s="173"/>
      <c r="JYP312" s="173"/>
      <c r="JYQ312" s="173"/>
      <c r="JYR312" s="173"/>
      <c r="JYS312" s="173"/>
      <c r="JYT312" s="173"/>
      <c r="JYU312" s="125"/>
      <c r="JYV312" s="125"/>
      <c r="JYW312" s="134"/>
      <c r="JYX312" s="135"/>
      <c r="JYY312" s="135"/>
      <c r="JYZ312" s="135"/>
      <c r="JZA312" s="135"/>
      <c r="JZB312" s="173"/>
      <c r="JZC312" s="173"/>
      <c r="JZD312" s="173"/>
      <c r="JZE312" s="173"/>
      <c r="JZF312" s="173"/>
      <c r="JZG312" s="173"/>
      <c r="JZH312" s="173"/>
      <c r="JZI312" s="173"/>
      <c r="JZJ312" s="173"/>
      <c r="JZK312" s="173"/>
      <c r="JZL312" s="125"/>
      <c r="JZM312" s="125"/>
      <c r="JZN312" s="134"/>
      <c r="JZO312" s="135"/>
      <c r="JZP312" s="135"/>
      <c r="JZQ312" s="135"/>
      <c r="JZR312" s="135"/>
      <c r="JZS312" s="173"/>
      <c r="JZT312" s="173"/>
      <c r="JZU312" s="173"/>
      <c r="JZV312" s="173"/>
      <c r="JZW312" s="173"/>
      <c r="JZX312" s="173"/>
      <c r="JZY312" s="173"/>
      <c r="JZZ312" s="173"/>
      <c r="KAA312" s="173"/>
      <c r="KAB312" s="173"/>
      <c r="KAC312" s="125"/>
      <c r="KAD312" s="125"/>
      <c r="KAE312" s="134"/>
      <c r="KAF312" s="135"/>
      <c r="KAG312" s="135"/>
      <c r="KAH312" s="135"/>
      <c r="KAI312" s="135"/>
      <c r="KAJ312" s="173"/>
      <c r="KAK312" s="173"/>
      <c r="KAL312" s="173"/>
      <c r="KAM312" s="173"/>
      <c r="KAN312" s="173"/>
      <c r="KAO312" s="173"/>
      <c r="KAP312" s="173"/>
      <c r="KAQ312" s="173"/>
      <c r="KAR312" s="173"/>
      <c r="KAS312" s="173"/>
      <c r="KAT312" s="125"/>
      <c r="KAU312" s="125"/>
      <c r="KAV312" s="134"/>
      <c r="KAW312" s="135"/>
      <c r="KAX312" s="135"/>
      <c r="KAY312" s="135"/>
      <c r="KAZ312" s="135"/>
      <c r="KBA312" s="173"/>
      <c r="KBB312" s="173"/>
      <c r="KBC312" s="173"/>
      <c r="KBD312" s="173"/>
      <c r="KBE312" s="173"/>
      <c r="KBF312" s="173"/>
      <c r="KBG312" s="173"/>
      <c r="KBH312" s="173"/>
      <c r="KBI312" s="173"/>
      <c r="KBJ312" s="173"/>
      <c r="KBK312" s="125"/>
      <c r="KBL312" s="125"/>
      <c r="KBM312" s="134"/>
      <c r="KBN312" s="135"/>
      <c r="KBO312" s="135"/>
      <c r="KBP312" s="135"/>
      <c r="KBQ312" s="135"/>
      <c r="KBR312" s="173"/>
      <c r="KBS312" s="173"/>
      <c r="KBT312" s="173"/>
      <c r="KBU312" s="173"/>
      <c r="KBV312" s="173"/>
      <c r="KBW312" s="173"/>
      <c r="KBX312" s="173"/>
      <c r="KBY312" s="173"/>
      <c r="KBZ312" s="173"/>
      <c r="KCA312" s="173"/>
      <c r="KCB312" s="125"/>
      <c r="KCC312" s="125"/>
      <c r="KCD312" s="134"/>
      <c r="KCE312" s="135"/>
      <c r="KCF312" s="135"/>
      <c r="KCG312" s="135"/>
      <c r="KCH312" s="135"/>
      <c r="KCI312" s="173"/>
      <c r="KCJ312" s="173"/>
      <c r="KCK312" s="173"/>
      <c r="KCL312" s="173"/>
      <c r="KCM312" s="173"/>
      <c r="KCN312" s="173"/>
      <c r="KCO312" s="173"/>
      <c r="KCP312" s="173"/>
      <c r="KCQ312" s="173"/>
      <c r="KCR312" s="173"/>
      <c r="KCS312" s="125"/>
      <c r="KCT312" s="125"/>
      <c r="KCU312" s="134"/>
      <c r="KCV312" s="135"/>
      <c r="KCW312" s="135"/>
      <c r="KCX312" s="135"/>
      <c r="KCY312" s="135"/>
      <c r="KCZ312" s="173"/>
      <c r="KDA312" s="173"/>
      <c r="KDB312" s="173"/>
      <c r="KDC312" s="173"/>
      <c r="KDD312" s="173"/>
      <c r="KDE312" s="173"/>
      <c r="KDF312" s="173"/>
      <c r="KDG312" s="173"/>
      <c r="KDH312" s="173"/>
      <c r="KDI312" s="173"/>
      <c r="KDJ312" s="125"/>
      <c r="KDK312" s="125"/>
      <c r="KDL312" s="134"/>
      <c r="KDM312" s="135"/>
      <c r="KDN312" s="135"/>
      <c r="KDO312" s="135"/>
      <c r="KDP312" s="135"/>
      <c r="KDQ312" s="173"/>
      <c r="KDR312" s="173"/>
      <c r="KDS312" s="173"/>
      <c r="KDT312" s="173"/>
      <c r="KDU312" s="173"/>
      <c r="KDV312" s="173"/>
      <c r="KDW312" s="173"/>
      <c r="KDX312" s="173"/>
      <c r="KDY312" s="173"/>
      <c r="KDZ312" s="173"/>
      <c r="KEA312" s="125"/>
      <c r="KEB312" s="125"/>
      <c r="KEC312" s="134"/>
      <c r="KED312" s="135"/>
      <c r="KEE312" s="135"/>
      <c r="KEF312" s="135"/>
      <c r="KEG312" s="135"/>
      <c r="KEH312" s="173"/>
      <c r="KEI312" s="173"/>
      <c r="KEJ312" s="173"/>
      <c r="KEK312" s="173"/>
      <c r="KEL312" s="173"/>
      <c r="KEM312" s="173"/>
      <c r="KEN312" s="173"/>
      <c r="KEO312" s="173"/>
      <c r="KEP312" s="173"/>
      <c r="KEQ312" s="173"/>
      <c r="KER312" s="125"/>
      <c r="KES312" s="125"/>
      <c r="KET312" s="134"/>
      <c r="KEU312" s="135"/>
      <c r="KEV312" s="135"/>
      <c r="KEW312" s="135"/>
      <c r="KEX312" s="135"/>
      <c r="KEY312" s="173"/>
      <c r="KEZ312" s="173"/>
      <c r="KFA312" s="173"/>
      <c r="KFB312" s="173"/>
      <c r="KFC312" s="173"/>
      <c r="KFD312" s="173"/>
      <c r="KFE312" s="173"/>
      <c r="KFF312" s="173"/>
      <c r="KFG312" s="173"/>
      <c r="KFH312" s="173"/>
      <c r="KFI312" s="125"/>
      <c r="KFJ312" s="125"/>
      <c r="KFK312" s="134"/>
      <c r="KFL312" s="135"/>
      <c r="KFM312" s="135"/>
      <c r="KFN312" s="135"/>
      <c r="KFO312" s="135"/>
      <c r="KFP312" s="173"/>
      <c r="KFQ312" s="173"/>
      <c r="KFR312" s="173"/>
      <c r="KFS312" s="173"/>
      <c r="KFT312" s="173"/>
      <c r="KFU312" s="173"/>
      <c r="KFV312" s="173"/>
      <c r="KFW312" s="173"/>
      <c r="KFX312" s="173"/>
      <c r="KFY312" s="173"/>
      <c r="KFZ312" s="125"/>
      <c r="KGA312" s="125"/>
      <c r="KGB312" s="134"/>
      <c r="KGC312" s="135"/>
      <c r="KGD312" s="135"/>
      <c r="KGE312" s="135"/>
      <c r="KGF312" s="135"/>
      <c r="KGG312" s="173"/>
      <c r="KGH312" s="173"/>
      <c r="KGI312" s="173"/>
      <c r="KGJ312" s="173"/>
      <c r="KGK312" s="173"/>
      <c r="KGL312" s="173"/>
      <c r="KGM312" s="173"/>
      <c r="KGN312" s="173"/>
      <c r="KGO312" s="173"/>
      <c r="KGP312" s="173"/>
      <c r="KGQ312" s="125"/>
      <c r="KGR312" s="125"/>
      <c r="KGS312" s="134"/>
      <c r="KGT312" s="135"/>
      <c r="KGU312" s="135"/>
      <c r="KGV312" s="135"/>
      <c r="KGW312" s="135"/>
      <c r="KGX312" s="173"/>
      <c r="KGY312" s="173"/>
      <c r="KGZ312" s="173"/>
      <c r="KHA312" s="173"/>
      <c r="KHB312" s="173"/>
      <c r="KHC312" s="173"/>
      <c r="KHD312" s="173"/>
      <c r="KHE312" s="173"/>
      <c r="KHF312" s="173"/>
      <c r="KHG312" s="173"/>
      <c r="KHH312" s="125"/>
      <c r="KHI312" s="125"/>
      <c r="KHJ312" s="134"/>
      <c r="KHK312" s="135"/>
      <c r="KHL312" s="135"/>
      <c r="KHM312" s="135"/>
      <c r="KHN312" s="135"/>
      <c r="KHO312" s="173"/>
      <c r="KHP312" s="173"/>
      <c r="KHQ312" s="173"/>
      <c r="KHR312" s="173"/>
      <c r="KHS312" s="173"/>
      <c r="KHT312" s="173"/>
      <c r="KHU312" s="173"/>
      <c r="KHV312" s="173"/>
      <c r="KHW312" s="173"/>
      <c r="KHX312" s="173"/>
      <c r="KHY312" s="125"/>
      <c r="KHZ312" s="125"/>
      <c r="KIA312" s="134"/>
      <c r="KIB312" s="135"/>
      <c r="KIC312" s="135"/>
      <c r="KID312" s="135"/>
      <c r="KIE312" s="135"/>
      <c r="KIF312" s="173"/>
      <c r="KIG312" s="173"/>
      <c r="KIH312" s="173"/>
      <c r="KII312" s="173"/>
      <c r="KIJ312" s="173"/>
      <c r="KIK312" s="173"/>
      <c r="KIL312" s="173"/>
      <c r="KIM312" s="173"/>
      <c r="KIN312" s="173"/>
      <c r="KIO312" s="173"/>
      <c r="KIP312" s="125"/>
      <c r="KIQ312" s="125"/>
      <c r="KIR312" s="134"/>
      <c r="KIS312" s="135"/>
      <c r="KIT312" s="135"/>
      <c r="KIU312" s="135"/>
      <c r="KIV312" s="135"/>
      <c r="KIW312" s="173"/>
      <c r="KIX312" s="173"/>
      <c r="KIY312" s="173"/>
      <c r="KIZ312" s="173"/>
      <c r="KJA312" s="173"/>
      <c r="KJB312" s="173"/>
      <c r="KJC312" s="173"/>
      <c r="KJD312" s="173"/>
      <c r="KJE312" s="173"/>
      <c r="KJF312" s="173"/>
      <c r="KJG312" s="125"/>
      <c r="KJH312" s="125"/>
      <c r="KJI312" s="134"/>
      <c r="KJJ312" s="135"/>
      <c r="KJK312" s="135"/>
      <c r="KJL312" s="135"/>
      <c r="KJM312" s="135"/>
      <c r="KJN312" s="173"/>
      <c r="KJO312" s="173"/>
      <c r="KJP312" s="173"/>
      <c r="KJQ312" s="173"/>
      <c r="KJR312" s="173"/>
      <c r="KJS312" s="173"/>
      <c r="KJT312" s="173"/>
      <c r="KJU312" s="173"/>
      <c r="KJV312" s="173"/>
      <c r="KJW312" s="173"/>
      <c r="KJX312" s="125"/>
      <c r="KJY312" s="125"/>
      <c r="KJZ312" s="134"/>
      <c r="KKA312" s="135"/>
      <c r="KKB312" s="135"/>
      <c r="KKC312" s="135"/>
      <c r="KKD312" s="135"/>
      <c r="KKE312" s="173"/>
      <c r="KKF312" s="173"/>
      <c r="KKG312" s="173"/>
      <c r="KKH312" s="173"/>
      <c r="KKI312" s="173"/>
      <c r="KKJ312" s="173"/>
      <c r="KKK312" s="173"/>
      <c r="KKL312" s="173"/>
      <c r="KKM312" s="173"/>
      <c r="KKN312" s="173"/>
      <c r="KKO312" s="125"/>
      <c r="KKP312" s="125"/>
      <c r="KKQ312" s="134"/>
      <c r="KKR312" s="135"/>
      <c r="KKS312" s="135"/>
      <c r="KKT312" s="135"/>
      <c r="KKU312" s="135"/>
      <c r="KKV312" s="173"/>
      <c r="KKW312" s="173"/>
      <c r="KKX312" s="173"/>
      <c r="KKY312" s="173"/>
      <c r="KKZ312" s="173"/>
      <c r="KLA312" s="173"/>
      <c r="KLB312" s="173"/>
      <c r="KLC312" s="173"/>
      <c r="KLD312" s="173"/>
      <c r="KLE312" s="173"/>
      <c r="KLF312" s="125"/>
      <c r="KLG312" s="125"/>
      <c r="KLH312" s="134"/>
      <c r="KLI312" s="135"/>
      <c r="KLJ312" s="135"/>
      <c r="KLK312" s="135"/>
      <c r="KLL312" s="135"/>
      <c r="KLM312" s="173"/>
      <c r="KLN312" s="173"/>
      <c r="KLO312" s="173"/>
      <c r="KLP312" s="173"/>
      <c r="KLQ312" s="173"/>
      <c r="KLR312" s="173"/>
      <c r="KLS312" s="173"/>
      <c r="KLT312" s="173"/>
      <c r="KLU312" s="173"/>
      <c r="KLV312" s="173"/>
      <c r="KLW312" s="125"/>
      <c r="KLX312" s="125"/>
      <c r="KLY312" s="134"/>
      <c r="KLZ312" s="135"/>
      <c r="KMA312" s="135"/>
      <c r="KMB312" s="135"/>
      <c r="KMC312" s="135"/>
      <c r="KMD312" s="173"/>
      <c r="KME312" s="173"/>
      <c r="KMF312" s="173"/>
      <c r="KMG312" s="173"/>
      <c r="KMH312" s="173"/>
      <c r="KMI312" s="173"/>
      <c r="KMJ312" s="173"/>
      <c r="KMK312" s="173"/>
      <c r="KML312" s="173"/>
      <c r="KMM312" s="173"/>
      <c r="KMN312" s="125"/>
      <c r="KMO312" s="125"/>
      <c r="KMP312" s="134"/>
      <c r="KMQ312" s="135"/>
      <c r="KMR312" s="135"/>
      <c r="KMS312" s="135"/>
      <c r="KMT312" s="135"/>
      <c r="KMU312" s="173"/>
      <c r="KMV312" s="173"/>
      <c r="KMW312" s="173"/>
      <c r="KMX312" s="173"/>
      <c r="KMY312" s="173"/>
      <c r="KMZ312" s="173"/>
      <c r="KNA312" s="173"/>
      <c r="KNB312" s="173"/>
      <c r="KNC312" s="173"/>
      <c r="KND312" s="173"/>
      <c r="KNE312" s="125"/>
      <c r="KNF312" s="125"/>
      <c r="KNG312" s="134"/>
      <c r="KNH312" s="135"/>
      <c r="KNI312" s="135"/>
      <c r="KNJ312" s="135"/>
      <c r="KNK312" s="135"/>
      <c r="KNL312" s="173"/>
      <c r="KNM312" s="173"/>
      <c r="KNN312" s="173"/>
      <c r="KNO312" s="173"/>
      <c r="KNP312" s="173"/>
      <c r="KNQ312" s="173"/>
      <c r="KNR312" s="173"/>
      <c r="KNS312" s="173"/>
      <c r="KNT312" s="173"/>
      <c r="KNU312" s="173"/>
      <c r="KNV312" s="125"/>
      <c r="KNW312" s="125"/>
      <c r="KNX312" s="134"/>
      <c r="KNY312" s="135"/>
      <c r="KNZ312" s="135"/>
      <c r="KOA312" s="135"/>
      <c r="KOB312" s="135"/>
      <c r="KOC312" s="173"/>
      <c r="KOD312" s="173"/>
      <c r="KOE312" s="173"/>
      <c r="KOF312" s="173"/>
      <c r="KOG312" s="173"/>
      <c r="KOH312" s="173"/>
      <c r="KOI312" s="173"/>
      <c r="KOJ312" s="173"/>
      <c r="KOK312" s="173"/>
      <c r="KOL312" s="173"/>
      <c r="KOM312" s="125"/>
      <c r="KON312" s="125"/>
      <c r="KOO312" s="134"/>
      <c r="KOP312" s="135"/>
      <c r="KOQ312" s="135"/>
      <c r="KOR312" s="135"/>
      <c r="KOS312" s="135"/>
      <c r="KOT312" s="173"/>
      <c r="KOU312" s="173"/>
      <c r="KOV312" s="173"/>
      <c r="KOW312" s="173"/>
      <c r="KOX312" s="173"/>
      <c r="KOY312" s="173"/>
      <c r="KOZ312" s="173"/>
      <c r="KPA312" s="173"/>
      <c r="KPB312" s="173"/>
      <c r="KPC312" s="173"/>
      <c r="KPD312" s="125"/>
      <c r="KPE312" s="125"/>
      <c r="KPF312" s="134"/>
      <c r="KPG312" s="135"/>
      <c r="KPH312" s="135"/>
      <c r="KPI312" s="135"/>
      <c r="KPJ312" s="135"/>
      <c r="KPK312" s="173"/>
      <c r="KPL312" s="173"/>
      <c r="KPM312" s="173"/>
      <c r="KPN312" s="173"/>
      <c r="KPO312" s="173"/>
      <c r="KPP312" s="173"/>
      <c r="KPQ312" s="173"/>
      <c r="KPR312" s="173"/>
      <c r="KPS312" s="173"/>
      <c r="KPT312" s="173"/>
      <c r="KPU312" s="125"/>
      <c r="KPV312" s="125"/>
      <c r="KPW312" s="134"/>
      <c r="KPX312" s="135"/>
      <c r="KPY312" s="135"/>
      <c r="KPZ312" s="135"/>
      <c r="KQA312" s="135"/>
      <c r="KQB312" s="173"/>
      <c r="KQC312" s="173"/>
      <c r="KQD312" s="173"/>
      <c r="KQE312" s="173"/>
      <c r="KQF312" s="173"/>
      <c r="KQG312" s="173"/>
      <c r="KQH312" s="173"/>
      <c r="KQI312" s="173"/>
      <c r="KQJ312" s="173"/>
      <c r="KQK312" s="173"/>
      <c r="KQL312" s="125"/>
      <c r="KQM312" s="125"/>
      <c r="KQN312" s="134"/>
      <c r="KQO312" s="135"/>
      <c r="KQP312" s="135"/>
      <c r="KQQ312" s="135"/>
      <c r="KQR312" s="135"/>
      <c r="KQS312" s="173"/>
      <c r="KQT312" s="173"/>
      <c r="KQU312" s="173"/>
      <c r="KQV312" s="173"/>
      <c r="KQW312" s="173"/>
      <c r="KQX312" s="173"/>
      <c r="KQY312" s="173"/>
      <c r="KQZ312" s="173"/>
      <c r="KRA312" s="173"/>
      <c r="KRB312" s="173"/>
      <c r="KRC312" s="125"/>
      <c r="KRD312" s="125"/>
      <c r="KRE312" s="134"/>
      <c r="KRF312" s="135"/>
      <c r="KRG312" s="135"/>
      <c r="KRH312" s="135"/>
      <c r="KRI312" s="135"/>
      <c r="KRJ312" s="173"/>
      <c r="KRK312" s="173"/>
      <c r="KRL312" s="173"/>
      <c r="KRM312" s="173"/>
      <c r="KRN312" s="173"/>
      <c r="KRO312" s="173"/>
      <c r="KRP312" s="173"/>
      <c r="KRQ312" s="173"/>
      <c r="KRR312" s="173"/>
      <c r="KRS312" s="173"/>
      <c r="KRT312" s="125"/>
      <c r="KRU312" s="125"/>
      <c r="KRV312" s="134"/>
      <c r="KRW312" s="135"/>
      <c r="KRX312" s="135"/>
      <c r="KRY312" s="135"/>
      <c r="KRZ312" s="135"/>
      <c r="KSA312" s="173"/>
      <c r="KSB312" s="173"/>
      <c r="KSC312" s="173"/>
      <c r="KSD312" s="173"/>
      <c r="KSE312" s="173"/>
      <c r="KSF312" s="173"/>
      <c r="KSG312" s="173"/>
      <c r="KSH312" s="173"/>
      <c r="KSI312" s="173"/>
      <c r="KSJ312" s="173"/>
      <c r="KSK312" s="125"/>
      <c r="KSL312" s="125"/>
      <c r="KSM312" s="134"/>
      <c r="KSN312" s="135"/>
      <c r="KSO312" s="135"/>
      <c r="KSP312" s="135"/>
      <c r="KSQ312" s="135"/>
      <c r="KSR312" s="173"/>
      <c r="KSS312" s="173"/>
      <c r="KST312" s="173"/>
      <c r="KSU312" s="173"/>
      <c r="KSV312" s="173"/>
      <c r="KSW312" s="173"/>
      <c r="KSX312" s="173"/>
      <c r="KSY312" s="173"/>
      <c r="KSZ312" s="173"/>
      <c r="KTA312" s="173"/>
      <c r="KTB312" s="125"/>
      <c r="KTC312" s="125"/>
      <c r="KTD312" s="134"/>
      <c r="KTE312" s="135"/>
      <c r="KTF312" s="135"/>
      <c r="KTG312" s="135"/>
      <c r="KTH312" s="135"/>
      <c r="KTI312" s="173"/>
      <c r="KTJ312" s="173"/>
      <c r="KTK312" s="173"/>
      <c r="KTL312" s="173"/>
      <c r="KTM312" s="173"/>
      <c r="KTN312" s="173"/>
      <c r="KTO312" s="173"/>
      <c r="KTP312" s="173"/>
      <c r="KTQ312" s="173"/>
      <c r="KTR312" s="173"/>
      <c r="KTS312" s="125"/>
      <c r="KTT312" s="125"/>
      <c r="KTU312" s="134"/>
      <c r="KTV312" s="135"/>
      <c r="KTW312" s="135"/>
      <c r="KTX312" s="135"/>
      <c r="KTY312" s="135"/>
      <c r="KTZ312" s="173"/>
      <c r="KUA312" s="173"/>
      <c r="KUB312" s="173"/>
      <c r="KUC312" s="173"/>
      <c r="KUD312" s="173"/>
      <c r="KUE312" s="173"/>
      <c r="KUF312" s="173"/>
      <c r="KUG312" s="173"/>
      <c r="KUH312" s="173"/>
      <c r="KUI312" s="173"/>
      <c r="KUJ312" s="125"/>
      <c r="KUK312" s="125"/>
      <c r="KUL312" s="134"/>
      <c r="KUM312" s="135"/>
      <c r="KUN312" s="135"/>
      <c r="KUO312" s="135"/>
      <c r="KUP312" s="135"/>
      <c r="KUQ312" s="173"/>
      <c r="KUR312" s="173"/>
      <c r="KUS312" s="173"/>
      <c r="KUT312" s="173"/>
      <c r="KUU312" s="173"/>
      <c r="KUV312" s="173"/>
      <c r="KUW312" s="173"/>
      <c r="KUX312" s="173"/>
      <c r="KUY312" s="173"/>
      <c r="KUZ312" s="173"/>
      <c r="KVA312" s="125"/>
      <c r="KVB312" s="125"/>
      <c r="KVC312" s="134"/>
      <c r="KVD312" s="135"/>
      <c r="KVE312" s="135"/>
      <c r="KVF312" s="135"/>
      <c r="KVG312" s="135"/>
      <c r="KVH312" s="173"/>
      <c r="KVI312" s="173"/>
      <c r="KVJ312" s="173"/>
      <c r="KVK312" s="173"/>
      <c r="KVL312" s="173"/>
      <c r="KVM312" s="173"/>
      <c r="KVN312" s="173"/>
      <c r="KVO312" s="173"/>
      <c r="KVP312" s="173"/>
      <c r="KVQ312" s="173"/>
      <c r="KVR312" s="125"/>
      <c r="KVS312" s="125"/>
      <c r="KVT312" s="134"/>
      <c r="KVU312" s="135"/>
      <c r="KVV312" s="135"/>
      <c r="KVW312" s="135"/>
      <c r="KVX312" s="135"/>
      <c r="KVY312" s="173"/>
      <c r="KVZ312" s="173"/>
      <c r="KWA312" s="173"/>
      <c r="KWB312" s="173"/>
      <c r="KWC312" s="173"/>
      <c r="KWD312" s="173"/>
      <c r="KWE312" s="173"/>
      <c r="KWF312" s="173"/>
      <c r="KWG312" s="173"/>
      <c r="KWH312" s="173"/>
      <c r="KWI312" s="125"/>
      <c r="KWJ312" s="125"/>
      <c r="KWK312" s="134"/>
      <c r="KWL312" s="135"/>
      <c r="KWM312" s="135"/>
      <c r="KWN312" s="135"/>
      <c r="KWO312" s="135"/>
      <c r="KWP312" s="173"/>
      <c r="KWQ312" s="173"/>
      <c r="KWR312" s="173"/>
      <c r="KWS312" s="173"/>
      <c r="KWT312" s="173"/>
      <c r="KWU312" s="173"/>
      <c r="KWV312" s="173"/>
      <c r="KWW312" s="173"/>
      <c r="KWX312" s="173"/>
      <c r="KWY312" s="173"/>
      <c r="KWZ312" s="125"/>
      <c r="KXA312" s="125"/>
      <c r="KXB312" s="134"/>
      <c r="KXC312" s="135"/>
      <c r="KXD312" s="135"/>
      <c r="KXE312" s="135"/>
      <c r="KXF312" s="135"/>
      <c r="KXG312" s="173"/>
      <c r="KXH312" s="173"/>
      <c r="KXI312" s="173"/>
      <c r="KXJ312" s="173"/>
      <c r="KXK312" s="173"/>
      <c r="KXL312" s="173"/>
      <c r="KXM312" s="173"/>
      <c r="KXN312" s="173"/>
      <c r="KXO312" s="173"/>
      <c r="KXP312" s="173"/>
      <c r="KXQ312" s="125"/>
      <c r="KXR312" s="125"/>
      <c r="KXS312" s="134"/>
      <c r="KXT312" s="135"/>
      <c r="KXU312" s="135"/>
      <c r="KXV312" s="135"/>
      <c r="KXW312" s="135"/>
      <c r="KXX312" s="173"/>
      <c r="KXY312" s="173"/>
      <c r="KXZ312" s="173"/>
      <c r="KYA312" s="173"/>
      <c r="KYB312" s="173"/>
      <c r="KYC312" s="173"/>
      <c r="KYD312" s="173"/>
      <c r="KYE312" s="173"/>
      <c r="KYF312" s="173"/>
      <c r="KYG312" s="173"/>
      <c r="KYH312" s="125"/>
      <c r="KYI312" s="125"/>
      <c r="KYJ312" s="134"/>
      <c r="KYK312" s="135"/>
      <c r="KYL312" s="135"/>
      <c r="KYM312" s="135"/>
      <c r="KYN312" s="135"/>
      <c r="KYO312" s="173"/>
      <c r="KYP312" s="173"/>
      <c r="KYQ312" s="173"/>
      <c r="KYR312" s="173"/>
      <c r="KYS312" s="173"/>
      <c r="KYT312" s="173"/>
      <c r="KYU312" s="173"/>
      <c r="KYV312" s="173"/>
      <c r="KYW312" s="173"/>
      <c r="KYX312" s="173"/>
      <c r="KYY312" s="125"/>
      <c r="KYZ312" s="125"/>
      <c r="KZA312" s="134"/>
      <c r="KZB312" s="135"/>
      <c r="KZC312" s="135"/>
      <c r="KZD312" s="135"/>
      <c r="KZE312" s="135"/>
      <c r="KZF312" s="173"/>
      <c r="KZG312" s="173"/>
      <c r="KZH312" s="173"/>
      <c r="KZI312" s="173"/>
      <c r="KZJ312" s="173"/>
      <c r="KZK312" s="173"/>
      <c r="KZL312" s="173"/>
      <c r="KZM312" s="173"/>
      <c r="KZN312" s="173"/>
      <c r="KZO312" s="173"/>
      <c r="KZP312" s="125"/>
      <c r="KZQ312" s="125"/>
      <c r="KZR312" s="134"/>
      <c r="KZS312" s="135"/>
      <c r="KZT312" s="135"/>
      <c r="KZU312" s="135"/>
      <c r="KZV312" s="135"/>
      <c r="KZW312" s="173"/>
      <c r="KZX312" s="173"/>
      <c r="KZY312" s="173"/>
      <c r="KZZ312" s="173"/>
      <c r="LAA312" s="173"/>
      <c r="LAB312" s="173"/>
      <c r="LAC312" s="173"/>
      <c r="LAD312" s="173"/>
      <c r="LAE312" s="173"/>
      <c r="LAF312" s="173"/>
      <c r="LAG312" s="125"/>
      <c r="LAH312" s="125"/>
      <c r="LAI312" s="134"/>
      <c r="LAJ312" s="135"/>
      <c r="LAK312" s="135"/>
      <c r="LAL312" s="135"/>
      <c r="LAM312" s="135"/>
      <c r="LAN312" s="173"/>
      <c r="LAO312" s="173"/>
      <c r="LAP312" s="173"/>
      <c r="LAQ312" s="173"/>
      <c r="LAR312" s="173"/>
      <c r="LAS312" s="173"/>
      <c r="LAT312" s="173"/>
      <c r="LAU312" s="173"/>
      <c r="LAV312" s="173"/>
      <c r="LAW312" s="173"/>
      <c r="LAX312" s="125"/>
      <c r="LAY312" s="125"/>
      <c r="LAZ312" s="134"/>
      <c r="LBA312" s="135"/>
      <c r="LBB312" s="135"/>
      <c r="LBC312" s="135"/>
      <c r="LBD312" s="135"/>
      <c r="LBE312" s="173"/>
      <c r="LBF312" s="173"/>
      <c r="LBG312" s="173"/>
      <c r="LBH312" s="173"/>
      <c r="LBI312" s="173"/>
      <c r="LBJ312" s="173"/>
      <c r="LBK312" s="173"/>
      <c r="LBL312" s="173"/>
      <c r="LBM312" s="173"/>
      <c r="LBN312" s="173"/>
      <c r="LBO312" s="125"/>
      <c r="LBP312" s="125"/>
      <c r="LBQ312" s="134"/>
      <c r="LBR312" s="135"/>
      <c r="LBS312" s="135"/>
      <c r="LBT312" s="135"/>
      <c r="LBU312" s="135"/>
      <c r="LBV312" s="173"/>
      <c r="LBW312" s="173"/>
      <c r="LBX312" s="173"/>
      <c r="LBY312" s="173"/>
      <c r="LBZ312" s="173"/>
      <c r="LCA312" s="173"/>
      <c r="LCB312" s="173"/>
      <c r="LCC312" s="173"/>
      <c r="LCD312" s="173"/>
      <c r="LCE312" s="173"/>
      <c r="LCF312" s="125"/>
      <c r="LCG312" s="125"/>
      <c r="LCH312" s="134"/>
      <c r="LCI312" s="135"/>
      <c r="LCJ312" s="135"/>
      <c r="LCK312" s="135"/>
      <c r="LCL312" s="135"/>
      <c r="LCM312" s="173"/>
      <c r="LCN312" s="173"/>
      <c r="LCO312" s="173"/>
      <c r="LCP312" s="173"/>
      <c r="LCQ312" s="173"/>
      <c r="LCR312" s="173"/>
      <c r="LCS312" s="173"/>
      <c r="LCT312" s="173"/>
      <c r="LCU312" s="173"/>
      <c r="LCV312" s="173"/>
      <c r="LCW312" s="125"/>
      <c r="LCX312" s="125"/>
      <c r="LCY312" s="134"/>
      <c r="LCZ312" s="135"/>
      <c r="LDA312" s="135"/>
      <c r="LDB312" s="135"/>
      <c r="LDC312" s="135"/>
      <c r="LDD312" s="173"/>
      <c r="LDE312" s="173"/>
      <c r="LDF312" s="173"/>
      <c r="LDG312" s="173"/>
      <c r="LDH312" s="173"/>
      <c r="LDI312" s="173"/>
      <c r="LDJ312" s="173"/>
      <c r="LDK312" s="173"/>
      <c r="LDL312" s="173"/>
      <c r="LDM312" s="173"/>
      <c r="LDN312" s="125"/>
      <c r="LDO312" s="125"/>
      <c r="LDP312" s="134"/>
      <c r="LDQ312" s="135"/>
      <c r="LDR312" s="135"/>
      <c r="LDS312" s="135"/>
      <c r="LDT312" s="135"/>
      <c r="LDU312" s="173"/>
      <c r="LDV312" s="173"/>
      <c r="LDW312" s="173"/>
      <c r="LDX312" s="173"/>
      <c r="LDY312" s="173"/>
      <c r="LDZ312" s="173"/>
      <c r="LEA312" s="173"/>
      <c r="LEB312" s="173"/>
      <c r="LEC312" s="173"/>
      <c r="LED312" s="173"/>
      <c r="LEE312" s="125"/>
      <c r="LEF312" s="125"/>
      <c r="LEG312" s="134"/>
      <c r="LEH312" s="135"/>
      <c r="LEI312" s="135"/>
      <c r="LEJ312" s="135"/>
      <c r="LEK312" s="135"/>
      <c r="LEL312" s="173"/>
      <c r="LEM312" s="173"/>
      <c r="LEN312" s="173"/>
      <c r="LEO312" s="173"/>
      <c r="LEP312" s="173"/>
      <c r="LEQ312" s="173"/>
      <c r="LER312" s="173"/>
      <c r="LES312" s="173"/>
      <c r="LET312" s="173"/>
      <c r="LEU312" s="173"/>
      <c r="LEV312" s="125"/>
      <c r="LEW312" s="125"/>
      <c r="LEX312" s="134"/>
      <c r="LEY312" s="135"/>
      <c r="LEZ312" s="135"/>
      <c r="LFA312" s="135"/>
      <c r="LFB312" s="135"/>
      <c r="LFC312" s="173"/>
      <c r="LFD312" s="173"/>
      <c r="LFE312" s="173"/>
      <c r="LFF312" s="173"/>
      <c r="LFG312" s="173"/>
      <c r="LFH312" s="173"/>
      <c r="LFI312" s="173"/>
      <c r="LFJ312" s="173"/>
      <c r="LFK312" s="173"/>
      <c r="LFL312" s="173"/>
      <c r="LFM312" s="125"/>
      <c r="LFN312" s="125"/>
      <c r="LFO312" s="134"/>
      <c r="LFP312" s="135"/>
      <c r="LFQ312" s="135"/>
      <c r="LFR312" s="135"/>
      <c r="LFS312" s="135"/>
      <c r="LFT312" s="173"/>
      <c r="LFU312" s="173"/>
      <c r="LFV312" s="173"/>
      <c r="LFW312" s="173"/>
      <c r="LFX312" s="173"/>
      <c r="LFY312" s="173"/>
      <c r="LFZ312" s="173"/>
      <c r="LGA312" s="173"/>
      <c r="LGB312" s="173"/>
      <c r="LGC312" s="173"/>
      <c r="LGD312" s="125"/>
      <c r="LGE312" s="125"/>
      <c r="LGF312" s="134"/>
      <c r="LGG312" s="135"/>
      <c r="LGH312" s="135"/>
      <c r="LGI312" s="135"/>
      <c r="LGJ312" s="135"/>
      <c r="LGK312" s="173"/>
      <c r="LGL312" s="173"/>
      <c r="LGM312" s="173"/>
      <c r="LGN312" s="173"/>
      <c r="LGO312" s="173"/>
      <c r="LGP312" s="173"/>
      <c r="LGQ312" s="173"/>
      <c r="LGR312" s="173"/>
      <c r="LGS312" s="173"/>
      <c r="LGT312" s="173"/>
      <c r="LGU312" s="125"/>
      <c r="LGV312" s="125"/>
      <c r="LGW312" s="134"/>
      <c r="LGX312" s="135"/>
      <c r="LGY312" s="135"/>
      <c r="LGZ312" s="135"/>
      <c r="LHA312" s="135"/>
      <c r="LHB312" s="173"/>
      <c r="LHC312" s="173"/>
      <c r="LHD312" s="173"/>
      <c r="LHE312" s="173"/>
      <c r="LHF312" s="173"/>
      <c r="LHG312" s="173"/>
      <c r="LHH312" s="173"/>
      <c r="LHI312" s="173"/>
      <c r="LHJ312" s="173"/>
      <c r="LHK312" s="173"/>
      <c r="LHL312" s="125"/>
      <c r="LHM312" s="125"/>
      <c r="LHN312" s="134"/>
      <c r="LHO312" s="135"/>
      <c r="LHP312" s="135"/>
      <c r="LHQ312" s="135"/>
      <c r="LHR312" s="135"/>
      <c r="LHS312" s="173"/>
      <c r="LHT312" s="173"/>
      <c r="LHU312" s="173"/>
      <c r="LHV312" s="173"/>
      <c r="LHW312" s="173"/>
      <c r="LHX312" s="173"/>
      <c r="LHY312" s="173"/>
      <c r="LHZ312" s="173"/>
      <c r="LIA312" s="173"/>
      <c r="LIB312" s="173"/>
      <c r="LIC312" s="125"/>
      <c r="LID312" s="125"/>
      <c r="LIE312" s="134"/>
      <c r="LIF312" s="135"/>
      <c r="LIG312" s="135"/>
      <c r="LIH312" s="135"/>
      <c r="LII312" s="135"/>
      <c r="LIJ312" s="173"/>
      <c r="LIK312" s="173"/>
      <c r="LIL312" s="173"/>
      <c r="LIM312" s="173"/>
      <c r="LIN312" s="173"/>
      <c r="LIO312" s="173"/>
      <c r="LIP312" s="173"/>
      <c r="LIQ312" s="173"/>
      <c r="LIR312" s="173"/>
      <c r="LIS312" s="173"/>
      <c r="LIT312" s="125"/>
      <c r="LIU312" s="125"/>
      <c r="LIV312" s="134"/>
      <c r="LIW312" s="135"/>
      <c r="LIX312" s="135"/>
      <c r="LIY312" s="135"/>
      <c r="LIZ312" s="135"/>
      <c r="LJA312" s="173"/>
      <c r="LJB312" s="173"/>
      <c r="LJC312" s="173"/>
      <c r="LJD312" s="173"/>
      <c r="LJE312" s="173"/>
      <c r="LJF312" s="173"/>
      <c r="LJG312" s="173"/>
      <c r="LJH312" s="173"/>
      <c r="LJI312" s="173"/>
      <c r="LJJ312" s="173"/>
      <c r="LJK312" s="125"/>
      <c r="LJL312" s="125"/>
      <c r="LJM312" s="134"/>
      <c r="LJN312" s="135"/>
      <c r="LJO312" s="135"/>
      <c r="LJP312" s="135"/>
      <c r="LJQ312" s="135"/>
      <c r="LJR312" s="173"/>
      <c r="LJS312" s="173"/>
      <c r="LJT312" s="173"/>
      <c r="LJU312" s="173"/>
      <c r="LJV312" s="173"/>
      <c r="LJW312" s="173"/>
      <c r="LJX312" s="173"/>
      <c r="LJY312" s="173"/>
      <c r="LJZ312" s="173"/>
      <c r="LKA312" s="173"/>
      <c r="LKB312" s="125"/>
      <c r="LKC312" s="125"/>
      <c r="LKD312" s="134"/>
      <c r="LKE312" s="135"/>
      <c r="LKF312" s="135"/>
      <c r="LKG312" s="135"/>
      <c r="LKH312" s="135"/>
      <c r="LKI312" s="173"/>
      <c r="LKJ312" s="173"/>
      <c r="LKK312" s="173"/>
      <c r="LKL312" s="173"/>
      <c r="LKM312" s="173"/>
      <c r="LKN312" s="173"/>
      <c r="LKO312" s="173"/>
      <c r="LKP312" s="173"/>
      <c r="LKQ312" s="173"/>
      <c r="LKR312" s="173"/>
      <c r="LKS312" s="125"/>
      <c r="LKT312" s="125"/>
      <c r="LKU312" s="134"/>
      <c r="LKV312" s="135"/>
      <c r="LKW312" s="135"/>
      <c r="LKX312" s="135"/>
      <c r="LKY312" s="135"/>
      <c r="LKZ312" s="173"/>
      <c r="LLA312" s="173"/>
      <c r="LLB312" s="173"/>
      <c r="LLC312" s="173"/>
      <c r="LLD312" s="173"/>
      <c r="LLE312" s="173"/>
      <c r="LLF312" s="173"/>
      <c r="LLG312" s="173"/>
      <c r="LLH312" s="173"/>
      <c r="LLI312" s="173"/>
      <c r="LLJ312" s="125"/>
      <c r="LLK312" s="125"/>
      <c r="LLL312" s="134"/>
      <c r="LLM312" s="135"/>
      <c r="LLN312" s="135"/>
      <c r="LLO312" s="135"/>
      <c r="LLP312" s="135"/>
      <c r="LLQ312" s="173"/>
      <c r="LLR312" s="173"/>
      <c r="LLS312" s="173"/>
      <c r="LLT312" s="173"/>
      <c r="LLU312" s="173"/>
      <c r="LLV312" s="173"/>
      <c r="LLW312" s="173"/>
      <c r="LLX312" s="173"/>
      <c r="LLY312" s="173"/>
      <c r="LLZ312" s="173"/>
      <c r="LMA312" s="125"/>
      <c r="LMB312" s="125"/>
      <c r="LMC312" s="134"/>
      <c r="LMD312" s="135"/>
      <c r="LME312" s="135"/>
      <c r="LMF312" s="135"/>
      <c r="LMG312" s="135"/>
      <c r="LMH312" s="173"/>
      <c r="LMI312" s="173"/>
      <c r="LMJ312" s="173"/>
      <c r="LMK312" s="173"/>
      <c r="LML312" s="173"/>
      <c r="LMM312" s="173"/>
      <c r="LMN312" s="173"/>
      <c r="LMO312" s="173"/>
      <c r="LMP312" s="173"/>
      <c r="LMQ312" s="173"/>
      <c r="LMR312" s="125"/>
      <c r="LMS312" s="125"/>
      <c r="LMT312" s="134"/>
      <c r="LMU312" s="135"/>
      <c r="LMV312" s="135"/>
      <c r="LMW312" s="135"/>
      <c r="LMX312" s="135"/>
      <c r="LMY312" s="173"/>
      <c r="LMZ312" s="173"/>
      <c r="LNA312" s="173"/>
      <c r="LNB312" s="173"/>
      <c r="LNC312" s="173"/>
      <c r="LND312" s="173"/>
      <c r="LNE312" s="173"/>
      <c r="LNF312" s="173"/>
      <c r="LNG312" s="173"/>
      <c r="LNH312" s="173"/>
      <c r="LNI312" s="125"/>
      <c r="LNJ312" s="125"/>
      <c r="LNK312" s="134"/>
      <c r="LNL312" s="135"/>
      <c r="LNM312" s="135"/>
      <c r="LNN312" s="135"/>
      <c r="LNO312" s="135"/>
      <c r="LNP312" s="173"/>
      <c r="LNQ312" s="173"/>
      <c r="LNR312" s="173"/>
      <c r="LNS312" s="173"/>
      <c r="LNT312" s="173"/>
      <c r="LNU312" s="173"/>
      <c r="LNV312" s="173"/>
      <c r="LNW312" s="173"/>
      <c r="LNX312" s="173"/>
      <c r="LNY312" s="173"/>
      <c r="LNZ312" s="125"/>
      <c r="LOA312" s="125"/>
      <c r="LOB312" s="134"/>
      <c r="LOC312" s="135"/>
      <c r="LOD312" s="135"/>
      <c r="LOE312" s="135"/>
      <c r="LOF312" s="135"/>
      <c r="LOG312" s="173"/>
      <c r="LOH312" s="173"/>
      <c r="LOI312" s="173"/>
      <c r="LOJ312" s="173"/>
      <c r="LOK312" s="173"/>
      <c r="LOL312" s="173"/>
      <c r="LOM312" s="173"/>
      <c r="LON312" s="173"/>
      <c r="LOO312" s="173"/>
      <c r="LOP312" s="173"/>
      <c r="LOQ312" s="125"/>
      <c r="LOR312" s="125"/>
      <c r="LOS312" s="134"/>
      <c r="LOT312" s="135"/>
      <c r="LOU312" s="135"/>
      <c r="LOV312" s="135"/>
      <c r="LOW312" s="135"/>
      <c r="LOX312" s="173"/>
      <c r="LOY312" s="173"/>
      <c r="LOZ312" s="173"/>
      <c r="LPA312" s="173"/>
      <c r="LPB312" s="173"/>
      <c r="LPC312" s="173"/>
      <c r="LPD312" s="173"/>
      <c r="LPE312" s="173"/>
      <c r="LPF312" s="173"/>
      <c r="LPG312" s="173"/>
      <c r="LPH312" s="125"/>
      <c r="LPI312" s="125"/>
      <c r="LPJ312" s="134"/>
      <c r="LPK312" s="135"/>
      <c r="LPL312" s="135"/>
      <c r="LPM312" s="135"/>
      <c r="LPN312" s="135"/>
      <c r="LPO312" s="173"/>
      <c r="LPP312" s="173"/>
      <c r="LPQ312" s="173"/>
      <c r="LPR312" s="173"/>
      <c r="LPS312" s="173"/>
      <c r="LPT312" s="173"/>
      <c r="LPU312" s="173"/>
      <c r="LPV312" s="173"/>
      <c r="LPW312" s="173"/>
      <c r="LPX312" s="173"/>
      <c r="LPY312" s="125"/>
      <c r="LPZ312" s="125"/>
      <c r="LQA312" s="134"/>
      <c r="LQB312" s="135"/>
      <c r="LQC312" s="135"/>
      <c r="LQD312" s="135"/>
      <c r="LQE312" s="135"/>
      <c r="LQF312" s="173"/>
      <c r="LQG312" s="173"/>
      <c r="LQH312" s="173"/>
      <c r="LQI312" s="173"/>
      <c r="LQJ312" s="173"/>
      <c r="LQK312" s="173"/>
      <c r="LQL312" s="173"/>
      <c r="LQM312" s="173"/>
      <c r="LQN312" s="173"/>
      <c r="LQO312" s="173"/>
      <c r="LQP312" s="125"/>
      <c r="LQQ312" s="125"/>
      <c r="LQR312" s="134"/>
      <c r="LQS312" s="135"/>
      <c r="LQT312" s="135"/>
      <c r="LQU312" s="135"/>
      <c r="LQV312" s="135"/>
      <c r="LQW312" s="173"/>
      <c r="LQX312" s="173"/>
      <c r="LQY312" s="173"/>
      <c r="LQZ312" s="173"/>
      <c r="LRA312" s="173"/>
      <c r="LRB312" s="173"/>
      <c r="LRC312" s="173"/>
      <c r="LRD312" s="173"/>
      <c r="LRE312" s="173"/>
      <c r="LRF312" s="173"/>
      <c r="LRG312" s="125"/>
      <c r="LRH312" s="125"/>
      <c r="LRI312" s="134"/>
      <c r="LRJ312" s="135"/>
      <c r="LRK312" s="135"/>
      <c r="LRL312" s="135"/>
      <c r="LRM312" s="135"/>
      <c r="LRN312" s="173"/>
      <c r="LRO312" s="173"/>
      <c r="LRP312" s="173"/>
      <c r="LRQ312" s="173"/>
      <c r="LRR312" s="173"/>
      <c r="LRS312" s="173"/>
      <c r="LRT312" s="173"/>
      <c r="LRU312" s="173"/>
      <c r="LRV312" s="173"/>
      <c r="LRW312" s="173"/>
      <c r="LRX312" s="125"/>
      <c r="LRY312" s="125"/>
      <c r="LRZ312" s="134"/>
      <c r="LSA312" s="135"/>
      <c r="LSB312" s="135"/>
      <c r="LSC312" s="135"/>
      <c r="LSD312" s="135"/>
      <c r="LSE312" s="173"/>
      <c r="LSF312" s="173"/>
      <c r="LSG312" s="173"/>
      <c r="LSH312" s="173"/>
      <c r="LSI312" s="173"/>
      <c r="LSJ312" s="173"/>
      <c r="LSK312" s="173"/>
      <c r="LSL312" s="173"/>
      <c r="LSM312" s="173"/>
      <c r="LSN312" s="173"/>
      <c r="LSO312" s="125"/>
      <c r="LSP312" s="125"/>
      <c r="LSQ312" s="134"/>
      <c r="LSR312" s="135"/>
      <c r="LSS312" s="135"/>
      <c r="LST312" s="135"/>
      <c r="LSU312" s="135"/>
      <c r="LSV312" s="173"/>
      <c r="LSW312" s="173"/>
      <c r="LSX312" s="173"/>
      <c r="LSY312" s="173"/>
      <c r="LSZ312" s="173"/>
      <c r="LTA312" s="173"/>
      <c r="LTB312" s="173"/>
      <c r="LTC312" s="173"/>
      <c r="LTD312" s="173"/>
      <c r="LTE312" s="173"/>
      <c r="LTF312" s="125"/>
      <c r="LTG312" s="125"/>
      <c r="LTH312" s="134"/>
      <c r="LTI312" s="135"/>
      <c r="LTJ312" s="135"/>
      <c r="LTK312" s="135"/>
      <c r="LTL312" s="135"/>
      <c r="LTM312" s="173"/>
      <c r="LTN312" s="173"/>
      <c r="LTO312" s="173"/>
      <c r="LTP312" s="173"/>
      <c r="LTQ312" s="173"/>
      <c r="LTR312" s="173"/>
      <c r="LTS312" s="173"/>
      <c r="LTT312" s="173"/>
      <c r="LTU312" s="173"/>
      <c r="LTV312" s="173"/>
      <c r="LTW312" s="125"/>
      <c r="LTX312" s="125"/>
      <c r="LTY312" s="134"/>
      <c r="LTZ312" s="135"/>
      <c r="LUA312" s="135"/>
      <c r="LUB312" s="135"/>
      <c r="LUC312" s="135"/>
      <c r="LUD312" s="173"/>
      <c r="LUE312" s="173"/>
      <c r="LUF312" s="173"/>
      <c r="LUG312" s="173"/>
      <c r="LUH312" s="173"/>
      <c r="LUI312" s="173"/>
      <c r="LUJ312" s="173"/>
      <c r="LUK312" s="173"/>
      <c r="LUL312" s="173"/>
      <c r="LUM312" s="173"/>
      <c r="LUN312" s="125"/>
      <c r="LUO312" s="125"/>
      <c r="LUP312" s="134"/>
      <c r="LUQ312" s="135"/>
      <c r="LUR312" s="135"/>
      <c r="LUS312" s="135"/>
      <c r="LUT312" s="135"/>
      <c r="LUU312" s="173"/>
      <c r="LUV312" s="173"/>
      <c r="LUW312" s="173"/>
      <c r="LUX312" s="173"/>
      <c r="LUY312" s="173"/>
      <c r="LUZ312" s="173"/>
      <c r="LVA312" s="173"/>
      <c r="LVB312" s="173"/>
      <c r="LVC312" s="173"/>
      <c r="LVD312" s="173"/>
      <c r="LVE312" s="125"/>
      <c r="LVF312" s="125"/>
      <c r="LVG312" s="134"/>
      <c r="LVH312" s="135"/>
      <c r="LVI312" s="135"/>
      <c r="LVJ312" s="135"/>
      <c r="LVK312" s="135"/>
      <c r="LVL312" s="173"/>
      <c r="LVM312" s="173"/>
      <c r="LVN312" s="173"/>
      <c r="LVO312" s="173"/>
      <c r="LVP312" s="173"/>
      <c r="LVQ312" s="173"/>
      <c r="LVR312" s="173"/>
      <c r="LVS312" s="173"/>
      <c r="LVT312" s="173"/>
      <c r="LVU312" s="173"/>
      <c r="LVV312" s="125"/>
      <c r="LVW312" s="125"/>
      <c r="LVX312" s="134"/>
      <c r="LVY312" s="135"/>
      <c r="LVZ312" s="135"/>
      <c r="LWA312" s="135"/>
      <c r="LWB312" s="135"/>
      <c r="LWC312" s="173"/>
      <c r="LWD312" s="173"/>
      <c r="LWE312" s="173"/>
      <c r="LWF312" s="173"/>
      <c r="LWG312" s="173"/>
      <c r="LWH312" s="173"/>
      <c r="LWI312" s="173"/>
      <c r="LWJ312" s="173"/>
      <c r="LWK312" s="173"/>
      <c r="LWL312" s="173"/>
      <c r="LWM312" s="125"/>
      <c r="LWN312" s="125"/>
      <c r="LWO312" s="134"/>
      <c r="LWP312" s="135"/>
      <c r="LWQ312" s="135"/>
      <c r="LWR312" s="135"/>
      <c r="LWS312" s="135"/>
      <c r="LWT312" s="173"/>
      <c r="LWU312" s="173"/>
      <c r="LWV312" s="173"/>
      <c r="LWW312" s="173"/>
      <c r="LWX312" s="173"/>
      <c r="LWY312" s="173"/>
      <c r="LWZ312" s="173"/>
      <c r="LXA312" s="173"/>
      <c r="LXB312" s="173"/>
      <c r="LXC312" s="173"/>
      <c r="LXD312" s="125"/>
      <c r="LXE312" s="125"/>
      <c r="LXF312" s="134"/>
      <c r="LXG312" s="135"/>
      <c r="LXH312" s="135"/>
      <c r="LXI312" s="135"/>
      <c r="LXJ312" s="135"/>
      <c r="LXK312" s="173"/>
      <c r="LXL312" s="173"/>
      <c r="LXM312" s="173"/>
      <c r="LXN312" s="173"/>
      <c r="LXO312" s="173"/>
      <c r="LXP312" s="173"/>
      <c r="LXQ312" s="173"/>
      <c r="LXR312" s="173"/>
      <c r="LXS312" s="173"/>
      <c r="LXT312" s="173"/>
      <c r="LXU312" s="125"/>
      <c r="LXV312" s="125"/>
      <c r="LXW312" s="134"/>
      <c r="LXX312" s="135"/>
      <c r="LXY312" s="135"/>
      <c r="LXZ312" s="135"/>
      <c r="LYA312" s="135"/>
      <c r="LYB312" s="173"/>
      <c r="LYC312" s="173"/>
      <c r="LYD312" s="173"/>
      <c r="LYE312" s="173"/>
      <c r="LYF312" s="173"/>
      <c r="LYG312" s="173"/>
      <c r="LYH312" s="173"/>
      <c r="LYI312" s="173"/>
      <c r="LYJ312" s="173"/>
      <c r="LYK312" s="173"/>
      <c r="LYL312" s="125"/>
      <c r="LYM312" s="125"/>
      <c r="LYN312" s="134"/>
      <c r="LYO312" s="135"/>
      <c r="LYP312" s="135"/>
      <c r="LYQ312" s="135"/>
      <c r="LYR312" s="135"/>
      <c r="LYS312" s="173"/>
      <c r="LYT312" s="173"/>
      <c r="LYU312" s="173"/>
      <c r="LYV312" s="173"/>
      <c r="LYW312" s="173"/>
      <c r="LYX312" s="173"/>
      <c r="LYY312" s="173"/>
      <c r="LYZ312" s="173"/>
      <c r="LZA312" s="173"/>
      <c r="LZB312" s="173"/>
      <c r="LZC312" s="125"/>
      <c r="LZD312" s="125"/>
      <c r="LZE312" s="134"/>
      <c r="LZF312" s="135"/>
      <c r="LZG312" s="135"/>
      <c r="LZH312" s="135"/>
      <c r="LZI312" s="135"/>
      <c r="LZJ312" s="173"/>
      <c r="LZK312" s="173"/>
      <c r="LZL312" s="173"/>
      <c r="LZM312" s="173"/>
      <c r="LZN312" s="173"/>
      <c r="LZO312" s="173"/>
      <c r="LZP312" s="173"/>
      <c r="LZQ312" s="173"/>
      <c r="LZR312" s="173"/>
      <c r="LZS312" s="173"/>
      <c r="LZT312" s="125"/>
      <c r="LZU312" s="125"/>
      <c r="LZV312" s="134"/>
      <c r="LZW312" s="135"/>
      <c r="LZX312" s="135"/>
      <c r="LZY312" s="135"/>
      <c r="LZZ312" s="135"/>
      <c r="MAA312" s="173"/>
      <c r="MAB312" s="173"/>
      <c r="MAC312" s="173"/>
      <c r="MAD312" s="173"/>
      <c r="MAE312" s="173"/>
      <c r="MAF312" s="173"/>
      <c r="MAG312" s="173"/>
      <c r="MAH312" s="173"/>
      <c r="MAI312" s="173"/>
      <c r="MAJ312" s="173"/>
      <c r="MAK312" s="125"/>
      <c r="MAL312" s="125"/>
      <c r="MAM312" s="134"/>
      <c r="MAN312" s="135"/>
      <c r="MAO312" s="135"/>
      <c r="MAP312" s="135"/>
      <c r="MAQ312" s="135"/>
      <c r="MAR312" s="173"/>
      <c r="MAS312" s="173"/>
      <c r="MAT312" s="173"/>
      <c r="MAU312" s="173"/>
      <c r="MAV312" s="173"/>
      <c r="MAW312" s="173"/>
      <c r="MAX312" s="173"/>
      <c r="MAY312" s="173"/>
      <c r="MAZ312" s="173"/>
      <c r="MBA312" s="173"/>
      <c r="MBB312" s="125"/>
      <c r="MBC312" s="125"/>
      <c r="MBD312" s="134"/>
      <c r="MBE312" s="135"/>
      <c r="MBF312" s="135"/>
      <c r="MBG312" s="135"/>
      <c r="MBH312" s="135"/>
      <c r="MBI312" s="173"/>
      <c r="MBJ312" s="173"/>
      <c r="MBK312" s="173"/>
      <c r="MBL312" s="173"/>
      <c r="MBM312" s="173"/>
      <c r="MBN312" s="173"/>
      <c r="MBO312" s="173"/>
      <c r="MBP312" s="173"/>
      <c r="MBQ312" s="173"/>
      <c r="MBR312" s="173"/>
      <c r="MBS312" s="125"/>
      <c r="MBT312" s="125"/>
      <c r="MBU312" s="134"/>
      <c r="MBV312" s="135"/>
      <c r="MBW312" s="135"/>
      <c r="MBX312" s="135"/>
      <c r="MBY312" s="135"/>
      <c r="MBZ312" s="173"/>
      <c r="MCA312" s="173"/>
      <c r="MCB312" s="173"/>
      <c r="MCC312" s="173"/>
      <c r="MCD312" s="173"/>
      <c r="MCE312" s="173"/>
      <c r="MCF312" s="173"/>
      <c r="MCG312" s="173"/>
      <c r="MCH312" s="173"/>
      <c r="MCI312" s="173"/>
      <c r="MCJ312" s="125"/>
      <c r="MCK312" s="125"/>
      <c r="MCL312" s="134"/>
      <c r="MCM312" s="135"/>
      <c r="MCN312" s="135"/>
      <c r="MCO312" s="135"/>
      <c r="MCP312" s="135"/>
      <c r="MCQ312" s="173"/>
      <c r="MCR312" s="173"/>
      <c r="MCS312" s="173"/>
      <c r="MCT312" s="173"/>
      <c r="MCU312" s="173"/>
      <c r="MCV312" s="173"/>
      <c r="MCW312" s="173"/>
      <c r="MCX312" s="173"/>
      <c r="MCY312" s="173"/>
      <c r="MCZ312" s="173"/>
      <c r="MDA312" s="125"/>
      <c r="MDB312" s="125"/>
      <c r="MDC312" s="134"/>
      <c r="MDD312" s="135"/>
      <c r="MDE312" s="135"/>
      <c r="MDF312" s="135"/>
      <c r="MDG312" s="135"/>
      <c r="MDH312" s="173"/>
      <c r="MDI312" s="173"/>
      <c r="MDJ312" s="173"/>
      <c r="MDK312" s="173"/>
      <c r="MDL312" s="173"/>
      <c r="MDM312" s="173"/>
      <c r="MDN312" s="173"/>
      <c r="MDO312" s="173"/>
      <c r="MDP312" s="173"/>
      <c r="MDQ312" s="173"/>
      <c r="MDR312" s="125"/>
      <c r="MDS312" s="125"/>
      <c r="MDT312" s="134"/>
      <c r="MDU312" s="135"/>
      <c r="MDV312" s="135"/>
      <c r="MDW312" s="135"/>
      <c r="MDX312" s="135"/>
      <c r="MDY312" s="173"/>
      <c r="MDZ312" s="173"/>
      <c r="MEA312" s="173"/>
      <c r="MEB312" s="173"/>
      <c r="MEC312" s="173"/>
      <c r="MED312" s="173"/>
      <c r="MEE312" s="173"/>
      <c r="MEF312" s="173"/>
      <c r="MEG312" s="173"/>
      <c r="MEH312" s="173"/>
      <c r="MEI312" s="125"/>
      <c r="MEJ312" s="125"/>
      <c r="MEK312" s="134"/>
      <c r="MEL312" s="135"/>
      <c r="MEM312" s="135"/>
      <c r="MEN312" s="135"/>
      <c r="MEO312" s="135"/>
      <c r="MEP312" s="173"/>
      <c r="MEQ312" s="173"/>
      <c r="MER312" s="173"/>
      <c r="MES312" s="173"/>
      <c r="MET312" s="173"/>
      <c r="MEU312" s="173"/>
      <c r="MEV312" s="173"/>
      <c r="MEW312" s="173"/>
      <c r="MEX312" s="173"/>
      <c r="MEY312" s="173"/>
      <c r="MEZ312" s="125"/>
      <c r="MFA312" s="125"/>
      <c r="MFB312" s="134"/>
      <c r="MFC312" s="135"/>
      <c r="MFD312" s="135"/>
      <c r="MFE312" s="135"/>
      <c r="MFF312" s="135"/>
      <c r="MFG312" s="173"/>
      <c r="MFH312" s="173"/>
      <c r="MFI312" s="173"/>
      <c r="MFJ312" s="173"/>
      <c r="MFK312" s="173"/>
      <c r="MFL312" s="173"/>
      <c r="MFM312" s="173"/>
      <c r="MFN312" s="173"/>
      <c r="MFO312" s="173"/>
      <c r="MFP312" s="173"/>
      <c r="MFQ312" s="125"/>
      <c r="MFR312" s="125"/>
      <c r="MFS312" s="134"/>
      <c r="MFT312" s="135"/>
      <c r="MFU312" s="135"/>
      <c r="MFV312" s="135"/>
      <c r="MFW312" s="135"/>
      <c r="MFX312" s="173"/>
      <c r="MFY312" s="173"/>
      <c r="MFZ312" s="173"/>
      <c r="MGA312" s="173"/>
      <c r="MGB312" s="173"/>
      <c r="MGC312" s="173"/>
      <c r="MGD312" s="173"/>
      <c r="MGE312" s="173"/>
      <c r="MGF312" s="173"/>
      <c r="MGG312" s="173"/>
      <c r="MGH312" s="125"/>
      <c r="MGI312" s="125"/>
      <c r="MGJ312" s="134"/>
      <c r="MGK312" s="135"/>
      <c r="MGL312" s="135"/>
      <c r="MGM312" s="135"/>
      <c r="MGN312" s="135"/>
      <c r="MGO312" s="173"/>
      <c r="MGP312" s="173"/>
      <c r="MGQ312" s="173"/>
      <c r="MGR312" s="173"/>
      <c r="MGS312" s="173"/>
      <c r="MGT312" s="173"/>
      <c r="MGU312" s="173"/>
      <c r="MGV312" s="173"/>
      <c r="MGW312" s="173"/>
      <c r="MGX312" s="173"/>
      <c r="MGY312" s="125"/>
      <c r="MGZ312" s="125"/>
      <c r="MHA312" s="134"/>
      <c r="MHB312" s="135"/>
      <c r="MHC312" s="135"/>
      <c r="MHD312" s="135"/>
      <c r="MHE312" s="135"/>
      <c r="MHF312" s="173"/>
      <c r="MHG312" s="173"/>
      <c r="MHH312" s="173"/>
      <c r="MHI312" s="173"/>
      <c r="MHJ312" s="173"/>
      <c r="MHK312" s="173"/>
      <c r="MHL312" s="173"/>
      <c r="MHM312" s="173"/>
      <c r="MHN312" s="173"/>
      <c r="MHO312" s="173"/>
      <c r="MHP312" s="125"/>
      <c r="MHQ312" s="125"/>
      <c r="MHR312" s="134"/>
      <c r="MHS312" s="135"/>
      <c r="MHT312" s="135"/>
      <c r="MHU312" s="135"/>
      <c r="MHV312" s="135"/>
      <c r="MHW312" s="173"/>
      <c r="MHX312" s="173"/>
      <c r="MHY312" s="173"/>
      <c r="MHZ312" s="173"/>
      <c r="MIA312" s="173"/>
      <c r="MIB312" s="173"/>
      <c r="MIC312" s="173"/>
      <c r="MID312" s="173"/>
      <c r="MIE312" s="173"/>
      <c r="MIF312" s="173"/>
      <c r="MIG312" s="125"/>
      <c r="MIH312" s="125"/>
      <c r="MII312" s="134"/>
      <c r="MIJ312" s="135"/>
      <c r="MIK312" s="135"/>
      <c r="MIL312" s="135"/>
      <c r="MIM312" s="135"/>
      <c r="MIN312" s="173"/>
      <c r="MIO312" s="173"/>
      <c r="MIP312" s="173"/>
      <c r="MIQ312" s="173"/>
      <c r="MIR312" s="173"/>
      <c r="MIS312" s="173"/>
      <c r="MIT312" s="173"/>
      <c r="MIU312" s="173"/>
      <c r="MIV312" s="173"/>
      <c r="MIW312" s="173"/>
      <c r="MIX312" s="125"/>
      <c r="MIY312" s="125"/>
      <c r="MIZ312" s="134"/>
      <c r="MJA312" s="135"/>
      <c r="MJB312" s="135"/>
      <c r="MJC312" s="135"/>
      <c r="MJD312" s="135"/>
      <c r="MJE312" s="173"/>
      <c r="MJF312" s="173"/>
      <c r="MJG312" s="173"/>
      <c r="MJH312" s="173"/>
      <c r="MJI312" s="173"/>
      <c r="MJJ312" s="173"/>
      <c r="MJK312" s="173"/>
      <c r="MJL312" s="173"/>
      <c r="MJM312" s="173"/>
      <c r="MJN312" s="173"/>
      <c r="MJO312" s="125"/>
      <c r="MJP312" s="125"/>
      <c r="MJQ312" s="134"/>
      <c r="MJR312" s="135"/>
      <c r="MJS312" s="135"/>
      <c r="MJT312" s="135"/>
      <c r="MJU312" s="135"/>
      <c r="MJV312" s="173"/>
      <c r="MJW312" s="173"/>
      <c r="MJX312" s="173"/>
      <c r="MJY312" s="173"/>
      <c r="MJZ312" s="173"/>
      <c r="MKA312" s="173"/>
      <c r="MKB312" s="173"/>
      <c r="MKC312" s="173"/>
      <c r="MKD312" s="173"/>
      <c r="MKE312" s="173"/>
      <c r="MKF312" s="125"/>
      <c r="MKG312" s="125"/>
      <c r="MKH312" s="134"/>
      <c r="MKI312" s="135"/>
      <c r="MKJ312" s="135"/>
      <c r="MKK312" s="135"/>
      <c r="MKL312" s="135"/>
      <c r="MKM312" s="173"/>
      <c r="MKN312" s="173"/>
      <c r="MKO312" s="173"/>
      <c r="MKP312" s="173"/>
      <c r="MKQ312" s="173"/>
      <c r="MKR312" s="173"/>
      <c r="MKS312" s="173"/>
      <c r="MKT312" s="173"/>
      <c r="MKU312" s="173"/>
      <c r="MKV312" s="173"/>
      <c r="MKW312" s="125"/>
      <c r="MKX312" s="125"/>
      <c r="MKY312" s="134"/>
      <c r="MKZ312" s="135"/>
      <c r="MLA312" s="135"/>
      <c r="MLB312" s="135"/>
      <c r="MLC312" s="135"/>
      <c r="MLD312" s="173"/>
      <c r="MLE312" s="173"/>
      <c r="MLF312" s="173"/>
      <c r="MLG312" s="173"/>
      <c r="MLH312" s="173"/>
      <c r="MLI312" s="173"/>
      <c r="MLJ312" s="173"/>
      <c r="MLK312" s="173"/>
      <c r="MLL312" s="173"/>
      <c r="MLM312" s="173"/>
      <c r="MLN312" s="125"/>
      <c r="MLO312" s="125"/>
      <c r="MLP312" s="134"/>
      <c r="MLQ312" s="135"/>
      <c r="MLR312" s="135"/>
      <c r="MLS312" s="135"/>
      <c r="MLT312" s="135"/>
      <c r="MLU312" s="173"/>
      <c r="MLV312" s="173"/>
      <c r="MLW312" s="173"/>
      <c r="MLX312" s="173"/>
      <c r="MLY312" s="173"/>
      <c r="MLZ312" s="173"/>
      <c r="MMA312" s="173"/>
      <c r="MMB312" s="173"/>
      <c r="MMC312" s="173"/>
      <c r="MMD312" s="173"/>
      <c r="MME312" s="125"/>
      <c r="MMF312" s="125"/>
      <c r="MMG312" s="134"/>
      <c r="MMH312" s="135"/>
      <c r="MMI312" s="135"/>
      <c r="MMJ312" s="135"/>
      <c r="MMK312" s="135"/>
      <c r="MML312" s="173"/>
      <c r="MMM312" s="173"/>
      <c r="MMN312" s="173"/>
      <c r="MMO312" s="173"/>
      <c r="MMP312" s="173"/>
      <c r="MMQ312" s="173"/>
      <c r="MMR312" s="173"/>
      <c r="MMS312" s="173"/>
      <c r="MMT312" s="173"/>
      <c r="MMU312" s="173"/>
      <c r="MMV312" s="125"/>
      <c r="MMW312" s="125"/>
      <c r="MMX312" s="134"/>
      <c r="MMY312" s="135"/>
      <c r="MMZ312" s="135"/>
      <c r="MNA312" s="135"/>
      <c r="MNB312" s="135"/>
      <c r="MNC312" s="173"/>
      <c r="MND312" s="173"/>
      <c r="MNE312" s="173"/>
      <c r="MNF312" s="173"/>
      <c r="MNG312" s="173"/>
      <c r="MNH312" s="173"/>
      <c r="MNI312" s="173"/>
      <c r="MNJ312" s="173"/>
      <c r="MNK312" s="173"/>
      <c r="MNL312" s="173"/>
      <c r="MNM312" s="125"/>
      <c r="MNN312" s="125"/>
      <c r="MNO312" s="134"/>
      <c r="MNP312" s="135"/>
      <c r="MNQ312" s="135"/>
      <c r="MNR312" s="135"/>
      <c r="MNS312" s="135"/>
      <c r="MNT312" s="173"/>
      <c r="MNU312" s="173"/>
      <c r="MNV312" s="173"/>
      <c r="MNW312" s="173"/>
      <c r="MNX312" s="173"/>
      <c r="MNY312" s="173"/>
      <c r="MNZ312" s="173"/>
      <c r="MOA312" s="173"/>
      <c r="MOB312" s="173"/>
      <c r="MOC312" s="173"/>
      <c r="MOD312" s="125"/>
      <c r="MOE312" s="125"/>
      <c r="MOF312" s="134"/>
      <c r="MOG312" s="135"/>
      <c r="MOH312" s="135"/>
      <c r="MOI312" s="135"/>
      <c r="MOJ312" s="135"/>
      <c r="MOK312" s="173"/>
      <c r="MOL312" s="173"/>
      <c r="MOM312" s="173"/>
      <c r="MON312" s="173"/>
      <c r="MOO312" s="173"/>
      <c r="MOP312" s="173"/>
      <c r="MOQ312" s="173"/>
      <c r="MOR312" s="173"/>
      <c r="MOS312" s="173"/>
      <c r="MOT312" s="173"/>
      <c r="MOU312" s="125"/>
      <c r="MOV312" s="125"/>
      <c r="MOW312" s="134"/>
      <c r="MOX312" s="135"/>
      <c r="MOY312" s="135"/>
      <c r="MOZ312" s="135"/>
      <c r="MPA312" s="135"/>
      <c r="MPB312" s="173"/>
      <c r="MPC312" s="173"/>
      <c r="MPD312" s="173"/>
      <c r="MPE312" s="173"/>
      <c r="MPF312" s="173"/>
      <c r="MPG312" s="173"/>
      <c r="MPH312" s="173"/>
      <c r="MPI312" s="173"/>
      <c r="MPJ312" s="173"/>
      <c r="MPK312" s="173"/>
      <c r="MPL312" s="125"/>
      <c r="MPM312" s="125"/>
      <c r="MPN312" s="134"/>
      <c r="MPO312" s="135"/>
      <c r="MPP312" s="135"/>
      <c r="MPQ312" s="135"/>
      <c r="MPR312" s="135"/>
      <c r="MPS312" s="173"/>
      <c r="MPT312" s="173"/>
      <c r="MPU312" s="173"/>
      <c r="MPV312" s="173"/>
      <c r="MPW312" s="173"/>
      <c r="MPX312" s="173"/>
      <c r="MPY312" s="173"/>
      <c r="MPZ312" s="173"/>
      <c r="MQA312" s="173"/>
      <c r="MQB312" s="173"/>
      <c r="MQC312" s="125"/>
      <c r="MQD312" s="125"/>
      <c r="MQE312" s="134"/>
      <c r="MQF312" s="135"/>
      <c r="MQG312" s="135"/>
      <c r="MQH312" s="135"/>
      <c r="MQI312" s="135"/>
      <c r="MQJ312" s="173"/>
      <c r="MQK312" s="173"/>
      <c r="MQL312" s="173"/>
      <c r="MQM312" s="173"/>
      <c r="MQN312" s="173"/>
      <c r="MQO312" s="173"/>
      <c r="MQP312" s="173"/>
      <c r="MQQ312" s="173"/>
      <c r="MQR312" s="173"/>
      <c r="MQS312" s="173"/>
      <c r="MQT312" s="125"/>
      <c r="MQU312" s="125"/>
      <c r="MQV312" s="134"/>
      <c r="MQW312" s="135"/>
      <c r="MQX312" s="135"/>
      <c r="MQY312" s="135"/>
      <c r="MQZ312" s="135"/>
      <c r="MRA312" s="173"/>
      <c r="MRB312" s="173"/>
      <c r="MRC312" s="173"/>
      <c r="MRD312" s="173"/>
      <c r="MRE312" s="173"/>
      <c r="MRF312" s="173"/>
      <c r="MRG312" s="173"/>
      <c r="MRH312" s="173"/>
      <c r="MRI312" s="173"/>
      <c r="MRJ312" s="173"/>
      <c r="MRK312" s="125"/>
      <c r="MRL312" s="125"/>
      <c r="MRM312" s="134"/>
      <c r="MRN312" s="135"/>
      <c r="MRO312" s="135"/>
      <c r="MRP312" s="135"/>
      <c r="MRQ312" s="135"/>
      <c r="MRR312" s="173"/>
      <c r="MRS312" s="173"/>
      <c r="MRT312" s="173"/>
      <c r="MRU312" s="173"/>
      <c r="MRV312" s="173"/>
      <c r="MRW312" s="173"/>
      <c r="MRX312" s="173"/>
      <c r="MRY312" s="173"/>
      <c r="MRZ312" s="173"/>
      <c r="MSA312" s="173"/>
      <c r="MSB312" s="125"/>
      <c r="MSC312" s="125"/>
      <c r="MSD312" s="134"/>
      <c r="MSE312" s="135"/>
      <c r="MSF312" s="135"/>
      <c r="MSG312" s="135"/>
      <c r="MSH312" s="135"/>
      <c r="MSI312" s="173"/>
      <c r="MSJ312" s="173"/>
      <c r="MSK312" s="173"/>
      <c r="MSL312" s="173"/>
      <c r="MSM312" s="173"/>
      <c r="MSN312" s="173"/>
      <c r="MSO312" s="173"/>
      <c r="MSP312" s="173"/>
      <c r="MSQ312" s="173"/>
      <c r="MSR312" s="173"/>
      <c r="MSS312" s="125"/>
      <c r="MST312" s="125"/>
      <c r="MSU312" s="134"/>
      <c r="MSV312" s="135"/>
      <c r="MSW312" s="135"/>
      <c r="MSX312" s="135"/>
      <c r="MSY312" s="135"/>
      <c r="MSZ312" s="173"/>
      <c r="MTA312" s="173"/>
      <c r="MTB312" s="173"/>
      <c r="MTC312" s="173"/>
      <c r="MTD312" s="173"/>
      <c r="MTE312" s="173"/>
      <c r="MTF312" s="173"/>
      <c r="MTG312" s="173"/>
      <c r="MTH312" s="173"/>
      <c r="MTI312" s="173"/>
      <c r="MTJ312" s="125"/>
      <c r="MTK312" s="125"/>
      <c r="MTL312" s="134"/>
      <c r="MTM312" s="135"/>
      <c r="MTN312" s="135"/>
      <c r="MTO312" s="135"/>
      <c r="MTP312" s="135"/>
      <c r="MTQ312" s="173"/>
      <c r="MTR312" s="173"/>
      <c r="MTS312" s="173"/>
      <c r="MTT312" s="173"/>
      <c r="MTU312" s="173"/>
      <c r="MTV312" s="173"/>
      <c r="MTW312" s="173"/>
      <c r="MTX312" s="173"/>
      <c r="MTY312" s="173"/>
      <c r="MTZ312" s="173"/>
      <c r="MUA312" s="125"/>
      <c r="MUB312" s="125"/>
      <c r="MUC312" s="134"/>
      <c r="MUD312" s="135"/>
      <c r="MUE312" s="135"/>
      <c r="MUF312" s="135"/>
      <c r="MUG312" s="135"/>
      <c r="MUH312" s="173"/>
      <c r="MUI312" s="173"/>
      <c r="MUJ312" s="173"/>
      <c r="MUK312" s="173"/>
      <c r="MUL312" s="173"/>
      <c r="MUM312" s="173"/>
      <c r="MUN312" s="173"/>
      <c r="MUO312" s="173"/>
      <c r="MUP312" s="173"/>
      <c r="MUQ312" s="173"/>
      <c r="MUR312" s="125"/>
      <c r="MUS312" s="125"/>
      <c r="MUT312" s="134"/>
      <c r="MUU312" s="135"/>
      <c r="MUV312" s="135"/>
      <c r="MUW312" s="135"/>
      <c r="MUX312" s="135"/>
      <c r="MUY312" s="173"/>
      <c r="MUZ312" s="173"/>
      <c r="MVA312" s="173"/>
      <c r="MVB312" s="173"/>
      <c r="MVC312" s="173"/>
      <c r="MVD312" s="173"/>
      <c r="MVE312" s="173"/>
      <c r="MVF312" s="173"/>
      <c r="MVG312" s="173"/>
      <c r="MVH312" s="173"/>
      <c r="MVI312" s="125"/>
      <c r="MVJ312" s="125"/>
      <c r="MVK312" s="134"/>
      <c r="MVL312" s="135"/>
      <c r="MVM312" s="135"/>
      <c r="MVN312" s="135"/>
      <c r="MVO312" s="135"/>
      <c r="MVP312" s="173"/>
      <c r="MVQ312" s="173"/>
      <c r="MVR312" s="173"/>
      <c r="MVS312" s="173"/>
      <c r="MVT312" s="173"/>
      <c r="MVU312" s="173"/>
      <c r="MVV312" s="173"/>
      <c r="MVW312" s="173"/>
      <c r="MVX312" s="173"/>
      <c r="MVY312" s="173"/>
      <c r="MVZ312" s="125"/>
      <c r="MWA312" s="125"/>
      <c r="MWB312" s="134"/>
      <c r="MWC312" s="135"/>
      <c r="MWD312" s="135"/>
      <c r="MWE312" s="135"/>
      <c r="MWF312" s="135"/>
      <c r="MWG312" s="173"/>
      <c r="MWH312" s="173"/>
      <c r="MWI312" s="173"/>
      <c r="MWJ312" s="173"/>
      <c r="MWK312" s="173"/>
      <c r="MWL312" s="173"/>
      <c r="MWM312" s="173"/>
      <c r="MWN312" s="173"/>
      <c r="MWO312" s="173"/>
      <c r="MWP312" s="173"/>
      <c r="MWQ312" s="125"/>
      <c r="MWR312" s="125"/>
      <c r="MWS312" s="134"/>
      <c r="MWT312" s="135"/>
      <c r="MWU312" s="135"/>
      <c r="MWV312" s="135"/>
      <c r="MWW312" s="135"/>
      <c r="MWX312" s="173"/>
      <c r="MWY312" s="173"/>
      <c r="MWZ312" s="173"/>
      <c r="MXA312" s="173"/>
      <c r="MXB312" s="173"/>
      <c r="MXC312" s="173"/>
      <c r="MXD312" s="173"/>
      <c r="MXE312" s="173"/>
      <c r="MXF312" s="173"/>
      <c r="MXG312" s="173"/>
      <c r="MXH312" s="125"/>
      <c r="MXI312" s="125"/>
      <c r="MXJ312" s="134"/>
      <c r="MXK312" s="135"/>
      <c r="MXL312" s="135"/>
      <c r="MXM312" s="135"/>
      <c r="MXN312" s="135"/>
      <c r="MXO312" s="173"/>
      <c r="MXP312" s="173"/>
      <c r="MXQ312" s="173"/>
      <c r="MXR312" s="173"/>
      <c r="MXS312" s="173"/>
      <c r="MXT312" s="173"/>
      <c r="MXU312" s="173"/>
      <c r="MXV312" s="173"/>
      <c r="MXW312" s="173"/>
      <c r="MXX312" s="173"/>
      <c r="MXY312" s="125"/>
      <c r="MXZ312" s="125"/>
      <c r="MYA312" s="134"/>
      <c r="MYB312" s="135"/>
      <c r="MYC312" s="135"/>
      <c r="MYD312" s="135"/>
      <c r="MYE312" s="135"/>
      <c r="MYF312" s="173"/>
      <c r="MYG312" s="173"/>
      <c r="MYH312" s="173"/>
      <c r="MYI312" s="173"/>
      <c r="MYJ312" s="173"/>
      <c r="MYK312" s="173"/>
      <c r="MYL312" s="173"/>
      <c r="MYM312" s="173"/>
      <c r="MYN312" s="173"/>
      <c r="MYO312" s="173"/>
      <c r="MYP312" s="125"/>
      <c r="MYQ312" s="125"/>
      <c r="MYR312" s="134"/>
      <c r="MYS312" s="135"/>
      <c r="MYT312" s="135"/>
      <c r="MYU312" s="135"/>
      <c r="MYV312" s="135"/>
      <c r="MYW312" s="173"/>
      <c r="MYX312" s="173"/>
      <c r="MYY312" s="173"/>
      <c r="MYZ312" s="173"/>
      <c r="MZA312" s="173"/>
      <c r="MZB312" s="173"/>
      <c r="MZC312" s="173"/>
      <c r="MZD312" s="173"/>
      <c r="MZE312" s="173"/>
      <c r="MZF312" s="173"/>
      <c r="MZG312" s="125"/>
      <c r="MZH312" s="125"/>
      <c r="MZI312" s="134"/>
      <c r="MZJ312" s="135"/>
      <c r="MZK312" s="135"/>
      <c r="MZL312" s="135"/>
      <c r="MZM312" s="135"/>
      <c r="MZN312" s="173"/>
      <c r="MZO312" s="173"/>
      <c r="MZP312" s="173"/>
      <c r="MZQ312" s="173"/>
      <c r="MZR312" s="173"/>
      <c r="MZS312" s="173"/>
      <c r="MZT312" s="173"/>
      <c r="MZU312" s="173"/>
      <c r="MZV312" s="173"/>
      <c r="MZW312" s="173"/>
      <c r="MZX312" s="125"/>
      <c r="MZY312" s="125"/>
      <c r="MZZ312" s="134"/>
      <c r="NAA312" s="135"/>
      <c r="NAB312" s="135"/>
      <c r="NAC312" s="135"/>
      <c r="NAD312" s="135"/>
      <c r="NAE312" s="173"/>
      <c r="NAF312" s="173"/>
      <c r="NAG312" s="173"/>
      <c r="NAH312" s="173"/>
      <c r="NAI312" s="173"/>
      <c r="NAJ312" s="173"/>
      <c r="NAK312" s="173"/>
      <c r="NAL312" s="173"/>
      <c r="NAM312" s="173"/>
      <c r="NAN312" s="173"/>
      <c r="NAO312" s="125"/>
      <c r="NAP312" s="125"/>
      <c r="NAQ312" s="134"/>
      <c r="NAR312" s="135"/>
      <c r="NAS312" s="135"/>
      <c r="NAT312" s="135"/>
      <c r="NAU312" s="135"/>
      <c r="NAV312" s="173"/>
      <c r="NAW312" s="173"/>
      <c r="NAX312" s="173"/>
      <c r="NAY312" s="173"/>
      <c r="NAZ312" s="173"/>
      <c r="NBA312" s="173"/>
      <c r="NBB312" s="173"/>
      <c r="NBC312" s="173"/>
      <c r="NBD312" s="173"/>
      <c r="NBE312" s="173"/>
      <c r="NBF312" s="125"/>
      <c r="NBG312" s="125"/>
      <c r="NBH312" s="134"/>
      <c r="NBI312" s="135"/>
      <c r="NBJ312" s="135"/>
      <c r="NBK312" s="135"/>
      <c r="NBL312" s="135"/>
      <c r="NBM312" s="173"/>
      <c r="NBN312" s="173"/>
      <c r="NBO312" s="173"/>
      <c r="NBP312" s="173"/>
      <c r="NBQ312" s="173"/>
      <c r="NBR312" s="173"/>
      <c r="NBS312" s="173"/>
      <c r="NBT312" s="173"/>
      <c r="NBU312" s="173"/>
      <c r="NBV312" s="173"/>
      <c r="NBW312" s="125"/>
      <c r="NBX312" s="125"/>
      <c r="NBY312" s="134"/>
      <c r="NBZ312" s="135"/>
      <c r="NCA312" s="135"/>
      <c r="NCB312" s="135"/>
      <c r="NCC312" s="135"/>
      <c r="NCD312" s="173"/>
      <c r="NCE312" s="173"/>
      <c r="NCF312" s="173"/>
      <c r="NCG312" s="173"/>
      <c r="NCH312" s="173"/>
      <c r="NCI312" s="173"/>
      <c r="NCJ312" s="173"/>
      <c r="NCK312" s="173"/>
      <c r="NCL312" s="173"/>
      <c r="NCM312" s="173"/>
      <c r="NCN312" s="125"/>
      <c r="NCO312" s="125"/>
      <c r="NCP312" s="134"/>
      <c r="NCQ312" s="135"/>
      <c r="NCR312" s="135"/>
      <c r="NCS312" s="135"/>
      <c r="NCT312" s="135"/>
      <c r="NCU312" s="173"/>
      <c r="NCV312" s="173"/>
      <c r="NCW312" s="173"/>
      <c r="NCX312" s="173"/>
      <c r="NCY312" s="173"/>
      <c r="NCZ312" s="173"/>
      <c r="NDA312" s="173"/>
      <c r="NDB312" s="173"/>
      <c r="NDC312" s="173"/>
      <c r="NDD312" s="173"/>
      <c r="NDE312" s="125"/>
      <c r="NDF312" s="125"/>
      <c r="NDG312" s="134"/>
      <c r="NDH312" s="135"/>
      <c r="NDI312" s="135"/>
      <c r="NDJ312" s="135"/>
      <c r="NDK312" s="135"/>
      <c r="NDL312" s="173"/>
      <c r="NDM312" s="173"/>
      <c r="NDN312" s="173"/>
      <c r="NDO312" s="173"/>
      <c r="NDP312" s="173"/>
      <c r="NDQ312" s="173"/>
      <c r="NDR312" s="173"/>
      <c r="NDS312" s="173"/>
      <c r="NDT312" s="173"/>
      <c r="NDU312" s="173"/>
      <c r="NDV312" s="125"/>
      <c r="NDW312" s="125"/>
      <c r="NDX312" s="134"/>
      <c r="NDY312" s="135"/>
      <c r="NDZ312" s="135"/>
      <c r="NEA312" s="135"/>
      <c r="NEB312" s="135"/>
      <c r="NEC312" s="173"/>
      <c r="NED312" s="173"/>
      <c r="NEE312" s="173"/>
      <c r="NEF312" s="173"/>
      <c r="NEG312" s="173"/>
      <c r="NEH312" s="173"/>
      <c r="NEI312" s="173"/>
      <c r="NEJ312" s="173"/>
      <c r="NEK312" s="173"/>
      <c r="NEL312" s="173"/>
      <c r="NEM312" s="125"/>
      <c r="NEN312" s="125"/>
      <c r="NEO312" s="134"/>
      <c r="NEP312" s="135"/>
      <c r="NEQ312" s="135"/>
      <c r="NER312" s="135"/>
      <c r="NES312" s="135"/>
      <c r="NET312" s="173"/>
      <c r="NEU312" s="173"/>
      <c r="NEV312" s="173"/>
      <c r="NEW312" s="173"/>
      <c r="NEX312" s="173"/>
      <c r="NEY312" s="173"/>
      <c r="NEZ312" s="173"/>
      <c r="NFA312" s="173"/>
      <c r="NFB312" s="173"/>
      <c r="NFC312" s="173"/>
      <c r="NFD312" s="125"/>
      <c r="NFE312" s="125"/>
      <c r="NFF312" s="134"/>
      <c r="NFG312" s="135"/>
      <c r="NFH312" s="135"/>
      <c r="NFI312" s="135"/>
      <c r="NFJ312" s="135"/>
      <c r="NFK312" s="173"/>
      <c r="NFL312" s="173"/>
      <c r="NFM312" s="173"/>
      <c r="NFN312" s="173"/>
      <c r="NFO312" s="173"/>
      <c r="NFP312" s="173"/>
      <c r="NFQ312" s="173"/>
      <c r="NFR312" s="173"/>
      <c r="NFS312" s="173"/>
      <c r="NFT312" s="173"/>
      <c r="NFU312" s="125"/>
      <c r="NFV312" s="125"/>
      <c r="NFW312" s="134"/>
      <c r="NFX312" s="135"/>
      <c r="NFY312" s="135"/>
      <c r="NFZ312" s="135"/>
      <c r="NGA312" s="135"/>
      <c r="NGB312" s="173"/>
      <c r="NGC312" s="173"/>
      <c r="NGD312" s="173"/>
      <c r="NGE312" s="173"/>
      <c r="NGF312" s="173"/>
      <c r="NGG312" s="173"/>
      <c r="NGH312" s="173"/>
      <c r="NGI312" s="173"/>
      <c r="NGJ312" s="173"/>
      <c r="NGK312" s="173"/>
      <c r="NGL312" s="125"/>
      <c r="NGM312" s="125"/>
      <c r="NGN312" s="134"/>
      <c r="NGO312" s="135"/>
      <c r="NGP312" s="135"/>
      <c r="NGQ312" s="135"/>
      <c r="NGR312" s="135"/>
      <c r="NGS312" s="173"/>
      <c r="NGT312" s="173"/>
      <c r="NGU312" s="173"/>
      <c r="NGV312" s="173"/>
      <c r="NGW312" s="173"/>
      <c r="NGX312" s="173"/>
      <c r="NGY312" s="173"/>
      <c r="NGZ312" s="173"/>
      <c r="NHA312" s="173"/>
      <c r="NHB312" s="173"/>
      <c r="NHC312" s="125"/>
      <c r="NHD312" s="125"/>
      <c r="NHE312" s="134"/>
      <c r="NHF312" s="135"/>
      <c r="NHG312" s="135"/>
      <c r="NHH312" s="135"/>
      <c r="NHI312" s="135"/>
      <c r="NHJ312" s="173"/>
      <c r="NHK312" s="173"/>
      <c r="NHL312" s="173"/>
      <c r="NHM312" s="173"/>
      <c r="NHN312" s="173"/>
      <c r="NHO312" s="173"/>
      <c r="NHP312" s="173"/>
      <c r="NHQ312" s="173"/>
      <c r="NHR312" s="173"/>
      <c r="NHS312" s="173"/>
      <c r="NHT312" s="125"/>
      <c r="NHU312" s="125"/>
      <c r="NHV312" s="134"/>
      <c r="NHW312" s="135"/>
      <c r="NHX312" s="135"/>
      <c r="NHY312" s="135"/>
      <c r="NHZ312" s="135"/>
      <c r="NIA312" s="173"/>
      <c r="NIB312" s="173"/>
      <c r="NIC312" s="173"/>
      <c r="NID312" s="173"/>
      <c r="NIE312" s="173"/>
      <c r="NIF312" s="173"/>
      <c r="NIG312" s="173"/>
      <c r="NIH312" s="173"/>
      <c r="NII312" s="173"/>
      <c r="NIJ312" s="173"/>
      <c r="NIK312" s="125"/>
      <c r="NIL312" s="125"/>
      <c r="NIM312" s="134"/>
      <c r="NIN312" s="135"/>
      <c r="NIO312" s="135"/>
      <c r="NIP312" s="135"/>
      <c r="NIQ312" s="135"/>
      <c r="NIR312" s="173"/>
      <c r="NIS312" s="173"/>
      <c r="NIT312" s="173"/>
      <c r="NIU312" s="173"/>
      <c r="NIV312" s="173"/>
      <c r="NIW312" s="173"/>
      <c r="NIX312" s="173"/>
      <c r="NIY312" s="173"/>
      <c r="NIZ312" s="173"/>
      <c r="NJA312" s="173"/>
      <c r="NJB312" s="125"/>
      <c r="NJC312" s="125"/>
      <c r="NJD312" s="134"/>
      <c r="NJE312" s="135"/>
      <c r="NJF312" s="135"/>
      <c r="NJG312" s="135"/>
      <c r="NJH312" s="135"/>
      <c r="NJI312" s="173"/>
      <c r="NJJ312" s="173"/>
      <c r="NJK312" s="173"/>
      <c r="NJL312" s="173"/>
      <c r="NJM312" s="173"/>
      <c r="NJN312" s="173"/>
      <c r="NJO312" s="173"/>
      <c r="NJP312" s="173"/>
      <c r="NJQ312" s="173"/>
      <c r="NJR312" s="173"/>
      <c r="NJS312" s="125"/>
      <c r="NJT312" s="125"/>
      <c r="NJU312" s="134"/>
      <c r="NJV312" s="135"/>
      <c r="NJW312" s="135"/>
      <c r="NJX312" s="135"/>
      <c r="NJY312" s="135"/>
      <c r="NJZ312" s="173"/>
      <c r="NKA312" s="173"/>
      <c r="NKB312" s="173"/>
      <c r="NKC312" s="173"/>
      <c r="NKD312" s="173"/>
      <c r="NKE312" s="173"/>
      <c r="NKF312" s="173"/>
      <c r="NKG312" s="173"/>
      <c r="NKH312" s="173"/>
      <c r="NKI312" s="173"/>
      <c r="NKJ312" s="125"/>
      <c r="NKK312" s="125"/>
      <c r="NKL312" s="134"/>
      <c r="NKM312" s="135"/>
      <c r="NKN312" s="135"/>
      <c r="NKO312" s="135"/>
      <c r="NKP312" s="135"/>
      <c r="NKQ312" s="173"/>
      <c r="NKR312" s="173"/>
      <c r="NKS312" s="173"/>
      <c r="NKT312" s="173"/>
      <c r="NKU312" s="173"/>
      <c r="NKV312" s="173"/>
      <c r="NKW312" s="173"/>
      <c r="NKX312" s="173"/>
      <c r="NKY312" s="173"/>
      <c r="NKZ312" s="173"/>
      <c r="NLA312" s="125"/>
      <c r="NLB312" s="125"/>
      <c r="NLC312" s="134"/>
      <c r="NLD312" s="135"/>
      <c r="NLE312" s="135"/>
      <c r="NLF312" s="135"/>
      <c r="NLG312" s="135"/>
      <c r="NLH312" s="173"/>
      <c r="NLI312" s="173"/>
      <c r="NLJ312" s="173"/>
      <c r="NLK312" s="173"/>
      <c r="NLL312" s="173"/>
      <c r="NLM312" s="173"/>
      <c r="NLN312" s="173"/>
      <c r="NLO312" s="173"/>
      <c r="NLP312" s="173"/>
      <c r="NLQ312" s="173"/>
      <c r="NLR312" s="125"/>
      <c r="NLS312" s="125"/>
      <c r="NLT312" s="134"/>
      <c r="NLU312" s="135"/>
      <c r="NLV312" s="135"/>
      <c r="NLW312" s="135"/>
      <c r="NLX312" s="135"/>
      <c r="NLY312" s="173"/>
      <c r="NLZ312" s="173"/>
      <c r="NMA312" s="173"/>
      <c r="NMB312" s="173"/>
      <c r="NMC312" s="173"/>
      <c r="NMD312" s="173"/>
      <c r="NME312" s="173"/>
      <c r="NMF312" s="173"/>
      <c r="NMG312" s="173"/>
      <c r="NMH312" s="173"/>
      <c r="NMI312" s="125"/>
      <c r="NMJ312" s="125"/>
      <c r="NMK312" s="134"/>
      <c r="NML312" s="135"/>
      <c r="NMM312" s="135"/>
      <c r="NMN312" s="135"/>
      <c r="NMO312" s="135"/>
      <c r="NMP312" s="173"/>
      <c r="NMQ312" s="173"/>
      <c r="NMR312" s="173"/>
      <c r="NMS312" s="173"/>
      <c r="NMT312" s="173"/>
      <c r="NMU312" s="173"/>
      <c r="NMV312" s="173"/>
      <c r="NMW312" s="173"/>
      <c r="NMX312" s="173"/>
      <c r="NMY312" s="173"/>
      <c r="NMZ312" s="125"/>
      <c r="NNA312" s="125"/>
      <c r="NNB312" s="134"/>
      <c r="NNC312" s="135"/>
      <c r="NND312" s="135"/>
      <c r="NNE312" s="135"/>
      <c r="NNF312" s="135"/>
      <c r="NNG312" s="173"/>
      <c r="NNH312" s="173"/>
      <c r="NNI312" s="173"/>
      <c r="NNJ312" s="173"/>
      <c r="NNK312" s="173"/>
      <c r="NNL312" s="173"/>
      <c r="NNM312" s="173"/>
      <c r="NNN312" s="173"/>
      <c r="NNO312" s="173"/>
      <c r="NNP312" s="173"/>
      <c r="NNQ312" s="125"/>
      <c r="NNR312" s="125"/>
      <c r="NNS312" s="134"/>
      <c r="NNT312" s="135"/>
      <c r="NNU312" s="135"/>
      <c r="NNV312" s="135"/>
      <c r="NNW312" s="135"/>
      <c r="NNX312" s="173"/>
      <c r="NNY312" s="173"/>
      <c r="NNZ312" s="173"/>
      <c r="NOA312" s="173"/>
      <c r="NOB312" s="173"/>
      <c r="NOC312" s="173"/>
      <c r="NOD312" s="173"/>
      <c r="NOE312" s="173"/>
      <c r="NOF312" s="173"/>
      <c r="NOG312" s="173"/>
      <c r="NOH312" s="125"/>
      <c r="NOI312" s="125"/>
      <c r="NOJ312" s="134"/>
      <c r="NOK312" s="135"/>
      <c r="NOL312" s="135"/>
      <c r="NOM312" s="135"/>
      <c r="NON312" s="135"/>
      <c r="NOO312" s="173"/>
      <c r="NOP312" s="173"/>
      <c r="NOQ312" s="173"/>
      <c r="NOR312" s="173"/>
      <c r="NOS312" s="173"/>
      <c r="NOT312" s="173"/>
      <c r="NOU312" s="173"/>
      <c r="NOV312" s="173"/>
      <c r="NOW312" s="173"/>
      <c r="NOX312" s="173"/>
      <c r="NOY312" s="125"/>
      <c r="NOZ312" s="125"/>
      <c r="NPA312" s="134"/>
      <c r="NPB312" s="135"/>
      <c r="NPC312" s="135"/>
      <c r="NPD312" s="135"/>
      <c r="NPE312" s="135"/>
      <c r="NPF312" s="173"/>
      <c r="NPG312" s="173"/>
      <c r="NPH312" s="173"/>
      <c r="NPI312" s="173"/>
      <c r="NPJ312" s="173"/>
      <c r="NPK312" s="173"/>
      <c r="NPL312" s="173"/>
      <c r="NPM312" s="173"/>
      <c r="NPN312" s="173"/>
      <c r="NPO312" s="173"/>
      <c r="NPP312" s="125"/>
      <c r="NPQ312" s="125"/>
      <c r="NPR312" s="134"/>
      <c r="NPS312" s="135"/>
      <c r="NPT312" s="135"/>
      <c r="NPU312" s="135"/>
      <c r="NPV312" s="135"/>
      <c r="NPW312" s="173"/>
      <c r="NPX312" s="173"/>
      <c r="NPY312" s="173"/>
      <c r="NPZ312" s="173"/>
      <c r="NQA312" s="173"/>
      <c r="NQB312" s="173"/>
      <c r="NQC312" s="173"/>
      <c r="NQD312" s="173"/>
      <c r="NQE312" s="173"/>
      <c r="NQF312" s="173"/>
      <c r="NQG312" s="125"/>
      <c r="NQH312" s="125"/>
      <c r="NQI312" s="134"/>
      <c r="NQJ312" s="135"/>
      <c r="NQK312" s="135"/>
      <c r="NQL312" s="135"/>
      <c r="NQM312" s="135"/>
      <c r="NQN312" s="173"/>
      <c r="NQO312" s="173"/>
      <c r="NQP312" s="173"/>
      <c r="NQQ312" s="173"/>
      <c r="NQR312" s="173"/>
      <c r="NQS312" s="173"/>
      <c r="NQT312" s="173"/>
      <c r="NQU312" s="173"/>
      <c r="NQV312" s="173"/>
      <c r="NQW312" s="173"/>
      <c r="NQX312" s="125"/>
      <c r="NQY312" s="125"/>
      <c r="NQZ312" s="134"/>
      <c r="NRA312" s="135"/>
      <c r="NRB312" s="135"/>
      <c r="NRC312" s="135"/>
      <c r="NRD312" s="135"/>
      <c r="NRE312" s="173"/>
      <c r="NRF312" s="173"/>
      <c r="NRG312" s="173"/>
      <c r="NRH312" s="173"/>
      <c r="NRI312" s="173"/>
      <c r="NRJ312" s="173"/>
      <c r="NRK312" s="173"/>
      <c r="NRL312" s="173"/>
      <c r="NRM312" s="173"/>
      <c r="NRN312" s="173"/>
      <c r="NRO312" s="125"/>
      <c r="NRP312" s="125"/>
      <c r="NRQ312" s="134"/>
      <c r="NRR312" s="135"/>
      <c r="NRS312" s="135"/>
      <c r="NRT312" s="135"/>
      <c r="NRU312" s="135"/>
      <c r="NRV312" s="173"/>
      <c r="NRW312" s="173"/>
      <c r="NRX312" s="173"/>
      <c r="NRY312" s="173"/>
      <c r="NRZ312" s="173"/>
      <c r="NSA312" s="173"/>
      <c r="NSB312" s="173"/>
      <c r="NSC312" s="173"/>
      <c r="NSD312" s="173"/>
      <c r="NSE312" s="173"/>
      <c r="NSF312" s="125"/>
      <c r="NSG312" s="125"/>
      <c r="NSH312" s="134"/>
      <c r="NSI312" s="135"/>
      <c r="NSJ312" s="135"/>
      <c r="NSK312" s="135"/>
      <c r="NSL312" s="135"/>
      <c r="NSM312" s="173"/>
      <c r="NSN312" s="173"/>
      <c r="NSO312" s="173"/>
      <c r="NSP312" s="173"/>
      <c r="NSQ312" s="173"/>
      <c r="NSR312" s="173"/>
      <c r="NSS312" s="173"/>
      <c r="NST312" s="173"/>
      <c r="NSU312" s="173"/>
      <c r="NSV312" s="173"/>
      <c r="NSW312" s="125"/>
      <c r="NSX312" s="125"/>
      <c r="NSY312" s="134"/>
      <c r="NSZ312" s="135"/>
      <c r="NTA312" s="135"/>
      <c r="NTB312" s="135"/>
      <c r="NTC312" s="135"/>
      <c r="NTD312" s="173"/>
      <c r="NTE312" s="173"/>
      <c r="NTF312" s="173"/>
      <c r="NTG312" s="173"/>
      <c r="NTH312" s="173"/>
      <c r="NTI312" s="173"/>
      <c r="NTJ312" s="173"/>
      <c r="NTK312" s="173"/>
      <c r="NTL312" s="173"/>
      <c r="NTM312" s="173"/>
      <c r="NTN312" s="125"/>
      <c r="NTO312" s="125"/>
      <c r="NTP312" s="134"/>
      <c r="NTQ312" s="135"/>
      <c r="NTR312" s="135"/>
      <c r="NTS312" s="135"/>
      <c r="NTT312" s="135"/>
      <c r="NTU312" s="173"/>
      <c r="NTV312" s="173"/>
      <c r="NTW312" s="173"/>
      <c r="NTX312" s="173"/>
      <c r="NTY312" s="173"/>
      <c r="NTZ312" s="173"/>
      <c r="NUA312" s="173"/>
      <c r="NUB312" s="173"/>
      <c r="NUC312" s="173"/>
      <c r="NUD312" s="173"/>
      <c r="NUE312" s="125"/>
      <c r="NUF312" s="125"/>
      <c r="NUG312" s="134"/>
      <c r="NUH312" s="135"/>
      <c r="NUI312" s="135"/>
      <c r="NUJ312" s="135"/>
      <c r="NUK312" s="135"/>
      <c r="NUL312" s="173"/>
      <c r="NUM312" s="173"/>
      <c r="NUN312" s="173"/>
      <c r="NUO312" s="173"/>
      <c r="NUP312" s="173"/>
      <c r="NUQ312" s="173"/>
      <c r="NUR312" s="173"/>
      <c r="NUS312" s="173"/>
      <c r="NUT312" s="173"/>
      <c r="NUU312" s="173"/>
      <c r="NUV312" s="125"/>
      <c r="NUW312" s="125"/>
      <c r="NUX312" s="134"/>
      <c r="NUY312" s="135"/>
      <c r="NUZ312" s="135"/>
      <c r="NVA312" s="135"/>
      <c r="NVB312" s="135"/>
      <c r="NVC312" s="173"/>
      <c r="NVD312" s="173"/>
      <c r="NVE312" s="173"/>
      <c r="NVF312" s="173"/>
      <c r="NVG312" s="173"/>
      <c r="NVH312" s="173"/>
      <c r="NVI312" s="173"/>
      <c r="NVJ312" s="173"/>
      <c r="NVK312" s="173"/>
      <c r="NVL312" s="173"/>
      <c r="NVM312" s="125"/>
      <c r="NVN312" s="125"/>
      <c r="NVO312" s="134"/>
      <c r="NVP312" s="135"/>
      <c r="NVQ312" s="135"/>
      <c r="NVR312" s="135"/>
      <c r="NVS312" s="135"/>
      <c r="NVT312" s="173"/>
      <c r="NVU312" s="173"/>
      <c r="NVV312" s="173"/>
      <c r="NVW312" s="173"/>
      <c r="NVX312" s="173"/>
      <c r="NVY312" s="173"/>
      <c r="NVZ312" s="173"/>
      <c r="NWA312" s="173"/>
      <c r="NWB312" s="173"/>
      <c r="NWC312" s="173"/>
      <c r="NWD312" s="125"/>
      <c r="NWE312" s="125"/>
      <c r="NWF312" s="134"/>
      <c r="NWG312" s="135"/>
      <c r="NWH312" s="135"/>
      <c r="NWI312" s="135"/>
      <c r="NWJ312" s="135"/>
      <c r="NWK312" s="173"/>
      <c r="NWL312" s="173"/>
      <c r="NWM312" s="173"/>
      <c r="NWN312" s="173"/>
      <c r="NWO312" s="173"/>
      <c r="NWP312" s="173"/>
      <c r="NWQ312" s="173"/>
      <c r="NWR312" s="173"/>
      <c r="NWS312" s="173"/>
      <c r="NWT312" s="173"/>
      <c r="NWU312" s="125"/>
      <c r="NWV312" s="125"/>
      <c r="NWW312" s="134"/>
      <c r="NWX312" s="135"/>
      <c r="NWY312" s="135"/>
      <c r="NWZ312" s="135"/>
      <c r="NXA312" s="135"/>
      <c r="NXB312" s="173"/>
      <c r="NXC312" s="173"/>
      <c r="NXD312" s="173"/>
      <c r="NXE312" s="173"/>
      <c r="NXF312" s="173"/>
      <c r="NXG312" s="173"/>
      <c r="NXH312" s="173"/>
      <c r="NXI312" s="173"/>
      <c r="NXJ312" s="173"/>
      <c r="NXK312" s="173"/>
      <c r="NXL312" s="125"/>
      <c r="NXM312" s="125"/>
      <c r="NXN312" s="134"/>
      <c r="NXO312" s="135"/>
      <c r="NXP312" s="135"/>
      <c r="NXQ312" s="135"/>
      <c r="NXR312" s="135"/>
      <c r="NXS312" s="173"/>
      <c r="NXT312" s="173"/>
      <c r="NXU312" s="173"/>
      <c r="NXV312" s="173"/>
      <c r="NXW312" s="173"/>
      <c r="NXX312" s="173"/>
      <c r="NXY312" s="173"/>
      <c r="NXZ312" s="173"/>
      <c r="NYA312" s="173"/>
      <c r="NYB312" s="173"/>
      <c r="NYC312" s="125"/>
      <c r="NYD312" s="125"/>
      <c r="NYE312" s="134"/>
      <c r="NYF312" s="135"/>
      <c r="NYG312" s="135"/>
      <c r="NYH312" s="135"/>
      <c r="NYI312" s="135"/>
      <c r="NYJ312" s="173"/>
      <c r="NYK312" s="173"/>
      <c r="NYL312" s="173"/>
      <c r="NYM312" s="173"/>
      <c r="NYN312" s="173"/>
      <c r="NYO312" s="173"/>
      <c r="NYP312" s="173"/>
      <c r="NYQ312" s="173"/>
      <c r="NYR312" s="173"/>
      <c r="NYS312" s="173"/>
      <c r="NYT312" s="125"/>
      <c r="NYU312" s="125"/>
      <c r="NYV312" s="134"/>
      <c r="NYW312" s="135"/>
      <c r="NYX312" s="135"/>
      <c r="NYY312" s="135"/>
      <c r="NYZ312" s="135"/>
      <c r="NZA312" s="173"/>
      <c r="NZB312" s="173"/>
      <c r="NZC312" s="173"/>
      <c r="NZD312" s="173"/>
      <c r="NZE312" s="173"/>
      <c r="NZF312" s="173"/>
      <c r="NZG312" s="173"/>
      <c r="NZH312" s="173"/>
      <c r="NZI312" s="173"/>
      <c r="NZJ312" s="173"/>
      <c r="NZK312" s="125"/>
      <c r="NZL312" s="125"/>
      <c r="NZM312" s="134"/>
      <c r="NZN312" s="135"/>
      <c r="NZO312" s="135"/>
      <c r="NZP312" s="135"/>
      <c r="NZQ312" s="135"/>
      <c r="NZR312" s="173"/>
      <c r="NZS312" s="173"/>
      <c r="NZT312" s="173"/>
      <c r="NZU312" s="173"/>
      <c r="NZV312" s="173"/>
      <c r="NZW312" s="173"/>
      <c r="NZX312" s="173"/>
      <c r="NZY312" s="173"/>
      <c r="NZZ312" s="173"/>
      <c r="OAA312" s="173"/>
      <c r="OAB312" s="125"/>
      <c r="OAC312" s="125"/>
      <c r="OAD312" s="134"/>
      <c r="OAE312" s="135"/>
      <c r="OAF312" s="135"/>
      <c r="OAG312" s="135"/>
      <c r="OAH312" s="135"/>
      <c r="OAI312" s="173"/>
      <c r="OAJ312" s="173"/>
      <c r="OAK312" s="173"/>
      <c r="OAL312" s="173"/>
      <c r="OAM312" s="173"/>
      <c r="OAN312" s="173"/>
      <c r="OAO312" s="173"/>
      <c r="OAP312" s="173"/>
      <c r="OAQ312" s="173"/>
      <c r="OAR312" s="173"/>
      <c r="OAS312" s="125"/>
      <c r="OAT312" s="125"/>
      <c r="OAU312" s="134"/>
      <c r="OAV312" s="135"/>
      <c r="OAW312" s="135"/>
      <c r="OAX312" s="135"/>
      <c r="OAY312" s="135"/>
      <c r="OAZ312" s="173"/>
      <c r="OBA312" s="173"/>
      <c r="OBB312" s="173"/>
      <c r="OBC312" s="173"/>
      <c r="OBD312" s="173"/>
      <c r="OBE312" s="173"/>
      <c r="OBF312" s="173"/>
      <c r="OBG312" s="173"/>
      <c r="OBH312" s="173"/>
      <c r="OBI312" s="173"/>
      <c r="OBJ312" s="125"/>
      <c r="OBK312" s="125"/>
      <c r="OBL312" s="134"/>
      <c r="OBM312" s="135"/>
      <c r="OBN312" s="135"/>
      <c r="OBO312" s="135"/>
      <c r="OBP312" s="135"/>
      <c r="OBQ312" s="173"/>
      <c r="OBR312" s="173"/>
      <c r="OBS312" s="173"/>
      <c r="OBT312" s="173"/>
      <c r="OBU312" s="173"/>
      <c r="OBV312" s="173"/>
      <c r="OBW312" s="173"/>
      <c r="OBX312" s="173"/>
      <c r="OBY312" s="173"/>
      <c r="OBZ312" s="173"/>
      <c r="OCA312" s="125"/>
      <c r="OCB312" s="125"/>
      <c r="OCC312" s="134"/>
      <c r="OCD312" s="135"/>
      <c r="OCE312" s="135"/>
      <c r="OCF312" s="135"/>
      <c r="OCG312" s="135"/>
      <c r="OCH312" s="173"/>
      <c r="OCI312" s="173"/>
      <c r="OCJ312" s="173"/>
      <c r="OCK312" s="173"/>
      <c r="OCL312" s="173"/>
      <c r="OCM312" s="173"/>
      <c r="OCN312" s="173"/>
      <c r="OCO312" s="173"/>
      <c r="OCP312" s="173"/>
      <c r="OCQ312" s="173"/>
      <c r="OCR312" s="125"/>
      <c r="OCS312" s="125"/>
      <c r="OCT312" s="134"/>
      <c r="OCU312" s="135"/>
      <c r="OCV312" s="135"/>
      <c r="OCW312" s="135"/>
      <c r="OCX312" s="135"/>
      <c r="OCY312" s="173"/>
      <c r="OCZ312" s="173"/>
      <c r="ODA312" s="173"/>
      <c r="ODB312" s="173"/>
      <c r="ODC312" s="173"/>
      <c r="ODD312" s="173"/>
      <c r="ODE312" s="173"/>
      <c r="ODF312" s="173"/>
      <c r="ODG312" s="173"/>
      <c r="ODH312" s="173"/>
      <c r="ODI312" s="125"/>
      <c r="ODJ312" s="125"/>
      <c r="ODK312" s="134"/>
      <c r="ODL312" s="135"/>
      <c r="ODM312" s="135"/>
      <c r="ODN312" s="135"/>
      <c r="ODO312" s="135"/>
      <c r="ODP312" s="173"/>
      <c r="ODQ312" s="173"/>
      <c r="ODR312" s="173"/>
      <c r="ODS312" s="173"/>
      <c r="ODT312" s="173"/>
      <c r="ODU312" s="173"/>
      <c r="ODV312" s="173"/>
      <c r="ODW312" s="173"/>
      <c r="ODX312" s="173"/>
      <c r="ODY312" s="173"/>
      <c r="ODZ312" s="125"/>
      <c r="OEA312" s="125"/>
      <c r="OEB312" s="134"/>
      <c r="OEC312" s="135"/>
      <c r="OED312" s="135"/>
      <c r="OEE312" s="135"/>
      <c r="OEF312" s="135"/>
      <c r="OEG312" s="173"/>
      <c r="OEH312" s="173"/>
      <c r="OEI312" s="173"/>
      <c r="OEJ312" s="173"/>
      <c r="OEK312" s="173"/>
      <c r="OEL312" s="173"/>
      <c r="OEM312" s="173"/>
      <c r="OEN312" s="173"/>
      <c r="OEO312" s="173"/>
      <c r="OEP312" s="173"/>
      <c r="OEQ312" s="125"/>
      <c r="OER312" s="125"/>
      <c r="OES312" s="134"/>
      <c r="OET312" s="135"/>
      <c r="OEU312" s="135"/>
      <c r="OEV312" s="135"/>
      <c r="OEW312" s="135"/>
      <c r="OEX312" s="173"/>
      <c r="OEY312" s="173"/>
      <c r="OEZ312" s="173"/>
      <c r="OFA312" s="173"/>
      <c r="OFB312" s="173"/>
      <c r="OFC312" s="173"/>
      <c r="OFD312" s="173"/>
      <c r="OFE312" s="173"/>
      <c r="OFF312" s="173"/>
      <c r="OFG312" s="173"/>
      <c r="OFH312" s="125"/>
      <c r="OFI312" s="125"/>
      <c r="OFJ312" s="134"/>
      <c r="OFK312" s="135"/>
      <c r="OFL312" s="135"/>
      <c r="OFM312" s="135"/>
      <c r="OFN312" s="135"/>
      <c r="OFO312" s="173"/>
      <c r="OFP312" s="173"/>
      <c r="OFQ312" s="173"/>
      <c r="OFR312" s="173"/>
      <c r="OFS312" s="173"/>
      <c r="OFT312" s="173"/>
      <c r="OFU312" s="173"/>
      <c r="OFV312" s="173"/>
      <c r="OFW312" s="173"/>
      <c r="OFX312" s="173"/>
      <c r="OFY312" s="125"/>
      <c r="OFZ312" s="125"/>
      <c r="OGA312" s="134"/>
      <c r="OGB312" s="135"/>
      <c r="OGC312" s="135"/>
      <c r="OGD312" s="135"/>
      <c r="OGE312" s="135"/>
      <c r="OGF312" s="173"/>
      <c r="OGG312" s="173"/>
      <c r="OGH312" s="173"/>
      <c r="OGI312" s="173"/>
      <c r="OGJ312" s="173"/>
      <c r="OGK312" s="173"/>
      <c r="OGL312" s="173"/>
      <c r="OGM312" s="173"/>
      <c r="OGN312" s="173"/>
      <c r="OGO312" s="173"/>
      <c r="OGP312" s="125"/>
      <c r="OGQ312" s="125"/>
      <c r="OGR312" s="134"/>
      <c r="OGS312" s="135"/>
      <c r="OGT312" s="135"/>
      <c r="OGU312" s="135"/>
      <c r="OGV312" s="135"/>
      <c r="OGW312" s="173"/>
      <c r="OGX312" s="173"/>
      <c r="OGY312" s="173"/>
      <c r="OGZ312" s="173"/>
      <c r="OHA312" s="173"/>
      <c r="OHB312" s="173"/>
      <c r="OHC312" s="173"/>
      <c r="OHD312" s="173"/>
      <c r="OHE312" s="173"/>
      <c r="OHF312" s="173"/>
      <c r="OHG312" s="125"/>
      <c r="OHH312" s="125"/>
      <c r="OHI312" s="134"/>
      <c r="OHJ312" s="135"/>
      <c r="OHK312" s="135"/>
      <c r="OHL312" s="135"/>
      <c r="OHM312" s="135"/>
      <c r="OHN312" s="173"/>
      <c r="OHO312" s="173"/>
      <c r="OHP312" s="173"/>
      <c r="OHQ312" s="173"/>
      <c r="OHR312" s="173"/>
      <c r="OHS312" s="173"/>
      <c r="OHT312" s="173"/>
      <c r="OHU312" s="173"/>
      <c r="OHV312" s="173"/>
      <c r="OHW312" s="173"/>
      <c r="OHX312" s="125"/>
      <c r="OHY312" s="125"/>
      <c r="OHZ312" s="134"/>
      <c r="OIA312" s="135"/>
      <c r="OIB312" s="135"/>
      <c r="OIC312" s="135"/>
      <c r="OID312" s="135"/>
      <c r="OIE312" s="173"/>
      <c r="OIF312" s="173"/>
      <c r="OIG312" s="173"/>
      <c r="OIH312" s="173"/>
      <c r="OII312" s="173"/>
      <c r="OIJ312" s="173"/>
      <c r="OIK312" s="173"/>
      <c r="OIL312" s="173"/>
      <c r="OIM312" s="173"/>
      <c r="OIN312" s="173"/>
      <c r="OIO312" s="125"/>
      <c r="OIP312" s="125"/>
      <c r="OIQ312" s="134"/>
      <c r="OIR312" s="135"/>
      <c r="OIS312" s="135"/>
      <c r="OIT312" s="135"/>
      <c r="OIU312" s="135"/>
      <c r="OIV312" s="173"/>
      <c r="OIW312" s="173"/>
      <c r="OIX312" s="173"/>
      <c r="OIY312" s="173"/>
      <c r="OIZ312" s="173"/>
      <c r="OJA312" s="173"/>
      <c r="OJB312" s="173"/>
      <c r="OJC312" s="173"/>
      <c r="OJD312" s="173"/>
      <c r="OJE312" s="173"/>
      <c r="OJF312" s="125"/>
      <c r="OJG312" s="125"/>
      <c r="OJH312" s="134"/>
      <c r="OJI312" s="135"/>
      <c r="OJJ312" s="135"/>
      <c r="OJK312" s="135"/>
      <c r="OJL312" s="135"/>
      <c r="OJM312" s="173"/>
      <c r="OJN312" s="173"/>
      <c r="OJO312" s="173"/>
      <c r="OJP312" s="173"/>
      <c r="OJQ312" s="173"/>
      <c r="OJR312" s="173"/>
      <c r="OJS312" s="173"/>
      <c r="OJT312" s="173"/>
      <c r="OJU312" s="173"/>
      <c r="OJV312" s="173"/>
      <c r="OJW312" s="125"/>
      <c r="OJX312" s="125"/>
      <c r="OJY312" s="134"/>
      <c r="OJZ312" s="135"/>
      <c r="OKA312" s="135"/>
      <c r="OKB312" s="135"/>
      <c r="OKC312" s="135"/>
      <c r="OKD312" s="173"/>
      <c r="OKE312" s="173"/>
      <c r="OKF312" s="173"/>
      <c r="OKG312" s="173"/>
      <c r="OKH312" s="173"/>
      <c r="OKI312" s="173"/>
      <c r="OKJ312" s="173"/>
      <c r="OKK312" s="173"/>
      <c r="OKL312" s="173"/>
      <c r="OKM312" s="173"/>
      <c r="OKN312" s="125"/>
      <c r="OKO312" s="125"/>
      <c r="OKP312" s="134"/>
      <c r="OKQ312" s="135"/>
      <c r="OKR312" s="135"/>
      <c r="OKS312" s="135"/>
      <c r="OKT312" s="135"/>
      <c r="OKU312" s="173"/>
      <c r="OKV312" s="173"/>
      <c r="OKW312" s="173"/>
      <c r="OKX312" s="173"/>
      <c r="OKY312" s="173"/>
      <c r="OKZ312" s="173"/>
      <c r="OLA312" s="173"/>
      <c r="OLB312" s="173"/>
      <c r="OLC312" s="173"/>
      <c r="OLD312" s="173"/>
      <c r="OLE312" s="125"/>
      <c r="OLF312" s="125"/>
      <c r="OLG312" s="134"/>
      <c r="OLH312" s="135"/>
      <c r="OLI312" s="135"/>
      <c r="OLJ312" s="135"/>
      <c r="OLK312" s="135"/>
      <c r="OLL312" s="173"/>
      <c r="OLM312" s="173"/>
      <c r="OLN312" s="173"/>
      <c r="OLO312" s="173"/>
      <c r="OLP312" s="173"/>
      <c r="OLQ312" s="173"/>
      <c r="OLR312" s="173"/>
      <c r="OLS312" s="173"/>
      <c r="OLT312" s="173"/>
      <c r="OLU312" s="173"/>
      <c r="OLV312" s="125"/>
      <c r="OLW312" s="125"/>
      <c r="OLX312" s="134"/>
      <c r="OLY312" s="135"/>
      <c r="OLZ312" s="135"/>
      <c r="OMA312" s="135"/>
      <c r="OMB312" s="135"/>
      <c r="OMC312" s="173"/>
      <c r="OMD312" s="173"/>
      <c r="OME312" s="173"/>
      <c r="OMF312" s="173"/>
      <c r="OMG312" s="173"/>
      <c r="OMH312" s="173"/>
      <c r="OMI312" s="173"/>
      <c r="OMJ312" s="173"/>
      <c r="OMK312" s="173"/>
      <c r="OML312" s="173"/>
      <c r="OMM312" s="125"/>
      <c r="OMN312" s="125"/>
      <c r="OMO312" s="134"/>
      <c r="OMP312" s="135"/>
      <c r="OMQ312" s="135"/>
      <c r="OMR312" s="135"/>
      <c r="OMS312" s="135"/>
      <c r="OMT312" s="173"/>
      <c r="OMU312" s="173"/>
      <c r="OMV312" s="173"/>
      <c r="OMW312" s="173"/>
      <c r="OMX312" s="173"/>
      <c r="OMY312" s="173"/>
      <c r="OMZ312" s="173"/>
      <c r="ONA312" s="173"/>
      <c r="ONB312" s="173"/>
      <c r="ONC312" s="173"/>
      <c r="OND312" s="125"/>
      <c r="ONE312" s="125"/>
      <c r="ONF312" s="134"/>
      <c r="ONG312" s="135"/>
      <c r="ONH312" s="135"/>
      <c r="ONI312" s="135"/>
      <c r="ONJ312" s="135"/>
      <c r="ONK312" s="173"/>
      <c r="ONL312" s="173"/>
      <c r="ONM312" s="173"/>
      <c r="ONN312" s="173"/>
      <c r="ONO312" s="173"/>
      <c r="ONP312" s="173"/>
      <c r="ONQ312" s="173"/>
      <c r="ONR312" s="173"/>
      <c r="ONS312" s="173"/>
      <c r="ONT312" s="173"/>
      <c r="ONU312" s="125"/>
      <c r="ONV312" s="125"/>
      <c r="ONW312" s="134"/>
      <c r="ONX312" s="135"/>
      <c r="ONY312" s="135"/>
      <c r="ONZ312" s="135"/>
      <c r="OOA312" s="135"/>
      <c r="OOB312" s="173"/>
      <c r="OOC312" s="173"/>
      <c r="OOD312" s="173"/>
      <c r="OOE312" s="173"/>
      <c r="OOF312" s="173"/>
      <c r="OOG312" s="173"/>
      <c r="OOH312" s="173"/>
      <c r="OOI312" s="173"/>
      <c r="OOJ312" s="173"/>
      <c r="OOK312" s="173"/>
      <c r="OOL312" s="125"/>
      <c r="OOM312" s="125"/>
      <c r="OON312" s="134"/>
      <c r="OOO312" s="135"/>
      <c r="OOP312" s="135"/>
      <c r="OOQ312" s="135"/>
      <c r="OOR312" s="135"/>
      <c r="OOS312" s="173"/>
      <c r="OOT312" s="173"/>
      <c r="OOU312" s="173"/>
      <c r="OOV312" s="173"/>
      <c r="OOW312" s="173"/>
      <c r="OOX312" s="173"/>
      <c r="OOY312" s="173"/>
      <c r="OOZ312" s="173"/>
      <c r="OPA312" s="173"/>
      <c r="OPB312" s="173"/>
      <c r="OPC312" s="125"/>
      <c r="OPD312" s="125"/>
      <c r="OPE312" s="134"/>
      <c r="OPF312" s="135"/>
      <c r="OPG312" s="135"/>
      <c r="OPH312" s="135"/>
      <c r="OPI312" s="135"/>
      <c r="OPJ312" s="173"/>
      <c r="OPK312" s="173"/>
      <c r="OPL312" s="173"/>
      <c r="OPM312" s="173"/>
      <c r="OPN312" s="173"/>
      <c r="OPO312" s="173"/>
      <c r="OPP312" s="173"/>
      <c r="OPQ312" s="173"/>
      <c r="OPR312" s="173"/>
      <c r="OPS312" s="173"/>
      <c r="OPT312" s="125"/>
      <c r="OPU312" s="125"/>
      <c r="OPV312" s="134"/>
      <c r="OPW312" s="135"/>
      <c r="OPX312" s="135"/>
      <c r="OPY312" s="135"/>
      <c r="OPZ312" s="135"/>
      <c r="OQA312" s="173"/>
      <c r="OQB312" s="173"/>
      <c r="OQC312" s="173"/>
      <c r="OQD312" s="173"/>
      <c r="OQE312" s="173"/>
      <c r="OQF312" s="173"/>
      <c r="OQG312" s="173"/>
      <c r="OQH312" s="173"/>
      <c r="OQI312" s="173"/>
      <c r="OQJ312" s="173"/>
      <c r="OQK312" s="125"/>
      <c r="OQL312" s="125"/>
      <c r="OQM312" s="134"/>
      <c r="OQN312" s="135"/>
      <c r="OQO312" s="135"/>
      <c r="OQP312" s="135"/>
      <c r="OQQ312" s="135"/>
      <c r="OQR312" s="173"/>
      <c r="OQS312" s="173"/>
      <c r="OQT312" s="173"/>
      <c r="OQU312" s="173"/>
      <c r="OQV312" s="173"/>
      <c r="OQW312" s="173"/>
      <c r="OQX312" s="173"/>
      <c r="OQY312" s="173"/>
      <c r="OQZ312" s="173"/>
      <c r="ORA312" s="173"/>
      <c r="ORB312" s="125"/>
      <c r="ORC312" s="125"/>
      <c r="ORD312" s="134"/>
      <c r="ORE312" s="135"/>
      <c r="ORF312" s="135"/>
      <c r="ORG312" s="135"/>
      <c r="ORH312" s="135"/>
      <c r="ORI312" s="173"/>
      <c r="ORJ312" s="173"/>
      <c r="ORK312" s="173"/>
      <c r="ORL312" s="173"/>
      <c r="ORM312" s="173"/>
      <c r="ORN312" s="173"/>
      <c r="ORO312" s="173"/>
      <c r="ORP312" s="173"/>
      <c r="ORQ312" s="173"/>
      <c r="ORR312" s="173"/>
      <c r="ORS312" s="125"/>
      <c r="ORT312" s="125"/>
      <c r="ORU312" s="134"/>
      <c r="ORV312" s="135"/>
      <c r="ORW312" s="135"/>
      <c r="ORX312" s="135"/>
      <c r="ORY312" s="135"/>
      <c r="ORZ312" s="173"/>
      <c r="OSA312" s="173"/>
      <c r="OSB312" s="173"/>
      <c r="OSC312" s="173"/>
      <c r="OSD312" s="173"/>
      <c r="OSE312" s="173"/>
      <c r="OSF312" s="173"/>
      <c r="OSG312" s="173"/>
      <c r="OSH312" s="173"/>
      <c r="OSI312" s="173"/>
      <c r="OSJ312" s="125"/>
      <c r="OSK312" s="125"/>
      <c r="OSL312" s="134"/>
      <c r="OSM312" s="135"/>
      <c r="OSN312" s="135"/>
      <c r="OSO312" s="135"/>
      <c r="OSP312" s="135"/>
      <c r="OSQ312" s="173"/>
      <c r="OSR312" s="173"/>
      <c r="OSS312" s="173"/>
      <c r="OST312" s="173"/>
      <c r="OSU312" s="173"/>
      <c r="OSV312" s="173"/>
      <c r="OSW312" s="173"/>
      <c r="OSX312" s="173"/>
      <c r="OSY312" s="173"/>
      <c r="OSZ312" s="173"/>
      <c r="OTA312" s="125"/>
      <c r="OTB312" s="125"/>
      <c r="OTC312" s="134"/>
      <c r="OTD312" s="135"/>
      <c r="OTE312" s="135"/>
      <c r="OTF312" s="135"/>
      <c r="OTG312" s="135"/>
      <c r="OTH312" s="173"/>
      <c r="OTI312" s="173"/>
      <c r="OTJ312" s="173"/>
      <c r="OTK312" s="173"/>
      <c r="OTL312" s="173"/>
      <c r="OTM312" s="173"/>
      <c r="OTN312" s="173"/>
      <c r="OTO312" s="173"/>
      <c r="OTP312" s="173"/>
      <c r="OTQ312" s="173"/>
      <c r="OTR312" s="125"/>
      <c r="OTS312" s="125"/>
      <c r="OTT312" s="134"/>
      <c r="OTU312" s="135"/>
      <c r="OTV312" s="135"/>
      <c r="OTW312" s="135"/>
      <c r="OTX312" s="135"/>
      <c r="OTY312" s="173"/>
      <c r="OTZ312" s="173"/>
      <c r="OUA312" s="173"/>
      <c r="OUB312" s="173"/>
      <c r="OUC312" s="173"/>
      <c r="OUD312" s="173"/>
      <c r="OUE312" s="173"/>
      <c r="OUF312" s="173"/>
      <c r="OUG312" s="173"/>
      <c r="OUH312" s="173"/>
      <c r="OUI312" s="125"/>
      <c r="OUJ312" s="125"/>
      <c r="OUK312" s="134"/>
      <c r="OUL312" s="135"/>
      <c r="OUM312" s="135"/>
      <c r="OUN312" s="135"/>
      <c r="OUO312" s="135"/>
      <c r="OUP312" s="173"/>
      <c r="OUQ312" s="173"/>
      <c r="OUR312" s="173"/>
      <c r="OUS312" s="173"/>
      <c r="OUT312" s="173"/>
      <c r="OUU312" s="173"/>
      <c r="OUV312" s="173"/>
      <c r="OUW312" s="173"/>
      <c r="OUX312" s="173"/>
      <c r="OUY312" s="173"/>
      <c r="OUZ312" s="125"/>
      <c r="OVA312" s="125"/>
      <c r="OVB312" s="134"/>
      <c r="OVC312" s="135"/>
      <c r="OVD312" s="135"/>
      <c r="OVE312" s="135"/>
      <c r="OVF312" s="135"/>
      <c r="OVG312" s="173"/>
      <c r="OVH312" s="173"/>
      <c r="OVI312" s="173"/>
      <c r="OVJ312" s="173"/>
      <c r="OVK312" s="173"/>
      <c r="OVL312" s="173"/>
      <c r="OVM312" s="173"/>
      <c r="OVN312" s="173"/>
      <c r="OVO312" s="173"/>
      <c r="OVP312" s="173"/>
      <c r="OVQ312" s="125"/>
      <c r="OVR312" s="125"/>
      <c r="OVS312" s="134"/>
      <c r="OVT312" s="135"/>
      <c r="OVU312" s="135"/>
      <c r="OVV312" s="135"/>
      <c r="OVW312" s="135"/>
      <c r="OVX312" s="173"/>
      <c r="OVY312" s="173"/>
      <c r="OVZ312" s="173"/>
      <c r="OWA312" s="173"/>
      <c r="OWB312" s="173"/>
      <c r="OWC312" s="173"/>
      <c r="OWD312" s="173"/>
      <c r="OWE312" s="173"/>
      <c r="OWF312" s="173"/>
      <c r="OWG312" s="173"/>
      <c r="OWH312" s="125"/>
      <c r="OWI312" s="125"/>
      <c r="OWJ312" s="134"/>
      <c r="OWK312" s="135"/>
      <c r="OWL312" s="135"/>
      <c r="OWM312" s="135"/>
      <c r="OWN312" s="135"/>
      <c r="OWO312" s="173"/>
      <c r="OWP312" s="173"/>
      <c r="OWQ312" s="173"/>
      <c r="OWR312" s="173"/>
      <c r="OWS312" s="173"/>
      <c r="OWT312" s="173"/>
      <c r="OWU312" s="173"/>
      <c r="OWV312" s="173"/>
      <c r="OWW312" s="173"/>
      <c r="OWX312" s="173"/>
      <c r="OWY312" s="125"/>
      <c r="OWZ312" s="125"/>
      <c r="OXA312" s="134"/>
      <c r="OXB312" s="135"/>
      <c r="OXC312" s="135"/>
      <c r="OXD312" s="135"/>
      <c r="OXE312" s="135"/>
      <c r="OXF312" s="173"/>
      <c r="OXG312" s="173"/>
      <c r="OXH312" s="173"/>
      <c r="OXI312" s="173"/>
      <c r="OXJ312" s="173"/>
      <c r="OXK312" s="173"/>
      <c r="OXL312" s="173"/>
      <c r="OXM312" s="173"/>
      <c r="OXN312" s="173"/>
      <c r="OXO312" s="173"/>
      <c r="OXP312" s="125"/>
      <c r="OXQ312" s="125"/>
      <c r="OXR312" s="134"/>
      <c r="OXS312" s="135"/>
      <c r="OXT312" s="135"/>
      <c r="OXU312" s="135"/>
      <c r="OXV312" s="135"/>
      <c r="OXW312" s="173"/>
      <c r="OXX312" s="173"/>
      <c r="OXY312" s="173"/>
      <c r="OXZ312" s="173"/>
      <c r="OYA312" s="173"/>
      <c r="OYB312" s="173"/>
      <c r="OYC312" s="173"/>
      <c r="OYD312" s="173"/>
      <c r="OYE312" s="173"/>
      <c r="OYF312" s="173"/>
      <c r="OYG312" s="125"/>
      <c r="OYH312" s="125"/>
      <c r="OYI312" s="134"/>
      <c r="OYJ312" s="135"/>
      <c r="OYK312" s="135"/>
      <c r="OYL312" s="135"/>
      <c r="OYM312" s="135"/>
      <c r="OYN312" s="173"/>
      <c r="OYO312" s="173"/>
      <c r="OYP312" s="173"/>
      <c r="OYQ312" s="173"/>
      <c r="OYR312" s="173"/>
      <c r="OYS312" s="173"/>
      <c r="OYT312" s="173"/>
      <c r="OYU312" s="173"/>
      <c r="OYV312" s="173"/>
      <c r="OYW312" s="173"/>
      <c r="OYX312" s="125"/>
      <c r="OYY312" s="125"/>
      <c r="OYZ312" s="134"/>
      <c r="OZA312" s="135"/>
      <c r="OZB312" s="135"/>
      <c r="OZC312" s="135"/>
      <c r="OZD312" s="135"/>
      <c r="OZE312" s="173"/>
      <c r="OZF312" s="173"/>
      <c r="OZG312" s="173"/>
      <c r="OZH312" s="173"/>
      <c r="OZI312" s="173"/>
      <c r="OZJ312" s="173"/>
      <c r="OZK312" s="173"/>
      <c r="OZL312" s="173"/>
      <c r="OZM312" s="173"/>
      <c r="OZN312" s="173"/>
      <c r="OZO312" s="125"/>
      <c r="OZP312" s="125"/>
      <c r="OZQ312" s="134"/>
      <c r="OZR312" s="135"/>
      <c r="OZS312" s="135"/>
      <c r="OZT312" s="135"/>
      <c r="OZU312" s="135"/>
      <c r="OZV312" s="173"/>
      <c r="OZW312" s="173"/>
      <c r="OZX312" s="173"/>
      <c r="OZY312" s="173"/>
      <c r="OZZ312" s="173"/>
      <c r="PAA312" s="173"/>
      <c r="PAB312" s="173"/>
      <c r="PAC312" s="173"/>
      <c r="PAD312" s="173"/>
      <c r="PAE312" s="173"/>
      <c r="PAF312" s="125"/>
      <c r="PAG312" s="125"/>
      <c r="PAH312" s="134"/>
      <c r="PAI312" s="135"/>
      <c r="PAJ312" s="135"/>
      <c r="PAK312" s="135"/>
      <c r="PAL312" s="135"/>
      <c r="PAM312" s="173"/>
      <c r="PAN312" s="173"/>
      <c r="PAO312" s="173"/>
      <c r="PAP312" s="173"/>
      <c r="PAQ312" s="173"/>
      <c r="PAR312" s="173"/>
      <c r="PAS312" s="173"/>
      <c r="PAT312" s="173"/>
      <c r="PAU312" s="173"/>
      <c r="PAV312" s="173"/>
      <c r="PAW312" s="125"/>
      <c r="PAX312" s="125"/>
      <c r="PAY312" s="134"/>
      <c r="PAZ312" s="135"/>
      <c r="PBA312" s="135"/>
      <c r="PBB312" s="135"/>
      <c r="PBC312" s="135"/>
      <c r="PBD312" s="173"/>
      <c r="PBE312" s="173"/>
      <c r="PBF312" s="173"/>
      <c r="PBG312" s="173"/>
      <c r="PBH312" s="173"/>
      <c r="PBI312" s="173"/>
      <c r="PBJ312" s="173"/>
      <c r="PBK312" s="173"/>
      <c r="PBL312" s="173"/>
      <c r="PBM312" s="173"/>
      <c r="PBN312" s="125"/>
      <c r="PBO312" s="125"/>
      <c r="PBP312" s="134"/>
      <c r="PBQ312" s="135"/>
      <c r="PBR312" s="135"/>
      <c r="PBS312" s="135"/>
      <c r="PBT312" s="135"/>
      <c r="PBU312" s="173"/>
      <c r="PBV312" s="173"/>
      <c r="PBW312" s="173"/>
      <c r="PBX312" s="173"/>
      <c r="PBY312" s="173"/>
      <c r="PBZ312" s="173"/>
      <c r="PCA312" s="173"/>
      <c r="PCB312" s="173"/>
      <c r="PCC312" s="173"/>
      <c r="PCD312" s="173"/>
      <c r="PCE312" s="125"/>
      <c r="PCF312" s="125"/>
      <c r="PCG312" s="134"/>
      <c r="PCH312" s="135"/>
      <c r="PCI312" s="135"/>
      <c r="PCJ312" s="135"/>
      <c r="PCK312" s="135"/>
      <c r="PCL312" s="173"/>
      <c r="PCM312" s="173"/>
      <c r="PCN312" s="173"/>
      <c r="PCO312" s="173"/>
      <c r="PCP312" s="173"/>
      <c r="PCQ312" s="173"/>
      <c r="PCR312" s="173"/>
      <c r="PCS312" s="173"/>
      <c r="PCT312" s="173"/>
      <c r="PCU312" s="173"/>
      <c r="PCV312" s="125"/>
      <c r="PCW312" s="125"/>
      <c r="PCX312" s="134"/>
      <c r="PCY312" s="135"/>
      <c r="PCZ312" s="135"/>
      <c r="PDA312" s="135"/>
      <c r="PDB312" s="135"/>
      <c r="PDC312" s="173"/>
      <c r="PDD312" s="173"/>
      <c r="PDE312" s="173"/>
      <c r="PDF312" s="173"/>
      <c r="PDG312" s="173"/>
      <c r="PDH312" s="173"/>
      <c r="PDI312" s="173"/>
      <c r="PDJ312" s="173"/>
      <c r="PDK312" s="173"/>
      <c r="PDL312" s="173"/>
      <c r="PDM312" s="125"/>
      <c r="PDN312" s="125"/>
      <c r="PDO312" s="134"/>
      <c r="PDP312" s="135"/>
      <c r="PDQ312" s="135"/>
      <c r="PDR312" s="135"/>
      <c r="PDS312" s="135"/>
      <c r="PDT312" s="173"/>
      <c r="PDU312" s="173"/>
      <c r="PDV312" s="173"/>
      <c r="PDW312" s="173"/>
      <c r="PDX312" s="173"/>
      <c r="PDY312" s="173"/>
      <c r="PDZ312" s="173"/>
      <c r="PEA312" s="173"/>
      <c r="PEB312" s="173"/>
      <c r="PEC312" s="173"/>
      <c r="PED312" s="125"/>
      <c r="PEE312" s="125"/>
      <c r="PEF312" s="134"/>
      <c r="PEG312" s="135"/>
      <c r="PEH312" s="135"/>
      <c r="PEI312" s="135"/>
      <c r="PEJ312" s="135"/>
      <c r="PEK312" s="173"/>
      <c r="PEL312" s="173"/>
      <c r="PEM312" s="173"/>
      <c r="PEN312" s="173"/>
      <c r="PEO312" s="173"/>
      <c r="PEP312" s="173"/>
      <c r="PEQ312" s="173"/>
      <c r="PER312" s="173"/>
      <c r="PES312" s="173"/>
      <c r="PET312" s="173"/>
      <c r="PEU312" s="125"/>
      <c r="PEV312" s="125"/>
      <c r="PEW312" s="134"/>
      <c r="PEX312" s="135"/>
      <c r="PEY312" s="135"/>
      <c r="PEZ312" s="135"/>
      <c r="PFA312" s="135"/>
      <c r="PFB312" s="173"/>
      <c r="PFC312" s="173"/>
      <c r="PFD312" s="173"/>
      <c r="PFE312" s="173"/>
      <c r="PFF312" s="173"/>
      <c r="PFG312" s="173"/>
      <c r="PFH312" s="173"/>
      <c r="PFI312" s="173"/>
      <c r="PFJ312" s="173"/>
      <c r="PFK312" s="173"/>
      <c r="PFL312" s="125"/>
      <c r="PFM312" s="125"/>
      <c r="PFN312" s="134"/>
      <c r="PFO312" s="135"/>
      <c r="PFP312" s="135"/>
      <c r="PFQ312" s="135"/>
      <c r="PFR312" s="135"/>
      <c r="PFS312" s="173"/>
      <c r="PFT312" s="173"/>
      <c r="PFU312" s="173"/>
      <c r="PFV312" s="173"/>
      <c r="PFW312" s="173"/>
      <c r="PFX312" s="173"/>
      <c r="PFY312" s="173"/>
      <c r="PFZ312" s="173"/>
      <c r="PGA312" s="173"/>
      <c r="PGB312" s="173"/>
      <c r="PGC312" s="125"/>
      <c r="PGD312" s="125"/>
      <c r="PGE312" s="134"/>
      <c r="PGF312" s="135"/>
      <c r="PGG312" s="135"/>
      <c r="PGH312" s="135"/>
      <c r="PGI312" s="135"/>
      <c r="PGJ312" s="173"/>
      <c r="PGK312" s="173"/>
      <c r="PGL312" s="173"/>
      <c r="PGM312" s="173"/>
      <c r="PGN312" s="173"/>
      <c r="PGO312" s="173"/>
      <c r="PGP312" s="173"/>
      <c r="PGQ312" s="173"/>
      <c r="PGR312" s="173"/>
      <c r="PGS312" s="173"/>
      <c r="PGT312" s="125"/>
      <c r="PGU312" s="125"/>
      <c r="PGV312" s="134"/>
      <c r="PGW312" s="135"/>
      <c r="PGX312" s="135"/>
      <c r="PGY312" s="135"/>
      <c r="PGZ312" s="135"/>
      <c r="PHA312" s="173"/>
      <c r="PHB312" s="173"/>
      <c r="PHC312" s="173"/>
      <c r="PHD312" s="173"/>
      <c r="PHE312" s="173"/>
      <c r="PHF312" s="173"/>
      <c r="PHG312" s="173"/>
      <c r="PHH312" s="173"/>
      <c r="PHI312" s="173"/>
      <c r="PHJ312" s="173"/>
      <c r="PHK312" s="125"/>
      <c r="PHL312" s="125"/>
      <c r="PHM312" s="134"/>
      <c r="PHN312" s="135"/>
      <c r="PHO312" s="135"/>
      <c r="PHP312" s="135"/>
      <c r="PHQ312" s="135"/>
      <c r="PHR312" s="173"/>
      <c r="PHS312" s="173"/>
      <c r="PHT312" s="173"/>
      <c r="PHU312" s="173"/>
      <c r="PHV312" s="173"/>
      <c r="PHW312" s="173"/>
      <c r="PHX312" s="173"/>
      <c r="PHY312" s="173"/>
      <c r="PHZ312" s="173"/>
      <c r="PIA312" s="173"/>
      <c r="PIB312" s="125"/>
      <c r="PIC312" s="125"/>
      <c r="PID312" s="134"/>
      <c r="PIE312" s="135"/>
      <c r="PIF312" s="135"/>
      <c r="PIG312" s="135"/>
      <c r="PIH312" s="135"/>
      <c r="PII312" s="173"/>
      <c r="PIJ312" s="173"/>
      <c r="PIK312" s="173"/>
      <c r="PIL312" s="173"/>
      <c r="PIM312" s="173"/>
      <c r="PIN312" s="173"/>
      <c r="PIO312" s="173"/>
      <c r="PIP312" s="173"/>
      <c r="PIQ312" s="173"/>
      <c r="PIR312" s="173"/>
      <c r="PIS312" s="125"/>
      <c r="PIT312" s="125"/>
      <c r="PIU312" s="134"/>
      <c r="PIV312" s="135"/>
      <c r="PIW312" s="135"/>
      <c r="PIX312" s="135"/>
      <c r="PIY312" s="135"/>
      <c r="PIZ312" s="173"/>
      <c r="PJA312" s="173"/>
      <c r="PJB312" s="173"/>
      <c r="PJC312" s="173"/>
      <c r="PJD312" s="173"/>
      <c r="PJE312" s="173"/>
      <c r="PJF312" s="173"/>
      <c r="PJG312" s="173"/>
      <c r="PJH312" s="173"/>
      <c r="PJI312" s="173"/>
      <c r="PJJ312" s="125"/>
      <c r="PJK312" s="125"/>
      <c r="PJL312" s="134"/>
      <c r="PJM312" s="135"/>
      <c r="PJN312" s="135"/>
      <c r="PJO312" s="135"/>
      <c r="PJP312" s="135"/>
      <c r="PJQ312" s="173"/>
      <c r="PJR312" s="173"/>
      <c r="PJS312" s="173"/>
      <c r="PJT312" s="173"/>
      <c r="PJU312" s="173"/>
      <c r="PJV312" s="173"/>
      <c r="PJW312" s="173"/>
      <c r="PJX312" s="173"/>
      <c r="PJY312" s="173"/>
      <c r="PJZ312" s="173"/>
      <c r="PKA312" s="125"/>
      <c r="PKB312" s="125"/>
      <c r="PKC312" s="134"/>
      <c r="PKD312" s="135"/>
      <c r="PKE312" s="135"/>
      <c r="PKF312" s="135"/>
      <c r="PKG312" s="135"/>
      <c r="PKH312" s="173"/>
      <c r="PKI312" s="173"/>
      <c r="PKJ312" s="173"/>
      <c r="PKK312" s="173"/>
      <c r="PKL312" s="173"/>
      <c r="PKM312" s="173"/>
      <c r="PKN312" s="173"/>
      <c r="PKO312" s="173"/>
      <c r="PKP312" s="173"/>
      <c r="PKQ312" s="173"/>
      <c r="PKR312" s="125"/>
      <c r="PKS312" s="125"/>
      <c r="PKT312" s="134"/>
      <c r="PKU312" s="135"/>
      <c r="PKV312" s="135"/>
      <c r="PKW312" s="135"/>
      <c r="PKX312" s="135"/>
      <c r="PKY312" s="173"/>
      <c r="PKZ312" s="173"/>
      <c r="PLA312" s="173"/>
      <c r="PLB312" s="173"/>
      <c r="PLC312" s="173"/>
      <c r="PLD312" s="173"/>
      <c r="PLE312" s="173"/>
      <c r="PLF312" s="173"/>
      <c r="PLG312" s="173"/>
      <c r="PLH312" s="173"/>
      <c r="PLI312" s="125"/>
      <c r="PLJ312" s="125"/>
      <c r="PLK312" s="134"/>
      <c r="PLL312" s="135"/>
      <c r="PLM312" s="135"/>
      <c r="PLN312" s="135"/>
      <c r="PLO312" s="135"/>
      <c r="PLP312" s="173"/>
      <c r="PLQ312" s="173"/>
      <c r="PLR312" s="173"/>
      <c r="PLS312" s="173"/>
      <c r="PLT312" s="173"/>
      <c r="PLU312" s="173"/>
      <c r="PLV312" s="173"/>
      <c r="PLW312" s="173"/>
      <c r="PLX312" s="173"/>
      <c r="PLY312" s="173"/>
      <c r="PLZ312" s="125"/>
      <c r="PMA312" s="125"/>
      <c r="PMB312" s="134"/>
      <c r="PMC312" s="135"/>
      <c r="PMD312" s="135"/>
      <c r="PME312" s="135"/>
      <c r="PMF312" s="135"/>
      <c r="PMG312" s="173"/>
      <c r="PMH312" s="173"/>
      <c r="PMI312" s="173"/>
      <c r="PMJ312" s="173"/>
      <c r="PMK312" s="173"/>
      <c r="PML312" s="173"/>
      <c r="PMM312" s="173"/>
      <c r="PMN312" s="173"/>
      <c r="PMO312" s="173"/>
      <c r="PMP312" s="173"/>
      <c r="PMQ312" s="125"/>
      <c r="PMR312" s="125"/>
      <c r="PMS312" s="134"/>
      <c r="PMT312" s="135"/>
      <c r="PMU312" s="135"/>
      <c r="PMV312" s="135"/>
      <c r="PMW312" s="135"/>
      <c r="PMX312" s="173"/>
      <c r="PMY312" s="173"/>
      <c r="PMZ312" s="173"/>
      <c r="PNA312" s="173"/>
      <c r="PNB312" s="173"/>
      <c r="PNC312" s="173"/>
      <c r="PND312" s="173"/>
      <c r="PNE312" s="173"/>
      <c r="PNF312" s="173"/>
      <c r="PNG312" s="173"/>
      <c r="PNH312" s="125"/>
      <c r="PNI312" s="125"/>
      <c r="PNJ312" s="134"/>
      <c r="PNK312" s="135"/>
      <c r="PNL312" s="135"/>
      <c r="PNM312" s="135"/>
      <c r="PNN312" s="135"/>
      <c r="PNO312" s="173"/>
      <c r="PNP312" s="173"/>
      <c r="PNQ312" s="173"/>
      <c r="PNR312" s="173"/>
      <c r="PNS312" s="173"/>
      <c r="PNT312" s="173"/>
      <c r="PNU312" s="173"/>
      <c r="PNV312" s="173"/>
      <c r="PNW312" s="173"/>
      <c r="PNX312" s="173"/>
      <c r="PNY312" s="125"/>
      <c r="PNZ312" s="125"/>
      <c r="POA312" s="134"/>
      <c r="POB312" s="135"/>
      <c r="POC312" s="135"/>
      <c r="POD312" s="135"/>
      <c r="POE312" s="135"/>
      <c r="POF312" s="173"/>
      <c r="POG312" s="173"/>
      <c r="POH312" s="173"/>
      <c r="POI312" s="173"/>
      <c r="POJ312" s="173"/>
      <c r="POK312" s="173"/>
      <c r="POL312" s="173"/>
      <c r="POM312" s="173"/>
      <c r="PON312" s="173"/>
      <c r="POO312" s="173"/>
      <c r="POP312" s="125"/>
      <c r="POQ312" s="125"/>
      <c r="POR312" s="134"/>
      <c r="POS312" s="135"/>
      <c r="POT312" s="135"/>
      <c r="POU312" s="135"/>
      <c r="POV312" s="135"/>
      <c r="POW312" s="173"/>
      <c r="POX312" s="173"/>
      <c r="POY312" s="173"/>
      <c r="POZ312" s="173"/>
      <c r="PPA312" s="173"/>
      <c r="PPB312" s="173"/>
      <c r="PPC312" s="173"/>
      <c r="PPD312" s="173"/>
      <c r="PPE312" s="173"/>
      <c r="PPF312" s="173"/>
      <c r="PPG312" s="125"/>
      <c r="PPH312" s="125"/>
      <c r="PPI312" s="134"/>
      <c r="PPJ312" s="135"/>
      <c r="PPK312" s="135"/>
      <c r="PPL312" s="135"/>
      <c r="PPM312" s="135"/>
      <c r="PPN312" s="173"/>
      <c r="PPO312" s="173"/>
      <c r="PPP312" s="173"/>
      <c r="PPQ312" s="173"/>
      <c r="PPR312" s="173"/>
      <c r="PPS312" s="173"/>
      <c r="PPT312" s="173"/>
      <c r="PPU312" s="173"/>
      <c r="PPV312" s="173"/>
      <c r="PPW312" s="173"/>
      <c r="PPX312" s="125"/>
      <c r="PPY312" s="125"/>
      <c r="PPZ312" s="134"/>
      <c r="PQA312" s="135"/>
      <c r="PQB312" s="135"/>
      <c r="PQC312" s="135"/>
      <c r="PQD312" s="135"/>
      <c r="PQE312" s="173"/>
      <c r="PQF312" s="173"/>
      <c r="PQG312" s="173"/>
      <c r="PQH312" s="173"/>
      <c r="PQI312" s="173"/>
      <c r="PQJ312" s="173"/>
      <c r="PQK312" s="173"/>
      <c r="PQL312" s="173"/>
      <c r="PQM312" s="173"/>
      <c r="PQN312" s="173"/>
      <c r="PQO312" s="125"/>
      <c r="PQP312" s="125"/>
      <c r="PQQ312" s="134"/>
      <c r="PQR312" s="135"/>
      <c r="PQS312" s="135"/>
      <c r="PQT312" s="135"/>
      <c r="PQU312" s="135"/>
      <c r="PQV312" s="173"/>
      <c r="PQW312" s="173"/>
      <c r="PQX312" s="173"/>
      <c r="PQY312" s="173"/>
      <c r="PQZ312" s="173"/>
      <c r="PRA312" s="173"/>
      <c r="PRB312" s="173"/>
      <c r="PRC312" s="173"/>
      <c r="PRD312" s="173"/>
      <c r="PRE312" s="173"/>
      <c r="PRF312" s="125"/>
      <c r="PRG312" s="125"/>
      <c r="PRH312" s="134"/>
      <c r="PRI312" s="135"/>
      <c r="PRJ312" s="135"/>
      <c r="PRK312" s="135"/>
      <c r="PRL312" s="135"/>
      <c r="PRM312" s="173"/>
      <c r="PRN312" s="173"/>
      <c r="PRO312" s="173"/>
      <c r="PRP312" s="173"/>
      <c r="PRQ312" s="173"/>
      <c r="PRR312" s="173"/>
      <c r="PRS312" s="173"/>
      <c r="PRT312" s="173"/>
      <c r="PRU312" s="173"/>
      <c r="PRV312" s="173"/>
      <c r="PRW312" s="125"/>
      <c r="PRX312" s="125"/>
      <c r="PRY312" s="134"/>
      <c r="PRZ312" s="135"/>
      <c r="PSA312" s="135"/>
      <c r="PSB312" s="135"/>
      <c r="PSC312" s="135"/>
      <c r="PSD312" s="173"/>
      <c r="PSE312" s="173"/>
      <c r="PSF312" s="173"/>
      <c r="PSG312" s="173"/>
      <c r="PSH312" s="173"/>
      <c r="PSI312" s="173"/>
      <c r="PSJ312" s="173"/>
      <c r="PSK312" s="173"/>
      <c r="PSL312" s="173"/>
      <c r="PSM312" s="173"/>
      <c r="PSN312" s="125"/>
      <c r="PSO312" s="125"/>
      <c r="PSP312" s="134"/>
      <c r="PSQ312" s="135"/>
      <c r="PSR312" s="135"/>
      <c r="PSS312" s="135"/>
      <c r="PST312" s="135"/>
      <c r="PSU312" s="173"/>
      <c r="PSV312" s="173"/>
      <c r="PSW312" s="173"/>
      <c r="PSX312" s="173"/>
      <c r="PSY312" s="173"/>
      <c r="PSZ312" s="173"/>
      <c r="PTA312" s="173"/>
      <c r="PTB312" s="173"/>
      <c r="PTC312" s="173"/>
      <c r="PTD312" s="173"/>
      <c r="PTE312" s="125"/>
      <c r="PTF312" s="125"/>
      <c r="PTG312" s="134"/>
      <c r="PTH312" s="135"/>
      <c r="PTI312" s="135"/>
      <c r="PTJ312" s="135"/>
      <c r="PTK312" s="135"/>
      <c r="PTL312" s="173"/>
      <c r="PTM312" s="173"/>
      <c r="PTN312" s="173"/>
      <c r="PTO312" s="173"/>
      <c r="PTP312" s="173"/>
      <c r="PTQ312" s="173"/>
      <c r="PTR312" s="173"/>
      <c r="PTS312" s="173"/>
      <c r="PTT312" s="173"/>
      <c r="PTU312" s="173"/>
      <c r="PTV312" s="125"/>
      <c r="PTW312" s="125"/>
      <c r="PTX312" s="134"/>
      <c r="PTY312" s="135"/>
      <c r="PTZ312" s="135"/>
      <c r="PUA312" s="135"/>
      <c r="PUB312" s="135"/>
      <c r="PUC312" s="173"/>
      <c r="PUD312" s="173"/>
      <c r="PUE312" s="173"/>
      <c r="PUF312" s="173"/>
      <c r="PUG312" s="173"/>
      <c r="PUH312" s="173"/>
      <c r="PUI312" s="173"/>
      <c r="PUJ312" s="173"/>
      <c r="PUK312" s="173"/>
      <c r="PUL312" s="173"/>
      <c r="PUM312" s="125"/>
      <c r="PUN312" s="125"/>
      <c r="PUO312" s="134"/>
      <c r="PUP312" s="135"/>
      <c r="PUQ312" s="135"/>
      <c r="PUR312" s="135"/>
      <c r="PUS312" s="135"/>
      <c r="PUT312" s="173"/>
      <c r="PUU312" s="173"/>
      <c r="PUV312" s="173"/>
      <c r="PUW312" s="173"/>
      <c r="PUX312" s="173"/>
      <c r="PUY312" s="173"/>
      <c r="PUZ312" s="173"/>
      <c r="PVA312" s="173"/>
      <c r="PVB312" s="173"/>
      <c r="PVC312" s="173"/>
      <c r="PVD312" s="125"/>
      <c r="PVE312" s="125"/>
      <c r="PVF312" s="134"/>
      <c r="PVG312" s="135"/>
      <c r="PVH312" s="135"/>
      <c r="PVI312" s="135"/>
      <c r="PVJ312" s="135"/>
      <c r="PVK312" s="173"/>
      <c r="PVL312" s="173"/>
      <c r="PVM312" s="173"/>
      <c r="PVN312" s="173"/>
      <c r="PVO312" s="173"/>
      <c r="PVP312" s="173"/>
      <c r="PVQ312" s="173"/>
      <c r="PVR312" s="173"/>
      <c r="PVS312" s="173"/>
      <c r="PVT312" s="173"/>
      <c r="PVU312" s="125"/>
      <c r="PVV312" s="125"/>
      <c r="PVW312" s="134"/>
      <c r="PVX312" s="135"/>
      <c r="PVY312" s="135"/>
      <c r="PVZ312" s="135"/>
      <c r="PWA312" s="135"/>
      <c r="PWB312" s="173"/>
      <c r="PWC312" s="173"/>
      <c r="PWD312" s="173"/>
      <c r="PWE312" s="173"/>
      <c r="PWF312" s="173"/>
      <c r="PWG312" s="173"/>
      <c r="PWH312" s="173"/>
      <c r="PWI312" s="173"/>
      <c r="PWJ312" s="173"/>
      <c r="PWK312" s="173"/>
      <c r="PWL312" s="125"/>
      <c r="PWM312" s="125"/>
      <c r="PWN312" s="134"/>
      <c r="PWO312" s="135"/>
      <c r="PWP312" s="135"/>
      <c r="PWQ312" s="135"/>
      <c r="PWR312" s="135"/>
      <c r="PWS312" s="173"/>
      <c r="PWT312" s="173"/>
      <c r="PWU312" s="173"/>
      <c r="PWV312" s="173"/>
      <c r="PWW312" s="173"/>
      <c r="PWX312" s="173"/>
      <c r="PWY312" s="173"/>
      <c r="PWZ312" s="173"/>
      <c r="PXA312" s="173"/>
      <c r="PXB312" s="173"/>
      <c r="PXC312" s="125"/>
      <c r="PXD312" s="125"/>
      <c r="PXE312" s="134"/>
      <c r="PXF312" s="135"/>
      <c r="PXG312" s="135"/>
      <c r="PXH312" s="135"/>
      <c r="PXI312" s="135"/>
      <c r="PXJ312" s="173"/>
      <c r="PXK312" s="173"/>
      <c r="PXL312" s="173"/>
      <c r="PXM312" s="173"/>
      <c r="PXN312" s="173"/>
      <c r="PXO312" s="173"/>
      <c r="PXP312" s="173"/>
      <c r="PXQ312" s="173"/>
      <c r="PXR312" s="173"/>
      <c r="PXS312" s="173"/>
      <c r="PXT312" s="125"/>
      <c r="PXU312" s="125"/>
      <c r="PXV312" s="134"/>
      <c r="PXW312" s="135"/>
      <c r="PXX312" s="135"/>
      <c r="PXY312" s="135"/>
      <c r="PXZ312" s="135"/>
      <c r="PYA312" s="173"/>
      <c r="PYB312" s="173"/>
      <c r="PYC312" s="173"/>
      <c r="PYD312" s="173"/>
      <c r="PYE312" s="173"/>
      <c r="PYF312" s="173"/>
      <c r="PYG312" s="173"/>
      <c r="PYH312" s="173"/>
      <c r="PYI312" s="173"/>
      <c r="PYJ312" s="173"/>
      <c r="PYK312" s="125"/>
      <c r="PYL312" s="125"/>
      <c r="PYM312" s="134"/>
      <c r="PYN312" s="135"/>
      <c r="PYO312" s="135"/>
      <c r="PYP312" s="135"/>
      <c r="PYQ312" s="135"/>
      <c r="PYR312" s="173"/>
      <c r="PYS312" s="173"/>
      <c r="PYT312" s="173"/>
      <c r="PYU312" s="173"/>
      <c r="PYV312" s="173"/>
      <c r="PYW312" s="173"/>
      <c r="PYX312" s="173"/>
      <c r="PYY312" s="173"/>
      <c r="PYZ312" s="173"/>
      <c r="PZA312" s="173"/>
      <c r="PZB312" s="125"/>
      <c r="PZC312" s="125"/>
      <c r="PZD312" s="134"/>
      <c r="PZE312" s="135"/>
      <c r="PZF312" s="135"/>
      <c r="PZG312" s="135"/>
      <c r="PZH312" s="135"/>
      <c r="PZI312" s="173"/>
      <c r="PZJ312" s="173"/>
      <c r="PZK312" s="173"/>
      <c r="PZL312" s="173"/>
      <c r="PZM312" s="173"/>
      <c r="PZN312" s="173"/>
      <c r="PZO312" s="173"/>
      <c r="PZP312" s="173"/>
      <c r="PZQ312" s="173"/>
      <c r="PZR312" s="173"/>
      <c r="PZS312" s="125"/>
      <c r="PZT312" s="125"/>
      <c r="PZU312" s="134"/>
      <c r="PZV312" s="135"/>
      <c r="PZW312" s="135"/>
      <c r="PZX312" s="135"/>
      <c r="PZY312" s="135"/>
      <c r="PZZ312" s="173"/>
      <c r="QAA312" s="173"/>
      <c r="QAB312" s="173"/>
      <c r="QAC312" s="173"/>
      <c r="QAD312" s="173"/>
      <c r="QAE312" s="173"/>
      <c r="QAF312" s="173"/>
      <c r="QAG312" s="173"/>
      <c r="QAH312" s="173"/>
      <c r="QAI312" s="173"/>
      <c r="QAJ312" s="125"/>
      <c r="QAK312" s="125"/>
      <c r="QAL312" s="134"/>
      <c r="QAM312" s="135"/>
      <c r="QAN312" s="135"/>
      <c r="QAO312" s="135"/>
      <c r="QAP312" s="135"/>
      <c r="QAQ312" s="173"/>
      <c r="QAR312" s="173"/>
      <c r="QAS312" s="173"/>
      <c r="QAT312" s="173"/>
      <c r="QAU312" s="173"/>
      <c r="QAV312" s="173"/>
      <c r="QAW312" s="173"/>
      <c r="QAX312" s="173"/>
      <c r="QAY312" s="173"/>
      <c r="QAZ312" s="173"/>
      <c r="QBA312" s="125"/>
      <c r="QBB312" s="125"/>
      <c r="QBC312" s="134"/>
      <c r="QBD312" s="135"/>
      <c r="QBE312" s="135"/>
      <c r="QBF312" s="135"/>
      <c r="QBG312" s="135"/>
      <c r="QBH312" s="173"/>
      <c r="QBI312" s="173"/>
      <c r="QBJ312" s="173"/>
      <c r="QBK312" s="173"/>
      <c r="QBL312" s="173"/>
      <c r="QBM312" s="173"/>
      <c r="QBN312" s="173"/>
      <c r="QBO312" s="173"/>
      <c r="QBP312" s="173"/>
      <c r="QBQ312" s="173"/>
      <c r="QBR312" s="125"/>
      <c r="QBS312" s="125"/>
      <c r="QBT312" s="134"/>
      <c r="QBU312" s="135"/>
      <c r="QBV312" s="135"/>
      <c r="QBW312" s="135"/>
      <c r="QBX312" s="135"/>
      <c r="QBY312" s="173"/>
      <c r="QBZ312" s="173"/>
      <c r="QCA312" s="173"/>
      <c r="QCB312" s="173"/>
      <c r="QCC312" s="173"/>
      <c r="QCD312" s="173"/>
      <c r="QCE312" s="173"/>
      <c r="QCF312" s="173"/>
      <c r="QCG312" s="173"/>
      <c r="QCH312" s="173"/>
      <c r="QCI312" s="125"/>
      <c r="QCJ312" s="125"/>
      <c r="QCK312" s="134"/>
      <c r="QCL312" s="135"/>
      <c r="QCM312" s="135"/>
      <c r="QCN312" s="135"/>
      <c r="QCO312" s="135"/>
      <c r="QCP312" s="173"/>
      <c r="QCQ312" s="173"/>
      <c r="QCR312" s="173"/>
      <c r="QCS312" s="173"/>
      <c r="QCT312" s="173"/>
      <c r="QCU312" s="173"/>
      <c r="QCV312" s="173"/>
      <c r="QCW312" s="173"/>
      <c r="QCX312" s="173"/>
      <c r="QCY312" s="173"/>
      <c r="QCZ312" s="125"/>
      <c r="QDA312" s="125"/>
      <c r="QDB312" s="134"/>
      <c r="QDC312" s="135"/>
      <c r="QDD312" s="135"/>
      <c r="QDE312" s="135"/>
      <c r="QDF312" s="135"/>
      <c r="QDG312" s="173"/>
      <c r="QDH312" s="173"/>
      <c r="QDI312" s="173"/>
      <c r="QDJ312" s="173"/>
      <c r="QDK312" s="173"/>
      <c r="QDL312" s="173"/>
      <c r="QDM312" s="173"/>
      <c r="QDN312" s="173"/>
      <c r="QDO312" s="173"/>
      <c r="QDP312" s="173"/>
      <c r="QDQ312" s="125"/>
      <c r="QDR312" s="125"/>
      <c r="QDS312" s="134"/>
      <c r="QDT312" s="135"/>
      <c r="QDU312" s="135"/>
      <c r="QDV312" s="135"/>
      <c r="QDW312" s="135"/>
      <c r="QDX312" s="173"/>
      <c r="QDY312" s="173"/>
      <c r="QDZ312" s="173"/>
      <c r="QEA312" s="173"/>
      <c r="QEB312" s="173"/>
      <c r="QEC312" s="173"/>
      <c r="QED312" s="173"/>
      <c r="QEE312" s="173"/>
      <c r="QEF312" s="173"/>
      <c r="QEG312" s="173"/>
      <c r="QEH312" s="125"/>
      <c r="QEI312" s="125"/>
      <c r="QEJ312" s="134"/>
      <c r="QEK312" s="135"/>
      <c r="QEL312" s="135"/>
      <c r="QEM312" s="135"/>
      <c r="QEN312" s="135"/>
      <c r="QEO312" s="173"/>
      <c r="QEP312" s="173"/>
      <c r="QEQ312" s="173"/>
      <c r="QER312" s="173"/>
      <c r="QES312" s="173"/>
      <c r="QET312" s="173"/>
      <c r="QEU312" s="173"/>
      <c r="QEV312" s="173"/>
      <c r="QEW312" s="173"/>
      <c r="QEX312" s="173"/>
      <c r="QEY312" s="125"/>
      <c r="QEZ312" s="125"/>
      <c r="QFA312" s="134"/>
      <c r="QFB312" s="135"/>
      <c r="QFC312" s="135"/>
      <c r="QFD312" s="135"/>
      <c r="QFE312" s="135"/>
      <c r="QFF312" s="173"/>
      <c r="QFG312" s="173"/>
      <c r="QFH312" s="173"/>
      <c r="QFI312" s="173"/>
      <c r="QFJ312" s="173"/>
      <c r="QFK312" s="173"/>
      <c r="QFL312" s="173"/>
      <c r="QFM312" s="173"/>
      <c r="QFN312" s="173"/>
      <c r="QFO312" s="173"/>
      <c r="QFP312" s="125"/>
      <c r="QFQ312" s="125"/>
      <c r="QFR312" s="134"/>
      <c r="QFS312" s="135"/>
      <c r="QFT312" s="135"/>
      <c r="QFU312" s="135"/>
      <c r="QFV312" s="135"/>
      <c r="QFW312" s="173"/>
      <c r="QFX312" s="173"/>
      <c r="QFY312" s="173"/>
      <c r="QFZ312" s="173"/>
      <c r="QGA312" s="173"/>
      <c r="QGB312" s="173"/>
      <c r="QGC312" s="173"/>
      <c r="QGD312" s="173"/>
      <c r="QGE312" s="173"/>
      <c r="QGF312" s="173"/>
      <c r="QGG312" s="125"/>
      <c r="QGH312" s="125"/>
      <c r="QGI312" s="134"/>
      <c r="QGJ312" s="135"/>
      <c r="QGK312" s="135"/>
      <c r="QGL312" s="135"/>
      <c r="QGM312" s="135"/>
      <c r="QGN312" s="173"/>
      <c r="QGO312" s="173"/>
      <c r="QGP312" s="173"/>
      <c r="QGQ312" s="173"/>
      <c r="QGR312" s="173"/>
      <c r="QGS312" s="173"/>
      <c r="QGT312" s="173"/>
      <c r="QGU312" s="173"/>
      <c r="QGV312" s="173"/>
      <c r="QGW312" s="173"/>
      <c r="QGX312" s="125"/>
      <c r="QGY312" s="125"/>
      <c r="QGZ312" s="134"/>
      <c r="QHA312" s="135"/>
      <c r="QHB312" s="135"/>
      <c r="QHC312" s="135"/>
      <c r="QHD312" s="135"/>
      <c r="QHE312" s="173"/>
      <c r="QHF312" s="173"/>
      <c r="QHG312" s="173"/>
      <c r="QHH312" s="173"/>
      <c r="QHI312" s="173"/>
      <c r="QHJ312" s="173"/>
      <c r="QHK312" s="173"/>
      <c r="QHL312" s="173"/>
      <c r="QHM312" s="173"/>
      <c r="QHN312" s="173"/>
      <c r="QHO312" s="125"/>
      <c r="QHP312" s="125"/>
      <c r="QHQ312" s="134"/>
      <c r="QHR312" s="135"/>
      <c r="QHS312" s="135"/>
      <c r="QHT312" s="135"/>
      <c r="QHU312" s="135"/>
      <c r="QHV312" s="173"/>
      <c r="QHW312" s="173"/>
      <c r="QHX312" s="173"/>
      <c r="QHY312" s="173"/>
      <c r="QHZ312" s="173"/>
      <c r="QIA312" s="173"/>
      <c r="QIB312" s="173"/>
      <c r="QIC312" s="173"/>
      <c r="QID312" s="173"/>
      <c r="QIE312" s="173"/>
      <c r="QIF312" s="125"/>
      <c r="QIG312" s="125"/>
      <c r="QIH312" s="134"/>
      <c r="QII312" s="135"/>
      <c r="QIJ312" s="135"/>
      <c r="QIK312" s="135"/>
      <c r="QIL312" s="135"/>
      <c r="QIM312" s="173"/>
      <c r="QIN312" s="173"/>
      <c r="QIO312" s="173"/>
      <c r="QIP312" s="173"/>
      <c r="QIQ312" s="173"/>
      <c r="QIR312" s="173"/>
      <c r="QIS312" s="173"/>
      <c r="QIT312" s="173"/>
      <c r="QIU312" s="173"/>
      <c r="QIV312" s="173"/>
      <c r="QIW312" s="125"/>
      <c r="QIX312" s="125"/>
      <c r="QIY312" s="134"/>
      <c r="QIZ312" s="135"/>
      <c r="QJA312" s="135"/>
      <c r="QJB312" s="135"/>
      <c r="QJC312" s="135"/>
      <c r="QJD312" s="173"/>
      <c r="QJE312" s="173"/>
      <c r="QJF312" s="173"/>
      <c r="QJG312" s="173"/>
      <c r="QJH312" s="173"/>
      <c r="QJI312" s="173"/>
      <c r="QJJ312" s="173"/>
      <c r="QJK312" s="173"/>
      <c r="QJL312" s="173"/>
      <c r="QJM312" s="173"/>
      <c r="QJN312" s="125"/>
      <c r="QJO312" s="125"/>
      <c r="QJP312" s="134"/>
      <c r="QJQ312" s="135"/>
      <c r="QJR312" s="135"/>
      <c r="QJS312" s="135"/>
      <c r="QJT312" s="135"/>
      <c r="QJU312" s="173"/>
      <c r="QJV312" s="173"/>
      <c r="QJW312" s="173"/>
      <c r="QJX312" s="173"/>
      <c r="QJY312" s="173"/>
      <c r="QJZ312" s="173"/>
      <c r="QKA312" s="173"/>
      <c r="QKB312" s="173"/>
      <c r="QKC312" s="173"/>
      <c r="QKD312" s="173"/>
      <c r="QKE312" s="125"/>
      <c r="QKF312" s="125"/>
      <c r="QKG312" s="134"/>
      <c r="QKH312" s="135"/>
      <c r="QKI312" s="135"/>
      <c r="QKJ312" s="135"/>
      <c r="QKK312" s="135"/>
      <c r="QKL312" s="173"/>
      <c r="QKM312" s="173"/>
      <c r="QKN312" s="173"/>
      <c r="QKO312" s="173"/>
      <c r="QKP312" s="173"/>
      <c r="QKQ312" s="173"/>
      <c r="QKR312" s="173"/>
      <c r="QKS312" s="173"/>
      <c r="QKT312" s="173"/>
      <c r="QKU312" s="173"/>
      <c r="QKV312" s="125"/>
      <c r="QKW312" s="125"/>
      <c r="QKX312" s="134"/>
      <c r="QKY312" s="135"/>
      <c r="QKZ312" s="135"/>
      <c r="QLA312" s="135"/>
      <c r="QLB312" s="135"/>
      <c r="QLC312" s="173"/>
      <c r="QLD312" s="173"/>
      <c r="QLE312" s="173"/>
      <c r="QLF312" s="173"/>
      <c r="QLG312" s="173"/>
      <c r="QLH312" s="173"/>
      <c r="QLI312" s="173"/>
      <c r="QLJ312" s="173"/>
      <c r="QLK312" s="173"/>
      <c r="QLL312" s="173"/>
      <c r="QLM312" s="125"/>
      <c r="QLN312" s="125"/>
      <c r="QLO312" s="134"/>
      <c r="QLP312" s="135"/>
      <c r="QLQ312" s="135"/>
      <c r="QLR312" s="135"/>
      <c r="QLS312" s="135"/>
      <c r="QLT312" s="173"/>
      <c r="QLU312" s="173"/>
      <c r="QLV312" s="173"/>
      <c r="QLW312" s="173"/>
      <c r="QLX312" s="173"/>
      <c r="QLY312" s="173"/>
      <c r="QLZ312" s="173"/>
      <c r="QMA312" s="173"/>
      <c r="QMB312" s="173"/>
      <c r="QMC312" s="173"/>
      <c r="QMD312" s="125"/>
      <c r="QME312" s="125"/>
      <c r="QMF312" s="134"/>
      <c r="QMG312" s="135"/>
      <c r="QMH312" s="135"/>
      <c r="QMI312" s="135"/>
      <c r="QMJ312" s="135"/>
      <c r="QMK312" s="173"/>
      <c r="QML312" s="173"/>
      <c r="QMM312" s="173"/>
      <c r="QMN312" s="173"/>
      <c r="QMO312" s="173"/>
      <c r="QMP312" s="173"/>
      <c r="QMQ312" s="173"/>
      <c r="QMR312" s="173"/>
      <c r="QMS312" s="173"/>
      <c r="QMT312" s="173"/>
      <c r="QMU312" s="125"/>
      <c r="QMV312" s="125"/>
      <c r="QMW312" s="134"/>
      <c r="QMX312" s="135"/>
      <c r="QMY312" s="135"/>
      <c r="QMZ312" s="135"/>
      <c r="QNA312" s="135"/>
      <c r="QNB312" s="173"/>
      <c r="QNC312" s="173"/>
      <c r="QND312" s="173"/>
      <c r="QNE312" s="173"/>
      <c r="QNF312" s="173"/>
      <c r="QNG312" s="173"/>
      <c r="QNH312" s="173"/>
      <c r="QNI312" s="173"/>
      <c r="QNJ312" s="173"/>
      <c r="QNK312" s="173"/>
      <c r="QNL312" s="125"/>
      <c r="QNM312" s="125"/>
      <c r="QNN312" s="134"/>
      <c r="QNO312" s="135"/>
      <c r="QNP312" s="135"/>
      <c r="QNQ312" s="135"/>
      <c r="QNR312" s="135"/>
      <c r="QNS312" s="173"/>
      <c r="QNT312" s="173"/>
      <c r="QNU312" s="173"/>
      <c r="QNV312" s="173"/>
      <c r="QNW312" s="173"/>
      <c r="QNX312" s="173"/>
      <c r="QNY312" s="173"/>
      <c r="QNZ312" s="173"/>
      <c r="QOA312" s="173"/>
      <c r="QOB312" s="173"/>
      <c r="QOC312" s="125"/>
      <c r="QOD312" s="125"/>
      <c r="QOE312" s="134"/>
      <c r="QOF312" s="135"/>
      <c r="QOG312" s="135"/>
      <c r="QOH312" s="135"/>
      <c r="QOI312" s="135"/>
      <c r="QOJ312" s="173"/>
      <c r="QOK312" s="173"/>
      <c r="QOL312" s="173"/>
      <c r="QOM312" s="173"/>
      <c r="QON312" s="173"/>
      <c r="QOO312" s="173"/>
      <c r="QOP312" s="173"/>
      <c r="QOQ312" s="173"/>
      <c r="QOR312" s="173"/>
      <c r="QOS312" s="173"/>
      <c r="QOT312" s="125"/>
      <c r="QOU312" s="125"/>
      <c r="QOV312" s="134"/>
      <c r="QOW312" s="135"/>
      <c r="QOX312" s="135"/>
      <c r="QOY312" s="135"/>
      <c r="QOZ312" s="135"/>
      <c r="QPA312" s="173"/>
      <c r="QPB312" s="173"/>
      <c r="QPC312" s="173"/>
      <c r="QPD312" s="173"/>
      <c r="QPE312" s="173"/>
      <c r="QPF312" s="173"/>
      <c r="QPG312" s="173"/>
      <c r="QPH312" s="173"/>
      <c r="QPI312" s="173"/>
      <c r="QPJ312" s="173"/>
      <c r="QPK312" s="125"/>
      <c r="QPL312" s="125"/>
      <c r="QPM312" s="134"/>
      <c r="QPN312" s="135"/>
      <c r="QPO312" s="135"/>
      <c r="QPP312" s="135"/>
      <c r="QPQ312" s="135"/>
      <c r="QPR312" s="173"/>
      <c r="QPS312" s="173"/>
      <c r="QPT312" s="173"/>
      <c r="QPU312" s="173"/>
      <c r="QPV312" s="173"/>
      <c r="QPW312" s="173"/>
      <c r="QPX312" s="173"/>
      <c r="QPY312" s="173"/>
      <c r="QPZ312" s="173"/>
      <c r="QQA312" s="173"/>
      <c r="QQB312" s="125"/>
      <c r="QQC312" s="125"/>
      <c r="QQD312" s="134"/>
      <c r="QQE312" s="135"/>
      <c r="QQF312" s="135"/>
      <c r="QQG312" s="135"/>
      <c r="QQH312" s="135"/>
      <c r="QQI312" s="173"/>
      <c r="QQJ312" s="173"/>
      <c r="QQK312" s="173"/>
      <c r="QQL312" s="173"/>
      <c r="QQM312" s="173"/>
      <c r="QQN312" s="173"/>
      <c r="QQO312" s="173"/>
      <c r="QQP312" s="173"/>
      <c r="QQQ312" s="173"/>
      <c r="QQR312" s="173"/>
      <c r="QQS312" s="125"/>
      <c r="QQT312" s="125"/>
      <c r="QQU312" s="134"/>
      <c r="QQV312" s="135"/>
      <c r="QQW312" s="135"/>
      <c r="QQX312" s="135"/>
      <c r="QQY312" s="135"/>
      <c r="QQZ312" s="173"/>
      <c r="QRA312" s="173"/>
      <c r="QRB312" s="173"/>
      <c r="QRC312" s="173"/>
      <c r="QRD312" s="173"/>
      <c r="QRE312" s="173"/>
      <c r="QRF312" s="173"/>
      <c r="QRG312" s="173"/>
      <c r="QRH312" s="173"/>
      <c r="QRI312" s="173"/>
      <c r="QRJ312" s="125"/>
      <c r="QRK312" s="125"/>
      <c r="QRL312" s="134"/>
      <c r="QRM312" s="135"/>
      <c r="QRN312" s="135"/>
      <c r="QRO312" s="135"/>
      <c r="QRP312" s="135"/>
      <c r="QRQ312" s="173"/>
      <c r="QRR312" s="173"/>
      <c r="QRS312" s="173"/>
      <c r="QRT312" s="173"/>
      <c r="QRU312" s="173"/>
      <c r="QRV312" s="173"/>
      <c r="QRW312" s="173"/>
      <c r="QRX312" s="173"/>
      <c r="QRY312" s="173"/>
      <c r="QRZ312" s="173"/>
      <c r="QSA312" s="125"/>
      <c r="QSB312" s="125"/>
      <c r="QSC312" s="134"/>
      <c r="QSD312" s="135"/>
      <c r="QSE312" s="135"/>
      <c r="QSF312" s="135"/>
      <c r="QSG312" s="135"/>
      <c r="QSH312" s="173"/>
      <c r="QSI312" s="173"/>
      <c r="QSJ312" s="173"/>
      <c r="QSK312" s="173"/>
      <c r="QSL312" s="173"/>
      <c r="QSM312" s="173"/>
      <c r="QSN312" s="173"/>
      <c r="QSO312" s="173"/>
      <c r="QSP312" s="173"/>
      <c r="QSQ312" s="173"/>
      <c r="QSR312" s="125"/>
      <c r="QSS312" s="125"/>
      <c r="QST312" s="134"/>
      <c r="QSU312" s="135"/>
      <c r="QSV312" s="135"/>
      <c r="QSW312" s="135"/>
      <c r="QSX312" s="135"/>
      <c r="QSY312" s="173"/>
      <c r="QSZ312" s="173"/>
      <c r="QTA312" s="173"/>
      <c r="QTB312" s="173"/>
      <c r="QTC312" s="173"/>
      <c r="QTD312" s="173"/>
      <c r="QTE312" s="173"/>
      <c r="QTF312" s="173"/>
      <c r="QTG312" s="173"/>
      <c r="QTH312" s="173"/>
      <c r="QTI312" s="125"/>
      <c r="QTJ312" s="125"/>
      <c r="QTK312" s="134"/>
      <c r="QTL312" s="135"/>
      <c r="QTM312" s="135"/>
      <c r="QTN312" s="135"/>
      <c r="QTO312" s="135"/>
      <c r="QTP312" s="173"/>
      <c r="QTQ312" s="173"/>
      <c r="QTR312" s="173"/>
      <c r="QTS312" s="173"/>
      <c r="QTT312" s="173"/>
      <c r="QTU312" s="173"/>
      <c r="QTV312" s="173"/>
      <c r="QTW312" s="173"/>
      <c r="QTX312" s="173"/>
      <c r="QTY312" s="173"/>
      <c r="QTZ312" s="125"/>
      <c r="QUA312" s="125"/>
      <c r="QUB312" s="134"/>
      <c r="QUC312" s="135"/>
      <c r="QUD312" s="135"/>
      <c r="QUE312" s="135"/>
      <c r="QUF312" s="135"/>
      <c r="QUG312" s="173"/>
      <c r="QUH312" s="173"/>
      <c r="QUI312" s="173"/>
      <c r="QUJ312" s="173"/>
      <c r="QUK312" s="173"/>
      <c r="QUL312" s="173"/>
      <c r="QUM312" s="173"/>
      <c r="QUN312" s="173"/>
      <c r="QUO312" s="173"/>
      <c r="QUP312" s="173"/>
      <c r="QUQ312" s="125"/>
      <c r="QUR312" s="125"/>
      <c r="QUS312" s="134"/>
      <c r="QUT312" s="135"/>
      <c r="QUU312" s="135"/>
      <c r="QUV312" s="135"/>
      <c r="QUW312" s="135"/>
      <c r="QUX312" s="173"/>
      <c r="QUY312" s="173"/>
      <c r="QUZ312" s="173"/>
      <c r="QVA312" s="173"/>
      <c r="QVB312" s="173"/>
      <c r="QVC312" s="173"/>
      <c r="QVD312" s="173"/>
      <c r="QVE312" s="173"/>
      <c r="QVF312" s="173"/>
      <c r="QVG312" s="173"/>
      <c r="QVH312" s="125"/>
      <c r="QVI312" s="125"/>
      <c r="QVJ312" s="134"/>
      <c r="QVK312" s="135"/>
      <c r="QVL312" s="135"/>
      <c r="QVM312" s="135"/>
      <c r="QVN312" s="135"/>
      <c r="QVO312" s="173"/>
      <c r="QVP312" s="173"/>
      <c r="QVQ312" s="173"/>
      <c r="QVR312" s="173"/>
      <c r="QVS312" s="173"/>
      <c r="QVT312" s="173"/>
      <c r="QVU312" s="173"/>
      <c r="QVV312" s="173"/>
      <c r="QVW312" s="173"/>
      <c r="QVX312" s="173"/>
      <c r="QVY312" s="125"/>
      <c r="QVZ312" s="125"/>
      <c r="QWA312" s="134"/>
      <c r="QWB312" s="135"/>
      <c r="QWC312" s="135"/>
      <c r="QWD312" s="135"/>
      <c r="QWE312" s="135"/>
      <c r="QWF312" s="173"/>
      <c r="QWG312" s="173"/>
      <c r="QWH312" s="173"/>
      <c r="QWI312" s="173"/>
      <c r="QWJ312" s="173"/>
      <c r="QWK312" s="173"/>
      <c r="QWL312" s="173"/>
      <c r="QWM312" s="173"/>
      <c r="QWN312" s="173"/>
      <c r="QWO312" s="173"/>
      <c r="QWP312" s="125"/>
      <c r="QWQ312" s="125"/>
      <c r="QWR312" s="134"/>
      <c r="QWS312" s="135"/>
      <c r="QWT312" s="135"/>
      <c r="QWU312" s="135"/>
      <c r="QWV312" s="135"/>
      <c r="QWW312" s="173"/>
      <c r="QWX312" s="173"/>
      <c r="QWY312" s="173"/>
      <c r="QWZ312" s="173"/>
      <c r="QXA312" s="173"/>
      <c r="QXB312" s="173"/>
      <c r="QXC312" s="173"/>
      <c r="QXD312" s="173"/>
      <c r="QXE312" s="173"/>
      <c r="QXF312" s="173"/>
      <c r="QXG312" s="125"/>
      <c r="QXH312" s="125"/>
      <c r="QXI312" s="134"/>
      <c r="QXJ312" s="135"/>
      <c r="QXK312" s="135"/>
      <c r="QXL312" s="135"/>
      <c r="QXM312" s="135"/>
      <c r="QXN312" s="173"/>
      <c r="QXO312" s="173"/>
      <c r="QXP312" s="173"/>
      <c r="QXQ312" s="173"/>
      <c r="QXR312" s="173"/>
      <c r="QXS312" s="173"/>
      <c r="QXT312" s="173"/>
      <c r="QXU312" s="173"/>
      <c r="QXV312" s="173"/>
      <c r="QXW312" s="173"/>
      <c r="QXX312" s="125"/>
      <c r="QXY312" s="125"/>
      <c r="QXZ312" s="134"/>
      <c r="QYA312" s="135"/>
      <c r="QYB312" s="135"/>
      <c r="QYC312" s="135"/>
      <c r="QYD312" s="135"/>
      <c r="QYE312" s="173"/>
      <c r="QYF312" s="173"/>
      <c r="QYG312" s="173"/>
      <c r="QYH312" s="173"/>
      <c r="QYI312" s="173"/>
      <c r="QYJ312" s="173"/>
      <c r="QYK312" s="173"/>
      <c r="QYL312" s="173"/>
      <c r="QYM312" s="173"/>
      <c r="QYN312" s="173"/>
      <c r="QYO312" s="125"/>
      <c r="QYP312" s="125"/>
      <c r="QYQ312" s="134"/>
      <c r="QYR312" s="135"/>
      <c r="QYS312" s="135"/>
      <c r="QYT312" s="135"/>
      <c r="QYU312" s="135"/>
      <c r="QYV312" s="173"/>
      <c r="QYW312" s="173"/>
      <c r="QYX312" s="173"/>
      <c r="QYY312" s="173"/>
      <c r="QYZ312" s="173"/>
      <c r="QZA312" s="173"/>
      <c r="QZB312" s="173"/>
      <c r="QZC312" s="173"/>
      <c r="QZD312" s="173"/>
      <c r="QZE312" s="173"/>
      <c r="QZF312" s="125"/>
      <c r="QZG312" s="125"/>
      <c r="QZH312" s="134"/>
      <c r="QZI312" s="135"/>
      <c r="QZJ312" s="135"/>
      <c r="QZK312" s="135"/>
      <c r="QZL312" s="135"/>
      <c r="QZM312" s="173"/>
      <c r="QZN312" s="173"/>
      <c r="QZO312" s="173"/>
      <c r="QZP312" s="173"/>
      <c r="QZQ312" s="173"/>
      <c r="QZR312" s="173"/>
      <c r="QZS312" s="173"/>
      <c r="QZT312" s="173"/>
      <c r="QZU312" s="173"/>
      <c r="QZV312" s="173"/>
      <c r="QZW312" s="125"/>
      <c r="QZX312" s="125"/>
      <c r="QZY312" s="134"/>
      <c r="QZZ312" s="135"/>
      <c r="RAA312" s="135"/>
      <c r="RAB312" s="135"/>
      <c r="RAC312" s="135"/>
      <c r="RAD312" s="173"/>
      <c r="RAE312" s="173"/>
      <c r="RAF312" s="173"/>
      <c r="RAG312" s="173"/>
      <c r="RAH312" s="173"/>
      <c r="RAI312" s="173"/>
      <c r="RAJ312" s="173"/>
      <c r="RAK312" s="173"/>
      <c r="RAL312" s="173"/>
      <c r="RAM312" s="173"/>
      <c r="RAN312" s="125"/>
      <c r="RAO312" s="125"/>
      <c r="RAP312" s="134"/>
      <c r="RAQ312" s="135"/>
      <c r="RAR312" s="135"/>
      <c r="RAS312" s="135"/>
      <c r="RAT312" s="135"/>
      <c r="RAU312" s="173"/>
      <c r="RAV312" s="173"/>
      <c r="RAW312" s="173"/>
      <c r="RAX312" s="173"/>
      <c r="RAY312" s="173"/>
      <c r="RAZ312" s="173"/>
      <c r="RBA312" s="173"/>
      <c r="RBB312" s="173"/>
      <c r="RBC312" s="173"/>
      <c r="RBD312" s="173"/>
      <c r="RBE312" s="125"/>
      <c r="RBF312" s="125"/>
      <c r="RBG312" s="134"/>
      <c r="RBH312" s="135"/>
      <c r="RBI312" s="135"/>
      <c r="RBJ312" s="135"/>
      <c r="RBK312" s="135"/>
      <c r="RBL312" s="173"/>
      <c r="RBM312" s="173"/>
      <c r="RBN312" s="173"/>
      <c r="RBO312" s="173"/>
      <c r="RBP312" s="173"/>
      <c r="RBQ312" s="173"/>
      <c r="RBR312" s="173"/>
      <c r="RBS312" s="173"/>
      <c r="RBT312" s="173"/>
      <c r="RBU312" s="173"/>
      <c r="RBV312" s="125"/>
      <c r="RBW312" s="125"/>
      <c r="RBX312" s="134"/>
      <c r="RBY312" s="135"/>
      <c r="RBZ312" s="135"/>
      <c r="RCA312" s="135"/>
      <c r="RCB312" s="135"/>
      <c r="RCC312" s="173"/>
      <c r="RCD312" s="173"/>
      <c r="RCE312" s="173"/>
      <c r="RCF312" s="173"/>
      <c r="RCG312" s="173"/>
      <c r="RCH312" s="173"/>
      <c r="RCI312" s="173"/>
      <c r="RCJ312" s="173"/>
      <c r="RCK312" s="173"/>
      <c r="RCL312" s="173"/>
      <c r="RCM312" s="125"/>
      <c r="RCN312" s="125"/>
      <c r="RCO312" s="134"/>
      <c r="RCP312" s="135"/>
      <c r="RCQ312" s="135"/>
      <c r="RCR312" s="135"/>
      <c r="RCS312" s="135"/>
      <c r="RCT312" s="173"/>
      <c r="RCU312" s="173"/>
      <c r="RCV312" s="173"/>
      <c r="RCW312" s="173"/>
      <c r="RCX312" s="173"/>
      <c r="RCY312" s="173"/>
      <c r="RCZ312" s="173"/>
      <c r="RDA312" s="173"/>
      <c r="RDB312" s="173"/>
      <c r="RDC312" s="173"/>
      <c r="RDD312" s="125"/>
      <c r="RDE312" s="125"/>
      <c r="RDF312" s="134"/>
      <c r="RDG312" s="135"/>
      <c r="RDH312" s="135"/>
      <c r="RDI312" s="135"/>
      <c r="RDJ312" s="135"/>
      <c r="RDK312" s="173"/>
      <c r="RDL312" s="173"/>
      <c r="RDM312" s="173"/>
      <c r="RDN312" s="173"/>
      <c r="RDO312" s="173"/>
      <c r="RDP312" s="173"/>
      <c r="RDQ312" s="173"/>
      <c r="RDR312" s="173"/>
      <c r="RDS312" s="173"/>
      <c r="RDT312" s="173"/>
      <c r="RDU312" s="125"/>
      <c r="RDV312" s="125"/>
      <c r="RDW312" s="134"/>
      <c r="RDX312" s="135"/>
      <c r="RDY312" s="135"/>
      <c r="RDZ312" s="135"/>
      <c r="REA312" s="135"/>
      <c r="REB312" s="173"/>
      <c r="REC312" s="173"/>
      <c r="RED312" s="173"/>
      <c r="REE312" s="173"/>
      <c r="REF312" s="173"/>
      <c r="REG312" s="173"/>
      <c r="REH312" s="173"/>
      <c r="REI312" s="173"/>
      <c r="REJ312" s="173"/>
      <c r="REK312" s="173"/>
      <c r="REL312" s="125"/>
      <c r="REM312" s="125"/>
      <c r="REN312" s="134"/>
      <c r="REO312" s="135"/>
      <c r="REP312" s="135"/>
      <c r="REQ312" s="135"/>
      <c r="RER312" s="135"/>
      <c r="RES312" s="173"/>
      <c r="RET312" s="173"/>
      <c r="REU312" s="173"/>
      <c r="REV312" s="173"/>
      <c r="REW312" s="173"/>
      <c r="REX312" s="173"/>
      <c r="REY312" s="173"/>
      <c r="REZ312" s="173"/>
      <c r="RFA312" s="173"/>
      <c r="RFB312" s="173"/>
      <c r="RFC312" s="125"/>
      <c r="RFD312" s="125"/>
      <c r="RFE312" s="134"/>
      <c r="RFF312" s="135"/>
      <c r="RFG312" s="135"/>
      <c r="RFH312" s="135"/>
      <c r="RFI312" s="135"/>
      <c r="RFJ312" s="173"/>
      <c r="RFK312" s="173"/>
      <c r="RFL312" s="173"/>
      <c r="RFM312" s="173"/>
      <c r="RFN312" s="173"/>
      <c r="RFO312" s="173"/>
      <c r="RFP312" s="173"/>
      <c r="RFQ312" s="173"/>
      <c r="RFR312" s="173"/>
      <c r="RFS312" s="173"/>
      <c r="RFT312" s="125"/>
      <c r="RFU312" s="125"/>
      <c r="RFV312" s="134"/>
      <c r="RFW312" s="135"/>
      <c r="RFX312" s="135"/>
      <c r="RFY312" s="135"/>
      <c r="RFZ312" s="135"/>
      <c r="RGA312" s="173"/>
      <c r="RGB312" s="173"/>
      <c r="RGC312" s="173"/>
      <c r="RGD312" s="173"/>
      <c r="RGE312" s="173"/>
      <c r="RGF312" s="173"/>
      <c r="RGG312" s="173"/>
      <c r="RGH312" s="173"/>
      <c r="RGI312" s="173"/>
      <c r="RGJ312" s="173"/>
      <c r="RGK312" s="125"/>
      <c r="RGL312" s="125"/>
      <c r="RGM312" s="134"/>
      <c r="RGN312" s="135"/>
      <c r="RGO312" s="135"/>
      <c r="RGP312" s="135"/>
      <c r="RGQ312" s="135"/>
      <c r="RGR312" s="173"/>
      <c r="RGS312" s="173"/>
      <c r="RGT312" s="173"/>
      <c r="RGU312" s="173"/>
      <c r="RGV312" s="173"/>
      <c r="RGW312" s="173"/>
      <c r="RGX312" s="173"/>
      <c r="RGY312" s="173"/>
      <c r="RGZ312" s="173"/>
      <c r="RHA312" s="173"/>
      <c r="RHB312" s="125"/>
      <c r="RHC312" s="125"/>
      <c r="RHD312" s="134"/>
      <c r="RHE312" s="135"/>
      <c r="RHF312" s="135"/>
      <c r="RHG312" s="135"/>
      <c r="RHH312" s="135"/>
      <c r="RHI312" s="173"/>
      <c r="RHJ312" s="173"/>
      <c r="RHK312" s="173"/>
      <c r="RHL312" s="173"/>
      <c r="RHM312" s="173"/>
      <c r="RHN312" s="173"/>
      <c r="RHO312" s="173"/>
      <c r="RHP312" s="173"/>
      <c r="RHQ312" s="173"/>
      <c r="RHR312" s="173"/>
      <c r="RHS312" s="125"/>
      <c r="RHT312" s="125"/>
      <c r="RHU312" s="134"/>
      <c r="RHV312" s="135"/>
      <c r="RHW312" s="135"/>
      <c r="RHX312" s="135"/>
      <c r="RHY312" s="135"/>
      <c r="RHZ312" s="173"/>
      <c r="RIA312" s="173"/>
      <c r="RIB312" s="173"/>
      <c r="RIC312" s="173"/>
      <c r="RID312" s="173"/>
      <c r="RIE312" s="173"/>
      <c r="RIF312" s="173"/>
      <c r="RIG312" s="173"/>
      <c r="RIH312" s="173"/>
      <c r="RII312" s="173"/>
      <c r="RIJ312" s="125"/>
      <c r="RIK312" s="125"/>
      <c r="RIL312" s="134"/>
      <c r="RIM312" s="135"/>
      <c r="RIN312" s="135"/>
      <c r="RIO312" s="135"/>
      <c r="RIP312" s="135"/>
      <c r="RIQ312" s="173"/>
      <c r="RIR312" s="173"/>
      <c r="RIS312" s="173"/>
      <c r="RIT312" s="173"/>
      <c r="RIU312" s="173"/>
      <c r="RIV312" s="173"/>
      <c r="RIW312" s="173"/>
      <c r="RIX312" s="173"/>
      <c r="RIY312" s="173"/>
      <c r="RIZ312" s="173"/>
      <c r="RJA312" s="125"/>
      <c r="RJB312" s="125"/>
      <c r="RJC312" s="134"/>
      <c r="RJD312" s="135"/>
      <c r="RJE312" s="135"/>
      <c r="RJF312" s="135"/>
      <c r="RJG312" s="135"/>
      <c r="RJH312" s="173"/>
      <c r="RJI312" s="173"/>
      <c r="RJJ312" s="173"/>
      <c r="RJK312" s="173"/>
      <c r="RJL312" s="173"/>
      <c r="RJM312" s="173"/>
      <c r="RJN312" s="173"/>
      <c r="RJO312" s="173"/>
      <c r="RJP312" s="173"/>
      <c r="RJQ312" s="173"/>
      <c r="RJR312" s="125"/>
      <c r="RJS312" s="125"/>
      <c r="RJT312" s="134"/>
      <c r="RJU312" s="135"/>
      <c r="RJV312" s="135"/>
      <c r="RJW312" s="135"/>
      <c r="RJX312" s="135"/>
      <c r="RJY312" s="173"/>
      <c r="RJZ312" s="173"/>
      <c r="RKA312" s="173"/>
      <c r="RKB312" s="173"/>
      <c r="RKC312" s="173"/>
      <c r="RKD312" s="173"/>
      <c r="RKE312" s="173"/>
      <c r="RKF312" s="173"/>
      <c r="RKG312" s="173"/>
      <c r="RKH312" s="173"/>
      <c r="RKI312" s="125"/>
      <c r="RKJ312" s="125"/>
      <c r="RKK312" s="134"/>
      <c r="RKL312" s="135"/>
      <c r="RKM312" s="135"/>
      <c r="RKN312" s="135"/>
      <c r="RKO312" s="135"/>
      <c r="RKP312" s="173"/>
      <c r="RKQ312" s="173"/>
      <c r="RKR312" s="173"/>
      <c r="RKS312" s="173"/>
      <c r="RKT312" s="173"/>
      <c r="RKU312" s="173"/>
      <c r="RKV312" s="173"/>
      <c r="RKW312" s="173"/>
      <c r="RKX312" s="173"/>
      <c r="RKY312" s="173"/>
      <c r="RKZ312" s="125"/>
      <c r="RLA312" s="125"/>
      <c r="RLB312" s="134"/>
      <c r="RLC312" s="135"/>
      <c r="RLD312" s="135"/>
      <c r="RLE312" s="135"/>
      <c r="RLF312" s="135"/>
      <c r="RLG312" s="173"/>
      <c r="RLH312" s="173"/>
      <c r="RLI312" s="173"/>
      <c r="RLJ312" s="173"/>
      <c r="RLK312" s="173"/>
      <c r="RLL312" s="173"/>
      <c r="RLM312" s="173"/>
      <c r="RLN312" s="173"/>
      <c r="RLO312" s="173"/>
      <c r="RLP312" s="173"/>
      <c r="RLQ312" s="125"/>
      <c r="RLR312" s="125"/>
      <c r="RLS312" s="134"/>
      <c r="RLT312" s="135"/>
      <c r="RLU312" s="135"/>
      <c r="RLV312" s="135"/>
      <c r="RLW312" s="135"/>
      <c r="RLX312" s="173"/>
      <c r="RLY312" s="173"/>
      <c r="RLZ312" s="173"/>
      <c r="RMA312" s="173"/>
      <c r="RMB312" s="173"/>
      <c r="RMC312" s="173"/>
      <c r="RMD312" s="173"/>
      <c r="RME312" s="173"/>
      <c r="RMF312" s="173"/>
      <c r="RMG312" s="173"/>
      <c r="RMH312" s="125"/>
      <c r="RMI312" s="125"/>
      <c r="RMJ312" s="134"/>
      <c r="RMK312" s="135"/>
      <c r="RML312" s="135"/>
      <c r="RMM312" s="135"/>
      <c r="RMN312" s="135"/>
      <c r="RMO312" s="173"/>
      <c r="RMP312" s="173"/>
      <c r="RMQ312" s="173"/>
      <c r="RMR312" s="173"/>
      <c r="RMS312" s="173"/>
      <c r="RMT312" s="173"/>
      <c r="RMU312" s="173"/>
      <c r="RMV312" s="173"/>
      <c r="RMW312" s="173"/>
      <c r="RMX312" s="173"/>
      <c r="RMY312" s="125"/>
      <c r="RMZ312" s="125"/>
      <c r="RNA312" s="134"/>
      <c r="RNB312" s="135"/>
      <c r="RNC312" s="135"/>
      <c r="RND312" s="135"/>
      <c r="RNE312" s="135"/>
      <c r="RNF312" s="173"/>
      <c r="RNG312" s="173"/>
      <c r="RNH312" s="173"/>
      <c r="RNI312" s="173"/>
      <c r="RNJ312" s="173"/>
      <c r="RNK312" s="173"/>
      <c r="RNL312" s="173"/>
      <c r="RNM312" s="173"/>
      <c r="RNN312" s="173"/>
      <c r="RNO312" s="173"/>
      <c r="RNP312" s="125"/>
      <c r="RNQ312" s="125"/>
      <c r="RNR312" s="134"/>
      <c r="RNS312" s="135"/>
      <c r="RNT312" s="135"/>
      <c r="RNU312" s="135"/>
      <c r="RNV312" s="135"/>
      <c r="RNW312" s="173"/>
      <c r="RNX312" s="173"/>
      <c r="RNY312" s="173"/>
      <c r="RNZ312" s="173"/>
      <c r="ROA312" s="173"/>
      <c r="ROB312" s="173"/>
      <c r="ROC312" s="173"/>
      <c r="ROD312" s="173"/>
      <c r="ROE312" s="173"/>
      <c r="ROF312" s="173"/>
      <c r="ROG312" s="125"/>
      <c r="ROH312" s="125"/>
      <c r="ROI312" s="134"/>
      <c r="ROJ312" s="135"/>
      <c r="ROK312" s="135"/>
      <c r="ROL312" s="135"/>
      <c r="ROM312" s="135"/>
      <c r="RON312" s="173"/>
      <c r="ROO312" s="173"/>
      <c r="ROP312" s="173"/>
      <c r="ROQ312" s="173"/>
      <c r="ROR312" s="173"/>
      <c r="ROS312" s="173"/>
      <c r="ROT312" s="173"/>
      <c r="ROU312" s="173"/>
      <c r="ROV312" s="173"/>
      <c r="ROW312" s="173"/>
      <c r="ROX312" s="125"/>
      <c r="ROY312" s="125"/>
      <c r="ROZ312" s="134"/>
      <c r="RPA312" s="135"/>
      <c r="RPB312" s="135"/>
      <c r="RPC312" s="135"/>
      <c r="RPD312" s="135"/>
      <c r="RPE312" s="173"/>
      <c r="RPF312" s="173"/>
      <c r="RPG312" s="173"/>
      <c r="RPH312" s="173"/>
      <c r="RPI312" s="173"/>
      <c r="RPJ312" s="173"/>
      <c r="RPK312" s="173"/>
      <c r="RPL312" s="173"/>
      <c r="RPM312" s="173"/>
      <c r="RPN312" s="173"/>
      <c r="RPO312" s="125"/>
      <c r="RPP312" s="125"/>
      <c r="RPQ312" s="134"/>
      <c r="RPR312" s="135"/>
      <c r="RPS312" s="135"/>
      <c r="RPT312" s="135"/>
      <c r="RPU312" s="135"/>
      <c r="RPV312" s="173"/>
      <c r="RPW312" s="173"/>
      <c r="RPX312" s="173"/>
      <c r="RPY312" s="173"/>
      <c r="RPZ312" s="173"/>
      <c r="RQA312" s="173"/>
      <c r="RQB312" s="173"/>
      <c r="RQC312" s="173"/>
      <c r="RQD312" s="173"/>
      <c r="RQE312" s="173"/>
      <c r="RQF312" s="125"/>
      <c r="RQG312" s="125"/>
      <c r="RQH312" s="134"/>
      <c r="RQI312" s="135"/>
      <c r="RQJ312" s="135"/>
      <c r="RQK312" s="135"/>
      <c r="RQL312" s="135"/>
      <c r="RQM312" s="173"/>
      <c r="RQN312" s="173"/>
      <c r="RQO312" s="173"/>
      <c r="RQP312" s="173"/>
      <c r="RQQ312" s="173"/>
      <c r="RQR312" s="173"/>
      <c r="RQS312" s="173"/>
      <c r="RQT312" s="173"/>
      <c r="RQU312" s="173"/>
      <c r="RQV312" s="173"/>
      <c r="RQW312" s="125"/>
      <c r="RQX312" s="125"/>
      <c r="RQY312" s="134"/>
      <c r="RQZ312" s="135"/>
      <c r="RRA312" s="135"/>
      <c r="RRB312" s="135"/>
      <c r="RRC312" s="135"/>
      <c r="RRD312" s="173"/>
      <c r="RRE312" s="173"/>
      <c r="RRF312" s="173"/>
      <c r="RRG312" s="173"/>
      <c r="RRH312" s="173"/>
      <c r="RRI312" s="173"/>
      <c r="RRJ312" s="173"/>
      <c r="RRK312" s="173"/>
      <c r="RRL312" s="173"/>
      <c r="RRM312" s="173"/>
      <c r="RRN312" s="125"/>
      <c r="RRO312" s="125"/>
      <c r="RRP312" s="134"/>
      <c r="RRQ312" s="135"/>
      <c r="RRR312" s="135"/>
      <c r="RRS312" s="135"/>
      <c r="RRT312" s="135"/>
      <c r="RRU312" s="173"/>
      <c r="RRV312" s="173"/>
      <c r="RRW312" s="173"/>
      <c r="RRX312" s="173"/>
      <c r="RRY312" s="173"/>
      <c r="RRZ312" s="173"/>
      <c r="RSA312" s="173"/>
      <c r="RSB312" s="173"/>
      <c r="RSC312" s="173"/>
      <c r="RSD312" s="173"/>
      <c r="RSE312" s="125"/>
      <c r="RSF312" s="125"/>
      <c r="RSG312" s="134"/>
      <c r="RSH312" s="135"/>
      <c r="RSI312" s="135"/>
      <c r="RSJ312" s="135"/>
      <c r="RSK312" s="135"/>
      <c r="RSL312" s="173"/>
      <c r="RSM312" s="173"/>
      <c r="RSN312" s="173"/>
      <c r="RSO312" s="173"/>
      <c r="RSP312" s="173"/>
      <c r="RSQ312" s="173"/>
      <c r="RSR312" s="173"/>
      <c r="RSS312" s="173"/>
      <c r="RST312" s="173"/>
      <c r="RSU312" s="173"/>
      <c r="RSV312" s="125"/>
      <c r="RSW312" s="125"/>
      <c r="RSX312" s="134"/>
      <c r="RSY312" s="135"/>
      <c r="RSZ312" s="135"/>
      <c r="RTA312" s="135"/>
      <c r="RTB312" s="135"/>
      <c r="RTC312" s="173"/>
      <c r="RTD312" s="173"/>
      <c r="RTE312" s="173"/>
      <c r="RTF312" s="173"/>
      <c r="RTG312" s="173"/>
      <c r="RTH312" s="173"/>
      <c r="RTI312" s="173"/>
      <c r="RTJ312" s="173"/>
      <c r="RTK312" s="173"/>
      <c r="RTL312" s="173"/>
      <c r="RTM312" s="125"/>
      <c r="RTN312" s="125"/>
      <c r="RTO312" s="134"/>
      <c r="RTP312" s="135"/>
      <c r="RTQ312" s="135"/>
      <c r="RTR312" s="135"/>
      <c r="RTS312" s="135"/>
      <c r="RTT312" s="173"/>
      <c r="RTU312" s="173"/>
      <c r="RTV312" s="173"/>
      <c r="RTW312" s="173"/>
      <c r="RTX312" s="173"/>
      <c r="RTY312" s="173"/>
      <c r="RTZ312" s="173"/>
      <c r="RUA312" s="173"/>
      <c r="RUB312" s="173"/>
      <c r="RUC312" s="173"/>
      <c r="RUD312" s="125"/>
      <c r="RUE312" s="125"/>
      <c r="RUF312" s="134"/>
      <c r="RUG312" s="135"/>
      <c r="RUH312" s="135"/>
      <c r="RUI312" s="135"/>
      <c r="RUJ312" s="135"/>
      <c r="RUK312" s="173"/>
      <c r="RUL312" s="173"/>
      <c r="RUM312" s="173"/>
      <c r="RUN312" s="173"/>
      <c r="RUO312" s="173"/>
      <c r="RUP312" s="173"/>
      <c r="RUQ312" s="173"/>
      <c r="RUR312" s="173"/>
      <c r="RUS312" s="173"/>
      <c r="RUT312" s="173"/>
      <c r="RUU312" s="125"/>
      <c r="RUV312" s="125"/>
      <c r="RUW312" s="134"/>
      <c r="RUX312" s="135"/>
      <c r="RUY312" s="135"/>
      <c r="RUZ312" s="135"/>
      <c r="RVA312" s="135"/>
      <c r="RVB312" s="173"/>
      <c r="RVC312" s="173"/>
      <c r="RVD312" s="173"/>
      <c r="RVE312" s="173"/>
      <c r="RVF312" s="173"/>
      <c r="RVG312" s="173"/>
      <c r="RVH312" s="173"/>
      <c r="RVI312" s="173"/>
      <c r="RVJ312" s="173"/>
      <c r="RVK312" s="173"/>
      <c r="RVL312" s="125"/>
      <c r="RVM312" s="125"/>
      <c r="RVN312" s="134"/>
      <c r="RVO312" s="135"/>
      <c r="RVP312" s="135"/>
      <c r="RVQ312" s="135"/>
      <c r="RVR312" s="135"/>
      <c r="RVS312" s="173"/>
      <c r="RVT312" s="173"/>
      <c r="RVU312" s="173"/>
      <c r="RVV312" s="173"/>
      <c r="RVW312" s="173"/>
      <c r="RVX312" s="173"/>
      <c r="RVY312" s="173"/>
      <c r="RVZ312" s="173"/>
      <c r="RWA312" s="173"/>
      <c r="RWB312" s="173"/>
      <c r="RWC312" s="125"/>
      <c r="RWD312" s="125"/>
      <c r="RWE312" s="134"/>
      <c r="RWF312" s="135"/>
      <c r="RWG312" s="135"/>
      <c r="RWH312" s="135"/>
      <c r="RWI312" s="135"/>
      <c r="RWJ312" s="173"/>
      <c r="RWK312" s="173"/>
      <c r="RWL312" s="173"/>
      <c r="RWM312" s="173"/>
      <c r="RWN312" s="173"/>
      <c r="RWO312" s="173"/>
      <c r="RWP312" s="173"/>
      <c r="RWQ312" s="173"/>
      <c r="RWR312" s="173"/>
      <c r="RWS312" s="173"/>
      <c r="RWT312" s="125"/>
      <c r="RWU312" s="125"/>
      <c r="RWV312" s="134"/>
      <c r="RWW312" s="135"/>
      <c r="RWX312" s="135"/>
      <c r="RWY312" s="135"/>
      <c r="RWZ312" s="135"/>
      <c r="RXA312" s="173"/>
      <c r="RXB312" s="173"/>
      <c r="RXC312" s="173"/>
      <c r="RXD312" s="173"/>
      <c r="RXE312" s="173"/>
      <c r="RXF312" s="173"/>
      <c r="RXG312" s="173"/>
      <c r="RXH312" s="173"/>
      <c r="RXI312" s="173"/>
      <c r="RXJ312" s="173"/>
      <c r="RXK312" s="125"/>
      <c r="RXL312" s="125"/>
      <c r="RXM312" s="134"/>
      <c r="RXN312" s="135"/>
      <c r="RXO312" s="135"/>
      <c r="RXP312" s="135"/>
      <c r="RXQ312" s="135"/>
      <c r="RXR312" s="173"/>
      <c r="RXS312" s="173"/>
      <c r="RXT312" s="173"/>
      <c r="RXU312" s="173"/>
      <c r="RXV312" s="173"/>
      <c r="RXW312" s="173"/>
      <c r="RXX312" s="173"/>
      <c r="RXY312" s="173"/>
      <c r="RXZ312" s="173"/>
      <c r="RYA312" s="173"/>
      <c r="RYB312" s="125"/>
      <c r="RYC312" s="125"/>
      <c r="RYD312" s="134"/>
      <c r="RYE312" s="135"/>
      <c r="RYF312" s="135"/>
      <c r="RYG312" s="135"/>
      <c r="RYH312" s="135"/>
      <c r="RYI312" s="173"/>
      <c r="RYJ312" s="173"/>
      <c r="RYK312" s="173"/>
      <c r="RYL312" s="173"/>
      <c r="RYM312" s="173"/>
      <c r="RYN312" s="173"/>
      <c r="RYO312" s="173"/>
      <c r="RYP312" s="173"/>
      <c r="RYQ312" s="173"/>
      <c r="RYR312" s="173"/>
      <c r="RYS312" s="125"/>
      <c r="RYT312" s="125"/>
      <c r="RYU312" s="134"/>
      <c r="RYV312" s="135"/>
      <c r="RYW312" s="135"/>
      <c r="RYX312" s="135"/>
      <c r="RYY312" s="135"/>
      <c r="RYZ312" s="173"/>
      <c r="RZA312" s="173"/>
      <c r="RZB312" s="173"/>
      <c r="RZC312" s="173"/>
      <c r="RZD312" s="173"/>
      <c r="RZE312" s="173"/>
      <c r="RZF312" s="173"/>
      <c r="RZG312" s="173"/>
      <c r="RZH312" s="173"/>
      <c r="RZI312" s="173"/>
      <c r="RZJ312" s="125"/>
      <c r="RZK312" s="125"/>
      <c r="RZL312" s="134"/>
      <c r="RZM312" s="135"/>
      <c r="RZN312" s="135"/>
      <c r="RZO312" s="135"/>
      <c r="RZP312" s="135"/>
      <c r="RZQ312" s="173"/>
      <c r="RZR312" s="173"/>
      <c r="RZS312" s="173"/>
      <c r="RZT312" s="173"/>
      <c r="RZU312" s="173"/>
      <c r="RZV312" s="173"/>
      <c r="RZW312" s="173"/>
      <c r="RZX312" s="173"/>
      <c r="RZY312" s="173"/>
      <c r="RZZ312" s="173"/>
      <c r="SAA312" s="125"/>
      <c r="SAB312" s="125"/>
      <c r="SAC312" s="134"/>
      <c r="SAD312" s="135"/>
      <c r="SAE312" s="135"/>
      <c r="SAF312" s="135"/>
      <c r="SAG312" s="135"/>
      <c r="SAH312" s="173"/>
      <c r="SAI312" s="173"/>
      <c r="SAJ312" s="173"/>
      <c r="SAK312" s="173"/>
      <c r="SAL312" s="173"/>
      <c r="SAM312" s="173"/>
      <c r="SAN312" s="173"/>
      <c r="SAO312" s="173"/>
      <c r="SAP312" s="173"/>
      <c r="SAQ312" s="173"/>
      <c r="SAR312" s="125"/>
      <c r="SAS312" s="125"/>
      <c r="SAT312" s="134"/>
      <c r="SAU312" s="135"/>
      <c r="SAV312" s="135"/>
      <c r="SAW312" s="135"/>
      <c r="SAX312" s="135"/>
      <c r="SAY312" s="173"/>
      <c r="SAZ312" s="173"/>
      <c r="SBA312" s="173"/>
      <c r="SBB312" s="173"/>
      <c r="SBC312" s="173"/>
      <c r="SBD312" s="173"/>
      <c r="SBE312" s="173"/>
      <c r="SBF312" s="173"/>
      <c r="SBG312" s="173"/>
      <c r="SBH312" s="173"/>
      <c r="SBI312" s="125"/>
      <c r="SBJ312" s="125"/>
      <c r="SBK312" s="134"/>
      <c r="SBL312" s="135"/>
      <c r="SBM312" s="135"/>
      <c r="SBN312" s="135"/>
      <c r="SBO312" s="135"/>
      <c r="SBP312" s="173"/>
      <c r="SBQ312" s="173"/>
      <c r="SBR312" s="173"/>
      <c r="SBS312" s="173"/>
      <c r="SBT312" s="173"/>
      <c r="SBU312" s="173"/>
      <c r="SBV312" s="173"/>
      <c r="SBW312" s="173"/>
      <c r="SBX312" s="173"/>
      <c r="SBY312" s="173"/>
      <c r="SBZ312" s="125"/>
      <c r="SCA312" s="125"/>
      <c r="SCB312" s="134"/>
      <c r="SCC312" s="135"/>
      <c r="SCD312" s="135"/>
      <c r="SCE312" s="135"/>
      <c r="SCF312" s="135"/>
      <c r="SCG312" s="173"/>
      <c r="SCH312" s="173"/>
      <c r="SCI312" s="173"/>
      <c r="SCJ312" s="173"/>
      <c r="SCK312" s="173"/>
      <c r="SCL312" s="173"/>
      <c r="SCM312" s="173"/>
      <c r="SCN312" s="173"/>
      <c r="SCO312" s="173"/>
      <c r="SCP312" s="173"/>
      <c r="SCQ312" s="125"/>
      <c r="SCR312" s="125"/>
      <c r="SCS312" s="134"/>
      <c r="SCT312" s="135"/>
      <c r="SCU312" s="135"/>
      <c r="SCV312" s="135"/>
      <c r="SCW312" s="135"/>
      <c r="SCX312" s="173"/>
      <c r="SCY312" s="173"/>
      <c r="SCZ312" s="173"/>
      <c r="SDA312" s="173"/>
      <c r="SDB312" s="173"/>
      <c r="SDC312" s="173"/>
      <c r="SDD312" s="173"/>
      <c r="SDE312" s="173"/>
      <c r="SDF312" s="173"/>
      <c r="SDG312" s="173"/>
      <c r="SDH312" s="125"/>
      <c r="SDI312" s="125"/>
      <c r="SDJ312" s="134"/>
      <c r="SDK312" s="135"/>
      <c r="SDL312" s="135"/>
      <c r="SDM312" s="135"/>
      <c r="SDN312" s="135"/>
      <c r="SDO312" s="173"/>
      <c r="SDP312" s="173"/>
      <c r="SDQ312" s="173"/>
      <c r="SDR312" s="173"/>
      <c r="SDS312" s="173"/>
      <c r="SDT312" s="173"/>
      <c r="SDU312" s="173"/>
      <c r="SDV312" s="173"/>
      <c r="SDW312" s="173"/>
      <c r="SDX312" s="173"/>
      <c r="SDY312" s="125"/>
      <c r="SDZ312" s="125"/>
      <c r="SEA312" s="134"/>
      <c r="SEB312" s="135"/>
      <c r="SEC312" s="135"/>
      <c r="SED312" s="135"/>
      <c r="SEE312" s="135"/>
      <c r="SEF312" s="173"/>
      <c r="SEG312" s="173"/>
      <c r="SEH312" s="173"/>
      <c r="SEI312" s="173"/>
      <c r="SEJ312" s="173"/>
      <c r="SEK312" s="173"/>
      <c r="SEL312" s="173"/>
      <c r="SEM312" s="173"/>
      <c r="SEN312" s="173"/>
      <c r="SEO312" s="173"/>
      <c r="SEP312" s="125"/>
      <c r="SEQ312" s="125"/>
      <c r="SER312" s="134"/>
      <c r="SES312" s="135"/>
      <c r="SET312" s="135"/>
      <c r="SEU312" s="135"/>
      <c r="SEV312" s="135"/>
      <c r="SEW312" s="173"/>
      <c r="SEX312" s="173"/>
      <c r="SEY312" s="173"/>
      <c r="SEZ312" s="173"/>
      <c r="SFA312" s="173"/>
      <c r="SFB312" s="173"/>
      <c r="SFC312" s="173"/>
      <c r="SFD312" s="173"/>
      <c r="SFE312" s="173"/>
      <c r="SFF312" s="173"/>
      <c r="SFG312" s="125"/>
      <c r="SFH312" s="125"/>
      <c r="SFI312" s="134"/>
      <c r="SFJ312" s="135"/>
      <c r="SFK312" s="135"/>
      <c r="SFL312" s="135"/>
      <c r="SFM312" s="135"/>
      <c r="SFN312" s="173"/>
      <c r="SFO312" s="173"/>
      <c r="SFP312" s="173"/>
      <c r="SFQ312" s="173"/>
      <c r="SFR312" s="173"/>
      <c r="SFS312" s="173"/>
      <c r="SFT312" s="173"/>
      <c r="SFU312" s="173"/>
      <c r="SFV312" s="173"/>
      <c r="SFW312" s="173"/>
      <c r="SFX312" s="125"/>
      <c r="SFY312" s="125"/>
      <c r="SFZ312" s="134"/>
      <c r="SGA312" s="135"/>
      <c r="SGB312" s="135"/>
      <c r="SGC312" s="135"/>
      <c r="SGD312" s="135"/>
      <c r="SGE312" s="173"/>
      <c r="SGF312" s="173"/>
      <c r="SGG312" s="173"/>
      <c r="SGH312" s="173"/>
      <c r="SGI312" s="173"/>
      <c r="SGJ312" s="173"/>
      <c r="SGK312" s="173"/>
      <c r="SGL312" s="173"/>
      <c r="SGM312" s="173"/>
      <c r="SGN312" s="173"/>
      <c r="SGO312" s="125"/>
      <c r="SGP312" s="125"/>
      <c r="SGQ312" s="134"/>
      <c r="SGR312" s="135"/>
      <c r="SGS312" s="135"/>
      <c r="SGT312" s="135"/>
      <c r="SGU312" s="135"/>
      <c r="SGV312" s="173"/>
      <c r="SGW312" s="173"/>
      <c r="SGX312" s="173"/>
      <c r="SGY312" s="173"/>
      <c r="SGZ312" s="173"/>
      <c r="SHA312" s="173"/>
      <c r="SHB312" s="173"/>
      <c r="SHC312" s="173"/>
      <c r="SHD312" s="173"/>
      <c r="SHE312" s="173"/>
      <c r="SHF312" s="125"/>
      <c r="SHG312" s="125"/>
      <c r="SHH312" s="134"/>
      <c r="SHI312" s="135"/>
      <c r="SHJ312" s="135"/>
      <c r="SHK312" s="135"/>
      <c r="SHL312" s="135"/>
      <c r="SHM312" s="173"/>
      <c r="SHN312" s="173"/>
      <c r="SHO312" s="173"/>
      <c r="SHP312" s="173"/>
      <c r="SHQ312" s="173"/>
      <c r="SHR312" s="173"/>
      <c r="SHS312" s="173"/>
      <c r="SHT312" s="173"/>
      <c r="SHU312" s="173"/>
      <c r="SHV312" s="173"/>
      <c r="SHW312" s="125"/>
      <c r="SHX312" s="125"/>
      <c r="SHY312" s="134"/>
      <c r="SHZ312" s="135"/>
      <c r="SIA312" s="135"/>
      <c r="SIB312" s="135"/>
      <c r="SIC312" s="135"/>
      <c r="SID312" s="173"/>
      <c r="SIE312" s="173"/>
      <c r="SIF312" s="173"/>
      <c r="SIG312" s="173"/>
      <c r="SIH312" s="173"/>
      <c r="SII312" s="173"/>
      <c r="SIJ312" s="173"/>
      <c r="SIK312" s="173"/>
      <c r="SIL312" s="173"/>
      <c r="SIM312" s="173"/>
      <c r="SIN312" s="125"/>
      <c r="SIO312" s="125"/>
      <c r="SIP312" s="134"/>
      <c r="SIQ312" s="135"/>
      <c r="SIR312" s="135"/>
      <c r="SIS312" s="135"/>
      <c r="SIT312" s="135"/>
      <c r="SIU312" s="173"/>
      <c r="SIV312" s="173"/>
      <c r="SIW312" s="173"/>
      <c r="SIX312" s="173"/>
      <c r="SIY312" s="173"/>
      <c r="SIZ312" s="173"/>
      <c r="SJA312" s="173"/>
      <c r="SJB312" s="173"/>
      <c r="SJC312" s="173"/>
      <c r="SJD312" s="173"/>
      <c r="SJE312" s="125"/>
      <c r="SJF312" s="125"/>
      <c r="SJG312" s="134"/>
      <c r="SJH312" s="135"/>
      <c r="SJI312" s="135"/>
      <c r="SJJ312" s="135"/>
      <c r="SJK312" s="135"/>
      <c r="SJL312" s="173"/>
      <c r="SJM312" s="173"/>
      <c r="SJN312" s="173"/>
      <c r="SJO312" s="173"/>
      <c r="SJP312" s="173"/>
      <c r="SJQ312" s="173"/>
      <c r="SJR312" s="173"/>
      <c r="SJS312" s="173"/>
      <c r="SJT312" s="173"/>
      <c r="SJU312" s="173"/>
      <c r="SJV312" s="125"/>
      <c r="SJW312" s="125"/>
      <c r="SJX312" s="134"/>
      <c r="SJY312" s="135"/>
      <c r="SJZ312" s="135"/>
      <c r="SKA312" s="135"/>
      <c r="SKB312" s="135"/>
      <c r="SKC312" s="173"/>
      <c r="SKD312" s="173"/>
      <c r="SKE312" s="173"/>
      <c r="SKF312" s="173"/>
      <c r="SKG312" s="173"/>
      <c r="SKH312" s="173"/>
      <c r="SKI312" s="173"/>
      <c r="SKJ312" s="173"/>
      <c r="SKK312" s="173"/>
      <c r="SKL312" s="173"/>
      <c r="SKM312" s="125"/>
      <c r="SKN312" s="125"/>
      <c r="SKO312" s="134"/>
      <c r="SKP312" s="135"/>
      <c r="SKQ312" s="135"/>
      <c r="SKR312" s="135"/>
      <c r="SKS312" s="135"/>
      <c r="SKT312" s="173"/>
      <c r="SKU312" s="173"/>
      <c r="SKV312" s="173"/>
      <c r="SKW312" s="173"/>
      <c r="SKX312" s="173"/>
      <c r="SKY312" s="173"/>
      <c r="SKZ312" s="173"/>
      <c r="SLA312" s="173"/>
      <c r="SLB312" s="173"/>
      <c r="SLC312" s="173"/>
      <c r="SLD312" s="125"/>
      <c r="SLE312" s="125"/>
      <c r="SLF312" s="134"/>
      <c r="SLG312" s="135"/>
      <c r="SLH312" s="135"/>
      <c r="SLI312" s="135"/>
      <c r="SLJ312" s="135"/>
      <c r="SLK312" s="173"/>
      <c r="SLL312" s="173"/>
      <c r="SLM312" s="173"/>
      <c r="SLN312" s="173"/>
      <c r="SLO312" s="173"/>
      <c r="SLP312" s="173"/>
      <c r="SLQ312" s="173"/>
      <c r="SLR312" s="173"/>
      <c r="SLS312" s="173"/>
      <c r="SLT312" s="173"/>
      <c r="SLU312" s="125"/>
      <c r="SLV312" s="125"/>
      <c r="SLW312" s="134"/>
      <c r="SLX312" s="135"/>
      <c r="SLY312" s="135"/>
      <c r="SLZ312" s="135"/>
      <c r="SMA312" s="135"/>
      <c r="SMB312" s="173"/>
      <c r="SMC312" s="173"/>
      <c r="SMD312" s="173"/>
      <c r="SME312" s="173"/>
      <c r="SMF312" s="173"/>
      <c r="SMG312" s="173"/>
      <c r="SMH312" s="173"/>
      <c r="SMI312" s="173"/>
      <c r="SMJ312" s="173"/>
      <c r="SMK312" s="173"/>
      <c r="SML312" s="125"/>
      <c r="SMM312" s="125"/>
      <c r="SMN312" s="134"/>
      <c r="SMO312" s="135"/>
      <c r="SMP312" s="135"/>
      <c r="SMQ312" s="135"/>
      <c r="SMR312" s="135"/>
      <c r="SMS312" s="173"/>
      <c r="SMT312" s="173"/>
      <c r="SMU312" s="173"/>
      <c r="SMV312" s="173"/>
      <c r="SMW312" s="173"/>
      <c r="SMX312" s="173"/>
      <c r="SMY312" s="173"/>
      <c r="SMZ312" s="173"/>
      <c r="SNA312" s="173"/>
      <c r="SNB312" s="173"/>
      <c r="SNC312" s="125"/>
      <c r="SND312" s="125"/>
      <c r="SNE312" s="134"/>
      <c r="SNF312" s="135"/>
      <c r="SNG312" s="135"/>
      <c r="SNH312" s="135"/>
      <c r="SNI312" s="135"/>
      <c r="SNJ312" s="173"/>
      <c r="SNK312" s="173"/>
      <c r="SNL312" s="173"/>
      <c r="SNM312" s="173"/>
      <c r="SNN312" s="173"/>
      <c r="SNO312" s="173"/>
      <c r="SNP312" s="173"/>
      <c r="SNQ312" s="173"/>
      <c r="SNR312" s="173"/>
      <c r="SNS312" s="173"/>
      <c r="SNT312" s="125"/>
      <c r="SNU312" s="125"/>
      <c r="SNV312" s="134"/>
      <c r="SNW312" s="135"/>
      <c r="SNX312" s="135"/>
      <c r="SNY312" s="135"/>
      <c r="SNZ312" s="135"/>
      <c r="SOA312" s="173"/>
      <c r="SOB312" s="173"/>
      <c r="SOC312" s="173"/>
      <c r="SOD312" s="173"/>
      <c r="SOE312" s="173"/>
      <c r="SOF312" s="173"/>
      <c r="SOG312" s="173"/>
      <c r="SOH312" s="173"/>
      <c r="SOI312" s="173"/>
      <c r="SOJ312" s="173"/>
      <c r="SOK312" s="125"/>
      <c r="SOL312" s="125"/>
      <c r="SOM312" s="134"/>
      <c r="SON312" s="135"/>
      <c r="SOO312" s="135"/>
      <c r="SOP312" s="135"/>
      <c r="SOQ312" s="135"/>
      <c r="SOR312" s="173"/>
      <c r="SOS312" s="173"/>
      <c r="SOT312" s="173"/>
      <c r="SOU312" s="173"/>
      <c r="SOV312" s="173"/>
      <c r="SOW312" s="173"/>
      <c r="SOX312" s="173"/>
      <c r="SOY312" s="173"/>
      <c r="SOZ312" s="173"/>
      <c r="SPA312" s="173"/>
      <c r="SPB312" s="125"/>
      <c r="SPC312" s="125"/>
      <c r="SPD312" s="134"/>
      <c r="SPE312" s="135"/>
      <c r="SPF312" s="135"/>
      <c r="SPG312" s="135"/>
      <c r="SPH312" s="135"/>
      <c r="SPI312" s="173"/>
      <c r="SPJ312" s="173"/>
      <c r="SPK312" s="173"/>
      <c r="SPL312" s="173"/>
      <c r="SPM312" s="173"/>
      <c r="SPN312" s="173"/>
      <c r="SPO312" s="173"/>
      <c r="SPP312" s="173"/>
      <c r="SPQ312" s="173"/>
      <c r="SPR312" s="173"/>
      <c r="SPS312" s="125"/>
      <c r="SPT312" s="125"/>
      <c r="SPU312" s="134"/>
      <c r="SPV312" s="135"/>
      <c r="SPW312" s="135"/>
      <c r="SPX312" s="135"/>
      <c r="SPY312" s="135"/>
      <c r="SPZ312" s="173"/>
      <c r="SQA312" s="173"/>
      <c r="SQB312" s="173"/>
      <c r="SQC312" s="173"/>
      <c r="SQD312" s="173"/>
      <c r="SQE312" s="173"/>
      <c r="SQF312" s="173"/>
      <c r="SQG312" s="173"/>
      <c r="SQH312" s="173"/>
      <c r="SQI312" s="173"/>
      <c r="SQJ312" s="125"/>
      <c r="SQK312" s="125"/>
      <c r="SQL312" s="134"/>
      <c r="SQM312" s="135"/>
      <c r="SQN312" s="135"/>
      <c r="SQO312" s="135"/>
      <c r="SQP312" s="135"/>
      <c r="SQQ312" s="173"/>
      <c r="SQR312" s="173"/>
      <c r="SQS312" s="173"/>
      <c r="SQT312" s="173"/>
      <c r="SQU312" s="173"/>
      <c r="SQV312" s="173"/>
      <c r="SQW312" s="173"/>
      <c r="SQX312" s="173"/>
      <c r="SQY312" s="173"/>
      <c r="SQZ312" s="173"/>
      <c r="SRA312" s="125"/>
      <c r="SRB312" s="125"/>
      <c r="SRC312" s="134"/>
      <c r="SRD312" s="135"/>
      <c r="SRE312" s="135"/>
      <c r="SRF312" s="135"/>
      <c r="SRG312" s="135"/>
      <c r="SRH312" s="173"/>
      <c r="SRI312" s="173"/>
      <c r="SRJ312" s="173"/>
      <c r="SRK312" s="173"/>
      <c r="SRL312" s="173"/>
      <c r="SRM312" s="173"/>
      <c r="SRN312" s="173"/>
      <c r="SRO312" s="173"/>
      <c r="SRP312" s="173"/>
      <c r="SRQ312" s="173"/>
      <c r="SRR312" s="125"/>
      <c r="SRS312" s="125"/>
      <c r="SRT312" s="134"/>
      <c r="SRU312" s="135"/>
      <c r="SRV312" s="135"/>
      <c r="SRW312" s="135"/>
      <c r="SRX312" s="135"/>
      <c r="SRY312" s="173"/>
      <c r="SRZ312" s="173"/>
      <c r="SSA312" s="173"/>
      <c r="SSB312" s="173"/>
      <c r="SSC312" s="173"/>
      <c r="SSD312" s="173"/>
      <c r="SSE312" s="173"/>
      <c r="SSF312" s="173"/>
      <c r="SSG312" s="173"/>
      <c r="SSH312" s="173"/>
      <c r="SSI312" s="125"/>
      <c r="SSJ312" s="125"/>
      <c r="SSK312" s="134"/>
      <c r="SSL312" s="135"/>
      <c r="SSM312" s="135"/>
      <c r="SSN312" s="135"/>
      <c r="SSO312" s="135"/>
      <c r="SSP312" s="173"/>
      <c r="SSQ312" s="173"/>
      <c r="SSR312" s="173"/>
      <c r="SSS312" s="173"/>
      <c r="SST312" s="173"/>
      <c r="SSU312" s="173"/>
      <c r="SSV312" s="173"/>
      <c r="SSW312" s="173"/>
      <c r="SSX312" s="173"/>
      <c r="SSY312" s="173"/>
      <c r="SSZ312" s="125"/>
      <c r="STA312" s="125"/>
      <c r="STB312" s="134"/>
      <c r="STC312" s="135"/>
      <c r="STD312" s="135"/>
      <c r="STE312" s="135"/>
      <c r="STF312" s="135"/>
      <c r="STG312" s="173"/>
      <c r="STH312" s="173"/>
      <c r="STI312" s="173"/>
      <c r="STJ312" s="173"/>
      <c r="STK312" s="173"/>
      <c r="STL312" s="173"/>
      <c r="STM312" s="173"/>
      <c r="STN312" s="173"/>
      <c r="STO312" s="173"/>
      <c r="STP312" s="173"/>
      <c r="STQ312" s="125"/>
      <c r="STR312" s="125"/>
      <c r="STS312" s="134"/>
      <c r="STT312" s="135"/>
      <c r="STU312" s="135"/>
      <c r="STV312" s="135"/>
      <c r="STW312" s="135"/>
      <c r="STX312" s="173"/>
      <c r="STY312" s="173"/>
      <c r="STZ312" s="173"/>
      <c r="SUA312" s="173"/>
      <c r="SUB312" s="173"/>
      <c r="SUC312" s="173"/>
      <c r="SUD312" s="173"/>
      <c r="SUE312" s="173"/>
      <c r="SUF312" s="173"/>
      <c r="SUG312" s="173"/>
      <c r="SUH312" s="125"/>
      <c r="SUI312" s="125"/>
      <c r="SUJ312" s="134"/>
      <c r="SUK312" s="135"/>
      <c r="SUL312" s="135"/>
      <c r="SUM312" s="135"/>
      <c r="SUN312" s="135"/>
      <c r="SUO312" s="173"/>
      <c r="SUP312" s="173"/>
      <c r="SUQ312" s="173"/>
      <c r="SUR312" s="173"/>
      <c r="SUS312" s="173"/>
      <c r="SUT312" s="173"/>
      <c r="SUU312" s="173"/>
      <c r="SUV312" s="173"/>
      <c r="SUW312" s="173"/>
      <c r="SUX312" s="173"/>
      <c r="SUY312" s="125"/>
      <c r="SUZ312" s="125"/>
      <c r="SVA312" s="134"/>
      <c r="SVB312" s="135"/>
      <c r="SVC312" s="135"/>
      <c r="SVD312" s="135"/>
      <c r="SVE312" s="135"/>
      <c r="SVF312" s="173"/>
      <c r="SVG312" s="173"/>
      <c r="SVH312" s="173"/>
      <c r="SVI312" s="173"/>
      <c r="SVJ312" s="173"/>
      <c r="SVK312" s="173"/>
      <c r="SVL312" s="173"/>
      <c r="SVM312" s="173"/>
      <c r="SVN312" s="173"/>
      <c r="SVO312" s="173"/>
      <c r="SVP312" s="125"/>
      <c r="SVQ312" s="125"/>
      <c r="SVR312" s="134"/>
      <c r="SVS312" s="135"/>
      <c r="SVT312" s="135"/>
      <c r="SVU312" s="135"/>
      <c r="SVV312" s="135"/>
      <c r="SVW312" s="173"/>
      <c r="SVX312" s="173"/>
      <c r="SVY312" s="173"/>
      <c r="SVZ312" s="173"/>
      <c r="SWA312" s="173"/>
      <c r="SWB312" s="173"/>
      <c r="SWC312" s="173"/>
      <c r="SWD312" s="173"/>
      <c r="SWE312" s="173"/>
      <c r="SWF312" s="173"/>
      <c r="SWG312" s="125"/>
      <c r="SWH312" s="125"/>
      <c r="SWI312" s="134"/>
      <c r="SWJ312" s="135"/>
      <c r="SWK312" s="135"/>
      <c r="SWL312" s="135"/>
      <c r="SWM312" s="135"/>
      <c r="SWN312" s="173"/>
      <c r="SWO312" s="173"/>
      <c r="SWP312" s="173"/>
      <c r="SWQ312" s="173"/>
      <c r="SWR312" s="173"/>
      <c r="SWS312" s="173"/>
      <c r="SWT312" s="173"/>
      <c r="SWU312" s="173"/>
      <c r="SWV312" s="173"/>
      <c r="SWW312" s="173"/>
      <c r="SWX312" s="125"/>
      <c r="SWY312" s="125"/>
      <c r="SWZ312" s="134"/>
      <c r="SXA312" s="135"/>
      <c r="SXB312" s="135"/>
      <c r="SXC312" s="135"/>
      <c r="SXD312" s="135"/>
      <c r="SXE312" s="173"/>
      <c r="SXF312" s="173"/>
      <c r="SXG312" s="173"/>
      <c r="SXH312" s="173"/>
      <c r="SXI312" s="173"/>
      <c r="SXJ312" s="173"/>
      <c r="SXK312" s="173"/>
      <c r="SXL312" s="173"/>
      <c r="SXM312" s="173"/>
      <c r="SXN312" s="173"/>
      <c r="SXO312" s="125"/>
      <c r="SXP312" s="125"/>
      <c r="SXQ312" s="134"/>
      <c r="SXR312" s="135"/>
      <c r="SXS312" s="135"/>
      <c r="SXT312" s="135"/>
      <c r="SXU312" s="135"/>
      <c r="SXV312" s="173"/>
      <c r="SXW312" s="173"/>
      <c r="SXX312" s="173"/>
      <c r="SXY312" s="173"/>
      <c r="SXZ312" s="173"/>
      <c r="SYA312" s="173"/>
      <c r="SYB312" s="173"/>
      <c r="SYC312" s="173"/>
      <c r="SYD312" s="173"/>
      <c r="SYE312" s="173"/>
      <c r="SYF312" s="125"/>
      <c r="SYG312" s="125"/>
      <c r="SYH312" s="134"/>
      <c r="SYI312" s="135"/>
      <c r="SYJ312" s="135"/>
      <c r="SYK312" s="135"/>
      <c r="SYL312" s="135"/>
      <c r="SYM312" s="173"/>
      <c r="SYN312" s="173"/>
      <c r="SYO312" s="173"/>
      <c r="SYP312" s="173"/>
      <c r="SYQ312" s="173"/>
      <c r="SYR312" s="173"/>
      <c r="SYS312" s="173"/>
      <c r="SYT312" s="173"/>
      <c r="SYU312" s="173"/>
      <c r="SYV312" s="173"/>
      <c r="SYW312" s="125"/>
      <c r="SYX312" s="125"/>
      <c r="SYY312" s="134"/>
      <c r="SYZ312" s="135"/>
      <c r="SZA312" s="135"/>
      <c r="SZB312" s="135"/>
      <c r="SZC312" s="135"/>
      <c r="SZD312" s="173"/>
      <c r="SZE312" s="173"/>
      <c r="SZF312" s="173"/>
      <c r="SZG312" s="173"/>
      <c r="SZH312" s="173"/>
      <c r="SZI312" s="173"/>
      <c r="SZJ312" s="173"/>
      <c r="SZK312" s="173"/>
      <c r="SZL312" s="173"/>
      <c r="SZM312" s="173"/>
      <c r="SZN312" s="125"/>
      <c r="SZO312" s="125"/>
      <c r="SZP312" s="134"/>
      <c r="SZQ312" s="135"/>
      <c r="SZR312" s="135"/>
      <c r="SZS312" s="135"/>
      <c r="SZT312" s="135"/>
      <c r="SZU312" s="173"/>
      <c r="SZV312" s="173"/>
      <c r="SZW312" s="173"/>
      <c r="SZX312" s="173"/>
      <c r="SZY312" s="173"/>
      <c r="SZZ312" s="173"/>
      <c r="TAA312" s="173"/>
      <c r="TAB312" s="173"/>
      <c r="TAC312" s="173"/>
      <c r="TAD312" s="173"/>
      <c r="TAE312" s="125"/>
      <c r="TAF312" s="125"/>
      <c r="TAG312" s="134"/>
      <c r="TAH312" s="135"/>
      <c r="TAI312" s="135"/>
      <c r="TAJ312" s="135"/>
      <c r="TAK312" s="135"/>
      <c r="TAL312" s="173"/>
      <c r="TAM312" s="173"/>
      <c r="TAN312" s="173"/>
      <c r="TAO312" s="173"/>
      <c r="TAP312" s="173"/>
      <c r="TAQ312" s="173"/>
      <c r="TAR312" s="173"/>
      <c r="TAS312" s="173"/>
      <c r="TAT312" s="173"/>
      <c r="TAU312" s="173"/>
      <c r="TAV312" s="125"/>
      <c r="TAW312" s="125"/>
      <c r="TAX312" s="134"/>
      <c r="TAY312" s="135"/>
      <c r="TAZ312" s="135"/>
      <c r="TBA312" s="135"/>
      <c r="TBB312" s="135"/>
      <c r="TBC312" s="173"/>
      <c r="TBD312" s="173"/>
      <c r="TBE312" s="173"/>
      <c r="TBF312" s="173"/>
      <c r="TBG312" s="173"/>
      <c r="TBH312" s="173"/>
      <c r="TBI312" s="173"/>
      <c r="TBJ312" s="173"/>
      <c r="TBK312" s="173"/>
      <c r="TBL312" s="173"/>
      <c r="TBM312" s="125"/>
      <c r="TBN312" s="125"/>
      <c r="TBO312" s="134"/>
      <c r="TBP312" s="135"/>
      <c r="TBQ312" s="135"/>
      <c r="TBR312" s="135"/>
      <c r="TBS312" s="135"/>
      <c r="TBT312" s="173"/>
      <c r="TBU312" s="173"/>
      <c r="TBV312" s="173"/>
      <c r="TBW312" s="173"/>
      <c r="TBX312" s="173"/>
      <c r="TBY312" s="173"/>
      <c r="TBZ312" s="173"/>
      <c r="TCA312" s="173"/>
      <c r="TCB312" s="173"/>
      <c r="TCC312" s="173"/>
      <c r="TCD312" s="125"/>
      <c r="TCE312" s="125"/>
      <c r="TCF312" s="134"/>
      <c r="TCG312" s="135"/>
      <c r="TCH312" s="135"/>
      <c r="TCI312" s="135"/>
      <c r="TCJ312" s="135"/>
      <c r="TCK312" s="173"/>
      <c r="TCL312" s="173"/>
      <c r="TCM312" s="173"/>
      <c r="TCN312" s="173"/>
      <c r="TCO312" s="173"/>
      <c r="TCP312" s="173"/>
      <c r="TCQ312" s="173"/>
      <c r="TCR312" s="173"/>
      <c r="TCS312" s="173"/>
      <c r="TCT312" s="173"/>
      <c r="TCU312" s="125"/>
      <c r="TCV312" s="125"/>
      <c r="TCW312" s="134"/>
      <c r="TCX312" s="135"/>
      <c r="TCY312" s="135"/>
      <c r="TCZ312" s="135"/>
      <c r="TDA312" s="135"/>
      <c r="TDB312" s="173"/>
      <c r="TDC312" s="173"/>
      <c r="TDD312" s="173"/>
      <c r="TDE312" s="173"/>
      <c r="TDF312" s="173"/>
      <c r="TDG312" s="173"/>
      <c r="TDH312" s="173"/>
      <c r="TDI312" s="173"/>
      <c r="TDJ312" s="173"/>
      <c r="TDK312" s="173"/>
      <c r="TDL312" s="125"/>
      <c r="TDM312" s="125"/>
      <c r="TDN312" s="134"/>
      <c r="TDO312" s="135"/>
      <c r="TDP312" s="135"/>
      <c r="TDQ312" s="135"/>
      <c r="TDR312" s="135"/>
      <c r="TDS312" s="173"/>
      <c r="TDT312" s="173"/>
      <c r="TDU312" s="173"/>
      <c r="TDV312" s="173"/>
      <c r="TDW312" s="173"/>
      <c r="TDX312" s="173"/>
      <c r="TDY312" s="173"/>
      <c r="TDZ312" s="173"/>
      <c r="TEA312" s="173"/>
      <c r="TEB312" s="173"/>
      <c r="TEC312" s="125"/>
      <c r="TED312" s="125"/>
      <c r="TEE312" s="134"/>
      <c r="TEF312" s="135"/>
      <c r="TEG312" s="135"/>
      <c r="TEH312" s="135"/>
      <c r="TEI312" s="135"/>
      <c r="TEJ312" s="173"/>
      <c r="TEK312" s="173"/>
      <c r="TEL312" s="173"/>
      <c r="TEM312" s="173"/>
      <c r="TEN312" s="173"/>
      <c r="TEO312" s="173"/>
      <c r="TEP312" s="173"/>
      <c r="TEQ312" s="173"/>
      <c r="TER312" s="173"/>
      <c r="TES312" s="173"/>
      <c r="TET312" s="125"/>
      <c r="TEU312" s="125"/>
      <c r="TEV312" s="134"/>
      <c r="TEW312" s="135"/>
      <c r="TEX312" s="135"/>
      <c r="TEY312" s="135"/>
      <c r="TEZ312" s="135"/>
      <c r="TFA312" s="173"/>
      <c r="TFB312" s="173"/>
      <c r="TFC312" s="173"/>
      <c r="TFD312" s="173"/>
      <c r="TFE312" s="173"/>
      <c r="TFF312" s="173"/>
      <c r="TFG312" s="173"/>
      <c r="TFH312" s="173"/>
      <c r="TFI312" s="173"/>
      <c r="TFJ312" s="173"/>
      <c r="TFK312" s="125"/>
      <c r="TFL312" s="125"/>
      <c r="TFM312" s="134"/>
      <c r="TFN312" s="135"/>
      <c r="TFO312" s="135"/>
      <c r="TFP312" s="135"/>
      <c r="TFQ312" s="135"/>
      <c r="TFR312" s="173"/>
      <c r="TFS312" s="173"/>
      <c r="TFT312" s="173"/>
      <c r="TFU312" s="173"/>
      <c r="TFV312" s="173"/>
      <c r="TFW312" s="173"/>
      <c r="TFX312" s="173"/>
      <c r="TFY312" s="173"/>
      <c r="TFZ312" s="173"/>
      <c r="TGA312" s="173"/>
      <c r="TGB312" s="125"/>
      <c r="TGC312" s="125"/>
      <c r="TGD312" s="134"/>
      <c r="TGE312" s="135"/>
      <c r="TGF312" s="135"/>
      <c r="TGG312" s="135"/>
      <c r="TGH312" s="135"/>
      <c r="TGI312" s="173"/>
      <c r="TGJ312" s="173"/>
      <c r="TGK312" s="173"/>
      <c r="TGL312" s="173"/>
      <c r="TGM312" s="173"/>
      <c r="TGN312" s="173"/>
      <c r="TGO312" s="173"/>
      <c r="TGP312" s="173"/>
      <c r="TGQ312" s="173"/>
      <c r="TGR312" s="173"/>
      <c r="TGS312" s="125"/>
      <c r="TGT312" s="125"/>
      <c r="TGU312" s="134"/>
      <c r="TGV312" s="135"/>
      <c r="TGW312" s="135"/>
      <c r="TGX312" s="135"/>
      <c r="TGY312" s="135"/>
      <c r="TGZ312" s="173"/>
      <c r="THA312" s="173"/>
      <c r="THB312" s="173"/>
      <c r="THC312" s="173"/>
      <c r="THD312" s="173"/>
      <c r="THE312" s="173"/>
      <c r="THF312" s="173"/>
      <c r="THG312" s="173"/>
      <c r="THH312" s="173"/>
      <c r="THI312" s="173"/>
      <c r="THJ312" s="125"/>
      <c r="THK312" s="125"/>
      <c r="THL312" s="134"/>
      <c r="THM312" s="135"/>
      <c r="THN312" s="135"/>
      <c r="THO312" s="135"/>
      <c r="THP312" s="135"/>
      <c r="THQ312" s="173"/>
      <c r="THR312" s="173"/>
      <c r="THS312" s="173"/>
      <c r="THT312" s="173"/>
      <c r="THU312" s="173"/>
      <c r="THV312" s="173"/>
      <c r="THW312" s="173"/>
      <c r="THX312" s="173"/>
      <c r="THY312" s="173"/>
      <c r="THZ312" s="173"/>
      <c r="TIA312" s="125"/>
      <c r="TIB312" s="125"/>
      <c r="TIC312" s="134"/>
      <c r="TID312" s="135"/>
      <c r="TIE312" s="135"/>
      <c r="TIF312" s="135"/>
      <c r="TIG312" s="135"/>
      <c r="TIH312" s="173"/>
      <c r="TII312" s="173"/>
      <c r="TIJ312" s="173"/>
      <c r="TIK312" s="173"/>
      <c r="TIL312" s="173"/>
      <c r="TIM312" s="173"/>
      <c r="TIN312" s="173"/>
      <c r="TIO312" s="173"/>
      <c r="TIP312" s="173"/>
      <c r="TIQ312" s="173"/>
      <c r="TIR312" s="125"/>
      <c r="TIS312" s="125"/>
      <c r="TIT312" s="134"/>
      <c r="TIU312" s="135"/>
      <c r="TIV312" s="135"/>
      <c r="TIW312" s="135"/>
      <c r="TIX312" s="135"/>
      <c r="TIY312" s="173"/>
      <c r="TIZ312" s="173"/>
      <c r="TJA312" s="173"/>
      <c r="TJB312" s="173"/>
      <c r="TJC312" s="173"/>
      <c r="TJD312" s="173"/>
      <c r="TJE312" s="173"/>
      <c r="TJF312" s="173"/>
      <c r="TJG312" s="173"/>
      <c r="TJH312" s="173"/>
      <c r="TJI312" s="125"/>
      <c r="TJJ312" s="125"/>
      <c r="TJK312" s="134"/>
      <c r="TJL312" s="135"/>
      <c r="TJM312" s="135"/>
      <c r="TJN312" s="135"/>
      <c r="TJO312" s="135"/>
      <c r="TJP312" s="173"/>
      <c r="TJQ312" s="173"/>
      <c r="TJR312" s="173"/>
      <c r="TJS312" s="173"/>
      <c r="TJT312" s="173"/>
      <c r="TJU312" s="173"/>
      <c r="TJV312" s="173"/>
      <c r="TJW312" s="173"/>
      <c r="TJX312" s="173"/>
      <c r="TJY312" s="173"/>
      <c r="TJZ312" s="125"/>
      <c r="TKA312" s="125"/>
      <c r="TKB312" s="134"/>
      <c r="TKC312" s="135"/>
      <c r="TKD312" s="135"/>
      <c r="TKE312" s="135"/>
      <c r="TKF312" s="135"/>
      <c r="TKG312" s="173"/>
      <c r="TKH312" s="173"/>
      <c r="TKI312" s="173"/>
      <c r="TKJ312" s="173"/>
      <c r="TKK312" s="173"/>
      <c r="TKL312" s="173"/>
      <c r="TKM312" s="173"/>
      <c r="TKN312" s="173"/>
      <c r="TKO312" s="173"/>
      <c r="TKP312" s="173"/>
      <c r="TKQ312" s="125"/>
      <c r="TKR312" s="125"/>
      <c r="TKS312" s="134"/>
      <c r="TKT312" s="135"/>
      <c r="TKU312" s="135"/>
      <c r="TKV312" s="135"/>
      <c r="TKW312" s="135"/>
      <c r="TKX312" s="173"/>
      <c r="TKY312" s="173"/>
      <c r="TKZ312" s="173"/>
      <c r="TLA312" s="173"/>
      <c r="TLB312" s="173"/>
      <c r="TLC312" s="173"/>
      <c r="TLD312" s="173"/>
      <c r="TLE312" s="173"/>
      <c r="TLF312" s="173"/>
      <c r="TLG312" s="173"/>
      <c r="TLH312" s="125"/>
      <c r="TLI312" s="125"/>
      <c r="TLJ312" s="134"/>
      <c r="TLK312" s="135"/>
      <c r="TLL312" s="135"/>
      <c r="TLM312" s="135"/>
      <c r="TLN312" s="135"/>
      <c r="TLO312" s="173"/>
      <c r="TLP312" s="173"/>
      <c r="TLQ312" s="173"/>
      <c r="TLR312" s="173"/>
      <c r="TLS312" s="173"/>
      <c r="TLT312" s="173"/>
      <c r="TLU312" s="173"/>
      <c r="TLV312" s="173"/>
      <c r="TLW312" s="173"/>
      <c r="TLX312" s="173"/>
      <c r="TLY312" s="125"/>
      <c r="TLZ312" s="125"/>
      <c r="TMA312" s="134"/>
      <c r="TMB312" s="135"/>
      <c r="TMC312" s="135"/>
      <c r="TMD312" s="135"/>
      <c r="TME312" s="135"/>
      <c r="TMF312" s="173"/>
      <c r="TMG312" s="173"/>
      <c r="TMH312" s="173"/>
      <c r="TMI312" s="173"/>
      <c r="TMJ312" s="173"/>
      <c r="TMK312" s="173"/>
      <c r="TML312" s="173"/>
      <c r="TMM312" s="173"/>
      <c r="TMN312" s="173"/>
      <c r="TMO312" s="173"/>
      <c r="TMP312" s="125"/>
      <c r="TMQ312" s="125"/>
      <c r="TMR312" s="134"/>
      <c r="TMS312" s="135"/>
      <c r="TMT312" s="135"/>
      <c r="TMU312" s="135"/>
      <c r="TMV312" s="135"/>
      <c r="TMW312" s="173"/>
      <c r="TMX312" s="173"/>
      <c r="TMY312" s="173"/>
      <c r="TMZ312" s="173"/>
      <c r="TNA312" s="173"/>
      <c r="TNB312" s="173"/>
      <c r="TNC312" s="173"/>
      <c r="TND312" s="173"/>
      <c r="TNE312" s="173"/>
      <c r="TNF312" s="173"/>
      <c r="TNG312" s="125"/>
      <c r="TNH312" s="125"/>
      <c r="TNI312" s="134"/>
      <c r="TNJ312" s="135"/>
      <c r="TNK312" s="135"/>
      <c r="TNL312" s="135"/>
      <c r="TNM312" s="135"/>
      <c r="TNN312" s="173"/>
      <c r="TNO312" s="173"/>
      <c r="TNP312" s="173"/>
      <c r="TNQ312" s="173"/>
      <c r="TNR312" s="173"/>
      <c r="TNS312" s="173"/>
      <c r="TNT312" s="173"/>
      <c r="TNU312" s="173"/>
      <c r="TNV312" s="173"/>
      <c r="TNW312" s="173"/>
      <c r="TNX312" s="125"/>
      <c r="TNY312" s="125"/>
      <c r="TNZ312" s="134"/>
      <c r="TOA312" s="135"/>
      <c r="TOB312" s="135"/>
      <c r="TOC312" s="135"/>
      <c r="TOD312" s="135"/>
      <c r="TOE312" s="173"/>
      <c r="TOF312" s="173"/>
      <c r="TOG312" s="173"/>
      <c r="TOH312" s="173"/>
      <c r="TOI312" s="173"/>
      <c r="TOJ312" s="173"/>
      <c r="TOK312" s="173"/>
      <c r="TOL312" s="173"/>
      <c r="TOM312" s="173"/>
      <c r="TON312" s="173"/>
      <c r="TOO312" s="125"/>
      <c r="TOP312" s="125"/>
      <c r="TOQ312" s="134"/>
      <c r="TOR312" s="135"/>
      <c r="TOS312" s="135"/>
      <c r="TOT312" s="135"/>
      <c r="TOU312" s="135"/>
      <c r="TOV312" s="173"/>
      <c r="TOW312" s="173"/>
      <c r="TOX312" s="173"/>
      <c r="TOY312" s="173"/>
      <c r="TOZ312" s="173"/>
      <c r="TPA312" s="173"/>
      <c r="TPB312" s="173"/>
      <c r="TPC312" s="173"/>
      <c r="TPD312" s="173"/>
      <c r="TPE312" s="173"/>
      <c r="TPF312" s="125"/>
      <c r="TPG312" s="125"/>
      <c r="TPH312" s="134"/>
      <c r="TPI312" s="135"/>
      <c r="TPJ312" s="135"/>
      <c r="TPK312" s="135"/>
      <c r="TPL312" s="135"/>
      <c r="TPM312" s="173"/>
      <c r="TPN312" s="173"/>
      <c r="TPO312" s="173"/>
      <c r="TPP312" s="173"/>
      <c r="TPQ312" s="173"/>
      <c r="TPR312" s="173"/>
      <c r="TPS312" s="173"/>
      <c r="TPT312" s="173"/>
      <c r="TPU312" s="173"/>
      <c r="TPV312" s="173"/>
      <c r="TPW312" s="125"/>
      <c r="TPX312" s="125"/>
      <c r="TPY312" s="134"/>
      <c r="TPZ312" s="135"/>
      <c r="TQA312" s="135"/>
      <c r="TQB312" s="135"/>
      <c r="TQC312" s="135"/>
      <c r="TQD312" s="173"/>
      <c r="TQE312" s="173"/>
      <c r="TQF312" s="173"/>
      <c r="TQG312" s="173"/>
      <c r="TQH312" s="173"/>
      <c r="TQI312" s="173"/>
      <c r="TQJ312" s="173"/>
      <c r="TQK312" s="173"/>
      <c r="TQL312" s="173"/>
      <c r="TQM312" s="173"/>
      <c r="TQN312" s="125"/>
      <c r="TQO312" s="125"/>
      <c r="TQP312" s="134"/>
      <c r="TQQ312" s="135"/>
      <c r="TQR312" s="135"/>
      <c r="TQS312" s="135"/>
      <c r="TQT312" s="135"/>
      <c r="TQU312" s="173"/>
      <c r="TQV312" s="173"/>
      <c r="TQW312" s="173"/>
      <c r="TQX312" s="173"/>
      <c r="TQY312" s="173"/>
      <c r="TQZ312" s="173"/>
      <c r="TRA312" s="173"/>
      <c r="TRB312" s="173"/>
      <c r="TRC312" s="173"/>
      <c r="TRD312" s="173"/>
      <c r="TRE312" s="125"/>
      <c r="TRF312" s="125"/>
      <c r="TRG312" s="134"/>
      <c r="TRH312" s="135"/>
      <c r="TRI312" s="135"/>
      <c r="TRJ312" s="135"/>
      <c r="TRK312" s="135"/>
      <c r="TRL312" s="173"/>
      <c r="TRM312" s="173"/>
      <c r="TRN312" s="173"/>
      <c r="TRO312" s="173"/>
      <c r="TRP312" s="173"/>
      <c r="TRQ312" s="173"/>
      <c r="TRR312" s="173"/>
      <c r="TRS312" s="173"/>
      <c r="TRT312" s="173"/>
      <c r="TRU312" s="173"/>
      <c r="TRV312" s="125"/>
      <c r="TRW312" s="125"/>
      <c r="TRX312" s="134"/>
      <c r="TRY312" s="135"/>
      <c r="TRZ312" s="135"/>
      <c r="TSA312" s="135"/>
      <c r="TSB312" s="135"/>
      <c r="TSC312" s="173"/>
      <c r="TSD312" s="173"/>
      <c r="TSE312" s="173"/>
      <c r="TSF312" s="173"/>
      <c r="TSG312" s="173"/>
      <c r="TSH312" s="173"/>
      <c r="TSI312" s="173"/>
      <c r="TSJ312" s="173"/>
      <c r="TSK312" s="173"/>
      <c r="TSL312" s="173"/>
      <c r="TSM312" s="125"/>
      <c r="TSN312" s="125"/>
      <c r="TSO312" s="134"/>
      <c r="TSP312" s="135"/>
      <c r="TSQ312" s="135"/>
      <c r="TSR312" s="135"/>
      <c r="TSS312" s="135"/>
      <c r="TST312" s="173"/>
      <c r="TSU312" s="173"/>
      <c r="TSV312" s="173"/>
      <c r="TSW312" s="173"/>
      <c r="TSX312" s="173"/>
      <c r="TSY312" s="173"/>
      <c r="TSZ312" s="173"/>
      <c r="TTA312" s="173"/>
      <c r="TTB312" s="173"/>
      <c r="TTC312" s="173"/>
      <c r="TTD312" s="125"/>
      <c r="TTE312" s="125"/>
      <c r="TTF312" s="134"/>
      <c r="TTG312" s="135"/>
      <c r="TTH312" s="135"/>
      <c r="TTI312" s="135"/>
      <c r="TTJ312" s="135"/>
      <c r="TTK312" s="173"/>
      <c r="TTL312" s="173"/>
      <c r="TTM312" s="173"/>
      <c r="TTN312" s="173"/>
      <c r="TTO312" s="173"/>
      <c r="TTP312" s="173"/>
      <c r="TTQ312" s="173"/>
      <c r="TTR312" s="173"/>
      <c r="TTS312" s="173"/>
      <c r="TTT312" s="173"/>
      <c r="TTU312" s="125"/>
      <c r="TTV312" s="125"/>
      <c r="TTW312" s="134"/>
      <c r="TTX312" s="135"/>
      <c r="TTY312" s="135"/>
      <c r="TTZ312" s="135"/>
      <c r="TUA312" s="135"/>
      <c r="TUB312" s="173"/>
      <c r="TUC312" s="173"/>
      <c r="TUD312" s="173"/>
      <c r="TUE312" s="173"/>
      <c r="TUF312" s="173"/>
      <c r="TUG312" s="173"/>
      <c r="TUH312" s="173"/>
      <c r="TUI312" s="173"/>
      <c r="TUJ312" s="173"/>
      <c r="TUK312" s="173"/>
      <c r="TUL312" s="125"/>
      <c r="TUM312" s="125"/>
      <c r="TUN312" s="134"/>
      <c r="TUO312" s="135"/>
      <c r="TUP312" s="135"/>
      <c r="TUQ312" s="135"/>
      <c r="TUR312" s="135"/>
      <c r="TUS312" s="173"/>
      <c r="TUT312" s="173"/>
      <c r="TUU312" s="173"/>
      <c r="TUV312" s="173"/>
      <c r="TUW312" s="173"/>
      <c r="TUX312" s="173"/>
      <c r="TUY312" s="173"/>
      <c r="TUZ312" s="173"/>
      <c r="TVA312" s="173"/>
      <c r="TVB312" s="173"/>
      <c r="TVC312" s="125"/>
      <c r="TVD312" s="125"/>
      <c r="TVE312" s="134"/>
      <c r="TVF312" s="135"/>
      <c r="TVG312" s="135"/>
      <c r="TVH312" s="135"/>
      <c r="TVI312" s="135"/>
      <c r="TVJ312" s="173"/>
      <c r="TVK312" s="173"/>
      <c r="TVL312" s="173"/>
      <c r="TVM312" s="173"/>
      <c r="TVN312" s="173"/>
      <c r="TVO312" s="173"/>
      <c r="TVP312" s="173"/>
      <c r="TVQ312" s="173"/>
      <c r="TVR312" s="173"/>
      <c r="TVS312" s="173"/>
      <c r="TVT312" s="125"/>
      <c r="TVU312" s="125"/>
      <c r="TVV312" s="134"/>
      <c r="TVW312" s="135"/>
      <c r="TVX312" s="135"/>
      <c r="TVY312" s="135"/>
      <c r="TVZ312" s="135"/>
      <c r="TWA312" s="173"/>
      <c r="TWB312" s="173"/>
      <c r="TWC312" s="173"/>
      <c r="TWD312" s="173"/>
      <c r="TWE312" s="173"/>
      <c r="TWF312" s="173"/>
      <c r="TWG312" s="173"/>
      <c r="TWH312" s="173"/>
      <c r="TWI312" s="173"/>
      <c r="TWJ312" s="173"/>
      <c r="TWK312" s="125"/>
      <c r="TWL312" s="125"/>
      <c r="TWM312" s="134"/>
      <c r="TWN312" s="135"/>
      <c r="TWO312" s="135"/>
      <c r="TWP312" s="135"/>
      <c r="TWQ312" s="135"/>
      <c r="TWR312" s="173"/>
      <c r="TWS312" s="173"/>
      <c r="TWT312" s="173"/>
      <c r="TWU312" s="173"/>
      <c r="TWV312" s="173"/>
      <c r="TWW312" s="173"/>
      <c r="TWX312" s="173"/>
      <c r="TWY312" s="173"/>
      <c r="TWZ312" s="173"/>
      <c r="TXA312" s="173"/>
      <c r="TXB312" s="125"/>
      <c r="TXC312" s="125"/>
      <c r="TXD312" s="134"/>
      <c r="TXE312" s="135"/>
      <c r="TXF312" s="135"/>
      <c r="TXG312" s="135"/>
      <c r="TXH312" s="135"/>
      <c r="TXI312" s="173"/>
      <c r="TXJ312" s="173"/>
      <c r="TXK312" s="173"/>
      <c r="TXL312" s="173"/>
      <c r="TXM312" s="173"/>
      <c r="TXN312" s="173"/>
      <c r="TXO312" s="173"/>
      <c r="TXP312" s="173"/>
      <c r="TXQ312" s="173"/>
      <c r="TXR312" s="173"/>
      <c r="TXS312" s="125"/>
      <c r="TXT312" s="125"/>
      <c r="TXU312" s="134"/>
      <c r="TXV312" s="135"/>
      <c r="TXW312" s="135"/>
      <c r="TXX312" s="135"/>
      <c r="TXY312" s="135"/>
      <c r="TXZ312" s="173"/>
      <c r="TYA312" s="173"/>
      <c r="TYB312" s="173"/>
      <c r="TYC312" s="173"/>
      <c r="TYD312" s="173"/>
      <c r="TYE312" s="173"/>
      <c r="TYF312" s="173"/>
      <c r="TYG312" s="173"/>
      <c r="TYH312" s="173"/>
      <c r="TYI312" s="173"/>
      <c r="TYJ312" s="125"/>
      <c r="TYK312" s="125"/>
      <c r="TYL312" s="134"/>
      <c r="TYM312" s="135"/>
      <c r="TYN312" s="135"/>
      <c r="TYO312" s="135"/>
      <c r="TYP312" s="135"/>
      <c r="TYQ312" s="173"/>
      <c r="TYR312" s="173"/>
      <c r="TYS312" s="173"/>
      <c r="TYT312" s="173"/>
      <c r="TYU312" s="173"/>
      <c r="TYV312" s="173"/>
      <c r="TYW312" s="173"/>
      <c r="TYX312" s="173"/>
      <c r="TYY312" s="173"/>
      <c r="TYZ312" s="173"/>
      <c r="TZA312" s="125"/>
      <c r="TZB312" s="125"/>
      <c r="TZC312" s="134"/>
      <c r="TZD312" s="135"/>
      <c r="TZE312" s="135"/>
      <c r="TZF312" s="135"/>
      <c r="TZG312" s="135"/>
      <c r="TZH312" s="173"/>
      <c r="TZI312" s="173"/>
      <c r="TZJ312" s="173"/>
      <c r="TZK312" s="173"/>
      <c r="TZL312" s="173"/>
      <c r="TZM312" s="173"/>
      <c r="TZN312" s="173"/>
      <c r="TZO312" s="173"/>
      <c r="TZP312" s="173"/>
      <c r="TZQ312" s="173"/>
      <c r="TZR312" s="125"/>
      <c r="TZS312" s="125"/>
      <c r="TZT312" s="134"/>
      <c r="TZU312" s="135"/>
      <c r="TZV312" s="135"/>
      <c r="TZW312" s="135"/>
      <c r="TZX312" s="135"/>
      <c r="TZY312" s="173"/>
      <c r="TZZ312" s="173"/>
      <c r="UAA312" s="173"/>
      <c r="UAB312" s="173"/>
      <c r="UAC312" s="173"/>
      <c r="UAD312" s="173"/>
      <c r="UAE312" s="173"/>
      <c r="UAF312" s="173"/>
      <c r="UAG312" s="173"/>
      <c r="UAH312" s="173"/>
      <c r="UAI312" s="125"/>
      <c r="UAJ312" s="125"/>
      <c r="UAK312" s="134"/>
      <c r="UAL312" s="135"/>
      <c r="UAM312" s="135"/>
      <c r="UAN312" s="135"/>
      <c r="UAO312" s="135"/>
      <c r="UAP312" s="173"/>
      <c r="UAQ312" s="173"/>
      <c r="UAR312" s="173"/>
      <c r="UAS312" s="173"/>
      <c r="UAT312" s="173"/>
      <c r="UAU312" s="173"/>
      <c r="UAV312" s="173"/>
      <c r="UAW312" s="173"/>
      <c r="UAX312" s="173"/>
      <c r="UAY312" s="173"/>
      <c r="UAZ312" s="125"/>
      <c r="UBA312" s="125"/>
      <c r="UBB312" s="134"/>
      <c r="UBC312" s="135"/>
      <c r="UBD312" s="135"/>
      <c r="UBE312" s="135"/>
      <c r="UBF312" s="135"/>
      <c r="UBG312" s="173"/>
      <c r="UBH312" s="173"/>
      <c r="UBI312" s="173"/>
      <c r="UBJ312" s="173"/>
      <c r="UBK312" s="173"/>
      <c r="UBL312" s="173"/>
      <c r="UBM312" s="173"/>
      <c r="UBN312" s="173"/>
      <c r="UBO312" s="173"/>
      <c r="UBP312" s="173"/>
      <c r="UBQ312" s="125"/>
      <c r="UBR312" s="125"/>
      <c r="UBS312" s="134"/>
      <c r="UBT312" s="135"/>
      <c r="UBU312" s="135"/>
      <c r="UBV312" s="135"/>
      <c r="UBW312" s="135"/>
      <c r="UBX312" s="173"/>
      <c r="UBY312" s="173"/>
      <c r="UBZ312" s="173"/>
      <c r="UCA312" s="173"/>
      <c r="UCB312" s="173"/>
      <c r="UCC312" s="173"/>
      <c r="UCD312" s="173"/>
      <c r="UCE312" s="173"/>
      <c r="UCF312" s="173"/>
      <c r="UCG312" s="173"/>
      <c r="UCH312" s="125"/>
      <c r="UCI312" s="125"/>
      <c r="UCJ312" s="134"/>
      <c r="UCK312" s="135"/>
      <c r="UCL312" s="135"/>
      <c r="UCM312" s="135"/>
      <c r="UCN312" s="135"/>
      <c r="UCO312" s="173"/>
      <c r="UCP312" s="173"/>
      <c r="UCQ312" s="173"/>
      <c r="UCR312" s="173"/>
      <c r="UCS312" s="173"/>
      <c r="UCT312" s="173"/>
      <c r="UCU312" s="173"/>
      <c r="UCV312" s="173"/>
      <c r="UCW312" s="173"/>
      <c r="UCX312" s="173"/>
      <c r="UCY312" s="125"/>
      <c r="UCZ312" s="125"/>
      <c r="UDA312" s="134"/>
      <c r="UDB312" s="135"/>
      <c r="UDC312" s="135"/>
      <c r="UDD312" s="135"/>
      <c r="UDE312" s="135"/>
      <c r="UDF312" s="173"/>
      <c r="UDG312" s="173"/>
      <c r="UDH312" s="173"/>
      <c r="UDI312" s="173"/>
      <c r="UDJ312" s="173"/>
      <c r="UDK312" s="173"/>
      <c r="UDL312" s="173"/>
      <c r="UDM312" s="173"/>
      <c r="UDN312" s="173"/>
      <c r="UDO312" s="173"/>
      <c r="UDP312" s="125"/>
      <c r="UDQ312" s="125"/>
      <c r="UDR312" s="134"/>
      <c r="UDS312" s="135"/>
      <c r="UDT312" s="135"/>
      <c r="UDU312" s="135"/>
      <c r="UDV312" s="135"/>
      <c r="UDW312" s="173"/>
      <c r="UDX312" s="173"/>
      <c r="UDY312" s="173"/>
      <c r="UDZ312" s="173"/>
      <c r="UEA312" s="173"/>
      <c r="UEB312" s="173"/>
      <c r="UEC312" s="173"/>
      <c r="UED312" s="173"/>
      <c r="UEE312" s="173"/>
      <c r="UEF312" s="173"/>
      <c r="UEG312" s="125"/>
      <c r="UEH312" s="125"/>
      <c r="UEI312" s="134"/>
      <c r="UEJ312" s="135"/>
      <c r="UEK312" s="135"/>
      <c r="UEL312" s="135"/>
      <c r="UEM312" s="135"/>
      <c r="UEN312" s="173"/>
      <c r="UEO312" s="173"/>
      <c r="UEP312" s="173"/>
      <c r="UEQ312" s="173"/>
      <c r="UER312" s="173"/>
      <c r="UES312" s="173"/>
      <c r="UET312" s="173"/>
      <c r="UEU312" s="173"/>
      <c r="UEV312" s="173"/>
      <c r="UEW312" s="173"/>
      <c r="UEX312" s="125"/>
      <c r="UEY312" s="125"/>
      <c r="UEZ312" s="134"/>
      <c r="UFA312" s="135"/>
      <c r="UFB312" s="135"/>
      <c r="UFC312" s="135"/>
      <c r="UFD312" s="135"/>
      <c r="UFE312" s="173"/>
      <c r="UFF312" s="173"/>
      <c r="UFG312" s="173"/>
      <c r="UFH312" s="173"/>
      <c r="UFI312" s="173"/>
      <c r="UFJ312" s="173"/>
      <c r="UFK312" s="173"/>
      <c r="UFL312" s="173"/>
      <c r="UFM312" s="173"/>
      <c r="UFN312" s="173"/>
      <c r="UFO312" s="125"/>
      <c r="UFP312" s="125"/>
      <c r="UFQ312" s="134"/>
      <c r="UFR312" s="135"/>
      <c r="UFS312" s="135"/>
      <c r="UFT312" s="135"/>
      <c r="UFU312" s="135"/>
      <c r="UFV312" s="173"/>
      <c r="UFW312" s="173"/>
      <c r="UFX312" s="173"/>
      <c r="UFY312" s="173"/>
      <c r="UFZ312" s="173"/>
      <c r="UGA312" s="173"/>
      <c r="UGB312" s="173"/>
      <c r="UGC312" s="173"/>
      <c r="UGD312" s="173"/>
      <c r="UGE312" s="173"/>
      <c r="UGF312" s="125"/>
      <c r="UGG312" s="125"/>
      <c r="UGH312" s="134"/>
      <c r="UGI312" s="135"/>
      <c r="UGJ312" s="135"/>
      <c r="UGK312" s="135"/>
      <c r="UGL312" s="135"/>
      <c r="UGM312" s="173"/>
      <c r="UGN312" s="173"/>
      <c r="UGO312" s="173"/>
      <c r="UGP312" s="173"/>
      <c r="UGQ312" s="173"/>
      <c r="UGR312" s="173"/>
      <c r="UGS312" s="173"/>
      <c r="UGT312" s="173"/>
      <c r="UGU312" s="173"/>
      <c r="UGV312" s="173"/>
      <c r="UGW312" s="125"/>
      <c r="UGX312" s="125"/>
      <c r="UGY312" s="134"/>
      <c r="UGZ312" s="135"/>
      <c r="UHA312" s="135"/>
      <c r="UHB312" s="135"/>
      <c r="UHC312" s="135"/>
      <c r="UHD312" s="173"/>
      <c r="UHE312" s="173"/>
      <c r="UHF312" s="173"/>
      <c r="UHG312" s="173"/>
      <c r="UHH312" s="173"/>
      <c r="UHI312" s="173"/>
      <c r="UHJ312" s="173"/>
      <c r="UHK312" s="173"/>
      <c r="UHL312" s="173"/>
      <c r="UHM312" s="173"/>
      <c r="UHN312" s="125"/>
      <c r="UHO312" s="125"/>
      <c r="UHP312" s="134"/>
      <c r="UHQ312" s="135"/>
      <c r="UHR312" s="135"/>
      <c r="UHS312" s="135"/>
      <c r="UHT312" s="135"/>
      <c r="UHU312" s="173"/>
      <c r="UHV312" s="173"/>
      <c r="UHW312" s="173"/>
      <c r="UHX312" s="173"/>
      <c r="UHY312" s="173"/>
      <c r="UHZ312" s="173"/>
      <c r="UIA312" s="173"/>
      <c r="UIB312" s="173"/>
      <c r="UIC312" s="173"/>
      <c r="UID312" s="173"/>
      <c r="UIE312" s="125"/>
      <c r="UIF312" s="125"/>
      <c r="UIG312" s="134"/>
      <c r="UIH312" s="135"/>
      <c r="UII312" s="135"/>
      <c r="UIJ312" s="135"/>
      <c r="UIK312" s="135"/>
      <c r="UIL312" s="173"/>
      <c r="UIM312" s="173"/>
      <c r="UIN312" s="173"/>
      <c r="UIO312" s="173"/>
      <c r="UIP312" s="173"/>
      <c r="UIQ312" s="173"/>
      <c r="UIR312" s="173"/>
      <c r="UIS312" s="173"/>
      <c r="UIT312" s="173"/>
      <c r="UIU312" s="173"/>
      <c r="UIV312" s="125"/>
      <c r="UIW312" s="125"/>
      <c r="UIX312" s="134"/>
      <c r="UIY312" s="135"/>
      <c r="UIZ312" s="135"/>
      <c r="UJA312" s="135"/>
      <c r="UJB312" s="135"/>
      <c r="UJC312" s="173"/>
      <c r="UJD312" s="173"/>
      <c r="UJE312" s="173"/>
      <c r="UJF312" s="173"/>
      <c r="UJG312" s="173"/>
      <c r="UJH312" s="173"/>
      <c r="UJI312" s="173"/>
      <c r="UJJ312" s="173"/>
      <c r="UJK312" s="173"/>
      <c r="UJL312" s="173"/>
      <c r="UJM312" s="125"/>
      <c r="UJN312" s="125"/>
      <c r="UJO312" s="134"/>
      <c r="UJP312" s="135"/>
      <c r="UJQ312" s="135"/>
      <c r="UJR312" s="135"/>
      <c r="UJS312" s="135"/>
      <c r="UJT312" s="173"/>
      <c r="UJU312" s="173"/>
      <c r="UJV312" s="173"/>
      <c r="UJW312" s="173"/>
      <c r="UJX312" s="173"/>
      <c r="UJY312" s="173"/>
      <c r="UJZ312" s="173"/>
      <c r="UKA312" s="173"/>
      <c r="UKB312" s="173"/>
      <c r="UKC312" s="173"/>
      <c r="UKD312" s="125"/>
      <c r="UKE312" s="125"/>
      <c r="UKF312" s="134"/>
      <c r="UKG312" s="135"/>
      <c r="UKH312" s="135"/>
      <c r="UKI312" s="135"/>
      <c r="UKJ312" s="135"/>
      <c r="UKK312" s="173"/>
      <c r="UKL312" s="173"/>
      <c r="UKM312" s="173"/>
      <c r="UKN312" s="173"/>
      <c r="UKO312" s="173"/>
      <c r="UKP312" s="173"/>
      <c r="UKQ312" s="173"/>
      <c r="UKR312" s="173"/>
      <c r="UKS312" s="173"/>
      <c r="UKT312" s="173"/>
      <c r="UKU312" s="125"/>
      <c r="UKV312" s="125"/>
      <c r="UKW312" s="134"/>
      <c r="UKX312" s="135"/>
      <c r="UKY312" s="135"/>
      <c r="UKZ312" s="135"/>
      <c r="ULA312" s="135"/>
      <c r="ULB312" s="173"/>
      <c r="ULC312" s="173"/>
      <c r="ULD312" s="173"/>
      <c r="ULE312" s="173"/>
      <c r="ULF312" s="173"/>
      <c r="ULG312" s="173"/>
      <c r="ULH312" s="173"/>
      <c r="ULI312" s="173"/>
      <c r="ULJ312" s="173"/>
      <c r="ULK312" s="173"/>
      <c r="ULL312" s="125"/>
      <c r="ULM312" s="125"/>
      <c r="ULN312" s="134"/>
      <c r="ULO312" s="135"/>
      <c r="ULP312" s="135"/>
      <c r="ULQ312" s="135"/>
      <c r="ULR312" s="135"/>
      <c r="ULS312" s="173"/>
      <c r="ULT312" s="173"/>
      <c r="ULU312" s="173"/>
      <c r="ULV312" s="173"/>
      <c r="ULW312" s="173"/>
      <c r="ULX312" s="173"/>
      <c r="ULY312" s="173"/>
      <c r="ULZ312" s="173"/>
      <c r="UMA312" s="173"/>
      <c r="UMB312" s="173"/>
      <c r="UMC312" s="125"/>
      <c r="UMD312" s="125"/>
      <c r="UME312" s="134"/>
      <c r="UMF312" s="135"/>
      <c r="UMG312" s="135"/>
      <c r="UMH312" s="135"/>
      <c r="UMI312" s="135"/>
      <c r="UMJ312" s="173"/>
      <c r="UMK312" s="173"/>
      <c r="UML312" s="173"/>
      <c r="UMM312" s="173"/>
      <c r="UMN312" s="173"/>
      <c r="UMO312" s="173"/>
      <c r="UMP312" s="173"/>
      <c r="UMQ312" s="173"/>
      <c r="UMR312" s="173"/>
      <c r="UMS312" s="173"/>
      <c r="UMT312" s="125"/>
      <c r="UMU312" s="125"/>
      <c r="UMV312" s="134"/>
      <c r="UMW312" s="135"/>
      <c r="UMX312" s="135"/>
      <c r="UMY312" s="135"/>
      <c r="UMZ312" s="135"/>
      <c r="UNA312" s="173"/>
      <c r="UNB312" s="173"/>
      <c r="UNC312" s="173"/>
      <c r="UND312" s="173"/>
      <c r="UNE312" s="173"/>
      <c r="UNF312" s="173"/>
      <c r="UNG312" s="173"/>
      <c r="UNH312" s="173"/>
      <c r="UNI312" s="173"/>
      <c r="UNJ312" s="173"/>
      <c r="UNK312" s="125"/>
      <c r="UNL312" s="125"/>
      <c r="UNM312" s="134"/>
      <c r="UNN312" s="135"/>
      <c r="UNO312" s="135"/>
      <c r="UNP312" s="135"/>
      <c r="UNQ312" s="135"/>
      <c r="UNR312" s="173"/>
      <c r="UNS312" s="173"/>
      <c r="UNT312" s="173"/>
      <c r="UNU312" s="173"/>
      <c r="UNV312" s="173"/>
      <c r="UNW312" s="173"/>
      <c r="UNX312" s="173"/>
      <c r="UNY312" s="173"/>
      <c r="UNZ312" s="173"/>
      <c r="UOA312" s="173"/>
      <c r="UOB312" s="125"/>
      <c r="UOC312" s="125"/>
      <c r="UOD312" s="134"/>
      <c r="UOE312" s="135"/>
      <c r="UOF312" s="135"/>
      <c r="UOG312" s="135"/>
      <c r="UOH312" s="135"/>
      <c r="UOI312" s="173"/>
      <c r="UOJ312" s="173"/>
      <c r="UOK312" s="173"/>
      <c r="UOL312" s="173"/>
      <c r="UOM312" s="173"/>
      <c r="UON312" s="173"/>
      <c r="UOO312" s="173"/>
      <c r="UOP312" s="173"/>
      <c r="UOQ312" s="173"/>
      <c r="UOR312" s="173"/>
      <c r="UOS312" s="125"/>
      <c r="UOT312" s="125"/>
      <c r="UOU312" s="134"/>
      <c r="UOV312" s="135"/>
      <c r="UOW312" s="135"/>
      <c r="UOX312" s="135"/>
      <c r="UOY312" s="135"/>
      <c r="UOZ312" s="173"/>
      <c r="UPA312" s="173"/>
      <c r="UPB312" s="173"/>
      <c r="UPC312" s="173"/>
      <c r="UPD312" s="173"/>
      <c r="UPE312" s="173"/>
      <c r="UPF312" s="173"/>
      <c r="UPG312" s="173"/>
      <c r="UPH312" s="173"/>
      <c r="UPI312" s="173"/>
      <c r="UPJ312" s="125"/>
      <c r="UPK312" s="125"/>
      <c r="UPL312" s="134"/>
      <c r="UPM312" s="135"/>
      <c r="UPN312" s="135"/>
      <c r="UPO312" s="135"/>
      <c r="UPP312" s="135"/>
      <c r="UPQ312" s="173"/>
      <c r="UPR312" s="173"/>
      <c r="UPS312" s="173"/>
      <c r="UPT312" s="173"/>
      <c r="UPU312" s="173"/>
      <c r="UPV312" s="173"/>
      <c r="UPW312" s="173"/>
      <c r="UPX312" s="173"/>
      <c r="UPY312" s="173"/>
      <c r="UPZ312" s="173"/>
      <c r="UQA312" s="125"/>
      <c r="UQB312" s="125"/>
      <c r="UQC312" s="134"/>
      <c r="UQD312" s="135"/>
      <c r="UQE312" s="135"/>
      <c r="UQF312" s="135"/>
      <c r="UQG312" s="135"/>
      <c r="UQH312" s="173"/>
      <c r="UQI312" s="173"/>
      <c r="UQJ312" s="173"/>
      <c r="UQK312" s="173"/>
      <c r="UQL312" s="173"/>
      <c r="UQM312" s="173"/>
      <c r="UQN312" s="173"/>
      <c r="UQO312" s="173"/>
      <c r="UQP312" s="173"/>
      <c r="UQQ312" s="173"/>
      <c r="UQR312" s="125"/>
      <c r="UQS312" s="125"/>
      <c r="UQT312" s="134"/>
      <c r="UQU312" s="135"/>
      <c r="UQV312" s="135"/>
      <c r="UQW312" s="135"/>
      <c r="UQX312" s="135"/>
      <c r="UQY312" s="173"/>
      <c r="UQZ312" s="173"/>
      <c r="URA312" s="173"/>
      <c r="URB312" s="173"/>
      <c r="URC312" s="173"/>
      <c r="URD312" s="173"/>
      <c r="URE312" s="173"/>
      <c r="URF312" s="173"/>
      <c r="URG312" s="173"/>
      <c r="URH312" s="173"/>
      <c r="URI312" s="125"/>
      <c r="URJ312" s="125"/>
      <c r="URK312" s="134"/>
      <c r="URL312" s="135"/>
      <c r="URM312" s="135"/>
      <c r="URN312" s="135"/>
      <c r="URO312" s="135"/>
      <c r="URP312" s="173"/>
      <c r="URQ312" s="173"/>
      <c r="URR312" s="173"/>
      <c r="URS312" s="173"/>
      <c r="URT312" s="173"/>
      <c r="URU312" s="173"/>
      <c r="URV312" s="173"/>
      <c r="URW312" s="173"/>
      <c r="URX312" s="173"/>
      <c r="URY312" s="173"/>
      <c r="URZ312" s="125"/>
      <c r="USA312" s="125"/>
      <c r="USB312" s="134"/>
      <c r="USC312" s="135"/>
      <c r="USD312" s="135"/>
      <c r="USE312" s="135"/>
      <c r="USF312" s="135"/>
      <c r="USG312" s="173"/>
      <c r="USH312" s="173"/>
      <c r="USI312" s="173"/>
      <c r="USJ312" s="173"/>
      <c r="USK312" s="173"/>
      <c r="USL312" s="173"/>
      <c r="USM312" s="173"/>
      <c r="USN312" s="173"/>
      <c r="USO312" s="173"/>
      <c r="USP312" s="173"/>
      <c r="USQ312" s="125"/>
      <c r="USR312" s="125"/>
      <c r="USS312" s="134"/>
      <c r="UST312" s="135"/>
      <c r="USU312" s="135"/>
      <c r="USV312" s="135"/>
      <c r="USW312" s="135"/>
      <c r="USX312" s="173"/>
      <c r="USY312" s="173"/>
      <c r="USZ312" s="173"/>
      <c r="UTA312" s="173"/>
      <c r="UTB312" s="173"/>
      <c r="UTC312" s="173"/>
      <c r="UTD312" s="173"/>
      <c r="UTE312" s="173"/>
      <c r="UTF312" s="173"/>
      <c r="UTG312" s="173"/>
      <c r="UTH312" s="125"/>
      <c r="UTI312" s="125"/>
      <c r="UTJ312" s="134"/>
      <c r="UTK312" s="135"/>
      <c r="UTL312" s="135"/>
      <c r="UTM312" s="135"/>
      <c r="UTN312" s="135"/>
      <c r="UTO312" s="173"/>
      <c r="UTP312" s="173"/>
      <c r="UTQ312" s="173"/>
      <c r="UTR312" s="173"/>
      <c r="UTS312" s="173"/>
      <c r="UTT312" s="173"/>
      <c r="UTU312" s="173"/>
      <c r="UTV312" s="173"/>
      <c r="UTW312" s="173"/>
      <c r="UTX312" s="173"/>
      <c r="UTY312" s="125"/>
      <c r="UTZ312" s="125"/>
      <c r="UUA312" s="134"/>
      <c r="UUB312" s="135"/>
      <c r="UUC312" s="135"/>
      <c r="UUD312" s="135"/>
      <c r="UUE312" s="135"/>
      <c r="UUF312" s="173"/>
      <c r="UUG312" s="173"/>
      <c r="UUH312" s="173"/>
      <c r="UUI312" s="173"/>
      <c r="UUJ312" s="173"/>
      <c r="UUK312" s="173"/>
      <c r="UUL312" s="173"/>
      <c r="UUM312" s="173"/>
      <c r="UUN312" s="173"/>
      <c r="UUO312" s="173"/>
      <c r="UUP312" s="125"/>
      <c r="UUQ312" s="125"/>
      <c r="UUR312" s="134"/>
      <c r="UUS312" s="135"/>
      <c r="UUT312" s="135"/>
      <c r="UUU312" s="135"/>
      <c r="UUV312" s="135"/>
      <c r="UUW312" s="173"/>
      <c r="UUX312" s="173"/>
      <c r="UUY312" s="173"/>
      <c r="UUZ312" s="173"/>
      <c r="UVA312" s="173"/>
      <c r="UVB312" s="173"/>
      <c r="UVC312" s="173"/>
      <c r="UVD312" s="173"/>
      <c r="UVE312" s="173"/>
      <c r="UVF312" s="173"/>
      <c r="UVG312" s="125"/>
      <c r="UVH312" s="125"/>
      <c r="UVI312" s="134"/>
      <c r="UVJ312" s="135"/>
      <c r="UVK312" s="135"/>
      <c r="UVL312" s="135"/>
      <c r="UVM312" s="135"/>
      <c r="UVN312" s="173"/>
      <c r="UVO312" s="173"/>
      <c r="UVP312" s="173"/>
      <c r="UVQ312" s="173"/>
      <c r="UVR312" s="173"/>
      <c r="UVS312" s="173"/>
      <c r="UVT312" s="173"/>
      <c r="UVU312" s="173"/>
      <c r="UVV312" s="173"/>
      <c r="UVW312" s="173"/>
      <c r="UVX312" s="125"/>
      <c r="UVY312" s="125"/>
      <c r="UVZ312" s="134"/>
      <c r="UWA312" s="135"/>
      <c r="UWB312" s="135"/>
      <c r="UWC312" s="135"/>
      <c r="UWD312" s="135"/>
      <c r="UWE312" s="173"/>
      <c r="UWF312" s="173"/>
      <c r="UWG312" s="173"/>
      <c r="UWH312" s="173"/>
      <c r="UWI312" s="173"/>
      <c r="UWJ312" s="173"/>
      <c r="UWK312" s="173"/>
      <c r="UWL312" s="173"/>
      <c r="UWM312" s="173"/>
      <c r="UWN312" s="173"/>
      <c r="UWO312" s="125"/>
      <c r="UWP312" s="125"/>
      <c r="UWQ312" s="134"/>
      <c r="UWR312" s="135"/>
      <c r="UWS312" s="135"/>
      <c r="UWT312" s="135"/>
      <c r="UWU312" s="135"/>
      <c r="UWV312" s="173"/>
      <c r="UWW312" s="173"/>
      <c r="UWX312" s="173"/>
      <c r="UWY312" s="173"/>
      <c r="UWZ312" s="173"/>
      <c r="UXA312" s="173"/>
      <c r="UXB312" s="173"/>
      <c r="UXC312" s="173"/>
      <c r="UXD312" s="173"/>
      <c r="UXE312" s="173"/>
      <c r="UXF312" s="125"/>
      <c r="UXG312" s="125"/>
      <c r="UXH312" s="134"/>
      <c r="UXI312" s="135"/>
      <c r="UXJ312" s="135"/>
      <c r="UXK312" s="135"/>
      <c r="UXL312" s="135"/>
      <c r="UXM312" s="173"/>
      <c r="UXN312" s="173"/>
      <c r="UXO312" s="173"/>
      <c r="UXP312" s="173"/>
      <c r="UXQ312" s="173"/>
      <c r="UXR312" s="173"/>
      <c r="UXS312" s="173"/>
      <c r="UXT312" s="173"/>
      <c r="UXU312" s="173"/>
      <c r="UXV312" s="173"/>
      <c r="UXW312" s="125"/>
      <c r="UXX312" s="125"/>
      <c r="UXY312" s="134"/>
      <c r="UXZ312" s="135"/>
      <c r="UYA312" s="135"/>
      <c r="UYB312" s="135"/>
      <c r="UYC312" s="135"/>
      <c r="UYD312" s="173"/>
      <c r="UYE312" s="173"/>
      <c r="UYF312" s="173"/>
      <c r="UYG312" s="173"/>
      <c r="UYH312" s="173"/>
      <c r="UYI312" s="173"/>
      <c r="UYJ312" s="173"/>
      <c r="UYK312" s="173"/>
      <c r="UYL312" s="173"/>
      <c r="UYM312" s="173"/>
      <c r="UYN312" s="125"/>
      <c r="UYO312" s="125"/>
      <c r="UYP312" s="134"/>
      <c r="UYQ312" s="135"/>
      <c r="UYR312" s="135"/>
      <c r="UYS312" s="135"/>
      <c r="UYT312" s="135"/>
      <c r="UYU312" s="173"/>
      <c r="UYV312" s="173"/>
      <c r="UYW312" s="173"/>
      <c r="UYX312" s="173"/>
      <c r="UYY312" s="173"/>
      <c r="UYZ312" s="173"/>
      <c r="UZA312" s="173"/>
      <c r="UZB312" s="173"/>
      <c r="UZC312" s="173"/>
      <c r="UZD312" s="173"/>
      <c r="UZE312" s="125"/>
      <c r="UZF312" s="125"/>
      <c r="UZG312" s="134"/>
      <c r="UZH312" s="135"/>
      <c r="UZI312" s="135"/>
      <c r="UZJ312" s="135"/>
      <c r="UZK312" s="135"/>
      <c r="UZL312" s="173"/>
      <c r="UZM312" s="173"/>
      <c r="UZN312" s="173"/>
      <c r="UZO312" s="173"/>
      <c r="UZP312" s="173"/>
      <c r="UZQ312" s="173"/>
      <c r="UZR312" s="173"/>
      <c r="UZS312" s="173"/>
      <c r="UZT312" s="173"/>
      <c r="UZU312" s="173"/>
      <c r="UZV312" s="125"/>
      <c r="UZW312" s="125"/>
      <c r="UZX312" s="134"/>
      <c r="UZY312" s="135"/>
      <c r="UZZ312" s="135"/>
      <c r="VAA312" s="135"/>
      <c r="VAB312" s="135"/>
      <c r="VAC312" s="173"/>
      <c r="VAD312" s="173"/>
      <c r="VAE312" s="173"/>
      <c r="VAF312" s="173"/>
      <c r="VAG312" s="173"/>
      <c r="VAH312" s="173"/>
      <c r="VAI312" s="173"/>
      <c r="VAJ312" s="173"/>
      <c r="VAK312" s="173"/>
      <c r="VAL312" s="173"/>
      <c r="VAM312" s="125"/>
      <c r="VAN312" s="125"/>
      <c r="VAO312" s="134"/>
      <c r="VAP312" s="135"/>
      <c r="VAQ312" s="135"/>
      <c r="VAR312" s="135"/>
      <c r="VAS312" s="135"/>
      <c r="VAT312" s="173"/>
      <c r="VAU312" s="173"/>
      <c r="VAV312" s="173"/>
      <c r="VAW312" s="173"/>
      <c r="VAX312" s="173"/>
      <c r="VAY312" s="173"/>
      <c r="VAZ312" s="173"/>
      <c r="VBA312" s="173"/>
      <c r="VBB312" s="173"/>
      <c r="VBC312" s="173"/>
      <c r="VBD312" s="125"/>
      <c r="VBE312" s="125"/>
      <c r="VBF312" s="134"/>
      <c r="VBG312" s="135"/>
      <c r="VBH312" s="135"/>
      <c r="VBI312" s="135"/>
      <c r="VBJ312" s="135"/>
      <c r="VBK312" s="173"/>
      <c r="VBL312" s="173"/>
      <c r="VBM312" s="173"/>
      <c r="VBN312" s="173"/>
      <c r="VBO312" s="173"/>
      <c r="VBP312" s="173"/>
      <c r="VBQ312" s="173"/>
      <c r="VBR312" s="173"/>
      <c r="VBS312" s="173"/>
      <c r="VBT312" s="173"/>
      <c r="VBU312" s="125"/>
      <c r="VBV312" s="125"/>
      <c r="VBW312" s="134"/>
      <c r="VBX312" s="135"/>
      <c r="VBY312" s="135"/>
      <c r="VBZ312" s="135"/>
      <c r="VCA312" s="135"/>
      <c r="VCB312" s="173"/>
      <c r="VCC312" s="173"/>
      <c r="VCD312" s="173"/>
      <c r="VCE312" s="173"/>
      <c r="VCF312" s="173"/>
      <c r="VCG312" s="173"/>
      <c r="VCH312" s="173"/>
      <c r="VCI312" s="173"/>
      <c r="VCJ312" s="173"/>
      <c r="VCK312" s="173"/>
      <c r="VCL312" s="125"/>
      <c r="VCM312" s="125"/>
      <c r="VCN312" s="134"/>
      <c r="VCO312" s="135"/>
      <c r="VCP312" s="135"/>
      <c r="VCQ312" s="135"/>
      <c r="VCR312" s="135"/>
      <c r="VCS312" s="173"/>
      <c r="VCT312" s="173"/>
      <c r="VCU312" s="173"/>
      <c r="VCV312" s="173"/>
      <c r="VCW312" s="173"/>
      <c r="VCX312" s="173"/>
      <c r="VCY312" s="173"/>
      <c r="VCZ312" s="173"/>
      <c r="VDA312" s="173"/>
      <c r="VDB312" s="173"/>
      <c r="VDC312" s="125"/>
      <c r="VDD312" s="125"/>
      <c r="VDE312" s="134"/>
      <c r="VDF312" s="135"/>
      <c r="VDG312" s="135"/>
      <c r="VDH312" s="135"/>
      <c r="VDI312" s="135"/>
      <c r="VDJ312" s="173"/>
      <c r="VDK312" s="173"/>
      <c r="VDL312" s="173"/>
      <c r="VDM312" s="173"/>
      <c r="VDN312" s="173"/>
      <c r="VDO312" s="173"/>
      <c r="VDP312" s="173"/>
      <c r="VDQ312" s="173"/>
      <c r="VDR312" s="173"/>
      <c r="VDS312" s="173"/>
      <c r="VDT312" s="125"/>
      <c r="VDU312" s="125"/>
      <c r="VDV312" s="134"/>
      <c r="VDW312" s="135"/>
      <c r="VDX312" s="135"/>
      <c r="VDY312" s="135"/>
      <c r="VDZ312" s="135"/>
      <c r="VEA312" s="173"/>
      <c r="VEB312" s="173"/>
      <c r="VEC312" s="173"/>
      <c r="VED312" s="173"/>
      <c r="VEE312" s="173"/>
      <c r="VEF312" s="173"/>
      <c r="VEG312" s="173"/>
      <c r="VEH312" s="173"/>
      <c r="VEI312" s="173"/>
      <c r="VEJ312" s="173"/>
      <c r="VEK312" s="125"/>
      <c r="VEL312" s="125"/>
      <c r="VEM312" s="134"/>
      <c r="VEN312" s="135"/>
      <c r="VEO312" s="135"/>
      <c r="VEP312" s="135"/>
      <c r="VEQ312" s="135"/>
      <c r="VER312" s="173"/>
      <c r="VES312" s="173"/>
      <c r="VET312" s="173"/>
      <c r="VEU312" s="173"/>
      <c r="VEV312" s="173"/>
      <c r="VEW312" s="173"/>
      <c r="VEX312" s="173"/>
      <c r="VEY312" s="173"/>
      <c r="VEZ312" s="173"/>
      <c r="VFA312" s="173"/>
      <c r="VFB312" s="125"/>
      <c r="VFC312" s="125"/>
      <c r="VFD312" s="134"/>
      <c r="VFE312" s="135"/>
      <c r="VFF312" s="135"/>
      <c r="VFG312" s="135"/>
      <c r="VFH312" s="135"/>
      <c r="VFI312" s="173"/>
      <c r="VFJ312" s="173"/>
      <c r="VFK312" s="173"/>
      <c r="VFL312" s="173"/>
      <c r="VFM312" s="173"/>
      <c r="VFN312" s="173"/>
      <c r="VFO312" s="173"/>
      <c r="VFP312" s="173"/>
      <c r="VFQ312" s="173"/>
      <c r="VFR312" s="173"/>
      <c r="VFS312" s="125"/>
      <c r="VFT312" s="125"/>
      <c r="VFU312" s="134"/>
      <c r="VFV312" s="135"/>
      <c r="VFW312" s="135"/>
      <c r="VFX312" s="135"/>
      <c r="VFY312" s="135"/>
      <c r="VFZ312" s="173"/>
      <c r="VGA312" s="173"/>
      <c r="VGB312" s="173"/>
      <c r="VGC312" s="173"/>
      <c r="VGD312" s="173"/>
      <c r="VGE312" s="173"/>
      <c r="VGF312" s="173"/>
      <c r="VGG312" s="173"/>
      <c r="VGH312" s="173"/>
      <c r="VGI312" s="173"/>
      <c r="VGJ312" s="125"/>
      <c r="VGK312" s="125"/>
      <c r="VGL312" s="134"/>
      <c r="VGM312" s="135"/>
      <c r="VGN312" s="135"/>
      <c r="VGO312" s="135"/>
      <c r="VGP312" s="135"/>
      <c r="VGQ312" s="173"/>
      <c r="VGR312" s="173"/>
      <c r="VGS312" s="173"/>
      <c r="VGT312" s="173"/>
      <c r="VGU312" s="173"/>
      <c r="VGV312" s="173"/>
      <c r="VGW312" s="173"/>
      <c r="VGX312" s="173"/>
      <c r="VGY312" s="173"/>
      <c r="VGZ312" s="173"/>
      <c r="VHA312" s="125"/>
      <c r="VHB312" s="125"/>
      <c r="VHC312" s="134"/>
      <c r="VHD312" s="135"/>
      <c r="VHE312" s="135"/>
      <c r="VHF312" s="135"/>
      <c r="VHG312" s="135"/>
      <c r="VHH312" s="173"/>
      <c r="VHI312" s="173"/>
      <c r="VHJ312" s="173"/>
      <c r="VHK312" s="173"/>
      <c r="VHL312" s="173"/>
      <c r="VHM312" s="173"/>
      <c r="VHN312" s="173"/>
      <c r="VHO312" s="173"/>
      <c r="VHP312" s="173"/>
      <c r="VHQ312" s="173"/>
      <c r="VHR312" s="125"/>
      <c r="VHS312" s="125"/>
      <c r="VHT312" s="134"/>
      <c r="VHU312" s="135"/>
      <c r="VHV312" s="135"/>
      <c r="VHW312" s="135"/>
      <c r="VHX312" s="135"/>
      <c r="VHY312" s="173"/>
      <c r="VHZ312" s="173"/>
      <c r="VIA312" s="173"/>
      <c r="VIB312" s="173"/>
      <c r="VIC312" s="173"/>
      <c r="VID312" s="173"/>
      <c r="VIE312" s="173"/>
      <c r="VIF312" s="173"/>
      <c r="VIG312" s="173"/>
      <c r="VIH312" s="173"/>
      <c r="VII312" s="125"/>
      <c r="VIJ312" s="125"/>
      <c r="VIK312" s="134"/>
      <c r="VIL312" s="135"/>
      <c r="VIM312" s="135"/>
      <c r="VIN312" s="135"/>
      <c r="VIO312" s="135"/>
      <c r="VIP312" s="173"/>
      <c r="VIQ312" s="173"/>
      <c r="VIR312" s="173"/>
      <c r="VIS312" s="173"/>
      <c r="VIT312" s="173"/>
      <c r="VIU312" s="173"/>
      <c r="VIV312" s="173"/>
      <c r="VIW312" s="173"/>
      <c r="VIX312" s="173"/>
      <c r="VIY312" s="173"/>
      <c r="VIZ312" s="125"/>
      <c r="VJA312" s="125"/>
      <c r="VJB312" s="134"/>
      <c r="VJC312" s="135"/>
      <c r="VJD312" s="135"/>
      <c r="VJE312" s="135"/>
      <c r="VJF312" s="135"/>
      <c r="VJG312" s="173"/>
      <c r="VJH312" s="173"/>
      <c r="VJI312" s="173"/>
      <c r="VJJ312" s="173"/>
      <c r="VJK312" s="173"/>
      <c r="VJL312" s="173"/>
      <c r="VJM312" s="173"/>
      <c r="VJN312" s="173"/>
      <c r="VJO312" s="173"/>
      <c r="VJP312" s="173"/>
      <c r="VJQ312" s="125"/>
      <c r="VJR312" s="125"/>
      <c r="VJS312" s="134"/>
      <c r="VJT312" s="135"/>
      <c r="VJU312" s="135"/>
      <c r="VJV312" s="135"/>
      <c r="VJW312" s="135"/>
      <c r="VJX312" s="173"/>
      <c r="VJY312" s="173"/>
      <c r="VJZ312" s="173"/>
      <c r="VKA312" s="173"/>
      <c r="VKB312" s="173"/>
      <c r="VKC312" s="173"/>
      <c r="VKD312" s="173"/>
      <c r="VKE312" s="173"/>
      <c r="VKF312" s="173"/>
      <c r="VKG312" s="173"/>
      <c r="VKH312" s="125"/>
      <c r="VKI312" s="125"/>
      <c r="VKJ312" s="134"/>
      <c r="VKK312" s="135"/>
      <c r="VKL312" s="135"/>
      <c r="VKM312" s="135"/>
      <c r="VKN312" s="135"/>
      <c r="VKO312" s="173"/>
      <c r="VKP312" s="173"/>
      <c r="VKQ312" s="173"/>
      <c r="VKR312" s="173"/>
      <c r="VKS312" s="173"/>
      <c r="VKT312" s="173"/>
      <c r="VKU312" s="173"/>
      <c r="VKV312" s="173"/>
      <c r="VKW312" s="173"/>
      <c r="VKX312" s="173"/>
      <c r="VKY312" s="125"/>
      <c r="VKZ312" s="125"/>
      <c r="VLA312" s="134"/>
      <c r="VLB312" s="135"/>
      <c r="VLC312" s="135"/>
      <c r="VLD312" s="135"/>
      <c r="VLE312" s="135"/>
      <c r="VLF312" s="173"/>
      <c r="VLG312" s="173"/>
      <c r="VLH312" s="173"/>
      <c r="VLI312" s="173"/>
      <c r="VLJ312" s="173"/>
      <c r="VLK312" s="173"/>
      <c r="VLL312" s="173"/>
      <c r="VLM312" s="173"/>
      <c r="VLN312" s="173"/>
      <c r="VLO312" s="173"/>
      <c r="VLP312" s="125"/>
      <c r="VLQ312" s="125"/>
      <c r="VLR312" s="134"/>
      <c r="VLS312" s="135"/>
      <c r="VLT312" s="135"/>
      <c r="VLU312" s="135"/>
      <c r="VLV312" s="135"/>
      <c r="VLW312" s="173"/>
      <c r="VLX312" s="173"/>
      <c r="VLY312" s="173"/>
      <c r="VLZ312" s="173"/>
      <c r="VMA312" s="173"/>
      <c r="VMB312" s="173"/>
      <c r="VMC312" s="173"/>
      <c r="VMD312" s="173"/>
      <c r="VME312" s="173"/>
      <c r="VMF312" s="173"/>
      <c r="VMG312" s="125"/>
      <c r="VMH312" s="125"/>
      <c r="VMI312" s="134"/>
      <c r="VMJ312" s="135"/>
      <c r="VMK312" s="135"/>
      <c r="VML312" s="135"/>
      <c r="VMM312" s="135"/>
      <c r="VMN312" s="173"/>
      <c r="VMO312" s="173"/>
      <c r="VMP312" s="173"/>
      <c r="VMQ312" s="173"/>
      <c r="VMR312" s="173"/>
      <c r="VMS312" s="173"/>
      <c r="VMT312" s="173"/>
      <c r="VMU312" s="173"/>
      <c r="VMV312" s="173"/>
      <c r="VMW312" s="173"/>
      <c r="VMX312" s="125"/>
      <c r="VMY312" s="125"/>
      <c r="VMZ312" s="134"/>
      <c r="VNA312" s="135"/>
      <c r="VNB312" s="135"/>
      <c r="VNC312" s="135"/>
      <c r="VND312" s="135"/>
      <c r="VNE312" s="173"/>
      <c r="VNF312" s="173"/>
      <c r="VNG312" s="173"/>
      <c r="VNH312" s="173"/>
      <c r="VNI312" s="173"/>
      <c r="VNJ312" s="173"/>
      <c r="VNK312" s="173"/>
      <c r="VNL312" s="173"/>
      <c r="VNM312" s="173"/>
      <c r="VNN312" s="173"/>
      <c r="VNO312" s="125"/>
      <c r="VNP312" s="125"/>
      <c r="VNQ312" s="134"/>
      <c r="VNR312" s="135"/>
      <c r="VNS312" s="135"/>
      <c r="VNT312" s="135"/>
      <c r="VNU312" s="135"/>
      <c r="VNV312" s="173"/>
      <c r="VNW312" s="173"/>
      <c r="VNX312" s="173"/>
      <c r="VNY312" s="173"/>
      <c r="VNZ312" s="173"/>
      <c r="VOA312" s="173"/>
      <c r="VOB312" s="173"/>
      <c r="VOC312" s="173"/>
      <c r="VOD312" s="173"/>
      <c r="VOE312" s="173"/>
      <c r="VOF312" s="125"/>
      <c r="VOG312" s="125"/>
      <c r="VOH312" s="134"/>
      <c r="VOI312" s="135"/>
      <c r="VOJ312" s="135"/>
      <c r="VOK312" s="135"/>
      <c r="VOL312" s="135"/>
      <c r="VOM312" s="173"/>
      <c r="VON312" s="173"/>
      <c r="VOO312" s="173"/>
      <c r="VOP312" s="173"/>
      <c r="VOQ312" s="173"/>
      <c r="VOR312" s="173"/>
      <c r="VOS312" s="173"/>
      <c r="VOT312" s="173"/>
      <c r="VOU312" s="173"/>
      <c r="VOV312" s="173"/>
      <c r="VOW312" s="125"/>
      <c r="VOX312" s="125"/>
      <c r="VOY312" s="134"/>
      <c r="VOZ312" s="135"/>
      <c r="VPA312" s="135"/>
      <c r="VPB312" s="135"/>
      <c r="VPC312" s="135"/>
      <c r="VPD312" s="173"/>
      <c r="VPE312" s="173"/>
      <c r="VPF312" s="173"/>
      <c r="VPG312" s="173"/>
      <c r="VPH312" s="173"/>
      <c r="VPI312" s="173"/>
      <c r="VPJ312" s="173"/>
      <c r="VPK312" s="173"/>
      <c r="VPL312" s="173"/>
      <c r="VPM312" s="173"/>
      <c r="VPN312" s="125"/>
      <c r="VPO312" s="125"/>
      <c r="VPP312" s="134"/>
      <c r="VPQ312" s="135"/>
      <c r="VPR312" s="135"/>
      <c r="VPS312" s="135"/>
      <c r="VPT312" s="135"/>
      <c r="VPU312" s="173"/>
      <c r="VPV312" s="173"/>
      <c r="VPW312" s="173"/>
      <c r="VPX312" s="173"/>
      <c r="VPY312" s="173"/>
      <c r="VPZ312" s="173"/>
      <c r="VQA312" s="173"/>
      <c r="VQB312" s="173"/>
      <c r="VQC312" s="173"/>
      <c r="VQD312" s="173"/>
      <c r="VQE312" s="125"/>
      <c r="VQF312" s="125"/>
      <c r="VQG312" s="134"/>
      <c r="VQH312" s="135"/>
      <c r="VQI312" s="135"/>
      <c r="VQJ312" s="135"/>
      <c r="VQK312" s="135"/>
      <c r="VQL312" s="173"/>
      <c r="VQM312" s="173"/>
      <c r="VQN312" s="173"/>
      <c r="VQO312" s="173"/>
      <c r="VQP312" s="173"/>
      <c r="VQQ312" s="173"/>
      <c r="VQR312" s="173"/>
      <c r="VQS312" s="173"/>
      <c r="VQT312" s="173"/>
      <c r="VQU312" s="173"/>
      <c r="VQV312" s="125"/>
      <c r="VQW312" s="125"/>
      <c r="VQX312" s="134"/>
      <c r="VQY312" s="135"/>
      <c r="VQZ312" s="135"/>
      <c r="VRA312" s="135"/>
      <c r="VRB312" s="135"/>
      <c r="VRC312" s="173"/>
      <c r="VRD312" s="173"/>
      <c r="VRE312" s="173"/>
      <c r="VRF312" s="173"/>
      <c r="VRG312" s="173"/>
      <c r="VRH312" s="173"/>
      <c r="VRI312" s="173"/>
      <c r="VRJ312" s="173"/>
      <c r="VRK312" s="173"/>
      <c r="VRL312" s="173"/>
      <c r="VRM312" s="125"/>
      <c r="VRN312" s="125"/>
      <c r="VRO312" s="134"/>
      <c r="VRP312" s="135"/>
      <c r="VRQ312" s="135"/>
      <c r="VRR312" s="135"/>
      <c r="VRS312" s="135"/>
      <c r="VRT312" s="173"/>
      <c r="VRU312" s="173"/>
      <c r="VRV312" s="173"/>
      <c r="VRW312" s="173"/>
      <c r="VRX312" s="173"/>
      <c r="VRY312" s="173"/>
      <c r="VRZ312" s="173"/>
      <c r="VSA312" s="173"/>
      <c r="VSB312" s="173"/>
      <c r="VSC312" s="173"/>
      <c r="VSD312" s="125"/>
      <c r="VSE312" s="125"/>
      <c r="VSF312" s="134"/>
      <c r="VSG312" s="135"/>
      <c r="VSH312" s="135"/>
      <c r="VSI312" s="135"/>
      <c r="VSJ312" s="135"/>
      <c r="VSK312" s="173"/>
      <c r="VSL312" s="173"/>
      <c r="VSM312" s="173"/>
      <c r="VSN312" s="173"/>
      <c r="VSO312" s="173"/>
      <c r="VSP312" s="173"/>
      <c r="VSQ312" s="173"/>
      <c r="VSR312" s="173"/>
      <c r="VSS312" s="173"/>
      <c r="VST312" s="173"/>
      <c r="VSU312" s="125"/>
      <c r="VSV312" s="125"/>
      <c r="VSW312" s="134"/>
      <c r="VSX312" s="135"/>
      <c r="VSY312" s="135"/>
      <c r="VSZ312" s="135"/>
      <c r="VTA312" s="135"/>
      <c r="VTB312" s="173"/>
      <c r="VTC312" s="173"/>
      <c r="VTD312" s="173"/>
      <c r="VTE312" s="173"/>
      <c r="VTF312" s="173"/>
      <c r="VTG312" s="173"/>
      <c r="VTH312" s="173"/>
      <c r="VTI312" s="173"/>
      <c r="VTJ312" s="173"/>
      <c r="VTK312" s="173"/>
      <c r="VTL312" s="125"/>
      <c r="VTM312" s="125"/>
      <c r="VTN312" s="134"/>
      <c r="VTO312" s="135"/>
      <c r="VTP312" s="135"/>
      <c r="VTQ312" s="135"/>
      <c r="VTR312" s="135"/>
      <c r="VTS312" s="173"/>
      <c r="VTT312" s="173"/>
      <c r="VTU312" s="173"/>
      <c r="VTV312" s="173"/>
      <c r="VTW312" s="173"/>
      <c r="VTX312" s="173"/>
      <c r="VTY312" s="173"/>
      <c r="VTZ312" s="173"/>
      <c r="VUA312" s="173"/>
      <c r="VUB312" s="173"/>
      <c r="VUC312" s="125"/>
      <c r="VUD312" s="125"/>
      <c r="VUE312" s="134"/>
      <c r="VUF312" s="135"/>
      <c r="VUG312" s="135"/>
      <c r="VUH312" s="135"/>
      <c r="VUI312" s="135"/>
      <c r="VUJ312" s="173"/>
      <c r="VUK312" s="173"/>
      <c r="VUL312" s="173"/>
      <c r="VUM312" s="173"/>
      <c r="VUN312" s="173"/>
      <c r="VUO312" s="173"/>
      <c r="VUP312" s="173"/>
      <c r="VUQ312" s="173"/>
      <c r="VUR312" s="173"/>
      <c r="VUS312" s="173"/>
      <c r="VUT312" s="125"/>
      <c r="VUU312" s="125"/>
      <c r="VUV312" s="134"/>
      <c r="VUW312" s="135"/>
      <c r="VUX312" s="135"/>
      <c r="VUY312" s="135"/>
      <c r="VUZ312" s="135"/>
      <c r="VVA312" s="173"/>
      <c r="VVB312" s="173"/>
      <c r="VVC312" s="173"/>
      <c r="VVD312" s="173"/>
      <c r="VVE312" s="173"/>
      <c r="VVF312" s="173"/>
      <c r="VVG312" s="173"/>
      <c r="VVH312" s="173"/>
      <c r="VVI312" s="173"/>
      <c r="VVJ312" s="173"/>
      <c r="VVK312" s="125"/>
      <c r="VVL312" s="125"/>
      <c r="VVM312" s="134"/>
      <c r="VVN312" s="135"/>
      <c r="VVO312" s="135"/>
      <c r="VVP312" s="135"/>
      <c r="VVQ312" s="135"/>
      <c r="VVR312" s="173"/>
      <c r="VVS312" s="173"/>
      <c r="VVT312" s="173"/>
      <c r="VVU312" s="173"/>
      <c r="VVV312" s="173"/>
      <c r="VVW312" s="173"/>
      <c r="VVX312" s="173"/>
      <c r="VVY312" s="173"/>
      <c r="VVZ312" s="173"/>
      <c r="VWA312" s="173"/>
      <c r="VWB312" s="125"/>
      <c r="VWC312" s="125"/>
      <c r="VWD312" s="134"/>
      <c r="VWE312" s="135"/>
      <c r="VWF312" s="135"/>
      <c r="VWG312" s="135"/>
      <c r="VWH312" s="135"/>
      <c r="VWI312" s="173"/>
      <c r="VWJ312" s="173"/>
      <c r="VWK312" s="173"/>
      <c r="VWL312" s="173"/>
      <c r="VWM312" s="173"/>
      <c r="VWN312" s="173"/>
      <c r="VWO312" s="173"/>
      <c r="VWP312" s="173"/>
      <c r="VWQ312" s="173"/>
      <c r="VWR312" s="173"/>
      <c r="VWS312" s="125"/>
      <c r="VWT312" s="125"/>
      <c r="VWU312" s="134"/>
      <c r="VWV312" s="135"/>
      <c r="VWW312" s="135"/>
      <c r="VWX312" s="135"/>
      <c r="VWY312" s="135"/>
      <c r="VWZ312" s="173"/>
      <c r="VXA312" s="173"/>
      <c r="VXB312" s="173"/>
      <c r="VXC312" s="173"/>
      <c r="VXD312" s="173"/>
      <c r="VXE312" s="173"/>
      <c r="VXF312" s="173"/>
      <c r="VXG312" s="173"/>
      <c r="VXH312" s="173"/>
      <c r="VXI312" s="173"/>
      <c r="VXJ312" s="125"/>
      <c r="VXK312" s="125"/>
      <c r="VXL312" s="134"/>
      <c r="VXM312" s="135"/>
      <c r="VXN312" s="135"/>
      <c r="VXO312" s="135"/>
      <c r="VXP312" s="135"/>
      <c r="VXQ312" s="173"/>
      <c r="VXR312" s="173"/>
      <c r="VXS312" s="173"/>
      <c r="VXT312" s="173"/>
      <c r="VXU312" s="173"/>
      <c r="VXV312" s="173"/>
      <c r="VXW312" s="173"/>
      <c r="VXX312" s="173"/>
      <c r="VXY312" s="173"/>
      <c r="VXZ312" s="173"/>
      <c r="VYA312" s="125"/>
      <c r="VYB312" s="125"/>
      <c r="VYC312" s="134"/>
      <c r="VYD312" s="135"/>
      <c r="VYE312" s="135"/>
      <c r="VYF312" s="135"/>
      <c r="VYG312" s="135"/>
      <c r="VYH312" s="173"/>
      <c r="VYI312" s="173"/>
      <c r="VYJ312" s="173"/>
      <c r="VYK312" s="173"/>
      <c r="VYL312" s="173"/>
      <c r="VYM312" s="173"/>
      <c r="VYN312" s="173"/>
      <c r="VYO312" s="173"/>
      <c r="VYP312" s="173"/>
      <c r="VYQ312" s="173"/>
      <c r="VYR312" s="125"/>
      <c r="VYS312" s="125"/>
      <c r="VYT312" s="134"/>
      <c r="VYU312" s="135"/>
      <c r="VYV312" s="135"/>
      <c r="VYW312" s="135"/>
      <c r="VYX312" s="135"/>
      <c r="VYY312" s="173"/>
      <c r="VYZ312" s="173"/>
      <c r="VZA312" s="173"/>
      <c r="VZB312" s="173"/>
      <c r="VZC312" s="173"/>
      <c r="VZD312" s="173"/>
      <c r="VZE312" s="173"/>
      <c r="VZF312" s="173"/>
      <c r="VZG312" s="173"/>
      <c r="VZH312" s="173"/>
      <c r="VZI312" s="125"/>
      <c r="VZJ312" s="125"/>
      <c r="VZK312" s="134"/>
      <c r="VZL312" s="135"/>
      <c r="VZM312" s="135"/>
      <c r="VZN312" s="135"/>
      <c r="VZO312" s="135"/>
      <c r="VZP312" s="173"/>
      <c r="VZQ312" s="173"/>
      <c r="VZR312" s="173"/>
      <c r="VZS312" s="173"/>
      <c r="VZT312" s="173"/>
      <c r="VZU312" s="173"/>
      <c r="VZV312" s="173"/>
      <c r="VZW312" s="173"/>
      <c r="VZX312" s="173"/>
      <c r="VZY312" s="173"/>
      <c r="VZZ312" s="125"/>
      <c r="WAA312" s="125"/>
      <c r="WAB312" s="134"/>
      <c r="WAC312" s="135"/>
      <c r="WAD312" s="135"/>
      <c r="WAE312" s="135"/>
      <c r="WAF312" s="135"/>
      <c r="WAG312" s="173"/>
      <c r="WAH312" s="173"/>
      <c r="WAI312" s="173"/>
      <c r="WAJ312" s="173"/>
      <c r="WAK312" s="173"/>
      <c r="WAL312" s="173"/>
      <c r="WAM312" s="173"/>
      <c r="WAN312" s="173"/>
      <c r="WAO312" s="173"/>
      <c r="WAP312" s="173"/>
      <c r="WAQ312" s="125"/>
      <c r="WAR312" s="125"/>
      <c r="WAS312" s="134"/>
      <c r="WAT312" s="135"/>
      <c r="WAU312" s="135"/>
      <c r="WAV312" s="135"/>
      <c r="WAW312" s="135"/>
      <c r="WAX312" s="173"/>
      <c r="WAY312" s="173"/>
      <c r="WAZ312" s="173"/>
      <c r="WBA312" s="173"/>
      <c r="WBB312" s="173"/>
      <c r="WBC312" s="173"/>
      <c r="WBD312" s="173"/>
      <c r="WBE312" s="173"/>
      <c r="WBF312" s="173"/>
      <c r="WBG312" s="173"/>
      <c r="WBH312" s="125"/>
      <c r="WBI312" s="125"/>
      <c r="WBJ312" s="134"/>
      <c r="WBK312" s="135"/>
      <c r="WBL312" s="135"/>
      <c r="WBM312" s="135"/>
      <c r="WBN312" s="135"/>
      <c r="WBO312" s="173"/>
      <c r="WBP312" s="173"/>
      <c r="WBQ312" s="173"/>
      <c r="WBR312" s="173"/>
      <c r="WBS312" s="173"/>
      <c r="WBT312" s="173"/>
      <c r="WBU312" s="173"/>
      <c r="WBV312" s="173"/>
      <c r="WBW312" s="173"/>
      <c r="WBX312" s="173"/>
      <c r="WBY312" s="125"/>
      <c r="WBZ312" s="125"/>
      <c r="WCA312" s="134"/>
      <c r="WCB312" s="135"/>
      <c r="WCC312" s="135"/>
      <c r="WCD312" s="135"/>
      <c r="WCE312" s="135"/>
      <c r="WCF312" s="173"/>
      <c r="WCG312" s="173"/>
      <c r="WCH312" s="173"/>
      <c r="WCI312" s="173"/>
      <c r="WCJ312" s="173"/>
      <c r="WCK312" s="173"/>
      <c r="WCL312" s="173"/>
      <c r="WCM312" s="173"/>
      <c r="WCN312" s="173"/>
      <c r="WCO312" s="173"/>
      <c r="WCP312" s="125"/>
      <c r="WCQ312" s="125"/>
      <c r="WCR312" s="134"/>
      <c r="WCS312" s="135"/>
      <c r="WCT312" s="135"/>
      <c r="WCU312" s="135"/>
      <c r="WCV312" s="135"/>
      <c r="WCW312" s="173"/>
      <c r="WCX312" s="173"/>
      <c r="WCY312" s="173"/>
      <c r="WCZ312" s="173"/>
      <c r="WDA312" s="173"/>
      <c r="WDB312" s="173"/>
      <c r="WDC312" s="173"/>
      <c r="WDD312" s="173"/>
      <c r="WDE312" s="173"/>
      <c r="WDF312" s="173"/>
      <c r="WDG312" s="125"/>
      <c r="WDH312" s="125"/>
      <c r="WDI312" s="134"/>
      <c r="WDJ312" s="135"/>
      <c r="WDK312" s="135"/>
      <c r="WDL312" s="135"/>
      <c r="WDM312" s="135"/>
      <c r="WDN312" s="173"/>
      <c r="WDO312" s="173"/>
      <c r="WDP312" s="173"/>
      <c r="WDQ312" s="173"/>
      <c r="WDR312" s="173"/>
      <c r="WDS312" s="173"/>
      <c r="WDT312" s="173"/>
      <c r="WDU312" s="173"/>
      <c r="WDV312" s="173"/>
      <c r="WDW312" s="173"/>
      <c r="WDX312" s="125"/>
      <c r="WDY312" s="125"/>
      <c r="WDZ312" s="134"/>
      <c r="WEA312" s="135"/>
      <c r="WEB312" s="135"/>
      <c r="WEC312" s="135"/>
      <c r="WED312" s="135"/>
      <c r="WEE312" s="173"/>
      <c r="WEF312" s="173"/>
      <c r="WEG312" s="173"/>
      <c r="WEH312" s="173"/>
      <c r="WEI312" s="173"/>
      <c r="WEJ312" s="173"/>
      <c r="WEK312" s="173"/>
      <c r="WEL312" s="173"/>
      <c r="WEM312" s="173"/>
      <c r="WEN312" s="173"/>
      <c r="WEO312" s="125"/>
      <c r="WEP312" s="125"/>
      <c r="WEQ312" s="134"/>
      <c r="WER312" s="135"/>
      <c r="WES312" s="135"/>
      <c r="WET312" s="135"/>
      <c r="WEU312" s="135"/>
      <c r="WEV312" s="173"/>
      <c r="WEW312" s="173"/>
      <c r="WEX312" s="173"/>
      <c r="WEY312" s="173"/>
      <c r="WEZ312" s="173"/>
      <c r="WFA312" s="173"/>
      <c r="WFB312" s="173"/>
      <c r="WFC312" s="173"/>
      <c r="WFD312" s="173"/>
      <c r="WFE312" s="173"/>
      <c r="WFF312" s="125"/>
      <c r="WFG312" s="125"/>
      <c r="WFH312" s="134"/>
      <c r="WFI312" s="135"/>
      <c r="WFJ312" s="135"/>
      <c r="WFK312" s="135"/>
      <c r="WFL312" s="135"/>
      <c r="WFM312" s="173"/>
      <c r="WFN312" s="173"/>
      <c r="WFO312" s="173"/>
      <c r="WFP312" s="173"/>
      <c r="WFQ312" s="173"/>
      <c r="WFR312" s="173"/>
      <c r="WFS312" s="173"/>
      <c r="WFT312" s="173"/>
      <c r="WFU312" s="173"/>
      <c r="WFV312" s="173"/>
      <c r="WFW312" s="125"/>
      <c r="WFX312" s="125"/>
      <c r="WFY312" s="134"/>
      <c r="WFZ312" s="135"/>
      <c r="WGA312" s="135"/>
      <c r="WGB312" s="135"/>
      <c r="WGC312" s="135"/>
      <c r="WGD312" s="173"/>
      <c r="WGE312" s="173"/>
      <c r="WGF312" s="173"/>
      <c r="WGG312" s="173"/>
      <c r="WGH312" s="173"/>
      <c r="WGI312" s="173"/>
      <c r="WGJ312" s="173"/>
      <c r="WGK312" s="173"/>
      <c r="WGL312" s="173"/>
      <c r="WGM312" s="173"/>
      <c r="WGN312" s="125"/>
      <c r="WGO312" s="125"/>
      <c r="WGP312" s="134"/>
      <c r="WGQ312" s="135"/>
      <c r="WGR312" s="135"/>
      <c r="WGS312" s="135"/>
      <c r="WGT312" s="135"/>
      <c r="WGU312" s="173"/>
      <c r="WGV312" s="173"/>
      <c r="WGW312" s="173"/>
      <c r="WGX312" s="173"/>
      <c r="WGY312" s="173"/>
      <c r="WGZ312" s="173"/>
      <c r="WHA312" s="173"/>
      <c r="WHB312" s="173"/>
      <c r="WHC312" s="173"/>
      <c r="WHD312" s="173"/>
      <c r="WHE312" s="125"/>
      <c r="WHF312" s="125"/>
      <c r="WHG312" s="134"/>
      <c r="WHH312" s="135"/>
      <c r="WHI312" s="135"/>
      <c r="WHJ312" s="135"/>
      <c r="WHK312" s="135"/>
      <c r="WHL312" s="173"/>
      <c r="WHM312" s="173"/>
      <c r="WHN312" s="173"/>
      <c r="WHO312" s="173"/>
      <c r="WHP312" s="173"/>
      <c r="WHQ312" s="173"/>
      <c r="WHR312" s="173"/>
      <c r="WHS312" s="173"/>
      <c r="WHT312" s="173"/>
      <c r="WHU312" s="173"/>
      <c r="WHV312" s="125"/>
      <c r="WHW312" s="125"/>
      <c r="WHX312" s="134"/>
      <c r="WHY312" s="135"/>
      <c r="WHZ312" s="135"/>
      <c r="WIA312" s="135"/>
      <c r="WIB312" s="135"/>
      <c r="WIC312" s="173"/>
      <c r="WID312" s="173"/>
      <c r="WIE312" s="173"/>
      <c r="WIF312" s="173"/>
      <c r="WIG312" s="173"/>
      <c r="WIH312" s="173"/>
      <c r="WII312" s="173"/>
      <c r="WIJ312" s="173"/>
      <c r="WIK312" s="173"/>
      <c r="WIL312" s="173"/>
      <c r="WIM312" s="125"/>
      <c r="WIN312" s="125"/>
      <c r="WIO312" s="134"/>
      <c r="WIP312" s="135"/>
      <c r="WIQ312" s="135"/>
      <c r="WIR312" s="135"/>
      <c r="WIS312" s="135"/>
      <c r="WIT312" s="173"/>
      <c r="WIU312" s="173"/>
      <c r="WIV312" s="173"/>
      <c r="WIW312" s="173"/>
      <c r="WIX312" s="173"/>
      <c r="WIY312" s="173"/>
      <c r="WIZ312" s="173"/>
      <c r="WJA312" s="173"/>
      <c r="WJB312" s="173"/>
      <c r="WJC312" s="173"/>
      <c r="WJD312" s="125"/>
      <c r="WJE312" s="125"/>
      <c r="WJF312" s="134"/>
      <c r="WJG312" s="135"/>
      <c r="WJH312" s="135"/>
      <c r="WJI312" s="135"/>
      <c r="WJJ312" s="135"/>
      <c r="WJK312" s="173"/>
      <c r="WJL312" s="173"/>
      <c r="WJM312" s="173"/>
      <c r="WJN312" s="173"/>
      <c r="WJO312" s="173"/>
      <c r="WJP312" s="173"/>
      <c r="WJQ312" s="173"/>
      <c r="WJR312" s="173"/>
      <c r="WJS312" s="173"/>
      <c r="WJT312" s="173"/>
      <c r="WJU312" s="125"/>
      <c r="WJV312" s="125"/>
      <c r="WJW312" s="134"/>
      <c r="WJX312" s="135"/>
      <c r="WJY312" s="135"/>
      <c r="WJZ312" s="135"/>
      <c r="WKA312" s="135"/>
      <c r="WKB312" s="173"/>
      <c r="WKC312" s="173"/>
      <c r="WKD312" s="173"/>
      <c r="WKE312" s="173"/>
      <c r="WKF312" s="173"/>
      <c r="WKG312" s="173"/>
      <c r="WKH312" s="173"/>
      <c r="WKI312" s="173"/>
      <c r="WKJ312" s="173"/>
      <c r="WKK312" s="173"/>
      <c r="WKL312" s="125"/>
      <c r="WKM312" s="125"/>
      <c r="WKN312" s="134"/>
      <c r="WKO312" s="135"/>
      <c r="WKP312" s="135"/>
      <c r="WKQ312" s="135"/>
      <c r="WKR312" s="135"/>
      <c r="WKS312" s="173"/>
      <c r="WKT312" s="173"/>
      <c r="WKU312" s="173"/>
      <c r="WKV312" s="173"/>
      <c r="WKW312" s="173"/>
      <c r="WKX312" s="173"/>
      <c r="WKY312" s="173"/>
      <c r="WKZ312" s="173"/>
      <c r="WLA312" s="173"/>
      <c r="WLB312" s="173"/>
      <c r="WLC312" s="125"/>
      <c r="WLD312" s="125"/>
      <c r="WLE312" s="134"/>
      <c r="WLF312" s="135"/>
      <c r="WLG312" s="135"/>
      <c r="WLH312" s="135"/>
      <c r="WLI312" s="135"/>
      <c r="WLJ312" s="173"/>
      <c r="WLK312" s="173"/>
      <c r="WLL312" s="173"/>
      <c r="WLM312" s="173"/>
      <c r="WLN312" s="173"/>
      <c r="WLO312" s="173"/>
      <c r="WLP312" s="173"/>
      <c r="WLQ312" s="173"/>
      <c r="WLR312" s="173"/>
      <c r="WLS312" s="173"/>
      <c r="WLT312" s="125"/>
      <c r="WLU312" s="125"/>
      <c r="WLV312" s="134"/>
      <c r="WLW312" s="135"/>
      <c r="WLX312" s="135"/>
      <c r="WLY312" s="135"/>
      <c r="WLZ312" s="135"/>
      <c r="WMA312" s="173"/>
      <c r="WMB312" s="173"/>
      <c r="WMC312" s="173"/>
      <c r="WMD312" s="173"/>
      <c r="WME312" s="173"/>
      <c r="WMF312" s="173"/>
      <c r="WMG312" s="173"/>
      <c r="WMH312" s="173"/>
      <c r="WMI312" s="173"/>
      <c r="WMJ312" s="173"/>
      <c r="WMK312" s="125"/>
      <c r="WML312" s="125"/>
      <c r="WMM312" s="134"/>
      <c r="WMN312" s="135"/>
      <c r="WMO312" s="135"/>
      <c r="WMP312" s="135"/>
      <c r="WMQ312" s="135"/>
      <c r="WMR312" s="173"/>
      <c r="WMS312" s="173"/>
      <c r="WMT312" s="173"/>
      <c r="WMU312" s="173"/>
      <c r="WMV312" s="173"/>
      <c r="WMW312" s="173"/>
      <c r="WMX312" s="173"/>
      <c r="WMY312" s="173"/>
      <c r="WMZ312" s="173"/>
      <c r="WNA312" s="173"/>
      <c r="WNB312" s="125"/>
      <c r="WNC312" s="125"/>
      <c r="WND312" s="134"/>
      <c r="WNE312" s="135"/>
      <c r="WNF312" s="135"/>
      <c r="WNG312" s="135"/>
      <c r="WNH312" s="135"/>
      <c r="WNI312" s="173"/>
      <c r="WNJ312" s="173"/>
      <c r="WNK312" s="173"/>
      <c r="WNL312" s="173"/>
      <c r="WNM312" s="173"/>
      <c r="WNN312" s="173"/>
      <c r="WNO312" s="173"/>
      <c r="WNP312" s="173"/>
      <c r="WNQ312" s="173"/>
      <c r="WNR312" s="173"/>
      <c r="WNS312" s="125"/>
      <c r="WNT312" s="125"/>
      <c r="WNU312" s="134"/>
      <c r="WNV312" s="135"/>
      <c r="WNW312" s="135"/>
      <c r="WNX312" s="135"/>
      <c r="WNY312" s="135"/>
      <c r="WNZ312" s="173"/>
      <c r="WOA312" s="173"/>
      <c r="WOB312" s="173"/>
      <c r="WOC312" s="173"/>
      <c r="WOD312" s="173"/>
      <c r="WOE312" s="173"/>
      <c r="WOF312" s="173"/>
      <c r="WOG312" s="173"/>
      <c r="WOH312" s="173"/>
      <c r="WOI312" s="173"/>
      <c r="WOJ312" s="125"/>
      <c r="WOK312" s="125"/>
      <c r="WOL312" s="134"/>
      <c r="WOM312" s="135"/>
      <c r="WON312" s="135"/>
      <c r="WOO312" s="135"/>
      <c r="WOP312" s="135"/>
      <c r="WOQ312" s="173"/>
      <c r="WOR312" s="173"/>
      <c r="WOS312" s="173"/>
      <c r="WOT312" s="173"/>
      <c r="WOU312" s="173"/>
      <c r="WOV312" s="173"/>
      <c r="WOW312" s="173"/>
      <c r="WOX312" s="173"/>
      <c r="WOY312" s="173"/>
      <c r="WOZ312" s="173"/>
      <c r="WPA312" s="125"/>
      <c r="WPB312" s="125"/>
      <c r="WPC312" s="134"/>
      <c r="WPD312" s="135"/>
      <c r="WPE312" s="135"/>
      <c r="WPF312" s="135"/>
      <c r="WPG312" s="135"/>
      <c r="WPH312" s="173"/>
      <c r="WPI312" s="173"/>
      <c r="WPJ312" s="173"/>
      <c r="WPK312" s="173"/>
      <c r="WPL312" s="173"/>
      <c r="WPM312" s="173"/>
      <c r="WPN312" s="173"/>
      <c r="WPO312" s="173"/>
      <c r="WPP312" s="173"/>
      <c r="WPQ312" s="173"/>
      <c r="WPR312" s="125"/>
      <c r="WPS312" s="125"/>
      <c r="WPT312" s="134"/>
      <c r="WPU312" s="135"/>
      <c r="WPV312" s="135"/>
      <c r="WPW312" s="135"/>
      <c r="WPX312" s="135"/>
      <c r="WPY312" s="173"/>
      <c r="WPZ312" s="173"/>
      <c r="WQA312" s="173"/>
      <c r="WQB312" s="173"/>
      <c r="WQC312" s="173"/>
      <c r="WQD312" s="173"/>
      <c r="WQE312" s="173"/>
      <c r="WQF312" s="173"/>
      <c r="WQG312" s="173"/>
      <c r="WQH312" s="173"/>
      <c r="WQI312" s="125"/>
      <c r="WQJ312" s="125"/>
      <c r="WQK312" s="134"/>
      <c r="WQL312" s="135"/>
      <c r="WQM312" s="135"/>
      <c r="WQN312" s="135"/>
      <c r="WQO312" s="135"/>
      <c r="WQP312" s="173"/>
      <c r="WQQ312" s="173"/>
      <c r="WQR312" s="173"/>
      <c r="WQS312" s="173"/>
      <c r="WQT312" s="173"/>
      <c r="WQU312" s="173"/>
      <c r="WQV312" s="173"/>
      <c r="WQW312" s="173"/>
      <c r="WQX312" s="173"/>
      <c r="WQY312" s="173"/>
      <c r="WQZ312" s="125"/>
      <c r="WRA312" s="125"/>
      <c r="WRB312" s="134"/>
      <c r="WRC312" s="135"/>
      <c r="WRD312" s="135"/>
      <c r="WRE312" s="135"/>
      <c r="WRF312" s="135"/>
      <c r="WRG312" s="173"/>
      <c r="WRH312" s="173"/>
      <c r="WRI312" s="173"/>
      <c r="WRJ312" s="173"/>
      <c r="WRK312" s="173"/>
      <c r="WRL312" s="173"/>
      <c r="WRM312" s="173"/>
      <c r="WRN312" s="173"/>
      <c r="WRO312" s="173"/>
      <c r="WRP312" s="173"/>
      <c r="WRQ312" s="125"/>
      <c r="WRR312" s="125"/>
      <c r="WRS312" s="134"/>
      <c r="WRT312" s="135"/>
      <c r="WRU312" s="135"/>
      <c r="WRV312" s="135"/>
      <c r="WRW312" s="135"/>
      <c r="WRX312" s="173"/>
      <c r="WRY312" s="173"/>
      <c r="WRZ312" s="173"/>
      <c r="WSA312" s="173"/>
      <c r="WSB312" s="173"/>
      <c r="WSC312" s="173"/>
      <c r="WSD312" s="173"/>
      <c r="WSE312" s="173"/>
      <c r="WSF312" s="173"/>
      <c r="WSG312" s="173"/>
      <c r="WSH312" s="125"/>
      <c r="WSI312" s="125"/>
      <c r="WSJ312" s="134"/>
      <c r="WSK312" s="135"/>
      <c r="WSL312" s="135"/>
      <c r="WSM312" s="135"/>
      <c r="WSN312" s="135"/>
      <c r="WSO312" s="173"/>
      <c r="WSP312" s="173"/>
      <c r="WSQ312" s="173"/>
      <c r="WSR312" s="173"/>
      <c r="WSS312" s="173"/>
      <c r="WST312" s="173"/>
      <c r="WSU312" s="173"/>
      <c r="WSV312" s="173"/>
      <c r="WSW312" s="173"/>
      <c r="WSX312" s="173"/>
      <c r="WSY312" s="125"/>
      <c r="WSZ312" s="125"/>
      <c r="WTA312" s="134"/>
      <c r="WTB312" s="135"/>
      <c r="WTC312" s="135"/>
      <c r="WTD312" s="135"/>
      <c r="WTE312" s="135"/>
      <c r="WTF312" s="173"/>
      <c r="WTG312" s="173"/>
      <c r="WTH312" s="173"/>
      <c r="WTI312" s="173"/>
      <c r="WTJ312" s="173"/>
      <c r="WTK312" s="173"/>
      <c r="WTL312" s="173"/>
      <c r="WTM312" s="173"/>
      <c r="WTN312" s="173"/>
      <c r="WTO312" s="173"/>
      <c r="WTP312" s="125"/>
      <c r="WTQ312" s="125"/>
      <c r="WTR312" s="134"/>
      <c r="WTS312" s="135"/>
      <c r="WTT312" s="135"/>
      <c r="WTU312" s="135"/>
      <c r="WTV312" s="135"/>
      <c r="WTW312" s="173"/>
      <c r="WTX312" s="173"/>
      <c r="WTY312" s="173"/>
      <c r="WTZ312" s="173"/>
      <c r="WUA312" s="173"/>
      <c r="WUB312" s="173"/>
      <c r="WUC312" s="173"/>
      <c r="WUD312" s="173"/>
      <c r="WUE312" s="173"/>
      <c r="WUF312" s="173"/>
      <c r="WUG312" s="125"/>
      <c r="WUH312" s="125"/>
      <c r="WUI312" s="134"/>
      <c r="WUJ312" s="135"/>
      <c r="WUK312" s="135"/>
      <c r="WUL312" s="135"/>
      <c r="WUM312" s="135"/>
      <c r="WUN312" s="173"/>
      <c r="WUO312" s="173"/>
      <c r="WUP312" s="173"/>
      <c r="WUQ312" s="173"/>
      <c r="WUR312" s="173"/>
      <c r="WUS312" s="173"/>
      <c r="WUT312" s="173"/>
      <c r="WUU312" s="173"/>
      <c r="WUV312" s="173"/>
      <c r="WUW312" s="173"/>
      <c r="WUX312" s="125"/>
      <c r="WUY312" s="125"/>
      <c r="WUZ312" s="134"/>
      <c r="WVA312" s="135"/>
      <c r="WVB312" s="135"/>
      <c r="WVC312" s="135"/>
      <c r="WVD312" s="135"/>
      <c r="WVE312" s="173"/>
      <c r="WVF312" s="173"/>
      <c r="WVG312" s="173"/>
      <c r="WVH312" s="173"/>
      <c r="WVI312" s="173"/>
      <c r="WVJ312" s="173"/>
      <c r="WVK312" s="173"/>
      <c r="WVL312" s="173"/>
      <c r="WVM312" s="173"/>
      <c r="WVN312" s="173"/>
      <c r="WVO312" s="125"/>
      <c r="WVP312" s="125"/>
      <c r="WVQ312" s="134"/>
      <c r="WVR312" s="135"/>
      <c r="WVS312" s="135"/>
      <c r="WVT312" s="135"/>
      <c r="WVU312" s="135"/>
      <c r="WVV312" s="173"/>
      <c r="WVW312" s="173"/>
      <c r="WVX312" s="173"/>
      <c r="WVY312" s="173"/>
      <c r="WVZ312" s="173"/>
      <c r="WWA312" s="173"/>
      <c r="WWB312" s="173"/>
      <c r="WWC312" s="173"/>
      <c r="WWD312" s="173"/>
      <c r="WWE312" s="173"/>
      <c r="WWF312" s="125"/>
      <c r="WWG312" s="125"/>
      <c r="WWH312" s="134"/>
      <c r="WWI312" s="135"/>
      <c r="WWJ312" s="135"/>
      <c r="WWK312" s="135"/>
      <c r="WWL312" s="135"/>
      <c r="WWM312" s="173"/>
      <c r="WWN312" s="173"/>
      <c r="WWO312" s="173"/>
      <c r="WWP312" s="173"/>
      <c r="WWQ312" s="173"/>
      <c r="WWR312" s="173"/>
      <c r="WWS312" s="173"/>
      <c r="WWT312" s="173"/>
      <c r="WWU312" s="173"/>
      <c r="WWV312" s="173"/>
      <c r="WWW312" s="125"/>
      <c r="WWX312" s="125"/>
      <c r="WWY312" s="134"/>
      <c r="WWZ312" s="135"/>
      <c r="WXA312" s="135"/>
      <c r="WXB312" s="135"/>
      <c r="WXC312" s="135"/>
      <c r="WXD312" s="173"/>
      <c r="WXE312" s="173"/>
      <c r="WXF312" s="173"/>
      <c r="WXG312" s="173"/>
      <c r="WXH312" s="173"/>
      <c r="WXI312" s="173"/>
      <c r="WXJ312" s="173"/>
      <c r="WXK312" s="173"/>
      <c r="WXL312" s="173"/>
      <c r="WXM312" s="173"/>
      <c r="WXN312" s="125"/>
      <c r="WXO312" s="125"/>
      <c r="WXP312" s="134"/>
      <c r="WXQ312" s="135"/>
      <c r="WXR312" s="135"/>
      <c r="WXS312" s="135"/>
      <c r="WXT312" s="135"/>
      <c r="WXU312" s="173"/>
      <c r="WXV312" s="173"/>
      <c r="WXW312" s="173"/>
      <c r="WXX312" s="173"/>
      <c r="WXY312" s="173"/>
      <c r="WXZ312" s="173"/>
      <c r="WYA312" s="173"/>
      <c r="WYB312" s="173"/>
      <c r="WYC312" s="173"/>
      <c r="WYD312" s="173"/>
      <c r="WYE312" s="125"/>
      <c r="WYF312" s="125"/>
      <c r="WYG312" s="134"/>
      <c r="WYH312" s="135"/>
      <c r="WYI312" s="135"/>
      <c r="WYJ312" s="135"/>
      <c r="WYK312" s="135"/>
      <c r="WYL312" s="173"/>
      <c r="WYM312" s="173"/>
      <c r="WYN312" s="173"/>
      <c r="WYO312" s="173"/>
      <c r="WYP312" s="173"/>
      <c r="WYQ312" s="173"/>
      <c r="WYR312" s="173"/>
      <c r="WYS312" s="173"/>
      <c r="WYT312" s="173"/>
      <c r="WYU312" s="173"/>
      <c r="WYV312" s="125"/>
      <c r="WYW312" s="125"/>
      <c r="WYX312" s="134"/>
      <c r="WYY312" s="135"/>
      <c r="WYZ312" s="135"/>
      <c r="WZA312" s="135"/>
      <c r="WZB312" s="135"/>
      <c r="WZC312" s="173"/>
      <c r="WZD312" s="173"/>
      <c r="WZE312" s="173"/>
      <c r="WZF312" s="173"/>
      <c r="WZG312" s="173"/>
      <c r="WZH312" s="173"/>
      <c r="WZI312" s="173"/>
      <c r="WZJ312" s="173"/>
      <c r="WZK312" s="173"/>
      <c r="WZL312" s="173"/>
      <c r="WZM312" s="125"/>
      <c r="WZN312" s="125"/>
      <c r="WZO312" s="134"/>
      <c r="WZP312" s="135"/>
      <c r="WZQ312" s="135"/>
      <c r="WZR312" s="135"/>
      <c r="WZS312" s="135"/>
      <c r="WZT312" s="173"/>
      <c r="WZU312" s="173"/>
      <c r="WZV312" s="173"/>
      <c r="WZW312" s="173"/>
      <c r="WZX312" s="173"/>
      <c r="WZY312" s="173"/>
      <c r="WZZ312" s="173"/>
      <c r="XAA312" s="173"/>
      <c r="XAB312" s="173"/>
      <c r="XAC312" s="173"/>
      <c r="XAD312" s="125"/>
      <c r="XAE312" s="125"/>
      <c r="XAF312" s="134"/>
      <c r="XAG312" s="135"/>
      <c r="XAH312" s="135"/>
      <c r="XAI312" s="135"/>
      <c r="XAJ312" s="135"/>
      <c r="XAK312" s="173"/>
      <c r="XAL312" s="173"/>
      <c r="XAM312" s="173"/>
      <c r="XAN312" s="173"/>
      <c r="XAO312" s="173"/>
      <c r="XAP312" s="173"/>
      <c r="XAQ312" s="173"/>
      <c r="XAR312" s="173"/>
      <c r="XAS312" s="173"/>
      <c r="XAT312" s="173"/>
      <c r="XAU312" s="125"/>
      <c r="XAV312" s="125"/>
      <c r="XAW312" s="134"/>
      <c r="XAX312" s="135"/>
      <c r="XAY312" s="135"/>
      <c r="XAZ312" s="135"/>
      <c r="XBA312" s="135"/>
      <c r="XBB312" s="173"/>
      <c r="XBC312" s="173"/>
      <c r="XBD312" s="173"/>
      <c r="XBE312" s="173"/>
      <c r="XBF312" s="173"/>
      <c r="XBG312" s="173"/>
      <c r="XBH312" s="173"/>
      <c r="XBI312" s="173"/>
      <c r="XBJ312" s="173"/>
      <c r="XBK312" s="173"/>
      <c r="XBL312" s="125"/>
      <c r="XBM312" s="125"/>
      <c r="XBN312" s="134"/>
      <c r="XBO312" s="135"/>
      <c r="XBP312" s="135"/>
      <c r="XBQ312" s="135"/>
      <c r="XBR312" s="135"/>
      <c r="XBS312" s="173"/>
      <c r="XBT312" s="173"/>
      <c r="XBU312" s="173"/>
      <c r="XBV312" s="173"/>
      <c r="XBW312" s="173"/>
      <c r="XBX312" s="173"/>
      <c r="XBY312" s="173"/>
      <c r="XBZ312" s="173"/>
      <c r="XCA312" s="173"/>
      <c r="XCB312" s="173"/>
      <c r="XCC312" s="125"/>
      <c r="XCD312" s="125"/>
      <c r="XCE312" s="134"/>
      <c r="XCF312" s="135"/>
      <c r="XCG312" s="135"/>
      <c r="XCH312" s="135"/>
      <c r="XCI312" s="135"/>
      <c r="XCJ312" s="173"/>
      <c r="XCK312" s="173"/>
      <c r="XCL312" s="173"/>
      <c r="XCM312" s="173"/>
      <c r="XCN312" s="173"/>
      <c r="XCO312" s="173"/>
      <c r="XCP312" s="173"/>
      <c r="XCQ312" s="173"/>
      <c r="XCR312" s="173"/>
      <c r="XCS312" s="173"/>
      <c r="XCT312" s="125"/>
      <c r="XCU312" s="125"/>
      <c r="XCV312" s="134"/>
      <c r="XCW312" s="135"/>
      <c r="XCX312" s="135"/>
      <c r="XCY312" s="135"/>
      <c r="XCZ312" s="135"/>
      <c r="XDA312" s="173"/>
      <c r="XDB312" s="173"/>
      <c r="XDC312" s="173"/>
      <c r="XDD312" s="173"/>
      <c r="XDE312" s="173"/>
      <c r="XDF312" s="173"/>
      <c r="XDG312" s="173"/>
      <c r="XDH312" s="173"/>
      <c r="XDI312" s="173"/>
      <c r="XDJ312" s="173"/>
      <c r="XDK312" s="125"/>
      <c r="XDL312" s="125"/>
      <c r="XDM312" s="134"/>
      <c r="XDN312" s="135"/>
      <c r="XDO312" s="135"/>
      <c r="XDP312" s="135"/>
      <c r="XDQ312" s="135"/>
      <c r="XDR312" s="173"/>
      <c r="XDS312" s="173"/>
      <c r="XDT312" s="173"/>
      <c r="XDU312" s="173"/>
      <c r="XDV312" s="173"/>
      <c r="XDW312" s="173"/>
      <c r="XDX312" s="173"/>
      <c r="XDY312" s="173"/>
      <c r="XDZ312" s="173"/>
      <c r="XEA312" s="173"/>
      <c r="XEB312" s="125"/>
      <c r="XEC312" s="125"/>
      <c r="XED312" s="134"/>
      <c r="XEE312" s="135"/>
      <c r="XEF312" s="135"/>
      <c r="XEG312" s="135"/>
      <c r="XEH312" s="135"/>
      <c r="XEI312" s="173"/>
      <c r="XEJ312" s="173"/>
      <c r="XEK312" s="173"/>
      <c r="XEL312" s="173"/>
      <c r="XEM312" s="173"/>
      <c r="XEN312" s="173"/>
      <c r="XEO312" s="173"/>
      <c r="XEP312" s="173"/>
      <c r="XEQ312" s="173"/>
      <c r="XER312" s="173"/>
      <c r="XES312" s="125"/>
      <c r="XET312" s="125"/>
      <c r="XEU312" s="134"/>
      <c r="XEV312" s="135"/>
      <c r="XEW312" s="135"/>
      <c r="XEX312" s="135"/>
      <c r="XEY312" s="135"/>
      <c r="XEZ312" s="173"/>
      <c r="XFA312" s="173"/>
      <c r="XFB312" s="173"/>
    </row>
    <row r="313" spans="1:16382">
      <c r="C313" s="164" t="s">
        <v>184</v>
      </c>
      <c r="G313" s="164" t="s">
        <v>176</v>
      </c>
      <c r="J313" s="170">
        <f t="shared" ref="J313:R313" si="221">J312/I312-1</f>
        <v>-3.6782940418142784E-2</v>
      </c>
      <c r="K313" s="170">
        <f t="shared" si="221"/>
        <v>0.15027605907529851</v>
      </c>
      <c r="L313" s="170">
        <f t="shared" si="221"/>
        <v>0.11646125557079712</v>
      </c>
      <c r="M313" s="170">
        <f t="shared" si="221"/>
        <v>0.11654244532076152</v>
      </c>
      <c r="N313" s="170">
        <f t="shared" si="221"/>
        <v>-4.5676762145888228E-2</v>
      </c>
      <c r="O313" s="170">
        <f t="shared" si="221"/>
        <v>1.8537801640818197E-2</v>
      </c>
      <c r="P313" s="170">
        <f t="shared" si="221"/>
        <v>4.928441988785992E-2</v>
      </c>
      <c r="Q313" s="170">
        <f t="shared" si="221"/>
        <v>0.13913797893372326</v>
      </c>
      <c r="R313" s="170">
        <f t="shared" si="221"/>
        <v>0.12279773397156357</v>
      </c>
      <c r="S313"/>
      <c r="T313"/>
      <c r="U313"/>
      <c r="V313"/>
      <c r="W313"/>
      <c r="X313"/>
      <c r="Y313"/>
      <c r="AA313"/>
      <c r="AB313"/>
      <c r="AC313"/>
      <c r="AD313"/>
      <c r="AE313"/>
      <c r="AF313"/>
    </row>
    <row r="314" spans="1:16382">
      <c r="A314" s="129" t="str">
        <f>'[7]Input sheet'!A129</f>
        <v>Turkey</v>
      </c>
      <c r="B314" s="129" t="str">
        <f>'[7]Input sheet'!B129</f>
        <v>Tourism Spend Factors</v>
      </c>
      <c r="C314" s="4" t="str">
        <f>'[7]Input sheet'!C129</f>
        <v>Total National Tourism Expenditure by Tourist Destination</v>
      </c>
      <c r="D314" s="15" t="str">
        <f>'[7]Input sheet'!D129</f>
        <v>Domestic Trips</v>
      </c>
      <c r="E314"/>
      <c r="F314"/>
      <c r="G314" s="262" t="str">
        <f>Home!$B$2&amp;" Million"</f>
        <v>Foriant Million</v>
      </c>
      <c r="H314" s="206">
        <f>H5</f>
        <v>124398.04478439735</v>
      </c>
      <c r="I314" s="206">
        <f>I5</f>
        <v>133159.4462424785</v>
      </c>
      <c r="J314" s="206">
        <f t="shared" ref="J314:M314" si="222">J5</f>
        <v>140651.07996968244</v>
      </c>
      <c r="K314" s="206">
        <f t="shared" si="222"/>
        <v>135928.08462116896</v>
      </c>
      <c r="L314" s="206">
        <f t="shared" si="222"/>
        <v>142001.32699014113</v>
      </c>
      <c r="M314" s="206">
        <f t="shared" si="222"/>
        <v>145699.39307754498</v>
      </c>
      <c r="N314" s="206">
        <f>N5</f>
        <v>150692.53072623166</v>
      </c>
      <c r="O314" s="206">
        <f>O5</f>
        <v>148144.6361860891</v>
      </c>
      <c r="P314" s="206">
        <f>P5</f>
        <v>148043.0606268548</v>
      </c>
      <c r="Q314" s="206">
        <f>Q5</f>
        <v>150332.67883442971</v>
      </c>
      <c r="R314" s="206">
        <f>R5</f>
        <v>151226.34808952539</v>
      </c>
      <c r="S314"/>
      <c r="T314"/>
      <c r="U314"/>
      <c r="V314"/>
      <c r="W314"/>
      <c r="X314"/>
      <c r="Y314"/>
      <c r="AA314"/>
      <c r="AB314"/>
      <c r="AC314"/>
      <c r="AD314"/>
      <c r="AE314"/>
      <c r="AF314"/>
    </row>
    <row r="315" spans="1:16382">
      <c r="C315" s="164" t="s">
        <v>184</v>
      </c>
      <c r="G315" s="164" t="s">
        <v>176</v>
      </c>
      <c r="J315" s="170">
        <f t="shared" ref="J315:R315" si="223">J314/I314-1</f>
        <v>5.6260625427669186E-2</v>
      </c>
      <c r="K315" s="170">
        <f t="shared" si="223"/>
        <v>-3.3579517125154834E-2</v>
      </c>
      <c r="L315" s="170">
        <f t="shared" si="223"/>
        <v>4.4679820111482194E-2</v>
      </c>
      <c r="M315" s="170">
        <f t="shared" si="223"/>
        <v>2.6042475558419209E-2</v>
      </c>
      <c r="N315" s="170">
        <f t="shared" si="223"/>
        <v>3.4270133479754383E-2</v>
      </c>
      <c r="O315" s="170">
        <f t="shared" si="223"/>
        <v>-1.6907901989989149E-2</v>
      </c>
      <c r="P315" s="170">
        <f t="shared" si="223"/>
        <v>-6.8565127870512388E-4</v>
      </c>
      <c r="Q315" s="170">
        <f t="shared" si="223"/>
        <v>1.54658934899079E-2</v>
      </c>
      <c r="R315" s="170">
        <f t="shared" si="223"/>
        <v>5.9446107261877934E-3</v>
      </c>
      <c r="S315"/>
      <c r="T315"/>
      <c r="U315"/>
      <c r="V315"/>
      <c r="W315"/>
      <c r="X315"/>
      <c r="Y315"/>
      <c r="AA315"/>
      <c r="AB315"/>
      <c r="AC315"/>
      <c r="AD315"/>
      <c r="AE315"/>
      <c r="AF315"/>
    </row>
    <row r="316" spans="1:16382">
      <c r="A316" s="129" t="str">
        <f>'[7]Input sheet'!A130</f>
        <v>Turkey</v>
      </c>
      <c r="B316" s="129" t="str">
        <f>'[7]Input sheet'!B130</f>
        <v>Tourism Spend Factors</v>
      </c>
      <c r="C316" s="4" t="str">
        <f>'[7]Input sheet'!C130</f>
        <v>Total National Tourism Expenditure by Tourist Destination</v>
      </c>
      <c r="D316" s="15" t="str">
        <f>'[7]Input sheet'!D130</f>
        <v>International Trips</v>
      </c>
      <c r="E316"/>
      <c r="F316"/>
      <c r="G316" s="262" t="str">
        <f>Home!$B$2&amp;" Million"</f>
        <v>Foriant Million</v>
      </c>
      <c r="H316" s="206">
        <f>H37</f>
        <v>2826386.3076646924</v>
      </c>
      <c r="I316" s="206">
        <f>I37</f>
        <v>2856948.7937026611</v>
      </c>
      <c r="J316" s="206">
        <f t="shared" ref="J316:M316" si="224">J37</f>
        <v>2739472.1867417577</v>
      </c>
      <c r="K316" s="206">
        <f t="shared" si="224"/>
        <v>3177008.7562627406</v>
      </c>
      <c r="L316" s="206">
        <f t="shared" si="224"/>
        <v>3556764.2980098589</v>
      </c>
      <c r="M316" s="206">
        <f t="shared" si="224"/>
        <v>3984129.4225283298</v>
      </c>
      <c r="N316" s="206">
        <f>N37</f>
        <v>3790499.076365978</v>
      </c>
      <c r="O316" s="206">
        <f>O37</f>
        <v>3866107.9991468536</v>
      </c>
      <c r="P316" s="206">
        <f>P37</f>
        <v>4064049.6871217848</v>
      </c>
      <c r="Q316" s="206">
        <f>Q37</f>
        <v>4647822.1409173477</v>
      </c>
      <c r="R316" s="206">
        <f>R37</f>
        <v>5236131.0107725067</v>
      </c>
      <c r="S316"/>
      <c r="T316"/>
      <c r="U316"/>
      <c r="V316"/>
      <c r="W316"/>
      <c r="X316"/>
      <c r="Y316"/>
      <c r="AA316"/>
      <c r="AB316"/>
      <c r="AC316"/>
      <c r="AD316"/>
      <c r="AE316"/>
      <c r="AF316"/>
    </row>
    <row r="317" spans="1:16382">
      <c r="C317" s="164" t="s">
        <v>184</v>
      </c>
      <c r="G317" s="164" t="s">
        <v>176</v>
      </c>
      <c r="J317" s="170">
        <f t="shared" ref="J317:R317" si="225">J316/I316-1</f>
        <v>-4.1119605370543377E-2</v>
      </c>
      <c r="K317" s="170">
        <f t="shared" si="225"/>
        <v>0.15971564582350273</v>
      </c>
      <c r="L317" s="170">
        <f t="shared" si="225"/>
        <v>0.11953241897697575</v>
      </c>
      <c r="M317" s="170">
        <f t="shared" si="225"/>
        <v>0.12015559331766723</v>
      </c>
      <c r="N317" s="170">
        <f t="shared" si="225"/>
        <v>-4.8600415706243294E-2</v>
      </c>
      <c r="O317" s="170">
        <f t="shared" si="225"/>
        <v>1.9946957183633707E-2</v>
      </c>
      <c r="P317" s="170">
        <f t="shared" si="225"/>
        <v>5.1199213270454846E-2</v>
      </c>
      <c r="Q317" s="170">
        <f t="shared" si="225"/>
        <v>0.14364304049860133</v>
      </c>
      <c r="R317" s="170">
        <f t="shared" si="225"/>
        <v>0.12657731987546406</v>
      </c>
      <c r="S317"/>
      <c r="T317"/>
      <c r="U317"/>
      <c r="V317"/>
      <c r="W317"/>
      <c r="X317"/>
      <c r="Y317"/>
      <c r="AA317"/>
      <c r="AB317"/>
      <c r="AC317"/>
      <c r="AD317"/>
      <c r="AE317"/>
      <c r="AF317"/>
    </row>
    <row r="318" spans="1:16382">
      <c r="A318" s="129" t="str">
        <f>'[7]Input sheet'!A131</f>
        <v>Turkey</v>
      </c>
      <c r="B318" s="129" t="str">
        <f>'[7]Input sheet'!B131</f>
        <v>Tourism Spend Factors</v>
      </c>
      <c r="C318" s="4" t="str">
        <f>'[7]Input sheet'!C131</f>
        <v>Total National Tourism Expenditure by Tourist Destination</v>
      </c>
      <c r="D318" s="129" t="str">
        <f>'[7]Input sheet'!D131</f>
        <v>International Trips</v>
      </c>
      <c r="E318" s="15" t="str">
        <f>'[7]Input sheet'!E131</f>
        <v>Africa</v>
      </c>
      <c r="F318"/>
      <c r="G318" s="1" t="str">
        <f>Home!$B$2&amp;" Million"</f>
        <v>Foriant Million</v>
      </c>
      <c r="H318" s="387">
        <f>'Tourism Medium DB-LCU'!G86</f>
        <v>74052.686054346312</v>
      </c>
      <c r="I318" s="387">
        <f>'Tourism Medium DB-LCU'!H86</f>
        <v>33809.560081356685</v>
      </c>
      <c r="J318" s="387">
        <f>'Tourism Medium DB-LCU'!I86</f>
        <v>27900.305211166295</v>
      </c>
      <c r="K318" s="387">
        <f>'Tourism Medium DB-LCU'!J86</f>
        <v>27217.203429810575</v>
      </c>
      <c r="L318" s="387">
        <f>'Tourism Medium DB-LCU'!K86</f>
        <v>62800.09575144948</v>
      </c>
      <c r="M318" s="387">
        <f>'Tourism Medium DB-LCU'!L86</f>
        <v>101852.15686859206</v>
      </c>
      <c r="N318" s="387">
        <f>N$316*N330</f>
        <v>117478.42618567649</v>
      </c>
      <c r="O318" s="387">
        <f>O$316*O330</f>
        <v>156833.65993368372</v>
      </c>
      <c r="P318" s="387">
        <f>P$316*P330</f>
        <v>242954.4426067663</v>
      </c>
      <c r="Q318" s="387">
        <f>Q$316*Q330</f>
        <v>376907.54669655085</v>
      </c>
      <c r="R318" s="387">
        <f t="shared" ref="O318:R328" si="226">R$316*R330</f>
        <v>595085.20846478769</v>
      </c>
      <c r="S318"/>
      <c r="T318"/>
      <c r="U318"/>
      <c r="V318"/>
      <c r="W318"/>
      <c r="X318"/>
      <c r="Y318"/>
      <c r="AA318"/>
      <c r="AB318"/>
      <c r="AC318"/>
      <c r="AD318"/>
      <c r="AE318"/>
      <c r="AF318"/>
    </row>
    <row r="319" spans="1:16382">
      <c r="C319" s="164" t="s">
        <v>184</v>
      </c>
      <c r="G319" s="164" t="s">
        <v>176</v>
      </c>
      <c r="J319" s="170">
        <f t="shared" ref="J319:R319" si="227">J318/I318-1</f>
        <v>-0.17478059034104021</v>
      </c>
      <c r="K319" s="170">
        <f t="shared" si="227"/>
        <v>-2.4483666977317742E-2</v>
      </c>
      <c r="L319" s="170">
        <f t="shared" si="227"/>
        <v>1.3073676879919822</v>
      </c>
      <c r="M319" s="170">
        <f t="shared" si="227"/>
        <v>0.62184715882763975</v>
      </c>
      <c r="N319" s="170">
        <f t="shared" si="227"/>
        <v>0.15342109384335556</v>
      </c>
      <c r="O319" s="170">
        <f t="shared" si="227"/>
        <v>0.33499966781820567</v>
      </c>
      <c r="P319" s="170">
        <f t="shared" si="227"/>
        <v>0.54912180656562048</v>
      </c>
      <c r="Q319" s="170">
        <f t="shared" si="227"/>
        <v>0.55135070860422264</v>
      </c>
      <c r="R319" s="170">
        <f t="shared" si="227"/>
        <v>0.57886254515326052</v>
      </c>
      <c r="S319"/>
      <c r="T319"/>
      <c r="U319"/>
      <c r="V319"/>
      <c r="W319"/>
      <c r="X319"/>
      <c r="Y319"/>
      <c r="AA319"/>
      <c r="AB319"/>
      <c r="AC319"/>
      <c r="AD319"/>
      <c r="AE319"/>
      <c r="AF319"/>
    </row>
    <row r="320" spans="1:16382">
      <c r="A320" s="129" t="str">
        <f>'[7]Input sheet'!A132</f>
        <v>Turkey</v>
      </c>
      <c r="B320" s="129" t="str">
        <f>'[7]Input sheet'!B132</f>
        <v>Tourism Spend Factors</v>
      </c>
      <c r="C320" s="4" t="str">
        <f>'[7]Input sheet'!C132</f>
        <v>Total National Tourism Expenditure by Tourist Destination</v>
      </c>
      <c r="D320" s="129" t="str">
        <f>'[7]Input sheet'!D132</f>
        <v>International Trips</v>
      </c>
      <c r="E320" s="15" t="str">
        <f>'[7]Input sheet'!E132</f>
        <v>Asia-Pacific</v>
      </c>
      <c r="F320"/>
      <c r="G320" s="1" t="str">
        <f>Home!$B$2&amp;" Million"</f>
        <v>Foriant Million</v>
      </c>
      <c r="H320" s="387">
        <f>'Tourism Medium DB-LCU'!G87</f>
        <v>177251.13477070365</v>
      </c>
      <c r="I320" s="387">
        <f>'Tourism Medium DB-LCU'!H87</f>
        <v>523315.47838219447</v>
      </c>
      <c r="J320" s="387">
        <f>'Tourism Medium DB-LCU'!I87</f>
        <v>652605.04311597464</v>
      </c>
      <c r="K320" s="387">
        <f>'Tourism Medium DB-LCU'!J87</f>
        <v>757159.46230992477</v>
      </c>
      <c r="L320" s="387">
        <f>'Tourism Medium DB-LCU'!K87</f>
        <v>540389.94313873583</v>
      </c>
      <c r="M320" s="387">
        <f>'Tourism Medium DB-LCU'!L87</f>
        <v>665161.67208097037</v>
      </c>
      <c r="N320" s="387">
        <f>N$316*N332</f>
        <v>609059.28434321634</v>
      </c>
      <c r="O320" s="387">
        <f t="shared" si="226"/>
        <v>565780.69776487967</v>
      </c>
      <c r="P320" s="387">
        <f t="shared" si="226"/>
        <v>512830.10397949553</v>
      </c>
      <c r="Q320" s="387">
        <f t="shared" si="226"/>
        <v>554571.98369362089</v>
      </c>
      <c r="R320" s="387">
        <f t="shared" si="226"/>
        <v>564378.98734947981</v>
      </c>
      <c r="S320"/>
      <c r="T320"/>
      <c r="U320"/>
      <c r="V320"/>
      <c r="W320"/>
      <c r="X320"/>
      <c r="Y320"/>
      <c r="AA320"/>
      <c r="AB320"/>
      <c r="AC320"/>
      <c r="AD320"/>
      <c r="AE320"/>
      <c r="AF320"/>
    </row>
    <row r="321" spans="1:32">
      <c r="C321" s="164" t="s">
        <v>184</v>
      </c>
      <c r="G321" s="164" t="s">
        <v>176</v>
      </c>
      <c r="J321" s="170">
        <f t="shared" ref="J321:R321" si="228">J320/I320-1</f>
        <v>0.24705855277484412</v>
      </c>
      <c r="K321" s="170">
        <f t="shared" si="228"/>
        <v>0.16021086612315649</v>
      </c>
      <c r="L321" s="170">
        <f t="shared" si="228"/>
        <v>-0.28629308614842297</v>
      </c>
      <c r="M321" s="170">
        <f t="shared" si="228"/>
        <v>0.23089202626075056</v>
      </c>
      <c r="N321" s="170">
        <f t="shared" si="228"/>
        <v>-8.4343987473356252E-2</v>
      </c>
      <c r="O321" s="170">
        <f t="shared" si="228"/>
        <v>-7.1058085297897478E-2</v>
      </c>
      <c r="P321" s="170">
        <f t="shared" si="228"/>
        <v>-9.3588547637920128E-2</v>
      </c>
      <c r="Q321" s="170">
        <f t="shared" si="228"/>
        <v>8.1395143128716096E-2</v>
      </c>
      <c r="R321" s="170">
        <f t="shared" si="228"/>
        <v>1.7683914702183889E-2</v>
      </c>
      <c r="S321"/>
      <c r="T321"/>
      <c r="U321"/>
      <c r="V321"/>
      <c r="W321"/>
      <c r="X321"/>
      <c r="Y321"/>
      <c r="AA321"/>
      <c r="AB321"/>
      <c r="AC321"/>
      <c r="AD321"/>
      <c r="AE321"/>
      <c r="AF321"/>
    </row>
    <row r="322" spans="1:32">
      <c r="A322" s="129" t="str">
        <f>'[7]Input sheet'!A133</f>
        <v>Turkey</v>
      </c>
      <c r="B322" s="129" t="str">
        <f>'[7]Input sheet'!B133</f>
        <v>Tourism Spend Factors</v>
      </c>
      <c r="C322" s="4" t="str">
        <f>'[7]Input sheet'!C133</f>
        <v>Total National Tourism Expenditure by Tourist Destination</v>
      </c>
      <c r="D322" s="129" t="str">
        <f>'[7]Input sheet'!D133</f>
        <v>International Trips</v>
      </c>
      <c r="E322" s="15" t="str">
        <f>'[7]Input sheet'!E133</f>
        <v>Europe</v>
      </c>
      <c r="F322"/>
      <c r="G322" s="1" t="str">
        <f>Home!$B$2&amp;" Million"</f>
        <v>Foriant Million</v>
      </c>
      <c r="H322" s="387">
        <f>'Tourism Medium DB-LCU'!G88</f>
        <v>2456628.3564786562</v>
      </c>
      <c r="I322" s="387">
        <f>'Tourism Medium DB-LCU'!H88</f>
        <v>2162403.0270867399</v>
      </c>
      <c r="J322" s="387">
        <f>'Tourism Medium DB-LCU'!I88</f>
        <v>1893557.4451080028</v>
      </c>
      <c r="K322" s="387">
        <f>'Tourism Medium DB-LCU'!J88</f>
        <v>2204294.8590126159</v>
      </c>
      <c r="L322" s="387">
        <f>'Tourism Medium DB-LCU'!K88</f>
        <v>2876901.611648771</v>
      </c>
      <c r="M322" s="387">
        <f>'Tourism Medium DB-LCU'!L88</f>
        <v>3141737.4064029274</v>
      </c>
      <c r="N322" s="387">
        <f>N$316*N334</f>
        <v>3019232.3617109577</v>
      </c>
      <c r="O322" s="387">
        <f>O$316*O334</f>
        <v>3192187.2291221111</v>
      </c>
      <c r="P322" s="387">
        <f>P$316*P334</f>
        <v>3504842.4509121147</v>
      </c>
      <c r="Q322" s="387">
        <f t="shared" si="226"/>
        <v>4085992.6132266182</v>
      </c>
      <c r="R322" s="387">
        <f>R$316*R334</f>
        <v>4757903.5724828355</v>
      </c>
      <c r="S322"/>
      <c r="T322"/>
      <c r="U322"/>
      <c r="V322"/>
      <c r="W322"/>
      <c r="X322"/>
      <c r="Y322"/>
      <c r="AA322"/>
      <c r="AB322"/>
      <c r="AC322"/>
      <c r="AD322"/>
      <c r="AE322"/>
      <c r="AF322"/>
    </row>
    <row r="323" spans="1:32">
      <c r="C323" s="164" t="s">
        <v>184</v>
      </c>
      <c r="G323" s="164" t="s">
        <v>176</v>
      </c>
      <c r="J323" s="170">
        <f t="shared" ref="J323:R323" si="229">J322/I322-1</f>
        <v>-0.12432723160813119</v>
      </c>
      <c r="K323" s="170">
        <f t="shared" si="229"/>
        <v>0.16410244891561221</v>
      </c>
      <c r="L323" s="170">
        <f t="shared" si="229"/>
        <v>0.30513465559568576</v>
      </c>
      <c r="M323" s="170">
        <f t="shared" si="229"/>
        <v>9.2055909622288823E-2</v>
      </c>
      <c r="N323" s="170">
        <f t="shared" si="229"/>
        <v>-3.8992770192156079E-2</v>
      </c>
      <c r="O323" s="170">
        <f t="shared" si="229"/>
        <v>5.7284384469548533E-2</v>
      </c>
      <c r="P323" s="170">
        <f t="shared" si="229"/>
        <v>9.7943885915484863E-2</v>
      </c>
      <c r="Q323" s="170">
        <f t="shared" si="229"/>
        <v>0.16581349103531395</v>
      </c>
      <c r="R323" s="170">
        <f t="shared" si="229"/>
        <v>0.16444252911304802</v>
      </c>
      <c r="S323"/>
      <c r="T323"/>
      <c r="U323"/>
      <c r="V323"/>
      <c r="W323"/>
      <c r="X323"/>
      <c r="Y323"/>
      <c r="AA323"/>
      <c r="AB323"/>
      <c r="AC323"/>
      <c r="AD323"/>
      <c r="AE323"/>
      <c r="AF323"/>
    </row>
    <row r="324" spans="1:32">
      <c r="A324" s="129" t="str">
        <f>'[7]Input sheet'!A134</f>
        <v>Turkey</v>
      </c>
      <c r="B324" s="129" t="str">
        <f>'[7]Input sheet'!B134</f>
        <v>Tourism Spend Factors</v>
      </c>
      <c r="C324" s="4" t="str">
        <f>'[7]Input sheet'!C134</f>
        <v>Total National Tourism Expenditure by Tourist Destination</v>
      </c>
      <c r="D324" s="129" t="str">
        <f>'[7]Input sheet'!D134</f>
        <v>International Trips</v>
      </c>
      <c r="E324" s="15" t="str">
        <f>'[7]Input sheet'!E134</f>
        <v>Middle East</v>
      </c>
      <c r="F324"/>
      <c r="G324" s="1" t="str">
        <f>Home!$B$2&amp;" Million"</f>
        <v>Foriant Million</v>
      </c>
      <c r="H324" s="387">
        <f>'Tourism Medium DB-LCU'!G89</f>
        <v>14325.438707775867</v>
      </c>
      <c r="I324" s="387">
        <f>'Tourism Medium DB-LCU'!H89</f>
        <v>213529.69973808265</v>
      </c>
      <c r="J324" s="387">
        <f>'Tourism Medium DB-LCU'!I89</f>
        <v>67947.954663927128</v>
      </c>
      <c r="K324" s="387">
        <f>'Tourism Medium DB-LCU'!J89</f>
        <v>113508.06416249891</v>
      </c>
      <c r="L324" s="387">
        <f>'Tourism Medium DB-LCU'!K89</f>
        <v>85794.098181647147</v>
      </c>
      <c r="M324" s="387">
        <f>'Tourism Medium DB-LCU'!L89</f>
        <v>106771.64732088965</v>
      </c>
      <c r="N324" s="387">
        <f>N$316*N336</f>
        <v>95114.326935893056</v>
      </c>
      <c r="O324" s="387">
        <f>O$316*O336</f>
        <v>89509.960564311521</v>
      </c>
      <c r="P324" s="387">
        <f>P$316*P336</f>
        <v>84252.773058478881</v>
      </c>
      <c r="Q324" s="387">
        <f>Q$316*Q336</f>
        <v>92756.327374926812</v>
      </c>
      <c r="R324" s="387">
        <f t="shared" si="226"/>
        <v>97072.772392500105</v>
      </c>
      <c r="S324"/>
      <c r="T324"/>
      <c r="U324"/>
      <c r="V324"/>
      <c r="W324"/>
      <c r="X324"/>
      <c r="Y324"/>
      <c r="AA324"/>
      <c r="AB324"/>
      <c r="AC324"/>
      <c r="AD324"/>
      <c r="AE324"/>
      <c r="AF324"/>
    </row>
    <row r="325" spans="1:32">
      <c r="C325" s="164" t="s">
        <v>184</v>
      </c>
      <c r="G325" s="164" t="s">
        <v>176</v>
      </c>
      <c r="J325" s="170">
        <f t="shared" ref="J325:R325" si="230">J324/I324-1</f>
        <v>-0.681786867366588</v>
      </c>
      <c r="K325" s="170">
        <f t="shared" si="230"/>
        <v>0.67051480392476304</v>
      </c>
      <c r="L325" s="170">
        <f t="shared" si="230"/>
        <v>-0.24415856428646565</v>
      </c>
      <c r="M325" s="170">
        <f t="shared" si="230"/>
        <v>0.24451039854545575</v>
      </c>
      <c r="N325" s="170">
        <f t="shared" si="230"/>
        <v>-0.10917992442283753</v>
      </c>
      <c r="O325" s="170">
        <f t="shared" si="230"/>
        <v>-5.8922420545107435E-2</v>
      </c>
      <c r="P325" s="170">
        <f t="shared" si="230"/>
        <v>-5.8732988738783187E-2</v>
      </c>
      <c r="Q325" s="170">
        <f t="shared" si="230"/>
        <v>0.10092907340326596</v>
      </c>
      <c r="R325" s="170">
        <f t="shared" si="230"/>
        <v>4.653531613132933E-2</v>
      </c>
      <c r="S325"/>
      <c r="T325"/>
      <c r="U325"/>
      <c r="V325"/>
      <c r="W325"/>
      <c r="X325"/>
      <c r="Y325"/>
      <c r="AA325"/>
      <c r="AB325"/>
      <c r="AC325"/>
      <c r="AD325"/>
      <c r="AE325"/>
      <c r="AF325"/>
    </row>
    <row r="326" spans="1:32">
      <c r="A326" s="129" t="str">
        <f>'[7]Input sheet'!A135</f>
        <v>Turkey</v>
      </c>
      <c r="B326" s="129" t="str">
        <f>'[7]Input sheet'!B135</f>
        <v>Tourism Spend Factors</v>
      </c>
      <c r="C326" s="4" t="str">
        <f>'[7]Input sheet'!C135</f>
        <v>Total National Tourism Expenditure by Tourist Destination</v>
      </c>
      <c r="D326" s="129" t="str">
        <f>'[7]Input sheet'!D135</f>
        <v>International Trips</v>
      </c>
      <c r="E326" s="15" t="str">
        <f>'[7]Input sheet'!E135</f>
        <v>North America</v>
      </c>
      <c r="F326"/>
      <c r="G326" s="1" t="str">
        <f>Home!$B$2&amp;" Million"</f>
        <v>Foriant Million</v>
      </c>
      <c r="H326" s="387">
        <f>'Tourism Medium DB-LCU'!G90</f>
        <v>74810.904682889115</v>
      </c>
      <c r="I326" s="387">
        <f>'Tourism Medium DB-LCU'!H90</f>
        <v>35447.937996966335</v>
      </c>
      <c r="J326" s="387">
        <f>'Tourism Medium DB-LCU'!I90</f>
        <v>46353.903037735196</v>
      </c>
      <c r="K326" s="387">
        <f>'Tourism Medium DB-LCU'!J90</f>
        <v>51635.399938606308</v>
      </c>
      <c r="L326" s="387">
        <f>'Tourism Medium DB-LCU'!K90</f>
        <v>47606.98166805139</v>
      </c>
      <c r="M326" s="387">
        <f>'Tourism Medium DB-LCU'!L90</f>
        <v>48371.590626382465</v>
      </c>
      <c r="N326" s="387">
        <f>N$316*N338</f>
        <v>46000.387518603231</v>
      </c>
      <c r="O326" s="387">
        <f t="shared" si="226"/>
        <v>43306.334955640501</v>
      </c>
      <c r="P326" s="387">
        <f>P$316*P338</f>
        <v>41511.730040479837</v>
      </c>
      <c r="Q326" s="387">
        <f>Q$316*Q338</f>
        <v>44327.769491349856</v>
      </c>
      <c r="R326" s="387">
        <f>R$316*R338</f>
        <v>46990.713886791513</v>
      </c>
      <c r="S326"/>
      <c r="T326"/>
      <c r="U326"/>
      <c r="V326"/>
      <c r="W326"/>
      <c r="X326"/>
      <c r="Y326"/>
      <c r="AA326"/>
      <c r="AB326"/>
      <c r="AC326"/>
      <c r="AD326"/>
      <c r="AE326"/>
      <c r="AF326"/>
    </row>
    <row r="327" spans="1:32">
      <c r="C327" s="164" t="s">
        <v>184</v>
      </c>
      <c r="G327" s="164" t="s">
        <v>176</v>
      </c>
      <c r="J327" s="170">
        <f t="shared" ref="J327:R327" si="231">J326/I326-1</f>
        <v>0.30766147925733223</v>
      </c>
      <c r="K327" s="170">
        <f t="shared" si="231"/>
        <v>0.11393855867048819</v>
      </c>
      <c r="L327" s="170">
        <f t="shared" si="231"/>
        <v>-7.8016598599887743E-2</v>
      </c>
      <c r="M327" s="170">
        <f t="shared" si="231"/>
        <v>1.6060857704915055E-2</v>
      </c>
      <c r="N327" s="170">
        <f t="shared" si="231"/>
        <v>-4.9020573379407351E-2</v>
      </c>
      <c r="O327" s="170">
        <f t="shared" si="231"/>
        <v>-5.8565866686953738E-2</v>
      </c>
      <c r="P327" s="170">
        <f t="shared" si="231"/>
        <v>-4.1439778198707256E-2</v>
      </c>
      <c r="Q327" s="170">
        <f t="shared" si="231"/>
        <v>6.7837198019065514E-2</v>
      </c>
      <c r="R327" s="170">
        <f t="shared" si="231"/>
        <v>6.0073954227751081E-2</v>
      </c>
      <c r="S327"/>
      <c r="T327"/>
      <c r="U327"/>
      <c r="V327"/>
      <c r="W327"/>
      <c r="X327"/>
      <c r="Y327"/>
      <c r="AA327"/>
      <c r="AB327"/>
      <c r="AC327"/>
      <c r="AD327"/>
      <c r="AE327"/>
      <c r="AF327"/>
    </row>
    <row r="328" spans="1:32">
      <c r="A328" s="129" t="str">
        <f>'[7]Input sheet'!A136</f>
        <v>Turkey</v>
      </c>
      <c r="B328" s="129" t="str">
        <f>'[7]Input sheet'!B136</f>
        <v>Tourism Spend Factors</v>
      </c>
      <c r="C328" s="4" t="str">
        <f>'[7]Input sheet'!C136</f>
        <v>Total National Tourism Expenditure by Tourist Destination</v>
      </c>
      <c r="D328" s="129" t="str">
        <f>'[7]Input sheet'!D136</f>
        <v>International Trips</v>
      </c>
      <c r="E328" s="15" t="str">
        <f>'[7]Input sheet'!E136</f>
        <v>South &amp; Central America</v>
      </c>
      <c r="F328"/>
      <c r="G328" s="1" t="str">
        <f>Home!$B$2&amp;" Million"</f>
        <v>Foriant Million</v>
      </c>
      <c r="H328" s="387">
        <f>'Tourism Medium DB-LCU'!G91</f>
        <v>29317.786970321089</v>
      </c>
      <c r="I328" s="387">
        <f>'Tourism Medium DB-LCU'!H91</f>
        <v>-111556.90958267869</v>
      </c>
      <c r="J328" s="387">
        <f>'Tourism Medium DB-LCU'!I91</f>
        <v>51107.535604951438</v>
      </c>
      <c r="K328" s="387">
        <f>'Tourism Medium DB-LCU'!J91</f>
        <v>23193.767409284133</v>
      </c>
      <c r="L328" s="387">
        <f>'Tourism Medium DB-LCU'!K91</f>
        <v>-56728.432378795929</v>
      </c>
      <c r="M328" s="387">
        <f>'Tourism Medium DB-LCU'!L91</f>
        <v>-79765.050771431997</v>
      </c>
      <c r="N328" s="387">
        <f>N$316*N340</f>
        <v>-96385.710328369445</v>
      </c>
      <c r="O328" s="387">
        <f t="shared" si="226"/>
        <v>-181509.88319377234</v>
      </c>
      <c r="P328" s="387">
        <f t="shared" si="226"/>
        <v>-322341.81347554998</v>
      </c>
      <c r="Q328" s="387">
        <f>Q$316*Q340</f>
        <v>-506734.09956571891</v>
      </c>
      <c r="R328" s="387">
        <f t="shared" si="226"/>
        <v>-825300.24380388658</v>
      </c>
      <c r="S328"/>
      <c r="T328"/>
      <c r="U328"/>
      <c r="V328"/>
      <c r="W328"/>
      <c r="X328"/>
      <c r="Y328"/>
      <c r="AA328"/>
      <c r="AB328"/>
      <c r="AC328"/>
      <c r="AD328"/>
      <c r="AE328"/>
      <c r="AF328"/>
    </row>
    <row r="329" spans="1:32" ht="11.25">
      <c r="C329" s="164" t="s">
        <v>184</v>
      </c>
      <c r="G329" s="164" t="s">
        <v>176</v>
      </c>
      <c r="J329" s="170">
        <f t="shared" ref="J329:R329" si="232">J328/I328-1</f>
        <v>-1.4581297186892208</v>
      </c>
      <c r="K329" s="170">
        <f t="shared" si="232"/>
        <v>-0.5461771510846033</v>
      </c>
      <c r="L329" s="170">
        <f t="shared" si="232"/>
        <v>-3.4458481184944687</v>
      </c>
      <c r="M329" s="170">
        <f t="shared" si="232"/>
        <v>0.40608593304345808</v>
      </c>
      <c r="N329" s="170">
        <f t="shared" si="232"/>
        <v>0.20837019968261794</v>
      </c>
      <c r="O329" s="170">
        <f t="shared" si="232"/>
        <v>0.88316175266436869</v>
      </c>
      <c r="P329" s="170">
        <f t="shared" si="232"/>
        <v>0.77589125067879294</v>
      </c>
      <c r="Q329" s="170">
        <f t="shared" si="232"/>
        <v>0.57203961255295011</v>
      </c>
      <c r="R329" s="170">
        <f t="shared" si="232"/>
        <v>0.62866529904181534</v>
      </c>
      <c r="Y329" s="6"/>
      <c r="Z329" s="1"/>
    </row>
    <row r="330" spans="1:32" s="207" customFormat="1" outlineLevel="1">
      <c r="C330" s="208" t="s">
        <v>356</v>
      </c>
      <c r="E330" s="207" t="s">
        <v>23</v>
      </c>
      <c r="G330" s="209"/>
      <c r="H330" s="210">
        <f>H318/H$316</f>
        <v>2.6200482875793612E-2</v>
      </c>
      <c r="I330" s="210">
        <f>I318/I$316</f>
        <v>1.1834149830014573E-2</v>
      </c>
      <c r="J330" s="210">
        <f t="shared" ref="J330:M340" si="233">J318/J$316</f>
        <v>1.0184555019830314E-2</v>
      </c>
      <c r="K330" s="210">
        <f t="shared" si="233"/>
        <v>8.5669274206934837E-3</v>
      </c>
      <c r="L330" s="210">
        <f t="shared" si="233"/>
        <v>1.7656524438965059E-2</v>
      </c>
      <c r="M330" s="210">
        <f t="shared" si="233"/>
        <v>2.5564469942333513E-2</v>
      </c>
      <c r="N330" s="211">
        <f>M330*(1+(((M330/I330)^(1/4))-1))*1</f>
        <v>3.0992865007714299E-2</v>
      </c>
      <c r="O330" s="211">
        <f>N330*(1+(((N330/J330)^(1/4))-1))*0.991</f>
        <v>4.0566290431693248E-2</v>
      </c>
      <c r="P330" s="211">
        <f>O330*(1+(((O330/K330)^(1/4))-1))*0.999</f>
        <v>5.9781366201462446E-2</v>
      </c>
      <c r="Q330" s="211">
        <f>P330*(1+(((P330/L330)^(1/4))-1))*1.00001</f>
        <v>8.1093367015580342E-2</v>
      </c>
      <c r="R330" s="211">
        <f>Q330*(1+(((Q330/M330)^(1/4))-1)*1.2)</f>
        <v>0.11364979356713852</v>
      </c>
      <c r="Y330" s="1"/>
      <c r="Z330" s="1"/>
      <c r="AA330" s="1"/>
      <c r="AB330" s="1"/>
      <c r="AC330" s="1"/>
    </row>
    <row r="331" spans="1:32" s="207" customFormat="1" ht="11.25" outlineLevel="1">
      <c r="C331" s="208"/>
      <c r="G331" s="209"/>
      <c r="H331" s="212"/>
      <c r="I331" s="212"/>
      <c r="J331" s="213"/>
      <c r="K331" s="213"/>
      <c r="L331" s="213"/>
      <c r="M331" s="213"/>
      <c r="N331" s="214"/>
      <c r="O331" s="214"/>
      <c r="P331" s="214"/>
      <c r="Q331" s="214"/>
      <c r="R331" s="214"/>
      <c r="Y331" s="6"/>
      <c r="Z331" s="1"/>
      <c r="AA331" s="1"/>
      <c r="AB331" s="1"/>
      <c r="AC331" s="1"/>
    </row>
    <row r="332" spans="1:32" s="207" customFormat="1" outlineLevel="1">
      <c r="C332" s="208" t="s">
        <v>357</v>
      </c>
      <c r="E332" s="207" t="s">
        <v>24</v>
      </c>
      <c r="G332" s="209"/>
      <c r="H332" s="210">
        <f>H320/H$316</f>
        <v>6.2712989477067549E-2</v>
      </c>
      <c r="I332" s="210">
        <f>I320/I$316</f>
        <v>0.1831728589380727</v>
      </c>
      <c r="J332" s="210">
        <f t="shared" si="233"/>
        <v>0.23822291252833</v>
      </c>
      <c r="K332" s="210">
        <f t="shared" si="233"/>
        <v>0.23832463817336336</v>
      </c>
      <c r="L332" s="210">
        <f t="shared" si="233"/>
        <v>0.15193302053810651</v>
      </c>
      <c r="M332" s="210">
        <f t="shared" si="233"/>
        <v>0.16695282746584536</v>
      </c>
      <c r="N332" s="211">
        <f>M332*(1+(((M332/I332)^(1/4))-1))*0.985</f>
        <v>0.16068049934129855</v>
      </c>
      <c r="O332" s="211">
        <f>N332*(1+(((N332/J332)^(1/4))-1))*1.005</f>
        <v>0.14634373842886239</v>
      </c>
      <c r="P332" s="211">
        <f>O332*(1+(((O332/K332)^(1/4))-1)*1.2)</f>
        <v>0.12618696705519089</v>
      </c>
      <c r="Q332" s="211">
        <f>P332*(1+(((P332/L332)^(1/4))-1)*1.2)</f>
        <v>0.11931867590444503</v>
      </c>
      <c r="R332" s="211">
        <f>Q332*(1+(((Q332/M332)^(1/4))-1)*1.2)</f>
        <v>0.10778549776320719</v>
      </c>
      <c r="Y332" s="1"/>
      <c r="Z332" s="1"/>
      <c r="AA332" s="1"/>
      <c r="AB332" s="1"/>
      <c r="AC332" s="1"/>
    </row>
    <row r="333" spans="1:32" s="207" customFormat="1" outlineLevel="1">
      <c r="C333" s="208"/>
      <c r="G333" s="209"/>
      <c r="H333" s="212"/>
      <c r="I333" s="212"/>
      <c r="J333" s="213"/>
      <c r="K333" s="213"/>
      <c r="L333" s="213"/>
      <c r="M333" s="213"/>
      <c r="N333" s="211"/>
      <c r="O333" s="211"/>
      <c r="P333" s="211"/>
      <c r="Q333" s="211"/>
      <c r="R333" s="211"/>
    </row>
    <row r="334" spans="1:32" s="207" customFormat="1" outlineLevel="1">
      <c r="C334" s="208" t="s">
        <v>358</v>
      </c>
      <c r="E334" s="207" t="s">
        <v>25</v>
      </c>
      <c r="G334" s="209"/>
      <c r="H334" s="210">
        <f>H322/H$316</f>
        <v>0.86917642850755616</v>
      </c>
      <c r="I334" s="210">
        <f>I322/I$316</f>
        <v>0.75689246928511578</v>
      </c>
      <c r="J334" s="210">
        <f t="shared" si="233"/>
        <v>0.69121250957475155</v>
      </c>
      <c r="K334" s="210">
        <f t="shared" si="233"/>
        <v>0.6938271273780271</v>
      </c>
      <c r="L334" s="210">
        <f t="shared" si="233"/>
        <v>0.80885360136416795</v>
      </c>
      <c r="M334" s="210">
        <f t="shared" si="233"/>
        <v>0.7885630895015403</v>
      </c>
      <c r="N334" s="211">
        <f>M334*(1+(((M334/I334)^(1/4))-1))*0.9998</f>
        <v>0.79652634148787393</v>
      </c>
      <c r="O334" s="211">
        <f>N334*(1+(((N334/J334)^(1/4))-1))*1.0005</f>
        <v>0.82568496012696524</v>
      </c>
      <c r="P334" s="211">
        <f>O334*(1+(((O334/K334)^(1/4))-1))*1.00001</f>
        <v>0.86240147654156551</v>
      </c>
      <c r="Q334" s="211">
        <f>P334*(1+(((P334/L334)^(1/4))-1)*1.2)</f>
        <v>0.87911983060955934</v>
      </c>
      <c r="R334" s="211">
        <f>Q334*(1+(((Q334/M334)^(1/4))-1)*1.22)</f>
        <v>0.90866778594618913</v>
      </c>
    </row>
    <row r="335" spans="1:32" s="207" customFormat="1" outlineLevel="1">
      <c r="C335" s="208"/>
      <c r="G335" s="209"/>
      <c r="H335" s="212"/>
      <c r="I335" s="212"/>
      <c r="J335" s="213"/>
      <c r="K335" s="213"/>
      <c r="L335" s="213"/>
      <c r="M335" s="213"/>
      <c r="N335" s="211"/>
      <c r="O335" s="211"/>
      <c r="P335" s="211"/>
      <c r="Q335" s="211"/>
      <c r="R335" s="211"/>
    </row>
    <row r="336" spans="1:32" s="207" customFormat="1" outlineLevel="1">
      <c r="C336" s="208" t="s">
        <v>359</v>
      </c>
      <c r="E336" s="207" t="s">
        <v>26</v>
      </c>
      <c r="G336" s="209"/>
      <c r="H336" s="210">
        <f>H324/H$316</f>
        <v>5.0684645155998831E-3</v>
      </c>
      <c r="I336" s="210">
        <f>I324/I$316</f>
        <v>7.4740471445882667E-2</v>
      </c>
      <c r="J336" s="210">
        <f t="shared" si="233"/>
        <v>2.4803301523839267E-2</v>
      </c>
      <c r="K336" s="210">
        <f t="shared" si="233"/>
        <v>3.5727967050372123E-2</v>
      </c>
      <c r="L336" s="210">
        <f t="shared" si="233"/>
        <v>2.4121389834477397E-2</v>
      </c>
      <c r="M336" s="210">
        <f t="shared" si="233"/>
        <v>2.6799241690580504E-2</v>
      </c>
      <c r="N336" s="211">
        <f>M336*(1+(((M336/I336)^(1/4))-1))*1.21</f>
        <v>2.5092824195351325E-2</v>
      </c>
      <c r="O336" s="211">
        <f>N336*(1+(((N336/J336)^(1/4))-1))*0.92</f>
        <v>2.3152472870407129E-2</v>
      </c>
      <c r="P336" s="211">
        <f>O336*(1+(((O336/K336)^(1/4))-1))*0.998</f>
        <v>2.0731235970234369E-2</v>
      </c>
      <c r="Q336" s="211">
        <f>P336*(1+(((P336/L336)^(1/4))-1))*0.9998</f>
        <v>1.9956944255319409E-2</v>
      </c>
      <c r="R336" s="211">
        <f>Q336*(1+(((Q336/M336)^(1/4))-1))</f>
        <v>1.853902665781057E-2</v>
      </c>
    </row>
    <row r="337" spans="1:16382" s="207" customFormat="1" outlineLevel="1">
      <c r="C337" s="208"/>
      <c r="G337" s="209"/>
      <c r="H337" s="212"/>
      <c r="I337" s="212"/>
      <c r="J337" s="213"/>
      <c r="K337" s="213"/>
      <c r="L337" s="213"/>
      <c r="M337" s="213"/>
      <c r="N337" s="211"/>
      <c r="O337" s="211"/>
      <c r="P337" s="211"/>
      <c r="Q337" s="211"/>
      <c r="R337" s="211"/>
    </row>
    <row r="338" spans="1:16382" s="207" customFormat="1" outlineLevel="1">
      <c r="C338" s="208" t="s">
        <v>360</v>
      </c>
      <c r="E338" s="207" t="s">
        <v>27</v>
      </c>
      <c r="G338" s="209"/>
      <c r="H338" s="210">
        <f>H326/H$316</f>
        <v>2.6468747205579898E-2</v>
      </c>
      <c r="I338" s="210">
        <f>I326/I$316</f>
        <v>1.2407621051907311E-2</v>
      </c>
      <c r="J338" s="210">
        <f t="shared" si="233"/>
        <v>1.6920742346673383E-2</v>
      </c>
      <c r="K338" s="210">
        <f t="shared" si="233"/>
        <v>1.6252835261098671E-2</v>
      </c>
      <c r="L338" s="210">
        <f t="shared" si="233"/>
        <v>1.3384913274879996E-2</v>
      </c>
      <c r="M338" s="210">
        <f t="shared" si="233"/>
        <v>1.2141069101034836E-2</v>
      </c>
      <c r="N338" s="211">
        <f>M338*(1+(((M338/I338)^(1/4))-1))*1.005</f>
        <v>1.213570735458526E-2</v>
      </c>
      <c r="O338" s="211">
        <f>N338*(1+(((N338/J338)^(1/4))-1))*1.003</f>
        <v>1.1201532643474276E-2</v>
      </c>
      <c r="P338" s="211">
        <f>O338*(1+(((O338/K338)^(1/4))-1))*1.0008</f>
        <v>1.0214375619476987E-2</v>
      </c>
      <c r="Q338" s="211">
        <f>P338*(1+(((P338/L338)^(1/4))-1))*0.999</f>
        <v>9.5373205228978103E-3</v>
      </c>
      <c r="R338" s="211">
        <f>Q338*(1+(((Q338/M338)^(1/4))-1))*0.9995</f>
        <v>8.9743197391577087E-3</v>
      </c>
    </row>
    <row r="339" spans="1:16382" s="207" customFormat="1" outlineLevel="1">
      <c r="C339" s="208"/>
      <c r="G339" s="209"/>
      <c r="H339" s="212"/>
      <c r="I339" s="212"/>
      <c r="J339" s="213"/>
      <c r="K339" s="213"/>
      <c r="L339" s="213"/>
      <c r="M339" s="213"/>
      <c r="N339" s="211"/>
      <c r="O339" s="211"/>
      <c r="P339" s="211"/>
      <c r="Q339" s="211"/>
      <c r="R339" s="211"/>
    </row>
    <row r="340" spans="1:16382" s="207" customFormat="1" outlineLevel="1">
      <c r="C340" s="208" t="s">
        <v>361</v>
      </c>
      <c r="E340" s="207" t="s">
        <v>28</v>
      </c>
      <c r="G340" s="209"/>
      <c r="H340" s="210">
        <f>H328/H$316</f>
        <v>1.037288741840282E-2</v>
      </c>
      <c r="I340" s="210">
        <f>I328/I$316</f>
        <v>-3.9047570550992894E-2</v>
      </c>
      <c r="J340" s="210">
        <f t="shared" si="233"/>
        <v>1.86559790065754E-2</v>
      </c>
      <c r="K340" s="210">
        <f t="shared" si="233"/>
        <v>7.3005047164452939E-3</v>
      </c>
      <c r="L340" s="210">
        <f t="shared" si="233"/>
        <v>-1.5949449450596877E-2</v>
      </c>
      <c r="M340" s="210">
        <f t="shared" si="233"/>
        <v>-2.0020697701334481E-2</v>
      </c>
      <c r="N340" s="211">
        <f>1-SUM(N330:N338)</f>
        <v>-2.5428237386823538E-2</v>
      </c>
      <c r="O340" s="211">
        <f>1-SUM(O330:O338)</f>
        <v>-4.6948994501402108E-2</v>
      </c>
      <c r="P340" s="211">
        <f>1-SUM(P330:P338)</f>
        <v>-7.931542138793013E-2</v>
      </c>
      <c r="Q340" s="211">
        <f>1-SUM(Q330:Q338)</f>
        <v>-0.10902613830780195</v>
      </c>
      <c r="R340" s="211">
        <f>1-SUM(R330:R338)</f>
        <v>-0.15761642367350293</v>
      </c>
    </row>
    <row r="341" spans="1:16382" customFormat="1">
      <c r="A341" s="125" t="str">
        <f>'[7]Input sheet'!A137</f>
        <v>Turkey</v>
      </c>
      <c r="B341" s="125" t="str">
        <f>'[7]Input sheet'!B137</f>
        <v>Tourism Spend Factors</v>
      </c>
      <c r="C341" s="134" t="str">
        <f>'[7]Input sheet'!C137</f>
        <v>Total National Tourism Expenditure by Sector</v>
      </c>
      <c r="D341" s="135"/>
      <c r="E341" s="135"/>
      <c r="F341" s="135"/>
      <c r="G341" s="263" t="str">
        <f>Home!$B$2&amp;" Million"</f>
        <v>Foriant Million</v>
      </c>
      <c r="H341" s="167">
        <f>H5+H37</f>
        <v>2950784.3524490898</v>
      </c>
      <c r="I341" s="167">
        <f>I5+I37</f>
        <v>2990108.2399451397</v>
      </c>
      <c r="J341" s="167">
        <f t="shared" ref="J341:R341" si="234">J5+J37</f>
        <v>2880123.2667114399</v>
      </c>
      <c r="K341" s="167">
        <f t="shared" si="234"/>
        <v>3312936.8408839097</v>
      </c>
      <c r="L341" s="167">
        <f t="shared" si="234"/>
        <v>3698765.625</v>
      </c>
      <c r="M341" s="167">
        <f t="shared" si="234"/>
        <v>4129828.8156058746</v>
      </c>
      <c r="N341" s="167">
        <f t="shared" si="234"/>
        <v>3941191.6070922096</v>
      </c>
      <c r="O341" s="167">
        <f t="shared" si="234"/>
        <v>4014252.6353329425</v>
      </c>
      <c r="P341" s="167">
        <f t="shared" si="234"/>
        <v>4212092.7477486394</v>
      </c>
      <c r="Q341" s="167">
        <f t="shared" si="234"/>
        <v>4798154.8197517777</v>
      </c>
      <c r="R341" s="167">
        <f t="shared" si="234"/>
        <v>5387357.3588620322</v>
      </c>
      <c r="S341" s="125"/>
      <c r="T341" s="125"/>
      <c r="U341" s="134"/>
      <c r="V341" s="135"/>
      <c r="W341" s="135"/>
      <c r="X341" s="135"/>
      <c r="Y341" s="207"/>
      <c r="Z341" s="207"/>
      <c r="AA341" s="207"/>
      <c r="AB341" s="207"/>
      <c r="AC341" s="207"/>
      <c r="AD341" s="173"/>
      <c r="AE341" s="173"/>
      <c r="AF341" s="173"/>
      <c r="AG341" s="173"/>
      <c r="AH341" s="173"/>
      <c r="AI341" s="173"/>
      <c r="AJ341" s="125"/>
      <c r="AK341" s="125"/>
      <c r="AL341" s="134"/>
      <c r="AM341" s="135"/>
      <c r="AN341" s="135"/>
      <c r="AO341" s="135"/>
      <c r="AP341" s="135"/>
      <c r="AQ341" s="173"/>
      <c r="AR341" s="173"/>
      <c r="AS341" s="173"/>
      <c r="AT341" s="173"/>
      <c r="AU341" s="173"/>
      <c r="AV341" s="173"/>
      <c r="AW341" s="173"/>
      <c r="AX341" s="173"/>
      <c r="AY341" s="173"/>
      <c r="AZ341" s="173"/>
      <c r="BA341" s="125"/>
      <c r="BB341" s="125"/>
      <c r="BC341" s="134"/>
      <c r="BD341" s="135"/>
      <c r="BE341" s="135"/>
      <c r="BF341" s="135"/>
      <c r="BG341" s="135"/>
      <c r="BH341" s="173"/>
      <c r="BI341" s="173"/>
      <c r="BJ341" s="173"/>
      <c r="BK341" s="173"/>
      <c r="BL341" s="173"/>
      <c r="BM341" s="173"/>
      <c r="BN341" s="173"/>
      <c r="BO341" s="173"/>
      <c r="BP341" s="173"/>
      <c r="BQ341" s="173"/>
      <c r="BR341" s="125"/>
      <c r="BS341" s="125"/>
      <c r="BT341" s="134"/>
      <c r="BU341" s="135"/>
      <c r="BV341" s="135"/>
      <c r="BW341" s="135"/>
      <c r="BX341" s="135"/>
      <c r="BY341" s="173"/>
      <c r="BZ341" s="173"/>
      <c r="CA341" s="173"/>
      <c r="CB341" s="173"/>
      <c r="CC341" s="173"/>
      <c r="CD341" s="173"/>
      <c r="CE341" s="173"/>
      <c r="CF341" s="173"/>
      <c r="CG341" s="173"/>
      <c r="CH341" s="173"/>
      <c r="CI341" s="125"/>
      <c r="CJ341" s="125"/>
      <c r="CK341" s="134"/>
      <c r="CL341" s="135"/>
      <c r="CM341" s="135"/>
      <c r="CN341" s="135"/>
      <c r="CO341" s="135"/>
      <c r="CP341" s="173"/>
      <c r="CQ341" s="173"/>
      <c r="CR341" s="173"/>
      <c r="CS341" s="173"/>
      <c r="CT341" s="173"/>
      <c r="CU341" s="173"/>
      <c r="CV341" s="173"/>
      <c r="CW341" s="173"/>
      <c r="CX341" s="173"/>
      <c r="CY341" s="173"/>
      <c r="CZ341" s="125"/>
      <c r="DA341" s="125"/>
      <c r="DB341" s="134"/>
      <c r="DC341" s="135"/>
      <c r="DD341" s="135"/>
      <c r="DE341" s="135"/>
      <c r="DF341" s="135"/>
      <c r="DG341" s="173"/>
      <c r="DH341" s="173"/>
      <c r="DI341" s="173"/>
      <c r="DJ341" s="173"/>
      <c r="DK341" s="173"/>
      <c r="DL341" s="173"/>
      <c r="DM341" s="173"/>
      <c r="DN341" s="173"/>
      <c r="DO341" s="173"/>
      <c r="DP341" s="173"/>
      <c r="DQ341" s="125"/>
      <c r="DR341" s="125"/>
      <c r="DS341" s="134"/>
      <c r="DT341" s="135"/>
      <c r="DU341" s="135"/>
      <c r="DV341" s="135"/>
      <c r="DW341" s="135"/>
      <c r="DX341" s="173"/>
      <c r="DY341" s="173"/>
      <c r="DZ341" s="173"/>
      <c r="EA341" s="173"/>
      <c r="EB341" s="173"/>
      <c r="EC341" s="173"/>
      <c r="ED341" s="173"/>
      <c r="EE341" s="173"/>
      <c r="EF341" s="173"/>
      <c r="EG341" s="173"/>
      <c r="EH341" s="125"/>
      <c r="EI341" s="125"/>
      <c r="EJ341" s="134"/>
      <c r="EK341" s="135"/>
      <c r="EL341" s="135"/>
      <c r="EM341" s="135"/>
      <c r="EN341" s="135"/>
      <c r="EO341" s="173"/>
      <c r="EP341" s="173"/>
      <c r="EQ341" s="173"/>
      <c r="ER341" s="173"/>
      <c r="ES341" s="173"/>
      <c r="ET341" s="173"/>
      <c r="EU341" s="173"/>
      <c r="EV341" s="173"/>
      <c r="EW341" s="173"/>
      <c r="EX341" s="173"/>
      <c r="EY341" s="125"/>
      <c r="EZ341" s="125"/>
      <c r="FA341" s="134"/>
      <c r="FB341" s="135"/>
      <c r="FC341" s="135"/>
      <c r="FD341" s="135"/>
      <c r="FE341" s="135"/>
      <c r="FF341" s="173"/>
      <c r="FG341" s="173"/>
      <c r="FH341" s="173"/>
      <c r="FI341" s="173"/>
      <c r="FJ341" s="173"/>
      <c r="FK341" s="173"/>
      <c r="FL341" s="173"/>
      <c r="FM341" s="173"/>
      <c r="FN341" s="173"/>
      <c r="FO341" s="173"/>
      <c r="FP341" s="125"/>
      <c r="FQ341" s="125"/>
      <c r="FR341" s="134"/>
      <c r="FS341" s="135"/>
      <c r="FT341" s="135"/>
      <c r="FU341" s="135"/>
      <c r="FV341" s="135"/>
      <c r="FW341" s="173"/>
      <c r="FX341" s="173"/>
      <c r="FY341" s="173"/>
      <c r="FZ341" s="173"/>
      <c r="GA341" s="173"/>
      <c r="GB341" s="173"/>
      <c r="GC341" s="173"/>
      <c r="GD341" s="173"/>
      <c r="GE341" s="173"/>
      <c r="GF341" s="173"/>
      <c r="GG341" s="125"/>
      <c r="GH341" s="125"/>
      <c r="GI341" s="134"/>
      <c r="GJ341" s="135"/>
      <c r="GK341" s="135"/>
      <c r="GL341" s="135"/>
      <c r="GM341" s="135"/>
      <c r="GN341" s="173"/>
      <c r="GO341" s="173"/>
      <c r="GP341" s="173"/>
      <c r="GQ341" s="173"/>
      <c r="GR341" s="173"/>
      <c r="GS341" s="173"/>
      <c r="GT341" s="173"/>
      <c r="GU341" s="173"/>
      <c r="GV341" s="173"/>
      <c r="GW341" s="173"/>
      <c r="GX341" s="125"/>
      <c r="GY341" s="125"/>
      <c r="GZ341" s="134"/>
      <c r="HA341" s="135"/>
      <c r="HB341" s="135"/>
      <c r="HC341" s="135"/>
      <c r="HD341" s="135"/>
      <c r="HE341" s="173"/>
      <c r="HF341" s="173"/>
      <c r="HG341" s="173"/>
      <c r="HH341" s="173"/>
      <c r="HI341" s="173"/>
      <c r="HJ341" s="173"/>
      <c r="HK341" s="173"/>
      <c r="HL341" s="173"/>
      <c r="HM341" s="173"/>
      <c r="HN341" s="173"/>
      <c r="HO341" s="125"/>
      <c r="HP341" s="125"/>
      <c r="HQ341" s="134"/>
      <c r="HR341" s="135"/>
      <c r="HS341" s="135"/>
      <c r="HT341" s="135"/>
      <c r="HU341" s="135"/>
      <c r="HV341" s="173"/>
      <c r="HW341" s="173"/>
      <c r="HX341" s="173"/>
      <c r="HY341" s="173"/>
      <c r="HZ341" s="173"/>
      <c r="IA341" s="173"/>
      <c r="IB341" s="173"/>
      <c r="IC341" s="173"/>
      <c r="ID341" s="173"/>
      <c r="IE341" s="173"/>
      <c r="IF341" s="125"/>
      <c r="IG341" s="125"/>
      <c r="IH341" s="134"/>
      <c r="II341" s="135"/>
      <c r="IJ341" s="135"/>
      <c r="IK341" s="135"/>
      <c r="IL341" s="135"/>
      <c r="IM341" s="173"/>
      <c r="IN341" s="173"/>
      <c r="IO341" s="173"/>
      <c r="IP341" s="173"/>
      <c r="IQ341" s="173"/>
      <c r="IR341" s="173"/>
      <c r="IS341" s="173"/>
      <c r="IT341" s="173"/>
      <c r="IU341" s="173"/>
      <c r="IV341" s="173"/>
      <c r="IW341" s="125"/>
      <c r="IX341" s="125"/>
      <c r="IY341" s="134"/>
      <c r="IZ341" s="135"/>
      <c r="JA341" s="135"/>
      <c r="JB341" s="135"/>
      <c r="JC341" s="135"/>
      <c r="JD341" s="173"/>
      <c r="JE341" s="173"/>
      <c r="JF341" s="173"/>
      <c r="JG341" s="173"/>
      <c r="JH341" s="173"/>
      <c r="JI341" s="173"/>
      <c r="JJ341" s="173"/>
      <c r="JK341" s="173"/>
      <c r="JL341" s="173"/>
      <c r="JM341" s="173"/>
      <c r="JN341" s="125"/>
      <c r="JO341" s="125"/>
      <c r="JP341" s="134"/>
      <c r="JQ341" s="135"/>
      <c r="JR341" s="135"/>
      <c r="JS341" s="135"/>
      <c r="JT341" s="135"/>
      <c r="JU341" s="173"/>
      <c r="JV341" s="173"/>
      <c r="JW341" s="173"/>
      <c r="JX341" s="173"/>
      <c r="JY341" s="173"/>
      <c r="JZ341" s="173"/>
      <c r="KA341" s="173"/>
      <c r="KB341" s="173"/>
      <c r="KC341" s="173"/>
      <c r="KD341" s="173"/>
      <c r="KE341" s="125"/>
      <c r="KF341" s="125"/>
      <c r="KG341" s="134"/>
      <c r="KH341" s="135"/>
      <c r="KI341" s="135"/>
      <c r="KJ341" s="135"/>
      <c r="KK341" s="135"/>
      <c r="KL341" s="173"/>
      <c r="KM341" s="173"/>
      <c r="KN341" s="173"/>
      <c r="KO341" s="173"/>
      <c r="KP341" s="173"/>
      <c r="KQ341" s="173"/>
      <c r="KR341" s="173"/>
      <c r="KS341" s="173"/>
      <c r="KT341" s="173"/>
      <c r="KU341" s="173"/>
      <c r="KV341" s="125"/>
      <c r="KW341" s="125"/>
      <c r="KX341" s="134"/>
      <c r="KY341" s="135"/>
      <c r="KZ341" s="135"/>
      <c r="LA341" s="135"/>
      <c r="LB341" s="135"/>
      <c r="LC341" s="173"/>
      <c r="LD341" s="173"/>
      <c r="LE341" s="173"/>
      <c r="LF341" s="173"/>
      <c r="LG341" s="173"/>
      <c r="LH341" s="173"/>
      <c r="LI341" s="173"/>
      <c r="LJ341" s="173"/>
      <c r="LK341" s="173"/>
      <c r="LL341" s="173"/>
      <c r="LM341" s="125"/>
      <c r="LN341" s="125"/>
      <c r="LO341" s="134"/>
      <c r="LP341" s="135"/>
      <c r="LQ341" s="135"/>
      <c r="LR341" s="135"/>
      <c r="LS341" s="135"/>
      <c r="LT341" s="173"/>
      <c r="LU341" s="173"/>
      <c r="LV341" s="173"/>
      <c r="LW341" s="173"/>
      <c r="LX341" s="173"/>
      <c r="LY341" s="173"/>
      <c r="LZ341" s="173"/>
      <c r="MA341" s="173"/>
      <c r="MB341" s="173"/>
      <c r="MC341" s="173"/>
      <c r="MD341" s="125"/>
      <c r="ME341" s="125"/>
      <c r="MF341" s="134"/>
      <c r="MG341" s="135"/>
      <c r="MH341" s="135"/>
      <c r="MI341" s="135"/>
      <c r="MJ341" s="135"/>
      <c r="MK341" s="173"/>
      <c r="ML341" s="173"/>
      <c r="MM341" s="173"/>
      <c r="MN341" s="173"/>
      <c r="MO341" s="173"/>
      <c r="MP341" s="173"/>
      <c r="MQ341" s="173"/>
      <c r="MR341" s="173"/>
      <c r="MS341" s="173"/>
      <c r="MT341" s="173"/>
      <c r="MU341" s="125"/>
      <c r="MV341" s="125"/>
      <c r="MW341" s="134"/>
      <c r="MX341" s="135"/>
      <c r="MY341" s="135"/>
      <c r="MZ341" s="135"/>
      <c r="NA341" s="135"/>
      <c r="NB341" s="173"/>
      <c r="NC341" s="173"/>
      <c r="ND341" s="173"/>
      <c r="NE341" s="173"/>
      <c r="NF341" s="173"/>
      <c r="NG341" s="173"/>
      <c r="NH341" s="173"/>
      <c r="NI341" s="173"/>
      <c r="NJ341" s="173"/>
      <c r="NK341" s="173"/>
      <c r="NL341" s="125"/>
      <c r="NM341" s="125"/>
      <c r="NN341" s="134"/>
      <c r="NO341" s="135"/>
      <c r="NP341" s="135"/>
      <c r="NQ341" s="135"/>
      <c r="NR341" s="135"/>
      <c r="NS341" s="173"/>
      <c r="NT341" s="173"/>
      <c r="NU341" s="173"/>
      <c r="NV341" s="173"/>
      <c r="NW341" s="173"/>
      <c r="NX341" s="173"/>
      <c r="NY341" s="173"/>
      <c r="NZ341" s="173"/>
      <c r="OA341" s="173"/>
      <c r="OB341" s="173"/>
      <c r="OC341" s="125"/>
      <c r="OD341" s="125"/>
      <c r="OE341" s="134"/>
      <c r="OF341" s="135"/>
      <c r="OG341" s="135"/>
      <c r="OH341" s="135"/>
      <c r="OI341" s="135"/>
      <c r="OJ341" s="173"/>
      <c r="OK341" s="173"/>
      <c r="OL341" s="173"/>
      <c r="OM341" s="173"/>
      <c r="ON341" s="173"/>
      <c r="OO341" s="173"/>
      <c r="OP341" s="173"/>
      <c r="OQ341" s="173"/>
      <c r="OR341" s="173"/>
      <c r="OS341" s="173"/>
      <c r="OT341" s="125"/>
      <c r="OU341" s="125"/>
      <c r="OV341" s="134"/>
      <c r="OW341" s="135"/>
      <c r="OX341" s="135"/>
      <c r="OY341" s="135"/>
      <c r="OZ341" s="135"/>
      <c r="PA341" s="173"/>
      <c r="PB341" s="173"/>
      <c r="PC341" s="173"/>
      <c r="PD341" s="173"/>
      <c r="PE341" s="173"/>
      <c r="PF341" s="173"/>
      <c r="PG341" s="173"/>
      <c r="PH341" s="173"/>
      <c r="PI341" s="173"/>
      <c r="PJ341" s="173"/>
      <c r="PK341" s="125"/>
      <c r="PL341" s="125"/>
      <c r="PM341" s="134"/>
      <c r="PN341" s="135"/>
      <c r="PO341" s="135"/>
      <c r="PP341" s="135"/>
      <c r="PQ341" s="135"/>
      <c r="PR341" s="173"/>
      <c r="PS341" s="173"/>
      <c r="PT341" s="173"/>
      <c r="PU341" s="173"/>
      <c r="PV341" s="173"/>
      <c r="PW341" s="173"/>
      <c r="PX341" s="173"/>
      <c r="PY341" s="173"/>
      <c r="PZ341" s="173"/>
      <c r="QA341" s="173"/>
      <c r="QB341" s="125"/>
      <c r="QC341" s="125"/>
      <c r="QD341" s="134"/>
      <c r="QE341" s="135"/>
      <c r="QF341" s="135"/>
      <c r="QG341" s="135"/>
      <c r="QH341" s="135"/>
      <c r="QI341" s="173"/>
      <c r="QJ341" s="173"/>
      <c r="QK341" s="173"/>
      <c r="QL341" s="173"/>
      <c r="QM341" s="173"/>
      <c r="QN341" s="173"/>
      <c r="QO341" s="173"/>
      <c r="QP341" s="173"/>
      <c r="QQ341" s="173"/>
      <c r="QR341" s="173"/>
      <c r="QS341" s="125"/>
      <c r="QT341" s="125"/>
      <c r="QU341" s="134"/>
      <c r="QV341" s="135"/>
      <c r="QW341" s="135"/>
      <c r="QX341" s="135"/>
      <c r="QY341" s="135"/>
      <c r="QZ341" s="173"/>
      <c r="RA341" s="173"/>
      <c r="RB341" s="173"/>
      <c r="RC341" s="173"/>
      <c r="RD341" s="173"/>
      <c r="RE341" s="173"/>
      <c r="RF341" s="173"/>
      <c r="RG341" s="173"/>
      <c r="RH341" s="173"/>
      <c r="RI341" s="173"/>
      <c r="RJ341" s="125"/>
      <c r="RK341" s="125"/>
      <c r="RL341" s="134"/>
      <c r="RM341" s="135"/>
      <c r="RN341" s="135"/>
      <c r="RO341" s="135"/>
      <c r="RP341" s="135"/>
      <c r="RQ341" s="173"/>
      <c r="RR341" s="173"/>
      <c r="RS341" s="173"/>
      <c r="RT341" s="173"/>
      <c r="RU341" s="173"/>
      <c r="RV341" s="173"/>
      <c r="RW341" s="173"/>
      <c r="RX341" s="173"/>
      <c r="RY341" s="173"/>
      <c r="RZ341" s="173"/>
      <c r="SA341" s="125"/>
      <c r="SB341" s="125"/>
      <c r="SC341" s="134"/>
      <c r="SD341" s="135"/>
      <c r="SE341" s="135"/>
      <c r="SF341" s="135"/>
      <c r="SG341" s="135"/>
      <c r="SH341" s="173"/>
      <c r="SI341" s="173"/>
      <c r="SJ341" s="173"/>
      <c r="SK341" s="173"/>
      <c r="SL341" s="173"/>
      <c r="SM341" s="173"/>
      <c r="SN341" s="173"/>
      <c r="SO341" s="173"/>
      <c r="SP341" s="173"/>
      <c r="SQ341" s="173"/>
      <c r="SR341" s="125"/>
      <c r="SS341" s="125"/>
      <c r="ST341" s="134"/>
      <c r="SU341" s="135"/>
      <c r="SV341" s="135"/>
      <c r="SW341" s="135"/>
      <c r="SX341" s="135"/>
      <c r="SY341" s="173"/>
      <c r="SZ341" s="173"/>
      <c r="TA341" s="173"/>
      <c r="TB341" s="173"/>
      <c r="TC341" s="173"/>
      <c r="TD341" s="173"/>
      <c r="TE341" s="173"/>
      <c r="TF341" s="173"/>
      <c r="TG341" s="173"/>
      <c r="TH341" s="173"/>
      <c r="TI341" s="125"/>
      <c r="TJ341" s="125"/>
      <c r="TK341" s="134"/>
      <c r="TL341" s="135"/>
      <c r="TM341" s="135"/>
      <c r="TN341" s="135"/>
      <c r="TO341" s="135"/>
      <c r="TP341" s="173"/>
      <c r="TQ341" s="173"/>
      <c r="TR341" s="173"/>
      <c r="TS341" s="173"/>
      <c r="TT341" s="173"/>
      <c r="TU341" s="173"/>
      <c r="TV341" s="173"/>
      <c r="TW341" s="173"/>
      <c r="TX341" s="173"/>
      <c r="TY341" s="173"/>
      <c r="TZ341" s="125"/>
      <c r="UA341" s="125"/>
      <c r="UB341" s="134"/>
      <c r="UC341" s="135"/>
      <c r="UD341" s="135"/>
      <c r="UE341" s="135"/>
      <c r="UF341" s="135"/>
      <c r="UG341" s="173"/>
      <c r="UH341" s="173"/>
      <c r="UI341" s="173"/>
      <c r="UJ341" s="173"/>
      <c r="UK341" s="173"/>
      <c r="UL341" s="173"/>
      <c r="UM341" s="173"/>
      <c r="UN341" s="173"/>
      <c r="UO341" s="173"/>
      <c r="UP341" s="173"/>
      <c r="UQ341" s="125"/>
      <c r="UR341" s="125"/>
      <c r="US341" s="134"/>
      <c r="UT341" s="135"/>
      <c r="UU341" s="135"/>
      <c r="UV341" s="135"/>
      <c r="UW341" s="135"/>
      <c r="UX341" s="173"/>
      <c r="UY341" s="173"/>
      <c r="UZ341" s="173"/>
      <c r="VA341" s="173"/>
      <c r="VB341" s="173"/>
      <c r="VC341" s="173"/>
      <c r="VD341" s="173"/>
      <c r="VE341" s="173"/>
      <c r="VF341" s="173"/>
      <c r="VG341" s="173"/>
      <c r="VH341" s="125"/>
      <c r="VI341" s="125"/>
      <c r="VJ341" s="134"/>
      <c r="VK341" s="135"/>
      <c r="VL341" s="135"/>
      <c r="VM341" s="135"/>
      <c r="VN341" s="135"/>
      <c r="VO341" s="173"/>
      <c r="VP341" s="173"/>
      <c r="VQ341" s="173"/>
      <c r="VR341" s="173"/>
      <c r="VS341" s="173"/>
      <c r="VT341" s="173"/>
      <c r="VU341" s="173"/>
      <c r="VV341" s="173"/>
      <c r="VW341" s="173"/>
      <c r="VX341" s="173"/>
      <c r="VY341" s="125"/>
      <c r="VZ341" s="125"/>
      <c r="WA341" s="134"/>
      <c r="WB341" s="135"/>
      <c r="WC341" s="135"/>
      <c r="WD341" s="135"/>
      <c r="WE341" s="135"/>
      <c r="WF341" s="173"/>
      <c r="WG341" s="173"/>
      <c r="WH341" s="173"/>
      <c r="WI341" s="173"/>
      <c r="WJ341" s="173"/>
      <c r="WK341" s="173"/>
      <c r="WL341" s="173"/>
      <c r="WM341" s="173"/>
      <c r="WN341" s="173"/>
      <c r="WO341" s="173"/>
      <c r="WP341" s="125"/>
      <c r="WQ341" s="125"/>
      <c r="WR341" s="134"/>
      <c r="WS341" s="135"/>
      <c r="WT341" s="135"/>
      <c r="WU341" s="135"/>
      <c r="WV341" s="135"/>
      <c r="WW341" s="173"/>
      <c r="WX341" s="173"/>
      <c r="WY341" s="173"/>
      <c r="WZ341" s="173"/>
      <c r="XA341" s="173"/>
      <c r="XB341" s="173"/>
      <c r="XC341" s="173"/>
      <c r="XD341" s="173"/>
      <c r="XE341" s="173"/>
      <c r="XF341" s="173"/>
      <c r="XG341" s="125"/>
      <c r="XH341" s="125"/>
      <c r="XI341" s="134"/>
      <c r="XJ341" s="135"/>
      <c r="XK341" s="135"/>
      <c r="XL341" s="135"/>
      <c r="XM341" s="135"/>
      <c r="XN341" s="173"/>
      <c r="XO341" s="173"/>
      <c r="XP341" s="173"/>
      <c r="XQ341" s="173"/>
      <c r="XR341" s="173"/>
      <c r="XS341" s="173"/>
      <c r="XT341" s="173"/>
      <c r="XU341" s="173"/>
      <c r="XV341" s="173"/>
      <c r="XW341" s="173"/>
      <c r="XX341" s="125"/>
      <c r="XY341" s="125"/>
      <c r="XZ341" s="134"/>
      <c r="YA341" s="135"/>
      <c r="YB341" s="135"/>
      <c r="YC341" s="135"/>
      <c r="YD341" s="135"/>
      <c r="YE341" s="173"/>
      <c r="YF341" s="173"/>
      <c r="YG341" s="173"/>
      <c r="YH341" s="173"/>
      <c r="YI341" s="173"/>
      <c r="YJ341" s="173"/>
      <c r="YK341" s="173"/>
      <c r="YL341" s="173"/>
      <c r="YM341" s="173"/>
      <c r="YN341" s="173"/>
      <c r="YO341" s="125"/>
      <c r="YP341" s="125"/>
      <c r="YQ341" s="134"/>
      <c r="YR341" s="135"/>
      <c r="YS341" s="135"/>
      <c r="YT341" s="135"/>
      <c r="YU341" s="135"/>
      <c r="YV341" s="173"/>
      <c r="YW341" s="173"/>
      <c r="YX341" s="173"/>
      <c r="YY341" s="173"/>
      <c r="YZ341" s="173"/>
      <c r="ZA341" s="173"/>
      <c r="ZB341" s="173"/>
      <c r="ZC341" s="173"/>
      <c r="ZD341" s="173"/>
      <c r="ZE341" s="173"/>
      <c r="ZF341" s="125"/>
      <c r="ZG341" s="125"/>
      <c r="ZH341" s="134"/>
      <c r="ZI341" s="135"/>
      <c r="ZJ341" s="135"/>
      <c r="ZK341" s="135"/>
      <c r="ZL341" s="135"/>
      <c r="ZM341" s="173"/>
      <c r="ZN341" s="173"/>
      <c r="ZO341" s="173"/>
      <c r="ZP341" s="173"/>
      <c r="ZQ341" s="173"/>
      <c r="ZR341" s="173"/>
      <c r="ZS341" s="173"/>
      <c r="ZT341" s="173"/>
      <c r="ZU341" s="173"/>
      <c r="ZV341" s="173"/>
      <c r="ZW341" s="125"/>
      <c r="ZX341" s="125"/>
      <c r="ZY341" s="134"/>
      <c r="ZZ341" s="135"/>
      <c r="AAA341" s="135"/>
      <c r="AAB341" s="135"/>
      <c r="AAC341" s="135"/>
      <c r="AAD341" s="173"/>
      <c r="AAE341" s="173"/>
      <c r="AAF341" s="173"/>
      <c r="AAG341" s="173"/>
      <c r="AAH341" s="173"/>
      <c r="AAI341" s="173"/>
      <c r="AAJ341" s="173"/>
      <c r="AAK341" s="173"/>
      <c r="AAL341" s="173"/>
      <c r="AAM341" s="173"/>
      <c r="AAN341" s="125"/>
      <c r="AAO341" s="125"/>
      <c r="AAP341" s="134"/>
      <c r="AAQ341" s="135"/>
      <c r="AAR341" s="135"/>
      <c r="AAS341" s="135"/>
      <c r="AAT341" s="135"/>
      <c r="AAU341" s="173"/>
      <c r="AAV341" s="173"/>
      <c r="AAW341" s="173"/>
      <c r="AAX341" s="173"/>
      <c r="AAY341" s="173"/>
      <c r="AAZ341" s="173"/>
      <c r="ABA341" s="173"/>
      <c r="ABB341" s="173"/>
      <c r="ABC341" s="173"/>
      <c r="ABD341" s="173"/>
      <c r="ABE341" s="125"/>
      <c r="ABF341" s="125"/>
      <c r="ABG341" s="134"/>
      <c r="ABH341" s="135"/>
      <c r="ABI341" s="135"/>
      <c r="ABJ341" s="135"/>
      <c r="ABK341" s="135"/>
      <c r="ABL341" s="173"/>
      <c r="ABM341" s="173"/>
      <c r="ABN341" s="173"/>
      <c r="ABO341" s="173"/>
      <c r="ABP341" s="173"/>
      <c r="ABQ341" s="173"/>
      <c r="ABR341" s="173"/>
      <c r="ABS341" s="173"/>
      <c r="ABT341" s="173"/>
      <c r="ABU341" s="173"/>
      <c r="ABV341" s="125"/>
      <c r="ABW341" s="125"/>
      <c r="ABX341" s="134"/>
      <c r="ABY341" s="135"/>
      <c r="ABZ341" s="135"/>
      <c r="ACA341" s="135"/>
      <c r="ACB341" s="135"/>
      <c r="ACC341" s="173"/>
      <c r="ACD341" s="173"/>
      <c r="ACE341" s="173"/>
      <c r="ACF341" s="173"/>
      <c r="ACG341" s="173"/>
      <c r="ACH341" s="173"/>
      <c r="ACI341" s="173"/>
      <c r="ACJ341" s="173"/>
      <c r="ACK341" s="173"/>
      <c r="ACL341" s="173"/>
      <c r="ACM341" s="125"/>
      <c r="ACN341" s="125"/>
      <c r="ACO341" s="134"/>
      <c r="ACP341" s="135"/>
      <c r="ACQ341" s="135"/>
      <c r="ACR341" s="135"/>
      <c r="ACS341" s="135"/>
      <c r="ACT341" s="173"/>
      <c r="ACU341" s="173"/>
      <c r="ACV341" s="173"/>
      <c r="ACW341" s="173"/>
      <c r="ACX341" s="173"/>
      <c r="ACY341" s="173"/>
      <c r="ACZ341" s="173"/>
      <c r="ADA341" s="173"/>
      <c r="ADB341" s="173"/>
      <c r="ADC341" s="173"/>
      <c r="ADD341" s="125"/>
      <c r="ADE341" s="125"/>
      <c r="ADF341" s="134"/>
      <c r="ADG341" s="135"/>
      <c r="ADH341" s="135"/>
      <c r="ADI341" s="135"/>
      <c r="ADJ341" s="135"/>
      <c r="ADK341" s="173"/>
      <c r="ADL341" s="173"/>
      <c r="ADM341" s="173"/>
      <c r="ADN341" s="173"/>
      <c r="ADO341" s="173"/>
      <c r="ADP341" s="173"/>
      <c r="ADQ341" s="173"/>
      <c r="ADR341" s="173"/>
      <c r="ADS341" s="173"/>
      <c r="ADT341" s="173"/>
      <c r="ADU341" s="125"/>
      <c r="ADV341" s="125"/>
      <c r="ADW341" s="134"/>
      <c r="ADX341" s="135"/>
      <c r="ADY341" s="135"/>
      <c r="ADZ341" s="135"/>
      <c r="AEA341" s="135"/>
      <c r="AEB341" s="173"/>
      <c r="AEC341" s="173"/>
      <c r="AED341" s="173"/>
      <c r="AEE341" s="173"/>
      <c r="AEF341" s="173"/>
      <c r="AEG341" s="173"/>
      <c r="AEH341" s="173"/>
      <c r="AEI341" s="173"/>
      <c r="AEJ341" s="173"/>
      <c r="AEK341" s="173"/>
      <c r="AEL341" s="125"/>
      <c r="AEM341" s="125"/>
      <c r="AEN341" s="134"/>
      <c r="AEO341" s="135"/>
      <c r="AEP341" s="135"/>
      <c r="AEQ341" s="135"/>
      <c r="AER341" s="135"/>
      <c r="AES341" s="173"/>
      <c r="AET341" s="173"/>
      <c r="AEU341" s="173"/>
      <c r="AEV341" s="173"/>
      <c r="AEW341" s="173"/>
      <c r="AEX341" s="173"/>
      <c r="AEY341" s="173"/>
      <c r="AEZ341" s="173"/>
      <c r="AFA341" s="173"/>
      <c r="AFB341" s="173"/>
      <c r="AFC341" s="125"/>
      <c r="AFD341" s="125"/>
      <c r="AFE341" s="134"/>
      <c r="AFF341" s="135"/>
      <c r="AFG341" s="135"/>
      <c r="AFH341" s="135"/>
      <c r="AFI341" s="135"/>
      <c r="AFJ341" s="173"/>
      <c r="AFK341" s="173"/>
      <c r="AFL341" s="173"/>
      <c r="AFM341" s="173"/>
      <c r="AFN341" s="173"/>
      <c r="AFO341" s="173"/>
      <c r="AFP341" s="173"/>
      <c r="AFQ341" s="173"/>
      <c r="AFR341" s="173"/>
      <c r="AFS341" s="173"/>
      <c r="AFT341" s="125"/>
      <c r="AFU341" s="125"/>
      <c r="AFV341" s="134"/>
      <c r="AFW341" s="135"/>
      <c r="AFX341" s="135"/>
      <c r="AFY341" s="135"/>
      <c r="AFZ341" s="135"/>
      <c r="AGA341" s="173"/>
      <c r="AGB341" s="173"/>
      <c r="AGC341" s="173"/>
      <c r="AGD341" s="173"/>
      <c r="AGE341" s="173"/>
      <c r="AGF341" s="173"/>
      <c r="AGG341" s="173"/>
      <c r="AGH341" s="173"/>
      <c r="AGI341" s="173"/>
      <c r="AGJ341" s="173"/>
      <c r="AGK341" s="125"/>
      <c r="AGL341" s="125"/>
      <c r="AGM341" s="134"/>
      <c r="AGN341" s="135"/>
      <c r="AGO341" s="135"/>
      <c r="AGP341" s="135"/>
      <c r="AGQ341" s="135"/>
      <c r="AGR341" s="173"/>
      <c r="AGS341" s="173"/>
      <c r="AGT341" s="173"/>
      <c r="AGU341" s="173"/>
      <c r="AGV341" s="173"/>
      <c r="AGW341" s="173"/>
      <c r="AGX341" s="173"/>
      <c r="AGY341" s="173"/>
      <c r="AGZ341" s="173"/>
      <c r="AHA341" s="173"/>
      <c r="AHB341" s="125"/>
      <c r="AHC341" s="125"/>
      <c r="AHD341" s="134"/>
      <c r="AHE341" s="135"/>
      <c r="AHF341" s="135"/>
      <c r="AHG341" s="135"/>
      <c r="AHH341" s="135"/>
      <c r="AHI341" s="173"/>
      <c r="AHJ341" s="173"/>
      <c r="AHK341" s="173"/>
      <c r="AHL341" s="173"/>
      <c r="AHM341" s="173"/>
      <c r="AHN341" s="173"/>
      <c r="AHO341" s="173"/>
      <c r="AHP341" s="173"/>
      <c r="AHQ341" s="173"/>
      <c r="AHR341" s="173"/>
      <c r="AHS341" s="125"/>
      <c r="AHT341" s="125"/>
      <c r="AHU341" s="134"/>
      <c r="AHV341" s="135"/>
      <c r="AHW341" s="135"/>
      <c r="AHX341" s="135"/>
      <c r="AHY341" s="135"/>
      <c r="AHZ341" s="173"/>
      <c r="AIA341" s="173"/>
      <c r="AIB341" s="173"/>
      <c r="AIC341" s="173"/>
      <c r="AID341" s="173"/>
      <c r="AIE341" s="173"/>
      <c r="AIF341" s="173"/>
      <c r="AIG341" s="173"/>
      <c r="AIH341" s="173"/>
      <c r="AII341" s="173"/>
      <c r="AIJ341" s="125"/>
      <c r="AIK341" s="125"/>
      <c r="AIL341" s="134"/>
      <c r="AIM341" s="135"/>
      <c r="AIN341" s="135"/>
      <c r="AIO341" s="135"/>
      <c r="AIP341" s="135"/>
      <c r="AIQ341" s="173"/>
      <c r="AIR341" s="173"/>
      <c r="AIS341" s="173"/>
      <c r="AIT341" s="173"/>
      <c r="AIU341" s="173"/>
      <c r="AIV341" s="173"/>
      <c r="AIW341" s="173"/>
      <c r="AIX341" s="173"/>
      <c r="AIY341" s="173"/>
      <c r="AIZ341" s="173"/>
      <c r="AJA341" s="125"/>
      <c r="AJB341" s="125"/>
      <c r="AJC341" s="134"/>
      <c r="AJD341" s="135"/>
      <c r="AJE341" s="135"/>
      <c r="AJF341" s="135"/>
      <c r="AJG341" s="135"/>
      <c r="AJH341" s="173"/>
      <c r="AJI341" s="173"/>
      <c r="AJJ341" s="173"/>
      <c r="AJK341" s="173"/>
      <c r="AJL341" s="173"/>
      <c r="AJM341" s="173"/>
      <c r="AJN341" s="173"/>
      <c r="AJO341" s="173"/>
      <c r="AJP341" s="173"/>
      <c r="AJQ341" s="173"/>
      <c r="AJR341" s="125"/>
      <c r="AJS341" s="125"/>
      <c r="AJT341" s="134"/>
      <c r="AJU341" s="135"/>
      <c r="AJV341" s="135"/>
      <c r="AJW341" s="135"/>
      <c r="AJX341" s="135"/>
      <c r="AJY341" s="173"/>
      <c r="AJZ341" s="173"/>
      <c r="AKA341" s="173"/>
      <c r="AKB341" s="173"/>
      <c r="AKC341" s="173"/>
      <c r="AKD341" s="173"/>
      <c r="AKE341" s="173"/>
      <c r="AKF341" s="173"/>
      <c r="AKG341" s="173"/>
      <c r="AKH341" s="173"/>
      <c r="AKI341" s="125"/>
      <c r="AKJ341" s="125"/>
      <c r="AKK341" s="134"/>
      <c r="AKL341" s="135"/>
      <c r="AKM341" s="135"/>
      <c r="AKN341" s="135"/>
      <c r="AKO341" s="135"/>
      <c r="AKP341" s="173"/>
      <c r="AKQ341" s="173"/>
      <c r="AKR341" s="173"/>
      <c r="AKS341" s="173"/>
      <c r="AKT341" s="173"/>
      <c r="AKU341" s="173"/>
      <c r="AKV341" s="173"/>
      <c r="AKW341" s="173"/>
      <c r="AKX341" s="173"/>
      <c r="AKY341" s="173"/>
      <c r="AKZ341" s="125"/>
      <c r="ALA341" s="125"/>
      <c r="ALB341" s="134"/>
      <c r="ALC341" s="135"/>
      <c r="ALD341" s="135"/>
      <c r="ALE341" s="135"/>
      <c r="ALF341" s="135"/>
      <c r="ALG341" s="173"/>
      <c r="ALH341" s="173"/>
      <c r="ALI341" s="173"/>
      <c r="ALJ341" s="173"/>
      <c r="ALK341" s="173"/>
      <c r="ALL341" s="173"/>
      <c r="ALM341" s="173"/>
      <c r="ALN341" s="173"/>
      <c r="ALO341" s="173"/>
      <c r="ALP341" s="173"/>
      <c r="ALQ341" s="125"/>
      <c r="ALR341" s="125"/>
      <c r="ALS341" s="134"/>
      <c r="ALT341" s="135"/>
      <c r="ALU341" s="135"/>
      <c r="ALV341" s="135"/>
      <c r="ALW341" s="135"/>
      <c r="ALX341" s="173"/>
      <c r="ALY341" s="173"/>
      <c r="ALZ341" s="173"/>
      <c r="AMA341" s="173"/>
      <c r="AMB341" s="173"/>
      <c r="AMC341" s="173"/>
      <c r="AMD341" s="173"/>
      <c r="AME341" s="173"/>
      <c r="AMF341" s="173"/>
      <c r="AMG341" s="173"/>
      <c r="AMH341" s="125"/>
      <c r="AMI341" s="125"/>
      <c r="AMJ341" s="134"/>
      <c r="AMK341" s="135"/>
      <c r="AML341" s="135"/>
      <c r="AMM341" s="135"/>
      <c r="AMN341" s="135"/>
      <c r="AMO341" s="173"/>
      <c r="AMP341" s="173"/>
      <c r="AMQ341" s="173"/>
      <c r="AMR341" s="173"/>
      <c r="AMS341" s="173"/>
      <c r="AMT341" s="173"/>
      <c r="AMU341" s="173"/>
      <c r="AMV341" s="173"/>
      <c r="AMW341" s="173"/>
      <c r="AMX341" s="173"/>
      <c r="AMY341" s="125"/>
      <c r="AMZ341" s="125"/>
      <c r="ANA341" s="134"/>
      <c r="ANB341" s="135"/>
      <c r="ANC341" s="135"/>
      <c r="AND341" s="135"/>
      <c r="ANE341" s="135"/>
      <c r="ANF341" s="173"/>
      <c r="ANG341" s="173"/>
      <c r="ANH341" s="173"/>
      <c r="ANI341" s="173"/>
      <c r="ANJ341" s="173"/>
      <c r="ANK341" s="173"/>
      <c r="ANL341" s="173"/>
      <c r="ANM341" s="173"/>
      <c r="ANN341" s="173"/>
      <c r="ANO341" s="173"/>
      <c r="ANP341" s="125"/>
      <c r="ANQ341" s="125"/>
      <c r="ANR341" s="134"/>
      <c r="ANS341" s="135"/>
      <c r="ANT341" s="135"/>
      <c r="ANU341" s="135"/>
      <c r="ANV341" s="135"/>
      <c r="ANW341" s="173"/>
      <c r="ANX341" s="173"/>
      <c r="ANY341" s="173"/>
      <c r="ANZ341" s="173"/>
      <c r="AOA341" s="173"/>
      <c r="AOB341" s="173"/>
      <c r="AOC341" s="173"/>
      <c r="AOD341" s="173"/>
      <c r="AOE341" s="173"/>
      <c r="AOF341" s="173"/>
      <c r="AOG341" s="125"/>
      <c r="AOH341" s="125"/>
      <c r="AOI341" s="134"/>
      <c r="AOJ341" s="135"/>
      <c r="AOK341" s="135"/>
      <c r="AOL341" s="135"/>
      <c r="AOM341" s="135"/>
      <c r="AON341" s="173"/>
      <c r="AOO341" s="173"/>
      <c r="AOP341" s="173"/>
      <c r="AOQ341" s="173"/>
      <c r="AOR341" s="173"/>
      <c r="AOS341" s="173"/>
      <c r="AOT341" s="173"/>
      <c r="AOU341" s="173"/>
      <c r="AOV341" s="173"/>
      <c r="AOW341" s="173"/>
      <c r="AOX341" s="125"/>
      <c r="AOY341" s="125"/>
      <c r="AOZ341" s="134"/>
      <c r="APA341" s="135"/>
      <c r="APB341" s="135"/>
      <c r="APC341" s="135"/>
      <c r="APD341" s="135"/>
      <c r="APE341" s="173"/>
      <c r="APF341" s="173"/>
      <c r="APG341" s="173"/>
      <c r="APH341" s="173"/>
      <c r="API341" s="173"/>
      <c r="APJ341" s="173"/>
      <c r="APK341" s="173"/>
      <c r="APL341" s="173"/>
      <c r="APM341" s="173"/>
      <c r="APN341" s="173"/>
      <c r="APO341" s="125"/>
      <c r="APP341" s="125"/>
      <c r="APQ341" s="134"/>
      <c r="APR341" s="135"/>
      <c r="APS341" s="135"/>
      <c r="APT341" s="135"/>
      <c r="APU341" s="135"/>
      <c r="APV341" s="173"/>
      <c r="APW341" s="173"/>
      <c r="APX341" s="173"/>
      <c r="APY341" s="173"/>
      <c r="APZ341" s="173"/>
      <c r="AQA341" s="173"/>
      <c r="AQB341" s="173"/>
      <c r="AQC341" s="173"/>
      <c r="AQD341" s="173"/>
      <c r="AQE341" s="173"/>
      <c r="AQF341" s="125"/>
      <c r="AQG341" s="125"/>
      <c r="AQH341" s="134"/>
      <c r="AQI341" s="135"/>
      <c r="AQJ341" s="135"/>
      <c r="AQK341" s="135"/>
      <c r="AQL341" s="135"/>
      <c r="AQM341" s="173"/>
      <c r="AQN341" s="173"/>
      <c r="AQO341" s="173"/>
      <c r="AQP341" s="173"/>
      <c r="AQQ341" s="173"/>
      <c r="AQR341" s="173"/>
      <c r="AQS341" s="173"/>
      <c r="AQT341" s="173"/>
      <c r="AQU341" s="173"/>
      <c r="AQV341" s="173"/>
      <c r="AQW341" s="125"/>
      <c r="AQX341" s="125"/>
      <c r="AQY341" s="134"/>
      <c r="AQZ341" s="135"/>
      <c r="ARA341" s="135"/>
      <c r="ARB341" s="135"/>
      <c r="ARC341" s="135"/>
      <c r="ARD341" s="173"/>
      <c r="ARE341" s="173"/>
      <c r="ARF341" s="173"/>
      <c r="ARG341" s="173"/>
      <c r="ARH341" s="173"/>
      <c r="ARI341" s="173"/>
      <c r="ARJ341" s="173"/>
      <c r="ARK341" s="173"/>
      <c r="ARL341" s="173"/>
      <c r="ARM341" s="173"/>
      <c r="ARN341" s="125"/>
      <c r="ARO341" s="125"/>
      <c r="ARP341" s="134"/>
      <c r="ARQ341" s="135"/>
      <c r="ARR341" s="135"/>
      <c r="ARS341" s="135"/>
      <c r="ART341" s="135"/>
      <c r="ARU341" s="173"/>
      <c r="ARV341" s="173"/>
      <c r="ARW341" s="173"/>
      <c r="ARX341" s="173"/>
      <c r="ARY341" s="173"/>
      <c r="ARZ341" s="173"/>
      <c r="ASA341" s="173"/>
      <c r="ASB341" s="173"/>
      <c r="ASC341" s="173"/>
      <c r="ASD341" s="173"/>
      <c r="ASE341" s="125"/>
      <c r="ASF341" s="125"/>
      <c r="ASG341" s="134"/>
      <c r="ASH341" s="135"/>
      <c r="ASI341" s="135"/>
      <c r="ASJ341" s="135"/>
      <c r="ASK341" s="135"/>
      <c r="ASL341" s="173"/>
      <c r="ASM341" s="173"/>
      <c r="ASN341" s="173"/>
      <c r="ASO341" s="173"/>
      <c r="ASP341" s="173"/>
      <c r="ASQ341" s="173"/>
      <c r="ASR341" s="173"/>
      <c r="ASS341" s="173"/>
      <c r="AST341" s="173"/>
      <c r="ASU341" s="173"/>
      <c r="ASV341" s="125"/>
      <c r="ASW341" s="125"/>
      <c r="ASX341" s="134"/>
      <c r="ASY341" s="135"/>
      <c r="ASZ341" s="135"/>
      <c r="ATA341" s="135"/>
      <c r="ATB341" s="135"/>
      <c r="ATC341" s="173"/>
      <c r="ATD341" s="173"/>
      <c r="ATE341" s="173"/>
      <c r="ATF341" s="173"/>
      <c r="ATG341" s="173"/>
      <c r="ATH341" s="173"/>
      <c r="ATI341" s="173"/>
      <c r="ATJ341" s="173"/>
      <c r="ATK341" s="173"/>
      <c r="ATL341" s="173"/>
      <c r="ATM341" s="125"/>
      <c r="ATN341" s="125"/>
      <c r="ATO341" s="134"/>
      <c r="ATP341" s="135"/>
      <c r="ATQ341" s="135"/>
      <c r="ATR341" s="135"/>
      <c r="ATS341" s="135"/>
      <c r="ATT341" s="173"/>
      <c r="ATU341" s="173"/>
      <c r="ATV341" s="173"/>
      <c r="ATW341" s="173"/>
      <c r="ATX341" s="173"/>
      <c r="ATY341" s="173"/>
      <c r="ATZ341" s="173"/>
      <c r="AUA341" s="173"/>
      <c r="AUB341" s="173"/>
      <c r="AUC341" s="173"/>
      <c r="AUD341" s="125"/>
      <c r="AUE341" s="125"/>
      <c r="AUF341" s="134"/>
      <c r="AUG341" s="135"/>
      <c r="AUH341" s="135"/>
      <c r="AUI341" s="135"/>
      <c r="AUJ341" s="135"/>
      <c r="AUK341" s="173"/>
      <c r="AUL341" s="173"/>
      <c r="AUM341" s="173"/>
      <c r="AUN341" s="173"/>
      <c r="AUO341" s="173"/>
      <c r="AUP341" s="173"/>
      <c r="AUQ341" s="173"/>
      <c r="AUR341" s="173"/>
      <c r="AUS341" s="173"/>
      <c r="AUT341" s="173"/>
      <c r="AUU341" s="125"/>
      <c r="AUV341" s="125"/>
      <c r="AUW341" s="134"/>
      <c r="AUX341" s="135"/>
      <c r="AUY341" s="135"/>
      <c r="AUZ341" s="135"/>
      <c r="AVA341" s="135"/>
      <c r="AVB341" s="173"/>
      <c r="AVC341" s="173"/>
      <c r="AVD341" s="173"/>
      <c r="AVE341" s="173"/>
      <c r="AVF341" s="173"/>
      <c r="AVG341" s="173"/>
      <c r="AVH341" s="173"/>
      <c r="AVI341" s="173"/>
      <c r="AVJ341" s="173"/>
      <c r="AVK341" s="173"/>
      <c r="AVL341" s="125"/>
      <c r="AVM341" s="125"/>
      <c r="AVN341" s="134"/>
      <c r="AVO341" s="135"/>
      <c r="AVP341" s="135"/>
      <c r="AVQ341" s="135"/>
      <c r="AVR341" s="135"/>
      <c r="AVS341" s="173"/>
      <c r="AVT341" s="173"/>
      <c r="AVU341" s="173"/>
      <c r="AVV341" s="173"/>
      <c r="AVW341" s="173"/>
      <c r="AVX341" s="173"/>
      <c r="AVY341" s="173"/>
      <c r="AVZ341" s="173"/>
      <c r="AWA341" s="173"/>
      <c r="AWB341" s="173"/>
      <c r="AWC341" s="125"/>
      <c r="AWD341" s="125"/>
      <c r="AWE341" s="134"/>
      <c r="AWF341" s="135"/>
      <c r="AWG341" s="135"/>
      <c r="AWH341" s="135"/>
      <c r="AWI341" s="135"/>
      <c r="AWJ341" s="173"/>
      <c r="AWK341" s="173"/>
      <c r="AWL341" s="173"/>
      <c r="AWM341" s="173"/>
      <c r="AWN341" s="173"/>
      <c r="AWO341" s="173"/>
      <c r="AWP341" s="173"/>
      <c r="AWQ341" s="173"/>
      <c r="AWR341" s="173"/>
      <c r="AWS341" s="173"/>
      <c r="AWT341" s="125"/>
      <c r="AWU341" s="125"/>
      <c r="AWV341" s="134"/>
      <c r="AWW341" s="135"/>
      <c r="AWX341" s="135"/>
      <c r="AWY341" s="135"/>
      <c r="AWZ341" s="135"/>
      <c r="AXA341" s="173"/>
      <c r="AXB341" s="173"/>
      <c r="AXC341" s="173"/>
      <c r="AXD341" s="173"/>
      <c r="AXE341" s="173"/>
      <c r="AXF341" s="173"/>
      <c r="AXG341" s="173"/>
      <c r="AXH341" s="173"/>
      <c r="AXI341" s="173"/>
      <c r="AXJ341" s="173"/>
      <c r="AXK341" s="125"/>
      <c r="AXL341" s="125"/>
      <c r="AXM341" s="134"/>
      <c r="AXN341" s="135"/>
      <c r="AXO341" s="135"/>
      <c r="AXP341" s="135"/>
      <c r="AXQ341" s="135"/>
      <c r="AXR341" s="173"/>
      <c r="AXS341" s="173"/>
      <c r="AXT341" s="173"/>
      <c r="AXU341" s="173"/>
      <c r="AXV341" s="173"/>
      <c r="AXW341" s="173"/>
      <c r="AXX341" s="173"/>
      <c r="AXY341" s="173"/>
      <c r="AXZ341" s="173"/>
      <c r="AYA341" s="173"/>
      <c r="AYB341" s="125"/>
      <c r="AYC341" s="125"/>
      <c r="AYD341" s="134"/>
      <c r="AYE341" s="135"/>
      <c r="AYF341" s="135"/>
      <c r="AYG341" s="135"/>
      <c r="AYH341" s="135"/>
      <c r="AYI341" s="173"/>
      <c r="AYJ341" s="173"/>
      <c r="AYK341" s="173"/>
      <c r="AYL341" s="173"/>
      <c r="AYM341" s="173"/>
      <c r="AYN341" s="173"/>
      <c r="AYO341" s="173"/>
      <c r="AYP341" s="173"/>
      <c r="AYQ341" s="173"/>
      <c r="AYR341" s="173"/>
      <c r="AYS341" s="125"/>
      <c r="AYT341" s="125"/>
      <c r="AYU341" s="134"/>
      <c r="AYV341" s="135"/>
      <c r="AYW341" s="135"/>
      <c r="AYX341" s="135"/>
      <c r="AYY341" s="135"/>
      <c r="AYZ341" s="173"/>
      <c r="AZA341" s="173"/>
      <c r="AZB341" s="173"/>
      <c r="AZC341" s="173"/>
      <c r="AZD341" s="173"/>
      <c r="AZE341" s="173"/>
      <c r="AZF341" s="173"/>
      <c r="AZG341" s="173"/>
      <c r="AZH341" s="173"/>
      <c r="AZI341" s="173"/>
      <c r="AZJ341" s="125"/>
      <c r="AZK341" s="125"/>
      <c r="AZL341" s="134"/>
      <c r="AZM341" s="135"/>
      <c r="AZN341" s="135"/>
      <c r="AZO341" s="135"/>
      <c r="AZP341" s="135"/>
      <c r="AZQ341" s="173"/>
      <c r="AZR341" s="173"/>
      <c r="AZS341" s="173"/>
      <c r="AZT341" s="173"/>
      <c r="AZU341" s="173"/>
      <c r="AZV341" s="173"/>
      <c r="AZW341" s="173"/>
      <c r="AZX341" s="173"/>
      <c r="AZY341" s="173"/>
      <c r="AZZ341" s="173"/>
      <c r="BAA341" s="125"/>
      <c r="BAB341" s="125"/>
      <c r="BAC341" s="134"/>
      <c r="BAD341" s="135"/>
      <c r="BAE341" s="135"/>
      <c r="BAF341" s="135"/>
      <c r="BAG341" s="135"/>
      <c r="BAH341" s="173"/>
      <c r="BAI341" s="173"/>
      <c r="BAJ341" s="173"/>
      <c r="BAK341" s="173"/>
      <c r="BAL341" s="173"/>
      <c r="BAM341" s="173"/>
      <c r="BAN341" s="173"/>
      <c r="BAO341" s="173"/>
      <c r="BAP341" s="173"/>
      <c r="BAQ341" s="173"/>
      <c r="BAR341" s="125"/>
      <c r="BAS341" s="125"/>
      <c r="BAT341" s="134"/>
      <c r="BAU341" s="135"/>
      <c r="BAV341" s="135"/>
      <c r="BAW341" s="135"/>
      <c r="BAX341" s="135"/>
      <c r="BAY341" s="173"/>
      <c r="BAZ341" s="173"/>
      <c r="BBA341" s="173"/>
      <c r="BBB341" s="173"/>
      <c r="BBC341" s="173"/>
      <c r="BBD341" s="173"/>
      <c r="BBE341" s="173"/>
      <c r="BBF341" s="173"/>
      <c r="BBG341" s="173"/>
      <c r="BBH341" s="173"/>
      <c r="BBI341" s="125"/>
      <c r="BBJ341" s="125"/>
      <c r="BBK341" s="134"/>
      <c r="BBL341" s="135"/>
      <c r="BBM341" s="135"/>
      <c r="BBN341" s="135"/>
      <c r="BBO341" s="135"/>
      <c r="BBP341" s="173"/>
      <c r="BBQ341" s="173"/>
      <c r="BBR341" s="173"/>
      <c r="BBS341" s="173"/>
      <c r="BBT341" s="173"/>
      <c r="BBU341" s="173"/>
      <c r="BBV341" s="173"/>
      <c r="BBW341" s="173"/>
      <c r="BBX341" s="173"/>
      <c r="BBY341" s="173"/>
      <c r="BBZ341" s="125"/>
      <c r="BCA341" s="125"/>
      <c r="BCB341" s="134"/>
      <c r="BCC341" s="135"/>
      <c r="BCD341" s="135"/>
      <c r="BCE341" s="135"/>
      <c r="BCF341" s="135"/>
      <c r="BCG341" s="173"/>
      <c r="BCH341" s="173"/>
      <c r="BCI341" s="173"/>
      <c r="BCJ341" s="173"/>
      <c r="BCK341" s="173"/>
      <c r="BCL341" s="173"/>
      <c r="BCM341" s="173"/>
      <c r="BCN341" s="173"/>
      <c r="BCO341" s="173"/>
      <c r="BCP341" s="173"/>
      <c r="BCQ341" s="125"/>
      <c r="BCR341" s="125"/>
      <c r="BCS341" s="134"/>
      <c r="BCT341" s="135"/>
      <c r="BCU341" s="135"/>
      <c r="BCV341" s="135"/>
      <c r="BCW341" s="135"/>
      <c r="BCX341" s="173"/>
      <c r="BCY341" s="173"/>
      <c r="BCZ341" s="173"/>
      <c r="BDA341" s="173"/>
      <c r="BDB341" s="173"/>
      <c r="BDC341" s="173"/>
      <c r="BDD341" s="173"/>
      <c r="BDE341" s="173"/>
      <c r="BDF341" s="173"/>
      <c r="BDG341" s="173"/>
      <c r="BDH341" s="125"/>
      <c r="BDI341" s="125"/>
      <c r="BDJ341" s="134"/>
      <c r="BDK341" s="135"/>
      <c r="BDL341" s="135"/>
      <c r="BDM341" s="135"/>
      <c r="BDN341" s="135"/>
      <c r="BDO341" s="173"/>
      <c r="BDP341" s="173"/>
      <c r="BDQ341" s="173"/>
      <c r="BDR341" s="173"/>
      <c r="BDS341" s="173"/>
      <c r="BDT341" s="173"/>
      <c r="BDU341" s="173"/>
      <c r="BDV341" s="173"/>
      <c r="BDW341" s="173"/>
      <c r="BDX341" s="173"/>
      <c r="BDY341" s="125"/>
      <c r="BDZ341" s="125"/>
      <c r="BEA341" s="134"/>
      <c r="BEB341" s="135"/>
      <c r="BEC341" s="135"/>
      <c r="BED341" s="135"/>
      <c r="BEE341" s="135"/>
      <c r="BEF341" s="173"/>
      <c r="BEG341" s="173"/>
      <c r="BEH341" s="173"/>
      <c r="BEI341" s="173"/>
      <c r="BEJ341" s="173"/>
      <c r="BEK341" s="173"/>
      <c r="BEL341" s="173"/>
      <c r="BEM341" s="173"/>
      <c r="BEN341" s="173"/>
      <c r="BEO341" s="173"/>
      <c r="BEP341" s="125"/>
      <c r="BEQ341" s="125"/>
      <c r="BER341" s="134"/>
      <c r="BES341" s="135"/>
      <c r="BET341" s="135"/>
      <c r="BEU341" s="135"/>
      <c r="BEV341" s="135"/>
      <c r="BEW341" s="173"/>
      <c r="BEX341" s="173"/>
      <c r="BEY341" s="173"/>
      <c r="BEZ341" s="173"/>
      <c r="BFA341" s="173"/>
      <c r="BFB341" s="173"/>
      <c r="BFC341" s="173"/>
      <c r="BFD341" s="173"/>
      <c r="BFE341" s="173"/>
      <c r="BFF341" s="173"/>
      <c r="BFG341" s="125"/>
      <c r="BFH341" s="125"/>
      <c r="BFI341" s="134"/>
      <c r="BFJ341" s="135"/>
      <c r="BFK341" s="135"/>
      <c r="BFL341" s="135"/>
      <c r="BFM341" s="135"/>
      <c r="BFN341" s="173"/>
      <c r="BFO341" s="173"/>
      <c r="BFP341" s="173"/>
      <c r="BFQ341" s="173"/>
      <c r="BFR341" s="173"/>
      <c r="BFS341" s="173"/>
      <c r="BFT341" s="173"/>
      <c r="BFU341" s="173"/>
      <c r="BFV341" s="173"/>
      <c r="BFW341" s="173"/>
      <c r="BFX341" s="125"/>
      <c r="BFY341" s="125"/>
      <c r="BFZ341" s="134"/>
      <c r="BGA341" s="135"/>
      <c r="BGB341" s="135"/>
      <c r="BGC341" s="135"/>
      <c r="BGD341" s="135"/>
      <c r="BGE341" s="173"/>
      <c r="BGF341" s="173"/>
      <c r="BGG341" s="173"/>
      <c r="BGH341" s="173"/>
      <c r="BGI341" s="173"/>
      <c r="BGJ341" s="173"/>
      <c r="BGK341" s="173"/>
      <c r="BGL341" s="173"/>
      <c r="BGM341" s="173"/>
      <c r="BGN341" s="173"/>
      <c r="BGO341" s="125"/>
      <c r="BGP341" s="125"/>
      <c r="BGQ341" s="134"/>
      <c r="BGR341" s="135"/>
      <c r="BGS341" s="135"/>
      <c r="BGT341" s="135"/>
      <c r="BGU341" s="135"/>
      <c r="BGV341" s="173"/>
      <c r="BGW341" s="173"/>
      <c r="BGX341" s="173"/>
      <c r="BGY341" s="173"/>
      <c r="BGZ341" s="173"/>
      <c r="BHA341" s="173"/>
      <c r="BHB341" s="173"/>
      <c r="BHC341" s="173"/>
      <c r="BHD341" s="173"/>
      <c r="BHE341" s="173"/>
      <c r="BHF341" s="125"/>
      <c r="BHG341" s="125"/>
      <c r="BHH341" s="134"/>
      <c r="BHI341" s="135"/>
      <c r="BHJ341" s="135"/>
      <c r="BHK341" s="135"/>
      <c r="BHL341" s="135"/>
      <c r="BHM341" s="173"/>
      <c r="BHN341" s="173"/>
      <c r="BHO341" s="173"/>
      <c r="BHP341" s="173"/>
      <c r="BHQ341" s="173"/>
      <c r="BHR341" s="173"/>
      <c r="BHS341" s="173"/>
      <c r="BHT341" s="173"/>
      <c r="BHU341" s="173"/>
      <c r="BHV341" s="173"/>
      <c r="BHW341" s="125"/>
      <c r="BHX341" s="125"/>
      <c r="BHY341" s="134"/>
      <c r="BHZ341" s="135"/>
      <c r="BIA341" s="135"/>
      <c r="BIB341" s="135"/>
      <c r="BIC341" s="135"/>
      <c r="BID341" s="173"/>
      <c r="BIE341" s="173"/>
      <c r="BIF341" s="173"/>
      <c r="BIG341" s="173"/>
      <c r="BIH341" s="173"/>
      <c r="BII341" s="173"/>
      <c r="BIJ341" s="173"/>
      <c r="BIK341" s="173"/>
      <c r="BIL341" s="173"/>
      <c r="BIM341" s="173"/>
      <c r="BIN341" s="125"/>
      <c r="BIO341" s="125"/>
      <c r="BIP341" s="134"/>
      <c r="BIQ341" s="135"/>
      <c r="BIR341" s="135"/>
      <c r="BIS341" s="135"/>
      <c r="BIT341" s="135"/>
      <c r="BIU341" s="173"/>
      <c r="BIV341" s="173"/>
      <c r="BIW341" s="173"/>
      <c r="BIX341" s="173"/>
      <c r="BIY341" s="173"/>
      <c r="BIZ341" s="173"/>
      <c r="BJA341" s="173"/>
      <c r="BJB341" s="173"/>
      <c r="BJC341" s="173"/>
      <c r="BJD341" s="173"/>
      <c r="BJE341" s="125"/>
      <c r="BJF341" s="125"/>
      <c r="BJG341" s="134"/>
      <c r="BJH341" s="135"/>
      <c r="BJI341" s="135"/>
      <c r="BJJ341" s="135"/>
      <c r="BJK341" s="135"/>
      <c r="BJL341" s="173"/>
      <c r="BJM341" s="173"/>
      <c r="BJN341" s="173"/>
      <c r="BJO341" s="173"/>
      <c r="BJP341" s="173"/>
      <c r="BJQ341" s="173"/>
      <c r="BJR341" s="173"/>
      <c r="BJS341" s="173"/>
      <c r="BJT341" s="173"/>
      <c r="BJU341" s="173"/>
      <c r="BJV341" s="125"/>
      <c r="BJW341" s="125"/>
      <c r="BJX341" s="134"/>
      <c r="BJY341" s="135"/>
      <c r="BJZ341" s="135"/>
      <c r="BKA341" s="135"/>
      <c r="BKB341" s="135"/>
      <c r="BKC341" s="173"/>
      <c r="BKD341" s="173"/>
      <c r="BKE341" s="173"/>
      <c r="BKF341" s="173"/>
      <c r="BKG341" s="173"/>
      <c r="BKH341" s="173"/>
      <c r="BKI341" s="173"/>
      <c r="BKJ341" s="173"/>
      <c r="BKK341" s="173"/>
      <c r="BKL341" s="173"/>
      <c r="BKM341" s="125"/>
      <c r="BKN341" s="125"/>
      <c r="BKO341" s="134"/>
      <c r="BKP341" s="135"/>
      <c r="BKQ341" s="135"/>
      <c r="BKR341" s="135"/>
      <c r="BKS341" s="135"/>
      <c r="BKT341" s="173"/>
      <c r="BKU341" s="173"/>
      <c r="BKV341" s="173"/>
      <c r="BKW341" s="173"/>
      <c r="BKX341" s="173"/>
      <c r="BKY341" s="173"/>
      <c r="BKZ341" s="173"/>
      <c r="BLA341" s="173"/>
      <c r="BLB341" s="173"/>
      <c r="BLC341" s="173"/>
      <c r="BLD341" s="125"/>
      <c r="BLE341" s="125"/>
      <c r="BLF341" s="134"/>
      <c r="BLG341" s="135"/>
      <c r="BLH341" s="135"/>
      <c r="BLI341" s="135"/>
      <c r="BLJ341" s="135"/>
      <c r="BLK341" s="173"/>
      <c r="BLL341" s="173"/>
      <c r="BLM341" s="173"/>
      <c r="BLN341" s="173"/>
      <c r="BLO341" s="173"/>
      <c r="BLP341" s="173"/>
      <c r="BLQ341" s="173"/>
      <c r="BLR341" s="173"/>
      <c r="BLS341" s="173"/>
      <c r="BLT341" s="173"/>
      <c r="BLU341" s="125"/>
      <c r="BLV341" s="125"/>
      <c r="BLW341" s="134"/>
      <c r="BLX341" s="135"/>
      <c r="BLY341" s="135"/>
      <c r="BLZ341" s="135"/>
      <c r="BMA341" s="135"/>
      <c r="BMB341" s="173"/>
      <c r="BMC341" s="173"/>
      <c r="BMD341" s="173"/>
      <c r="BME341" s="173"/>
      <c r="BMF341" s="173"/>
      <c r="BMG341" s="173"/>
      <c r="BMH341" s="173"/>
      <c r="BMI341" s="173"/>
      <c r="BMJ341" s="173"/>
      <c r="BMK341" s="173"/>
      <c r="BML341" s="125"/>
      <c r="BMM341" s="125"/>
      <c r="BMN341" s="134"/>
      <c r="BMO341" s="135"/>
      <c r="BMP341" s="135"/>
      <c r="BMQ341" s="135"/>
      <c r="BMR341" s="135"/>
      <c r="BMS341" s="173"/>
      <c r="BMT341" s="173"/>
      <c r="BMU341" s="173"/>
      <c r="BMV341" s="173"/>
      <c r="BMW341" s="173"/>
      <c r="BMX341" s="173"/>
      <c r="BMY341" s="173"/>
      <c r="BMZ341" s="173"/>
      <c r="BNA341" s="173"/>
      <c r="BNB341" s="173"/>
      <c r="BNC341" s="125"/>
      <c r="BND341" s="125"/>
      <c r="BNE341" s="134"/>
      <c r="BNF341" s="135"/>
      <c r="BNG341" s="135"/>
      <c r="BNH341" s="135"/>
      <c r="BNI341" s="135"/>
      <c r="BNJ341" s="173"/>
      <c r="BNK341" s="173"/>
      <c r="BNL341" s="173"/>
      <c r="BNM341" s="173"/>
      <c r="BNN341" s="173"/>
      <c r="BNO341" s="173"/>
      <c r="BNP341" s="173"/>
      <c r="BNQ341" s="173"/>
      <c r="BNR341" s="173"/>
      <c r="BNS341" s="173"/>
      <c r="BNT341" s="125"/>
      <c r="BNU341" s="125"/>
      <c r="BNV341" s="134"/>
      <c r="BNW341" s="135"/>
      <c r="BNX341" s="135"/>
      <c r="BNY341" s="135"/>
      <c r="BNZ341" s="135"/>
      <c r="BOA341" s="173"/>
      <c r="BOB341" s="173"/>
      <c r="BOC341" s="173"/>
      <c r="BOD341" s="173"/>
      <c r="BOE341" s="173"/>
      <c r="BOF341" s="173"/>
      <c r="BOG341" s="173"/>
      <c r="BOH341" s="173"/>
      <c r="BOI341" s="173"/>
      <c r="BOJ341" s="173"/>
      <c r="BOK341" s="125"/>
      <c r="BOL341" s="125"/>
      <c r="BOM341" s="134"/>
      <c r="BON341" s="135"/>
      <c r="BOO341" s="135"/>
      <c r="BOP341" s="135"/>
      <c r="BOQ341" s="135"/>
      <c r="BOR341" s="173"/>
      <c r="BOS341" s="173"/>
      <c r="BOT341" s="173"/>
      <c r="BOU341" s="173"/>
      <c r="BOV341" s="173"/>
      <c r="BOW341" s="173"/>
      <c r="BOX341" s="173"/>
      <c r="BOY341" s="173"/>
      <c r="BOZ341" s="173"/>
      <c r="BPA341" s="173"/>
      <c r="BPB341" s="125"/>
      <c r="BPC341" s="125"/>
      <c r="BPD341" s="134"/>
      <c r="BPE341" s="135"/>
      <c r="BPF341" s="135"/>
      <c r="BPG341" s="135"/>
      <c r="BPH341" s="135"/>
      <c r="BPI341" s="173"/>
      <c r="BPJ341" s="173"/>
      <c r="BPK341" s="173"/>
      <c r="BPL341" s="173"/>
      <c r="BPM341" s="173"/>
      <c r="BPN341" s="173"/>
      <c r="BPO341" s="173"/>
      <c r="BPP341" s="173"/>
      <c r="BPQ341" s="173"/>
      <c r="BPR341" s="173"/>
      <c r="BPS341" s="125"/>
      <c r="BPT341" s="125"/>
      <c r="BPU341" s="134"/>
      <c r="BPV341" s="135"/>
      <c r="BPW341" s="135"/>
      <c r="BPX341" s="135"/>
      <c r="BPY341" s="135"/>
      <c r="BPZ341" s="173"/>
      <c r="BQA341" s="173"/>
      <c r="BQB341" s="173"/>
      <c r="BQC341" s="173"/>
      <c r="BQD341" s="173"/>
      <c r="BQE341" s="173"/>
      <c r="BQF341" s="173"/>
      <c r="BQG341" s="173"/>
      <c r="BQH341" s="173"/>
      <c r="BQI341" s="173"/>
      <c r="BQJ341" s="125"/>
      <c r="BQK341" s="125"/>
      <c r="BQL341" s="134"/>
      <c r="BQM341" s="135"/>
      <c r="BQN341" s="135"/>
      <c r="BQO341" s="135"/>
      <c r="BQP341" s="135"/>
      <c r="BQQ341" s="173"/>
      <c r="BQR341" s="173"/>
      <c r="BQS341" s="173"/>
      <c r="BQT341" s="173"/>
      <c r="BQU341" s="173"/>
      <c r="BQV341" s="173"/>
      <c r="BQW341" s="173"/>
      <c r="BQX341" s="173"/>
      <c r="BQY341" s="173"/>
      <c r="BQZ341" s="173"/>
      <c r="BRA341" s="125"/>
      <c r="BRB341" s="125"/>
      <c r="BRC341" s="134"/>
      <c r="BRD341" s="135"/>
      <c r="BRE341" s="135"/>
      <c r="BRF341" s="135"/>
      <c r="BRG341" s="135"/>
      <c r="BRH341" s="173"/>
      <c r="BRI341" s="173"/>
      <c r="BRJ341" s="173"/>
      <c r="BRK341" s="173"/>
      <c r="BRL341" s="173"/>
      <c r="BRM341" s="173"/>
      <c r="BRN341" s="173"/>
      <c r="BRO341" s="173"/>
      <c r="BRP341" s="173"/>
      <c r="BRQ341" s="173"/>
      <c r="BRR341" s="125"/>
      <c r="BRS341" s="125"/>
      <c r="BRT341" s="134"/>
      <c r="BRU341" s="135"/>
      <c r="BRV341" s="135"/>
      <c r="BRW341" s="135"/>
      <c r="BRX341" s="135"/>
      <c r="BRY341" s="173"/>
      <c r="BRZ341" s="173"/>
      <c r="BSA341" s="173"/>
      <c r="BSB341" s="173"/>
      <c r="BSC341" s="173"/>
      <c r="BSD341" s="173"/>
      <c r="BSE341" s="173"/>
      <c r="BSF341" s="173"/>
      <c r="BSG341" s="173"/>
      <c r="BSH341" s="173"/>
      <c r="BSI341" s="125"/>
      <c r="BSJ341" s="125"/>
      <c r="BSK341" s="134"/>
      <c r="BSL341" s="135"/>
      <c r="BSM341" s="135"/>
      <c r="BSN341" s="135"/>
      <c r="BSO341" s="135"/>
      <c r="BSP341" s="173"/>
      <c r="BSQ341" s="173"/>
      <c r="BSR341" s="173"/>
      <c r="BSS341" s="173"/>
      <c r="BST341" s="173"/>
      <c r="BSU341" s="173"/>
      <c r="BSV341" s="173"/>
      <c r="BSW341" s="173"/>
      <c r="BSX341" s="173"/>
      <c r="BSY341" s="173"/>
      <c r="BSZ341" s="125"/>
      <c r="BTA341" s="125"/>
      <c r="BTB341" s="134"/>
      <c r="BTC341" s="135"/>
      <c r="BTD341" s="135"/>
      <c r="BTE341" s="135"/>
      <c r="BTF341" s="135"/>
      <c r="BTG341" s="173"/>
      <c r="BTH341" s="173"/>
      <c r="BTI341" s="173"/>
      <c r="BTJ341" s="173"/>
      <c r="BTK341" s="173"/>
      <c r="BTL341" s="173"/>
      <c r="BTM341" s="173"/>
      <c r="BTN341" s="173"/>
      <c r="BTO341" s="173"/>
      <c r="BTP341" s="173"/>
      <c r="BTQ341" s="125"/>
      <c r="BTR341" s="125"/>
      <c r="BTS341" s="134"/>
      <c r="BTT341" s="135"/>
      <c r="BTU341" s="135"/>
      <c r="BTV341" s="135"/>
      <c r="BTW341" s="135"/>
      <c r="BTX341" s="173"/>
      <c r="BTY341" s="173"/>
      <c r="BTZ341" s="173"/>
      <c r="BUA341" s="173"/>
      <c r="BUB341" s="173"/>
      <c r="BUC341" s="173"/>
      <c r="BUD341" s="173"/>
      <c r="BUE341" s="173"/>
      <c r="BUF341" s="173"/>
      <c r="BUG341" s="173"/>
      <c r="BUH341" s="125"/>
      <c r="BUI341" s="125"/>
      <c r="BUJ341" s="134"/>
      <c r="BUK341" s="135"/>
      <c r="BUL341" s="135"/>
      <c r="BUM341" s="135"/>
      <c r="BUN341" s="135"/>
      <c r="BUO341" s="173"/>
      <c r="BUP341" s="173"/>
      <c r="BUQ341" s="173"/>
      <c r="BUR341" s="173"/>
      <c r="BUS341" s="173"/>
      <c r="BUT341" s="173"/>
      <c r="BUU341" s="173"/>
      <c r="BUV341" s="173"/>
      <c r="BUW341" s="173"/>
      <c r="BUX341" s="173"/>
      <c r="BUY341" s="125"/>
      <c r="BUZ341" s="125"/>
      <c r="BVA341" s="134"/>
      <c r="BVB341" s="135"/>
      <c r="BVC341" s="135"/>
      <c r="BVD341" s="135"/>
      <c r="BVE341" s="135"/>
      <c r="BVF341" s="173"/>
      <c r="BVG341" s="173"/>
      <c r="BVH341" s="173"/>
      <c r="BVI341" s="173"/>
      <c r="BVJ341" s="173"/>
      <c r="BVK341" s="173"/>
      <c r="BVL341" s="173"/>
      <c r="BVM341" s="173"/>
      <c r="BVN341" s="173"/>
      <c r="BVO341" s="173"/>
      <c r="BVP341" s="125"/>
      <c r="BVQ341" s="125"/>
      <c r="BVR341" s="134"/>
      <c r="BVS341" s="135"/>
      <c r="BVT341" s="135"/>
      <c r="BVU341" s="135"/>
      <c r="BVV341" s="135"/>
      <c r="BVW341" s="173"/>
      <c r="BVX341" s="173"/>
      <c r="BVY341" s="173"/>
      <c r="BVZ341" s="173"/>
      <c r="BWA341" s="173"/>
      <c r="BWB341" s="173"/>
      <c r="BWC341" s="173"/>
      <c r="BWD341" s="173"/>
      <c r="BWE341" s="173"/>
      <c r="BWF341" s="173"/>
      <c r="BWG341" s="125"/>
      <c r="BWH341" s="125"/>
      <c r="BWI341" s="134"/>
      <c r="BWJ341" s="135"/>
      <c r="BWK341" s="135"/>
      <c r="BWL341" s="135"/>
      <c r="BWM341" s="135"/>
      <c r="BWN341" s="173"/>
      <c r="BWO341" s="173"/>
      <c r="BWP341" s="173"/>
      <c r="BWQ341" s="173"/>
      <c r="BWR341" s="173"/>
      <c r="BWS341" s="173"/>
      <c r="BWT341" s="173"/>
      <c r="BWU341" s="173"/>
      <c r="BWV341" s="173"/>
      <c r="BWW341" s="173"/>
      <c r="BWX341" s="125"/>
      <c r="BWY341" s="125"/>
      <c r="BWZ341" s="134"/>
      <c r="BXA341" s="135"/>
      <c r="BXB341" s="135"/>
      <c r="BXC341" s="135"/>
      <c r="BXD341" s="135"/>
      <c r="BXE341" s="173"/>
      <c r="BXF341" s="173"/>
      <c r="BXG341" s="173"/>
      <c r="BXH341" s="173"/>
      <c r="BXI341" s="173"/>
      <c r="BXJ341" s="173"/>
      <c r="BXK341" s="173"/>
      <c r="BXL341" s="173"/>
      <c r="BXM341" s="173"/>
      <c r="BXN341" s="173"/>
      <c r="BXO341" s="125"/>
      <c r="BXP341" s="125"/>
      <c r="BXQ341" s="134"/>
      <c r="BXR341" s="135"/>
      <c r="BXS341" s="135"/>
      <c r="BXT341" s="135"/>
      <c r="BXU341" s="135"/>
      <c r="BXV341" s="173"/>
      <c r="BXW341" s="173"/>
      <c r="BXX341" s="173"/>
      <c r="BXY341" s="173"/>
      <c r="BXZ341" s="173"/>
      <c r="BYA341" s="173"/>
      <c r="BYB341" s="173"/>
      <c r="BYC341" s="173"/>
      <c r="BYD341" s="173"/>
      <c r="BYE341" s="173"/>
      <c r="BYF341" s="125"/>
      <c r="BYG341" s="125"/>
      <c r="BYH341" s="134"/>
      <c r="BYI341" s="135"/>
      <c r="BYJ341" s="135"/>
      <c r="BYK341" s="135"/>
      <c r="BYL341" s="135"/>
      <c r="BYM341" s="173"/>
      <c r="BYN341" s="173"/>
      <c r="BYO341" s="173"/>
      <c r="BYP341" s="173"/>
      <c r="BYQ341" s="173"/>
      <c r="BYR341" s="173"/>
      <c r="BYS341" s="173"/>
      <c r="BYT341" s="173"/>
      <c r="BYU341" s="173"/>
      <c r="BYV341" s="173"/>
      <c r="BYW341" s="125"/>
      <c r="BYX341" s="125"/>
      <c r="BYY341" s="134"/>
      <c r="BYZ341" s="135"/>
      <c r="BZA341" s="135"/>
      <c r="BZB341" s="135"/>
      <c r="BZC341" s="135"/>
      <c r="BZD341" s="173"/>
      <c r="BZE341" s="173"/>
      <c r="BZF341" s="173"/>
      <c r="BZG341" s="173"/>
      <c r="BZH341" s="173"/>
      <c r="BZI341" s="173"/>
      <c r="BZJ341" s="173"/>
      <c r="BZK341" s="173"/>
      <c r="BZL341" s="173"/>
      <c r="BZM341" s="173"/>
      <c r="BZN341" s="125"/>
      <c r="BZO341" s="125"/>
      <c r="BZP341" s="134"/>
      <c r="BZQ341" s="135"/>
      <c r="BZR341" s="135"/>
      <c r="BZS341" s="135"/>
      <c r="BZT341" s="135"/>
      <c r="BZU341" s="173"/>
      <c r="BZV341" s="173"/>
      <c r="BZW341" s="173"/>
      <c r="BZX341" s="173"/>
      <c r="BZY341" s="173"/>
      <c r="BZZ341" s="173"/>
      <c r="CAA341" s="173"/>
      <c r="CAB341" s="173"/>
      <c r="CAC341" s="173"/>
      <c r="CAD341" s="173"/>
      <c r="CAE341" s="125"/>
      <c r="CAF341" s="125"/>
      <c r="CAG341" s="134"/>
      <c r="CAH341" s="135"/>
      <c r="CAI341" s="135"/>
      <c r="CAJ341" s="135"/>
      <c r="CAK341" s="135"/>
      <c r="CAL341" s="173"/>
      <c r="CAM341" s="173"/>
      <c r="CAN341" s="173"/>
      <c r="CAO341" s="173"/>
      <c r="CAP341" s="173"/>
      <c r="CAQ341" s="173"/>
      <c r="CAR341" s="173"/>
      <c r="CAS341" s="173"/>
      <c r="CAT341" s="173"/>
      <c r="CAU341" s="173"/>
      <c r="CAV341" s="125"/>
      <c r="CAW341" s="125"/>
      <c r="CAX341" s="134"/>
      <c r="CAY341" s="135"/>
      <c r="CAZ341" s="135"/>
      <c r="CBA341" s="135"/>
      <c r="CBB341" s="135"/>
      <c r="CBC341" s="173"/>
      <c r="CBD341" s="173"/>
      <c r="CBE341" s="173"/>
      <c r="CBF341" s="173"/>
      <c r="CBG341" s="173"/>
      <c r="CBH341" s="173"/>
      <c r="CBI341" s="173"/>
      <c r="CBJ341" s="173"/>
      <c r="CBK341" s="173"/>
      <c r="CBL341" s="173"/>
      <c r="CBM341" s="125"/>
      <c r="CBN341" s="125"/>
      <c r="CBO341" s="134"/>
      <c r="CBP341" s="135"/>
      <c r="CBQ341" s="135"/>
      <c r="CBR341" s="135"/>
      <c r="CBS341" s="135"/>
      <c r="CBT341" s="173"/>
      <c r="CBU341" s="173"/>
      <c r="CBV341" s="173"/>
      <c r="CBW341" s="173"/>
      <c r="CBX341" s="173"/>
      <c r="CBY341" s="173"/>
      <c r="CBZ341" s="173"/>
      <c r="CCA341" s="173"/>
      <c r="CCB341" s="173"/>
      <c r="CCC341" s="173"/>
      <c r="CCD341" s="125"/>
      <c r="CCE341" s="125"/>
      <c r="CCF341" s="134"/>
      <c r="CCG341" s="135"/>
      <c r="CCH341" s="135"/>
      <c r="CCI341" s="135"/>
      <c r="CCJ341" s="135"/>
      <c r="CCK341" s="173"/>
      <c r="CCL341" s="173"/>
      <c r="CCM341" s="173"/>
      <c r="CCN341" s="173"/>
      <c r="CCO341" s="173"/>
      <c r="CCP341" s="173"/>
      <c r="CCQ341" s="173"/>
      <c r="CCR341" s="173"/>
      <c r="CCS341" s="173"/>
      <c r="CCT341" s="173"/>
      <c r="CCU341" s="125"/>
      <c r="CCV341" s="125"/>
      <c r="CCW341" s="134"/>
      <c r="CCX341" s="135"/>
      <c r="CCY341" s="135"/>
      <c r="CCZ341" s="135"/>
      <c r="CDA341" s="135"/>
      <c r="CDB341" s="173"/>
      <c r="CDC341" s="173"/>
      <c r="CDD341" s="173"/>
      <c r="CDE341" s="173"/>
      <c r="CDF341" s="173"/>
      <c r="CDG341" s="173"/>
      <c r="CDH341" s="173"/>
      <c r="CDI341" s="173"/>
      <c r="CDJ341" s="173"/>
      <c r="CDK341" s="173"/>
      <c r="CDL341" s="125"/>
      <c r="CDM341" s="125"/>
      <c r="CDN341" s="134"/>
      <c r="CDO341" s="135"/>
      <c r="CDP341" s="135"/>
      <c r="CDQ341" s="135"/>
      <c r="CDR341" s="135"/>
      <c r="CDS341" s="173"/>
      <c r="CDT341" s="173"/>
      <c r="CDU341" s="173"/>
      <c r="CDV341" s="173"/>
      <c r="CDW341" s="173"/>
      <c r="CDX341" s="173"/>
      <c r="CDY341" s="173"/>
      <c r="CDZ341" s="173"/>
      <c r="CEA341" s="173"/>
      <c r="CEB341" s="173"/>
      <c r="CEC341" s="125"/>
      <c r="CED341" s="125"/>
      <c r="CEE341" s="134"/>
      <c r="CEF341" s="135"/>
      <c r="CEG341" s="135"/>
      <c r="CEH341" s="135"/>
      <c r="CEI341" s="135"/>
      <c r="CEJ341" s="173"/>
      <c r="CEK341" s="173"/>
      <c r="CEL341" s="173"/>
      <c r="CEM341" s="173"/>
      <c r="CEN341" s="173"/>
      <c r="CEO341" s="173"/>
      <c r="CEP341" s="173"/>
      <c r="CEQ341" s="173"/>
      <c r="CER341" s="173"/>
      <c r="CES341" s="173"/>
      <c r="CET341" s="125"/>
      <c r="CEU341" s="125"/>
      <c r="CEV341" s="134"/>
      <c r="CEW341" s="135"/>
      <c r="CEX341" s="135"/>
      <c r="CEY341" s="135"/>
      <c r="CEZ341" s="135"/>
      <c r="CFA341" s="173"/>
      <c r="CFB341" s="173"/>
      <c r="CFC341" s="173"/>
      <c r="CFD341" s="173"/>
      <c r="CFE341" s="173"/>
      <c r="CFF341" s="173"/>
      <c r="CFG341" s="173"/>
      <c r="CFH341" s="173"/>
      <c r="CFI341" s="173"/>
      <c r="CFJ341" s="173"/>
      <c r="CFK341" s="125"/>
      <c r="CFL341" s="125"/>
      <c r="CFM341" s="134"/>
      <c r="CFN341" s="135"/>
      <c r="CFO341" s="135"/>
      <c r="CFP341" s="135"/>
      <c r="CFQ341" s="135"/>
      <c r="CFR341" s="173"/>
      <c r="CFS341" s="173"/>
      <c r="CFT341" s="173"/>
      <c r="CFU341" s="173"/>
      <c r="CFV341" s="173"/>
      <c r="CFW341" s="173"/>
      <c r="CFX341" s="173"/>
      <c r="CFY341" s="173"/>
      <c r="CFZ341" s="173"/>
      <c r="CGA341" s="173"/>
      <c r="CGB341" s="125"/>
      <c r="CGC341" s="125"/>
      <c r="CGD341" s="134"/>
      <c r="CGE341" s="135"/>
      <c r="CGF341" s="135"/>
      <c r="CGG341" s="135"/>
      <c r="CGH341" s="135"/>
      <c r="CGI341" s="173"/>
      <c r="CGJ341" s="173"/>
      <c r="CGK341" s="173"/>
      <c r="CGL341" s="173"/>
      <c r="CGM341" s="173"/>
      <c r="CGN341" s="173"/>
      <c r="CGO341" s="173"/>
      <c r="CGP341" s="173"/>
      <c r="CGQ341" s="173"/>
      <c r="CGR341" s="173"/>
      <c r="CGS341" s="125"/>
      <c r="CGT341" s="125"/>
      <c r="CGU341" s="134"/>
      <c r="CGV341" s="135"/>
      <c r="CGW341" s="135"/>
      <c r="CGX341" s="135"/>
      <c r="CGY341" s="135"/>
      <c r="CGZ341" s="173"/>
      <c r="CHA341" s="173"/>
      <c r="CHB341" s="173"/>
      <c r="CHC341" s="173"/>
      <c r="CHD341" s="173"/>
      <c r="CHE341" s="173"/>
      <c r="CHF341" s="173"/>
      <c r="CHG341" s="173"/>
      <c r="CHH341" s="173"/>
      <c r="CHI341" s="173"/>
      <c r="CHJ341" s="125"/>
      <c r="CHK341" s="125"/>
      <c r="CHL341" s="134"/>
      <c r="CHM341" s="135"/>
      <c r="CHN341" s="135"/>
      <c r="CHO341" s="135"/>
      <c r="CHP341" s="135"/>
      <c r="CHQ341" s="173"/>
      <c r="CHR341" s="173"/>
      <c r="CHS341" s="173"/>
      <c r="CHT341" s="173"/>
      <c r="CHU341" s="173"/>
      <c r="CHV341" s="173"/>
      <c r="CHW341" s="173"/>
      <c r="CHX341" s="173"/>
      <c r="CHY341" s="173"/>
      <c r="CHZ341" s="173"/>
      <c r="CIA341" s="125"/>
      <c r="CIB341" s="125"/>
      <c r="CIC341" s="134"/>
      <c r="CID341" s="135"/>
      <c r="CIE341" s="135"/>
      <c r="CIF341" s="135"/>
      <c r="CIG341" s="135"/>
      <c r="CIH341" s="173"/>
      <c r="CII341" s="173"/>
      <c r="CIJ341" s="173"/>
      <c r="CIK341" s="173"/>
      <c r="CIL341" s="173"/>
      <c r="CIM341" s="173"/>
      <c r="CIN341" s="173"/>
      <c r="CIO341" s="173"/>
      <c r="CIP341" s="173"/>
      <c r="CIQ341" s="173"/>
      <c r="CIR341" s="125"/>
      <c r="CIS341" s="125"/>
      <c r="CIT341" s="134"/>
      <c r="CIU341" s="135"/>
      <c r="CIV341" s="135"/>
      <c r="CIW341" s="135"/>
      <c r="CIX341" s="135"/>
      <c r="CIY341" s="173"/>
      <c r="CIZ341" s="173"/>
      <c r="CJA341" s="173"/>
      <c r="CJB341" s="173"/>
      <c r="CJC341" s="173"/>
      <c r="CJD341" s="173"/>
      <c r="CJE341" s="173"/>
      <c r="CJF341" s="173"/>
      <c r="CJG341" s="173"/>
      <c r="CJH341" s="173"/>
      <c r="CJI341" s="125"/>
      <c r="CJJ341" s="125"/>
      <c r="CJK341" s="134"/>
      <c r="CJL341" s="135"/>
      <c r="CJM341" s="135"/>
      <c r="CJN341" s="135"/>
      <c r="CJO341" s="135"/>
      <c r="CJP341" s="173"/>
      <c r="CJQ341" s="173"/>
      <c r="CJR341" s="173"/>
      <c r="CJS341" s="173"/>
      <c r="CJT341" s="173"/>
      <c r="CJU341" s="173"/>
      <c r="CJV341" s="173"/>
      <c r="CJW341" s="173"/>
      <c r="CJX341" s="173"/>
      <c r="CJY341" s="173"/>
      <c r="CJZ341" s="125"/>
      <c r="CKA341" s="125"/>
      <c r="CKB341" s="134"/>
      <c r="CKC341" s="135"/>
      <c r="CKD341" s="135"/>
      <c r="CKE341" s="135"/>
      <c r="CKF341" s="135"/>
      <c r="CKG341" s="173"/>
      <c r="CKH341" s="173"/>
      <c r="CKI341" s="173"/>
      <c r="CKJ341" s="173"/>
      <c r="CKK341" s="173"/>
      <c r="CKL341" s="173"/>
      <c r="CKM341" s="173"/>
      <c r="CKN341" s="173"/>
      <c r="CKO341" s="173"/>
      <c r="CKP341" s="173"/>
      <c r="CKQ341" s="125"/>
      <c r="CKR341" s="125"/>
      <c r="CKS341" s="134"/>
      <c r="CKT341" s="135"/>
      <c r="CKU341" s="135"/>
      <c r="CKV341" s="135"/>
      <c r="CKW341" s="135"/>
      <c r="CKX341" s="173"/>
      <c r="CKY341" s="173"/>
      <c r="CKZ341" s="173"/>
      <c r="CLA341" s="173"/>
      <c r="CLB341" s="173"/>
      <c r="CLC341" s="173"/>
      <c r="CLD341" s="173"/>
      <c r="CLE341" s="173"/>
      <c r="CLF341" s="173"/>
      <c r="CLG341" s="173"/>
      <c r="CLH341" s="125"/>
      <c r="CLI341" s="125"/>
      <c r="CLJ341" s="134"/>
      <c r="CLK341" s="135"/>
      <c r="CLL341" s="135"/>
      <c r="CLM341" s="135"/>
      <c r="CLN341" s="135"/>
      <c r="CLO341" s="173"/>
      <c r="CLP341" s="173"/>
      <c r="CLQ341" s="173"/>
      <c r="CLR341" s="173"/>
      <c r="CLS341" s="173"/>
      <c r="CLT341" s="173"/>
      <c r="CLU341" s="173"/>
      <c r="CLV341" s="173"/>
      <c r="CLW341" s="173"/>
      <c r="CLX341" s="173"/>
      <c r="CLY341" s="125"/>
      <c r="CLZ341" s="125"/>
      <c r="CMA341" s="134"/>
      <c r="CMB341" s="135"/>
      <c r="CMC341" s="135"/>
      <c r="CMD341" s="135"/>
      <c r="CME341" s="135"/>
      <c r="CMF341" s="173"/>
      <c r="CMG341" s="173"/>
      <c r="CMH341" s="173"/>
      <c r="CMI341" s="173"/>
      <c r="CMJ341" s="173"/>
      <c r="CMK341" s="173"/>
      <c r="CML341" s="173"/>
      <c r="CMM341" s="173"/>
      <c r="CMN341" s="173"/>
      <c r="CMO341" s="173"/>
      <c r="CMP341" s="125"/>
      <c r="CMQ341" s="125"/>
      <c r="CMR341" s="134"/>
      <c r="CMS341" s="135"/>
      <c r="CMT341" s="135"/>
      <c r="CMU341" s="135"/>
      <c r="CMV341" s="135"/>
      <c r="CMW341" s="173"/>
      <c r="CMX341" s="173"/>
      <c r="CMY341" s="173"/>
      <c r="CMZ341" s="173"/>
      <c r="CNA341" s="173"/>
      <c r="CNB341" s="173"/>
      <c r="CNC341" s="173"/>
      <c r="CND341" s="173"/>
      <c r="CNE341" s="173"/>
      <c r="CNF341" s="173"/>
      <c r="CNG341" s="125"/>
      <c r="CNH341" s="125"/>
      <c r="CNI341" s="134"/>
      <c r="CNJ341" s="135"/>
      <c r="CNK341" s="135"/>
      <c r="CNL341" s="135"/>
      <c r="CNM341" s="135"/>
      <c r="CNN341" s="173"/>
      <c r="CNO341" s="173"/>
      <c r="CNP341" s="173"/>
      <c r="CNQ341" s="173"/>
      <c r="CNR341" s="173"/>
      <c r="CNS341" s="173"/>
      <c r="CNT341" s="173"/>
      <c r="CNU341" s="173"/>
      <c r="CNV341" s="173"/>
      <c r="CNW341" s="173"/>
      <c r="CNX341" s="125"/>
      <c r="CNY341" s="125"/>
      <c r="CNZ341" s="134"/>
      <c r="COA341" s="135"/>
      <c r="COB341" s="135"/>
      <c r="COC341" s="135"/>
      <c r="COD341" s="135"/>
      <c r="COE341" s="173"/>
      <c r="COF341" s="173"/>
      <c r="COG341" s="173"/>
      <c r="COH341" s="173"/>
      <c r="COI341" s="173"/>
      <c r="COJ341" s="173"/>
      <c r="COK341" s="173"/>
      <c r="COL341" s="173"/>
      <c r="COM341" s="173"/>
      <c r="CON341" s="173"/>
      <c r="COO341" s="125"/>
      <c r="COP341" s="125"/>
      <c r="COQ341" s="134"/>
      <c r="COR341" s="135"/>
      <c r="COS341" s="135"/>
      <c r="COT341" s="135"/>
      <c r="COU341" s="135"/>
      <c r="COV341" s="173"/>
      <c r="COW341" s="173"/>
      <c r="COX341" s="173"/>
      <c r="COY341" s="173"/>
      <c r="COZ341" s="173"/>
      <c r="CPA341" s="173"/>
      <c r="CPB341" s="173"/>
      <c r="CPC341" s="173"/>
      <c r="CPD341" s="173"/>
      <c r="CPE341" s="173"/>
      <c r="CPF341" s="125"/>
      <c r="CPG341" s="125"/>
      <c r="CPH341" s="134"/>
      <c r="CPI341" s="135"/>
      <c r="CPJ341" s="135"/>
      <c r="CPK341" s="135"/>
      <c r="CPL341" s="135"/>
      <c r="CPM341" s="173"/>
      <c r="CPN341" s="173"/>
      <c r="CPO341" s="173"/>
      <c r="CPP341" s="173"/>
      <c r="CPQ341" s="173"/>
      <c r="CPR341" s="173"/>
      <c r="CPS341" s="173"/>
      <c r="CPT341" s="173"/>
      <c r="CPU341" s="173"/>
      <c r="CPV341" s="173"/>
      <c r="CPW341" s="125"/>
      <c r="CPX341" s="125"/>
      <c r="CPY341" s="134"/>
      <c r="CPZ341" s="135"/>
      <c r="CQA341" s="135"/>
      <c r="CQB341" s="135"/>
      <c r="CQC341" s="135"/>
      <c r="CQD341" s="173"/>
      <c r="CQE341" s="173"/>
      <c r="CQF341" s="173"/>
      <c r="CQG341" s="173"/>
      <c r="CQH341" s="173"/>
      <c r="CQI341" s="173"/>
      <c r="CQJ341" s="173"/>
      <c r="CQK341" s="173"/>
      <c r="CQL341" s="173"/>
      <c r="CQM341" s="173"/>
      <c r="CQN341" s="125"/>
      <c r="CQO341" s="125"/>
      <c r="CQP341" s="134"/>
      <c r="CQQ341" s="135"/>
      <c r="CQR341" s="135"/>
      <c r="CQS341" s="135"/>
      <c r="CQT341" s="135"/>
      <c r="CQU341" s="173"/>
      <c r="CQV341" s="173"/>
      <c r="CQW341" s="173"/>
      <c r="CQX341" s="173"/>
      <c r="CQY341" s="173"/>
      <c r="CQZ341" s="173"/>
      <c r="CRA341" s="173"/>
      <c r="CRB341" s="173"/>
      <c r="CRC341" s="173"/>
      <c r="CRD341" s="173"/>
      <c r="CRE341" s="125"/>
      <c r="CRF341" s="125"/>
      <c r="CRG341" s="134"/>
      <c r="CRH341" s="135"/>
      <c r="CRI341" s="135"/>
      <c r="CRJ341" s="135"/>
      <c r="CRK341" s="135"/>
      <c r="CRL341" s="173"/>
      <c r="CRM341" s="173"/>
      <c r="CRN341" s="173"/>
      <c r="CRO341" s="173"/>
      <c r="CRP341" s="173"/>
      <c r="CRQ341" s="173"/>
      <c r="CRR341" s="173"/>
      <c r="CRS341" s="173"/>
      <c r="CRT341" s="173"/>
      <c r="CRU341" s="173"/>
      <c r="CRV341" s="125"/>
      <c r="CRW341" s="125"/>
      <c r="CRX341" s="134"/>
      <c r="CRY341" s="135"/>
      <c r="CRZ341" s="135"/>
      <c r="CSA341" s="135"/>
      <c r="CSB341" s="135"/>
      <c r="CSC341" s="173"/>
      <c r="CSD341" s="173"/>
      <c r="CSE341" s="173"/>
      <c r="CSF341" s="173"/>
      <c r="CSG341" s="173"/>
      <c r="CSH341" s="173"/>
      <c r="CSI341" s="173"/>
      <c r="CSJ341" s="173"/>
      <c r="CSK341" s="173"/>
      <c r="CSL341" s="173"/>
      <c r="CSM341" s="125"/>
      <c r="CSN341" s="125"/>
      <c r="CSO341" s="134"/>
      <c r="CSP341" s="135"/>
      <c r="CSQ341" s="135"/>
      <c r="CSR341" s="135"/>
      <c r="CSS341" s="135"/>
      <c r="CST341" s="173"/>
      <c r="CSU341" s="173"/>
      <c r="CSV341" s="173"/>
      <c r="CSW341" s="173"/>
      <c r="CSX341" s="173"/>
      <c r="CSY341" s="173"/>
      <c r="CSZ341" s="173"/>
      <c r="CTA341" s="173"/>
      <c r="CTB341" s="173"/>
      <c r="CTC341" s="173"/>
      <c r="CTD341" s="125"/>
      <c r="CTE341" s="125"/>
      <c r="CTF341" s="134"/>
      <c r="CTG341" s="135"/>
      <c r="CTH341" s="135"/>
      <c r="CTI341" s="135"/>
      <c r="CTJ341" s="135"/>
      <c r="CTK341" s="173"/>
      <c r="CTL341" s="173"/>
      <c r="CTM341" s="173"/>
      <c r="CTN341" s="173"/>
      <c r="CTO341" s="173"/>
      <c r="CTP341" s="173"/>
      <c r="CTQ341" s="173"/>
      <c r="CTR341" s="173"/>
      <c r="CTS341" s="173"/>
      <c r="CTT341" s="173"/>
      <c r="CTU341" s="125"/>
      <c r="CTV341" s="125"/>
      <c r="CTW341" s="134"/>
      <c r="CTX341" s="135"/>
      <c r="CTY341" s="135"/>
      <c r="CTZ341" s="135"/>
      <c r="CUA341" s="135"/>
      <c r="CUB341" s="173"/>
      <c r="CUC341" s="173"/>
      <c r="CUD341" s="173"/>
      <c r="CUE341" s="173"/>
      <c r="CUF341" s="173"/>
      <c r="CUG341" s="173"/>
      <c r="CUH341" s="173"/>
      <c r="CUI341" s="173"/>
      <c r="CUJ341" s="173"/>
      <c r="CUK341" s="173"/>
      <c r="CUL341" s="125"/>
      <c r="CUM341" s="125"/>
      <c r="CUN341" s="134"/>
      <c r="CUO341" s="135"/>
      <c r="CUP341" s="135"/>
      <c r="CUQ341" s="135"/>
      <c r="CUR341" s="135"/>
      <c r="CUS341" s="173"/>
      <c r="CUT341" s="173"/>
      <c r="CUU341" s="173"/>
      <c r="CUV341" s="173"/>
      <c r="CUW341" s="173"/>
      <c r="CUX341" s="173"/>
      <c r="CUY341" s="173"/>
      <c r="CUZ341" s="173"/>
      <c r="CVA341" s="173"/>
      <c r="CVB341" s="173"/>
      <c r="CVC341" s="125"/>
      <c r="CVD341" s="125"/>
      <c r="CVE341" s="134"/>
      <c r="CVF341" s="135"/>
      <c r="CVG341" s="135"/>
      <c r="CVH341" s="135"/>
      <c r="CVI341" s="135"/>
      <c r="CVJ341" s="173"/>
      <c r="CVK341" s="173"/>
      <c r="CVL341" s="173"/>
      <c r="CVM341" s="173"/>
      <c r="CVN341" s="173"/>
      <c r="CVO341" s="173"/>
      <c r="CVP341" s="173"/>
      <c r="CVQ341" s="173"/>
      <c r="CVR341" s="173"/>
      <c r="CVS341" s="173"/>
      <c r="CVT341" s="125"/>
      <c r="CVU341" s="125"/>
      <c r="CVV341" s="134"/>
      <c r="CVW341" s="135"/>
      <c r="CVX341" s="135"/>
      <c r="CVY341" s="135"/>
      <c r="CVZ341" s="135"/>
      <c r="CWA341" s="173"/>
      <c r="CWB341" s="173"/>
      <c r="CWC341" s="173"/>
      <c r="CWD341" s="173"/>
      <c r="CWE341" s="173"/>
      <c r="CWF341" s="173"/>
      <c r="CWG341" s="173"/>
      <c r="CWH341" s="173"/>
      <c r="CWI341" s="173"/>
      <c r="CWJ341" s="173"/>
      <c r="CWK341" s="125"/>
      <c r="CWL341" s="125"/>
      <c r="CWM341" s="134"/>
      <c r="CWN341" s="135"/>
      <c r="CWO341" s="135"/>
      <c r="CWP341" s="135"/>
      <c r="CWQ341" s="135"/>
      <c r="CWR341" s="173"/>
      <c r="CWS341" s="173"/>
      <c r="CWT341" s="173"/>
      <c r="CWU341" s="173"/>
      <c r="CWV341" s="173"/>
      <c r="CWW341" s="173"/>
      <c r="CWX341" s="173"/>
      <c r="CWY341" s="173"/>
      <c r="CWZ341" s="173"/>
      <c r="CXA341" s="173"/>
      <c r="CXB341" s="125"/>
      <c r="CXC341" s="125"/>
      <c r="CXD341" s="134"/>
      <c r="CXE341" s="135"/>
      <c r="CXF341" s="135"/>
      <c r="CXG341" s="135"/>
      <c r="CXH341" s="135"/>
      <c r="CXI341" s="173"/>
      <c r="CXJ341" s="173"/>
      <c r="CXK341" s="173"/>
      <c r="CXL341" s="173"/>
      <c r="CXM341" s="173"/>
      <c r="CXN341" s="173"/>
      <c r="CXO341" s="173"/>
      <c r="CXP341" s="173"/>
      <c r="CXQ341" s="173"/>
      <c r="CXR341" s="173"/>
      <c r="CXS341" s="125"/>
      <c r="CXT341" s="125"/>
      <c r="CXU341" s="134"/>
      <c r="CXV341" s="135"/>
      <c r="CXW341" s="135"/>
      <c r="CXX341" s="135"/>
      <c r="CXY341" s="135"/>
      <c r="CXZ341" s="173"/>
      <c r="CYA341" s="173"/>
      <c r="CYB341" s="173"/>
      <c r="CYC341" s="173"/>
      <c r="CYD341" s="173"/>
      <c r="CYE341" s="173"/>
      <c r="CYF341" s="173"/>
      <c r="CYG341" s="173"/>
      <c r="CYH341" s="173"/>
      <c r="CYI341" s="173"/>
      <c r="CYJ341" s="125"/>
      <c r="CYK341" s="125"/>
      <c r="CYL341" s="134"/>
      <c r="CYM341" s="135"/>
      <c r="CYN341" s="135"/>
      <c r="CYO341" s="135"/>
      <c r="CYP341" s="135"/>
      <c r="CYQ341" s="173"/>
      <c r="CYR341" s="173"/>
      <c r="CYS341" s="173"/>
      <c r="CYT341" s="173"/>
      <c r="CYU341" s="173"/>
      <c r="CYV341" s="173"/>
      <c r="CYW341" s="173"/>
      <c r="CYX341" s="173"/>
      <c r="CYY341" s="173"/>
      <c r="CYZ341" s="173"/>
      <c r="CZA341" s="125"/>
      <c r="CZB341" s="125"/>
      <c r="CZC341" s="134"/>
      <c r="CZD341" s="135"/>
      <c r="CZE341" s="135"/>
      <c r="CZF341" s="135"/>
      <c r="CZG341" s="135"/>
      <c r="CZH341" s="173"/>
      <c r="CZI341" s="173"/>
      <c r="CZJ341" s="173"/>
      <c r="CZK341" s="173"/>
      <c r="CZL341" s="173"/>
      <c r="CZM341" s="173"/>
      <c r="CZN341" s="173"/>
      <c r="CZO341" s="173"/>
      <c r="CZP341" s="173"/>
      <c r="CZQ341" s="173"/>
      <c r="CZR341" s="125"/>
      <c r="CZS341" s="125"/>
      <c r="CZT341" s="134"/>
      <c r="CZU341" s="135"/>
      <c r="CZV341" s="135"/>
      <c r="CZW341" s="135"/>
      <c r="CZX341" s="135"/>
      <c r="CZY341" s="173"/>
      <c r="CZZ341" s="173"/>
      <c r="DAA341" s="173"/>
      <c r="DAB341" s="173"/>
      <c r="DAC341" s="173"/>
      <c r="DAD341" s="173"/>
      <c r="DAE341" s="173"/>
      <c r="DAF341" s="173"/>
      <c r="DAG341" s="173"/>
      <c r="DAH341" s="173"/>
      <c r="DAI341" s="125"/>
      <c r="DAJ341" s="125"/>
      <c r="DAK341" s="134"/>
      <c r="DAL341" s="135"/>
      <c r="DAM341" s="135"/>
      <c r="DAN341" s="135"/>
      <c r="DAO341" s="135"/>
      <c r="DAP341" s="173"/>
      <c r="DAQ341" s="173"/>
      <c r="DAR341" s="173"/>
      <c r="DAS341" s="173"/>
      <c r="DAT341" s="173"/>
      <c r="DAU341" s="173"/>
      <c r="DAV341" s="173"/>
      <c r="DAW341" s="173"/>
      <c r="DAX341" s="173"/>
      <c r="DAY341" s="173"/>
      <c r="DAZ341" s="125"/>
      <c r="DBA341" s="125"/>
      <c r="DBB341" s="134"/>
      <c r="DBC341" s="135"/>
      <c r="DBD341" s="135"/>
      <c r="DBE341" s="135"/>
      <c r="DBF341" s="135"/>
      <c r="DBG341" s="173"/>
      <c r="DBH341" s="173"/>
      <c r="DBI341" s="173"/>
      <c r="DBJ341" s="173"/>
      <c r="DBK341" s="173"/>
      <c r="DBL341" s="173"/>
      <c r="DBM341" s="173"/>
      <c r="DBN341" s="173"/>
      <c r="DBO341" s="173"/>
      <c r="DBP341" s="173"/>
      <c r="DBQ341" s="125"/>
      <c r="DBR341" s="125"/>
      <c r="DBS341" s="134"/>
      <c r="DBT341" s="135"/>
      <c r="DBU341" s="135"/>
      <c r="DBV341" s="135"/>
      <c r="DBW341" s="135"/>
      <c r="DBX341" s="173"/>
      <c r="DBY341" s="173"/>
      <c r="DBZ341" s="173"/>
      <c r="DCA341" s="173"/>
      <c r="DCB341" s="173"/>
      <c r="DCC341" s="173"/>
      <c r="DCD341" s="173"/>
      <c r="DCE341" s="173"/>
      <c r="DCF341" s="173"/>
      <c r="DCG341" s="173"/>
      <c r="DCH341" s="125"/>
      <c r="DCI341" s="125"/>
      <c r="DCJ341" s="134"/>
      <c r="DCK341" s="135"/>
      <c r="DCL341" s="135"/>
      <c r="DCM341" s="135"/>
      <c r="DCN341" s="135"/>
      <c r="DCO341" s="173"/>
      <c r="DCP341" s="173"/>
      <c r="DCQ341" s="173"/>
      <c r="DCR341" s="173"/>
      <c r="DCS341" s="173"/>
      <c r="DCT341" s="173"/>
      <c r="DCU341" s="173"/>
      <c r="DCV341" s="173"/>
      <c r="DCW341" s="173"/>
      <c r="DCX341" s="173"/>
      <c r="DCY341" s="125"/>
      <c r="DCZ341" s="125"/>
      <c r="DDA341" s="134"/>
      <c r="DDB341" s="135"/>
      <c r="DDC341" s="135"/>
      <c r="DDD341" s="135"/>
      <c r="DDE341" s="135"/>
      <c r="DDF341" s="173"/>
      <c r="DDG341" s="173"/>
      <c r="DDH341" s="173"/>
      <c r="DDI341" s="173"/>
      <c r="DDJ341" s="173"/>
      <c r="DDK341" s="173"/>
      <c r="DDL341" s="173"/>
      <c r="DDM341" s="173"/>
      <c r="DDN341" s="173"/>
      <c r="DDO341" s="173"/>
      <c r="DDP341" s="125"/>
      <c r="DDQ341" s="125"/>
      <c r="DDR341" s="134"/>
      <c r="DDS341" s="135"/>
      <c r="DDT341" s="135"/>
      <c r="DDU341" s="135"/>
      <c r="DDV341" s="135"/>
      <c r="DDW341" s="173"/>
      <c r="DDX341" s="173"/>
      <c r="DDY341" s="173"/>
      <c r="DDZ341" s="173"/>
      <c r="DEA341" s="173"/>
      <c r="DEB341" s="173"/>
      <c r="DEC341" s="173"/>
      <c r="DED341" s="173"/>
      <c r="DEE341" s="173"/>
      <c r="DEF341" s="173"/>
      <c r="DEG341" s="125"/>
      <c r="DEH341" s="125"/>
      <c r="DEI341" s="134"/>
      <c r="DEJ341" s="135"/>
      <c r="DEK341" s="135"/>
      <c r="DEL341" s="135"/>
      <c r="DEM341" s="135"/>
      <c r="DEN341" s="173"/>
      <c r="DEO341" s="173"/>
      <c r="DEP341" s="173"/>
      <c r="DEQ341" s="173"/>
      <c r="DER341" s="173"/>
      <c r="DES341" s="173"/>
      <c r="DET341" s="173"/>
      <c r="DEU341" s="173"/>
      <c r="DEV341" s="173"/>
      <c r="DEW341" s="173"/>
      <c r="DEX341" s="125"/>
      <c r="DEY341" s="125"/>
      <c r="DEZ341" s="134"/>
      <c r="DFA341" s="135"/>
      <c r="DFB341" s="135"/>
      <c r="DFC341" s="135"/>
      <c r="DFD341" s="135"/>
      <c r="DFE341" s="173"/>
      <c r="DFF341" s="173"/>
      <c r="DFG341" s="173"/>
      <c r="DFH341" s="173"/>
      <c r="DFI341" s="173"/>
      <c r="DFJ341" s="173"/>
      <c r="DFK341" s="173"/>
      <c r="DFL341" s="173"/>
      <c r="DFM341" s="173"/>
      <c r="DFN341" s="173"/>
      <c r="DFO341" s="125"/>
      <c r="DFP341" s="125"/>
      <c r="DFQ341" s="134"/>
      <c r="DFR341" s="135"/>
      <c r="DFS341" s="135"/>
      <c r="DFT341" s="135"/>
      <c r="DFU341" s="135"/>
      <c r="DFV341" s="173"/>
      <c r="DFW341" s="173"/>
      <c r="DFX341" s="173"/>
      <c r="DFY341" s="173"/>
      <c r="DFZ341" s="173"/>
      <c r="DGA341" s="173"/>
      <c r="DGB341" s="173"/>
      <c r="DGC341" s="173"/>
      <c r="DGD341" s="173"/>
      <c r="DGE341" s="173"/>
      <c r="DGF341" s="125"/>
      <c r="DGG341" s="125"/>
      <c r="DGH341" s="134"/>
      <c r="DGI341" s="135"/>
      <c r="DGJ341" s="135"/>
      <c r="DGK341" s="135"/>
      <c r="DGL341" s="135"/>
      <c r="DGM341" s="173"/>
      <c r="DGN341" s="173"/>
      <c r="DGO341" s="173"/>
      <c r="DGP341" s="173"/>
      <c r="DGQ341" s="173"/>
      <c r="DGR341" s="173"/>
      <c r="DGS341" s="173"/>
      <c r="DGT341" s="173"/>
      <c r="DGU341" s="173"/>
      <c r="DGV341" s="173"/>
      <c r="DGW341" s="125"/>
      <c r="DGX341" s="125"/>
      <c r="DGY341" s="134"/>
      <c r="DGZ341" s="135"/>
      <c r="DHA341" s="135"/>
      <c r="DHB341" s="135"/>
      <c r="DHC341" s="135"/>
      <c r="DHD341" s="173"/>
      <c r="DHE341" s="173"/>
      <c r="DHF341" s="173"/>
      <c r="DHG341" s="173"/>
      <c r="DHH341" s="173"/>
      <c r="DHI341" s="173"/>
      <c r="DHJ341" s="173"/>
      <c r="DHK341" s="173"/>
      <c r="DHL341" s="173"/>
      <c r="DHM341" s="173"/>
      <c r="DHN341" s="125"/>
      <c r="DHO341" s="125"/>
      <c r="DHP341" s="134"/>
      <c r="DHQ341" s="135"/>
      <c r="DHR341" s="135"/>
      <c r="DHS341" s="135"/>
      <c r="DHT341" s="135"/>
      <c r="DHU341" s="173"/>
      <c r="DHV341" s="173"/>
      <c r="DHW341" s="173"/>
      <c r="DHX341" s="173"/>
      <c r="DHY341" s="173"/>
      <c r="DHZ341" s="173"/>
      <c r="DIA341" s="173"/>
      <c r="DIB341" s="173"/>
      <c r="DIC341" s="173"/>
      <c r="DID341" s="173"/>
      <c r="DIE341" s="125"/>
      <c r="DIF341" s="125"/>
      <c r="DIG341" s="134"/>
      <c r="DIH341" s="135"/>
      <c r="DII341" s="135"/>
      <c r="DIJ341" s="135"/>
      <c r="DIK341" s="135"/>
      <c r="DIL341" s="173"/>
      <c r="DIM341" s="173"/>
      <c r="DIN341" s="173"/>
      <c r="DIO341" s="173"/>
      <c r="DIP341" s="173"/>
      <c r="DIQ341" s="173"/>
      <c r="DIR341" s="173"/>
      <c r="DIS341" s="173"/>
      <c r="DIT341" s="173"/>
      <c r="DIU341" s="173"/>
      <c r="DIV341" s="125"/>
      <c r="DIW341" s="125"/>
      <c r="DIX341" s="134"/>
      <c r="DIY341" s="135"/>
      <c r="DIZ341" s="135"/>
      <c r="DJA341" s="135"/>
      <c r="DJB341" s="135"/>
      <c r="DJC341" s="173"/>
      <c r="DJD341" s="173"/>
      <c r="DJE341" s="173"/>
      <c r="DJF341" s="173"/>
      <c r="DJG341" s="173"/>
      <c r="DJH341" s="173"/>
      <c r="DJI341" s="173"/>
      <c r="DJJ341" s="173"/>
      <c r="DJK341" s="173"/>
      <c r="DJL341" s="173"/>
      <c r="DJM341" s="125"/>
      <c r="DJN341" s="125"/>
      <c r="DJO341" s="134"/>
      <c r="DJP341" s="135"/>
      <c r="DJQ341" s="135"/>
      <c r="DJR341" s="135"/>
      <c r="DJS341" s="135"/>
      <c r="DJT341" s="173"/>
      <c r="DJU341" s="173"/>
      <c r="DJV341" s="173"/>
      <c r="DJW341" s="173"/>
      <c r="DJX341" s="173"/>
      <c r="DJY341" s="173"/>
      <c r="DJZ341" s="173"/>
      <c r="DKA341" s="173"/>
      <c r="DKB341" s="173"/>
      <c r="DKC341" s="173"/>
      <c r="DKD341" s="125"/>
      <c r="DKE341" s="125"/>
      <c r="DKF341" s="134"/>
      <c r="DKG341" s="135"/>
      <c r="DKH341" s="135"/>
      <c r="DKI341" s="135"/>
      <c r="DKJ341" s="135"/>
      <c r="DKK341" s="173"/>
      <c r="DKL341" s="173"/>
      <c r="DKM341" s="173"/>
      <c r="DKN341" s="173"/>
      <c r="DKO341" s="173"/>
      <c r="DKP341" s="173"/>
      <c r="DKQ341" s="173"/>
      <c r="DKR341" s="173"/>
      <c r="DKS341" s="173"/>
      <c r="DKT341" s="173"/>
      <c r="DKU341" s="125"/>
      <c r="DKV341" s="125"/>
      <c r="DKW341" s="134"/>
      <c r="DKX341" s="135"/>
      <c r="DKY341" s="135"/>
      <c r="DKZ341" s="135"/>
      <c r="DLA341" s="135"/>
      <c r="DLB341" s="173"/>
      <c r="DLC341" s="173"/>
      <c r="DLD341" s="173"/>
      <c r="DLE341" s="173"/>
      <c r="DLF341" s="173"/>
      <c r="DLG341" s="173"/>
      <c r="DLH341" s="173"/>
      <c r="DLI341" s="173"/>
      <c r="DLJ341" s="173"/>
      <c r="DLK341" s="173"/>
      <c r="DLL341" s="125"/>
      <c r="DLM341" s="125"/>
      <c r="DLN341" s="134"/>
      <c r="DLO341" s="135"/>
      <c r="DLP341" s="135"/>
      <c r="DLQ341" s="135"/>
      <c r="DLR341" s="135"/>
      <c r="DLS341" s="173"/>
      <c r="DLT341" s="173"/>
      <c r="DLU341" s="173"/>
      <c r="DLV341" s="173"/>
      <c r="DLW341" s="173"/>
      <c r="DLX341" s="173"/>
      <c r="DLY341" s="173"/>
      <c r="DLZ341" s="173"/>
      <c r="DMA341" s="173"/>
      <c r="DMB341" s="173"/>
      <c r="DMC341" s="125"/>
      <c r="DMD341" s="125"/>
      <c r="DME341" s="134"/>
      <c r="DMF341" s="135"/>
      <c r="DMG341" s="135"/>
      <c r="DMH341" s="135"/>
      <c r="DMI341" s="135"/>
      <c r="DMJ341" s="173"/>
      <c r="DMK341" s="173"/>
      <c r="DML341" s="173"/>
      <c r="DMM341" s="173"/>
      <c r="DMN341" s="173"/>
      <c r="DMO341" s="173"/>
      <c r="DMP341" s="173"/>
      <c r="DMQ341" s="173"/>
      <c r="DMR341" s="173"/>
      <c r="DMS341" s="173"/>
      <c r="DMT341" s="125"/>
      <c r="DMU341" s="125"/>
      <c r="DMV341" s="134"/>
      <c r="DMW341" s="135"/>
      <c r="DMX341" s="135"/>
      <c r="DMY341" s="135"/>
      <c r="DMZ341" s="135"/>
      <c r="DNA341" s="173"/>
      <c r="DNB341" s="173"/>
      <c r="DNC341" s="173"/>
      <c r="DND341" s="173"/>
      <c r="DNE341" s="173"/>
      <c r="DNF341" s="173"/>
      <c r="DNG341" s="173"/>
      <c r="DNH341" s="173"/>
      <c r="DNI341" s="173"/>
      <c r="DNJ341" s="173"/>
      <c r="DNK341" s="125"/>
      <c r="DNL341" s="125"/>
      <c r="DNM341" s="134"/>
      <c r="DNN341" s="135"/>
      <c r="DNO341" s="135"/>
      <c r="DNP341" s="135"/>
      <c r="DNQ341" s="135"/>
      <c r="DNR341" s="173"/>
      <c r="DNS341" s="173"/>
      <c r="DNT341" s="173"/>
      <c r="DNU341" s="173"/>
      <c r="DNV341" s="173"/>
      <c r="DNW341" s="173"/>
      <c r="DNX341" s="173"/>
      <c r="DNY341" s="173"/>
      <c r="DNZ341" s="173"/>
      <c r="DOA341" s="173"/>
      <c r="DOB341" s="125"/>
      <c r="DOC341" s="125"/>
      <c r="DOD341" s="134"/>
      <c r="DOE341" s="135"/>
      <c r="DOF341" s="135"/>
      <c r="DOG341" s="135"/>
      <c r="DOH341" s="135"/>
      <c r="DOI341" s="173"/>
      <c r="DOJ341" s="173"/>
      <c r="DOK341" s="173"/>
      <c r="DOL341" s="173"/>
      <c r="DOM341" s="173"/>
      <c r="DON341" s="173"/>
      <c r="DOO341" s="173"/>
      <c r="DOP341" s="173"/>
      <c r="DOQ341" s="173"/>
      <c r="DOR341" s="173"/>
      <c r="DOS341" s="125"/>
      <c r="DOT341" s="125"/>
      <c r="DOU341" s="134"/>
      <c r="DOV341" s="135"/>
      <c r="DOW341" s="135"/>
      <c r="DOX341" s="135"/>
      <c r="DOY341" s="135"/>
      <c r="DOZ341" s="173"/>
      <c r="DPA341" s="173"/>
      <c r="DPB341" s="173"/>
      <c r="DPC341" s="173"/>
      <c r="DPD341" s="173"/>
      <c r="DPE341" s="173"/>
      <c r="DPF341" s="173"/>
      <c r="DPG341" s="173"/>
      <c r="DPH341" s="173"/>
      <c r="DPI341" s="173"/>
      <c r="DPJ341" s="125"/>
      <c r="DPK341" s="125"/>
      <c r="DPL341" s="134"/>
      <c r="DPM341" s="135"/>
      <c r="DPN341" s="135"/>
      <c r="DPO341" s="135"/>
      <c r="DPP341" s="135"/>
      <c r="DPQ341" s="173"/>
      <c r="DPR341" s="173"/>
      <c r="DPS341" s="173"/>
      <c r="DPT341" s="173"/>
      <c r="DPU341" s="173"/>
      <c r="DPV341" s="173"/>
      <c r="DPW341" s="173"/>
      <c r="DPX341" s="173"/>
      <c r="DPY341" s="173"/>
      <c r="DPZ341" s="173"/>
      <c r="DQA341" s="125"/>
      <c r="DQB341" s="125"/>
      <c r="DQC341" s="134"/>
      <c r="DQD341" s="135"/>
      <c r="DQE341" s="135"/>
      <c r="DQF341" s="135"/>
      <c r="DQG341" s="135"/>
      <c r="DQH341" s="173"/>
      <c r="DQI341" s="173"/>
      <c r="DQJ341" s="173"/>
      <c r="DQK341" s="173"/>
      <c r="DQL341" s="173"/>
      <c r="DQM341" s="173"/>
      <c r="DQN341" s="173"/>
      <c r="DQO341" s="173"/>
      <c r="DQP341" s="173"/>
      <c r="DQQ341" s="173"/>
      <c r="DQR341" s="125"/>
      <c r="DQS341" s="125"/>
      <c r="DQT341" s="134"/>
      <c r="DQU341" s="135"/>
      <c r="DQV341" s="135"/>
      <c r="DQW341" s="135"/>
      <c r="DQX341" s="135"/>
      <c r="DQY341" s="173"/>
      <c r="DQZ341" s="173"/>
      <c r="DRA341" s="173"/>
      <c r="DRB341" s="173"/>
      <c r="DRC341" s="173"/>
      <c r="DRD341" s="173"/>
      <c r="DRE341" s="173"/>
      <c r="DRF341" s="173"/>
      <c r="DRG341" s="173"/>
      <c r="DRH341" s="173"/>
      <c r="DRI341" s="125"/>
      <c r="DRJ341" s="125"/>
      <c r="DRK341" s="134"/>
      <c r="DRL341" s="135"/>
      <c r="DRM341" s="135"/>
      <c r="DRN341" s="135"/>
      <c r="DRO341" s="135"/>
      <c r="DRP341" s="173"/>
      <c r="DRQ341" s="173"/>
      <c r="DRR341" s="173"/>
      <c r="DRS341" s="173"/>
      <c r="DRT341" s="173"/>
      <c r="DRU341" s="173"/>
      <c r="DRV341" s="173"/>
      <c r="DRW341" s="173"/>
      <c r="DRX341" s="173"/>
      <c r="DRY341" s="173"/>
      <c r="DRZ341" s="125"/>
      <c r="DSA341" s="125"/>
      <c r="DSB341" s="134"/>
      <c r="DSC341" s="135"/>
      <c r="DSD341" s="135"/>
      <c r="DSE341" s="135"/>
      <c r="DSF341" s="135"/>
      <c r="DSG341" s="173"/>
      <c r="DSH341" s="173"/>
      <c r="DSI341" s="173"/>
      <c r="DSJ341" s="173"/>
      <c r="DSK341" s="173"/>
      <c r="DSL341" s="173"/>
      <c r="DSM341" s="173"/>
      <c r="DSN341" s="173"/>
      <c r="DSO341" s="173"/>
      <c r="DSP341" s="173"/>
      <c r="DSQ341" s="125"/>
      <c r="DSR341" s="125"/>
      <c r="DSS341" s="134"/>
      <c r="DST341" s="135"/>
      <c r="DSU341" s="135"/>
      <c r="DSV341" s="135"/>
      <c r="DSW341" s="135"/>
      <c r="DSX341" s="173"/>
      <c r="DSY341" s="173"/>
      <c r="DSZ341" s="173"/>
      <c r="DTA341" s="173"/>
      <c r="DTB341" s="173"/>
      <c r="DTC341" s="173"/>
      <c r="DTD341" s="173"/>
      <c r="DTE341" s="173"/>
      <c r="DTF341" s="173"/>
      <c r="DTG341" s="173"/>
      <c r="DTH341" s="125"/>
      <c r="DTI341" s="125"/>
      <c r="DTJ341" s="134"/>
      <c r="DTK341" s="135"/>
      <c r="DTL341" s="135"/>
      <c r="DTM341" s="135"/>
      <c r="DTN341" s="135"/>
      <c r="DTO341" s="173"/>
      <c r="DTP341" s="173"/>
      <c r="DTQ341" s="173"/>
      <c r="DTR341" s="173"/>
      <c r="DTS341" s="173"/>
      <c r="DTT341" s="173"/>
      <c r="DTU341" s="173"/>
      <c r="DTV341" s="173"/>
      <c r="DTW341" s="173"/>
      <c r="DTX341" s="173"/>
      <c r="DTY341" s="125"/>
      <c r="DTZ341" s="125"/>
      <c r="DUA341" s="134"/>
      <c r="DUB341" s="135"/>
      <c r="DUC341" s="135"/>
      <c r="DUD341" s="135"/>
      <c r="DUE341" s="135"/>
      <c r="DUF341" s="173"/>
      <c r="DUG341" s="173"/>
      <c r="DUH341" s="173"/>
      <c r="DUI341" s="173"/>
      <c r="DUJ341" s="173"/>
      <c r="DUK341" s="173"/>
      <c r="DUL341" s="173"/>
      <c r="DUM341" s="173"/>
      <c r="DUN341" s="173"/>
      <c r="DUO341" s="173"/>
      <c r="DUP341" s="125"/>
      <c r="DUQ341" s="125"/>
      <c r="DUR341" s="134"/>
      <c r="DUS341" s="135"/>
      <c r="DUT341" s="135"/>
      <c r="DUU341" s="135"/>
      <c r="DUV341" s="135"/>
      <c r="DUW341" s="173"/>
      <c r="DUX341" s="173"/>
      <c r="DUY341" s="173"/>
      <c r="DUZ341" s="173"/>
      <c r="DVA341" s="173"/>
      <c r="DVB341" s="173"/>
      <c r="DVC341" s="173"/>
      <c r="DVD341" s="173"/>
      <c r="DVE341" s="173"/>
      <c r="DVF341" s="173"/>
      <c r="DVG341" s="125"/>
      <c r="DVH341" s="125"/>
      <c r="DVI341" s="134"/>
      <c r="DVJ341" s="135"/>
      <c r="DVK341" s="135"/>
      <c r="DVL341" s="135"/>
      <c r="DVM341" s="135"/>
      <c r="DVN341" s="173"/>
      <c r="DVO341" s="173"/>
      <c r="DVP341" s="173"/>
      <c r="DVQ341" s="173"/>
      <c r="DVR341" s="173"/>
      <c r="DVS341" s="173"/>
      <c r="DVT341" s="173"/>
      <c r="DVU341" s="173"/>
      <c r="DVV341" s="173"/>
      <c r="DVW341" s="173"/>
      <c r="DVX341" s="125"/>
      <c r="DVY341" s="125"/>
      <c r="DVZ341" s="134"/>
      <c r="DWA341" s="135"/>
      <c r="DWB341" s="135"/>
      <c r="DWC341" s="135"/>
      <c r="DWD341" s="135"/>
      <c r="DWE341" s="173"/>
      <c r="DWF341" s="173"/>
      <c r="DWG341" s="173"/>
      <c r="DWH341" s="173"/>
      <c r="DWI341" s="173"/>
      <c r="DWJ341" s="173"/>
      <c r="DWK341" s="173"/>
      <c r="DWL341" s="173"/>
      <c r="DWM341" s="173"/>
      <c r="DWN341" s="173"/>
      <c r="DWO341" s="125"/>
      <c r="DWP341" s="125"/>
      <c r="DWQ341" s="134"/>
      <c r="DWR341" s="135"/>
      <c r="DWS341" s="135"/>
      <c r="DWT341" s="135"/>
      <c r="DWU341" s="135"/>
      <c r="DWV341" s="173"/>
      <c r="DWW341" s="173"/>
      <c r="DWX341" s="173"/>
      <c r="DWY341" s="173"/>
      <c r="DWZ341" s="173"/>
      <c r="DXA341" s="173"/>
      <c r="DXB341" s="173"/>
      <c r="DXC341" s="173"/>
      <c r="DXD341" s="173"/>
      <c r="DXE341" s="173"/>
      <c r="DXF341" s="125"/>
      <c r="DXG341" s="125"/>
      <c r="DXH341" s="134"/>
      <c r="DXI341" s="135"/>
      <c r="DXJ341" s="135"/>
      <c r="DXK341" s="135"/>
      <c r="DXL341" s="135"/>
      <c r="DXM341" s="173"/>
      <c r="DXN341" s="173"/>
      <c r="DXO341" s="173"/>
      <c r="DXP341" s="173"/>
      <c r="DXQ341" s="173"/>
      <c r="DXR341" s="173"/>
      <c r="DXS341" s="173"/>
      <c r="DXT341" s="173"/>
      <c r="DXU341" s="173"/>
      <c r="DXV341" s="173"/>
      <c r="DXW341" s="125"/>
      <c r="DXX341" s="125"/>
      <c r="DXY341" s="134"/>
      <c r="DXZ341" s="135"/>
      <c r="DYA341" s="135"/>
      <c r="DYB341" s="135"/>
      <c r="DYC341" s="135"/>
      <c r="DYD341" s="173"/>
      <c r="DYE341" s="173"/>
      <c r="DYF341" s="173"/>
      <c r="DYG341" s="173"/>
      <c r="DYH341" s="173"/>
      <c r="DYI341" s="173"/>
      <c r="DYJ341" s="173"/>
      <c r="DYK341" s="173"/>
      <c r="DYL341" s="173"/>
      <c r="DYM341" s="173"/>
      <c r="DYN341" s="125"/>
      <c r="DYO341" s="125"/>
      <c r="DYP341" s="134"/>
      <c r="DYQ341" s="135"/>
      <c r="DYR341" s="135"/>
      <c r="DYS341" s="135"/>
      <c r="DYT341" s="135"/>
      <c r="DYU341" s="173"/>
      <c r="DYV341" s="173"/>
      <c r="DYW341" s="173"/>
      <c r="DYX341" s="173"/>
      <c r="DYY341" s="173"/>
      <c r="DYZ341" s="173"/>
      <c r="DZA341" s="173"/>
      <c r="DZB341" s="173"/>
      <c r="DZC341" s="173"/>
      <c r="DZD341" s="173"/>
      <c r="DZE341" s="125"/>
      <c r="DZF341" s="125"/>
      <c r="DZG341" s="134"/>
      <c r="DZH341" s="135"/>
      <c r="DZI341" s="135"/>
      <c r="DZJ341" s="135"/>
      <c r="DZK341" s="135"/>
      <c r="DZL341" s="173"/>
      <c r="DZM341" s="173"/>
      <c r="DZN341" s="173"/>
      <c r="DZO341" s="173"/>
      <c r="DZP341" s="173"/>
      <c r="DZQ341" s="173"/>
      <c r="DZR341" s="173"/>
      <c r="DZS341" s="173"/>
      <c r="DZT341" s="173"/>
      <c r="DZU341" s="173"/>
      <c r="DZV341" s="125"/>
      <c r="DZW341" s="125"/>
      <c r="DZX341" s="134"/>
      <c r="DZY341" s="135"/>
      <c r="DZZ341" s="135"/>
      <c r="EAA341" s="135"/>
      <c r="EAB341" s="135"/>
      <c r="EAC341" s="173"/>
      <c r="EAD341" s="173"/>
      <c r="EAE341" s="173"/>
      <c r="EAF341" s="173"/>
      <c r="EAG341" s="173"/>
      <c r="EAH341" s="173"/>
      <c r="EAI341" s="173"/>
      <c r="EAJ341" s="173"/>
      <c r="EAK341" s="173"/>
      <c r="EAL341" s="173"/>
      <c r="EAM341" s="125"/>
      <c r="EAN341" s="125"/>
      <c r="EAO341" s="134"/>
      <c r="EAP341" s="135"/>
      <c r="EAQ341" s="135"/>
      <c r="EAR341" s="135"/>
      <c r="EAS341" s="135"/>
      <c r="EAT341" s="173"/>
      <c r="EAU341" s="173"/>
      <c r="EAV341" s="173"/>
      <c r="EAW341" s="173"/>
      <c r="EAX341" s="173"/>
      <c r="EAY341" s="173"/>
      <c r="EAZ341" s="173"/>
      <c r="EBA341" s="173"/>
      <c r="EBB341" s="173"/>
      <c r="EBC341" s="173"/>
      <c r="EBD341" s="125"/>
      <c r="EBE341" s="125"/>
      <c r="EBF341" s="134"/>
      <c r="EBG341" s="135"/>
      <c r="EBH341" s="135"/>
      <c r="EBI341" s="135"/>
      <c r="EBJ341" s="135"/>
      <c r="EBK341" s="173"/>
      <c r="EBL341" s="173"/>
      <c r="EBM341" s="173"/>
      <c r="EBN341" s="173"/>
      <c r="EBO341" s="173"/>
      <c r="EBP341" s="173"/>
      <c r="EBQ341" s="173"/>
      <c r="EBR341" s="173"/>
      <c r="EBS341" s="173"/>
      <c r="EBT341" s="173"/>
      <c r="EBU341" s="125"/>
      <c r="EBV341" s="125"/>
      <c r="EBW341" s="134"/>
      <c r="EBX341" s="135"/>
      <c r="EBY341" s="135"/>
      <c r="EBZ341" s="135"/>
      <c r="ECA341" s="135"/>
      <c r="ECB341" s="173"/>
      <c r="ECC341" s="173"/>
      <c r="ECD341" s="173"/>
      <c r="ECE341" s="173"/>
      <c r="ECF341" s="173"/>
      <c r="ECG341" s="173"/>
      <c r="ECH341" s="173"/>
      <c r="ECI341" s="173"/>
      <c r="ECJ341" s="173"/>
      <c r="ECK341" s="173"/>
      <c r="ECL341" s="125"/>
      <c r="ECM341" s="125"/>
      <c r="ECN341" s="134"/>
      <c r="ECO341" s="135"/>
      <c r="ECP341" s="135"/>
      <c r="ECQ341" s="135"/>
      <c r="ECR341" s="135"/>
      <c r="ECS341" s="173"/>
      <c r="ECT341" s="173"/>
      <c r="ECU341" s="173"/>
      <c r="ECV341" s="173"/>
      <c r="ECW341" s="173"/>
      <c r="ECX341" s="173"/>
      <c r="ECY341" s="173"/>
      <c r="ECZ341" s="173"/>
      <c r="EDA341" s="173"/>
      <c r="EDB341" s="173"/>
      <c r="EDC341" s="125"/>
      <c r="EDD341" s="125"/>
      <c r="EDE341" s="134"/>
      <c r="EDF341" s="135"/>
      <c r="EDG341" s="135"/>
      <c r="EDH341" s="135"/>
      <c r="EDI341" s="135"/>
      <c r="EDJ341" s="173"/>
      <c r="EDK341" s="173"/>
      <c r="EDL341" s="173"/>
      <c r="EDM341" s="173"/>
      <c r="EDN341" s="173"/>
      <c r="EDO341" s="173"/>
      <c r="EDP341" s="173"/>
      <c r="EDQ341" s="173"/>
      <c r="EDR341" s="173"/>
      <c r="EDS341" s="173"/>
      <c r="EDT341" s="125"/>
      <c r="EDU341" s="125"/>
      <c r="EDV341" s="134"/>
      <c r="EDW341" s="135"/>
      <c r="EDX341" s="135"/>
      <c r="EDY341" s="135"/>
      <c r="EDZ341" s="135"/>
      <c r="EEA341" s="173"/>
      <c r="EEB341" s="173"/>
      <c r="EEC341" s="173"/>
      <c r="EED341" s="173"/>
      <c r="EEE341" s="173"/>
      <c r="EEF341" s="173"/>
      <c r="EEG341" s="173"/>
      <c r="EEH341" s="173"/>
      <c r="EEI341" s="173"/>
      <c r="EEJ341" s="173"/>
      <c r="EEK341" s="125"/>
      <c r="EEL341" s="125"/>
      <c r="EEM341" s="134"/>
      <c r="EEN341" s="135"/>
      <c r="EEO341" s="135"/>
      <c r="EEP341" s="135"/>
      <c r="EEQ341" s="135"/>
      <c r="EER341" s="173"/>
      <c r="EES341" s="173"/>
      <c r="EET341" s="173"/>
      <c r="EEU341" s="173"/>
      <c r="EEV341" s="173"/>
      <c r="EEW341" s="173"/>
      <c r="EEX341" s="173"/>
      <c r="EEY341" s="173"/>
      <c r="EEZ341" s="173"/>
      <c r="EFA341" s="173"/>
      <c r="EFB341" s="125"/>
      <c r="EFC341" s="125"/>
      <c r="EFD341" s="134"/>
      <c r="EFE341" s="135"/>
      <c r="EFF341" s="135"/>
      <c r="EFG341" s="135"/>
      <c r="EFH341" s="135"/>
      <c r="EFI341" s="173"/>
      <c r="EFJ341" s="173"/>
      <c r="EFK341" s="173"/>
      <c r="EFL341" s="173"/>
      <c r="EFM341" s="173"/>
      <c r="EFN341" s="173"/>
      <c r="EFO341" s="173"/>
      <c r="EFP341" s="173"/>
      <c r="EFQ341" s="173"/>
      <c r="EFR341" s="173"/>
      <c r="EFS341" s="125"/>
      <c r="EFT341" s="125"/>
      <c r="EFU341" s="134"/>
      <c r="EFV341" s="135"/>
      <c r="EFW341" s="135"/>
      <c r="EFX341" s="135"/>
      <c r="EFY341" s="135"/>
      <c r="EFZ341" s="173"/>
      <c r="EGA341" s="173"/>
      <c r="EGB341" s="173"/>
      <c r="EGC341" s="173"/>
      <c r="EGD341" s="173"/>
      <c r="EGE341" s="173"/>
      <c r="EGF341" s="173"/>
      <c r="EGG341" s="173"/>
      <c r="EGH341" s="173"/>
      <c r="EGI341" s="173"/>
      <c r="EGJ341" s="125"/>
      <c r="EGK341" s="125"/>
      <c r="EGL341" s="134"/>
      <c r="EGM341" s="135"/>
      <c r="EGN341" s="135"/>
      <c r="EGO341" s="135"/>
      <c r="EGP341" s="135"/>
      <c r="EGQ341" s="173"/>
      <c r="EGR341" s="173"/>
      <c r="EGS341" s="173"/>
      <c r="EGT341" s="173"/>
      <c r="EGU341" s="173"/>
      <c r="EGV341" s="173"/>
      <c r="EGW341" s="173"/>
      <c r="EGX341" s="173"/>
      <c r="EGY341" s="173"/>
      <c r="EGZ341" s="173"/>
      <c r="EHA341" s="125"/>
      <c r="EHB341" s="125"/>
      <c r="EHC341" s="134"/>
      <c r="EHD341" s="135"/>
      <c r="EHE341" s="135"/>
      <c r="EHF341" s="135"/>
      <c r="EHG341" s="135"/>
      <c r="EHH341" s="173"/>
      <c r="EHI341" s="173"/>
      <c r="EHJ341" s="173"/>
      <c r="EHK341" s="173"/>
      <c r="EHL341" s="173"/>
      <c r="EHM341" s="173"/>
      <c r="EHN341" s="173"/>
      <c r="EHO341" s="173"/>
      <c r="EHP341" s="173"/>
      <c r="EHQ341" s="173"/>
      <c r="EHR341" s="125"/>
      <c r="EHS341" s="125"/>
      <c r="EHT341" s="134"/>
      <c r="EHU341" s="135"/>
      <c r="EHV341" s="135"/>
      <c r="EHW341" s="135"/>
      <c r="EHX341" s="135"/>
      <c r="EHY341" s="173"/>
      <c r="EHZ341" s="173"/>
      <c r="EIA341" s="173"/>
      <c r="EIB341" s="173"/>
      <c r="EIC341" s="173"/>
      <c r="EID341" s="173"/>
      <c r="EIE341" s="173"/>
      <c r="EIF341" s="173"/>
      <c r="EIG341" s="173"/>
      <c r="EIH341" s="173"/>
      <c r="EII341" s="125"/>
      <c r="EIJ341" s="125"/>
      <c r="EIK341" s="134"/>
      <c r="EIL341" s="135"/>
      <c r="EIM341" s="135"/>
      <c r="EIN341" s="135"/>
      <c r="EIO341" s="135"/>
      <c r="EIP341" s="173"/>
      <c r="EIQ341" s="173"/>
      <c r="EIR341" s="173"/>
      <c r="EIS341" s="173"/>
      <c r="EIT341" s="173"/>
      <c r="EIU341" s="173"/>
      <c r="EIV341" s="173"/>
      <c r="EIW341" s="173"/>
      <c r="EIX341" s="173"/>
      <c r="EIY341" s="173"/>
      <c r="EIZ341" s="125"/>
      <c r="EJA341" s="125"/>
      <c r="EJB341" s="134"/>
      <c r="EJC341" s="135"/>
      <c r="EJD341" s="135"/>
      <c r="EJE341" s="135"/>
      <c r="EJF341" s="135"/>
      <c r="EJG341" s="173"/>
      <c r="EJH341" s="173"/>
      <c r="EJI341" s="173"/>
      <c r="EJJ341" s="173"/>
      <c r="EJK341" s="173"/>
      <c r="EJL341" s="173"/>
      <c r="EJM341" s="173"/>
      <c r="EJN341" s="173"/>
      <c r="EJO341" s="173"/>
      <c r="EJP341" s="173"/>
      <c r="EJQ341" s="125"/>
      <c r="EJR341" s="125"/>
      <c r="EJS341" s="134"/>
      <c r="EJT341" s="135"/>
      <c r="EJU341" s="135"/>
      <c r="EJV341" s="135"/>
      <c r="EJW341" s="135"/>
      <c r="EJX341" s="173"/>
      <c r="EJY341" s="173"/>
      <c r="EJZ341" s="173"/>
      <c r="EKA341" s="173"/>
      <c r="EKB341" s="173"/>
      <c r="EKC341" s="173"/>
      <c r="EKD341" s="173"/>
      <c r="EKE341" s="173"/>
      <c r="EKF341" s="173"/>
      <c r="EKG341" s="173"/>
      <c r="EKH341" s="125"/>
      <c r="EKI341" s="125"/>
      <c r="EKJ341" s="134"/>
      <c r="EKK341" s="135"/>
      <c r="EKL341" s="135"/>
      <c r="EKM341" s="135"/>
      <c r="EKN341" s="135"/>
      <c r="EKO341" s="173"/>
      <c r="EKP341" s="173"/>
      <c r="EKQ341" s="173"/>
      <c r="EKR341" s="173"/>
      <c r="EKS341" s="173"/>
      <c r="EKT341" s="173"/>
      <c r="EKU341" s="173"/>
      <c r="EKV341" s="173"/>
      <c r="EKW341" s="173"/>
      <c r="EKX341" s="173"/>
      <c r="EKY341" s="125"/>
      <c r="EKZ341" s="125"/>
      <c r="ELA341" s="134"/>
      <c r="ELB341" s="135"/>
      <c r="ELC341" s="135"/>
      <c r="ELD341" s="135"/>
      <c r="ELE341" s="135"/>
      <c r="ELF341" s="173"/>
      <c r="ELG341" s="173"/>
      <c r="ELH341" s="173"/>
      <c r="ELI341" s="173"/>
      <c r="ELJ341" s="173"/>
      <c r="ELK341" s="173"/>
      <c r="ELL341" s="173"/>
      <c r="ELM341" s="173"/>
      <c r="ELN341" s="173"/>
      <c r="ELO341" s="173"/>
      <c r="ELP341" s="125"/>
      <c r="ELQ341" s="125"/>
      <c r="ELR341" s="134"/>
      <c r="ELS341" s="135"/>
      <c r="ELT341" s="135"/>
      <c r="ELU341" s="135"/>
      <c r="ELV341" s="135"/>
      <c r="ELW341" s="173"/>
      <c r="ELX341" s="173"/>
      <c r="ELY341" s="173"/>
      <c r="ELZ341" s="173"/>
      <c r="EMA341" s="173"/>
      <c r="EMB341" s="173"/>
      <c r="EMC341" s="173"/>
      <c r="EMD341" s="173"/>
      <c r="EME341" s="173"/>
      <c r="EMF341" s="173"/>
      <c r="EMG341" s="125"/>
      <c r="EMH341" s="125"/>
      <c r="EMI341" s="134"/>
      <c r="EMJ341" s="135"/>
      <c r="EMK341" s="135"/>
      <c r="EML341" s="135"/>
      <c r="EMM341" s="135"/>
      <c r="EMN341" s="173"/>
      <c r="EMO341" s="173"/>
      <c r="EMP341" s="173"/>
      <c r="EMQ341" s="173"/>
      <c r="EMR341" s="173"/>
      <c r="EMS341" s="173"/>
      <c r="EMT341" s="173"/>
      <c r="EMU341" s="173"/>
      <c r="EMV341" s="173"/>
      <c r="EMW341" s="173"/>
      <c r="EMX341" s="125"/>
      <c r="EMY341" s="125"/>
      <c r="EMZ341" s="134"/>
      <c r="ENA341" s="135"/>
      <c r="ENB341" s="135"/>
      <c r="ENC341" s="135"/>
      <c r="END341" s="135"/>
      <c r="ENE341" s="173"/>
      <c r="ENF341" s="173"/>
      <c r="ENG341" s="173"/>
      <c r="ENH341" s="173"/>
      <c r="ENI341" s="173"/>
      <c r="ENJ341" s="173"/>
      <c r="ENK341" s="173"/>
      <c r="ENL341" s="173"/>
      <c r="ENM341" s="173"/>
      <c r="ENN341" s="173"/>
      <c r="ENO341" s="125"/>
      <c r="ENP341" s="125"/>
      <c r="ENQ341" s="134"/>
      <c r="ENR341" s="135"/>
      <c r="ENS341" s="135"/>
      <c r="ENT341" s="135"/>
      <c r="ENU341" s="135"/>
      <c r="ENV341" s="173"/>
      <c r="ENW341" s="173"/>
      <c r="ENX341" s="173"/>
      <c r="ENY341" s="173"/>
      <c r="ENZ341" s="173"/>
      <c r="EOA341" s="173"/>
      <c r="EOB341" s="173"/>
      <c r="EOC341" s="173"/>
      <c r="EOD341" s="173"/>
      <c r="EOE341" s="173"/>
      <c r="EOF341" s="125"/>
      <c r="EOG341" s="125"/>
      <c r="EOH341" s="134"/>
      <c r="EOI341" s="135"/>
      <c r="EOJ341" s="135"/>
      <c r="EOK341" s="135"/>
      <c r="EOL341" s="135"/>
      <c r="EOM341" s="173"/>
      <c r="EON341" s="173"/>
      <c r="EOO341" s="173"/>
      <c r="EOP341" s="173"/>
      <c r="EOQ341" s="173"/>
      <c r="EOR341" s="173"/>
      <c r="EOS341" s="173"/>
      <c r="EOT341" s="173"/>
      <c r="EOU341" s="173"/>
      <c r="EOV341" s="173"/>
      <c r="EOW341" s="125"/>
      <c r="EOX341" s="125"/>
      <c r="EOY341" s="134"/>
      <c r="EOZ341" s="135"/>
      <c r="EPA341" s="135"/>
      <c r="EPB341" s="135"/>
      <c r="EPC341" s="135"/>
      <c r="EPD341" s="173"/>
      <c r="EPE341" s="173"/>
      <c r="EPF341" s="173"/>
      <c r="EPG341" s="173"/>
      <c r="EPH341" s="173"/>
      <c r="EPI341" s="173"/>
      <c r="EPJ341" s="173"/>
      <c r="EPK341" s="173"/>
      <c r="EPL341" s="173"/>
      <c r="EPM341" s="173"/>
      <c r="EPN341" s="125"/>
      <c r="EPO341" s="125"/>
      <c r="EPP341" s="134"/>
      <c r="EPQ341" s="135"/>
      <c r="EPR341" s="135"/>
      <c r="EPS341" s="135"/>
      <c r="EPT341" s="135"/>
      <c r="EPU341" s="173"/>
      <c r="EPV341" s="173"/>
      <c r="EPW341" s="173"/>
      <c r="EPX341" s="173"/>
      <c r="EPY341" s="173"/>
      <c r="EPZ341" s="173"/>
      <c r="EQA341" s="173"/>
      <c r="EQB341" s="173"/>
      <c r="EQC341" s="173"/>
      <c r="EQD341" s="173"/>
      <c r="EQE341" s="125"/>
      <c r="EQF341" s="125"/>
      <c r="EQG341" s="134"/>
      <c r="EQH341" s="135"/>
      <c r="EQI341" s="135"/>
      <c r="EQJ341" s="135"/>
      <c r="EQK341" s="135"/>
      <c r="EQL341" s="173"/>
      <c r="EQM341" s="173"/>
      <c r="EQN341" s="173"/>
      <c r="EQO341" s="173"/>
      <c r="EQP341" s="173"/>
      <c r="EQQ341" s="173"/>
      <c r="EQR341" s="173"/>
      <c r="EQS341" s="173"/>
      <c r="EQT341" s="173"/>
      <c r="EQU341" s="173"/>
      <c r="EQV341" s="125"/>
      <c r="EQW341" s="125"/>
      <c r="EQX341" s="134"/>
      <c r="EQY341" s="135"/>
      <c r="EQZ341" s="135"/>
      <c r="ERA341" s="135"/>
      <c r="ERB341" s="135"/>
      <c r="ERC341" s="173"/>
      <c r="ERD341" s="173"/>
      <c r="ERE341" s="173"/>
      <c r="ERF341" s="173"/>
      <c r="ERG341" s="173"/>
      <c r="ERH341" s="173"/>
      <c r="ERI341" s="173"/>
      <c r="ERJ341" s="173"/>
      <c r="ERK341" s="173"/>
      <c r="ERL341" s="173"/>
      <c r="ERM341" s="125"/>
      <c r="ERN341" s="125"/>
      <c r="ERO341" s="134"/>
      <c r="ERP341" s="135"/>
      <c r="ERQ341" s="135"/>
      <c r="ERR341" s="135"/>
      <c r="ERS341" s="135"/>
      <c r="ERT341" s="173"/>
      <c r="ERU341" s="173"/>
      <c r="ERV341" s="173"/>
      <c r="ERW341" s="173"/>
      <c r="ERX341" s="173"/>
      <c r="ERY341" s="173"/>
      <c r="ERZ341" s="173"/>
      <c r="ESA341" s="173"/>
      <c r="ESB341" s="173"/>
      <c r="ESC341" s="173"/>
      <c r="ESD341" s="125"/>
      <c r="ESE341" s="125"/>
      <c r="ESF341" s="134"/>
      <c r="ESG341" s="135"/>
      <c r="ESH341" s="135"/>
      <c r="ESI341" s="135"/>
      <c r="ESJ341" s="135"/>
      <c r="ESK341" s="173"/>
      <c r="ESL341" s="173"/>
      <c r="ESM341" s="173"/>
      <c r="ESN341" s="173"/>
      <c r="ESO341" s="173"/>
      <c r="ESP341" s="173"/>
      <c r="ESQ341" s="173"/>
      <c r="ESR341" s="173"/>
      <c r="ESS341" s="173"/>
      <c r="EST341" s="173"/>
      <c r="ESU341" s="125"/>
      <c r="ESV341" s="125"/>
      <c r="ESW341" s="134"/>
      <c r="ESX341" s="135"/>
      <c r="ESY341" s="135"/>
      <c r="ESZ341" s="135"/>
      <c r="ETA341" s="135"/>
      <c r="ETB341" s="173"/>
      <c r="ETC341" s="173"/>
      <c r="ETD341" s="173"/>
      <c r="ETE341" s="173"/>
      <c r="ETF341" s="173"/>
      <c r="ETG341" s="173"/>
      <c r="ETH341" s="173"/>
      <c r="ETI341" s="173"/>
      <c r="ETJ341" s="173"/>
      <c r="ETK341" s="173"/>
      <c r="ETL341" s="125"/>
      <c r="ETM341" s="125"/>
      <c r="ETN341" s="134"/>
      <c r="ETO341" s="135"/>
      <c r="ETP341" s="135"/>
      <c r="ETQ341" s="135"/>
      <c r="ETR341" s="135"/>
      <c r="ETS341" s="173"/>
      <c r="ETT341" s="173"/>
      <c r="ETU341" s="173"/>
      <c r="ETV341" s="173"/>
      <c r="ETW341" s="173"/>
      <c r="ETX341" s="173"/>
      <c r="ETY341" s="173"/>
      <c r="ETZ341" s="173"/>
      <c r="EUA341" s="173"/>
      <c r="EUB341" s="173"/>
      <c r="EUC341" s="125"/>
      <c r="EUD341" s="125"/>
      <c r="EUE341" s="134"/>
      <c r="EUF341" s="135"/>
      <c r="EUG341" s="135"/>
      <c r="EUH341" s="135"/>
      <c r="EUI341" s="135"/>
      <c r="EUJ341" s="173"/>
      <c r="EUK341" s="173"/>
      <c r="EUL341" s="173"/>
      <c r="EUM341" s="173"/>
      <c r="EUN341" s="173"/>
      <c r="EUO341" s="173"/>
      <c r="EUP341" s="173"/>
      <c r="EUQ341" s="173"/>
      <c r="EUR341" s="173"/>
      <c r="EUS341" s="173"/>
      <c r="EUT341" s="125"/>
      <c r="EUU341" s="125"/>
      <c r="EUV341" s="134"/>
      <c r="EUW341" s="135"/>
      <c r="EUX341" s="135"/>
      <c r="EUY341" s="135"/>
      <c r="EUZ341" s="135"/>
      <c r="EVA341" s="173"/>
      <c r="EVB341" s="173"/>
      <c r="EVC341" s="173"/>
      <c r="EVD341" s="173"/>
      <c r="EVE341" s="173"/>
      <c r="EVF341" s="173"/>
      <c r="EVG341" s="173"/>
      <c r="EVH341" s="173"/>
      <c r="EVI341" s="173"/>
      <c r="EVJ341" s="173"/>
      <c r="EVK341" s="125"/>
      <c r="EVL341" s="125"/>
      <c r="EVM341" s="134"/>
      <c r="EVN341" s="135"/>
      <c r="EVO341" s="135"/>
      <c r="EVP341" s="135"/>
      <c r="EVQ341" s="135"/>
      <c r="EVR341" s="173"/>
      <c r="EVS341" s="173"/>
      <c r="EVT341" s="173"/>
      <c r="EVU341" s="173"/>
      <c r="EVV341" s="173"/>
      <c r="EVW341" s="173"/>
      <c r="EVX341" s="173"/>
      <c r="EVY341" s="173"/>
      <c r="EVZ341" s="173"/>
      <c r="EWA341" s="173"/>
      <c r="EWB341" s="125"/>
      <c r="EWC341" s="125"/>
      <c r="EWD341" s="134"/>
      <c r="EWE341" s="135"/>
      <c r="EWF341" s="135"/>
      <c r="EWG341" s="135"/>
      <c r="EWH341" s="135"/>
      <c r="EWI341" s="173"/>
      <c r="EWJ341" s="173"/>
      <c r="EWK341" s="173"/>
      <c r="EWL341" s="173"/>
      <c r="EWM341" s="173"/>
      <c r="EWN341" s="173"/>
      <c r="EWO341" s="173"/>
      <c r="EWP341" s="173"/>
      <c r="EWQ341" s="173"/>
      <c r="EWR341" s="173"/>
      <c r="EWS341" s="125"/>
      <c r="EWT341" s="125"/>
      <c r="EWU341" s="134"/>
      <c r="EWV341" s="135"/>
      <c r="EWW341" s="135"/>
      <c r="EWX341" s="135"/>
      <c r="EWY341" s="135"/>
      <c r="EWZ341" s="173"/>
      <c r="EXA341" s="173"/>
      <c r="EXB341" s="173"/>
      <c r="EXC341" s="173"/>
      <c r="EXD341" s="173"/>
      <c r="EXE341" s="173"/>
      <c r="EXF341" s="173"/>
      <c r="EXG341" s="173"/>
      <c r="EXH341" s="173"/>
      <c r="EXI341" s="173"/>
      <c r="EXJ341" s="125"/>
      <c r="EXK341" s="125"/>
      <c r="EXL341" s="134"/>
      <c r="EXM341" s="135"/>
      <c r="EXN341" s="135"/>
      <c r="EXO341" s="135"/>
      <c r="EXP341" s="135"/>
      <c r="EXQ341" s="173"/>
      <c r="EXR341" s="173"/>
      <c r="EXS341" s="173"/>
      <c r="EXT341" s="173"/>
      <c r="EXU341" s="173"/>
      <c r="EXV341" s="173"/>
      <c r="EXW341" s="173"/>
      <c r="EXX341" s="173"/>
      <c r="EXY341" s="173"/>
      <c r="EXZ341" s="173"/>
      <c r="EYA341" s="125"/>
      <c r="EYB341" s="125"/>
      <c r="EYC341" s="134"/>
      <c r="EYD341" s="135"/>
      <c r="EYE341" s="135"/>
      <c r="EYF341" s="135"/>
      <c r="EYG341" s="135"/>
      <c r="EYH341" s="173"/>
      <c r="EYI341" s="173"/>
      <c r="EYJ341" s="173"/>
      <c r="EYK341" s="173"/>
      <c r="EYL341" s="173"/>
      <c r="EYM341" s="173"/>
      <c r="EYN341" s="173"/>
      <c r="EYO341" s="173"/>
      <c r="EYP341" s="173"/>
      <c r="EYQ341" s="173"/>
      <c r="EYR341" s="125"/>
      <c r="EYS341" s="125"/>
      <c r="EYT341" s="134"/>
      <c r="EYU341" s="135"/>
      <c r="EYV341" s="135"/>
      <c r="EYW341" s="135"/>
      <c r="EYX341" s="135"/>
      <c r="EYY341" s="173"/>
      <c r="EYZ341" s="173"/>
      <c r="EZA341" s="173"/>
      <c r="EZB341" s="173"/>
      <c r="EZC341" s="173"/>
      <c r="EZD341" s="173"/>
      <c r="EZE341" s="173"/>
      <c r="EZF341" s="173"/>
      <c r="EZG341" s="173"/>
      <c r="EZH341" s="173"/>
      <c r="EZI341" s="125"/>
      <c r="EZJ341" s="125"/>
      <c r="EZK341" s="134"/>
      <c r="EZL341" s="135"/>
      <c r="EZM341" s="135"/>
      <c r="EZN341" s="135"/>
      <c r="EZO341" s="135"/>
      <c r="EZP341" s="173"/>
      <c r="EZQ341" s="173"/>
      <c r="EZR341" s="173"/>
      <c r="EZS341" s="173"/>
      <c r="EZT341" s="173"/>
      <c r="EZU341" s="173"/>
      <c r="EZV341" s="173"/>
      <c r="EZW341" s="173"/>
      <c r="EZX341" s="173"/>
      <c r="EZY341" s="173"/>
      <c r="EZZ341" s="125"/>
      <c r="FAA341" s="125"/>
      <c r="FAB341" s="134"/>
      <c r="FAC341" s="135"/>
      <c r="FAD341" s="135"/>
      <c r="FAE341" s="135"/>
      <c r="FAF341" s="135"/>
      <c r="FAG341" s="173"/>
      <c r="FAH341" s="173"/>
      <c r="FAI341" s="173"/>
      <c r="FAJ341" s="173"/>
      <c r="FAK341" s="173"/>
      <c r="FAL341" s="173"/>
      <c r="FAM341" s="173"/>
      <c r="FAN341" s="173"/>
      <c r="FAO341" s="173"/>
      <c r="FAP341" s="173"/>
      <c r="FAQ341" s="125"/>
      <c r="FAR341" s="125"/>
      <c r="FAS341" s="134"/>
      <c r="FAT341" s="135"/>
      <c r="FAU341" s="135"/>
      <c r="FAV341" s="135"/>
      <c r="FAW341" s="135"/>
      <c r="FAX341" s="173"/>
      <c r="FAY341" s="173"/>
      <c r="FAZ341" s="173"/>
      <c r="FBA341" s="173"/>
      <c r="FBB341" s="173"/>
      <c r="FBC341" s="173"/>
      <c r="FBD341" s="173"/>
      <c r="FBE341" s="173"/>
      <c r="FBF341" s="173"/>
      <c r="FBG341" s="173"/>
      <c r="FBH341" s="125"/>
      <c r="FBI341" s="125"/>
      <c r="FBJ341" s="134"/>
      <c r="FBK341" s="135"/>
      <c r="FBL341" s="135"/>
      <c r="FBM341" s="135"/>
      <c r="FBN341" s="135"/>
      <c r="FBO341" s="173"/>
      <c r="FBP341" s="173"/>
      <c r="FBQ341" s="173"/>
      <c r="FBR341" s="173"/>
      <c r="FBS341" s="173"/>
      <c r="FBT341" s="173"/>
      <c r="FBU341" s="173"/>
      <c r="FBV341" s="173"/>
      <c r="FBW341" s="173"/>
      <c r="FBX341" s="173"/>
      <c r="FBY341" s="125"/>
      <c r="FBZ341" s="125"/>
      <c r="FCA341" s="134"/>
      <c r="FCB341" s="135"/>
      <c r="FCC341" s="135"/>
      <c r="FCD341" s="135"/>
      <c r="FCE341" s="135"/>
      <c r="FCF341" s="173"/>
      <c r="FCG341" s="173"/>
      <c r="FCH341" s="173"/>
      <c r="FCI341" s="173"/>
      <c r="FCJ341" s="173"/>
      <c r="FCK341" s="173"/>
      <c r="FCL341" s="173"/>
      <c r="FCM341" s="173"/>
      <c r="FCN341" s="173"/>
      <c r="FCO341" s="173"/>
      <c r="FCP341" s="125"/>
      <c r="FCQ341" s="125"/>
      <c r="FCR341" s="134"/>
      <c r="FCS341" s="135"/>
      <c r="FCT341" s="135"/>
      <c r="FCU341" s="135"/>
      <c r="FCV341" s="135"/>
      <c r="FCW341" s="173"/>
      <c r="FCX341" s="173"/>
      <c r="FCY341" s="173"/>
      <c r="FCZ341" s="173"/>
      <c r="FDA341" s="173"/>
      <c r="FDB341" s="173"/>
      <c r="FDC341" s="173"/>
      <c r="FDD341" s="173"/>
      <c r="FDE341" s="173"/>
      <c r="FDF341" s="173"/>
      <c r="FDG341" s="125"/>
      <c r="FDH341" s="125"/>
      <c r="FDI341" s="134"/>
      <c r="FDJ341" s="135"/>
      <c r="FDK341" s="135"/>
      <c r="FDL341" s="135"/>
      <c r="FDM341" s="135"/>
      <c r="FDN341" s="173"/>
      <c r="FDO341" s="173"/>
      <c r="FDP341" s="173"/>
      <c r="FDQ341" s="173"/>
      <c r="FDR341" s="173"/>
      <c r="FDS341" s="173"/>
      <c r="FDT341" s="173"/>
      <c r="FDU341" s="173"/>
      <c r="FDV341" s="173"/>
      <c r="FDW341" s="173"/>
      <c r="FDX341" s="125"/>
      <c r="FDY341" s="125"/>
      <c r="FDZ341" s="134"/>
      <c r="FEA341" s="135"/>
      <c r="FEB341" s="135"/>
      <c r="FEC341" s="135"/>
      <c r="FED341" s="135"/>
      <c r="FEE341" s="173"/>
      <c r="FEF341" s="173"/>
      <c r="FEG341" s="173"/>
      <c r="FEH341" s="173"/>
      <c r="FEI341" s="173"/>
      <c r="FEJ341" s="173"/>
      <c r="FEK341" s="173"/>
      <c r="FEL341" s="173"/>
      <c r="FEM341" s="173"/>
      <c r="FEN341" s="173"/>
      <c r="FEO341" s="125"/>
      <c r="FEP341" s="125"/>
      <c r="FEQ341" s="134"/>
      <c r="FER341" s="135"/>
      <c r="FES341" s="135"/>
      <c r="FET341" s="135"/>
      <c r="FEU341" s="135"/>
      <c r="FEV341" s="173"/>
      <c r="FEW341" s="173"/>
      <c r="FEX341" s="173"/>
      <c r="FEY341" s="173"/>
      <c r="FEZ341" s="173"/>
      <c r="FFA341" s="173"/>
      <c r="FFB341" s="173"/>
      <c r="FFC341" s="173"/>
      <c r="FFD341" s="173"/>
      <c r="FFE341" s="173"/>
      <c r="FFF341" s="125"/>
      <c r="FFG341" s="125"/>
      <c r="FFH341" s="134"/>
      <c r="FFI341" s="135"/>
      <c r="FFJ341" s="135"/>
      <c r="FFK341" s="135"/>
      <c r="FFL341" s="135"/>
      <c r="FFM341" s="173"/>
      <c r="FFN341" s="173"/>
      <c r="FFO341" s="173"/>
      <c r="FFP341" s="173"/>
      <c r="FFQ341" s="173"/>
      <c r="FFR341" s="173"/>
      <c r="FFS341" s="173"/>
      <c r="FFT341" s="173"/>
      <c r="FFU341" s="173"/>
      <c r="FFV341" s="173"/>
      <c r="FFW341" s="125"/>
      <c r="FFX341" s="125"/>
      <c r="FFY341" s="134"/>
      <c r="FFZ341" s="135"/>
      <c r="FGA341" s="135"/>
      <c r="FGB341" s="135"/>
      <c r="FGC341" s="135"/>
      <c r="FGD341" s="173"/>
      <c r="FGE341" s="173"/>
      <c r="FGF341" s="173"/>
      <c r="FGG341" s="173"/>
      <c r="FGH341" s="173"/>
      <c r="FGI341" s="173"/>
      <c r="FGJ341" s="173"/>
      <c r="FGK341" s="173"/>
      <c r="FGL341" s="173"/>
      <c r="FGM341" s="173"/>
      <c r="FGN341" s="125"/>
      <c r="FGO341" s="125"/>
      <c r="FGP341" s="134"/>
      <c r="FGQ341" s="135"/>
      <c r="FGR341" s="135"/>
      <c r="FGS341" s="135"/>
      <c r="FGT341" s="135"/>
      <c r="FGU341" s="173"/>
      <c r="FGV341" s="173"/>
      <c r="FGW341" s="173"/>
      <c r="FGX341" s="173"/>
      <c r="FGY341" s="173"/>
      <c r="FGZ341" s="173"/>
      <c r="FHA341" s="173"/>
      <c r="FHB341" s="173"/>
      <c r="FHC341" s="173"/>
      <c r="FHD341" s="173"/>
      <c r="FHE341" s="125"/>
      <c r="FHF341" s="125"/>
      <c r="FHG341" s="134"/>
      <c r="FHH341" s="135"/>
      <c r="FHI341" s="135"/>
      <c r="FHJ341" s="135"/>
      <c r="FHK341" s="135"/>
      <c r="FHL341" s="173"/>
      <c r="FHM341" s="173"/>
      <c r="FHN341" s="173"/>
      <c r="FHO341" s="173"/>
      <c r="FHP341" s="173"/>
      <c r="FHQ341" s="173"/>
      <c r="FHR341" s="173"/>
      <c r="FHS341" s="173"/>
      <c r="FHT341" s="173"/>
      <c r="FHU341" s="173"/>
      <c r="FHV341" s="125"/>
      <c r="FHW341" s="125"/>
      <c r="FHX341" s="134"/>
      <c r="FHY341" s="135"/>
      <c r="FHZ341" s="135"/>
      <c r="FIA341" s="135"/>
      <c r="FIB341" s="135"/>
      <c r="FIC341" s="173"/>
      <c r="FID341" s="173"/>
      <c r="FIE341" s="173"/>
      <c r="FIF341" s="173"/>
      <c r="FIG341" s="173"/>
      <c r="FIH341" s="173"/>
      <c r="FII341" s="173"/>
      <c r="FIJ341" s="173"/>
      <c r="FIK341" s="173"/>
      <c r="FIL341" s="173"/>
      <c r="FIM341" s="125"/>
      <c r="FIN341" s="125"/>
      <c r="FIO341" s="134"/>
      <c r="FIP341" s="135"/>
      <c r="FIQ341" s="135"/>
      <c r="FIR341" s="135"/>
      <c r="FIS341" s="135"/>
      <c r="FIT341" s="173"/>
      <c r="FIU341" s="173"/>
      <c r="FIV341" s="173"/>
      <c r="FIW341" s="173"/>
      <c r="FIX341" s="173"/>
      <c r="FIY341" s="173"/>
      <c r="FIZ341" s="173"/>
      <c r="FJA341" s="173"/>
      <c r="FJB341" s="173"/>
      <c r="FJC341" s="173"/>
      <c r="FJD341" s="125"/>
      <c r="FJE341" s="125"/>
      <c r="FJF341" s="134"/>
      <c r="FJG341" s="135"/>
      <c r="FJH341" s="135"/>
      <c r="FJI341" s="135"/>
      <c r="FJJ341" s="135"/>
      <c r="FJK341" s="173"/>
      <c r="FJL341" s="173"/>
      <c r="FJM341" s="173"/>
      <c r="FJN341" s="173"/>
      <c r="FJO341" s="173"/>
      <c r="FJP341" s="173"/>
      <c r="FJQ341" s="173"/>
      <c r="FJR341" s="173"/>
      <c r="FJS341" s="173"/>
      <c r="FJT341" s="173"/>
      <c r="FJU341" s="125"/>
      <c r="FJV341" s="125"/>
      <c r="FJW341" s="134"/>
      <c r="FJX341" s="135"/>
      <c r="FJY341" s="135"/>
      <c r="FJZ341" s="135"/>
      <c r="FKA341" s="135"/>
      <c r="FKB341" s="173"/>
      <c r="FKC341" s="173"/>
      <c r="FKD341" s="173"/>
      <c r="FKE341" s="173"/>
      <c r="FKF341" s="173"/>
      <c r="FKG341" s="173"/>
      <c r="FKH341" s="173"/>
      <c r="FKI341" s="173"/>
      <c r="FKJ341" s="173"/>
      <c r="FKK341" s="173"/>
      <c r="FKL341" s="125"/>
      <c r="FKM341" s="125"/>
      <c r="FKN341" s="134"/>
      <c r="FKO341" s="135"/>
      <c r="FKP341" s="135"/>
      <c r="FKQ341" s="135"/>
      <c r="FKR341" s="135"/>
      <c r="FKS341" s="173"/>
      <c r="FKT341" s="173"/>
      <c r="FKU341" s="173"/>
      <c r="FKV341" s="173"/>
      <c r="FKW341" s="173"/>
      <c r="FKX341" s="173"/>
      <c r="FKY341" s="173"/>
      <c r="FKZ341" s="173"/>
      <c r="FLA341" s="173"/>
      <c r="FLB341" s="173"/>
      <c r="FLC341" s="125"/>
      <c r="FLD341" s="125"/>
      <c r="FLE341" s="134"/>
      <c r="FLF341" s="135"/>
      <c r="FLG341" s="135"/>
      <c r="FLH341" s="135"/>
      <c r="FLI341" s="135"/>
      <c r="FLJ341" s="173"/>
      <c r="FLK341" s="173"/>
      <c r="FLL341" s="173"/>
      <c r="FLM341" s="173"/>
      <c r="FLN341" s="173"/>
      <c r="FLO341" s="173"/>
      <c r="FLP341" s="173"/>
      <c r="FLQ341" s="173"/>
      <c r="FLR341" s="173"/>
      <c r="FLS341" s="173"/>
      <c r="FLT341" s="125"/>
      <c r="FLU341" s="125"/>
      <c r="FLV341" s="134"/>
      <c r="FLW341" s="135"/>
      <c r="FLX341" s="135"/>
      <c r="FLY341" s="135"/>
      <c r="FLZ341" s="135"/>
      <c r="FMA341" s="173"/>
      <c r="FMB341" s="173"/>
      <c r="FMC341" s="173"/>
      <c r="FMD341" s="173"/>
      <c r="FME341" s="173"/>
      <c r="FMF341" s="173"/>
      <c r="FMG341" s="173"/>
      <c r="FMH341" s="173"/>
      <c r="FMI341" s="173"/>
      <c r="FMJ341" s="173"/>
      <c r="FMK341" s="125"/>
      <c r="FML341" s="125"/>
      <c r="FMM341" s="134"/>
      <c r="FMN341" s="135"/>
      <c r="FMO341" s="135"/>
      <c r="FMP341" s="135"/>
      <c r="FMQ341" s="135"/>
      <c r="FMR341" s="173"/>
      <c r="FMS341" s="173"/>
      <c r="FMT341" s="173"/>
      <c r="FMU341" s="173"/>
      <c r="FMV341" s="173"/>
      <c r="FMW341" s="173"/>
      <c r="FMX341" s="173"/>
      <c r="FMY341" s="173"/>
      <c r="FMZ341" s="173"/>
      <c r="FNA341" s="173"/>
      <c r="FNB341" s="125"/>
      <c r="FNC341" s="125"/>
      <c r="FND341" s="134"/>
      <c r="FNE341" s="135"/>
      <c r="FNF341" s="135"/>
      <c r="FNG341" s="135"/>
      <c r="FNH341" s="135"/>
      <c r="FNI341" s="173"/>
      <c r="FNJ341" s="173"/>
      <c r="FNK341" s="173"/>
      <c r="FNL341" s="173"/>
      <c r="FNM341" s="173"/>
      <c r="FNN341" s="173"/>
      <c r="FNO341" s="173"/>
      <c r="FNP341" s="173"/>
      <c r="FNQ341" s="173"/>
      <c r="FNR341" s="173"/>
      <c r="FNS341" s="125"/>
      <c r="FNT341" s="125"/>
      <c r="FNU341" s="134"/>
      <c r="FNV341" s="135"/>
      <c r="FNW341" s="135"/>
      <c r="FNX341" s="135"/>
      <c r="FNY341" s="135"/>
      <c r="FNZ341" s="173"/>
      <c r="FOA341" s="173"/>
      <c r="FOB341" s="173"/>
      <c r="FOC341" s="173"/>
      <c r="FOD341" s="173"/>
      <c r="FOE341" s="173"/>
      <c r="FOF341" s="173"/>
      <c r="FOG341" s="173"/>
      <c r="FOH341" s="173"/>
      <c r="FOI341" s="173"/>
      <c r="FOJ341" s="125"/>
      <c r="FOK341" s="125"/>
      <c r="FOL341" s="134"/>
      <c r="FOM341" s="135"/>
      <c r="FON341" s="135"/>
      <c r="FOO341" s="135"/>
      <c r="FOP341" s="135"/>
      <c r="FOQ341" s="173"/>
      <c r="FOR341" s="173"/>
      <c r="FOS341" s="173"/>
      <c r="FOT341" s="173"/>
      <c r="FOU341" s="173"/>
      <c r="FOV341" s="173"/>
      <c r="FOW341" s="173"/>
      <c r="FOX341" s="173"/>
      <c r="FOY341" s="173"/>
      <c r="FOZ341" s="173"/>
      <c r="FPA341" s="125"/>
      <c r="FPB341" s="125"/>
      <c r="FPC341" s="134"/>
      <c r="FPD341" s="135"/>
      <c r="FPE341" s="135"/>
      <c r="FPF341" s="135"/>
      <c r="FPG341" s="135"/>
      <c r="FPH341" s="173"/>
      <c r="FPI341" s="173"/>
      <c r="FPJ341" s="173"/>
      <c r="FPK341" s="173"/>
      <c r="FPL341" s="173"/>
      <c r="FPM341" s="173"/>
      <c r="FPN341" s="173"/>
      <c r="FPO341" s="173"/>
      <c r="FPP341" s="173"/>
      <c r="FPQ341" s="173"/>
      <c r="FPR341" s="125"/>
      <c r="FPS341" s="125"/>
      <c r="FPT341" s="134"/>
      <c r="FPU341" s="135"/>
      <c r="FPV341" s="135"/>
      <c r="FPW341" s="135"/>
      <c r="FPX341" s="135"/>
      <c r="FPY341" s="173"/>
      <c r="FPZ341" s="173"/>
      <c r="FQA341" s="173"/>
      <c r="FQB341" s="173"/>
      <c r="FQC341" s="173"/>
      <c r="FQD341" s="173"/>
      <c r="FQE341" s="173"/>
      <c r="FQF341" s="173"/>
      <c r="FQG341" s="173"/>
      <c r="FQH341" s="173"/>
      <c r="FQI341" s="125"/>
      <c r="FQJ341" s="125"/>
      <c r="FQK341" s="134"/>
      <c r="FQL341" s="135"/>
      <c r="FQM341" s="135"/>
      <c r="FQN341" s="135"/>
      <c r="FQO341" s="135"/>
      <c r="FQP341" s="173"/>
      <c r="FQQ341" s="173"/>
      <c r="FQR341" s="173"/>
      <c r="FQS341" s="173"/>
      <c r="FQT341" s="173"/>
      <c r="FQU341" s="173"/>
      <c r="FQV341" s="173"/>
      <c r="FQW341" s="173"/>
      <c r="FQX341" s="173"/>
      <c r="FQY341" s="173"/>
      <c r="FQZ341" s="125"/>
      <c r="FRA341" s="125"/>
      <c r="FRB341" s="134"/>
      <c r="FRC341" s="135"/>
      <c r="FRD341" s="135"/>
      <c r="FRE341" s="135"/>
      <c r="FRF341" s="135"/>
      <c r="FRG341" s="173"/>
      <c r="FRH341" s="173"/>
      <c r="FRI341" s="173"/>
      <c r="FRJ341" s="173"/>
      <c r="FRK341" s="173"/>
      <c r="FRL341" s="173"/>
      <c r="FRM341" s="173"/>
      <c r="FRN341" s="173"/>
      <c r="FRO341" s="173"/>
      <c r="FRP341" s="173"/>
      <c r="FRQ341" s="125"/>
      <c r="FRR341" s="125"/>
      <c r="FRS341" s="134"/>
      <c r="FRT341" s="135"/>
      <c r="FRU341" s="135"/>
      <c r="FRV341" s="135"/>
      <c r="FRW341" s="135"/>
      <c r="FRX341" s="173"/>
      <c r="FRY341" s="173"/>
      <c r="FRZ341" s="173"/>
      <c r="FSA341" s="173"/>
      <c r="FSB341" s="173"/>
      <c r="FSC341" s="173"/>
      <c r="FSD341" s="173"/>
      <c r="FSE341" s="173"/>
      <c r="FSF341" s="173"/>
      <c r="FSG341" s="173"/>
      <c r="FSH341" s="125"/>
      <c r="FSI341" s="125"/>
      <c r="FSJ341" s="134"/>
      <c r="FSK341" s="135"/>
      <c r="FSL341" s="135"/>
      <c r="FSM341" s="135"/>
      <c r="FSN341" s="135"/>
      <c r="FSO341" s="173"/>
      <c r="FSP341" s="173"/>
      <c r="FSQ341" s="173"/>
      <c r="FSR341" s="173"/>
      <c r="FSS341" s="173"/>
      <c r="FST341" s="173"/>
      <c r="FSU341" s="173"/>
      <c r="FSV341" s="173"/>
      <c r="FSW341" s="173"/>
      <c r="FSX341" s="173"/>
      <c r="FSY341" s="125"/>
      <c r="FSZ341" s="125"/>
      <c r="FTA341" s="134"/>
      <c r="FTB341" s="135"/>
      <c r="FTC341" s="135"/>
      <c r="FTD341" s="135"/>
      <c r="FTE341" s="135"/>
      <c r="FTF341" s="173"/>
      <c r="FTG341" s="173"/>
      <c r="FTH341" s="173"/>
      <c r="FTI341" s="173"/>
      <c r="FTJ341" s="173"/>
      <c r="FTK341" s="173"/>
      <c r="FTL341" s="173"/>
      <c r="FTM341" s="173"/>
      <c r="FTN341" s="173"/>
      <c r="FTO341" s="173"/>
      <c r="FTP341" s="125"/>
      <c r="FTQ341" s="125"/>
      <c r="FTR341" s="134"/>
      <c r="FTS341" s="135"/>
      <c r="FTT341" s="135"/>
      <c r="FTU341" s="135"/>
      <c r="FTV341" s="135"/>
      <c r="FTW341" s="173"/>
      <c r="FTX341" s="173"/>
      <c r="FTY341" s="173"/>
      <c r="FTZ341" s="173"/>
      <c r="FUA341" s="173"/>
      <c r="FUB341" s="173"/>
      <c r="FUC341" s="173"/>
      <c r="FUD341" s="173"/>
      <c r="FUE341" s="173"/>
      <c r="FUF341" s="173"/>
      <c r="FUG341" s="125"/>
      <c r="FUH341" s="125"/>
      <c r="FUI341" s="134"/>
      <c r="FUJ341" s="135"/>
      <c r="FUK341" s="135"/>
      <c r="FUL341" s="135"/>
      <c r="FUM341" s="135"/>
      <c r="FUN341" s="173"/>
      <c r="FUO341" s="173"/>
      <c r="FUP341" s="173"/>
      <c r="FUQ341" s="173"/>
      <c r="FUR341" s="173"/>
      <c r="FUS341" s="173"/>
      <c r="FUT341" s="173"/>
      <c r="FUU341" s="173"/>
      <c r="FUV341" s="173"/>
      <c r="FUW341" s="173"/>
      <c r="FUX341" s="125"/>
      <c r="FUY341" s="125"/>
      <c r="FUZ341" s="134"/>
      <c r="FVA341" s="135"/>
      <c r="FVB341" s="135"/>
      <c r="FVC341" s="135"/>
      <c r="FVD341" s="135"/>
      <c r="FVE341" s="173"/>
      <c r="FVF341" s="173"/>
      <c r="FVG341" s="173"/>
      <c r="FVH341" s="173"/>
      <c r="FVI341" s="173"/>
      <c r="FVJ341" s="173"/>
      <c r="FVK341" s="173"/>
      <c r="FVL341" s="173"/>
      <c r="FVM341" s="173"/>
      <c r="FVN341" s="173"/>
      <c r="FVO341" s="125"/>
      <c r="FVP341" s="125"/>
      <c r="FVQ341" s="134"/>
      <c r="FVR341" s="135"/>
      <c r="FVS341" s="135"/>
      <c r="FVT341" s="135"/>
      <c r="FVU341" s="135"/>
      <c r="FVV341" s="173"/>
      <c r="FVW341" s="173"/>
      <c r="FVX341" s="173"/>
      <c r="FVY341" s="173"/>
      <c r="FVZ341" s="173"/>
      <c r="FWA341" s="173"/>
      <c r="FWB341" s="173"/>
      <c r="FWC341" s="173"/>
      <c r="FWD341" s="173"/>
      <c r="FWE341" s="173"/>
      <c r="FWF341" s="125"/>
      <c r="FWG341" s="125"/>
      <c r="FWH341" s="134"/>
      <c r="FWI341" s="135"/>
      <c r="FWJ341" s="135"/>
      <c r="FWK341" s="135"/>
      <c r="FWL341" s="135"/>
      <c r="FWM341" s="173"/>
      <c r="FWN341" s="173"/>
      <c r="FWO341" s="173"/>
      <c r="FWP341" s="173"/>
      <c r="FWQ341" s="173"/>
      <c r="FWR341" s="173"/>
      <c r="FWS341" s="173"/>
      <c r="FWT341" s="173"/>
      <c r="FWU341" s="173"/>
      <c r="FWV341" s="173"/>
      <c r="FWW341" s="125"/>
      <c r="FWX341" s="125"/>
      <c r="FWY341" s="134"/>
      <c r="FWZ341" s="135"/>
      <c r="FXA341" s="135"/>
      <c r="FXB341" s="135"/>
      <c r="FXC341" s="135"/>
      <c r="FXD341" s="173"/>
      <c r="FXE341" s="173"/>
      <c r="FXF341" s="173"/>
      <c r="FXG341" s="173"/>
      <c r="FXH341" s="173"/>
      <c r="FXI341" s="173"/>
      <c r="FXJ341" s="173"/>
      <c r="FXK341" s="173"/>
      <c r="FXL341" s="173"/>
      <c r="FXM341" s="173"/>
      <c r="FXN341" s="125"/>
      <c r="FXO341" s="125"/>
      <c r="FXP341" s="134"/>
      <c r="FXQ341" s="135"/>
      <c r="FXR341" s="135"/>
      <c r="FXS341" s="135"/>
      <c r="FXT341" s="135"/>
      <c r="FXU341" s="173"/>
      <c r="FXV341" s="173"/>
      <c r="FXW341" s="173"/>
      <c r="FXX341" s="173"/>
      <c r="FXY341" s="173"/>
      <c r="FXZ341" s="173"/>
      <c r="FYA341" s="173"/>
      <c r="FYB341" s="173"/>
      <c r="FYC341" s="173"/>
      <c r="FYD341" s="173"/>
      <c r="FYE341" s="125"/>
      <c r="FYF341" s="125"/>
      <c r="FYG341" s="134"/>
      <c r="FYH341" s="135"/>
      <c r="FYI341" s="135"/>
      <c r="FYJ341" s="135"/>
      <c r="FYK341" s="135"/>
      <c r="FYL341" s="173"/>
      <c r="FYM341" s="173"/>
      <c r="FYN341" s="173"/>
      <c r="FYO341" s="173"/>
      <c r="FYP341" s="173"/>
      <c r="FYQ341" s="173"/>
      <c r="FYR341" s="173"/>
      <c r="FYS341" s="173"/>
      <c r="FYT341" s="173"/>
      <c r="FYU341" s="173"/>
      <c r="FYV341" s="125"/>
      <c r="FYW341" s="125"/>
      <c r="FYX341" s="134"/>
      <c r="FYY341" s="135"/>
      <c r="FYZ341" s="135"/>
      <c r="FZA341" s="135"/>
      <c r="FZB341" s="135"/>
      <c r="FZC341" s="173"/>
      <c r="FZD341" s="173"/>
      <c r="FZE341" s="173"/>
      <c r="FZF341" s="173"/>
      <c r="FZG341" s="173"/>
      <c r="FZH341" s="173"/>
      <c r="FZI341" s="173"/>
      <c r="FZJ341" s="173"/>
      <c r="FZK341" s="173"/>
      <c r="FZL341" s="173"/>
      <c r="FZM341" s="125"/>
      <c r="FZN341" s="125"/>
      <c r="FZO341" s="134"/>
      <c r="FZP341" s="135"/>
      <c r="FZQ341" s="135"/>
      <c r="FZR341" s="135"/>
      <c r="FZS341" s="135"/>
      <c r="FZT341" s="173"/>
      <c r="FZU341" s="173"/>
      <c r="FZV341" s="173"/>
      <c r="FZW341" s="173"/>
      <c r="FZX341" s="173"/>
      <c r="FZY341" s="173"/>
      <c r="FZZ341" s="173"/>
      <c r="GAA341" s="173"/>
      <c r="GAB341" s="173"/>
      <c r="GAC341" s="173"/>
      <c r="GAD341" s="125"/>
      <c r="GAE341" s="125"/>
      <c r="GAF341" s="134"/>
      <c r="GAG341" s="135"/>
      <c r="GAH341" s="135"/>
      <c r="GAI341" s="135"/>
      <c r="GAJ341" s="135"/>
      <c r="GAK341" s="173"/>
      <c r="GAL341" s="173"/>
      <c r="GAM341" s="173"/>
      <c r="GAN341" s="173"/>
      <c r="GAO341" s="173"/>
      <c r="GAP341" s="173"/>
      <c r="GAQ341" s="173"/>
      <c r="GAR341" s="173"/>
      <c r="GAS341" s="173"/>
      <c r="GAT341" s="173"/>
      <c r="GAU341" s="125"/>
      <c r="GAV341" s="125"/>
      <c r="GAW341" s="134"/>
      <c r="GAX341" s="135"/>
      <c r="GAY341" s="135"/>
      <c r="GAZ341" s="135"/>
      <c r="GBA341" s="135"/>
      <c r="GBB341" s="173"/>
      <c r="GBC341" s="173"/>
      <c r="GBD341" s="173"/>
      <c r="GBE341" s="173"/>
      <c r="GBF341" s="173"/>
      <c r="GBG341" s="173"/>
      <c r="GBH341" s="173"/>
      <c r="GBI341" s="173"/>
      <c r="GBJ341" s="173"/>
      <c r="GBK341" s="173"/>
      <c r="GBL341" s="125"/>
      <c r="GBM341" s="125"/>
      <c r="GBN341" s="134"/>
      <c r="GBO341" s="135"/>
      <c r="GBP341" s="135"/>
      <c r="GBQ341" s="135"/>
      <c r="GBR341" s="135"/>
      <c r="GBS341" s="173"/>
      <c r="GBT341" s="173"/>
      <c r="GBU341" s="173"/>
      <c r="GBV341" s="173"/>
      <c r="GBW341" s="173"/>
      <c r="GBX341" s="173"/>
      <c r="GBY341" s="173"/>
      <c r="GBZ341" s="173"/>
      <c r="GCA341" s="173"/>
      <c r="GCB341" s="173"/>
      <c r="GCC341" s="125"/>
      <c r="GCD341" s="125"/>
      <c r="GCE341" s="134"/>
      <c r="GCF341" s="135"/>
      <c r="GCG341" s="135"/>
      <c r="GCH341" s="135"/>
      <c r="GCI341" s="135"/>
      <c r="GCJ341" s="173"/>
      <c r="GCK341" s="173"/>
      <c r="GCL341" s="173"/>
      <c r="GCM341" s="173"/>
      <c r="GCN341" s="173"/>
      <c r="GCO341" s="173"/>
      <c r="GCP341" s="173"/>
      <c r="GCQ341" s="173"/>
      <c r="GCR341" s="173"/>
      <c r="GCS341" s="173"/>
      <c r="GCT341" s="125"/>
      <c r="GCU341" s="125"/>
      <c r="GCV341" s="134"/>
      <c r="GCW341" s="135"/>
      <c r="GCX341" s="135"/>
      <c r="GCY341" s="135"/>
      <c r="GCZ341" s="135"/>
      <c r="GDA341" s="173"/>
      <c r="GDB341" s="173"/>
      <c r="GDC341" s="173"/>
      <c r="GDD341" s="173"/>
      <c r="GDE341" s="173"/>
      <c r="GDF341" s="173"/>
      <c r="GDG341" s="173"/>
      <c r="GDH341" s="173"/>
      <c r="GDI341" s="173"/>
      <c r="GDJ341" s="173"/>
      <c r="GDK341" s="125"/>
      <c r="GDL341" s="125"/>
      <c r="GDM341" s="134"/>
      <c r="GDN341" s="135"/>
      <c r="GDO341" s="135"/>
      <c r="GDP341" s="135"/>
      <c r="GDQ341" s="135"/>
      <c r="GDR341" s="173"/>
      <c r="GDS341" s="173"/>
      <c r="GDT341" s="173"/>
      <c r="GDU341" s="173"/>
      <c r="GDV341" s="173"/>
      <c r="GDW341" s="173"/>
      <c r="GDX341" s="173"/>
      <c r="GDY341" s="173"/>
      <c r="GDZ341" s="173"/>
      <c r="GEA341" s="173"/>
      <c r="GEB341" s="125"/>
      <c r="GEC341" s="125"/>
      <c r="GED341" s="134"/>
      <c r="GEE341" s="135"/>
      <c r="GEF341" s="135"/>
      <c r="GEG341" s="135"/>
      <c r="GEH341" s="135"/>
      <c r="GEI341" s="173"/>
      <c r="GEJ341" s="173"/>
      <c r="GEK341" s="173"/>
      <c r="GEL341" s="173"/>
      <c r="GEM341" s="173"/>
      <c r="GEN341" s="173"/>
      <c r="GEO341" s="173"/>
      <c r="GEP341" s="173"/>
      <c r="GEQ341" s="173"/>
      <c r="GER341" s="173"/>
      <c r="GES341" s="125"/>
      <c r="GET341" s="125"/>
      <c r="GEU341" s="134"/>
      <c r="GEV341" s="135"/>
      <c r="GEW341" s="135"/>
      <c r="GEX341" s="135"/>
      <c r="GEY341" s="135"/>
      <c r="GEZ341" s="173"/>
      <c r="GFA341" s="173"/>
      <c r="GFB341" s="173"/>
      <c r="GFC341" s="173"/>
      <c r="GFD341" s="173"/>
      <c r="GFE341" s="173"/>
      <c r="GFF341" s="173"/>
      <c r="GFG341" s="173"/>
      <c r="GFH341" s="173"/>
      <c r="GFI341" s="173"/>
      <c r="GFJ341" s="125"/>
      <c r="GFK341" s="125"/>
      <c r="GFL341" s="134"/>
      <c r="GFM341" s="135"/>
      <c r="GFN341" s="135"/>
      <c r="GFO341" s="135"/>
      <c r="GFP341" s="135"/>
      <c r="GFQ341" s="173"/>
      <c r="GFR341" s="173"/>
      <c r="GFS341" s="173"/>
      <c r="GFT341" s="173"/>
      <c r="GFU341" s="173"/>
      <c r="GFV341" s="173"/>
      <c r="GFW341" s="173"/>
      <c r="GFX341" s="173"/>
      <c r="GFY341" s="173"/>
      <c r="GFZ341" s="173"/>
      <c r="GGA341" s="125"/>
      <c r="GGB341" s="125"/>
      <c r="GGC341" s="134"/>
      <c r="GGD341" s="135"/>
      <c r="GGE341" s="135"/>
      <c r="GGF341" s="135"/>
      <c r="GGG341" s="135"/>
      <c r="GGH341" s="173"/>
      <c r="GGI341" s="173"/>
      <c r="GGJ341" s="173"/>
      <c r="GGK341" s="173"/>
      <c r="GGL341" s="173"/>
      <c r="GGM341" s="173"/>
      <c r="GGN341" s="173"/>
      <c r="GGO341" s="173"/>
      <c r="GGP341" s="173"/>
      <c r="GGQ341" s="173"/>
      <c r="GGR341" s="125"/>
      <c r="GGS341" s="125"/>
      <c r="GGT341" s="134"/>
      <c r="GGU341" s="135"/>
      <c r="GGV341" s="135"/>
      <c r="GGW341" s="135"/>
      <c r="GGX341" s="135"/>
      <c r="GGY341" s="173"/>
      <c r="GGZ341" s="173"/>
      <c r="GHA341" s="173"/>
      <c r="GHB341" s="173"/>
      <c r="GHC341" s="173"/>
      <c r="GHD341" s="173"/>
      <c r="GHE341" s="173"/>
      <c r="GHF341" s="173"/>
      <c r="GHG341" s="173"/>
      <c r="GHH341" s="173"/>
      <c r="GHI341" s="125"/>
      <c r="GHJ341" s="125"/>
      <c r="GHK341" s="134"/>
      <c r="GHL341" s="135"/>
      <c r="GHM341" s="135"/>
      <c r="GHN341" s="135"/>
      <c r="GHO341" s="135"/>
      <c r="GHP341" s="173"/>
      <c r="GHQ341" s="173"/>
      <c r="GHR341" s="173"/>
      <c r="GHS341" s="173"/>
      <c r="GHT341" s="173"/>
      <c r="GHU341" s="173"/>
      <c r="GHV341" s="173"/>
      <c r="GHW341" s="173"/>
      <c r="GHX341" s="173"/>
      <c r="GHY341" s="173"/>
      <c r="GHZ341" s="125"/>
      <c r="GIA341" s="125"/>
      <c r="GIB341" s="134"/>
      <c r="GIC341" s="135"/>
      <c r="GID341" s="135"/>
      <c r="GIE341" s="135"/>
      <c r="GIF341" s="135"/>
      <c r="GIG341" s="173"/>
      <c r="GIH341" s="173"/>
      <c r="GII341" s="173"/>
      <c r="GIJ341" s="173"/>
      <c r="GIK341" s="173"/>
      <c r="GIL341" s="173"/>
      <c r="GIM341" s="173"/>
      <c r="GIN341" s="173"/>
      <c r="GIO341" s="173"/>
      <c r="GIP341" s="173"/>
      <c r="GIQ341" s="125"/>
      <c r="GIR341" s="125"/>
      <c r="GIS341" s="134"/>
      <c r="GIT341" s="135"/>
      <c r="GIU341" s="135"/>
      <c r="GIV341" s="135"/>
      <c r="GIW341" s="135"/>
      <c r="GIX341" s="173"/>
      <c r="GIY341" s="173"/>
      <c r="GIZ341" s="173"/>
      <c r="GJA341" s="173"/>
      <c r="GJB341" s="173"/>
      <c r="GJC341" s="173"/>
      <c r="GJD341" s="173"/>
      <c r="GJE341" s="173"/>
      <c r="GJF341" s="173"/>
      <c r="GJG341" s="173"/>
      <c r="GJH341" s="125"/>
      <c r="GJI341" s="125"/>
      <c r="GJJ341" s="134"/>
      <c r="GJK341" s="135"/>
      <c r="GJL341" s="135"/>
      <c r="GJM341" s="135"/>
      <c r="GJN341" s="135"/>
      <c r="GJO341" s="173"/>
      <c r="GJP341" s="173"/>
      <c r="GJQ341" s="173"/>
      <c r="GJR341" s="173"/>
      <c r="GJS341" s="173"/>
      <c r="GJT341" s="173"/>
      <c r="GJU341" s="173"/>
      <c r="GJV341" s="173"/>
      <c r="GJW341" s="173"/>
      <c r="GJX341" s="173"/>
      <c r="GJY341" s="125"/>
      <c r="GJZ341" s="125"/>
      <c r="GKA341" s="134"/>
      <c r="GKB341" s="135"/>
      <c r="GKC341" s="135"/>
      <c r="GKD341" s="135"/>
      <c r="GKE341" s="135"/>
      <c r="GKF341" s="173"/>
      <c r="GKG341" s="173"/>
      <c r="GKH341" s="173"/>
      <c r="GKI341" s="173"/>
      <c r="GKJ341" s="173"/>
      <c r="GKK341" s="173"/>
      <c r="GKL341" s="173"/>
      <c r="GKM341" s="173"/>
      <c r="GKN341" s="173"/>
      <c r="GKO341" s="173"/>
      <c r="GKP341" s="125"/>
      <c r="GKQ341" s="125"/>
      <c r="GKR341" s="134"/>
      <c r="GKS341" s="135"/>
      <c r="GKT341" s="135"/>
      <c r="GKU341" s="135"/>
      <c r="GKV341" s="135"/>
      <c r="GKW341" s="173"/>
      <c r="GKX341" s="173"/>
      <c r="GKY341" s="173"/>
      <c r="GKZ341" s="173"/>
      <c r="GLA341" s="173"/>
      <c r="GLB341" s="173"/>
      <c r="GLC341" s="173"/>
      <c r="GLD341" s="173"/>
      <c r="GLE341" s="173"/>
      <c r="GLF341" s="173"/>
      <c r="GLG341" s="125"/>
      <c r="GLH341" s="125"/>
      <c r="GLI341" s="134"/>
      <c r="GLJ341" s="135"/>
      <c r="GLK341" s="135"/>
      <c r="GLL341" s="135"/>
      <c r="GLM341" s="135"/>
      <c r="GLN341" s="173"/>
      <c r="GLO341" s="173"/>
      <c r="GLP341" s="173"/>
      <c r="GLQ341" s="173"/>
      <c r="GLR341" s="173"/>
      <c r="GLS341" s="173"/>
      <c r="GLT341" s="173"/>
      <c r="GLU341" s="173"/>
      <c r="GLV341" s="173"/>
      <c r="GLW341" s="173"/>
      <c r="GLX341" s="125"/>
      <c r="GLY341" s="125"/>
      <c r="GLZ341" s="134"/>
      <c r="GMA341" s="135"/>
      <c r="GMB341" s="135"/>
      <c r="GMC341" s="135"/>
      <c r="GMD341" s="135"/>
      <c r="GME341" s="173"/>
      <c r="GMF341" s="173"/>
      <c r="GMG341" s="173"/>
      <c r="GMH341" s="173"/>
      <c r="GMI341" s="173"/>
      <c r="GMJ341" s="173"/>
      <c r="GMK341" s="173"/>
      <c r="GML341" s="173"/>
      <c r="GMM341" s="173"/>
      <c r="GMN341" s="173"/>
      <c r="GMO341" s="125"/>
      <c r="GMP341" s="125"/>
      <c r="GMQ341" s="134"/>
      <c r="GMR341" s="135"/>
      <c r="GMS341" s="135"/>
      <c r="GMT341" s="135"/>
      <c r="GMU341" s="135"/>
      <c r="GMV341" s="173"/>
      <c r="GMW341" s="173"/>
      <c r="GMX341" s="173"/>
      <c r="GMY341" s="173"/>
      <c r="GMZ341" s="173"/>
      <c r="GNA341" s="173"/>
      <c r="GNB341" s="173"/>
      <c r="GNC341" s="173"/>
      <c r="GND341" s="173"/>
      <c r="GNE341" s="173"/>
      <c r="GNF341" s="125"/>
      <c r="GNG341" s="125"/>
      <c r="GNH341" s="134"/>
      <c r="GNI341" s="135"/>
      <c r="GNJ341" s="135"/>
      <c r="GNK341" s="135"/>
      <c r="GNL341" s="135"/>
      <c r="GNM341" s="173"/>
      <c r="GNN341" s="173"/>
      <c r="GNO341" s="173"/>
      <c r="GNP341" s="173"/>
      <c r="GNQ341" s="173"/>
      <c r="GNR341" s="173"/>
      <c r="GNS341" s="173"/>
      <c r="GNT341" s="173"/>
      <c r="GNU341" s="173"/>
      <c r="GNV341" s="173"/>
      <c r="GNW341" s="125"/>
      <c r="GNX341" s="125"/>
      <c r="GNY341" s="134"/>
      <c r="GNZ341" s="135"/>
      <c r="GOA341" s="135"/>
      <c r="GOB341" s="135"/>
      <c r="GOC341" s="135"/>
      <c r="GOD341" s="173"/>
      <c r="GOE341" s="173"/>
      <c r="GOF341" s="173"/>
      <c r="GOG341" s="173"/>
      <c r="GOH341" s="173"/>
      <c r="GOI341" s="173"/>
      <c r="GOJ341" s="173"/>
      <c r="GOK341" s="173"/>
      <c r="GOL341" s="173"/>
      <c r="GOM341" s="173"/>
      <c r="GON341" s="125"/>
      <c r="GOO341" s="125"/>
      <c r="GOP341" s="134"/>
      <c r="GOQ341" s="135"/>
      <c r="GOR341" s="135"/>
      <c r="GOS341" s="135"/>
      <c r="GOT341" s="135"/>
      <c r="GOU341" s="173"/>
      <c r="GOV341" s="173"/>
      <c r="GOW341" s="173"/>
      <c r="GOX341" s="173"/>
      <c r="GOY341" s="173"/>
      <c r="GOZ341" s="173"/>
      <c r="GPA341" s="173"/>
      <c r="GPB341" s="173"/>
      <c r="GPC341" s="173"/>
      <c r="GPD341" s="173"/>
      <c r="GPE341" s="125"/>
      <c r="GPF341" s="125"/>
      <c r="GPG341" s="134"/>
      <c r="GPH341" s="135"/>
      <c r="GPI341" s="135"/>
      <c r="GPJ341" s="135"/>
      <c r="GPK341" s="135"/>
      <c r="GPL341" s="173"/>
      <c r="GPM341" s="173"/>
      <c r="GPN341" s="173"/>
      <c r="GPO341" s="173"/>
      <c r="GPP341" s="173"/>
      <c r="GPQ341" s="173"/>
      <c r="GPR341" s="173"/>
      <c r="GPS341" s="173"/>
      <c r="GPT341" s="173"/>
      <c r="GPU341" s="173"/>
      <c r="GPV341" s="125"/>
      <c r="GPW341" s="125"/>
      <c r="GPX341" s="134"/>
      <c r="GPY341" s="135"/>
      <c r="GPZ341" s="135"/>
      <c r="GQA341" s="135"/>
      <c r="GQB341" s="135"/>
      <c r="GQC341" s="173"/>
      <c r="GQD341" s="173"/>
      <c r="GQE341" s="173"/>
      <c r="GQF341" s="173"/>
      <c r="GQG341" s="173"/>
      <c r="GQH341" s="173"/>
      <c r="GQI341" s="173"/>
      <c r="GQJ341" s="173"/>
      <c r="GQK341" s="173"/>
      <c r="GQL341" s="173"/>
      <c r="GQM341" s="125"/>
      <c r="GQN341" s="125"/>
      <c r="GQO341" s="134"/>
      <c r="GQP341" s="135"/>
      <c r="GQQ341" s="135"/>
      <c r="GQR341" s="135"/>
      <c r="GQS341" s="135"/>
      <c r="GQT341" s="173"/>
      <c r="GQU341" s="173"/>
      <c r="GQV341" s="173"/>
      <c r="GQW341" s="173"/>
      <c r="GQX341" s="173"/>
      <c r="GQY341" s="173"/>
      <c r="GQZ341" s="173"/>
      <c r="GRA341" s="173"/>
      <c r="GRB341" s="173"/>
      <c r="GRC341" s="173"/>
      <c r="GRD341" s="125"/>
      <c r="GRE341" s="125"/>
      <c r="GRF341" s="134"/>
      <c r="GRG341" s="135"/>
      <c r="GRH341" s="135"/>
      <c r="GRI341" s="135"/>
      <c r="GRJ341" s="135"/>
      <c r="GRK341" s="173"/>
      <c r="GRL341" s="173"/>
      <c r="GRM341" s="173"/>
      <c r="GRN341" s="173"/>
      <c r="GRO341" s="173"/>
      <c r="GRP341" s="173"/>
      <c r="GRQ341" s="173"/>
      <c r="GRR341" s="173"/>
      <c r="GRS341" s="173"/>
      <c r="GRT341" s="173"/>
      <c r="GRU341" s="125"/>
      <c r="GRV341" s="125"/>
      <c r="GRW341" s="134"/>
      <c r="GRX341" s="135"/>
      <c r="GRY341" s="135"/>
      <c r="GRZ341" s="135"/>
      <c r="GSA341" s="135"/>
      <c r="GSB341" s="173"/>
      <c r="GSC341" s="173"/>
      <c r="GSD341" s="173"/>
      <c r="GSE341" s="173"/>
      <c r="GSF341" s="173"/>
      <c r="GSG341" s="173"/>
      <c r="GSH341" s="173"/>
      <c r="GSI341" s="173"/>
      <c r="GSJ341" s="173"/>
      <c r="GSK341" s="173"/>
      <c r="GSL341" s="125"/>
      <c r="GSM341" s="125"/>
      <c r="GSN341" s="134"/>
      <c r="GSO341" s="135"/>
      <c r="GSP341" s="135"/>
      <c r="GSQ341" s="135"/>
      <c r="GSR341" s="135"/>
      <c r="GSS341" s="173"/>
      <c r="GST341" s="173"/>
      <c r="GSU341" s="173"/>
      <c r="GSV341" s="173"/>
      <c r="GSW341" s="173"/>
      <c r="GSX341" s="173"/>
      <c r="GSY341" s="173"/>
      <c r="GSZ341" s="173"/>
      <c r="GTA341" s="173"/>
      <c r="GTB341" s="173"/>
      <c r="GTC341" s="125"/>
      <c r="GTD341" s="125"/>
      <c r="GTE341" s="134"/>
      <c r="GTF341" s="135"/>
      <c r="GTG341" s="135"/>
      <c r="GTH341" s="135"/>
      <c r="GTI341" s="135"/>
      <c r="GTJ341" s="173"/>
      <c r="GTK341" s="173"/>
      <c r="GTL341" s="173"/>
      <c r="GTM341" s="173"/>
      <c r="GTN341" s="173"/>
      <c r="GTO341" s="173"/>
      <c r="GTP341" s="173"/>
      <c r="GTQ341" s="173"/>
      <c r="GTR341" s="173"/>
      <c r="GTS341" s="173"/>
      <c r="GTT341" s="125"/>
      <c r="GTU341" s="125"/>
      <c r="GTV341" s="134"/>
      <c r="GTW341" s="135"/>
      <c r="GTX341" s="135"/>
      <c r="GTY341" s="135"/>
      <c r="GTZ341" s="135"/>
      <c r="GUA341" s="173"/>
      <c r="GUB341" s="173"/>
      <c r="GUC341" s="173"/>
      <c r="GUD341" s="173"/>
      <c r="GUE341" s="173"/>
      <c r="GUF341" s="173"/>
      <c r="GUG341" s="173"/>
      <c r="GUH341" s="173"/>
      <c r="GUI341" s="173"/>
      <c r="GUJ341" s="173"/>
      <c r="GUK341" s="125"/>
      <c r="GUL341" s="125"/>
      <c r="GUM341" s="134"/>
      <c r="GUN341" s="135"/>
      <c r="GUO341" s="135"/>
      <c r="GUP341" s="135"/>
      <c r="GUQ341" s="135"/>
      <c r="GUR341" s="173"/>
      <c r="GUS341" s="173"/>
      <c r="GUT341" s="173"/>
      <c r="GUU341" s="173"/>
      <c r="GUV341" s="173"/>
      <c r="GUW341" s="173"/>
      <c r="GUX341" s="173"/>
      <c r="GUY341" s="173"/>
      <c r="GUZ341" s="173"/>
      <c r="GVA341" s="173"/>
      <c r="GVB341" s="125"/>
      <c r="GVC341" s="125"/>
      <c r="GVD341" s="134"/>
      <c r="GVE341" s="135"/>
      <c r="GVF341" s="135"/>
      <c r="GVG341" s="135"/>
      <c r="GVH341" s="135"/>
      <c r="GVI341" s="173"/>
      <c r="GVJ341" s="173"/>
      <c r="GVK341" s="173"/>
      <c r="GVL341" s="173"/>
      <c r="GVM341" s="173"/>
      <c r="GVN341" s="173"/>
      <c r="GVO341" s="173"/>
      <c r="GVP341" s="173"/>
      <c r="GVQ341" s="173"/>
      <c r="GVR341" s="173"/>
      <c r="GVS341" s="125"/>
      <c r="GVT341" s="125"/>
      <c r="GVU341" s="134"/>
      <c r="GVV341" s="135"/>
      <c r="GVW341" s="135"/>
      <c r="GVX341" s="135"/>
      <c r="GVY341" s="135"/>
      <c r="GVZ341" s="173"/>
      <c r="GWA341" s="173"/>
      <c r="GWB341" s="173"/>
      <c r="GWC341" s="173"/>
      <c r="GWD341" s="173"/>
      <c r="GWE341" s="173"/>
      <c r="GWF341" s="173"/>
      <c r="GWG341" s="173"/>
      <c r="GWH341" s="173"/>
      <c r="GWI341" s="173"/>
      <c r="GWJ341" s="125"/>
      <c r="GWK341" s="125"/>
      <c r="GWL341" s="134"/>
      <c r="GWM341" s="135"/>
      <c r="GWN341" s="135"/>
      <c r="GWO341" s="135"/>
      <c r="GWP341" s="135"/>
      <c r="GWQ341" s="173"/>
      <c r="GWR341" s="173"/>
      <c r="GWS341" s="173"/>
      <c r="GWT341" s="173"/>
      <c r="GWU341" s="173"/>
      <c r="GWV341" s="173"/>
      <c r="GWW341" s="173"/>
      <c r="GWX341" s="173"/>
      <c r="GWY341" s="173"/>
      <c r="GWZ341" s="173"/>
      <c r="GXA341" s="125"/>
      <c r="GXB341" s="125"/>
      <c r="GXC341" s="134"/>
      <c r="GXD341" s="135"/>
      <c r="GXE341" s="135"/>
      <c r="GXF341" s="135"/>
      <c r="GXG341" s="135"/>
      <c r="GXH341" s="173"/>
      <c r="GXI341" s="173"/>
      <c r="GXJ341" s="173"/>
      <c r="GXK341" s="173"/>
      <c r="GXL341" s="173"/>
      <c r="GXM341" s="173"/>
      <c r="GXN341" s="173"/>
      <c r="GXO341" s="173"/>
      <c r="GXP341" s="173"/>
      <c r="GXQ341" s="173"/>
      <c r="GXR341" s="125"/>
      <c r="GXS341" s="125"/>
      <c r="GXT341" s="134"/>
      <c r="GXU341" s="135"/>
      <c r="GXV341" s="135"/>
      <c r="GXW341" s="135"/>
      <c r="GXX341" s="135"/>
      <c r="GXY341" s="173"/>
      <c r="GXZ341" s="173"/>
      <c r="GYA341" s="173"/>
      <c r="GYB341" s="173"/>
      <c r="GYC341" s="173"/>
      <c r="GYD341" s="173"/>
      <c r="GYE341" s="173"/>
      <c r="GYF341" s="173"/>
      <c r="GYG341" s="173"/>
      <c r="GYH341" s="173"/>
      <c r="GYI341" s="125"/>
      <c r="GYJ341" s="125"/>
      <c r="GYK341" s="134"/>
      <c r="GYL341" s="135"/>
      <c r="GYM341" s="135"/>
      <c r="GYN341" s="135"/>
      <c r="GYO341" s="135"/>
      <c r="GYP341" s="173"/>
      <c r="GYQ341" s="173"/>
      <c r="GYR341" s="173"/>
      <c r="GYS341" s="173"/>
      <c r="GYT341" s="173"/>
      <c r="GYU341" s="173"/>
      <c r="GYV341" s="173"/>
      <c r="GYW341" s="173"/>
      <c r="GYX341" s="173"/>
      <c r="GYY341" s="173"/>
      <c r="GYZ341" s="125"/>
      <c r="GZA341" s="125"/>
      <c r="GZB341" s="134"/>
      <c r="GZC341" s="135"/>
      <c r="GZD341" s="135"/>
      <c r="GZE341" s="135"/>
      <c r="GZF341" s="135"/>
      <c r="GZG341" s="173"/>
      <c r="GZH341" s="173"/>
      <c r="GZI341" s="173"/>
      <c r="GZJ341" s="173"/>
      <c r="GZK341" s="173"/>
      <c r="GZL341" s="173"/>
      <c r="GZM341" s="173"/>
      <c r="GZN341" s="173"/>
      <c r="GZO341" s="173"/>
      <c r="GZP341" s="173"/>
      <c r="GZQ341" s="125"/>
      <c r="GZR341" s="125"/>
      <c r="GZS341" s="134"/>
      <c r="GZT341" s="135"/>
      <c r="GZU341" s="135"/>
      <c r="GZV341" s="135"/>
      <c r="GZW341" s="135"/>
      <c r="GZX341" s="173"/>
      <c r="GZY341" s="173"/>
      <c r="GZZ341" s="173"/>
      <c r="HAA341" s="173"/>
      <c r="HAB341" s="173"/>
      <c r="HAC341" s="173"/>
      <c r="HAD341" s="173"/>
      <c r="HAE341" s="173"/>
      <c r="HAF341" s="173"/>
      <c r="HAG341" s="173"/>
      <c r="HAH341" s="125"/>
      <c r="HAI341" s="125"/>
      <c r="HAJ341" s="134"/>
      <c r="HAK341" s="135"/>
      <c r="HAL341" s="135"/>
      <c r="HAM341" s="135"/>
      <c r="HAN341" s="135"/>
      <c r="HAO341" s="173"/>
      <c r="HAP341" s="173"/>
      <c r="HAQ341" s="173"/>
      <c r="HAR341" s="173"/>
      <c r="HAS341" s="173"/>
      <c r="HAT341" s="173"/>
      <c r="HAU341" s="173"/>
      <c r="HAV341" s="173"/>
      <c r="HAW341" s="173"/>
      <c r="HAX341" s="173"/>
      <c r="HAY341" s="125"/>
      <c r="HAZ341" s="125"/>
      <c r="HBA341" s="134"/>
      <c r="HBB341" s="135"/>
      <c r="HBC341" s="135"/>
      <c r="HBD341" s="135"/>
      <c r="HBE341" s="135"/>
      <c r="HBF341" s="173"/>
      <c r="HBG341" s="173"/>
      <c r="HBH341" s="173"/>
      <c r="HBI341" s="173"/>
      <c r="HBJ341" s="173"/>
      <c r="HBK341" s="173"/>
      <c r="HBL341" s="173"/>
      <c r="HBM341" s="173"/>
      <c r="HBN341" s="173"/>
      <c r="HBO341" s="173"/>
      <c r="HBP341" s="125"/>
      <c r="HBQ341" s="125"/>
      <c r="HBR341" s="134"/>
      <c r="HBS341" s="135"/>
      <c r="HBT341" s="135"/>
      <c r="HBU341" s="135"/>
      <c r="HBV341" s="135"/>
      <c r="HBW341" s="173"/>
      <c r="HBX341" s="173"/>
      <c r="HBY341" s="173"/>
      <c r="HBZ341" s="173"/>
      <c r="HCA341" s="173"/>
      <c r="HCB341" s="173"/>
      <c r="HCC341" s="173"/>
      <c r="HCD341" s="173"/>
      <c r="HCE341" s="173"/>
      <c r="HCF341" s="173"/>
      <c r="HCG341" s="125"/>
      <c r="HCH341" s="125"/>
      <c r="HCI341" s="134"/>
      <c r="HCJ341" s="135"/>
      <c r="HCK341" s="135"/>
      <c r="HCL341" s="135"/>
      <c r="HCM341" s="135"/>
      <c r="HCN341" s="173"/>
      <c r="HCO341" s="173"/>
      <c r="HCP341" s="173"/>
      <c r="HCQ341" s="173"/>
      <c r="HCR341" s="173"/>
      <c r="HCS341" s="173"/>
      <c r="HCT341" s="173"/>
      <c r="HCU341" s="173"/>
      <c r="HCV341" s="173"/>
      <c r="HCW341" s="173"/>
      <c r="HCX341" s="125"/>
      <c r="HCY341" s="125"/>
      <c r="HCZ341" s="134"/>
      <c r="HDA341" s="135"/>
      <c r="HDB341" s="135"/>
      <c r="HDC341" s="135"/>
      <c r="HDD341" s="135"/>
      <c r="HDE341" s="173"/>
      <c r="HDF341" s="173"/>
      <c r="HDG341" s="173"/>
      <c r="HDH341" s="173"/>
      <c r="HDI341" s="173"/>
      <c r="HDJ341" s="173"/>
      <c r="HDK341" s="173"/>
      <c r="HDL341" s="173"/>
      <c r="HDM341" s="173"/>
      <c r="HDN341" s="173"/>
      <c r="HDO341" s="125"/>
      <c r="HDP341" s="125"/>
      <c r="HDQ341" s="134"/>
      <c r="HDR341" s="135"/>
      <c r="HDS341" s="135"/>
      <c r="HDT341" s="135"/>
      <c r="HDU341" s="135"/>
      <c r="HDV341" s="173"/>
      <c r="HDW341" s="173"/>
      <c r="HDX341" s="173"/>
      <c r="HDY341" s="173"/>
      <c r="HDZ341" s="173"/>
      <c r="HEA341" s="173"/>
      <c r="HEB341" s="173"/>
      <c r="HEC341" s="173"/>
      <c r="HED341" s="173"/>
      <c r="HEE341" s="173"/>
      <c r="HEF341" s="125"/>
      <c r="HEG341" s="125"/>
      <c r="HEH341" s="134"/>
      <c r="HEI341" s="135"/>
      <c r="HEJ341" s="135"/>
      <c r="HEK341" s="135"/>
      <c r="HEL341" s="135"/>
      <c r="HEM341" s="173"/>
      <c r="HEN341" s="173"/>
      <c r="HEO341" s="173"/>
      <c r="HEP341" s="173"/>
      <c r="HEQ341" s="173"/>
      <c r="HER341" s="173"/>
      <c r="HES341" s="173"/>
      <c r="HET341" s="173"/>
      <c r="HEU341" s="173"/>
      <c r="HEV341" s="173"/>
      <c r="HEW341" s="125"/>
      <c r="HEX341" s="125"/>
      <c r="HEY341" s="134"/>
      <c r="HEZ341" s="135"/>
      <c r="HFA341" s="135"/>
      <c r="HFB341" s="135"/>
      <c r="HFC341" s="135"/>
      <c r="HFD341" s="173"/>
      <c r="HFE341" s="173"/>
      <c r="HFF341" s="173"/>
      <c r="HFG341" s="173"/>
      <c r="HFH341" s="173"/>
      <c r="HFI341" s="173"/>
      <c r="HFJ341" s="173"/>
      <c r="HFK341" s="173"/>
      <c r="HFL341" s="173"/>
      <c r="HFM341" s="173"/>
      <c r="HFN341" s="125"/>
      <c r="HFO341" s="125"/>
      <c r="HFP341" s="134"/>
      <c r="HFQ341" s="135"/>
      <c r="HFR341" s="135"/>
      <c r="HFS341" s="135"/>
      <c r="HFT341" s="135"/>
      <c r="HFU341" s="173"/>
      <c r="HFV341" s="173"/>
      <c r="HFW341" s="173"/>
      <c r="HFX341" s="173"/>
      <c r="HFY341" s="173"/>
      <c r="HFZ341" s="173"/>
      <c r="HGA341" s="173"/>
      <c r="HGB341" s="173"/>
      <c r="HGC341" s="173"/>
      <c r="HGD341" s="173"/>
      <c r="HGE341" s="125"/>
      <c r="HGF341" s="125"/>
      <c r="HGG341" s="134"/>
      <c r="HGH341" s="135"/>
      <c r="HGI341" s="135"/>
      <c r="HGJ341" s="135"/>
      <c r="HGK341" s="135"/>
      <c r="HGL341" s="173"/>
      <c r="HGM341" s="173"/>
      <c r="HGN341" s="173"/>
      <c r="HGO341" s="173"/>
      <c r="HGP341" s="173"/>
      <c r="HGQ341" s="173"/>
      <c r="HGR341" s="173"/>
      <c r="HGS341" s="173"/>
      <c r="HGT341" s="173"/>
      <c r="HGU341" s="173"/>
      <c r="HGV341" s="125"/>
      <c r="HGW341" s="125"/>
      <c r="HGX341" s="134"/>
      <c r="HGY341" s="135"/>
      <c r="HGZ341" s="135"/>
      <c r="HHA341" s="135"/>
      <c r="HHB341" s="135"/>
      <c r="HHC341" s="173"/>
      <c r="HHD341" s="173"/>
      <c r="HHE341" s="173"/>
      <c r="HHF341" s="173"/>
      <c r="HHG341" s="173"/>
      <c r="HHH341" s="173"/>
      <c r="HHI341" s="173"/>
      <c r="HHJ341" s="173"/>
      <c r="HHK341" s="173"/>
      <c r="HHL341" s="173"/>
      <c r="HHM341" s="125"/>
      <c r="HHN341" s="125"/>
      <c r="HHO341" s="134"/>
      <c r="HHP341" s="135"/>
      <c r="HHQ341" s="135"/>
      <c r="HHR341" s="135"/>
      <c r="HHS341" s="135"/>
      <c r="HHT341" s="173"/>
      <c r="HHU341" s="173"/>
      <c r="HHV341" s="173"/>
      <c r="HHW341" s="173"/>
      <c r="HHX341" s="173"/>
      <c r="HHY341" s="173"/>
      <c r="HHZ341" s="173"/>
      <c r="HIA341" s="173"/>
      <c r="HIB341" s="173"/>
      <c r="HIC341" s="173"/>
      <c r="HID341" s="125"/>
      <c r="HIE341" s="125"/>
      <c r="HIF341" s="134"/>
      <c r="HIG341" s="135"/>
      <c r="HIH341" s="135"/>
      <c r="HII341" s="135"/>
      <c r="HIJ341" s="135"/>
      <c r="HIK341" s="173"/>
      <c r="HIL341" s="173"/>
      <c r="HIM341" s="173"/>
      <c r="HIN341" s="173"/>
      <c r="HIO341" s="173"/>
      <c r="HIP341" s="173"/>
      <c r="HIQ341" s="173"/>
      <c r="HIR341" s="173"/>
      <c r="HIS341" s="173"/>
      <c r="HIT341" s="173"/>
      <c r="HIU341" s="125"/>
      <c r="HIV341" s="125"/>
      <c r="HIW341" s="134"/>
      <c r="HIX341" s="135"/>
      <c r="HIY341" s="135"/>
      <c r="HIZ341" s="135"/>
      <c r="HJA341" s="135"/>
      <c r="HJB341" s="173"/>
      <c r="HJC341" s="173"/>
      <c r="HJD341" s="173"/>
      <c r="HJE341" s="173"/>
      <c r="HJF341" s="173"/>
      <c r="HJG341" s="173"/>
      <c r="HJH341" s="173"/>
      <c r="HJI341" s="173"/>
      <c r="HJJ341" s="173"/>
      <c r="HJK341" s="173"/>
      <c r="HJL341" s="125"/>
      <c r="HJM341" s="125"/>
      <c r="HJN341" s="134"/>
      <c r="HJO341" s="135"/>
      <c r="HJP341" s="135"/>
      <c r="HJQ341" s="135"/>
      <c r="HJR341" s="135"/>
      <c r="HJS341" s="173"/>
      <c r="HJT341" s="173"/>
      <c r="HJU341" s="173"/>
      <c r="HJV341" s="173"/>
      <c r="HJW341" s="173"/>
      <c r="HJX341" s="173"/>
      <c r="HJY341" s="173"/>
      <c r="HJZ341" s="173"/>
      <c r="HKA341" s="173"/>
      <c r="HKB341" s="173"/>
      <c r="HKC341" s="125"/>
      <c r="HKD341" s="125"/>
      <c r="HKE341" s="134"/>
      <c r="HKF341" s="135"/>
      <c r="HKG341" s="135"/>
      <c r="HKH341" s="135"/>
      <c r="HKI341" s="135"/>
      <c r="HKJ341" s="173"/>
      <c r="HKK341" s="173"/>
      <c r="HKL341" s="173"/>
      <c r="HKM341" s="173"/>
      <c r="HKN341" s="173"/>
      <c r="HKO341" s="173"/>
      <c r="HKP341" s="173"/>
      <c r="HKQ341" s="173"/>
      <c r="HKR341" s="173"/>
      <c r="HKS341" s="173"/>
      <c r="HKT341" s="125"/>
      <c r="HKU341" s="125"/>
      <c r="HKV341" s="134"/>
      <c r="HKW341" s="135"/>
      <c r="HKX341" s="135"/>
      <c r="HKY341" s="135"/>
      <c r="HKZ341" s="135"/>
      <c r="HLA341" s="173"/>
      <c r="HLB341" s="173"/>
      <c r="HLC341" s="173"/>
      <c r="HLD341" s="173"/>
      <c r="HLE341" s="173"/>
      <c r="HLF341" s="173"/>
      <c r="HLG341" s="173"/>
      <c r="HLH341" s="173"/>
      <c r="HLI341" s="173"/>
      <c r="HLJ341" s="173"/>
      <c r="HLK341" s="125"/>
      <c r="HLL341" s="125"/>
      <c r="HLM341" s="134"/>
      <c r="HLN341" s="135"/>
      <c r="HLO341" s="135"/>
      <c r="HLP341" s="135"/>
      <c r="HLQ341" s="135"/>
      <c r="HLR341" s="173"/>
      <c r="HLS341" s="173"/>
      <c r="HLT341" s="173"/>
      <c r="HLU341" s="173"/>
      <c r="HLV341" s="173"/>
      <c r="HLW341" s="173"/>
      <c r="HLX341" s="173"/>
      <c r="HLY341" s="173"/>
      <c r="HLZ341" s="173"/>
      <c r="HMA341" s="173"/>
      <c r="HMB341" s="125"/>
      <c r="HMC341" s="125"/>
      <c r="HMD341" s="134"/>
      <c r="HME341" s="135"/>
      <c r="HMF341" s="135"/>
      <c r="HMG341" s="135"/>
      <c r="HMH341" s="135"/>
      <c r="HMI341" s="173"/>
      <c r="HMJ341" s="173"/>
      <c r="HMK341" s="173"/>
      <c r="HML341" s="173"/>
      <c r="HMM341" s="173"/>
      <c r="HMN341" s="173"/>
      <c r="HMO341" s="173"/>
      <c r="HMP341" s="173"/>
      <c r="HMQ341" s="173"/>
      <c r="HMR341" s="173"/>
      <c r="HMS341" s="125"/>
      <c r="HMT341" s="125"/>
      <c r="HMU341" s="134"/>
      <c r="HMV341" s="135"/>
      <c r="HMW341" s="135"/>
      <c r="HMX341" s="135"/>
      <c r="HMY341" s="135"/>
      <c r="HMZ341" s="173"/>
      <c r="HNA341" s="173"/>
      <c r="HNB341" s="173"/>
      <c r="HNC341" s="173"/>
      <c r="HND341" s="173"/>
      <c r="HNE341" s="173"/>
      <c r="HNF341" s="173"/>
      <c r="HNG341" s="173"/>
      <c r="HNH341" s="173"/>
      <c r="HNI341" s="173"/>
      <c r="HNJ341" s="125"/>
      <c r="HNK341" s="125"/>
      <c r="HNL341" s="134"/>
      <c r="HNM341" s="135"/>
      <c r="HNN341" s="135"/>
      <c r="HNO341" s="135"/>
      <c r="HNP341" s="135"/>
      <c r="HNQ341" s="173"/>
      <c r="HNR341" s="173"/>
      <c r="HNS341" s="173"/>
      <c r="HNT341" s="173"/>
      <c r="HNU341" s="173"/>
      <c r="HNV341" s="173"/>
      <c r="HNW341" s="173"/>
      <c r="HNX341" s="173"/>
      <c r="HNY341" s="173"/>
      <c r="HNZ341" s="173"/>
      <c r="HOA341" s="125"/>
      <c r="HOB341" s="125"/>
      <c r="HOC341" s="134"/>
      <c r="HOD341" s="135"/>
      <c r="HOE341" s="135"/>
      <c r="HOF341" s="135"/>
      <c r="HOG341" s="135"/>
      <c r="HOH341" s="173"/>
      <c r="HOI341" s="173"/>
      <c r="HOJ341" s="173"/>
      <c r="HOK341" s="173"/>
      <c r="HOL341" s="173"/>
      <c r="HOM341" s="173"/>
      <c r="HON341" s="173"/>
      <c r="HOO341" s="173"/>
      <c r="HOP341" s="173"/>
      <c r="HOQ341" s="173"/>
      <c r="HOR341" s="125"/>
      <c r="HOS341" s="125"/>
      <c r="HOT341" s="134"/>
      <c r="HOU341" s="135"/>
      <c r="HOV341" s="135"/>
      <c r="HOW341" s="135"/>
      <c r="HOX341" s="135"/>
      <c r="HOY341" s="173"/>
      <c r="HOZ341" s="173"/>
      <c r="HPA341" s="173"/>
      <c r="HPB341" s="173"/>
      <c r="HPC341" s="173"/>
      <c r="HPD341" s="173"/>
      <c r="HPE341" s="173"/>
      <c r="HPF341" s="173"/>
      <c r="HPG341" s="173"/>
      <c r="HPH341" s="173"/>
      <c r="HPI341" s="125"/>
      <c r="HPJ341" s="125"/>
      <c r="HPK341" s="134"/>
      <c r="HPL341" s="135"/>
      <c r="HPM341" s="135"/>
      <c r="HPN341" s="135"/>
      <c r="HPO341" s="135"/>
      <c r="HPP341" s="173"/>
      <c r="HPQ341" s="173"/>
      <c r="HPR341" s="173"/>
      <c r="HPS341" s="173"/>
      <c r="HPT341" s="173"/>
      <c r="HPU341" s="173"/>
      <c r="HPV341" s="173"/>
      <c r="HPW341" s="173"/>
      <c r="HPX341" s="173"/>
      <c r="HPY341" s="173"/>
      <c r="HPZ341" s="125"/>
      <c r="HQA341" s="125"/>
      <c r="HQB341" s="134"/>
      <c r="HQC341" s="135"/>
      <c r="HQD341" s="135"/>
      <c r="HQE341" s="135"/>
      <c r="HQF341" s="135"/>
      <c r="HQG341" s="173"/>
      <c r="HQH341" s="173"/>
      <c r="HQI341" s="173"/>
      <c r="HQJ341" s="173"/>
      <c r="HQK341" s="173"/>
      <c r="HQL341" s="173"/>
      <c r="HQM341" s="173"/>
      <c r="HQN341" s="173"/>
      <c r="HQO341" s="173"/>
      <c r="HQP341" s="173"/>
      <c r="HQQ341" s="125"/>
      <c r="HQR341" s="125"/>
      <c r="HQS341" s="134"/>
      <c r="HQT341" s="135"/>
      <c r="HQU341" s="135"/>
      <c r="HQV341" s="135"/>
      <c r="HQW341" s="135"/>
      <c r="HQX341" s="173"/>
      <c r="HQY341" s="173"/>
      <c r="HQZ341" s="173"/>
      <c r="HRA341" s="173"/>
      <c r="HRB341" s="173"/>
      <c r="HRC341" s="173"/>
      <c r="HRD341" s="173"/>
      <c r="HRE341" s="173"/>
      <c r="HRF341" s="173"/>
      <c r="HRG341" s="173"/>
      <c r="HRH341" s="125"/>
      <c r="HRI341" s="125"/>
      <c r="HRJ341" s="134"/>
      <c r="HRK341" s="135"/>
      <c r="HRL341" s="135"/>
      <c r="HRM341" s="135"/>
      <c r="HRN341" s="135"/>
      <c r="HRO341" s="173"/>
      <c r="HRP341" s="173"/>
      <c r="HRQ341" s="173"/>
      <c r="HRR341" s="173"/>
      <c r="HRS341" s="173"/>
      <c r="HRT341" s="173"/>
      <c r="HRU341" s="173"/>
      <c r="HRV341" s="173"/>
      <c r="HRW341" s="173"/>
      <c r="HRX341" s="173"/>
      <c r="HRY341" s="125"/>
      <c r="HRZ341" s="125"/>
      <c r="HSA341" s="134"/>
      <c r="HSB341" s="135"/>
      <c r="HSC341" s="135"/>
      <c r="HSD341" s="135"/>
      <c r="HSE341" s="135"/>
      <c r="HSF341" s="173"/>
      <c r="HSG341" s="173"/>
      <c r="HSH341" s="173"/>
      <c r="HSI341" s="173"/>
      <c r="HSJ341" s="173"/>
      <c r="HSK341" s="173"/>
      <c r="HSL341" s="173"/>
      <c r="HSM341" s="173"/>
      <c r="HSN341" s="173"/>
      <c r="HSO341" s="173"/>
      <c r="HSP341" s="125"/>
      <c r="HSQ341" s="125"/>
      <c r="HSR341" s="134"/>
      <c r="HSS341" s="135"/>
      <c r="HST341" s="135"/>
      <c r="HSU341" s="135"/>
      <c r="HSV341" s="135"/>
      <c r="HSW341" s="173"/>
      <c r="HSX341" s="173"/>
      <c r="HSY341" s="173"/>
      <c r="HSZ341" s="173"/>
      <c r="HTA341" s="173"/>
      <c r="HTB341" s="173"/>
      <c r="HTC341" s="173"/>
      <c r="HTD341" s="173"/>
      <c r="HTE341" s="173"/>
      <c r="HTF341" s="173"/>
      <c r="HTG341" s="125"/>
      <c r="HTH341" s="125"/>
      <c r="HTI341" s="134"/>
      <c r="HTJ341" s="135"/>
      <c r="HTK341" s="135"/>
      <c r="HTL341" s="135"/>
      <c r="HTM341" s="135"/>
      <c r="HTN341" s="173"/>
      <c r="HTO341" s="173"/>
      <c r="HTP341" s="173"/>
      <c r="HTQ341" s="173"/>
      <c r="HTR341" s="173"/>
      <c r="HTS341" s="173"/>
      <c r="HTT341" s="173"/>
      <c r="HTU341" s="173"/>
      <c r="HTV341" s="173"/>
      <c r="HTW341" s="173"/>
      <c r="HTX341" s="125"/>
      <c r="HTY341" s="125"/>
      <c r="HTZ341" s="134"/>
      <c r="HUA341" s="135"/>
      <c r="HUB341" s="135"/>
      <c r="HUC341" s="135"/>
      <c r="HUD341" s="135"/>
      <c r="HUE341" s="173"/>
      <c r="HUF341" s="173"/>
      <c r="HUG341" s="173"/>
      <c r="HUH341" s="173"/>
      <c r="HUI341" s="173"/>
      <c r="HUJ341" s="173"/>
      <c r="HUK341" s="173"/>
      <c r="HUL341" s="173"/>
      <c r="HUM341" s="173"/>
      <c r="HUN341" s="173"/>
      <c r="HUO341" s="125"/>
      <c r="HUP341" s="125"/>
      <c r="HUQ341" s="134"/>
      <c r="HUR341" s="135"/>
      <c r="HUS341" s="135"/>
      <c r="HUT341" s="135"/>
      <c r="HUU341" s="135"/>
      <c r="HUV341" s="173"/>
      <c r="HUW341" s="173"/>
      <c r="HUX341" s="173"/>
      <c r="HUY341" s="173"/>
      <c r="HUZ341" s="173"/>
      <c r="HVA341" s="173"/>
      <c r="HVB341" s="173"/>
      <c r="HVC341" s="173"/>
      <c r="HVD341" s="173"/>
      <c r="HVE341" s="173"/>
      <c r="HVF341" s="125"/>
      <c r="HVG341" s="125"/>
      <c r="HVH341" s="134"/>
      <c r="HVI341" s="135"/>
      <c r="HVJ341" s="135"/>
      <c r="HVK341" s="135"/>
      <c r="HVL341" s="135"/>
      <c r="HVM341" s="173"/>
      <c r="HVN341" s="173"/>
      <c r="HVO341" s="173"/>
      <c r="HVP341" s="173"/>
      <c r="HVQ341" s="173"/>
      <c r="HVR341" s="173"/>
      <c r="HVS341" s="173"/>
      <c r="HVT341" s="173"/>
      <c r="HVU341" s="173"/>
      <c r="HVV341" s="173"/>
      <c r="HVW341" s="125"/>
      <c r="HVX341" s="125"/>
      <c r="HVY341" s="134"/>
      <c r="HVZ341" s="135"/>
      <c r="HWA341" s="135"/>
      <c r="HWB341" s="135"/>
      <c r="HWC341" s="135"/>
      <c r="HWD341" s="173"/>
      <c r="HWE341" s="173"/>
      <c r="HWF341" s="173"/>
      <c r="HWG341" s="173"/>
      <c r="HWH341" s="173"/>
      <c r="HWI341" s="173"/>
      <c r="HWJ341" s="173"/>
      <c r="HWK341" s="173"/>
      <c r="HWL341" s="173"/>
      <c r="HWM341" s="173"/>
      <c r="HWN341" s="125"/>
      <c r="HWO341" s="125"/>
      <c r="HWP341" s="134"/>
      <c r="HWQ341" s="135"/>
      <c r="HWR341" s="135"/>
      <c r="HWS341" s="135"/>
      <c r="HWT341" s="135"/>
      <c r="HWU341" s="173"/>
      <c r="HWV341" s="173"/>
      <c r="HWW341" s="173"/>
      <c r="HWX341" s="173"/>
      <c r="HWY341" s="173"/>
      <c r="HWZ341" s="173"/>
      <c r="HXA341" s="173"/>
      <c r="HXB341" s="173"/>
      <c r="HXC341" s="173"/>
      <c r="HXD341" s="173"/>
      <c r="HXE341" s="125"/>
      <c r="HXF341" s="125"/>
      <c r="HXG341" s="134"/>
      <c r="HXH341" s="135"/>
      <c r="HXI341" s="135"/>
      <c r="HXJ341" s="135"/>
      <c r="HXK341" s="135"/>
      <c r="HXL341" s="173"/>
      <c r="HXM341" s="173"/>
      <c r="HXN341" s="173"/>
      <c r="HXO341" s="173"/>
      <c r="HXP341" s="173"/>
      <c r="HXQ341" s="173"/>
      <c r="HXR341" s="173"/>
      <c r="HXS341" s="173"/>
      <c r="HXT341" s="173"/>
      <c r="HXU341" s="173"/>
      <c r="HXV341" s="125"/>
      <c r="HXW341" s="125"/>
      <c r="HXX341" s="134"/>
      <c r="HXY341" s="135"/>
      <c r="HXZ341" s="135"/>
      <c r="HYA341" s="135"/>
      <c r="HYB341" s="135"/>
      <c r="HYC341" s="173"/>
      <c r="HYD341" s="173"/>
      <c r="HYE341" s="173"/>
      <c r="HYF341" s="173"/>
      <c r="HYG341" s="173"/>
      <c r="HYH341" s="173"/>
      <c r="HYI341" s="173"/>
      <c r="HYJ341" s="173"/>
      <c r="HYK341" s="173"/>
      <c r="HYL341" s="173"/>
      <c r="HYM341" s="125"/>
      <c r="HYN341" s="125"/>
      <c r="HYO341" s="134"/>
      <c r="HYP341" s="135"/>
      <c r="HYQ341" s="135"/>
      <c r="HYR341" s="135"/>
      <c r="HYS341" s="135"/>
      <c r="HYT341" s="173"/>
      <c r="HYU341" s="173"/>
      <c r="HYV341" s="173"/>
      <c r="HYW341" s="173"/>
      <c r="HYX341" s="173"/>
      <c r="HYY341" s="173"/>
      <c r="HYZ341" s="173"/>
      <c r="HZA341" s="173"/>
      <c r="HZB341" s="173"/>
      <c r="HZC341" s="173"/>
      <c r="HZD341" s="125"/>
      <c r="HZE341" s="125"/>
      <c r="HZF341" s="134"/>
      <c r="HZG341" s="135"/>
      <c r="HZH341" s="135"/>
      <c r="HZI341" s="135"/>
      <c r="HZJ341" s="135"/>
      <c r="HZK341" s="173"/>
      <c r="HZL341" s="173"/>
      <c r="HZM341" s="173"/>
      <c r="HZN341" s="173"/>
      <c r="HZO341" s="173"/>
      <c r="HZP341" s="173"/>
      <c r="HZQ341" s="173"/>
      <c r="HZR341" s="173"/>
      <c r="HZS341" s="173"/>
      <c r="HZT341" s="173"/>
      <c r="HZU341" s="125"/>
      <c r="HZV341" s="125"/>
      <c r="HZW341" s="134"/>
      <c r="HZX341" s="135"/>
      <c r="HZY341" s="135"/>
      <c r="HZZ341" s="135"/>
      <c r="IAA341" s="135"/>
      <c r="IAB341" s="173"/>
      <c r="IAC341" s="173"/>
      <c r="IAD341" s="173"/>
      <c r="IAE341" s="173"/>
      <c r="IAF341" s="173"/>
      <c r="IAG341" s="173"/>
      <c r="IAH341" s="173"/>
      <c r="IAI341" s="173"/>
      <c r="IAJ341" s="173"/>
      <c r="IAK341" s="173"/>
      <c r="IAL341" s="125"/>
      <c r="IAM341" s="125"/>
      <c r="IAN341" s="134"/>
      <c r="IAO341" s="135"/>
      <c r="IAP341" s="135"/>
      <c r="IAQ341" s="135"/>
      <c r="IAR341" s="135"/>
      <c r="IAS341" s="173"/>
      <c r="IAT341" s="173"/>
      <c r="IAU341" s="173"/>
      <c r="IAV341" s="173"/>
      <c r="IAW341" s="173"/>
      <c r="IAX341" s="173"/>
      <c r="IAY341" s="173"/>
      <c r="IAZ341" s="173"/>
      <c r="IBA341" s="173"/>
      <c r="IBB341" s="173"/>
      <c r="IBC341" s="125"/>
      <c r="IBD341" s="125"/>
      <c r="IBE341" s="134"/>
      <c r="IBF341" s="135"/>
      <c r="IBG341" s="135"/>
      <c r="IBH341" s="135"/>
      <c r="IBI341" s="135"/>
      <c r="IBJ341" s="173"/>
      <c r="IBK341" s="173"/>
      <c r="IBL341" s="173"/>
      <c r="IBM341" s="173"/>
      <c r="IBN341" s="173"/>
      <c r="IBO341" s="173"/>
      <c r="IBP341" s="173"/>
      <c r="IBQ341" s="173"/>
      <c r="IBR341" s="173"/>
      <c r="IBS341" s="173"/>
      <c r="IBT341" s="125"/>
      <c r="IBU341" s="125"/>
      <c r="IBV341" s="134"/>
      <c r="IBW341" s="135"/>
      <c r="IBX341" s="135"/>
      <c r="IBY341" s="135"/>
      <c r="IBZ341" s="135"/>
      <c r="ICA341" s="173"/>
      <c r="ICB341" s="173"/>
      <c r="ICC341" s="173"/>
      <c r="ICD341" s="173"/>
      <c r="ICE341" s="173"/>
      <c r="ICF341" s="173"/>
      <c r="ICG341" s="173"/>
      <c r="ICH341" s="173"/>
      <c r="ICI341" s="173"/>
      <c r="ICJ341" s="173"/>
      <c r="ICK341" s="125"/>
      <c r="ICL341" s="125"/>
      <c r="ICM341" s="134"/>
      <c r="ICN341" s="135"/>
      <c r="ICO341" s="135"/>
      <c r="ICP341" s="135"/>
      <c r="ICQ341" s="135"/>
      <c r="ICR341" s="173"/>
      <c r="ICS341" s="173"/>
      <c r="ICT341" s="173"/>
      <c r="ICU341" s="173"/>
      <c r="ICV341" s="173"/>
      <c r="ICW341" s="173"/>
      <c r="ICX341" s="173"/>
      <c r="ICY341" s="173"/>
      <c r="ICZ341" s="173"/>
      <c r="IDA341" s="173"/>
      <c r="IDB341" s="125"/>
      <c r="IDC341" s="125"/>
      <c r="IDD341" s="134"/>
      <c r="IDE341" s="135"/>
      <c r="IDF341" s="135"/>
      <c r="IDG341" s="135"/>
      <c r="IDH341" s="135"/>
      <c r="IDI341" s="173"/>
      <c r="IDJ341" s="173"/>
      <c r="IDK341" s="173"/>
      <c r="IDL341" s="173"/>
      <c r="IDM341" s="173"/>
      <c r="IDN341" s="173"/>
      <c r="IDO341" s="173"/>
      <c r="IDP341" s="173"/>
      <c r="IDQ341" s="173"/>
      <c r="IDR341" s="173"/>
      <c r="IDS341" s="125"/>
      <c r="IDT341" s="125"/>
      <c r="IDU341" s="134"/>
      <c r="IDV341" s="135"/>
      <c r="IDW341" s="135"/>
      <c r="IDX341" s="135"/>
      <c r="IDY341" s="135"/>
      <c r="IDZ341" s="173"/>
      <c r="IEA341" s="173"/>
      <c r="IEB341" s="173"/>
      <c r="IEC341" s="173"/>
      <c r="IED341" s="173"/>
      <c r="IEE341" s="173"/>
      <c r="IEF341" s="173"/>
      <c r="IEG341" s="173"/>
      <c r="IEH341" s="173"/>
      <c r="IEI341" s="173"/>
      <c r="IEJ341" s="125"/>
      <c r="IEK341" s="125"/>
      <c r="IEL341" s="134"/>
      <c r="IEM341" s="135"/>
      <c r="IEN341" s="135"/>
      <c r="IEO341" s="135"/>
      <c r="IEP341" s="135"/>
      <c r="IEQ341" s="173"/>
      <c r="IER341" s="173"/>
      <c r="IES341" s="173"/>
      <c r="IET341" s="173"/>
      <c r="IEU341" s="173"/>
      <c r="IEV341" s="173"/>
      <c r="IEW341" s="173"/>
      <c r="IEX341" s="173"/>
      <c r="IEY341" s="173"/>
      <c r="IEZ341" s="173"/>
      <c r="IFA341" s="125"/>
      <c r="IFB341" s="125"/>
      <c r="IFC341" s="134"/>
      <c r="IFD341" s="135"/>
      <c r="IFE341" s="135"/>
      <c r="IFF341" s="135"/>
      <c r="IFG341" s="135"/>
      <c r="IFH341" s="173"/>
      <c r="IFI341" s="173"/>
      <c r="IFJ341" s="173"/>
      <c r="IFK341" s="173"/>
      <c r="IFL341" s="173"/>
      <c r="IFM341" s="173"/>
      <c r="IFN341" s="173"/>
      <c r="IFO341" s="173"/>
      <c r="IFP341" s="173"/>
      <c r="IFQ341" s="173"/>
      <c r="IFR341" s="125"/>
      <c r="IFS341" s="125"/>
      <c r="IFT341" s="134"/>
      <c r="IFU341" s="135"/>
      <c r="IFV341" s="135"/>
      <c r="IFW341" s="135"/>
      <c r="IFX341" s="135"/>
      <c r="IFY341" s="173"/>
      <c r="IFZ341" s="173"/>
      <c r="IGA341" s="173"/>
      <c r="IGB341" s="173"/>
      <c r="IGC341" s="173"/>
      <c r="IGD341" s="173"/>
      <c r="IGE341" s="173"/>
      <c r="IGF341" s="173"/>
      <c r="IGG341" s="173"/>
      <c r="IGH341" s="173"/>
      <c r="IGI341" s="125"/>
      <c r="IGJ341" s="125"/>
      <c r="IGK341" s="134"/>
      <c r="IGL341" s="135"/>
      <c r="IGM341" s="135"/>
      <c r="IGN341" s="135"/>
      <c r="IGO341" s="135"/>
      <c r="IGP341" s="173"/>
      <c r="IGQ341" s="173"/>
      <c r="IGR341" s="173"/>
      <c r="IGS341" s="173"/>
      <c r="IGT341" s="173"/>
      <c r="IGU341" s="173"/>
      <c r="IGV341" s="173"/>
      <c r="IGW341" s="173"/>
      <c r="IGX341" s="173"/>
      <c r="IGY341" s="173"/>
      <c r="IGZ341" s="125"/>
      <c r="IHA341" s="125"/>
      <c r="IHB341" s="134"/>
      <c r="IHC341" s="135"/>
      <c r="IHD341" s="135"/>
      <c r="IHE341" s="135"/>
      <c r="IHF341" s="135"/>
      <c r="IHG341" s="173"/>
      <c r="IHH341" s="173"/>
      <c r="IHI341" s="173"/>
      <c r="IHJ341" s="173"/>
      <c r="IHK341" s="173"/>
      <c r="IHL341" s="173"/>
      <c r="IHM341" s="173"/>
      <c r="IHN341" s="173"/>
      <c r="IHO341" s="173"/>
      <c r="IHP341" s="173"/>
      <c r="IHQ341" s="125"/>
      <c r="IHR341" s="125"/>
      <c r="IHS341" s="134"/>
      <c r="IHT341" s="135"/>
      <c r="IHU341" s="135"/>
      <c r="IHV341" s="135"/>
      <c r="IHW341" s="135"/>
      <c r="IHX341" s="173"/>
      <c r="IHY341" s="173"/>
      <c r="IHZ341" s="173"/>
      <c r="IIA341" s="173"/>
      <c r="IIB341" s="173"/>
      <c r="IIC341" s="173"/>
      <c r="IID341" s="173"/>
      <c r="IIE341" s="173"/>
      <c r="IIF341" s="173"/>
      <c r="IIG341" s="173"/>
      <c r="IIH341" s="125"/>
      <c r="III341" s="125"/>
      <c r="IIJ341" s="134"/>
      <c r="IIK341" s="135"/>
      <c r="IIL341" s="135"/>
      <c r="IIM341" s="135"/>
      <c r="IIN341" s="135"/>
      <c r="IIO341" s="173"/>
      <c r="IIP341" s="173"/>
      <c r="IIQ341" s="173"/>
      <c r="IIR341" s="173"/>
      <c r="IIS341" s="173"/>
      <c r="IIT341" s="173"/>
      <c r="IIU341" s="173"/>
      <c r="IIV341" s="173"/>
      <c r="IIW341" s="173"/>
      <c r="IIX341" s="173"/>
      <c r="IIY341" s="125"/>
      <c r="IIZ341" s="125"/>
      <c r="IJA341" s="134"/>
      <c r="IJB341" s="135"/>
      <c r="IJC341" s="135"/>
      <c r="IJD341" s="135"/>
      <c r="IJE341" s="135"/>
      <c r="IJF341" s="173"/>
      <c r="IJG341" s="173"/>
      <c r="IJH341" s="173"/>
      <c r="IJI341" s="173"/>
      <c r="IJJ341" s="173"/>
      <c r="IJK341" s="173"/>
      <c r="IJL341" s="173"/>
      <c r="IJM341" s="173"/>
      <c r="IJN341" s="173"/>
      <c r="IJO341" s="173"/>
      <c r="IJP341" s="125"/>
      <c r="IJQ341" s="125"/>
      <c r="IJR341" s="134"/>
      <c r="IJS341" s="135"/>
      <c r="IJT341" s="135"/>
      <c r="IJU341" s="135"/>
      <c r="IJV341" s="135"/>
      <c r="IJW341" s="173"/>
      <c r="IJX341" s="173"/>
      <c r="IJY341" s="173"/>
      <c r="IJZ341" s="173"/>
      <c r="IKA341" s="173"/>
      <c r="IKB341" s="173"/>
      <c r="IKC341" s="173"/>
      <c r="IKD341" s="173"/>
      <c r="IKE341" s="173"/>
      <c r="IKF341" s="173"/>
      <c r="IKG341" s="125"/>
      <c r="IKH341" s="125"/>
      <c r="IKI341" s="134"/>
      <c r="IKJ341" s="135"/>
      <c r="IKK341" s="135"/>
      <c r="IKL341" s="135"/>
      <c r="IKM341" s="135"/>
      <c r="IKN341" s="173"/>
      <c r="IKO341" s="173"/>
      <c r="IKP341" s="173"/>
      <c r="IKQ341" s="173"/>
      <c r="IKR341" s="173"/>
      <c r="IKS341" s="173"/>
      <c r="IKT341" s="173"/>
      <c r="IKU341" s="173"/>
      <c r="IKV341" s="173"/>
      <c r="IKW341" s="173"/>
      <c r="IKX341" s="125"/>
      <c r="IKY341" s="125"/>
      <c r="IKZ341" s="134"/>
      <c r="ILA341" s="135"/>
      <c r="ILB341" s="135"/>
      <c r="ILC341" s="135"/>
      <c r="ILD341" s="135"/>
      <c r="ILE341" s="173"/>
      <c r="ILF341" s="173"/>
      <c r="ILG341" s="173"/>
      <c r="ILH341" s="173"/>
      <c r="ILI341" s="173"/>
      <c r="ILJ341" s="173"/>
      <c r="ILK341" s="173"/>
      <c r="ILL341" s="173"/>
      <c r="ILM341" s="173"/>
      <c r="ILN341" s="173"/>
      <c r="ILO341" s="125"/>
      <c r="ILP341" s="125"/>
      <c r="ILQ341" s="134"/>
      <c r="ILR341" s="135"/>
      <c r="ILS341" s="135"/>
      <c r="ILT341" s="135"/>
      <c r="ILU341" s="135"/>
      <c r="ILV341" s="173"/>
      <c r="ILW341" s="173"/>
      <c r="ILX341" s="173"/>
      <c r="ILY341" s="173"/>
      <c r="ILZ341" s="173"/>
      <c r="IMA341" s="173"/>
      <c r="IMB341" s="173"/>
      <c r="IMC341" s="173"/>
      <c r="IMD341" s="173"/>
      <c r="IME341" s="173"/>
      <c r="IMF341" s="125"/>
      <c r="IMG341" s="125"/>
      <c r="IMH341" s="134"/>
      <c r="IMI341" s="135"/>
      <c r="IMJ341" s="135"/>
      <c r="IMK341" s="135"/>
      <c r="IML341" s="135"/>
      <c r="IMM341" s="173"/>
      <c r="IMN341" s="173"/>
      <c r="IMO341" s="173"/>
      <c r="IMP341" s="173"/>
      <c r="IMQ341" s="173"/>
      <c r="IMR341" s="173"/>
      <c r="IMS341" s="173"/>
      <c r="IMT341" s="173"/>
      <c r="IMU341" s="173"/>
      <c r="IMV341" s="173"/>
      <c r="IMW341" s="125"/>
      <c r="IMX341" s="125"/>
      <c r="IMY341" s="134"/>
      <c r="IMZ341" s="135"/>
      <c r="INA341" s="135"/>
      <c r="INB341" s="135"/>
      <c r="INC341" s="135"/>
      <c r="IND341" s="173"/>
      <c r="INE341" s="173"/>
      <c r="INF341" s="173"/>
      <c r="ING341" s="173"/>
      <c r="INH341" s="173"/>
      <c r="INI341" s="173"/>
      <c r="INJ341" s="173"/>
      <c r="INK341" s="173"/>
      <c r="INL341" s="173"/>
      <c r="INM341" s="173"/>
      <c r="INN341" s="125"/>
      <c r="INO341" s="125"/>
      <c r="INP341" s="134"/>
      <c r="INQ341" s="135"/>
      <c r="INR341" s="135"/>
      <c r="INS341" s="135"/>
      <c r="INT341" s="135"/>
      <c r="INU341" s="173"/>
      <c r="INV341" s="173"/>
      <c r="INW341" s="173"/>
      <c r="INX341" s="173"/>
      <c r="INY341" s="173"/>
      <c r="INZ341" s="173"/>
      <c r="IOA341" s="173"/>
      <c r="IOB341" s="173"/>
      <c r="IOC341" s="173"/>
      <c r="IOD341" s="173"/>
      <c r="IOE341" s="125"/>
      <c r="IOF341" s="125"/>
      <c r="IOG341" s="134"/>
      <c r="IOH341" s="135"/>
      <c r="IOI341" s="135"/>
      <c r="IOJ341" s="135"/>
      <c r="IOK341" s="135"/>
      <c r="IOL341" s="173"/>
      <c r="IOM341" s="173"/>
      <c r="ION341" s="173"/>
      <c r="IOO341" s="173"/>
      <c r="IOP341" s="173"/>
      <c r="IOQ341" s="173"/>
      <c r="IOR341" s="173"/>
      <c r="IOS341" s="173"/>
      <c r="IOT341" s="173"/>
      <c r="IOU341" s="173"/>
      <c r="IOV341" s="125"/>
      <c r="IOW341" s="125"/>
      <c r="IOX341" s="134"/>
      <c r="IOY341" s="135"/>
      <c r="IOZ341" s="135"/>
      <c r="IPA341" s="135"/>
      <c r="IPB341" s="135"/>
      <c r="IPC341" s="173"/>
      <c r="IPD341" s="173"/>
      <c r="IPE341" s="173"/>
      <c r="IPF341" s="173"/>
      <c r="IPG341" s="173"/>
      <c r="IPH341" s="173"/>
      <c r="IPI341" s="173"/>
      <c r="IPJ341" s="173"/>
      <c r="IPK341" s="173"/>
      <c r="IPL341" s="173"/>
      <c r="IPM341" s="125"/>
      <c r="IPN341" s="125"/>
      <c r="IPO341" s="134"/>
      <c r="IPP341" s="135"/>
      <c r="IPQ341" s="135"/>
      <c r="IPR341" s="135"/>
      <c r="IPS341" s="135"/>
      <c r="IPT341" s="173"/>
      <c r="IPU341" s="173"/>
      <c r="IPV341" s="173"/>
      <c r="IPW341" s="173"/>
      <c r="IPX341" s="173"/>
      <c r="IPY341" s="173"/>
      <c r="IPZ341" s="173"/>
      <c r="IQA341" s="173"/>
      <c r="IQB341" s="173"/>
      <c r="IQC341" s="173"/>
      <c r="IQD341" s="125"/>
      <c r="IQE341" s="125"/>
      <c r="IQF341" s="134"/>
      <c r="IQG341" s="135"/>
      <c r="IQH341" s="135"/>
      <c r="IQI341" s="135"/>
      <c r="IQJ341" s="135"/>
      <c r="IQK341" s="173"/>
      <c r="IQL341" s="173"/>
      <c r="IQM341" s="173"/>
      <c r="IQN341" s="173"/>
      <c r="IQO341" s="173"/>
      <c r="IQP341" s="173"/>
      <c r="IQQ341" s="173"/>
      <c r="IQR341" s="173"/>
      <c r="IQS341" s="173"/>
      <c r="IQT341" s="173"/>
      <c r="IQU341" s="125"/>
      <c r="IQV341" s="125"/>
      <c r="IQW341" s="134"/>
      <c r="IQX341" s="135"/>
      <c r="IQY341" s="135"/>
      <c r="IQZ341" s="135"/>
      <c r="IRA341" s="135"/>
      <c r="IRB341" s="173"/>
      <c r="IRC341" s="173"/>
      <c r="IRD341" s="173"/>
      <c r="IRE341" s="173"/>
      <c r="IRF341" s="173"/>
      <c r="IRG341" s="173"/>
      <c r="IRH341" s="173"/>
      <c r="IRI341" s="173"/>
      <c r="IRJ341" s="173"/>
      <c r="IRK341" s="173"/>
      <c r="IRL341" s="125"/>
      <c r="IRM341" s="125"/>
      <c r="IRN341" s="134"/>
      <c r="IRO341" s="135"/>
      <c r="IRP341" s="135"/>
      <c r="IRQ341" s="135"/>
      <c r="IRR341" s="135"/>
      <c r="IRS341" s="173"/>
      <c r="IRT341" s="173"/>
      <c r="IRU341" s="173"/>
      <c r="IRV341" s="173"/>
      <c r="IRW341" s="173"/>
      <c r="IRX341" s="173"/>
      <c r="IRY341" s="173"/>
      <c r="IRZ341" s="173"/>
      <c r="ISA341" s="173"/>
      <c r="ISB341" s="173"/>
      <c r="ISC341" s="125"/>
      <c r="ISD341" s="125"/>
      <c r="ISE341" s="134"/>
      <c r="ISF341" s="135"/>
      <c r="ISG341" s="135"/>
      <c r="ISH341" s="135"/>
      <c r="ISI341" s="135"/>
      <c r="ISJ341" s="173"/>
      <c r="ISK341" s="173"/>
      <c r="ISL341" s="173"/>
      <c r="ISM341" s="173"/>
      <c r="ISN341" s="173"/>
      <c r="ISO341" s="173"/>
      <c r="ISP341" s="173"/>
      <c r="ISQ341" s="173"/>
      <c r="ISR341" s="173"/>
      <c r="ISS341" s="173"/>
      <c r="IST341" s="125"/>
      <c r="ISU341" s="125"/>
      <c r="ISV341" s="134"/>
      <c r="ISW341" s="135"/>
      <c r="ISX341" s="135"/>
      <c r="ISY341" s="135"/>
      <c r="ISZ341" s="135"/>
      <c r="ITA341" s="173"/>
      <c r="ITB341" s="173"/>
      <c r="ITC341" s="173"/>
      <c r="ITD341" s="173"/>
      <c r="ITE341" s="173"/>
      <c r="ITF341" s="173"/>
      <c r="ITG341" s="173"/>
      <c r="ITH341" s="173"/>
      <c r="ITI341" s="173"/>
      <c r="ITJ341" s="173"/>
      <c r="ITK341" s="125"/>
      <c r="ITL341" s="125"/>
      <c r="ITM341" s="134"/>
      <c r="ITN341" s="135"/>
      <c r="ITO341" s="135"/>
      <c r="ITP341" s="135"/>
      <c r="ITQ341" s="135"/>
      <c r="ITR341" s="173"/>
      <c r="ITS341" s="173"/>
      <c r="ITT341" s="173"/>
      <c r="ITU341" s="173"/>
      <c r="ITV341" s="173"/>
      <c r="ITW341" s="173"/>
      <c r="ITX341" s="173"/>
      <c r="ITY341" s="173"/>
      <c r="ITZ341" s="173"/>
      <c r="IUA341" s="173"/>
      <c r="IUB341" s="125"/>
      <c r="IUC341" s="125"/>
      <c r="IUD341" s="134"/>
      <c r="IUE341" s="135"/>
      <c r="IUF341" s="135"/>
      <c r="IUG341" s="135"/>
      <c r="IUH341" s="135"/>
      <c r="IUI341" s="173"/>
      <c r="IUJ341" s="173"/>
      <c r="IUK341" s="173"/>
      <c r="IUL341" s="173"/>
      <c r="IUM341" s="173"/>
      <c r="IUN341" s="173"/>
      <c r="IUO341" s="173"/>
      <c r="IUP341" s="173"/>
      <c r="IUQ341" s="173"/>
      <c r="IUR341" s="173"/>
      <c r="IUS341" s="125"/>
      <c r="IUT341" s="125"/>
      <c r="IUU341" s="134"/>
      <c r="IUV341" s="135"/>
      <c r="IUW341" s="135"/>
      <c r="IUX341" s="135"/>
      <c r="IUY341" s="135"/>
      <c r="IUZ341" s="173"/>
      <c r="IVA341" s="173"/>
      <c r="IVB341" s="173"/>
      <c r="IVC341" s="173"/>
      <c r="IVD341" s="173"/>
      <c r="IVE341" s="173"/>
      <c r="IVF341" s="173"/>
      <c r="IVG341" s="173"/>
      <c r="IVH341" s="173"/>
      <c r="IVI341" s="173"/>
      <c r="IVJ341" s="125"/>
      <c r="IVK341" s="125"/>
      <c r="IVL341" s="134"/>
      <c r="IVM341" s="135"/>
      <c r="IVN341" s="135"/>
      <c r="IVO341" s="135"/>
      <c r="IVP341" s="135"/>
      <c r="IVQ341" s="173"/>
      <c r="IVR341" s="173"/>
      <c r="IVS341" s="173"/>
      <c r="IVT341" s="173"/>
      <c r="IVU341" s="173"/>
      <c r="IVV341" s="173"/>
      <c r="IVW341" s="173"/>
      <c r="IVX341" s="173"/>
      <c r="IVY341" s="173"/>
      <c r="IVZ341" s="173"/>
      <c r="IWA341" s="125"/>
      <c r="IWB341" s="125"/>
      <c r="IWC341" s="134"/>
      <c r="IWD341" s="135"/>
      <c r="IWE341" s="135"/>
      <c r="IWF341" s="135"/>
      <c r="IWG341" s="135"/>
      <c r="IWH341" s="173"/>
      <c r="IWI341" s="173"/>
      <c r="IWJ341" s="173"/>
      <c r="IWK341" s="173"/>
      <c r="IWL341" s="173"/>
      <c r="IWM341" s="173"/>
      <c r="IWN341" s="173"/>
      <c r="IWO341" s="173"/>
      <c r="IWP341" s="173"/>
      <c r="IWQ341" s="173"/>
      <c r="IWR341" s="125"/>
      <c r="IWS341" s="125"/>
      <c r="IWT341" s="134"/>
      <c r="IWU341" s="135"/>
      <c r="IWV341" s="135"/>
      <c r="IWW341" s="135"/>
      <c r="IWX341" s="135"/>
      <c r="IWY341" s="173"/>
      <c r="IWZ341" s="173"/>
      <c r="IXA341" s="173"/>
      <c r="IXB341" s="173"/>
      <c r="IXC341" s="173"/>
      <c r="IXD341" s="173"/>
      <c r="IXE341" s="173"/>
      <c r="IXF341" s="173"/>
      <c r="IXG341" s="173"/>
      <c r="IXH341" s="173"/>
      <c r="IXI341" s="125"/>
      <c r="IXJ341" s="125"/>
      <c r="IXK341" s="134"/>
      <c r="IXL341" s="135"/>
      <c r="IXM341" s="135"/>
      <c r="IXN341" s="135"/>
      <c r="IXO341" s="135"/>
      <c r="IXP341" s="173"/>
      <c r="IXQ341" s="173"/>
      <c r="IXR341" s="173"/>
      <c r="IXS341" s="173"/>
      <c r="IXT341" s="173"/>
      <c r="IXU341" s="173"/>
      <c r="IXV341" s="173"/>
      <c r="IXW341" s="173"/>
      <c r="IXX341" s="173"/>
      <c r="IXY341" s="173"/>
      <c r="IXZ341" s="125"/>
      <c r="IYA341" s="125"/>
      <c r="IYB341" s="134"/>
      <c r="IYC341" s="135"/>
      <c r="IYD341" s="135"/>
      <c r="IYE341" s="135"/>
      <c r="IYF341" s="135"/>
      <c r="IYG341" s="173"/>
      <c r="IYH341" s="173"/>
      <c r="IYI341" s="173"/>
      <c r="IYJ341" s="173"/>
      <c r="IYK341" s="173"/>
      <c r="IYL341" s="173"/>
      <c r="IYM341" s="173"/>
      <c r="IYN341" s="173"/>
      <c r="IYO341" s="173"/>
      <c r="IYP341" s="173"/>
      <c r="IYQ341" s="125"/>
      <c r="IYR341" s="125"/>
      <c r="IYS341" s="134"/>
      <c r="IYT341" s="135"/>
      <c r="IYU341" s="135"/>
      <c r="IYV341" s="135"/>
      <c r="IYW341" s="135"/>
      <c r="IYX341" s="173"/>
      <c r="IYY341" s="173"/>
      <c r="IYZ341" s="173"/>
      <c r="IZA341" s="173"/>
      <c r="IZB341" s="173"/>
      <c r="IZC341" s="173"/>
      <c r="IZD341" s="173"/>
      <c r="IZE341" s="173"/>
      <c r="IZF341" s="173"/>
      <c r="IZG341" s="173"/>
      <c r="IZH341" s="125"/>
      <c r="IZI341" s="125"/>
      <c r="IZJ341" s="134"/>
      <c r="IZK341" s="135"/>
      <c r="IZL341" s="135"/>
      <c r="IZM341" s="135"/>
      <c r="IZN341" s="135"/>
      <c r="IZO341" s="173"/>
      <c r="IZP341" s="173"/>
      <c r="IZQ341" s="173"/>
      <c r="IZR341" s="173"/>
      <c r="IZS341" s="173"/>
      <c r="IZT341" s="173"/>
      <c r="IZU341" s="173"/>
      <c r="IZV341" s="173"/>
      <c r="IZW341" s="173"/>
      <c r="IZX341" s="173"/>
      <c r="IZY341" s="125"/>
      <c r="IZZ341" s="125"/>
      <c r="JAA341" s="134"/>
      <c r="JAB341" s="135"/>
      <c r="JAC341" s="135"/>
      <c r="JAD341" s="135"/>
      <c r="JAE341" s="135"/>
      <c r="JAF341" s="173"/>
      <c r="JAG341" s="173"/>
      <c r="JAH341" s="173"/>
      <c r="JAI341" s="173"/>
      <c r="JAJ341" s="173"/>
      <c r="JAK341" s="173"/>
      <c r="JAL341" s="173"/>
      <c r="JAM341" s="173"/>
      <c r="JAN341" s="173"/>
      <c r="JAO341" s="173"/>
      <c r="JAP341" s="125"/>
      <c r="JAQ341" s="125"/>
      <c r="JAR341" s="134"/>
      <c r="JAS341" s="135"/>
      <c r="JAT341" s="135"/>
      <c r="JAU341" s="135"/>
      <c r="JAV341" s="135"/>
      <c r="JAW341" s="173"/>
      <c r="JAX341" s="173"/>
      <c r="JAY341" s="173"/>
      <c r="JAZ341" s="173"/>
      <c r="JBA341" s="173"/>
      <c r="JBB341" s="173"/>
      <c r="JBC341" s="173"/>
      <c r="JBD341" s="173"/>
      <c r="JBE341" s="173"/>
      <c r="JBF341" s="173"/>
      <c r="JBG341" s="125"/>
      <c r="JBH341" s="125"/>
      <c r="JBI341" s="134"/>
      <c r="JBJ341" s="135"/>
      <c r="JBK341" s="135"/>
      <c r="JBL341" s="135"/>
      <c r="JBM341" s="135"/>
      <c r="JBN341" s="173"/>
      <c r="JBO341" s="173"/>
      <c r="JBP341" s="173"/>
      <c r="JBQ341" s="173"/>
      <c r="JBR341" s="173"/>
      <c r="JBS341" s="173"/>
      <c r="JBT341" s="173"/>
      <c r="JBU341" s="173"/>
      <c r="JBV341" s="173"/>
      <c r="JBW341" s="173"/>
      <c r="JBX341" s="125"/>
      <c r="JBY341" s="125"/>
      <c r="JBZ341" s="134"/>
      <c r="JCA341" s="135"/>
      <c r="JCB341" s="135"/>
      <c r="JCC341" s="135"/>
      <c r="JCD341" s="135"/>
      <c r="JCE341" s="173"/>
      <c r="JCF341" s="173"/>
      <c r="JCG341" s="173"/>
      <c r="JCH341" s="173"/>
      <c r="JCI341" s="173"/>
      <c r="JCJ341" s="173"/>
      <c r="JCK341" s="173"/>
      <c r="JCL341" s="173"/>
      <c r="JCM341" s="173"/>
      <c r="JCN341" s="173"/>
      <c r="JCO341" s="125"/>
      <c r="JCP341" s="125"/>
      <c r="JCQ341" s="134"/>
      <c r="JCR341" s="135"/>
      <c r="JCS341" s="135"/>
      <c r="JCT341" s="135"/>
      <c r="JCU341" s="135"/>
      <c r="JCV341" s="173"/>
      <c r="JCW341" s="173"/>
      <c r="JCX341" s="173"/>
      <c r="JCY341" s="173"/>
      <c r="JCZ341" s="173"/>
      <c r="JDA341" s="173"/>
      <c r="JDB341" s="173"/>
      <c r="JDC341" s="173"/>
      <c r="JDD341" s="173"/>
      <c r="JDE341" s="173"/>
      <c r="JDF341" s="125"/>
      <c r="JDG341" s="125"/>
      <c r="JDH341" s="134"/>
      <c r="JDI341" s="135"/>
      <c r="JDJ341" s="135"/>
      <c r="JDK341" s="135"/>
      <c r="JDL341" s="135"/>
      <c r="JDM341" s="173"/>
      <c r="JDN341" s="173"/>
      <c r="JDO341" s="173"/>
      <c r="JDP341" s="173"/>
      <c r="JDQ341" s="173"/>
      <c r="JDR341" s="173"/>
      <c r="JDS341" s="173"/>
      <c r="JDT341" s="173"/>
      <c r="JDU341" s="173"/>
      <c r="JDV341" s="173"/>
      <c r="JDW341" s="125"/>
      <c r="JDX341" s="125"/>
      <c r="JDY341" s="134"/>
      <c r="JDZ341" s="135"/>
      <c r="JEA341" s="135"/>
      <c r="JEB341" s="135"/>
      <c r="JEC341" s="135"/>
      <c r="JED341" s="173"/>
      <c r="JEE341" s="173"/>
      <c r="JEF341" s="173"/>
      <c r="JEG341" s="173"/>
      <c r="JEH341" s="173"/>
      <c r="JEI341" s="173"/>
      <c r="JEJ341" s="173"/>
      <c r="JEK341" s="173"/>
      <c r="JEL341" s="173"/>
      <c r="JEM341" s="173"/>
      <c r="JEN341" s="125"/>
      <c r="JEO341" s="125"/>
      <c r="JEP341" s="134"/>
      <c r="JEQ341" s="135"/>
      <c r="JER341" s="135"/>
      <c r="JES341" s="135"/>
      <c r="JET341" s="135"/>
      <c r="JEU341" s="173"/>
      <c r="JEV341" s="173"/>
      <c r="JEW341" s="173"/>
      <c r="JEX341" s="173"/>
      <c r="JEY341" s="173"/>
      <c r="JEZ341" s="173"/>
      <c r="JFA341" s="173"/>
      <c r="JFB341" s="173"/>
      <c r="JFC341" s="173"/>
      <c r="JFD341" s="173"/>
      <c r="JFE341" s="125"/>
      <c r="JFF341" s="125"/>
      <c r="JFG341" s="134"/>
      <c r="JFH341" s="135"/>
      <c r="JFI341" s="135"/>
      <c r="JFJ341" s="135"/>
      <c r="JFK341" s="135"/>
      <c r="JFL341" s="173"/>
      <c r="JFM341" s="173"/>
      <c r="JFN341" s="173"/>
      <c r="JFO341" s="173"/>
      <c r="JFP341" s="173"/>
      <c r="JFQ341" s="173"/>
      <c r="JFR341" s="173"/>
      <c r="JFS341" s="173"/>
      <c r="JFT341" s="173"/>
      <c r="JFU341" s="173"/>
      <c r="JFV341" s="125"/>
      <c r="JFW341" s="125"/>
      <c r="JFX341" s="134"/>
      <c r="JFY341" s="135"/>
      <c r="JFZ341" s="135"/>
      <c r="JGA341" s="135"/>
      <c r="JGB341" s="135"/>
      <c r="JGC341" s="173"/>
      <c r="JGD341" s="173"/>
      <c r="JGE341" s="173"/>
      <c r="JGF341" s="173"/>
      <c r="JGG341" s="173"/>
      <c r="JGH341" s="173"/>
      <c r="JGI341" s="173"/>
      <c r="JGJ341" s="173"/>
      <c r="JGK341" s="173"/>
      <c r="JGL341" s="173"/>
      <c r="JGM341" s="125"/>
      <c r="JGN341" s="125"/>
      <c r="JGO341" s="134"/>
      <c r="JGP341" s="135"/>
      <c r="JGQ341" s="135"/>
      <c r="JGR341" s="135"/>
      <c r="JGS341" s="135"/>
      <c r="JGT341" s="173"/>
      <c r="JGU341" s="173"/>
      <c r="JGV341" s="173"/>
      <c r="JGW341" s="173"/>
      <c r="JGX341" s="173"/>
      <c r="JGY341" s="173"/>
      <c r="JGZ341" s="173"/>
      <c r="JHA341" s="173"/>
      <c r="JHB341" s="173"/>
      <c r="JHC341" s="173"/>
      <c r="JHD341" s="125"/>
      <c r="JHE341" s="125"/>
      <c r="JHF341" s="134"/>
      <c r="JHG341" s="135"/>
      <c r="JHH341" s="135"/>
      <c r="JHI341" s="135"/>
      <c r="JHJ341" s="135"/>
      <c r="JHK341" s="173"/>
      <c r="JHL341" s="173"/>
      <c r="JHM341" s="173"/>
      <c r="JHN341" s="173"/>
      <c r="JHO341" s="173"/>
      <c r="JHP341" s="173"/>
      <c r="JHQ341" s="173"/>
      <c r="JHR341" s="173"/>
      <c r="JHS341" s="173"/>
      <c r="JHT341" s="173"/>
      <c r="JHU341" s="125"/>
      <c r="JHV341" s="125"/>
      <c r="JHW341" s="134"/>
      <c r="JHX341" s="135"/>
      <c r="JHY341" s="135"/>
      <c r="JHZ341" s="135"/>
      <c r="JIA341" s="135"/>
      <c r="JIB341" s="173"/>
      <c r="JIC341" s="173"/>
      <c r="JID341" s="173"/>
      <c r="JIE341" s="173"/>
      <c r="JIF341" s="173"/>
      <c r="JIG341" s="173"/>
      <c r="JIH341" s="173"/>
      <c r="JII341" s="173"/>
      <c r="JIJ341" s="173"/>
      <c r="JIK341" s="173"/>
      <c r="JIL341" s="125"/>
      <c r="JIM341" s="125"/>
      <c r="JIN341" s="134"/>
      <c r="JIO341" s="135"/>
      <c r="JIP341" s="135"/>
      <c r="JIQ341" s="135"/>
      <c r="JIR341" s="135"/>
      <c r="JIS341" s="173"/>
      <c r="JIT341" s="173"/>
      <c r="JIU341" s="173"/>
      <c r="JIV341" s="173"/>
      <c r="JIW341" s="173"/>
      <c r="JIX341" s="173"/>
      <c r="JIY341" s="173"/>
      <c r="JIZ341" s="173"/>
      <c r="JJA341" s="173"/>
      <c r="JJB341" s="173"/>
      <c r="JJC341" s="125"/>
      <c r="JJD341" s="125"/>
      <c r="JJE341" s="134"/>
      <c r="JJF341" s="135"/>
      <c r="JJG341" s="135"/>
      <c r="JJH341" s="135"/>
      <c r="JJI341" s="135"/>
      <c r="JJJ341" s="173"/>
      <c r="JJK341" s="173"/>
      <c r="JJL341" s="173"/>
      <c r="JJM341" s="173"/>
      <c r="JJN341" s="173"/>
      <c r="JJO341" s="173"/>
      <c r="JJP341" s="173"/>
      <c r="JJQ341" s="173"/>
      <c r="JJR341" s="173"/>
      <c r="JJS341" s="173"/>
      <c r="JJT341" s="125"/>
      <c r="JJU341" s="125"/>
      <c r="JJV341" s="134"/>
      <c r="JJW341" s="135"/>
      <c r="JJX341" s="135"/>
      <c r="JJY341" s="135"/>
      <c r="JJZ341" s="135"/>
      <c r="JKA341" s="173"/>
      <c r="JKB341" s="173"/>
      <c r="JKC341" s="173"/>
      <c r="JKD341" s="173"/>
      <c r="JKE341" s="173"/>
      <c r="JKF341" s="173"/>
      <c r="JKG341" s="173"/>
      <c r="JKH341" s="173"/>
      <c r="JKI341" s="173"/>
      <c r="JKJ341" s="173"/>
      <c r="JKK341" s="125"/>
      <c r="JKL341" s="125"/>
      <c r="JKM341" s="134"/>
      <c r="JKN341" s="135"/>
      <c r="JKO341" s="135"/>
      <c r="JKP341" s="135"/>
      <c r="JKQ341" s="135"/>
      <c r="JKR341" s="173"/>
      <c r="JKS341" s="173"/>
      <c r="JKT341" s="173"/>
      <c r="JKU341" s="173"/>
      <c r="JKV341" s="173"/>
      <c r="JKW341" s="173"/>
      <c r="JKX341" s="173"/>
      <c r="JKY341" s="173"/>
      <c r="JKZ341" s="173"/>
      <c r="JLA341" s="173"/>
      <c r="JLB341" s="125"/>
      <c r="JLC341" s="125"/>
      <c r="JLD341" s="134"/>
      <c r="JLE341" s="135"/>
      <c r="JLF341" s="135"/>
      <c r="JLG341" s="135"/>
      <c r="JLH341" s="135"/>
      <c r="JLI341" s="173"/>
      <c r="JLJ341" s="173"/>
      <c r="JLK341" s="173"/>
      <c r="JLL341" s="173"/>
      <c r="JLM341" s="173"/>
      <c r="JLN341" s="173"/>
      <c r="JLO341" s="173"/>
      <c r="JLP341" s="173"/>
      <c r="JLQ341" s="173"/>
      <c r="JLR341" s="173"/>
      <c r="JLS341" s="125"/>
      <c r="JLT341" s="125"/>
      <c r="JLU341" s="134"/>
      <c r="JLV341" s="135"/>
      <c r="JLW341" s="135"/>
      <c r="JLX341" s="135"/>
      <c r="JLY341" s="135"/>
      <c r="JLZ341" s="173"/>
      <c r="JMA341" s="173"/>
      <c r="JMB341" s="173"/>
      <c r="JMC341" s="173"/>
      <c r="JMD341" s="173"/>
      <c r="JME341" s="173"/>
      <c r="JMF341" s="173"/>
      <c r="JMG341" s="173"/>
      <c r="JMH341" s="173"/>
      <c r="JMI341" s="173"/>
      <c r="JMJ341" s="125"/>
      <c r="JMK341" s="125"/>
      <c r="JML341" s="134"/>
      <c r="JMM341" s="135"/>
      <c r="JMN341" s="135"/>
      <c r="JMO341" s="135"/>
      <c r="JMP341" s="135"/>
      <c r="JMQ341" s="173"/>
      <c r="JMR341" s="173"/>
      <c r="JMS341" s="173"/>
      <c r="JMT341" s="173"/>
      <c r="JMU341" s="173"/>
      <c r="JMV341" s="173"/>
      <c r="JMW341" s="173"/>
      <c r="JMX341" s="173"/>
      <c r="JMY341" s="173"/>
      <c r="JMZ341" s="173"/>
      <c r="JNA341" s="125"/>
      <c r="JNB341" s="125"/>
      <c r="JNC341" s="134"/>
      <c r="JND341" s="135"/>
      <c r="JNE341" s="135"/>
      <c r="JNF341" s="135"/>
      <c r="JNG341" s="135"/>
      <c r="JNH341" s="173"/>
      <c r="JNI341" s="173"/>
      <c r="JNJ341" s="173"/>
      <c r="JNK341" s="173"/>
      <c r="JNL341" s="173"/>
      <c r="JNM341" s="173"/>
      <c r="JNN341" s="173"/>
      <c r="JNO341" s="173"/>
      <c r="JNP341" s="173"/>
      <c r="JNQ341" s="173"/>
      <c r="JNR341" s="125"/>
      <c r="JNS341" s="125"/>
      <c r="JNT341" s="134"/>
      <c r="JNU341" s="135"/>
      <c r="JNV341" s="135"/>
      <c r="JNW341" s="135"/>
      <c r="JNX341" s="135"/>
      <c r="JNY341" s="173"/>
      <c r="JNZ341" s="173"/>
      <c r="JOA341" s="173"/>
      <c r="JOB341" s="173"/>
      <c r="JOC341" s="173"/>
      <c r="JOD341" s="173"/>
      <c r="JOE341" s="173"/>
      <c r="JOF341" s="173"/>
      <c r="JOG341" s="173"/>
      <c r="JOH341" s="173"/>
      <c r="JOI341" s="125"/>
      <c r="JOJ341" s="125"/>
      <c r="JOK341" s="134"/>
      <c r="JOL341" s="135"/>
      <c r="JOM341" s="135"/>
      <c r="JON341" s="135"/>
      <c r="JOO341" s="135"/>
      <c r="JOP341" s="173"/>
      <c r="JOQ341" s="173"/>
      <c r="JOR341" s="173"/>
      <c r="JOS341" s="173"/>
      <c r="JOT341" s="173"/>
      <c r="JOU341" s="173"/>
      <c r="JOV341" s="173"/>
      <c r="JOW341" s="173"/>
      <c r="JOX341" s="173"/>
      <c r="JOY341" s="173"/>
      <c r="JOZ341" s="125"/>
      <c r="JPA341" s="125"/>
      <c r="JPB341" s="134"/>
      <c r="JPC341" s="135"/>
      <c r="JPD341" s="135"/>
      <c r="JPE341" s="135"/>
      <c r="JPF341" s="135"/>
      <c r="JPG341" s="173"/>
      <c r="JPH341" s="173"/>
      <c r="JPI341" s="173"/>
      <c r="JPJ341" s="173"/>
      <c r="JPK341" s="173"/>
      <c r="JPL341" s="173"/>
      <c r="JPM341" s="173"/>
      <c r="JPN341" s="173"/>
      <c r="JPO341" s="173"/>
      <c r="JPP341" s="173"/>
      <c r="JPQ341" s="125"/>
      <c r="JPR341" s="125"/>
      <c r="JPS341" s="134"/>
      <c r="JPT341" s="135"/>
      <c r="JPU341" s="135"/>
      <c r="JPV341" s="135"/>
      <c r="JPW341" s="135"/>
      <c r="JPX341" s="173"/>
      <c r="JPY341" s="173"/>
      <c r="JPZ341" s="173"/>
      <c r="JQA341" s="173"/>
      <c r="JQB341" s="173"/>
      <c r="JQC341" s="173"/>
      <c r="JQD341" s="173"/>
      <c r="JQE341" s="173"/>
      <c r="JQF341" s="173"/>
      <c r="JQG341" s="173"/>
      <c r="JQH341" s="125"/>
      <c r="JQI341" s="125"/>
      <c r="JQJ341" s="134"/>
      <c r="JQK341" s="135"/>
      <c r="JQL341" s="135"/>
      <c r="JQM341" s="135"/>
      <c r="JQN341" s="135"/>
      <c r="JQO341" s="173"/>
      <c r="JQP341" s="173"/>
      <c r="JQQ341" s="173"/>
      <c r="JQR341" s="173"/>
      <c r="JQS341" s="173"/>
      <c r="JQT341" s="173"/>
      <c r="JQU341" s="173"/>
      <c r="JQV341" s="173"/>
      <c r="JQW341" s="173"/>
      <c r="JQX341" s="173"/>
      <c r="JQY341" s="125"/>
      <c r="JQZ341" s="125"/>
      <c r="JRA341" s="134"/>
      <c r="JRB341" s="135"/>
      <c r="JRC341" s="135"/>
      <c r="JRD341" s="135"/>
      <c r="JRE341" s="135"/>
      <c r="JRF341" s="173"/>
      <c r="JRG341" s="173"/>
      <c r="JRH341" s="173"/>
      <c r="JRI341" s="173"/>
      <c r="JRJ341" s="173"/>
      <c r="JRK341" s="173"/>
      <c r="JRL341" s="173"/>
      <c r="JRM341" s="173"/>
      <c r="JRN341" s="173"/>
      <c r="JRO341" s="173"/>
      <c r="JRP341" s="125"/>
      <c r="JRQ341" s="125"/>
      <c r="JRR341" s="134"/>
      <c r="JRS341" s="135"/>
      <c r="JRT341" s="135"/>
      <c r="JRU341" s="135"/>
      <c r="JRV341" s="135"/>
      <c r="JRW341" s="173"/>
      <c r="JRX341" s="173"/>
      <c r="JRY341" s="173"/>
      <c r="JRZ341" s="173"/>
      <c r="JSA341" s="173"/>
      <c r="JSB341" s="173"/>
      <c r="JSC341" s="173"/>
      <c r="JSD341" s="173"/>
      <c r="JSE341" s="173"/>
      <c r="JSF341" s="173"/>
      <c r="JSG341" s="125"/>
      <c r="JSH341" s="125"/>
      <c r="JSI341" s="134"/>
      <c r="JSJ341" s="135"/>
      <c r="JSK341" s="135"/>
      <c r="JSL341" s="135"/>
      <c r="JSM341" s="135"/>
      <c r="JSN341" s="173"/>
      <c r="JSO341" s="173"/>
      <c r="JSP341" s="173"/>
      <c r="JSQ341" s="173"/>
      <c r="JSR341" s="173"/>
      <c r="JSS341" s="173"/>
      <c r="JST341" s="173"/>
      <c r="JSU341" s="173"/>
      <c r="JSV341" s="173"/>
      <c r="JSW341" s="173"/>
      <c r="JSX341" s="125"/>
      <c r="JSY341" s="125"/>
      <c r="JSZ341" s="134"/>
      <c r="JTA341" s="135"/>
      <c r="JTB341" s="135"/>
      <c r="JTC341" s="135"/>
      <c r="JTD341" s="135"/>
      <c r="JTE341" s="173"/>
      <c r="JTF341" s="173"/>
      <c r="JTG341" s="173"/>
      <c r="JTH341" s="173"/>
      <c r="JTI341" s="173"/>
      <c r="JTJ341" s="173"/>
      <c r="JTK341" s="173"/>
      <c r="JTL341" s="173"/>
      <c r="JTM341" s="173"/>
      <c r="JTN341" s="173"/>
      <c r="JTO341" s="125"/>
      <c r="JTP341" s="125"/>
      <c r="JTQ341" s="134"/>
      <c r="JTR341" s="135"/>
      <c r="JTS341" s="135"/>
      <c r="JTT341" s="135"/>
      <c r="JTU341" s="135"/>
      <c r="JTV341" s="173"/>
      <c r="JTW341" s="173"/>
      <c r="JTX341" s="173"/>
      <c r="JTY341" s="173"/>
      <c r="JTZ341" s="173"/>
      <c r="JUA341" s="173"/>
      <c r="JUB341" s="173"/>
      <c r="JUC341" s="173"/>
      <c r="JUD341" s="173"/>
      <c r="JUE341" s="173"/>
      <c r="JUF341" s="125"/>
      <c r="JUG341" s="125"/>
      <c r="JUH341" s="134"/>
      <c r="JUI341" s="135"/>
      <c r="JUJ341" s="135"/>
      <c r="JUK341" s="135"/>
      <c r="JUL341" s="135"/>
      <c r="JUM341" s="173"/>
      <c r="JUN341" s="173"/>
      <c r="JUO341" s="173"/>
      <c r="JUP341" s="173"/>
      <c r="JUQ341" s="173"/>
      <c r="JUR341" s="173"/>
      <c r="JUS341" s="173"/>
      <c r="JUT341" s="173"/>
      <c r="JUU341" s="173"/>
      <c r="JUV341" s="173"/>
      <c r="JUW341" s="125"/>
      <c r="JUX341" s="125"/>
      <c r="JUY341" s="134"/>
      <c r="JUZ341" s="135"/>
      <c r="JVA341" s="135"/>
      <c r="JVB341" s="135"/>
      <c r="JVC341" s="135"/>
      <c r="JVD341" s="173"/>
      <c r="JVE341" s="173"/>
      <c r="JVF341" s="173"/>
      <c r="JVG341" s="173"/>
      <c r="JVH341" s="173"/>
      <c r="JVI341" s="173"/>
      <c r="JVJ341" s="173"/>
      <c r="JVK341" s="173"/>
      <c r="JVL341" s="173"/>
      <c r="JVM341" s="173"/>
      <c r="JVN341" s="125"/>
      <c r="JVO341" s="125"/>
      <c r="JVP341" s="134"/>
      <c r="JVQ341" s="135"/>
      <c r="JVR341" s="135"/>
      <c r="JVS341" s="135"/>
      <c r="JVT341" s="135"/>
      <c r="JVU341" s="173"/>
      <c r="JVV341" s="173"/>
      <c r="JVW341" s="173"/>
      <c r="JVX341" s="173"/>
      <c r="JVY341" s="173"/>
      <c r="JVZ341" s="173"/>
      <c r="JWA341" s="173"/>
      <c r="JWB341" s="173"/>
      <c r="JWC341" s="173"/>
      <c r="JWD341" s="173"/>
      <c r="JWE341" s="125"/>
      <c r="JWF341" s="125"/>
      <c r="JWG341" s="134"/>
      <c r="JWH341" s="135"/>
      <c r="JWI341" s="135"/>
      <c r="JWJ341" s="135"/>
      <c r="JWK341" s="135"/>
      <c r="JWL341" s="173"/>
      <c r="JWM341" s="173"/>
      <c r="JWN341" s="173"/>
      <c r="JWO341" s="173"/>
      <c r="JWP341" s="173"/>
      <c r="JWQ341" s="173"/>
      <c r="JWR341" s="173"/>
      <c r="JWS341" s="173"/>
      <c r="JWT341" s="173"/>
      <c r="JWU341" s="173"/>
      <c r="JWV341" s="125"/>
      <c r="JWW341" s="125"/>
      <c r="JWX341" s="134"/>
      <c r="JWY341" s="135"/>
      <c r="JWZ341" s="135"/>
      <c r="JXA341" s="135"/>
      <c r="JXB341" s="135"/>
      <c r="JXC341" s="173"/>
      <c r="JXD341" s="173"/>
      <c r="JXE341" s="173"/>
      <c r="JXF341" s="173"/>
      <c r="JXG341" s="173"/>
      <c r="JXH341" s="173"/>
      <c r="JXI341" s="173"/>
      <c r="JXJ341" s="173"/>
      <c r="JXK341" s="173"/>
      <c r="JXL341" s="173"/>
      <c r="JXM341" s="125"/>
      <c r="JXN341" s="125"/>
      <c r="JXO341" s="134"/>
      <c r="JXP341" s="135"/>
      <c r="JXQ341" s="135"/>
      <c r="JXR341" s="135"/>
      <c r="JXS341" s="135"/>
      <c r="JXT341" s="173"/>
      <c r="JXU341" s="173"/>
      <c r="JXV341" s="173"/>
      <c r="JXW341" s="173"/>
      <c r="JXX341" s="173"/>
      <c r="JXY341" s="173"/>
      <c r="JXZ341" s="173"/>
      <c r="JYA341" s="173"/>
      <c r="JYB341" s="173"/>
      <c r="JYC341" s="173"/>
      <c r="JYD341" s="125"/>
      <c r="JYE341" s="125"/>
      <c r="JYF341" s="134"/>
      <c r="JYG341" s="135"/>
      <c r="JYH341" s="135"/>
      <c r="JYI341" s="135"/>
      <c r="JYJ341" s="135"/>
      <c r="JYK341" s="173"/>
      <c r="JYL341" s="173"/>
      <c r="JYM341" s="173"/>
      <c r="JYN341" s="173"/>
      <c r="JYO341" s="173"/>
      <c r="JYP341" s="173"/>
      <c r="JYQ341" s="173"/>
      <c r="JYR341" s="173"/>
      <c r="JYS341" s="173"/>
      <c r="JYT341" s="173"/>
      <c r="JYU341" s="125"/>
      <c r="JYV341" s="125"/>
      <c r="JYW341" s="134"/>
      <c r="JYX341" s="135"/>
      <c r="JYY341" s="135"/>
      <c r="JYZ341" s="135"/>
      <c r="JZA341" s="135"/>
      <c r="JZB341" s="173"/>
      <c r="JZC341" s="173"/>
      <c r="JZD341" s="173"/>
      <c r="JZE341" s="173"/>
      <c r="JZF341" s="173"/>
      <c r="JZG341" s="173"/>
      <c r="JZH341" s="173"/>
      <c r="JZI341" s="173"/>
      <c r="JZJ341" s="173"/>
      <c r="JZK341" s="173"/>
      <c r="JZL341" s="125"/>
      <c r="JZM341" s="125"/>
      <c r="JZN341" s="134"/>
      <c r="JZO341" s="135"/>
      <c r="JZP341" s="135"/>
      <c r="JZQ341" s="135"/>
      <c r="JZR341" s="135"/>
      <c r="JZS341" s="173"/>
      <c r="JZT341" s="173"/>
      <c r="JZU341" s="173"/>
      <c r="JZV341" s="173"/>
      <c r="JZW341" s="173"/>
      <c r="JZX341" s="173"/>
      <c r="JZY341" s="173"/>
      <c r="JZZ341" s="173"/>
      <c r="KAA341" s="173"/>
      <c r="KAB341" s="173"/>
      <c r="KAC341" s="125"/>
      <c r="KAD341" s="125"/>
      <c r="KAE341" s="134"/>
      <c r="KAF341" s="135"/>
      <c r="KAG341" s="135"/>
      <c r="KAH341" s="135"/>
      <c r="KAI341" s="135"/>
      <c r="KAJ341" s="173"/>
      <c r="KAK341" s="173"/>
      <c r="KAL341" s="173"/>
      <c r="KAM341" s="173"/>
      <c r="KAN341" s="173"/>
      <c r="KAO341" s="173"/>
      <c r="KAP341" s="173"/>
      <c r="KAQ341" s="173"/>
      <c r="KAR341" s="173"/>
      <c r="KAS341" s="173"/>
      <c r="KAT341" s="125"/>
      <c r="KAU341" s="125"/>
      <c r="KAV341" s="134"/>
      <c r="KAW341" s="135"/>
      <c r="KAX341" s="135"/>
      <c r="KAY341" s="135"/>
      <c r="KAZ341" s="135"/>
      <c r="KBA341" s="173"/>
      <c r="KBB341" s="173"/>
      <c r="KBC341" s="173"/>
      <c r="KBD341" s="173"/>
      <c r="KBE341" s="173"/>
      <c r="KBF341" s="173"/>
      <c r="KBG341" s="173"/>
      <c r="KBH341" s="173"/>
      <c r="KBI341" s="173"/>
      <c r="KBJ341" s="173"/>
      <c r="KBK341" s="125"/>
      <c r="KBL341" s="125"/>
      <c r="KBM341" s="134"/>
      <c r="KBN341" s="135"/>
      <c r="KBO341" s="135"/>
      <c r="KBP341" s="135"/>
      <c r="KBQ341" s="135"/>
      <c r="KBR341" s="173"/>
      <c r="KBS341" s="173"/>
      <c r="KBT341" s="173"/>
      <c r="KBU341" s="173"/>
      <c r="KBV341" s="173"/>
      <c r="KBW341" s="173"/>
      <c r="KBX341" s="173"/>
      <c r="KBY341" s="173"/>
      <c r="KBZ341" s="173"/>
      <c r="KCA341" s="173"/>
      <c r="KCB341" s="125"/>
      <c r="KCC341" s="125"/>
      <c r="KCD341" s="134"/>
      <c r="KCE341" s="135"/>
      <c r="KCF341" s="135"/>
      <c r="KCG341" s="135"/>
      <c r="KCH341" s="135"/>
      <c r="KCI341" s="173"/>
      <c r="KCJ341" s="173"/>
      <c r="KCK341" s="173"/>
      <c r="KCL341" s="173"/>
      <c r="KCM341" s="173"/>
      <c r="KCN341" s="173"/>
      <c r="KCO341" s="173"/>
      <c r="KCP341" s="173"/>
      <c r="KCQ341" s="173"/>
      <c r="KCR341" s="173"/>
      <c r="KCS341" s="125"/>
      <c r="KCT341" s="125"/>
      <c r="KCU341" s="134"/>
      <c r="KCV341" s="135"/>
      <c r="KCW341" s="135"/>
      <c r="KCX341" s="135"/>
      <c r="KCY341" s="135"/>
      <c r="KCZ341" s="173"/>
      <c r="KDA341" s="173"/>
      <c r="KDB341" s="173"/>
      <c r="KDC341" s="173"/>
      <c r="KDD341" s="173"/>
      <c r="KDE341" s="173"/>
      <c r="KDF341" s="173"/>
      <c r="KDG341" s="173"/>
      <c r="KDH341" s="173"/>
      <c r="KDI341" s="173"/>
      <c r="KDJ341" s="125"/>
      <c r="KDK341" s="125"/>
      <c r="KDL341" s="134"/>
      <c r="KDM341" s="135"/>
      <c r="KDN341" s="135"/>
      <c r="KDO341" s="135"/>
      <c r="KDP341" s="135"/>
      <c r="KDQ341" s="173"/>
      <c r="KDR341" s="173"/>
      <c r="KDS341" s="173"/>
      <c r="KDT341" s="173"/>
      <c r="KDU341" s="173"/>
      <c r="KDV341" s="173"/>
      <c r="KDW341" s="173"/>
      <c r="KDX341" s="173"/>
      <c r="KDY341" s="173"/>
      <c r="KDZ341" s="173"/>
      <c r="KEA341" s="125"/>
      <c r="KEB341" s="125"/>
      <c r="KEC341" s="134"/>
      <c r="KED341" s="135"/>
      <c r="KEE341" s="135"/>
      <c r="KEF341" s="135"/>
      <c r="KEG341" s="135"/>
      <c r="KEH341" s="173"/>
      <c r="KEI341" s="173"/>
      <c r="KEJ341" s="173"/>
      <c r="KEK341" s="173"/>
      <c r="KEL341" s="173"/>
      <c r="KEM341" s="173"/>
      <c r="KEN341" s="173"/>
      <c r="KEO341" s="173"/>
      <c r="KEP341" s="173"/>
      <c r="KEQ341" s="173"/>
      <c r="KER341" s="125"/>
      <c r="KES341" s="125"/>
      <c r="KET341" s="134"/>
      <c r="KEU341" s="135"/>
      <c r="KEV341" s="135"/>
      <c r="KEW341" s="135"/>
      <c r="KEX341" s="135"/>
      <c r="KEY341" s="173"/>
      <c r="KEZ341" s="173"/>
      <c r="KFA341" s="173"/>
      <c r="KFB341" s="173"/>
      <c r="KFC341" s="173"/>
      <c r="KFD341" s="173"/>
      <c r="KFE341" s="173"/>
      <c r="KFF341" s="173"/>
      <c r="KFG341" s="173"/>
      <c r="KFH341" s="173"/>
      <c r="KFI341" s="125"/>
      <c r="KFJ341" s="125"/>
      <c r="KFK341" s="134"/>
      <c r="KFL341" s="135"/>
      <c r="KFM341" s="135"/>
      <c r="KFN341" s="135"/>
      <c r="KFO341" s="135"/>
      <c r="KFP341" s="173"/>
      <c r="KFQ341" s="173"/>
      <c r="KFR341" s="173"/>
      <c r="KFS341" s="173"/>
      <c r="KFT341" s="173"/>
      <c r="KFU341" s="173"/>
      <c r="KFV341" s="173"/>
      <c r="KFW341" s="173"/>
      <c r="KFX341" s="173"/>
      <c r="KFY341" s="173"/>
      <c r="KFZ341" s="125"/>
      <c r="KGA341" s="125"/>
      <c r="KGB341" s="134"/>
      <c r="KGC341" s="135"/>
      <c r="KGD341" s="135"/>
      <c r="KGE341" s="135"/>
      <c r="KGF341" s="135"/>
      <c r="KGG341" s="173"/>
      <c r="KGH341" s="173"/>
      <c r="KGI341" s="173"/>
      <c r="KGJ341" s="173"/>
      <c r="KGK341" s="173"/>
      <c r="KGL341" s="173"/>
      <c r="KGM341" s="173"/>
      <c r="KGN341" s="173"/>
      <c r="KGO341" s="173"/>
      <c r="KGP341" s="173"/>
      <c r="KGQ341" s="125"/>
      <c r="KGR341" s="125"/>
      <c r="KGS341" s="134"/>
      <c r="KGT341" s="135"/>
      <c r="KGU341" s="135"/>
      <c r="KGV341" s="135"/>
      <c r="KGW341" s="135"/>
      <c r="KGX341" s="173"/>
      <c r="KGY341" s="173"/>
      <c r="KGZ341" s="173"/>
      <c r="KHA341" s="173"/>
      <c r="KHB341" s="173"/>
      <c r="KHC341" s="173"/>
      <c r="KHD341" s="173"/>
      <c r="KHE341" s="173"/>
      <c r="KHF341" s="173"/>
      <c r="KHG341" s="173"/>
      <c r="KHH341" s="125"/>
      <c r="KHI341" s="125"/>
      <c r="KHJ341" s="134"/>
      <c r="KHK341" s="135"/>
      <c r="KHL341" s="135"/>
      <c r="KHM341" s="135"/>
      <c r="KHN341" s="135"/>
      <c r="KHO341" s="173"/>
      <c r="KHP341" s="173"/>
      <c r="KHQ341" s="173"/>
      <c r="KHR341" s="173"/>
      <c r="KHS341" s="173"/>
      <c r="KHT341" s="173"/>
      <c r="KHU341" s="173"/>
      <c r="KHV341" s="173"/>
      <c r="KHW341" s="173"/>
      <c r="KHX341" s="173"/>
      <c r="KHY341" s="125"/>
      <c r="KHZ341" s="125"/>
      <c r="KIA341" s="134"/>
      <c r="KIB341" s="135"/>
      <c r="KIC341" s="135"/>
      <c r="KID341" s="135"/>
      <c r="KIE341" s="135"/>
      <c r="KIF341" s="173"/>
      <c r="KIG341" s="173"/>
      <c r="KIH341" s="173"/>
      <c r="KII341" s="173"/>
      <c r="KIJ341" s="173"/>
      <c r="KIK341" s="173"/>
      <c r="KIL341" s="173"/>
      <c r="KIM341" s="173"/>
      <c r="KIN341" s="173"/>
      <c r="KIO341" s="173"/>
      <c r="KIP341" s="125"/>
      <c r="KIQ341" s="125"/>
      <c r="KIR341" s="134"/>
      <c r="KIS341" s="135"/>
      <c r="KIT341" s="135"/>
      <c r="KIU341" s="135"/>
      <c r="KIV341" s="135"/>
      <c r="KIW341" s="173"/>
      <c r="KIX341" s="173"/>
      <c r="KIY341" s="173"/>
      <c r="KIZ341" s="173"/>
      <c r="KJA341" s="173"/>
      <c r="KJB341" s="173"/>
      <c r="KJC341" s="173"/>
      <c r="KJD341" s="173"/>
      <c r="KJE341" s="173"/>
      <c r="KJF341" s="173"/>
      <c r="KJG341" s="125"/>
      <c r="KJH341" s="125"/>
      <c r="KJI341" s="134"/>
      <c r="KJJ341" s="135"/>
      <c r="KJK341" s="135"/>
      <c r="KJL341" s="135"/>
      <c r="KJM341" s="135"/>
      <c r="KJN341" s="173"/>
      <c r="KJO341" s="173"/>
      <c r="KJP341" s="173"/>
      <c r="KJQ341" s="173"/>
      <c r="KJR341" s="173"/>
      <c r="KJS341" s="173"/>
      <c r="KJT341" s="173"/>
      <c r="KJU341" s="173"/>
      <c r="KJV341" s="173"/>
      <c r="KJW341" s="173"/>
      <c r="KJX341" s="125"/>
      <c r="KJY341" s="125"/>
      <c r="KJZ341" s="134"/>
      <c r="KKA341" s="135"/>
      <c r="KKB341" s="135"/>
      <c r="KKC341" s="135"/>
      <c r="KKD341" s="135"/>
      <c r="KKE341" s="173"/>
      <c r="KKF341" s="173"/>
      <c r="KKG341" s="173"/>
      <c r="KKH341" s="173"/>
      <c r="KKI341" s="173"/>
      <c r="KKJ341" s="173"/>
      <c r="KKK341" s="173"/>
      <c r="KKL341" s="173"/>
      <c r="KKM341" s="173"/>
      <c r="KKN341" s="173"/>
      <c r="KKO341" s="125"/>
      <c r="KKP341" s="125"/>
      <c r="KKQ341" s="134"/>
      <c r="KKR341" s="135"/>
      <c r="KKS341" s="135"/>
      <c r="KKT341" s="135"/>
      <c r="KKU341" s="135"/>
      <c r="KKV341" s="173"/>
      <c r="KKW341" s="173"/>
      <c r="KKX341" s="173"/>
      <c r="KKY341" s="173"/>
      <c r="KKZ341" s="173"/>
      <c r="KLA341" s="173"/>
      <c r="KLB341" s="173"/>
      <c r="KLC341" s="173"/>
      <c r="KLD341" s="173"/>
      <c r="KLE341" s="173"/>
      <c r="KLF341" s="125"/>
      <c r="KLG341" s="125"/>
      <c r="KLH341" s="134"/>
      <c r="KLI341" s="135"/>
      <c r="KLJ341" s="135"/>
      <c r="KLK341" s="135"/>
      <c r="KLL341" s="135"/>
      <c r="KLM341" s="173"/>
      <c r="KLN341" s="173"/>
      <c r="KLO341" s="173"/>
      <c r="KLP341" s="173"/>
      <c r="KLQ341" s="173"/>
      <c r="KLR341" s="173"/>
      <c r="KLS341" s="173"/>
      <c r="KLT341" s="173"/>
      <c r="KLU341" s="173"/>
      <c r="KLV341" s="173"/>
      <c r="KLW341" s="125"/>
      <c r="KLX341" s="125"/>
      <c r="KLY341" s="134"/>
      <c r="KLZ341" s="135"/>
      <c r="KMA341" s="135"/>
      <c r="KMB341" s="135"/>
      <c r="KMC341" s="135"/>
      <c r="KMD341" s="173"/>
      <c r="KME341" s="173"/>
      <c r="KMF341" s="173"/>
      <c r="KMG341" s="173"/>
      <c r="KMH341" s="173"/>
      <c r="KMI341" s="173"/>
      <c r="KMJ341" s="173"/>
      <c r="KMK341" s="173"/>
      <c r="KML341" s="173"/>
      <c r="KMM341" s="173"/>
      <c r="KMN341" s="125"/>
      <c r="KMO341" s="125"/>
      <c r="KMP341" s="134"/>
      <c r="KMQ341" s="135"/>
      <c r="KMR341" s="135"/>
      <c r="KMS341" s="135"/>
      <c r="KMT341" s="135"/>
      <c r="KMU341" s="173"/>
      <c r="KMV341" s="173"/>
      <c r="KMW341" s="173"/>
      <c r="KMX341" s="173"/>
      <c r="KMY341" s="173"/>
      <c r="KMZ341" s="173"/>
      <c r="KNA341" s="173"/>
      <c r="KNB341" s="173"/>
      <c r="KNC341" s="173"/>
      <c r="KND341" s="173"/>
      <c r="KNE341" s="125"/>
      <c r="KNF341" s="125"/>
      <c r="KNG341" s="134"/>
      <c r="KNH341" s="135"/>
      <c r="KNI341" s="135"/>
      <c r="KNJ341" s="135"/>
      <c r="KNK341" s="135"/>
      <c r="KNL341" s="173"/>
      <c r="KNM341" s="173"/>
      <c r="KNN341" s="173"/>
      <c r="KNO341" s="173"/>
      <c r="KNP341" s="173"/>
      <c r="KNQ341" s="173"/>
      <c r="KNR341" s="173"/>
      <c r="KNS341" s="173"/>
      <c r="KNT341" s="173"/>
      <c r="KNU341" s="173"/>
      <c r="KNV341" s="125"/>
      <c r="KNW341" s="125"/>
      <c r="KNX341" s="134"/>
      <c r="KNY341" s="135"/>
      <c r="KNZ341" s="135"/>
      <c r="KOA341" s="135"/>
      <c r="KOB341" s="135"/>
      <c r="KOC341" s="173"/>
      <c r="KOD341" s="173"/>
      <c r="KOE341" s="173"/>
      <c r="KOF341" s="173"/>
      <c r="KOG341" s="173"/>
      <c r="KOH341" s="173"/>
      <c r="KOI341" s="173"/>
      <c r="KOJ341" s="173"/>
      <c r="KOK341" s="173"/>
      <c r="KOL341" s="173"/>
      <c r="KOM341" s="125"/>
      <c r="KON341" s="125"/>
      <c r="KOO341" s="134"/>
      <c r="KOP341" s="135"/>
      <c r="KOQ341" s="135"/>
      <c r="KOR341" s="135"/>
      <c r="KOS341" s="135"/>
      <c r="KOT341" s="173"/>
      <c r="KOU341" s="173"/>
      <c r="KOV341" s="173"/>
      <c r="KOW341" s="173"/>
      <c r="KOX341" s="173"/>
      <c r="KOY341" s="173"/>
      <c r="KOZ341" s="173"/>
      <c r="KPA341" s="173"/>
      <c r="KPB341" s="173"/>
      <c r="KPC341" s="173"/>
      <c r="KPD341" s="125"/>
      <c r="KPE341" s="125"/>
      <c r="KPF341" s="134"/>
      <c r="KPG341" s="135"/>
      <c r="KPH341" s="135"/>
      <c r="KPI341" s="135"/>
      <c r="KPJ341" s="135"/>
      <c r="KPK341" s="173"/>
      <c r="KPL341" s="173"/>
      <c r="KPM341" s="173"/>
      <c r="KPN341" s="173"/>
      <c r="KPO341" s="173"/>
      <c r="KPP341" s="173"/>
      <c r="KPQ341" s="173"/>
      <c r="KPR341" s="173"/>
      <c r="KPS341" s="173"/>
      <c r="KPT341" s="173"/>
      <c r="KPU341" s="125"/>
      <c r="KPV341" s="125"/>
      <c r="KPW341" s="134"/>
      <c r="KPX341" s="135"/>
      <c r="KPY341" s="135"/>
      <c r="KPZ341" s="135"/>
      <c r="KQA341" s="135"/>
      <c r="KQB341" s="173"/>
      <c r="KQC341" s="173"/>
      <c r="KQD341" s="173"/>
      <c r="KQE341" s="173"/>
      <c r="KQF341" s="173"/>
      <c r="KQG341" s="173"/>
      <c r="KQH341" s="173"/>
      <c r="KQI341" s="173"/>
      <c r="KQJ341" s="173"/>
      <c r="KQK341" s="173"/>
      <c r="KQL341" s="125"/>
      <c r="KQM341" s="125"/>
      <c r="KQN341" s="134"/>
      <c r="KQO341" s="135"/>
      <c r="KQP341" s="135"/>
      <c r="KQQ341" s="135"/>
      <c r="KQR341" s="135"/>
      <c r="KQS341" s="173"/>
      <c r="KQT341" s="173"/>
      <c r="KQU341" s="173"/>
      <c r="KQV341" s="173"/>
      <c r="KQW341" s="173"/>
      <c r="KQX341" s="173"/>
      <c r="KQY341" s="173"/>
      <c r="KQZ341" s="173"/>
      <c r="KRA341" s="173"/>
      <c r="KRB341" s="173"/>
      <c r="KRC341" s="125"/>
      <c r="KRD341" s="125"/>
      <c r="KRE341" s="134"/>
      <c r="KRF341" s="135"/>
      <c r="KRG341" s="135"/>
      <c r="KRH341" s="135"/>
      <c r="KRI341" s="135"/>
      <c r="KRJ341" s="173"/>
      <c r="KRK341" s="173"/>
      <c r="KRL341" s="173"/>
      <c r="KRM341" s="173"/>
      <c r="KRN341" s="173"/>
      <c r="KRO341" s="173"/>
      <c r="KRP341" s="173"/>
      <c r="KRQ341" s="173"/>
      <c r="KRR341" s="173"/>
      <c r="KRS341" s="173"/>
      <c r="KRT341" s="125"/>
      <c r="KRU341" s="125"/>
      <c r="KRV341" s="134"/>
      <c r="KRW341" s="135"/>
      <c r="KRX341" s="135"/>
      <c r="KRY341" s="135"/>
      <c r="KRZ341" s="135"/>
      <c r="KSA341" s="173"/>
      <c r="KSB341" s="173"/>
      <c r="KSC341" s="173"/>
      <c r="KSD341" s="173"/>
      <c r="KSE341" s="173"/>
      <c r="KSF341" s="173"/>
      <c r="KSG341" s="173"/>
      <c r="KSH341" s="173"/>
      <c r="KSI341" s="173"/>
      <c r="KSJ341" s="173"/>
      <c r="KSK341" s="125"/>
      <c r="KSL341" s="125"/>
      <c r="KSM341" s="134"/>
      <c r="KSN341" s="135"/>
      <c r="KSO341" s="135"/>
      <c r="KSP341" s="135"/>
      <c r="KSQ341" s="135"/>
      <c r="KSR341" s="173"/>
      <c r="KSS341" s="173"/>
      <c r="KST341" s="173"/>
      <c r="KSU341" s="173"/>
      <c r="KSV341" s="173"/>
      <c r="KSW341" s="173"/>
      <c r="KSX341" s="173"/>
      <c r="KSY341" s="173"/>
      <c r="KSZ341" s="173"/>
      <c r="KTA341" s="173"/>
      <c r="KTB341" s="125"/>
      <c r="KTC341" s="125"/>
      <c r="KTD341" s="134"/>
      <c r="KTE341" s="135"/>
      <c r="KTF341" s="135"/>
      <c r="KTG341" s="135"/>
      <c r="KTH341" s="135"/>
      <c r="KTI341" s="173"/>
      <c r="KTJ341" s="173"/>
      <c r="KTK341" s="173"/>
      <c r="KTL341" s="173"/>
      <c r="KTM341" s="173"/>
      <c r="KTN341" s="173"/>
      <c r="KTO341" s="173"/>
      <c r="KTP341" s="173"/>
      <c r="KTQ341" s="173"/>
      <c r="KTR341" s="173"/>
      <c r="KTS341" s="125"/>
      <c r="KTT341" s="125"/>
      <c r="KTU341" s="134"/>
      <c r="KTV341" s="135"/>
      <c r="KTW341" s="135"/>
      <c r="KTX341" s="135"/>
      <c r="KTY341" s="135"/>
      <c r="KTZ341" s="173"/>
      <c r="KUA341" s="173"/>
      <c r="KUB341" s="173"/>
      <c r="KUC341" s="173"/>
      <c r="KUD341" s="173"/>
      <c r="KUE341" s="173"/>
      <c r="KUF341" s="173"/>
      <c r="KUG341" s="173"/>
      <c r="KUH341" s="173"/>
      <c r="KUI341" s="173"/>
      <c r="KUJ341" s="125"/>
      <c r="KUK341" s="125"/>
      <c r="KUL341" s="134"/>
      <c r="KUM341" s="135"/>
      <c r="KUN341" s="135"/>
      <c r="KUO341" s="135"/>
      <c r="KUP341" s="135"/>
      <c r="KUQ341" s="173"/>
      <c r="KUR341" s="173"/>
      <c r="KUS341" s="173"/>
      <c r="KUT341" s="173"/>
      <c r="KUU341" s="173"/>
      <c r="KUV341" s="173"/>
      <c r="KUW341" s="173"/>
      <c r="KUX341" s="173"/>
      <c r="KUY341" s="173"/>
      <c r="KUZ341" s="173"/>
      <c r="KVA341" s="125"/>
      <c r="KVB341" s="125"/>
      <c r="KVC341" s="134"/>
      <c r="KVD341" s="135"/>
      <c r="KVE341" s="135"/>
      <c r="KVF341" s="135"/>
      <c r="KVG341" s="135"/>
      <c r="KVH341" s="173"/>
      <c r="KVI341" s="173"/>
      <c r="KVJ341" s="173"/>
      <c r="KVK341" s="173"/>
      <c r="KVL341" s="173"/>
      <c r="KVM341" s="173"/>
      <c r="KVN341" s="173"/>
      <c r="KVO341" s="173"/>
      <c r="KVP341" s="173"/>
      <c r="KVQ341" s="173"/>
      <c r="KVR341" s="125"/>
      <c r="KVS341" s="125"/>
      <c r="KVT341" s="134"/>
      <c r="KVU341" s="135"/>
      <c r="KVV341" s="135"/>
      <c r="KVW341" s="135"/>
      <c r="KVX341" s="135"/>
      <c r="KVY341" s="173"/>
      <c r="KVZ341" s="173"/>
      <c r="KWA341" s="173"/>
      <c r="KWB341" s="173"/>
      <c r="KWC341" s="173"/>
      <c r="KWD341" s="173"/>
      <c r="KWE341" s="173"/>
      <c r="KWF341" s="173"/>
      <c r="KWG341" s="173"/>
      <c r="KWH341" s="173"/>
      <c r="KWI341" s="125"/>
      <c r="KWJ341" s="125"/>
      <c r="KWK341" s="134"/>
      <c r="KWL341" s="135"/>
      <c r="KWM341" s="135"/>
      <c r="KWN341" s="135"/>
      <c r="KWO341" s="135"/>
      <c r="KWP341" s="173"/>
      <c r="KWQ341" s="173"/>
      <c r="KWR341" s="173"/>
      <c r="KWS341" s="173"/>
      <c r="KWT341" s="173"/>
      <c r="KWU341" s="173"/>
      <c r="KWV341" s="173"/>
      <c r="KWW341" s="173"/>
      <c r="KWX341" s="173"/>
      <c r="KWY341" s="173"/>
      <c r="KWZ341" s="125"/>
      <c r="KXA341" s="125"/>
      <c r="KXB341" s="134"/>
      <c r="KXC341" s="135"/>
      <c r="KXD341" s="135"/>
      <c r="KXE341" s="135"/>
      <c r="KXF341" s="135"/>
      <c r="KXG341" s="173"/>
      <c r="KXH341" s="173"/>
      <c r="KXI341" s="173"/>
      <c r="KXJ341" s="173"/>
      <c r="KXK341" s="173"/>
      <c r="KXL341" s="173"/>
      <c r="KXM341" s="173"/>
      <c r="KXN341" s="173"/>
      <c r="KXO341" s="173"/>
      <c r="KXP341" s="173"/>
      <c r="KXQ341" s="125"/>
      <c r="KXR341" s="125"/>
      <c r="KXS341" s="134"/>
      <c r="KXT341" s="135"/>
      <c r="KXU341" s="135"/>
      <c r="KXV341" s="135"/>
      <c r="KXW341" s="135"/>
      <c r="KXX341" s="173"/>
      <c r="KXY341" s="173"/>
      <c r="KXZ341" s="173"/>
      <c r="KYA341" s="173"/>
      <c r="KYB341" s="173"/>
      <c r="KYC341" s="173"/>
      <c r="KYD341" s="173"/>
      <c r="KYE341" s="173"/>
      <c r="KYF341" s="173"/>
      <c r="KYG341" s="173"/>
      <c r="KYH341" s="125"/>
      <c r="KYI341" s="125"/>
      <c r="KYJ341" s="134"/>
      <c r="KYK341" s="135"/>
      <c r="KYL341" s="135"/>
      <c r="KYM341" s="135"/>
      <c r="KYN341" s="135"/>
      <c r="KYO341" s="173"/>
      <c r="KYP341" s="173"/>
      <c r="KYQ341" s="173"/>
      <c r="KYR341" s="173"/>
      <c r="KYS341" s="173"/>
      <c r="KYT341" s="173"/>
      <c r="KYU341" s="173"/>
      <c r="KYV341" s="173"/>
      <c r="KYW341" s="173"/>
      <c r="KYX341" s="173"/>
      <c r="KYY341" s="125"/>
      <c r="KYZ341" s="125"/>
      <c r="KZA341" s="134"/>
      <c r="KZB341" s="135"/>
      <c r="KZC341" s="135"/>
      <c r="KZD341" s="135"/>
      <c r="KZE341" s="135"/>
      <c r="KZF341" s="173"/>
      <c r="KZG341" s="173"/>
      <c r="KZH341" s="173"/>
      <c r="KZI341" s="173"/>
      <c r="KZJ341" s="173"/>
      <c r="KZK341" s="173"/>
      <c r="KZL341" s="173"/>
      <c r="KZM341" s="173"/>
      <c r="KZN341" s="173"/>
      <c r="KZO341" s="173"/>
      <c r="KZP341" s="125"/>
      <c r="KZQ341" s="125"/>
      <c r="KZR341" s="134"/>
      <c r="KZS341" s="135"/>
      <c r="KZT341" s="135"/>
      <c r="KZU341" s="135"/>
      <c r="KZV341" s="135"/>
      <c r="KZW341" s="173"/>
      <c r="KZX341" s="173"/>
      <c r="KZY341" s="173"/>
      <c r="KZZ341" s="173"/>
      <c r="LAA341" s="173"/>
      <c r="LAB341" s="173"/>
      <c r="LAC341" s="173"/>
      <c r="LAD341" s="173"/>
      <c r="LAE341" s="173"/>
      <c r="LAF341" s="173"/>
      <c r="LAG341" s="125"/>
      <c r="LAH341" s="125"/>
      <c r="LAI341" s="134"/>
      <c r="LAJ341" s="135"/>
      <c r="LAK341" s="135"/>
      <c r="LAL341" s="135"/>
      <c r="LAM341" s="135"/>
      <c r="LAN341" s="173"/>
      <c r="LAO341" s="173"/>
      <c r="LAP341" s="173"/>
      <c r="LAQ341" s="173"/>
      <c r="LAR341" s="173"/>
      <c r="LAS341" s="173"/>
      <c r="LAT341" s="173"/>
      <c r="LAU341" s="173"/>
      <c r="LAV341" s="173"/>
      <c r="LAW341" s="173"/>
      <c r="LAX341" s="125"/>
      <c r="LAY341" s="125"/>
      <c r="LAZ341" s="134"/>
      <c r="LBA341" s="135"/>
      <c r="LBB341" s="135"/>
      <c r="LBC341" s="135"/>
      <c r="LBD341" s="135"/>
      <c r="LBE341" s="173"/>
      <c r="LBF341" s="173"/>
      <c r="LBG341" s="173"/>
      <c r="LBH341" s="173"/>
      <c r="LBI341" s="173"/>
      <c r="LBJ341" s="173"/>
      <c r="LBK341" s="173"/>
      <c r="LBL341" s="173"/>
      <c r="LBM341" s="173"/>
      <c r="LBN341" s="173"/>
      <c r="LBO341" s="125"/>
      <c r="LBP341" s="125"/>
      <c r="LBQ341" s="134"/>
      <c r="LBR341" s="135"/>
      <c r="LBS341" s="135"/>
      <c r="LBT341" s="135"/>
      <c r="LBU341" s="135"/>
      <c r="LBV341" s="173"/>
      <c r="LBW341" s="173"/>
      <c r="LBX341" s="173"/>
      <c r="LBY341" s="173"/>
      <c r="LBZ341" s="173"/>
      <c r="LCA341" s="173"/>
      <c r="LCB341" s="173"/>
      <c r="LCC341" s="173"/>
      <c r="LCD341" s="173"/>
      <c r="LCE341" s="173"/>
      <c r="LCF341" s="125"/>
      <c r="LCG341" s="125"/>
      <c r="LCH341" s="134"/>
      <c r="LCI341" s="135"/>
      <c r="LCJ341" s="135"/>
      <c r="LCK341" s="135"/>
      <c r="LCL341" s="135"/>
      <c r="LCM341" s="173"/>
      <c r="LCN341" s="173"/>
      <c r="LCO341" s="173"/>
      <c r="LCP341" s="173"/>
      <c r="LCQ341" s="173"/>
      <c r="LCR341" s="173"/>
      <c r="LCS341" s="173"/>
      <c r="LCT341" s="173"/>
      <c r="LCU341" s="173"/>
      <c r="LCV341" s="173"/>
      <c r="LCW341" s="125"/>
      <c r="LCX341" s="125"/>
      <c r="LCY341" s="134"/>
      <c r="LCZ341" s="135"/>
      <c r="LDA341" s="135"/>
      <c r="LDB341" s="135"/>
      <c r="LDC341" s="135"/>
      <c r="LDD341" s="173"/>
      <c r="LDE341" s="173"/>
      <c r="LDF341" s="173"/>
      <c r="LDG341" s="173"/>
      <c r="LDH341" s="173"/>
      <c r="LDI341" s="173"/>
      <c r="LDJ341" s="173"/>
      <c r="LDK341" s="173"/>
      <c r="LDL341" s="173"/>
      <c r="LDM341" s="173"/>
      <c r="LDN341" s="125"/>
      <c r="LDO341" s="125"/>
      <c r="LDP341" s="134"/>
      <c r="LDQ341" s="135"/>
      <c r="LDR341" s="135"/>
      <c r="LDS341" s="135"/>
      <c r="LDT341" s="135"/>
      <c r="LDU341" s="173"/>
      <c r="LDV341" s="173"/>
      <c r="LDW341" s="173"/>
      <c r="LDX341" s="173"/>
      <c r="LDY341" s="173"/>
      <c r="LDZ341" s="173"/>
      <c r="LEA341" s="173"/>
      <c r="LEB341" s="173"/>
      <c r="LEC341" s="173"/>
      <c r="LED341" s="173"/>
      <c r="LEE341" s="125"/>
      <c r="LEF341" s="125"/>
      <c r="LEG341" s="134"/>
      <c r="LEH341" s="135"/>
      <c r="LEI341" s="135"/>
      <c r="LEJ341" s="135"/>
      <c r="LEK341" s="135"/>
      <c r="LEL341" s="173"/>
      <c r="LEM341" s="173"/>
      <c r="LEN341" s="173"/>
      <c r="LEO341" s="173"/>
      <c r="LEP341" s="173"/>
      <c r="LEQ341" s="173"/>
      <c r="LER341" s="173"/>
      <c r="LES341" s="173"/>
      <c r="LET341" s="173"/>
      <c r="LEU341" s="173"/>
      <c r="LEV341" s="125"/>
      <c r="LEW341" s="125"/>
      <c r="LEX341" s="134"/>
      <c r="LEY341" s="135"/>
      <c r="LEZ341" s="135"/>
      <c r="LFA341" s="135"/>
      <c r="LFB341" s="135"/>
      <c r="LFC341" s="173"/>
      <c r="LFD341" s="173"/>
      <c r="LFE341" s="173"/>
      <c r="LFF341" s="173"/>
      <c r="LFG341" s="173"/>
      <c r="LFH341" s="173"/>
      <c r="LFI341" s="173"/>
      <c r="LFJ341" s="173"/>
      <c r="LFK341" s="173"/>
      <c r="LFL341" s="173"/>
      <c r="LFM341" s="125"/>
      <c r="LFN341" s="125"/>
      <c r="LFO341" s="134"/>
      <c r="LFP341" s="135"/>
      <c r="LFQ341" s="135"/>
      <c r="LFR341" s="135"/>
      <c r="LFS341" s="135"/>
      <c r="LFT341" s="173"/>
      <c r="LFU341" s="173"/>
      <c r="LFV341" s="173"/>
      <c r="LFW341" s="173"/>
      <c r="LFX341" s="173"/>
      <c r="LFY341" s="173"/>
      <c r="LFZ341" s="173"/>
      <c r="LGA341" s="173"/>
      <c r="LGB341" s="173"/>
      <c r="LGC341" s="173"/>
      <c r="LGD341" s="125"/>
      <c r="LGE341" s="125"/>
      <c r="LGF341" s="134"/>
      <c r="LGG341" s="135"/>
      <c r="LGH341" s="135"/>
      <c r="LGI341" s="135"/>
      <c r="LGJ341" s="135"/>
      <c r="LGK341" s="173"/>
      <c r="LGL341" s="173"/>
      <c r="LGM341" s="173"/>
      <c r="LGN341" s="173"/>
      <c r="LGO341" s="173"/>
      <c r="LGP341" s="173"/>
      <c r="LGQ341" s="173"/>
      <c r="LGR341" s="173"/>
      <c r="LGS341" s="173"/>
      <c r="LGT341" s="173"/>
      <c r="LGU341" s="125"/>
      <c r="LGV341" s="125"/>
      <c r="LGW341" s="134"/>
      <c r="LGX341" s="135"/>
      <c r="LGY341" s="135"/>
      <c r="LGZ341" s="135"/>
      <c r="LHA341" s="135"/>
      <c r="LHB341" s="173"/>
      <c r="LHC341" s="173"/>
      <c r="LHD341" s="173"/>
      <c r="LHE341" s="173"/>
      <c r="LHF341" s="173"/>
      <c r="LHG341" s="173"/>
      <c r="LHH341" s="173"/>
      <c r="LHI341" s="173"/>
      <c r="LHJ341" s="173"/>
      <c r="LHK341" s="173"/>
      <c r="LHL341" s="125"/>
      <c r="LHM341" s="125"/>
      <c r="LHN341" s="134"/>
      <c r="LHO341" s="135"/>
      <c r="LHP341" s="135"/>
      <c r="LHQ341" s="135"/>
      <c r="LHR341" s="135"/>
      <c r="LHS341" s="173"/>
      <c r="LHT341" s="173"/>
      <c r="LHU341" s="173"/>
      <c r="LHV341" s="173"/>
      <c r="LHW341" s="173"/>
      <c r="LHX341" s="173"/>
      <c r="LHY341" s="173"/>
      <c r="LHZ341" s="173"/>
      <c r="LIA341" s="173"/>
      <c r="LIB341" s="173"/>
      <c r="LIC341" s="125"/>
      <c r="LID341" s="125"/>
      <c r="LIE341" s="134"/>
      <c r="LIF341" s="135"/>
      <c r="LIG341" s="135"/>
      <c r="LIH341" s="135"/>
      <c r="LII341" s="135"/>
      <c r="LIJ341" s="173"/>
      <c r="LIK341" s="173"/>
      <c r="LIL341" s="173"/>
      <c r="LIM341" s="173"/>
      <c r="LIN341" s="173"/>
      <c r="LIO341" s="173"/>
      <c r="LIP341" s="173"/>
      <c r="LIQ341" s="173"/>
      <c r="LIR341" s="173"/>
      <c r="LIS341" s="173"/>
      <c r="LIT341" s="125"/>
      <c r="LIU341" s="125"/>
      <c r="LIV341" s="134"/>
      <c r="LIW341" s="135"/>
      <c r="LIX341" s="135"/>
      <c r="LIY341" s="135"/>
      <c r="LIZ341" s="135"/>
      <c r="LJA341" s="173"/>
      <c r="LJB341" s="173"/>
      <c r="LJC341" s="173"/>
      <c r="LJD341" s="173"/>
      <c r="LJE341" s="173"/>
      <c r="LJF341" s="173"/>
      <c r="LJG341" s="173"/>
      <c r="LJH341" s="173"/>
      <c r="LJI341" s="173"/>
      <c r="LJJ341" s="173"/>
      <c r="LJK341" s="125"/>
      <c r="LJL341" s="125"/>
      <c r="LJM341" s="134"/>
      <c r="LJN341" s="135"/>
      <c r="LJO341" s="135"/>
      <c r="LJP341" s="135"/>
      <c r="LJQ341" s="135"/>
      <c r="LJR341" s="173"/>
      <c r="LJS341" s="173"/>
      <c r="LJT341" s="173"/>
      <c r="LJU341" s="173"/>
      <c r="LJV341" s="173"/>
      <c r="LJW341" s="173"/>
      <c r="LJX341" s="173"/>
      <c r="LJY341" s="173"/>
      <c r="LJZ341" s="173"/>
      <c r="LKA341" s="173"/>
      <c r="LKB341" s="125"/>
      <c r="LKC341" s="125"/>
      <c r="LKD341" s="134"/>
      <c r="LKE341" s="135"/>
      <c r="LKF341" s="135"/>
      <c r="LKG341" s="135"/>
      <c r="LKH341" s="135"/>
      <c r="LKI341" s="173"/>
      <c r="LKJ341" s="173"/>
      <c r="LKK341" s="173"/>
      <c r="LKL341" s="173"/>
      <c r="LKM341" s="173"/>
      <c r="LKN341" s="173"/>
      <c r="LKO341" s="173"/>
      <c r="LKP341" s="173"/>
      <c r="LKQ341" s="173"/>
      <c r="LKR341" s="173"/>
      <c r="LKS341" s="125"/>
      <c r="LKT341" s="125"/>
      <c r="LKU341" s="134"/>
      <c r="LKV341" s="135"/>
      <c r="LKW341" s="135"/>
      <c r="LKX341" s="135"/>
      <c r="LKY341" s="135"/>
      <c r="LKZ341" s="173"/>
      <c r="LLA341" s="173"/>
      <c r="LLB341" s="173"/>
      <c r="LLC341" s="173"/>
      <c r="LLD341" s="173"/>
      <c r="LLE341" s="173"/>
      <c r="LLF341" s="173"/>
      <c r="LLG341" s="173"/>
      <c r="LLH341" s="173"/>
      <c r="LLI341" s="173"/>
      <c r="LLJ341" s="125"/>
      <c r="LLK341" s="125"/>
      <c r="LLL341" s="134"/>
      <c r="LLM341" s="135"/>
      <c r="LLN341" s="135"/>
      <c r="LLO341" s="135"/>
      <c r="LLP341" s="135"/>
      <c r="LLQ341" s="173"/>
      <c r="LLR341" s="173"/>
      <c r="LLS341" s="173"/>
      <c r="LLT341" s="173"/>
      <c r="LLU341" s="173"/>
      <c r="LLV341" s="173"/>
      <c r="LLW341" s="173"/>
      <c r="LLX341" s="173"/>
      <c r="LLY341" s="173"/>
      <c r="LLZ341" s="173"/>
      <c r="LMA341" s="125"/>
      <c r="LMB341" s="125"/>
      <c r="LMC341" s="134"/>
      <c r="LMD341" s="135"/>
      <c r="LME341" s="135"/>
      <c r="LMF341" s="135"/>
      <c r="LMG341" s="135"/>
      <c r="LMH341" s="173"/>
      <c r="LMI341" s="173"/>
      <c r="LMJ341" s="173"/>
      <c r="LMK341" s="173"/>
      <c r="LML341" s="173"/>
      <c r="LMM341" s="173"/>
      <c r="LMN341" s="173"/>
      <c r="LMO341" s="173"/>
      <c r="LMP341" s="173"/>
      <c r="LMQ341" s="173"/>
      <c r="LMR341" s="125"/>
      <c r="LMS341" s="125"/>
      <c r="LMT341" s="134"/>
      <c r="LMU341" s="135"/>
      <c r="LMV341" s="135"/>
      <c r="LMW341" s="135"/>
      <c r="LMX341" s="135"/>
      <c r="LMY341" s="173"/>
      <c r="LMZ341" s="173"/>
      <c r="LNA341" s="173"/>
      <c r="LNB341" s="173"/>
      <c r="LNC341" s="173"/>
      <c r="LND341" s="173"/>
      <c r="LNE341" s="173"/>
      <c r="LNF341" s="173"/>
      <c r="LNG341" s="173"/>
      <c r="LNH341" s="173"/>
      <c r="LNI341" s="125"/>
      <c r="LNJ341" s="125"/>
      <c r="LNK341" s="134"/>
      <c r="LNL341" s="135"/>
      <c r="LNM341" s="135"/>
      <c r="LNN341" s="135"/>
      <c r="LNO341" s="135"/>
      <c r="LNP341" s="173"/>
      <c r="LNQ341" s="173"/>
      <c r="LNR341" s="173"/>
      <c r="LNS341" s="173"/>
      <c r="LNT341" s="173"/>
      <c r="LNU341" s="173"/>
      <c r="LNV341" s="173"/>
      <c r="LNW341" s="173"/>
      <c r="LNX341" s="173"/>
      <c r="LNY341" s="173"/>
      <c r="LNZ341" s="125"/>
      <c r="LOA341" s="125"/>
      <c r="LOB341" s="134"/>
      <c r="LOC341" s="135"/>
      <c r="LOD341" s="135"/>
      <c r="LOE341" s="135"/>
      <c r="LOF341" s="135"/>
      <c r="LOG341" s="173"/>
      <c r="LOH341" s="173"/>
      <c r="LOI341" s="173"/>
      <c r="LOJ341" s="173"/>
      <c r="LOK341" s="173"/>
      <c r="LOL341" s="173"/>
      <c r="LOM341" s="173"/>
      <c r="LON341" s="173"/>
      <c r="LOO341" s="173"/>
      <c r="LOP341" s="173"/>
      <c r="LOQ341" s="125"/>
      <c r="LOR341" s="125"/>
      <c r="LOS341" s="134"/>
      <c r="LOT341" s="135"/>
      <c r="LOU341" s="135"/>
      <c r="LOV341" s="135"/>
      <c r="LOW341" s="135"/>
      <c r="LOX341" s="173"/>
      <c r="LOY341" s="173"/>
      <c r="LOZ341" s="173"/>
      <c r="LPA341" s="173"/>
      <c r="LPB341" s="173"/>
      <c r="LPC341" s="173"/>
      <c r="LPD341" s="173"/>
      <c r="LPE341" s="173"/>
      <c r="LPF341" s="173"/>
      <c r="LPG341" s="173"/>
      <c r="LPH341" s="125"/>
      <c r="LPI341" s="125"/>
      <c r="LPJ341" s="134"/>
      <c r="LPK341" s="135"/>
      <c r="LPL341" s="135"/>
      <c r="LPM341" s="135"/>
      <c r="LPN341" s="135"/>
      <c r="LPO341" s="173"/>
      <c r="LPP341" s="173"/>
      <c r="LPQ341" s="173"/>
      <c r="LPR341" s="173"/>
      <c r="LPS341" s="173"/>
      <c r="LPT341" s="173"/>
      <c r="LPU341" s="173"/>
      <c r="LPV341" s="173"/>
      <c r="LPW341" s="173"/>
      <c r="LPX341" s="173"/>
      <c r="LPY341" s="125"/>
      <c r="LPZ341" s="125"/>
      <c r="LQA341" s="134"/>
      <c r="LQB341" s="135"/>
      <c r="LQC341" s="135"/>
      <c r="LQD341" s="135"/>
      <c r="LQE341" s="135"/>
      <c r="LQF341" s="173"/>
      <c r="LQG341" s="173"/>
      <c r="LQH341" s="173"/>
      <c r="LQI341" s="173"/>
      <c r="LQJ341" s="173"/>
      <c r="LQK341" s="173"/>
      <c r="LQL341" s="173"/>
      <c r="LQM341" s="173"/>
      <c r="LQN341" s="173"/>
      <c r="LQO341" s="173"/>
      <c r="LQP341" s="125"/>
      <c r="LQQ341" s="125"/>
      <c r="LQR341" s="134"/>
      <c r="LQS341" s="135"/>
      <c r="LQT341" s="135"/>
      <c r="LQU341" s="135"/>
      <c r="LQV341" s="135"/>
      <c r="LQW341" s="173"/>
      <c r="LQX341" s="173"/>
      <c r="LQY341" s="173"/>
      <c r="LQZ341" s="173"/>
      <c r="LRA341" s="173"/>
      <c r="LRB341" s="173"/>
      <c r="LRC341" s="173"/>
      <c r="LRD341" s="173"/>
      <c r="LRE341" s="173"/>
      <c r="LRF341" s="173"/>
      <c r="LRG341" s="125"/>
      <c r="LRH341" s="125"/>
      <c r="LRI341" s="134"/>
      <c r="LRJ341" s="135"/>
      <c r="LRK341" s="135"/>
      <c r="LRL341" s="135"/>
      <c r="LRM341" s="135"/>
      <c r="LRN341" s="173"/>
      <c r="LRO341" s="173"/>
      <c r="LRP341" s="173"/>
      <c r="LRQ341" s="173"/>
      <c r="LRR341" s="173"/>
      <c r="LRS341" s="173"/>
      <c r="LRT341" s="173"/>
      <c r="LRU341" s="173"/>
      <c r="LRV341" s="173"/>
      <c r="LRW341" s="173"/>
      <c r="LRX341" s="125"/>
      <c r="LRY341" s="125"/>
      <c r="LRZ341" s="134"/>
      <c r="LSA341" s="135"/>
      <c r="LSB341" s="135"/>
      <c r="LSC341" s="135"/>
      <c r="LSD341" s="135"/>
      <c r="LSE341" s="173"/>
      <c r="LSF341" s="173"/>
      <c r="LSG341" s="173"/>
      <c r="LSH341" s="173"/>
      <c r="LSI341" s="173"/>
      <c r="LSJ341" s="173"/>
      <c r="LSK341" s="173"/>
      <c r="LSL341" s="173"/>
      <c r="LSM341" s="173"/>
      <c r="LSN341" s="173"/>
      <c r="LSO341" s="125"/>
      <c r="LSP341" s="125"/>
      <c r="LSQ341" s="134"/>
      <c r="LSR341" s="135"/>
      <c r="LSS341" s="135"/>
      <c r="LST341" s="135"/>
      <c r="LSU341" s="135"/>
      <c r="LSV341" s="173"/>
      <c r="LSW341" s="173"/>
      <c r="LSX341" s="173"/>
      <c r="LSY341" s="173"/>
      <c r="LSZ341" s="173"/>
      <c r="LTA341" s="173"/>
      <c r="LTB341" s="173"/>
      <c r="LTC341" s="173"/>
      <c r="LTD341" s="173"/>
      <c r="LTE341" s="173"/>
      <c r="LTF341" s="125"/>
      <c r="LTG341" s="125"/>
      <c r="LTH341" s="134"/>
      <c r="LTI341" s="135"/>
      <c r="LTJ341" s="135"/>
      <c r="LTK341" s="135"/>
      <c r="LTL341" s="135"/>
      <c r="LTM341" s="173"/>
      <c r="LTN341" s="173"/>
      <c r="LTO341" s="173"/>
      <c r="LTP341" s="173"/>
      <c r="LTQ341" s="173"/>
      <c r="LTR341" s="173"/>
      <c r="LTS341" s="173"/>
      <c r="LTT341" s="173"/>
      <c r="LTU341" s="173"/>
      <c r="LTV341" s="173"/>
      <c r="LTW341" s="125"/>
      <c r="LTX341" s="125"/>
      <c r="LTY341" s="134"/>
      <c r="LTZ341" s="135"/>
      <c r="LUA341" s="135"/>
      <c r="LUB341" s="135"/>
      <c r="LUC341" s="135"/>
      <c r="LUD341" s="173"/>
      <c r="LUE341" s="173"/>
      <c r="LUF341" s="173"/>
      <c r="LUG341" s="173"/>
      <c r="LUH341" s="173"/>
      <c r="LUI341" s="173"/>
      <c r="LUJ341" s="173"/>
      <c r="LUK341" s="173"/>
      <c r="LUL341" s="173"/>
      <c r="LUM341" s="173"/>
      <c r="LUN341" s="125"/>
      <c r="LUO341" s="125"/>
      <c r="LUP341" s="134"/>
      <c r="LUQ341" s="135"/>
      <c r="LUR341" s="135"/>
      <c r="LUS341" s="135"/>
      <c r="LUT341" s="135"/>
      <c r="LUU341" s="173"/>
      <c r="LUV341" s="173"/>
      <c r="LUW341" s="173"/>
      <c r="LUX341" s="173"/>
      <c r="LUY341" s="173"/>
      <c r="LUZ341" s="173"/>
      <c r="LVA341" s="173"/>
      <c r="LVB341" s="173"/>
      <c r="LVC341" s="173"/>
      <c r="LVD341" s="173"/>
      <c r="LVE341" s="125"/>
      <c r="LVF341" s="125"/>
      <c r="LVG341" s="134"/>
      <c r="LVH341" s="135"/>
      <c r="LVI341" s="135"/>
      <c r="LVJ341" s="135"/>
      <c r="LVK341" s="135"/>
      <c r="LVL341" s="173"/>
      <c r="LVM341" s="173"/>
      <c r="LVN341" s="173"/>
      <c r="LVO341" s="173"/>
      <c r="LVP341" s="173"/>
      <c r="LVQ341" s="173"/>
      <c r="LVR341" s="173"/>
      <c r="LVS341" s="173"/>
      <c r="LVT341" s="173"/>
      <c r="LVU341" s="173"/>
      <c r="LVV341" s="125"/>
      <c r="LVW341" s="125"/>
      <c r="LVX341" s="134"/>
      <c r="LVY341" s="135"/>
      <c r="LVZ341" s="135"/>
      <c r="LWA341" s="135"/>
      <c r="LWB341" s="135"/>
      <c r="LWC341" s="173"/>
      <c r="LWD341" s="173"/>
      <c r="LWE341" s="173"/>
      <c r="LWF341" s="173"/>
      <c r="LWG341" s="173"/>
      <c r="LWH341" s="173"/>
      <c r="LWI341" s="173"/>
      <c r="LWJ341" s="173"/>
      <c r="LWK341" s="173"/>
      <c r="LWL341" s="173"/>
      <c r="LWM341" s="125"/>
      <c r="LWN341" s="125"/>
      <c r="LWO341" s="134"/>
      <c r="LWP341" s="135"/>
      <c r="LWQ341" s="135"/>
      <c r="LWR341" s="135"/>
      <c r="LWS341" s="135"/>
      <c r="LWT341" s="173"/>
      <c r="LWU341" s="173"/>
      <c r="LWV341" s="173"/>
      <c r="LWW341" s="173"/>
      <c r="LWX341" s="173"/>
      <c r="LWY341" s="173"/>
      <c r="LWZ341" s="173"/>
      <c r="LXA341" s="173"/>
      <c r="LXB341" s="173"/>
      <c r="LXC341" s="173"/>
      <c r="LXD341" s="125"/>
      <c r="LXE341" s="125"/>
      <c r="LXF341" s="134"/>
      <c r="LXG341" s="135"/>
      <c r="LXH341" s="135"/>
      <c r="LXI341" s="135"/>
      <c r="LXJ341" s="135"/>
      <c r="LXK341" s="173"/>
      <c r="LXL341" s="173"/>
      <c r="LXM341" s="173"/>
      <c r="LXN341" s="173"/>
      <c r="LXO341" s="173"/>
      <c r="LXP341" s="173"/>
      <c r="LXQ341" s="173"/>
      <c r="LXR341" s="173"/>
      <c r="LXS341" s="173"/>
      <c r="LXT341" s="173"/>
      <c r="LXU341" s="125"/>
      <c r="LXV341" s="125"/>
      <c r="LXW341" s="134"/>
      <c r="LXX341" s="135"/>
      <c r="LXY341" s="135"/>
      <c r="LXZ341" s="135"/>
      <c r="LYA341" s="135"/>
      <c r="LYB341" s="173"/>
      <c r="LYC341" s="173"/>
      <c r="LYD341" s="173"/>
      <c r="LYE341" s="173"/>
      <c r="LYF341" s="173"/>
      <c r="LYG341" s="173"/>
      <c r="LYH341" s="173"/>
      <c r="LYI341" s="173"/>
      <c r="LYJ341" s="173"/>
      <c r="LYK341" s="173"/>
      <c r="LYL341" s="125"/>
      <c r="LYM341" s="125"/>
      <c r="LYN341" s="134"/>
      <c r="LYO341" s="135"/>
      <c r="LYP341" s="135"/>
      <c r="LYQ341" s="135"/>
      <c r="LYR341" s="135"/>
      <c r="LYS341" s="173"/>
      <c r="LYT341" s="173"/>
      <c r="LYU341" s="173"/>
      <c r="LYV341" s="173"/>
      <c r="LYW341" s="173"/>
      <c r="LYX341" s="173"/>
      <c r="LYY341" s="173"/>
      <c r="LYZ341" s="173"/>
      <c r="LZA341" s="173"/>
      <c r="LZB341" s="173"/>
      <c r="LZC341" s="125"/>
      <c r="LZD341" s="125"/>
      <c r="LZE341" s="134"/>
      <c r="LZF341" s="135"/>
      <c r="LZG341" s="135"/>
      <c r="LZH341" s="135"/>
      <c r="LZI341" s="135"/>
      <c r="LZJ341" s="173"/>
      <c r="LZK341" s="173"/>
      <c r="LZL341" s="173"/>
      <c r="LZM341" s="173"/>
      <c r="LZN341" s="173"/>
      <c r="LZO341" s="173"/>
      <c r="LZP341" s="173"/>
      <c r="LZQ341" s="173"/>
      <c r="LZR341" s="173"/>
      <c r="LZS341" s="173"/>
      <c r="LZT341" s="125"/>
      <c r="LZU341" s="125"/>
      <c r="LZV341" s="134"/>
      <c r="LZW341" s="135"/>
      <c r="LZX341" s="135"/>
      <c r="LZY341" s="135"/>
      <c r="LZZ341" s="135"/>
      <c r="MAA341" s="173"/>
      <c r="MAB341" s="173"/>
      <c r="MAC341" s="173"/>
      <c r="MAD341" s="173"/>
      <c r="MAE341" s="173"/>
      <c r="MAF341" s="173"/>
      <c r="MAG341" s="173"/>
      <c r="MAH341" s="173"/>
      <c r="MAI341" s="173"/>
      <c r="MAJ341" s="173"/>
      <c r="MAK341" s="125"/>
      <c r="MAL341" s="125"/>
      <c r="MAM341" s="134"/>
      <c r="MAN341" s="135"/>
      <c r="MAO341" s="135"/>
      <c r="MAP341" s="135"/>
      <c r="MAQ341" s="135"/>
      <c r="MAR341" s="173"/>
      <c r="MAS341" s="173"/>
      <c r="MAT341" s="173"/>
      <c r="MAU341" s="173"/>
      <c r="MAV341" s="173"/>
      <c r="MAW341" s="173"/>
      <c r="MAX341" s="173"/>
      <c r="MAY341" s="173"/>
      <c r="MAZ341" s="173"/>
      <c r="MBA341" s="173"/>
      <c r="MBB341" s="125"/>
      <c r="MBC341" s="125"/>
      <c r="MBD341" s="134"/>
      <c r="MBE341" s="135"/>
      <c r="MBF341" s="135"/>
      <c r="MBG341" s="135"/>
      <c r="MBH341" s="135"/>
      <c r="MBI341" s="173"/>
      <c r="MBJ341" s="173"/>
      <c r="MBK341" s="173"/>
      <c r="MBL341" s="173"/>
      <c r="MBM341" s="173"/>
      <c r="MBN341" s="173"/>
      <c r="MBO341" s="173"/>
      <c r="MBP341" s="173"/>
      <c r="MBQ341" s="173"/>
      <c r="MBR341" s="173"/>
      <c r="MBS341" s="125"/>
      <c r="MBT341" s="125"/>
      <c r="MBU341" s="134"/>
      <c r="MBV341" s="135"/>
      <c r="MBW341" s="135"/>
      <c r="MBX341" s="135"/>
      <c r="MBY341" s="135"/>
      <c r="MBZ341" s="173"/>
      <c r="MCA341" s="173"/>
      <c r="MCB341" s="173"/>
      <c r="MCC341" s="173"/>
      <c r="MCD341" s="173"/>
      <c r="MCE341" s="173"/>
      <c r="MCF341" s="173"/>
      <c r="MCG341" s="173"/>
      <c r="MCH341" s="173"/>
      <c r="MCI341" s="173"/>
      <c r="MCJ341" s="125"/>
      <c r="MCK341" s="125"/>
      <c r="MCL341" s="134"/>
      <c r="MCM341" s="135"/>
      <c r="MCN341" s="135"/>
      <c r="MCO341" s="135"/>
      <c r="MCP341" s="135"/>
      <c r="MCQ341" s="173"/>
      <c r="MCR341" s="173"/>
      <c r="MCS341" s="173"/>
      <c r="MCT341" s="173"/>
      <c r="MCU341" s="173"/>
      <c r="MCV341" s="173"/>
      <c r="MCW341" s="173"/>
      <c r="MCX341" s="173"/>
      <c r="MCY341" s="173"/>
      <c r="MCZ341" s="173"/>
      <c r="MDA341" s="125"/>
      <c r="MDB341" s="125"/>
      <c r="MDC341" s="134"/>
      <c r="MDD341" s="135"/>
      <c r="MDE341" s="135"/>
      <c r="MDF341" s="135"/>
      <c r="MDG341" s="135"/>
      <c r="MDH341" s="173"/>
      <c r="MDI341" s="173"/>
      <c r="MDJ341" s="173"/>
      <c r="MDK341" s="173"/>
      <c r="MDL341" s="173"/>
      <c r="MDM341" s="173"/>
      <c r="MDN341" s="173"/>
      <c r="MDO341" s="173"/>
      <c r="MDP341" s="173"/>
      <c r="MDQ341" s="173"/>
      <c r="MDR341" s="125"/>
      <c r="MDS341" s="125"/>
      <c r="MDT341" s="134"/>
      <c r="MDU341" s="135"/>
      <c r="MDV341" s="135"/>
      <c r="MDW341" s="135"/>
      <c r="MDX341" s="135"/>
      <c r="MDY341" s="173"/>
      <c r="MDZ341" s="173"/>
      <c r="MEA341" s="173"/>
      <c r="MEB341" s="173"/>
      <c r="MEC341" s="173"/>
      <c r="MED341" s="173"/>
      <c r="MEE341" s="173"/>
      <c r="MEF341" s="173"/>
      <c r="MEG341" s="173"/>
      <c r="MEH341" s="173"/>
      <c r="MEI341" s="125"/>
      <c r="MEJ341" s="125"/>
      <c r="MEK341" s="134"/>
      <c r="MEL341" s="135"/>
      <c r="MEM341" s="135"/>
      <c r="MEN341" s="135"/>
      <c r="MEO341" s="135"/>
      <c r="MEP341" s="173"/>
      <c r="MEQ341" s="173"/>
      <c r="MER341" s="173"/>
      <c r="MES341" s="173"/>
      <c r="MET341" s="173"/>
      <c r="MEU341" s="173"/>
      <c r="MEV341" s="173"/>
      <c r="MEW341" s="173"/>
      <c r="MEX341" s="173"/>
      <c r="MEY341" s="173"/>
      <c r="MEZ341" s="125"/>
      <c r="MFA341" s="125"/>
      <c r="MFB341" s="134"/>
      <c r="MFC341" s="135"/>
      <c r="MFD341" s="135"/>
      <c r="MFE341" s="135"/>
      <c r="MFF341" s="135"/>
      <c r="MFG341" s="173"/>
      <c r="MFH341" s="173"/>
      <c r="MFI341" s="173"/>
      <c r="MFJ341" s="173"/>
      <c r="MFK341" s="173"/>
      <c r="MFL341" s="173"/>
      <c r="MFM341" s="173"/>
      <c r="MFN341" s="173"/>
      <c r="MFO341" s="173"/>
      <c r="MFP341" s="173"/>
      <c r="MFQ341" s="125"/>
      <c r="MFR341" s="125"/>
      <c r="MFS341" s="134"/>
      <c r="MFT341" s="135"/>
      <c r="MFU341" s="135"/>
      <c r="MFV341" s="135"/>
      <c r="MFW341" s="135"/>
      <c r="MFX341" s="173"/>
      <c r="MFY341" s="173"/>
      <c r="MFZ341" s="173"/>
      <c r="MGA341" s="173"/>
      <c r="MGB341" s="173"/>
      <c r="MGC341" s="173"/>
      <c r="MGD341" s="173"/>
      <c r="MGE341" s="173"/>
      <c r="MGF341" s="173"/>
      <c r="MGG341" s="173"/>
      <c r="MGH341" s="125"/>
      <c r="MGI341" s="125"/>
      <c r="MGJ341" s="134"/>
      <c r="MGK341" s="135"/>
      <c r="MGL341" s="135"/>
      <c r="MGM341" s="135"/>
      <c r="MGN341" s="135"/>
      <c r="MGO341" s="173"/>
      <c r="MGP341" s="173"/>
      <c r="MGQ341" s="173"/>
      <c r="MGR341" s="173"/>
      <c r="MGS341" s="173"/>
      <c r="MGT341" s="173"/>
      <c r="MGU341" s="173"/>
      <c r="MGV341" s="173"/>
      <c r="MGW341" s="173"/>
      <c r="MGX341" s="173"/>
      <c r="MGY341" s="125"/>
      <c r="MGZ341" s="125"/>
      <c r="MHA341" s="134"/>
      <c r="MHB341" s="135"/>
      <c r="MHC341" s="135"/>
      <c r="MHD341" s="135"/>
      <c r="MHE341" s="135"/>
      <c r="MHF341" s="173"/>
      <c r="MHG341" s="173"/>
      <c r="MHH341" s="173"/>
      <c r="MHI341" s="173"/>
      <c r="MHJ341" s="173"/>
      <c r="MHK341" s="173"/>
      <c r="MHL341" s="173"/>
      <c r="MHM341" s="173"/>
      <c r="MHN341" s="173"/>
      <c r="MHO341" s="173"/>
      <c r="MHP341" s="125"/>
      <c r="MHQ341" s="125"/>
      <c r="MHR341" s="134"/>
      <c r="MHS341" s="135"/>
      <c r="MHT341" s="135"/>
      <c r="MHU341" s="135"/>
      <c r="MHV341" s="135"/>
      <c r="MHW341" s="173"/>
      <c r="MHX341" s="173"/>
      <c r="MHY341" s="173"/>
      <c r="MHZ341" s="173"/>
      <c r="MIA341" s="173"/>
      <c r="MIB341" s="173"/>
      <c r="MIC341" s="173"/>
      <c r="MID341" s="173"/>
      <c r="MIE341" s="173"/>
      <c r="MIF341" s="173"/>
      <c r="MIG341" s="125"/>
      <c r="MIH341" s="125"/>
      <c r="MII341" s="134"/>
      <c r="MIJ341" s="135"/>
      <c r="MIK341" s="135"/>
      <c r="MIL341" s="135"/>
      <c r="MIM341" s="135"/>
      <c r="MIN341" s="173"/>
      <c r="MIO341" s="173"/>
      <c r="MIP341" s="173"/>
      <c r="MIQ341" s="173"/>
      <c r="MIR341" s="173"/>
      <c r="MIS341" s="173"/>
      <c r="MIT341" s="173"/>
      <c r="MIU341" s="173"/>
      <c r="MIV341" s="173"/>
      <c r="MIW341" s="173"/>
      <c r="MIX341" s="125"/>
      <c r="MIY341" s="125"/>
      <c r="MIZ341" s="134"/>
      <c r="MJA341" s="135"/>
      <c r="MJB341" s="135"/>
      <c r="MJC341" s="135"/>
      <c r="MJD341" s="135"/>
      <c r="MJE341" s="173"/>
      <c r="MJF341" s="173"/>
      <c r="MJG341" s="173"/>
      <c r="MJH341" s="173"/>
      <c r="MJI341" s="173"/>
      <c r="MJJ341" s="173"/>
      <c r="MJK341" s="173"/>
      <c r="MJL341" s="173"/>
      <c r="MJM341" s="173"/>
      <c r="MJN341" s="173"/>
      <c r="MJO341" s="125"/>
      <c r="MJP341" s="125"/>
      <c r="MJQ341" s="134"/>
      <c r="MJR341" s="135"/>
      <c r="MJS341" s="135"/>
      <c r="MJT341" s="135"/>
      <c r="MJU341" s="135"/>
      <c r="MJV341" s="173"/>
      <c r="MJW341" s="173"/>
      <c r="MJX341" s="173"/>
      <c r="MJY341" s="173"/>
      <c r="MJZ341" s="173"/>
      <c r="MKA341" s="173"/>
      <c r="MKB341" s="173"/>
      <c r="MKC341" s="173"/>
      <c r="MKD341" s="173"/>
      <c r="MKE341" s="173"/>
      <c r="MKF341" s="125"/>
      <c r="MKG341" s="125"/>
      <c r="MKH341" s="134"/>
      <c r="MKI341" s="135"/>
      <c r="MKJ341" s="135"/>
      <c r="MKK341" s="135"/>
      <c r="MKL341" s="135"/>
      <c r="MKM341" s="173"/>
      <c r="MKN341" s="173"/>
      <c r="MKO341" s="173"/>
      <c r="MKP341" s="173"/>
      <c r="MKQ341" s="173"/>
      <c r="MKR341" s="173"/>
      <c r="MKS341" s="173"/>
      <c r="MKT341" s="173"/>
      <c r="MKU341" s="173"/>
      <c r="MKV341" s="173"/>
      <c r="MKW341" s="125"/>
      <c r="MKX341" s="125"/>
      <c r="MKY341" s="134"/>
      <c r="MKZ341" s="135"/>
      <c r="MLA341" s="135"/>
      <c r="MLB341" s="135"/>
      <c r="MLC341" s="135"/>
      <c r="MLD341" s="173"/>
      <c r="MLE341" s="173"/>
      <c r="MLF341" s="173"/>
      <c r="MLG341" s="173"/>
      <c r="MLH341" s="173"/>
      <c r="MLI341" s="173"/>
      <c r="MLJ341" s="173"/>
      <c r="MLK341" s="173"/>
      <c r="MLL341" s="173"/>
      <c r="MLM341" s="173"/>
      <c r="MLN341" s="125"/>
      <c r="MLO341" s="125"/>
      <c r="MLP341" s="134"/>
      <c r="MLQ341" s="135"/>
      <c r="MLR341" s="135"/>
      <c r="MLS341" s="135"/>
      <c r="MLT341" s="135"/>
      <c r="MLU341" s="173"/>
      <c r="MLV341" s="173"/>
      <c r="MLW341" s="173"/>
      <c r="MLX341" s="173"/>
      <c r="MLY341" s="173"/>
      <c r="MLZ341" s="173"/>
      <c r="MMA341" s="173"/>
      <c r="MMB341" s="173"/>
      <c r="MMC341" s="173"/>
      <c r="MMD341" s="173"/>
      <c r="MME341" s="125"/>
      <c r="MMF341" s="125"/>
      <c r="MMG341" s="134"/>
      <c r="MMH341" s="135"/>
      <c r="MMI341" s="135"/>
      <c r="MMJ341" s="135"/>
      <c r="MMK341" s="135"/>
      <c r="MML341" s="173"/>
      <c r="MMM341" s="173"/>
      <c r="MMN341" s="173"/>
      <c r="MMO341" s="173"/>
      <c r="MMP341" s="173"/>
      <c r="MMQ341" s="173"/>
      <c r="MMR341" s="173"/>
      <c r="MMS341" s="173"/>
      <c r="MMT341" s="173"/>
      <c r="MMU341" s="173"/>
      <c r="MMV341" s="125"/>
      <c r="MMW341" s="125"/>
      <c r="MMX341" s="134"/>
      <c r="MMY341" s="135"/>
      <c r="MMZ341" s="135"/>
      <c r="MNA341" s="135"/>
      <c r="MNB341" s="135"/>
      <c r="MNC341" s="173"/>
      <c r="MND341" s="173"/>
      <c r="MNE341" s="173"/>
      <c r="MNF341" s="173"/>
      <c r="MNG341" s="173"/>
      <c r="MNH341" s="173"/>
      <c r="MNI341" s="173"/>
      <c r="MNJ341" s="173"/>
      <c r="MNK341" s="173"/>
      <c r="MNL341" s="173"/>
      <c r="MNM341" s="125"/>
      <c r="MNN341" s="125"/>
      <c r="MNO341" s="134"/>
      <c r="MNP341" s="135"/>
      <c r="MNQ341" s="135"/>
      <c r="MNR341" s="135"/>
      <c r="MNS341" s="135"/>
      <c r="MNT341" s="173"/>
      <c r="MNU341" s="173"/>
      <c r="MNV341" s="173"/>
      <c r="MNW341" s="173"/>
      <c r="MNX341" s="173"/>
      <c r="MNY341" s="173"/>
      <c r="MNZ341" s="173"/>
      <c r="MOA341" s="173"/>
      <c r="MOB341" s="173"/>
      <c r="MOC341" s="173"/>
      <c r="MOD341" s="125"/>
      <c r="MOE341" s="125"/>
      <c r="MOF341" s="134"/>
      <c r="MOG341" s="135"/>
      <c r="MOH341" s="135"/>
      <c r="MOI341" s="135"/>
      <c r="MOJ341" s="135"/>
      <c r="MOK341" s="173"/>
      <c r="MOL341" s="173"/>
      <c r="MOM341" s="173"/>
      <c r="MON341" s="173"/>
      <c r="MOO341" s="173"/>
      <c r="MOP341" s="173"/>
      <c r="MOQ341" s="173"/>
      <c r="MOR341" s="173"/>
      <c r="MOS341" s="173"/>
      <c r="MOT341" s="173"/>
      <c r="MOU341" s="125"/>
      <c r="MOV341" s="125"/>
      <c r="MOW341" s="134"/>
      <c r="MOX341" s="135"/>
      <c r="MOY341" s="135"/>
      <c r="MOZ341" s="135"/>
      <c r="MPA341" s="135"/>
      <c r="MPB341" s="173"/>
      <c r="MPC341" s="173"/>
      <c r="MPD341" s="173"/>
      <c r="MPE341" s="173"/>
      <c r="MPF341" s="173"/>
      <c r="MPG341" s="173"/>
      <c r="MPH341" s="173"/>
      <c r="MPI341" s="173"/>
      <c r="MPJ341" s="173"/>
      <c r="MPK341" s="173"/>
      <c r="MPL341" s="125"/>
      <c r="MPM341" s="125"/>
      <c r="MPN341" s="134"/>
      <c r="MPO341" s="135"/>
      <c r="MPP341" s="135"/>
      <c r="MPQ341" s="135"/>
      <c r="MPR341" s="135"/>
      <c r="MPS341" s="173"/>
      <c r="MPT341" s="173"/>
      <c r="MPU341" s="173"/>
      <c r="MPV341" s="173"/>
      <c r="MPW341" s="173"/>
      <c r="MPX341" s="173"/>
      <c r="MPY341" s="173"/>
      <c r="MPZ341" s="173"/>
      <c r="MQA341" s="173"/>
      <c r="MQB341" s="173"/>
      <c r="MQC341" s="125"/>
      <c r="MQD341" s="125"/>
      <c r="MQE341" s="134"/>
      <c r="MQF341" s="135"/>
      <c r="MQG341" s="135"/>
      <c r="MQH341" s="135"/>
      <c r="MQI341" s="135"/>
      <c r="MQJ341" s="173"/>
      <c r="MQK341" s="173"/>
      <c r="MQL341" s="173"/>
      <c r="MQM341" s="173"/>
      <c r="MQN341" s="173"/>
      <c r="MQO341" s="173"/>
      <c r="MQP341" s="173"/>
      <c r="MQQ341" s="173"/>
      <c r="MQR341" s="173"/>
      <c r="MQS341" s="173"/>
      <c r="MQT341" s="125"/>
      <c r="MQU341" s="125"/>
      <c r="MQV341" s="134"/>
      <c r="MQW341" s="135"/>
      <c r="MQX341" s="135"/>
      <c r="MQY341" s="135"/>
      <c r="MQZ341" s="135"/>
      <c r="MRA341" s="173"/>
      <c r="MRB341" s="173"/>
      <c r="MRC341" s="173"/>
      <c r="MRD341" s="173"/>
      <c r="MRE341" s="173"/>
      <c r="MRF341" s="173"/>
      <c r="MRG341" s="173"/>
      <c r="MRH341" s="173"/>
      <c r="MRI341" s="173"/>
      <c r="MRJ341" s="173"/>
      <c r="MRK341" s="125"/>
      <c r="MRL341" s="125"/>
      <c r="MRM341" s="134"/>
      <c r="MRN341" s="135"/>
      <c r="MRO341" s="135"/>
      <c r="MRP341" s="135"/>
      <c r="MRQ341" s="135"/>
      <c r="MRR341" s="173"/>
      <c r="MRS341" s="173"/>
      <c r="MRT341" s="173"/>
      <c r="MRU341" s="173"/>
      <c r="MRV341" s="173"/>
      <c r="MRW341" s="173"/>
      <c r="MRX341" s="173"/>
      <c r="MRY341" s="173"/>
      <c r="MRZ341" s="173"/>
      <c r="MSA341" s="173"/>
      <c r="MSB341" s="125"/>
      <c r="MSC341" s="125"/>
      <c r="MSD341" s="134"/>
      <c r="MSE341" s="135"/>
      <c r="MSF341" s="135"/>
      <c r="MSG341" s="135"/>
      <c r="MSH341" s="135"/>
      <c r="MSI341" s="173"/>
      <c r="MSJ341" s="173"/>
      <c r="MSK341" s="173"/>
      <c r="MSL341" s="173"/>
      <c r="MSM341" s="173"/>
      <c r="MSN341" s="173"/>
      <c r="MSO341" s="173"/>
      <c r="MSP341" s="173"/>
      <c r="MSQ341" s="173"/>
      <c r="MSR341" s="173"/>
      <c r="MSS341" s="125"/>
      <c r="MST341" s="125"/>
      <c r="MSU341" s="134"/>
      <c r="MSV341" s="135"/>
      <c r="MSW341" s="135"/>
      <c r="MSX341" s="135"/>
      <c r="MSY341" s="135"/>
      <c r="MSZ341" s="173"/>
      <c r="MTA341" s="173"/>
      <c r="MTB341" s="173"/>
      <c r="MTC341" s="173"/>
      <c r="MTD341" s="173"/>
      <c r="MTE341" s="173"/>
      <c r="MTF341" s="173"/>
      <c r="MTG341" s="173"/>
      <c r="MTH341" s="173"/>
      <c r="MTI341" s="173"/>
      <c r="MTJ341" s="125"/>
      <c r="MTK341" s="125"/>
      <c r="MTL341" s="134"/>
      <c r="MTM341" s="135"/>
      <c r="MTN341" s="135"/>
      <c r="MTO341" s="135"/>
      <c r="MTP341" s="135"/>
      <c r="MTQ341" s="173"/>
      <c r="MTR341" s="173"/>
      <c r="MTS341" s="173"/>
      <c r="MTT341" s="173"/>
      <c r="MTU341" s="173"/>
      <c r="MTV341" s="173"/>
      <c r="MTW341" s="173"/>
      <c r="MTX341" s="173"/>
      <c r="MTY341" s="173"/>
      <c r="MTZ341" s="173"/>
      <c r="MUA341" s="125"/>
      <c r="MUB341" s="125"/>
      <c r="MUC341" s="134"/>
      <c r="MUD341" s="135"/>
      <c r="MUE341" s="135"/>
      <c r="MUF341" s="135"/>
      <c r="MUG341" s="135"/>
      <c r="MUH341" s="173"/>
      <c r="MUI341" s="173"/>
      <c r="MUJ341" s="173"/>
      <c r="MUK341" s="173"/>
      <c r="MUL341" s="173"/>
      <c r="MUM341" s="173"/>
      <c r="MUN341" s="173"/>
      <c r="MUO341" s="173"/>
      <c r="MUP341" s="173"/>
      <c r="MUQ341" s="173"/>
      <c r="MUR341" s="125"/>
      <c r="MUS341" s="125"/>
      <c r="MUT341" s="134"/>
      <c r="MUU341" s="135"/>
      <c r="MUV341" s="135"/>
      <c r="MUW341" s="135"/>
      <c r="MUX341" s="135"/>
      <c r="MUY341" s="173"/>
      <c r="MUZ341" s="173"/>
      <c r="MVA341" s="173"/>
      <c r="MVB341" s="173"/>
      <c r="MVC341" s="173"/>
      <c r="MVD341" s="173"/>
      <c r="MVE341" s="173"/>
      <c r="MVF341" s="173"/>
      <c r="MVG341" s="173"/>
      <c r="MVH341" s="173"/>
      <c r="MVI341" s="125"/>
      <c r="MVJ341" s="125"/>
      <c r="MVK341" s="134"/>
      <c r="MVL341" s="135"/>
      <c r="MVM341" s="135"/>
      <c r="MVN341" s="135"/>
      <c r="MVO341" s="135"/>
      <c r="MVP341" s="173"/>
      <c r="MVQ341" s="173"/>
      <c r="MVR341" s="173"/>
      <c r="MVS341" s="173"/>
      <c r="MVT341" s="173"/>
      <c r="MVU341" s="173"/>
      <c r="MVV341" s="173"/>
      <c r="MVW341" s="173"/>
      <c r="MVX341" s="173"/>
      <c r="MVY341" s="173"/>
      <c r="MVZ341" s="125"/>
      <c r="MWA341" s="125"/>
      <c r="MWB341" s="134"/>
      <c r="MWC341" s="135"/>
      <c r="MWD341" s="135"/>
      <c r="MWE341" s="135"/>
      <c r="MWF341" s="135"/>
      <c r="MWG341" s="173"/>
      <c r="MWH341" s="173"/>
      <c r="MWI341" s="173"/>
      <c r="MWJ341" s="173"/>
      <c r="MWK341" s="173"/>
      <c r="MWL341" s="173"/>
      <c r="MWM341" s="173"/>
      <c r="MWN341" s="173"/>
      <c r="MWO341" s="173"/>
      <c r="MWP341" s="173"/>
      <c r="MWQ341" s="125"/>
      <c r="MWR341" s="125"/>
      <c r="MWS341" s="134"/>
      <c r="MWT341" s="135"/>
      <c r="MWU341" s="135"/>
      <c r="MWV341" s="135"/>
      <c r="MWW341" s="135"/>
      <c r="MWX341" s="173"/>
      <c r="MWY341" s="173"/>
      <c r="MWZ341" s="173"/>
      <c r="MXA341" s="173"/>
      <c r="MXB341" s="173"/>
      <c r="MXC341" s="173"/>
      <c r="MXD341" s="173"/>
      <c r="MXE341" s="173"/>
      <c r="MXF341" s="173"/>
      <c r="MXG341" s="173"/>
      <c r="MXH341" s="125"/>
      <c r="MXI341" s="125"/>
      <c r="MXJ341" s="134"/>
      <c r="MXK341" s="135"/>
      <c r="MXL341" s="135"/>
      <c r="MXM341" s="135"/>
      <c r="MXN341" s="135"/>
      <c r="MXO341" s="173"/>
      <c r="MXP341" s="173"/>
      <c r="MXQ341" s="173"/>
      <c r="MXR341" s="173"/>
      <c r="MXS341" s="173"/>
      <c r="MXT341" s="173"/>
      <c r="MXU341" s="173"/>
      <c r="MXV341" s="173"/>
      <c r="MXW341" s="173"/>
      <c r="MXX341" s="173"/>
      <c r="MXY341" s="125"/>
      <c r="MXZ341" s="125"/>
      <c r="MYA341" s="134"/>
      <c r="MYB341" s="135"/>
      <c r="MYC341" s="135"/>
      <c r="MYD341" s="135"/>
      <c r="MYE341" s="135"/>
      <c r="MYF341" s="173"/>
      <c r="MYG341" s="173"/>
      <c r="MYH341" s="173"/>
      <c r="MYI341" s="173"/>
      <c r="MYJ341" s="173"/>
      <c r="MYK341" s="173"/>
      <c r="MYL341" s="173"/>
      <c r="MYM341" s="173"/>
      <c r="MYN341" s="173"/>
      <c r="MYO341" s="173"/>
      <c r="MYP341" s="125"/>
      <c r="MYQ341" s="125"/>
      <c r="MYR341" s="134"/>
      <c r="MYS341" s="135"/>
      <c r="MYT341" s="135"/>
      <c r="MYU341" s="135"/>
      <c r="MYV341" s="135"/>
      <c r="MYW341" s="173"/>
      <c r="MYX341" s="173"/>
      <c r="MYY341" s="173"/>
      <c r="MYZ341" s="173"/>
      <c r="MZA341" s="173"/>
      <c r="MZB341" s="173"/>
      <c r="MZC341" s="173"/>
      <c r="MZD341" s="173"/>
      <c r="MZE341" s="173"/>
      <c r="MZF341" s="173"/>
      <c r="MZG341" s="125"/>
      <c r="MZH341" s="125"/>
      <c r="MZI341" s="134"/>
      <c r="MZJ341" s="135"/>
      <c r="MZK341" s="135"/>
      <c r="MZL341" s="135"/>
      <c r="MZM341" s="135"/>
      <c r="MZN341" s="173"/>
      <c r="MZO341" s="173"/>
      <c r="MZP341" s="173"/>
      <c r="MZQ341" s="173"/>
      <c r="MZR341" s="173"/>
      <c r="MZS341" s="173"/>
      <c r="MZT341" s="173"/>
      <c r="MZU341" s="173"/>
      <c r="MZV341" s="173"/>
      <c r="MZW341" s="173"/>
      <c r="MZX341" s="125"/>
      <c r="MZY341" s="125"/>
      <c r="MZZ341" s="134"/>
      <c r="NAA341" s="135"/>
      <c r="NAB341" s="135"/>
      <c r="NAC341" s="135"/>
      <c r="NAD341" s="135"/>
      <c r="NAE341" s="173"/>
      <c r="NAF341" s="173"/>
      <c r="NAG341" s="173"/>
      <c r="NAH341" s="173"/>
      <c r="NAI341" s="173"/>
      <c r="NAJ341" s="173"/>
      <c r="NAK341" s="173"/>
      <c r="NAL341" s="173"/>
      <c r="NAM341" s="173"/>
      <c r="NAN341" s="173"/>
      <c r="NAO341" s="125"/>
      <c r="NAP341" s="125"/>
      <c r="NAQ341" s="134"/>
      <c r="NAR341" s="135"/>
      <c r="NAS341" s="135"/>
      <c r="NAT341" s="135"/>
      <c r="NAU341" s="135"/>
      <c r="NAV341" s="173"/>
      <c r="NAW341" s="173"/>
      <c r="NAX341" s="173"/>
      <c r="NAY341" s="173"/>
      <c r="NAZ341" s="173"/>
      <c r="NBA341" s="173"/>
      <c r="NBB341" s="173"/>
      <c r="NBC341" s="173"/>
      <c r="NBD341" s="173"/>
      <c r="NBE341" s="173"/>
      <c r="NBF341" s="125"/>
      <c r="NBG341" s="125"/>
      <c r="NBH341" s="134"/>
      <c r="NBI341" s="135"/>
      <c r="NBJ341" s="135"/>
      <c r="NBK341" s="135"/>
      <c r="NBL341" s="135"/>
      <c r="NBM341" s="173"/>
      <c r="NBN341" s="173"/>
      <c r="NBO341" s="173"/>
      <c r="NBP341" s="173"/>
      <c r="NBQ341" s="173"/>
      <c r="NBR341" s="173"/>
      <c r="NBS341" s="173"/>
      <c r="NBT341" s="173"/>
      <c r="NBU341" s="173"/>
      <c r="NBV341" s="173"/>
      <c r="NBW341" s="125"/>
      <c r="NBX341" s="125"/>
      <c r="NBY341" s="134"/>
      <c r="NBZ341" s="135"/>
      <c r="NCA341" s="135"/>
      <c r="NCB341" s="135"/>
      <c r="NCC341" s="135"/>
      <c r="NCD341" s="173"/>
      <c r="NCE341" s="173"/>
      <c r="NCF341" s="173"/>
      <c r="NCG341" s="173"/>
      <c r="NCH341" s="173"/>
      <c r="NCI341" s="173"/>
      <c r="NCJ341" s="173"/>
      <c r="NCK341" s="173"/>
      <c r="NCL341" s="173"/>
      <c r="NCM341" s="173"/>
      <c r="NCN341" s="125"/>
      <c r="NCO341" s="125"/>
      <c r="NCP341" s="134"/>
      <c r="NCQ341" s="135"/>
      <c r="NCR341" s="135"/>
      <c r="NCS341" s="135"/>
      <c r="NCT341" s="135"/>
      <c r="NCU341" s="173"/>
      <c r="NCV341" s="173"/>
      <c r="NCW341" s="173"/>
      <c r="NCX341" s="173"/>
      <c r="NCY341" s="173"/>
      <c r="NCZ341" s="173"/>
      <c r="NDA341" s="173"/>
      <c r="NDB341" s="173"/>
      <c r="NDC341" s="173"/>
      <c r="NDD341" s="173"/>
      <c r="NDE341" s="125"/>
      <c r="NDF341" s="125"/>
      <c r="NDG341" s="134"/>
      <c r="NDH341" s="135"/>
      <c r="NDI341" s="135"/>
      <c r="NDJ341" s="135"/>
      <c r="NDK341" s="135"/>
      <c r="NDL341" s="173"/>
      <c r="NDM341" s="173"/>
      <c r="NDN341" s="173"/>
      <c r="NDO341" s="173"/>
      <c r="NDP341" s="173"/>
      <c r="NDQ341" s="173"/>
      <c r="NDR341" s="173"/>
      <c r="NDS341" s="173"/>
      <c r="NDT341" s="173"/>
      <c r="NDU341" s="173"/>
      <c r="NDV341" s="125"/>
      <c r="NDW341" s="125"/>
      <c r="NDX341" s="134"/>
      <c r="NDY341" s="135"/>
      <c r="NDZ341" s="135"/>
      <c r="NEA341" s="135"/>
      <c r="NEB341" s="135"/>
      <c r="NEC341" s="173"/>
      <c r="NED341" s="173"/>
      <c r="NEE341" s="173"/>
      <c r="NEF341" s="173"/>
      <c r="NEG341" s="173"/>
      <c r="NEH341" s="173"/>
      <c r="NEI341" s="173"/>
      <c r="NEJ341" s="173"/>
      <c r="NEK341" s="173"/>
      <c r="NEL341" s="173"/>
      <c r="NEM341" s="125"/>
      <c r="NEN341" s="125"/>
      <c r="NEO341" s="134"/>
      <c r="NEP341" s="135"/>
      <c r="NEQ341" s="135"/>
      <c r="NER341" s="135"/>
      <c r="NES341" s="135"/>
      <c r="NET341" s="173"/>
      <c r="NEU341" s="173"/>
      <c r="NEV341" s="173"/>
      <c r="NEW341" s="173"/>
      <c r="NEX341" s="173"/>
      <c r="NEY341" s="173"/>
      <c r="NEZ341" s="173"/>
      <c r="NFA341" s="173"/>
      <c r="NFB341" s="173"/>
      <c r="NFC341" s="173"/>
      <c r="NFD341" s="125"/>
      <c r="NFE341" s="125"/>
      <c r="NFF341" s="134"/>
      <c r="NFG341" s="135"/>
      <c r="NFH341" s="135"/>
      <c r="NFI341" s="135"/>
      <c r="NFJ341" s="135"/>
      <c r="NFK341" s="173"/>
      <c r="NFL341" s="173"/>
      <c r="NFM341" s="173"/>
      <c r="NFN341" s="173"/>
      <c r="NFO341" s="173"/>
      <c r="NFP341" s="173"/>
      <c r="NFQ341" s="173"/>
      <c r="NFR341" s="173"/>
      <c r="NFS341" s="173"/>
      <c r="NFT341" s="173"/>
      <c r="NFU341" s="125"/>
      <c r="NFV341" s="125"/>
      <c r="NFW341" s="134"/>
      <c r="NFX341" s="135"/>
      <c r="NFY341" s="135"/>
      <c r="NFZ341" s="135"/>
      <c r="NGA341" s="135"/>
      <c r="NGB341" s="173"/>
      <c r="NGC341" s="173"/>
      <c r="NGD341" s="173"/>
      <c r="NGE341" s="173"/>
      <c r="NGF341" s="173"/>
      <c r="NGG341" s="173"/>
      <c r="NGH341" s="173"/>
      <c r="NGI341" s="173"/>
      <c r="NGJ341" s="173"/>
      <c r="NGK341" s="173"/>
      <c r="NGL341" s="125"/>
      <c r="NGM341" s="125"/>
      <c r="NGN341" s="134"/>
      <c r="NGO341" s="135"/>
      <c r="NGP341" s="135"/>
      <c r="NGQ341" s="135"/>
      <c r="NGR341" s="135"/>
      <c r="NGS341" s="173"/>
      <c r="NGT341" s="173"/>
      <c r="NGU341" s="173"/>
      <c r="NGV341" s="173"/>
      <c r="NGW341" s="173"/>
      <c r="NGX341" s="173"/>
      <c r="NGY341" s="173"/>
      <c r="NGZ341" s="173"/>
      <c r="NHA341" s="173"/>
      <c r="NHB341" s="173"/>
      <c r="NHC341" s="125"/>
      <c r="NHD341" s="125"/>
      <c r="NHE341" s="134"/>
      <c r="NHF341" s="135"/>
      <c r="NHG341" s="135"/>
      <c r="NHH341" s="135"/>
      <c r="NHI341" s="135"/>
      <c r="NHJ341" s="173"/>
      <c r="NHK341" s="173"/>
      <c r="NHL341" s="173"/>
      <c r="NHM341" s="173"/>
      <c r="NHN341" s="173"/>
      <c r="NHO341" s="173"/>
      <c r="NHP341" s="173"/>
      <c r="NHQ341" s="173"/>
      <c r="NHR341" s="173"/>
      <c r="NHS341" s="173"/>
      <c r="NHT341" s="125"/>
      <c r="NHU341" s="125"/>
      <c r="NHV341" s="134"/>
      <c r="NHW341" s="135"/>
      <c r="NHX341" s="135"/>
      <c r="NHY341" s="135"/>
      <c r="NHZ341" s="135"/>
      <c r="NIA341" s="173"/>
      <c r="NIB341" s="173"/>
      <c r="NIC341" s="173"/>
      <c r="NID341" s="173"/>
      <c r="NIE341" s="173"/>
      <c r="NIF341" s="173"/>
      <c r="NIG341" s="173"/>
      <c r="NIH341" s="173"/>
      <c r="NII341" s="173"/>
      <c r="NIJ341" s="173"/>
      <c r="NIK341" s="125"/>
      <c r="NIL341" s="125"/>
      <c r="NIM341" s="134"/>
      <c r="NIN341" s="135"/>
      <c r="NIO341" s="135"/>
      <c r="NIP341" s="135"/>
      <c r="NIQ341" s="135"/>
      <c r="NIR341" s="173"/>
      <c r="NIS341" s="173"/>
      <c r="NIT341" s="173"/>
      <c r="NIU341" s="173"/>
      <c r="NIV341" s="173"/>
      <c r="NIW341" s="173"/>
      <c r="NIX341" s="173"/>
      <c r="NIY341" s="173"/>
      <c r="NIZ341" s="173"/>
      <c r="NJA341" s="173"/>
      <c r="NJB341" s="125"/>
      <c r="NJC341" s="125"/>
      <c r="NJD341" s="134"/>
      <c r="NJE341" s="135"/>
      <c r="NJF341" s="135"/>
      <c r="NJG341" s="135"/>
      <c r="NJH341" s="135"/>
      <c r="NJI341" s="173"/>
      <c r="NJJ341" s="173"/>
      <c r="NJK341" s="173"/>
      <c r="NJL341" s="173"/>
      <c r="NJM341" s="173"/>
      <c r="NJN341" s="173"/>
      <c r="NJO341" s="173"/>
      <c r="NJP341" s="173"/>
      <c r="NJQ341" s="173"/>
      <c r="NJR341" s="173"/>
      <c r="NJS341" s="125"/>
      <c r="NJT341" s="125"/>
      <c r="NJU341" s="134"/>
      <c r="NJV341" s="135"/>
      <c r="NJW341" s="135"/>
      <c r="NJX341" s="135"/>
      <c r="NJY341" s="135"/>
      <c r="NJZ341" s="173"/>
      <c r="NKA341" s="173"/>
      <c r="NKB341" s="173"/>
      <c r="NKC341" s="173"/>
      <c r="NKD341" s="173"/>
      <c r="NKE341" s="173"/>
      <c r="NKF341" s="173"/>
      <c r="NKG341" s="173"/>
      <c r="NKH341" s="173"/>
      <c r="NKI341" s="173"/>
      <c r="NKJ341" s="125"/>
      <c r="NKK341" s="125"/>
      <c r="NKL341" s="134"/>
      <c r="NKM341" s="135"/>
      <c r="NKN341" s="135"/>
      <c r="NKO341" s="135"/>
      <c r="NKP341" s="135"/>
      <c r="NKQ341" s="173"/>
      <c r="NKR341" s="173"/>
      <c r="NKS341" s="173"/>
      <c r="NKT341" s="173"/>
      <c r="NKU341" s="173"/>
      <c r="NKV341" s="173"/>
      <c r="NKW341" s="173"/>
      <c r="NKX341" s="173"/>
      <c r="NKY341" s="173"/>
      <c r="NKZ341" s="173"/>
      <c r="NLA341" s="125"/>
      <c r="NLB341" s="125"/>
      <c r="NLC341" s="134"/>
      <c r="NLD341" s="135"/>
      <c r="NLE341" s="135"/>
      <c r="NLF341" s="135"/>
      <c r="NLG341" s="135"/>
      <c r="NLH341" s="173"/>
      <c r="NLI341" s="173"/>
      <c r="NLJ341" s="173"/>
      <c r="NLK341" s="173"/>
      <c r="NLL341" s="173"/>
      <c r="NLM341" s="173"/>
      <c r="NLN341" s="173"/>
      <c r="NLO341" s="173"/>
      <c r="NLP341" s="173"/>
      <c r="NLQ341" s="173"/>
      <c r="NLR341" s="125"/>
      <c r="NLS341" s="125"/>
      <c r="NLT341" s="134"/>
      <c r="NLU341" s="135"/>
      <c r="NLV341" s="135"/>
      <c r="NLW341" s="135"/>
      <c r="NLX341" s="135"/>
      <c r="NLY341" s="173"/>
      <c r="NLZ341" s="173"/>
      <c r="NMA341" s="173"/>
      <c r="NMB341" s="173"/>
      <c r="NMC341" s="173"/>
      <c r="NMD341" s="173"/>
      <c r="NME341" s="173"/>
      <c r="NMF341" s="173"/>
      <c r="NMG341" s="173"/>
      <c r="NMH341" s="173"/>
      <c r="NMI341" s="125"/>
      <c r="NMJ341" s="125"/>
      <c r="NMK341" s="134"/>
      <c r="NML341" s="135"/>
      <c r="NMM341" s="135"/>
      <c r="NMN341" s="135"/>
      <c r="NMO341" s="135"/>
      <c r="NMP341" s="173"/>
      <c r="NMQ341" s="173"/>
      <c r="NMR341" s="173"/>
      <c r="NMS341" s="173"/>
      <c r="NMT341" s="173"/>
      <c r="NMU341" s="173"/>
      <c r="NMV341" s="173"/>
      <c r="NMW341" s="173"/>
      <c r="NMX341" s="173"/>
      <c r="NMY341" s="173"/>
      <c r="NMZ341" s="125"/>
      <c r="NNA341" s="125"/>
      <c r="NNB341" s="134"/>
      <c r="NNC341" s="135"/>
      <c r="NND341" s="135"/>
      <c r="NNE341" s="135"/>
      <c r="NNF341" s="135"/>
      <c r="NNG341" s="173"/>
      <c r="NNH341" s="173"/>
      <c r="NNI341" s="173"/>
      <c r="NNJ341" s="173"/>
      <c r="NNK341" s="173"/>
      <c r="NNL341" s="173"/>
      <c r="NNM341" s="173"/>
      <c r="NNN341" s="173"/>
      <c r="NNO341" s="173"/>
      <c r="NNP341" s="173"/>
      <c r="NNQ341" s="125"/>
      <c r="NNR341" s="125"/>
      <c r="NNS341" s="134"/>
      <c r="NNT341" s="135"/>
      <c r="NNU341" s="135"/>
      <c r="NNV341" s="135"/>
      <c r="NNW341" s="135"/>
      <c r="NNX341" s="173"/>
      <c r="NNY341" s="173"/>
      <c r="NNZ341" s="173"/>
      <c r="NOA341" s="173"/>
      <c r="NOB341" s="173"/>
      <c r="NOC341" s="173"/>
      <c r="NOD341" s="173"/>
      <c r="NOE341" s="173"/>
      <c r="NOF341" s="173"/>
      <c r="NOG341" s="173"/>
      <c r="NOH341" s="125"/>
      <c r="NOI341" s="125"/>
      <c r="NOJ341" s="134"/>
      <c r="NOK341" s="135"/>
      <c r="NOL341" s="135"/>
      <c r="NOM341" s="135"/>
      <c r="NON341" s="135"/>
      <c r="NOO341" s="173"/>
      <c r="NOP341" s="173"/>
      <c r="NOQ341" s="173"/>
      <c r="NOR341" s="173"/>
      <c r="NOS341" s="173"/>
      <c r="NOT341" s="173"/>
      <c r="NOU341" s="173"/>
      <c r="NOV341" s="173"/>
      <c r="NOW341" s="173"/>
      <c r="NOX341" s="173"/>
      <c r="NOY341" s="125"/>
      <c r="NOZ341" s="125"/>
      <c r="NPA341" s="134"/>
      <c r="NPB341" s="135"/>
      <c r="NPC341" s="135"/>
      <c r="NPD341" s="135"/>
      <c r="NPE341" s="135"/>
      <c r="NPF341" s="173"/>
      <c r="NPG341" s="173"/>
      <c r="NPH341" s="173"/>
      <c r="NPI341" s="173"/>
      <c r="NPJ341" s="173"/>
      <c r="NPK341" s="173"/>
      <c r="NPL341" s="173"/>
      <c r="NPM341" s="173"/>
      <c r="NPN341" s="173"/>
      <c r="NPO341" s="173"/>
      <c r="NPP341" s="125"/>
      <c r="NPQ341" s="125"/>
      <c r="NPR341" s="134"/>
      <c r="NPS341" s="135"/>
      <c r="NPT341" s="135"/>
      <c r="NPU341" s="135"/>
      <c r="NPV341" s="135"/>
      <c r="NPW341" s="173"/>
      <c r="NPX341" s="173"/>
      <c r="NPY341" s="173"/>
      <c r="NPZ341" s="173"/>
      <c r="NQA341" s="173"/>
      <c r="NQB341" s="173"/>
      <c r="NQC341" s="173"/>
      <c r="NQD341" s="173"/>
      <c r="NQE341" s="173"/>
      <c r="NQF341" s="173"/>
      <c r="NQG341" s="125"/>
      <c r="NQH341" s="125"/>
      <c r="NQI341" s="134"/>
      <c r="NQJ341" s="135"/>
      <c r="NQK341" s="135"/>
      <c r="NQL341" s="135"/>
      <c r="NQM341" s="135"/>
      <c r="NQN341" s="173"/>
      <c r="NQO341" s="173"/>
      <c r="NQP341" s="173"/>
      <c r="NQQ341" s="173"/>
      <c r="NQR341" s="173"/>
      <c r="NQS341" s="173"/>
      <c r="NQT341" s="173"/>
      <c r="NQU341" s="173"/>
      <c r="NQV341" s="173"/>
      <c r="NQW341" s="173"/>
      <c r="NQX341" s="125"/>
      <c r="NQY341" s="125"/>
      <c r="NQZ341" s="134"/>
      <c r="NRA341" s="135"/>
      <c r="NRB341" s="135"/>
      <c r="NRC341" s="135"/>
      <c r="NRD341" s="135"/>
      <c r="NRE341" s="173"/>
      <c r="NRF341" s="173"/>
      <c r="NRG341" s="173"/>
      <c r="NRH341" s="173"/>
      <c r="NRI341" s="173"/>
      <c r="NRJ341" s="173"/>
      <c r="NRK341" s="173"/>
      <c r="NRL341" s="173"/>
      <c r="NRM341" s="173"/>
      <c r="NRN341" s="173"/>
      <c r="NRO341" s="125"/>
      <c r="NRP341" s="125"/>
      <c r="NRQ341" s="134"/>
      <c r="NRR341" s="135"/>
      <c r="NRS341" s="135"/>
      <c r="NRT341" s="135"/>
      <c r="NRU341" s="135"/>
      <c r="NRV341" s="173"/>
      <c r="NRW341" s="173"/>
      <c r="NRX341" s="173"/>
      <c r="NRY341" s="173"/>
      <c r="NRZ341" s="173"/>
      <c r="NSA341" s="173"/>
      <c r="NSB341" s="173"/>
      <c r="NSC341" s="173"/>
      <c r="NSD341" s="173"/>
      <c r="NSE341" s="173"/>
      <c r="NSF341" s="125"/>
      <c r="NSG341" s="125"/>
      <c r="NSH341" s="134"/>
      <c r="NSI341" s="135"/>
      <c r="NSJ341" s="135"/>
      <c r="NSK341" s="135"/>
      <c r="NSL341" s="135"/>
      <c r="NSM341" s="173"/>
      <c r="NSN341" s="173"/>
      <c r="NSO341" s="173"/>
      <c r="NSP341" s="173"/>
      <c r="NSQ341" s="173"/>
      <c r="NSR341" s="173"/>
      <c r="NSS341" s="173"/>
      <c r="NST341" s="173"/>
      <c r="NSU341" s="173"/>
      <c r="NSV341" s="173"/>
      <c r="NSW341" s="125"/>
      <c r="NSX341" s="125"/>
      <c r="NSY341" s="134"/>
      <c r="NSZ341" s="135"/>
      <c r="NTA341" s="135"/>
      <c r="NTB341" s="135"/>
      <c r="NTC341" s="135"/>
      <c r="NTD341" s="173"/>
      <c r="NTE341" s="173"/>
      <c r="NTF341" s="173"/>
      <c r="NTG341" s="173"/>
      <c r="NTH341" s="173"/>
      <c r="NTI341" s="173"/>
      <c r="NTJ341" s="173"/>
      <c r="NTK341" s="173"/>
      <c r="NTL341" s="173"/>
      <c r="NTM341" s="173"/>
      <c r="NTN341" s="125"/>
      <c r="NTO341" s="125"/>
      <c r="NTP341" s="134"/>
      <c r="NTQ341" s="135"/>
      <c r="NTR341" s="135"/>
      <c r="NTS341" s="135"/>
      <c r="NTT341" s="135"/>
      <c r="NTU341" s="173"/>
      <c r="NTV341" s="173"/>
      <c r="NTW341" s="173"/>
      <c r="NTX341" s="173"/>
      <c r="NTY341" s="173"/>
      <c r="NTZ341" s="173"/>
      <c r="NUA341" s="173"/>
      <c r="NUB341" s="173"/>
      <c r="NUC341" s="173"/>
      <c r="NUD341" s="173"/>
      <c r="NUE341" s="125"/>
      <c r="NUF341" s="125"/>
      <c r="NUG341" s="134"/>
      <c r="NUH341" s="135"/>
      <c r="NUI341" s="135"/>
      <c r="NUJ341" s="135"/>
      <c r="NUK341" s="135"/>
      <c r="NUL341" s="173"/>
      <c r="NUM341" s="173"/>
      <c r="NUN341" s="173"/>
      <c r="NUO341" s="173"/>
      <c r="NUP341" s="173"/>
      <c r="NUQ341" s="173"/>
      <c r="NUR341" s="173"/>
      <c r="NUS341" s="173"/>
      <c r="NUT341" s="173"/>
      <c r="NUU341" s="173"/>
      <c r="NUV341" s="125"/>
      <c r="NUW341" s="125"/>
      <c r="NUX341" s="134"/>
      <c r="NUY341" s="135"/>
      <c r="NUZ341" s="135"/>
      <c r="NVA341" s="135"/>
      <c r="NVB341" s="135"/>
      <c r="NVC341" s="173"/>
      <c r="NVD341" s="173"/>
      <c r="NVE341" s="173"/>
      <c r="NVF341" s="173"/>
      <c r="NVG341" s="173"/>
      <c r="NVH341" s="173"/>
      <c r="NVI341" s="173"/>
      <c r="NVJ341" s="173"/>
      <c r="NVK341" s="173"/>
      <c r="NVL341" s="173"/>
      <c r="NVM341" s="125"/>
      <c r="NVN341" s="125"/>
      <c r="NVO341" s="134"/>
      <c r="NVP341" s="135"/>
      <c r="NVQ341" s="135"/>
      <c r="NVR341" s="135"/>
      <c r="NVS341" s="135"/>
      <c r="NVT341" s="173"/>
      <c r="NVU341" s="173"/>
      <c r="NVV341" s="173"/>
      <c r="NVW341" s="173"/>
      <c r="NVX341" s="173"/>
      <c r="NVY341" s="173"/>
      <c r="NVZ341" s="173"/>
      <c r="NWA341" s="173"/>
      <c r="NWB341" s="173"/>
      <c r="NWC341" s="173"/>
      <c r="NWD341" s="125"/>
      <c r="NWE341" s="125"/>
      <c r="NWF341" s="134"/>
      <c r="NWG341" s="135"/>
      <c r="NWH341" s="135"/>
      <c r="NWI341" s="135"/>
      <c r="NWJ341" s="135"/>
      <c r="NWK341" s="173"/>
      <c r="NWL341" s="173"/>
      <c r="NWM341" s="173"/>
      <c r="NWN341" s="173"/>
      <c r="NWO341" s="173"/>
      <c r="NWP341" s="173"/>
      <c r="NWQ341" s="173"/>
      <c r="NWR341" s="173"/>
      <c r="NWS341" s="173"/>
      <c r="NWT341" s="173"/>
      <c r="NWU341" s="125"/>
      <c r="NWV341" s="125"/>
      <c r="NWW341" s="134"/>
      <c r="NWX341" s="135"/>
      <c r="NWY341" s="135"/>
      <c r="NWZ341" s="135"/>
      <c r="NXA341" s="135"/>
      <c r="NXB341" s="173"/>
      <c r="NXC341" s="173"/>
      <c r="NXD341" s="173"/>
      <c r="NXE341" s="173"/>
      <c r="NXF341" s="173"/>
      <c r="NXG341" s="173"/>
      <c r="NXH341" s="173"/>
      <c r="NXI341" s="173"/>
      <c r="NXJ341" s="173"/>
      <c r="NXK341" s="173"/>
      <c r="NXL341" s="125"/>
      <c r="NXM341" s="125"/>
      <c r="NXN341" s="134"/>
      <c r="NXO341" s="135"/>
      <c r="NXP341" s="135"/>
      <c r="NXQ341" s="135"/>
      <c r="NXR341" s="135"/>
      <c r="NXS341" s="173"/>
      <c r="NXT341" s="173"/>
      <c r="NXU341" s="173"/>
      <c r="NXV341" s="173"/>
      <c r="NXW341" s="173"/>
      <c r="NXX341" s="173"/>
      <c r="NXY341" s="173"/>
      <c r="NXZ341" s="173"/>
      <c r="NYA341" s="173"/>
      <c r="NYB341" s="173"/>
      <c r="NYC341" s="125"/>
      <c r="NYD341" s="125"/>
      <c r="NYE341" s="134"/>
      <c r="NYF341" s="135"/>
      <c r="NYG341" s="135"/>
      <c r="NYH341" s="135"/>
      <c r="NYI341" s="135"/>
      <c r="NYJ341" s="173"/>
      <c r="NYK341" s="173"/>
      <c r="NYL341" s="173"/>
      <c r="NYM341" s="173"/>
      <c r="NYN341" s="173"/>
      <c r="NYO341" s="173"/>
      <c r="NYP341" s="173"/>
      <c r="NYQ341" s="173"/>
      <c r="NYR341" s="173"/>
      <c r="NYS341" s="173"/>
      <c r="NYT341" s="125"/>
      <c r="NYU341" s="125"/>
      <c r="NYV341" s="134"/>
      <c r="NYW341" s="135"/>
      <c r="NYX341" s="135"/>
      <c r="NYY341" s="135"/>
      <c r="NYZ341" s="135"/>
      <c r="NZA341" s="173"/>
      <c r="NZB341" s="173"/>
      <c r="NZC341" s="173"/>
      <c r="NZD341" s="173"/>
      <c r="NZE341" s="173"/>
      <c r="NZF341" s="173"/>
      <c r="NZG341" s="173"/>
      <c r="NZH341" s="173"/>
      <c r="NZI341" s="173"/>
      <c r="NZJ341" s="173"/>
      <c r="NZK341" s="125"/>
      <c r="NZL341" s="125"/>
      <c r="NZM341" s="134"/>
      <c r="NZN341" s="135"/>
      <c r="NZO341" s="135"/>
      <c r="NZP341" s="135"/>
      <c r="NZQ341" s="135"/>
      <c r="NZR341" s="173"/>
      <c r="NZS341" s="173"/>
      <c r="NZT341" s="173"/>
      <c r="NZU341" s="173"/>
      <c r="NZV341" s="173"/>
      <c r="NZW341" s="173"/>
      <c r="NZX341" s="173"/>
      <c r="NZY341" s="173"/>
      <c r="NZZ341" s="173"/>
      <c r="OAA341" s="173"/>
      <c r="OAB341" s="125"/>
      <c r="OAC341" s="125"/>
      <c r="OAD341" s="134"/>
      <c r="OAE341" s="135"/>
      <c r="OAF341" s="135"/>
      <c r="OAG341" s="135"/>
      <c r="OAH341" s="135"/>
      <c r="OAI341" s="173"/>
      <c r="OAJ341" s="173"/>
      <c r="OAK341" s="173"/>
      <c r="OAL341" s="173"/>
      <c r="OAM341" s="173"/>
      <c r="OAN341" s="173"/>
      <c r="OAO341" s="173"/>
      <c r="OAP341" s="173"/>
      <c r="OAQ341" s="173"/>
      <c r="OAR341" s="173"/>
      <c r="OAS341" s="125"/>
      <c r="OAT341" s="125"/>
      <c r="OAU341" s="134"/>
      <c r="OAV341" s="135"/>
      <c r="OAW341" s="135"/>
      <c r="OAX341" s="135"/>
      <c r="OAY341" s="135"/>
      <c r="OAZ341" s="173"/>
      <c r="OBA341" s="173"/>
      <c r="OBB341" s="173"/>
      <c r="OBC341" s="173"/>
      <c r="OBD341" s="173"/>
      <c r="OBE341" s="173"/>
      <c r="OBF341" s="173"/>
      <c r="OBG341" s="173"/>
      <c r="OBH341" s="173"/>
      <c r="OBI341" s="173"/>
      <c r="OBJ341" s="125"/>
      <c r="OBK341" s="125"/>
      <c r="OBL341" s="134"/>
      <c r="OBM341" s="135"/>
      <c r="OBN341" s="135"/>
      <c r="OBO341" s="135"/>
      <c r="OBP341" s="135"/>
      <c r="OBQ341" s="173"/>
      <c r="OBR341" s="173"/>
      <c r="OBS341" s="173"/>
      <c r="OBT341" s="173"/>
      <c r="OBU341" s="173"/>
      <c r="OBV341" s="173"/>
      <c r="OBW341" s="173"/>
      <c r="OBX341" s="173"/>
      <c r="OBY341" s="173"/>
      <c r="OBZ341" s="173"/>
      <c r="OCA341" s="125"/>
      <c r="OCB341" s="125"/>
      <c r="OCC341" s="134"/>
      <c r="OCD341" s="135"/>
      <c r="OCE341" s="135"/>
      <c r="OCF341" s="135"/>
      <c r="OCG341" s="135"/>
      <c r="OCH341" s="173"/>
      <c r="OCI341" s="173"/>
      <c r="OCJ341" s="173"/>
      <c r="OCK341" s="173"/>
      <c r="OCL341" s="173"/>
      <c r="OCM341" s="173"/>
      <c r="OCN341" s="173"/>
      <c r="OCO341" s="173"/>
      <c r="OCP341" s="173"/>
      <c r="OCQ341" s="173"/>
      <c r="OCR341" s="125"/>
      <c r="OCS341" s="125"/>
      <c r="OCT341" s="134"/>
      <c r="OCU341" s="135"/>
      <c r="OCV341" s="135"/>
      <c r="OCW341" s="135"/>
      <c r="OCX341" s="135"/>
      <c r="OCY341" s="173"/>
      <c r="OCZ341" s="173"/>
      <c r="ODA341" s="173"/>
      <c r="ODB341" s="173"/>
      <c r="ODC341" s="173"/>
      <c r="ODD341" s="173"/>
      <c r="ODE341" s="173"/>
      <c r="ODF341" s="173"/>
      <c r="ODG341" s="173"/>
      <c r="ODH341" s="173"/>
      <c r="ODI341" s="125"/>
      <c r="ODJ341" s="125"/>
      <c r="ODK341" s="134"/>
      <c r="ODL341" s="135"/>
      <c r="ODM341" s="135"/>
      <c r="ODN341" s="135"/>
      <c r="ODO341" s="135"/>
      <c r="ODP341" s="173"/>
      <c r="ODQ341" s="173"/>
      <c r="ODR341" s="173"/>
      <c r="ODS341" s="173"/>
      <c r="ODT341" s="173"/>
      <c r="ODU341" s="173"/>
      <c r="ODV341" s="173"/>
      <c r="ODW341" s="173"/>
      <c r="ODX341" s="173"/>
      <c r="ODY341" s="173"/>
      <c r="ODZ341" s="125"/>
      <c r="OEA341" s="125"/>
      <c r="OEB341" s="134"/>
      <c r="OEC341" s="135"/>
      <c r="OED341" s="135"/>
      <c r="OEE341" s="135"/>
      <c r="OEF341" s="135"/>
      <c r="OEG341" s="173"/>
      <c r="OEH341" s="173"/>
      <c r="OEI341" s="173"/>
      <c r="OEJ341" s="173"/>
      <c r="OEK341" s="173"/>
      <c r="OEL341" s="173"/>
      <c r="OEM341" s="173"/>
      <c r="OEN341" s="173"/>
      <c r="OEO341" s="173"/>
      <c r="OEP341" s="173"/>
      <c r="OEQ341" s="125"/>
      <c r="OER341" s="125"/>
      <c r="OES341" s="134"/>
      <c r="OET341" s="135"/>
      <c r="OEU341" s="135"/>
      <c r="OEV341" s="135"/>
      <c r="OEW341" s="135"/>
      <c r="OEX341" s="173"/>
      <c r="OEY341" s="173"/>
      <c r="OEZ341" s="173"/>
      <c r="OFA341" s="173"/>
      <c r="OFB341" s="173"/>
      <c r="OFC341" s="173"/>
      <c r="OFD341" s="173"/>
      <c r="OFE341" s="173"/>
      <c r="OFF341" s="173"/>
      <c r="OFG341" s="173"/>
      <c r="OFH341" s="125"/>
      <c r="OFI341" s="125"/>
      <c r="OFJ341" s="134"/>
      <c r="OFK341" s="135"/>
      <c r="OFL341" s="135"/>
      <c r="OFM341" s="135"/>
      <c r="OFN341" s="135"/>
      <c r="OFO341" s="173"/>
      <c r="OFP341" s="173"/>
      <c r="OFQ341" s="173"/>
      <c r="OFR341" s="173"/>
      <c r="OFS341" s="173"/>
      <c r="OFT341" s="173"/>
      <c r="OFU341" s="173"/>
      <c r="OFV341" s="173"/>
      <c r="OFW341" s="173"/>
      <c r="OFX341" s="173"/>
      <c r="OFY341" s="125"/>
      <c r="OFZ341" s="125"/>
      <c r="OGA341" s="134"/>
      <c r="OGB341" s="135"/>
      <c r="OGC341" s="135"/>
      <c r="OGD341" s="135"/>
      <c r="OGE341" s="135"/>
      <c r="OGF341" s="173"/>
      <c r="OGG341" s="173"/>
      <c r="OGH341" s="173"/>
      <c r="OGI341" s="173"/>
      <c r="OGJ341" s="173"/>
      <c r="OGK341" s="173"/>
      <c r="OGL341" s="173"/>
      <c r="OGM341" s="173"/>
      <c r="OGN341" s="173"/>
      <c r="OGO341" s="173"/>
      <c r="OGP341" s="125"/>
      <c r="OGQ341" s="125"/>
      <c r="OGR341" s="134"/>
      <c r="OGS341" s="135"/>
      <c r="OGT341" s="135"/>
      <c r="OGU341" s="135"/>
      <c r="OGV341" s="135"/>
      <c r="OGW341" s="173"/>
      <c r="OGX341" s="173"/>
      <c r="OGY341" s="173"/>
      <c r="OGZ341" s="173"/>
      <c r="OHA341" s="173"/>
      <c r="OHB341" s="173"/>
      <c r="OHC341" s="173"/>
      <c r="OHD341" s="173"/>
      <c r="OHE341" s="173"/>
      <c r="OHF341" s="173"/>
      <c r="OHG341" s="125"/>
      <c r="OHH341" s="125"/>
      <c r="OHI341" s="134"/>
      <c r="OHJ341" s="135"/>
      <c r="OHK341" s="135"/>
      <c r="OHL341" s="135"/>
      <c r="OHM341" s="135"/>
      <c r="OHN341" s="173"/>
      <c r="OHO341" s="173"/>
      <c r="OHP341" s="173"/>
      <c r="OHQ341" s="173"/>
      <c r="OHR341" s="173"/>
      <c r="OHS341" s="173"/>
      <c r="OHT341" s="173"/>
      <c r="OHU341" s="173"/>
      <c r="OHV341" s="173"/>
      <c r="OHW341" s="173"/>
      <c r="OHX341" s="125"/>
      <c r="OHY341" s="125"/>
      <c r="OHZ341" s="134"/>
      <c r="OIA341" s="135"/>
      <c r="OIB341" s="135"/>
      <c r="OIC341" s="135"/>
      <c r="OID341" s="135"/>
      <c r="OIE341" s="173"/>
      <c r="OIF341" s="173"/>
      <c r="OIG341" s="173"/>
      <c r="OIH341" s="173"/>
      <c r="OII341" s="173"/>
      <c r="OIJ341" s="173"/>
      <c r="OIK341" s="173"/>
      <c r="OIL341" s="173"/>
      <c r="OIM341" s="173"/>
      <c r="OIN341" s="173"/>
      <c r="OIO341" s="125"/>
      <c r="OIP341" s="125"/>
      <c r="OIQ341" s="134"/>
      <c r="OIR341" s="135"/>
      <c r="OIS341" s="135"/>
      <c r="OIT341" s="135"/>
      <c r="OIU341" s="135"/>
      <c r="OIV341" s="173"/>
      <c r="OIW341" s="173"/>
      <c r="OIX341" s="173"/>
      <c r="OIY341" s="173"/>
      <c r="OIZ341" s="173"/>
      <c r="OJA341" s="173"/>
      <c r="OJB341" s="173"/>
      <c r="OJC341" s="173"/>
      <c r="OJD341" s="173"/>
      <c r="OJE341" s="173"/>
      <c r="OJF341" s="125"/>
      <c r="OJG341" s="125"/>
      <c r="OJH341" s="134"/>
      <c r="OJI341" s="135"/>
      <c r="OJJ341" s="135"/>
      <c r="OJK341" s="135"/>
      <c r="OJL341" s="135"/>
      <c r="OJM341" s="173"/>
      <c r="OJN341" s="173"/>
      <c r="OJO341" s="173"/>
      <c r="OJP341" s="173"/>
      <c r="OJQ341" s="173"/>
      <c r="OJR341" s="173"/>
      <c r="OJS341" s="173"/>
      <c r="OJT341" s="173"/>
      <c r="OJU341" s="173"/>
      <c r="OJV341" s="173"/>
      <c r="OJW341" s="125"/>
      <c r="OJX341" s="125"/>
      <c r="OJY341" s="134"/>
      <c r="OJZ341" s="135"/>
      <c r="OKA341" s="135"/>
      <c r="OKB341" s="135"/>
      <c r="OKC341" s="135"/>
      <c r="OKD341" s="173"/>
      <c r="OKE341" s="173"/>
      <c r="OKF341" s="173"/>
      <c r="OKG341" s="173"/>
      <c r="OKH341" s="173"/>
      <c r="OKI341" s="173"/>
      <c r="OKJ341" s="173"/>
      <c r="OKK341" s="173"/>
      <c r="OKL341" s="173"/>
      <c r="OKM341" s="173"/>
      <c r="OKN341" s="125"/>
      <c r="OKO341" s="125"/>
      <c r="OKP341" s="134"/>
      <c r="OKQ341" s="135"/>
      <c r="OKR341" s="135"/>
      <c r="OKS341" s="135"/>
      <c r="OKT341" s="135"/>
      <c r="OKU341" s="173"/>
      <c r="OKV341" s="173"/>
      <c r="OKW341" s="173"/>
      <c r="OKX341" s="173"/>
      <c r="OKY341" s="173"/>
      <c r="OKZ341" s="173"/>
      <c r="OLA341" s="173"/>
      <c r="OLB341" s="173"/>
      <c r="OLC341" s="173"/>
      <c r="OLD341" s="173"/>
      <c r="OLE341" s="125"/>
      <c r="OLF341" s="125"/>
      <c r="OLG341" s="134"/>
      <c r="OLH341" s="135"/>
      <c r="OLI341" s="135"/>
      <c r="OLJ341" s="135"/>
      <c r="OLK341" s="135"/>
      <c r="OLL341" s="173"/>
      <c r="OLM341" s="173"/>
      <c r="OLN341" s="173"/>
      <c r="OLO341" s="173"/>
      <c r="OLP341" s="173"/>
      <c r="OLQ341" s="173"/>
      <c r="OLR341" s="173"/>
      <c r="OLS341" s="173"/>
      <c r="OLT341" s="173"/>
      <c r="OLU341" s="173"/>
      <c r="OLV341" s="125"/>
      <c r="OLW341" s="125"/>
      <c r="OLX341" s="134"/>
      <c r="OLY341" s="135"/>
      <c r="OLZ341" s="135"/>
      <c r="OMA341" s="135"/>
      <c r="OMB341" s="135"/>
      <c r="OMC341" s="173"/>
      <c r="OMD341" s="173"/>
      <c r="OME341" s="173"/>
      <c r="OMF341" s="173"/>
      <c r="OMG341" s="173"/>
      <c r="OMH341" s="173"/>
      <c r="OMI341" s="173"/>
      <c r="OMJ341" s="173"/>
      <c r="OMK341" s="173"/>
      <c r="OML341" s="173"/>
      <c r="OMM341" s="125"/>
      <c r="OMN341" s="125"/>
      <c r="OMO341" s="134"/>
      <c r="OMP341" s="135"/>
      <c r="OMQ341" s="135"/>
      <c r="OMR341" s="135"/>
      <c r="OMS341" s="135"/>
      <c r="OMT341" s="173"/>
      <c r="OMU341" s="173"/>
      <c r="OMV341" s="173"/>
      <c r="OMW341" s="173"/>
      <c r="OMX341" s="173"/>
      <c r="OMY341" s="173"/>
      <c r="OMZ341" s="173"/>
      <c r="ONA341" s="173"/>
      <c r="ONB341" s="173"/>
      <c r="ONC341" s="173"/>
      <c r="OND341" s="125"/>
      <c r="ONE341" s="125"/>
      <c r="ONF341" s="134"/>
      <c r="ONG341" s="135"/>
      <c r="ONH341" s="135"/>
      <c r="ONI341" s="135"/>
      <c r="ONJ341" s="135"/>
      <c r="ONK341" s="173"/>
      <c r="ONL341" s="173"/>
      <c r="ONM341" s="173"/>
      <c r="ONN341" s="173"/>
      <c r="ONO341" s="173"/>
      <c r="ONP341" s="173"/>
      <c r="ONQ341" s="173"/>
      <c r="ONR341" s="173"/>
      <c r="ONS341" s="173"/>
      <c r="ONT341" s="173"/>
      <c r="ONU341" s="125"/>
      <c r="ONV341" s="125"/>
      <c r="ONW341" s="134"/>
      <c r="ONX341" s="135"/>
      <c r="ONY341" s="135"/>
      <c r="ONZ341" s="135"/>
      <c r="OOA341" s="135"/>
      <c r="OOB341" s="173"/>
      <c r="OOC341" s="173"/>
      <c r="OOD341" s="173"/>
      <c r="OOE341" s="173"/>
      <c r="OOF341" s="173"/>
      <c r="OOG341" s="173"/>
      <c r="OOH341" s="173"/>
      <c r="OOI341" s="173"/>
      <c r="OOJ341" s="173"/>
      <c r="OOK341" s="173"/>
      <c r="OOL341" s="125"/>
      <c r="OOM341" s="125"/>
      <c r="OON341" s="134"/>
      <c r="OOO341" s="135"/>
      <c r="OOP341" s="135"/>
      <c r="OOQ341" s="135"/>
      <c r="OOR341" s="135"/>
      <c r="OOS341" s="173"/>
      <c r="OOT341" s="173"/>
      <c r="OOU341" s="173"/>
      <c r="OOV341" s="173"/>
      <c r="OOW341" s="173"/>
      <c r="OOX341" s="173"/>
      <c r="OOY341" s="173"/>
      <c r="OOZ341" s="173"/>
      <c r="OPA341" s="173"/>
      <c r="OPB341" s="173"/>
      <c r="OPC341" s="125"/>
      <c r="OPD341" s="125"/>
      <c r="OPE341" s="134"/>
      <c r="OPF341" s="135"/>
      <c r="OPG341" s="135"/>
      <c r="OPH341" s="135"/>
      <c r="OPI341" s="135"/>
      <c r="OPJ341" s="173"/>
      <c r="OPK341" s="173"/>
      <c r="OPL341" s="173"/>
      <c r="OPM341" s="173"/>
      <c r="OPN341" s="173"/>
      <c r="OPO341" s="173"/>
      <c r="OPP341" s="173"/>
      <c r="OPQ341" s="173"/>
      <c r="OPR341" s="173"/>
      <c r="OPS341" s="173"/>
      <c r="OPT341" s="125"/>
      <c r="OPU341" s="125"/>
      <c r="OPV341" s="134"/>
      <c r="OPW341" s="135"/>
      <c r="OPX341" s="135"/>
      <c r="OPY341" s="135"/>
      <c r="OPZ341" s="135"/>
      <c r="OQA341" s="173"/>
      <c r="OQB341" s="173"/>
      <c r="OQC341" s="173"/>
      <c r="OQD341" s="173"/>
      <c r="OQE341" s="173"/>
      <c r="OQF341" s="173"/>
      <c r="OQG341" s="173"/>
      <c r="OQH341" s="173"/>
      <c r="OQI341" s="173"/>
      <c r="OQJ341" s="173"/>
      <c r="OQK341" s="125"/>
      <c r="OQL341" s="125"/>
      <c r="OQM341" s="134"/>
      <c r="OQN341" s="135"/>
      <c r="OQO341" s="135"/>
      <c r="OQP341" s="135"/>
      <c r="OQQ341" s="135"/>
      <c r="OQR341" s="173"/>
      <c r="OQS341" s="173"/>
      <c r="OQT341" s="173"/>
      <c r="OQU341" s="173"/>
      <c r="OQV341" s="173"/>
      <c r="OQW341" s="173"/>
      <c r="OQX341" s="173"/>
      <c r="OQY341" s="173"/>
      <c r="OQZ341" s="173"/>
      <c r="ORA341" s="173"/>
      <c r="ORB341" s="125"/>
      <c r="ORC341" s="125"/>
      <c r="ORD341" s="134"/>
      <c r="ORE341" s="135"/>
      <c r="ORF341" s="135"/>
      <c r="ORG341" s="135"/>
      <c r="ORH341" s="135"/>
      <c r="ORI341" s="173"/>
      <c r="ORJ341" s="173"/>
      <c r="ORK341" s="173"/>
      <c r="ORL341" s="173"/>
      <c r="ORM341" s="173"/>
      <c r="ORN341" s="173"/>
      <c r="ORO341" s="173"/>
      <c r="ORP341" s="173"/>
      <c r="ORQ341" s="173"/>
      <c r="ORR341" s="173"/>
      <c r="ORS341" s="125"/>
      <c r="ORT341" s="125"/>
      <c r="ORU341" s="134"/>
      <c r="ORV341" s="135"/>
      <c r="ORW341" s="135"/>
      <c r="ORX341" s="135"/>
      <c r="ORY341" s="135"/>
      <c r="ORZ341" s="173"/>
      <c r="OSA341" s="173"/>
      <c r="OSB341" s="173"/>
      <c r="OSC341" s="173"/>
      <c r="OSD341" s="173"/>
      <c r="OSE341" s="173"/>
      <c r="OSF341" s="173"/>
      <c r="OSG341" s="173"/>
      <c r="OSH341" s="173"/>
      <c r="OSI341" s="173"/>
      <c r="OSJ341" s="125"/>
      <c r="OSK341" s="125"/>
      <c r="OSL341" s="134"/>
      <c r="OSM341" s="135"/>
      <c r="OSN341" s="135"/>
      <c r="OSO341" s="135"/>
      <c r="OSP341" s="135"/>
      <c r="OSQ341" s="173"/>
      <c r="OSR341" s="173"/>
      <c r="OSS341" s="173"/>
      <c r="OST341" s="173"/>
      <c r="OSU341" s="173"/>
      <c r="OSV341" s="173"/>
      <c r="OSW341" s="173"/>
      <c r="OSX341" s="173"/>
      <c r="OSY341" s="173"/>
      <c r="OSZ341" s="173"/>
      <c r="OTA341" s="125"/>
      <c r="OTB341" s="125"/>
      <c r="OTC341" s="134"/>
      <c r="OTD341" s="135"/>
      <c r="OTE341" s="135"/>
      <c r="OTF341" s="135"/>
      <c r="OTG341" s="135"/>
      <c r="OTH341" s="173"/>
      <c r="OTI341" s="173"/>
      <c r="OTJ341" s="173"/>
      <c r="OTK341" s="173"/>
      <c r="OTL341" s="173"/>
      <c r="OTM341" s="173"/>
      <c r="OTN341" s="173"/>
      <c r="OTO341" s="173"/>
      <c r="OTP341" s="173"/>
      <c r="OTQ341" s="173"/>
      <c r="OTR341" s="125"/>
      <c r="OTS341" s="125"/>
      <c r="OTT341" s="134"/>
      <c r="OTU341" s="135"/>
      <c r="OTV341" s="135"/>
      <c r="OTW341" s="135"/>
      <c r="OTX341" s="135"/>
      <c r="OTY341" s="173"/>
      <c r="OTZ341" s="173"/>
      <c r="OUA341" s="173"/>
      <c r="OUB341" s="173"/>
      <c r="OUC341" s="173"/>
      <c r="OUD341" s="173"/>
      <c r="OUE341" s="173"/>
      <c r="OUF341" s="173"/>
      <c r="OUG341" s="173"/>
      <c r="OUH341" s="173"/>
      <c r="OUI341" s="125"/>
      <c r="OUJ341" s="125"/>
      <c r="OUK341" s="134"/>
      <c r="OUL341" s="135"/>
      <c r="OUM341" s="135"/>
      <c r="OUN341" s="135"/>
      <c r="OUO341" s="135"/>
      <c r="OUP341" s="173"/>
      <c r="OUQ341" s="173"/>
      <c r="OUR341" s="173"/>
      <c r="OUS341" s="173"/>
      <c r="OUT341" s="173"/>
      <c r="OUU341" s="173"/>
      <c r="OUV341" s="173"/>
      <c r="OUW341" s="173"/>
      <c r="OUX341" s="173"/>
      <c r="OUY341" s="173"/>
      <c r="OUZ341" s="125"/>
      <c r="OVA341" s="125"/>
      <c r="OVB341" s="134"/>
      <c r="OVC341" s="135"/>
      <c r="OVD341" s="135"/>
      <c r="OVE341" s="135"/>
      <c r="OVF341" s="135"/>
      <c r="OVG341" s="173"/>
      <c r="OVH341" s="173"/>
      <c r="OVI341" s="173"/>
      <c r="OVJ341" s="173"/>
      <c r="OVK341" s="173"/>
      <c r="OVL341" s="173"/>
      <c r="OVM341" s="173"/>
      <c r="OVN341" s="173"/>
      <c r="OVO341" s="173"/>
      <c r="OVP341" s="173"/>
      <c r="OVQ341" s="125"/>
      <c r="OVR341" s="125"/>
      <c r="OVS341" s="134"/>
      <c r="OVT341" s="135"/>
      <c r="OVU341" s="135"/>
      <c r="OVV341" s="135"/>
      <c r="OVW341" s="135"/>
      <c r="OVX341" s="173"/>
      <c r="OVY341" s="173"/>
      <c r="OVZ341" s="173"/>
      <c r="OWA341" s="173"/>
      <c r="OWB341" s="173"/>
      <c r="OWC341" s="173"/>
      <c r="OWD341" s="173"/>
      <c r="OWE341" s="173"/>
      <c r="OWF341" s="173"/>
      <c r="OWG341" s="173"/>
      <c r="OWH341" s="125"/>
      <c r="OWI341" s="125"/>
      <c r="OWJ341" s="134"/>
      <c r="OWK341" s="135"/>
      <c r="OWL341" s="135"/>
      <c r="OWM341" s="135"/>
      <c r="OWN341" s="135"/>
      <c r="OWO341" s="173"/>
      <c r="OWP341" s="173"/>
      <c r="OWQ341" s="173"/>
      <c r="OWR341" s="173"/>
      <c r="OWS341" s="173"/>
      <c r="OWT341" s="173"/>
      <c r="OWU341" s="173"/>
      <c r="OWV341" s="173"/>
      <c r="OWW341" s="173"/>
      <c r="OWX341" s="173"/>
      <c r="OWY341" s="125"/>
      <c r="OWZ341" s="125"/>
      <c r="OXA341" s="134"/>
      <c r="OXB341" s="135"/>
      <c r="OXC341" s="135"/>
      <c r="OXD341" s="135"/>
      <c r="OXE341" s="135"/>
      <c r="OXF341" s="173"/>
      <c r="OXG341" s="173"/>
      <c r="OXH341" s="173"/>
      <c r="OXI341" s="173"/>
      <c r="OXJ341" s="173"/>
      <c r="OXK341" s="173"/>
      <c r="OXL341" s="173"/>
      <c r="OXM341" s="173"/>
      <c r="OXN341" s="173"/>
      <c r="OXO341" s="173"/>
      <c r="OXP341" s="125"/>
      <c r="OXQ341" s="125"/>
      <c r="OXR341" s="134"/>
      <c r="OXS341" s="135"/>
      <c r="OXT341" s="135"/>
      <c r="OXU341" s="135"/>
      <c r="OXV341" s="135"/>
      <c r="OXW341" s="173"/>
      <c r="OXX341" s="173"/>
      <c r="OXY341" s="173"/>
      <c r="OXZ341" s="173"/>
      <c r="OYA341" s="173"/>
      <c r="OYB341" s="173"/>
      <c r="OYC341" s="173"/>
      <c r="OYD341" s="173"/>
      <c r="OYE341" s="173"/>
      <c r="OYF341" s="173"/>
      <c r="OYG341" s="125"/>
      <c r="OYH341" s="125"/>
      <c r="OYI341" s="134"/>
      <c r="OYJ341" s="135"/>
      <c r="OYK341" s="135"/>
      <c r="OYL341" s="135"/>
      <c r="OYM341" s="135"/>
      <c r="OYN341" s="173"/>
      <c r="OYO341" s="173"/>
      <c r="OYP341" s="173"/>
      <c r="OYQ341" s="173"/>
      <c r="OYR341" s="173"/>
      <c r="OYS341" s="173"/>
      <c r="OYT341" s="173"/>
      <c r="OYU341" s="173"/>
      <c r="OYV341" s="173"/>
      <c r="OYW341" s="173"/>
      <c r="OYX341" s="125"/>
      <c r="OYY341" s="125"/>
      <c r="OYZ341" s="134"/>
      <c r="OZA341" s="135"/>
      <c r="OZB341" s="135"/>
      <c r="OZC341" s="135"/>
      <c r="OZD341" s="135"/>
      <c r="OZE341" s="173"/>
      <c r="OZF341" s="173"/>
      <c r="OZG341" s="173"/>
      <c r="OZH341" s="173"/>
      <c r="OZI341" s="173"/>
      <c r="OZJ341" s="173"/>
      <c r="OZK341" s="173"/>
      <c r="OZL341" s="173"/>
      <c r="OZM341" s="173"/>
      <c r="OZN341" s="173"/>
      <c r="OZO341" s="125"/>
      <c r="OZP341" s="125"/>
      <c r="OZQ341" s="134"/>
      <c r="OZR341" s="135"/>
      <c r="OZS341" s="135"/>
      <c r="OZT341" s="135"/>
      <c r="OZU341" s="135"/>
      <c r="OZV341" s="173"/>
      <c r="OZW341" s="173"/>
      <c r="OZX341" s="173"/>
      <c r="OZY341" s="173"/>
      <c r="OZZ341" s="173"/>
      <c r="PAA341" s="173"/>
      <c r="PAB341" s="173"/>
      <c r="PAC341" s="173"/>
      <c r="PAD341" s="173"/>
      <c r="PAE341" s="173"/>
      <c r="PAF341" s="125"/>
      <c r="PAG341" s="125"/>
      <c r="PAH341" s="134"/>
      <c r="PAI341" s="135"/>
      <c r="PAJ341" s="135"/>
      <c r="PAK341" s="135"/>
      <c r="PAL341" s="135"/>
      <c r="PAM341" s="173"/>
      <c r="PAN341" s="173"/>
      <c r="PAO341" s="173"/>
      <c r="PAP341" s="173"/>
      <c r="PAQ341" s="173"/>
      <c r="PAR341" s="173"/>
      <c r="PAS341" s="173"/>
      <c r="PAT341" s="173"/>
      <c r="PAU341" s="173"/>
      <c r="PAV341" s="173"/>
      <c r="PAW341" s="125"/>
      <c r="PAX341" s="125"/>
      <c r="PAY341" s="134"/>
      <c r="PAZ341" s="135"/>
      <c r="PBA341" s="135"/>
      <c r="PBB341" s="135"/>
      <c r="PBC341" s="135"/>
      <c r="PBD341" s="173"/>
      <c r="PBE341" s="173"/>
      <c r="PBF341" s="173"/>
      <c r="PBG341" s="173"/>
      <c r="PBH341" s="173"/>
      <c r="PBI341" s="173"/>
      <c r="PBJ341" s="173"/>
      <c r="PBK341" s="173"/>
      <c r="PBL341" s="173"/>
      <c r="PBM341" s="173"/>
      <c r="PBN341" s="125"/>
      <c r="PBO341" s="125"/>
      <c r="PBP341" s="134"/>
      <c r="PBQ341" s="135"/>
      <c r="PBR341" s="135"/>
      <c r="PBS341" s="135"/>
      <c r="PBT341" s="135"/>
      <c r="PBU341" s="173"/>
      <c r="PBV341" s="173"/>
      <c r="PBW341" s="173"/>
      <c r="PBX341" s="173"/>
      <c r="PBY341" s="173"/>
      <c r="PBZ341" s="173"/>
      <c r="PCA341" s="173"/>
      <c r="PCB341" s="173"/>
      <c r="PCC341" s="173"/>
      <c r="PCD341" s="173"/>
      <c r="PCE341" s="125"/>
      <c r="PCF341" s="125"/>
      <c r="PCG341" s="134"/>
      <c r="PCH341" s="135"/>
      <c r="PCI341" s="135"/>
      <c r="PCJ341" s="135"/>
      <c r="PCK341" s="135"/>
      <c r="PCL341" s="173"/>
      <c r="PCM341" s="173"/>
      <c r="PCN341" s="173"/>
      <c r="PCO341" s="173"/>
      <c r="PCP341" s="173"/>
      <c r="PCQ341" s="173"/>
      <c r="PCR341" s="173"/>
      <c r="PCS341" s="173"/>
      <c r="PCT341" s="173"/>
      <c r="PCU341" s="173"/>
      <c r="PCV341" s="125"/>
      <c r="PCW341" s="125"/>
      <c r="PCX341" s="134"/>
      <c r="PCY341" s="135"/>
      <c r="PCZ341" s="135"/>
      <c r="PDA341" s="135"/>
      <c r="PDB341" s="135"/>
      <c r="PDC341" s="173"/>
      <c r="PDD341" s="173"/>
      <c r="PDE341" s="173"/>
      <c r="PDF341" s="173"/>
      <c r="PDG341" s="173"/>
      <c r="PDH341" s="173"/>
      <c r="PDI341" s="173"/>
      <c r="PDJ341" s="173"/>
      <c r="PDK341" s="173"/>
      <c r="PDL341" s="173"/>
      <c r="PDM341" s="125"/>
      <c r="PDN341" s="125"/>
      <c r="PDO341" s="134"/>
      <c r="PDP341" s="135"/>
      <c r="PDQ341" s="135"/>
      <c r="PDR341" s="135"/>
      <c r="PDS341" s="135"/>
      <c r="PDT341" s="173"/>
      <c r="PDU341" s="173"/>
      <c r="PDV341" s="173"/>
      <c r="PDW341" s="173"/>
      <c r="PDX341" s="173"/>
      <c r="PDY341" s="173"/>
      <c r="PDZ341" s="173"/>
      <c r="PEA341" s="173"/>
      <c r="PEB341" s="173"/>
      <c r="PEC341" s="173"/>
      <c r="PED341" s="125"/>
      <c r="PEE341" s="125"/>
      <c r="PEF341" s="134"/>
      <c r="PEG341" s="135"/>
      <c r="PEH341" s="135"/>
      <c r="PEI341" s="135"/>
      <c r="PEJ341" s="135"/>
      <c r="PEK341" s="173"/>
      <c r="PEL341" s="173"/>
      <c r="PEM341" s="173"/>
      <c r="PEN341" s="173"/>
      <c r="PEO341" s="173"/>
      <c r="PEP341" s="173"/>
      <c r="PEQ341" s="173"/>
      <c r="PER341" s="173"/>
      <c r="PES341" s="173"/>
      <c r="PET341" s="173"/>
      <c r="PEU341" s="125"/>
      <c r="PEV341" s="125"/>
      <c r="PEW341" s="134"/>
      <c r="PEX341" s="135"/>
      <c r="PEY341" s="135"/>
      <c r="PEZ341" s="135"/>
      <c r="PFA341" s="135"/>
      <c r="PFB341" s="173"/>
      <c r="PFC341" s="173"/>
      <c r="PFD341" s="173"/>
      <c r="PFE341" s="173"/>
      <c r="PFF341" s="173"/>
      <c r="PFG341" s="173"/>
      <c r="PFH341" s="173"/>
      <c r="PFI341" s="173"/>
      <c r="PFJ341" s="173"/>
      <c r="PFK341" s="173"/>
      <c r="PFL341" s="125"/>
      <c r="PFM341" s="125"/>
      <c r="PFN341" s="134"/>
      <c r="PFO341" s="135"/>
      <c r="PFP341" s="135"/>
      <c r="PFQ341" s="135"/>
      <c r="PFR341" s="135"/>
      <c r="PFS341" s="173"/>
      <c r="PFT341" s="173"/>
      <c r="PFU341" s="173"/>
      <c r="PFV341" s="173"/>
      <c r="PFW341" s="173"/>
      <c r="PFX341" s="173"/>
      <c r="PFY341" s="173"/>
      <c r="PFZ341" s="173"/>
      <c r="PGA341" s="173"/>
      <c r="PGB341" s="173"/>
      <c r="PGC341" s="125"/>
      <c r="PGD341" s="125"/>
      <c r="PGE341" s="134"/>
      <c r="PGF341" s="135"/>
      <c r="PGG341" s="135"/>
      <c r="PGH341" s="135"/>
      <c r="PGI341" s="135"/>
      <c r="PGJ341" s="173"/>
      <c r="PGK341" s="173"/>
      <c r="PGL341" s="173"/>
      <c r="PGM341" s="173"/>
      <c r="PGN341" s="173"/>
      <c r="PGO341" s="173"/>
      <c r="PGP341" s="173"/>
      <c r="PGQ341" s="173"/>
      <c r="PGR341" s="173"/>
      <c r="PGS341" s="173"/>
      <c r="PGT341" s="125"/>
      <c r="PGU341" s="125"/>
      <c r="PGV341" s="134"/>
      <c r="PGW341" s="135"/>
      <c r="PGX341" s="135"/>
      <c r="PGY341" s="135"/>
      <c r="PGZ341" s="135"/>
      <c r="PHA341" s="173"/>
      <c r="PHB341" s="173"/>
      <c r="PHC341" s="173"/>
      <c r="PHD341" s="173"/>
      <c r="PHE341" s="173"/>
      <c r="PHF341" s="173"/>
      <c r="PHG341" s="173"/>
      <c r="PHH341" s="173"/>
      <c r="PHI341" s="173"/>
      <c r="PHJ341" s="173"/>
      <c r="PHK341" s="125"/>
      <c r="PHL341" s="125"/>
      <c r="PHM341" s="134"/>
      <c r="PHN341" s="135"/>
      <c r="PHO341" s="135"/>
      <c r="PHP341" s="135"/>
      <c r="PHQ341" s="135"/>
      <c r="PHR341" s="173"/>
      <c r="PHS341" s="173"/>
      <c r="PHT341" s="173"/>
      <c r="PHU341" s="173"/>
      <c r="PHV341" s="173"/>
      <c r="PHW341" s="173"/>
      <c r="PHX341" s="173"/>
      <c r="PHY341" s="173"/>
      <c r="PHZ341" s="173"/>
      <c r="PIA341" s="173"/>
      <c r="PIB341" s="125"/>
      <c r="PIC341" s="125"/>
      <c r="PID341" s="134"/>
      <c r="PIE341" s="135"/>
      <c r="PIF341" s="135"/>
      <c r="PIG341" s="135"/>
      <c r="PIH341" s="135"/>
      <c r="PII341" s="173"/>
      <c r="PIJ341" s="173"/>
      <c r="PIK341" s="173"/>
      <c r="PIL341" s="173"/>
      <c r="PIM341" s="173"/>
      <c r="PIN341" s="173"/>
      <c r="PIO341" s="173"/>
      <c r="PIP341" s="173"/>
      <c r="PIQ341" s="173"/>
      <c r="PIR341" s="173"/>
      <c r="PIS341" s="125"/>
      <c r="PIT341" s="125"/>
      <c r="PIU341" s="134"/>
      <c r="PIV341" s="135"/>
      <c r="PIW341" s="135"/>
      <c r="PIX341" s="135"/>
      <c r="PIY341" s="135"/>
      <c r="PIZ341" s="173"/>
      <c r="PJA341" s="173"/>
      <c r="PJB341" s="173"/>
      <c r="PJC341" s="173"/>
      <c r="PJD341" s="173"/>
      <c r="PJE341" s="173"/>
      <c r="PJF341" s="173"/>
      <c r="PJG341" s="173"/>
      <c r="PJH341" s="173"/>
      <c r="PJI341" s="173"/>
      <c r="PJJ341" s="125"/>
      <c r="PJK341" s="125"/>
      <c r="PJL341" s="134"/>
      <c r="PJM341" s="135"/>
      <c r="PJN341" s="135"/>
      <c r="PJO341" s="135"/>
      <c r="PJP341" s="135"/>
      <c r="PJQ341" s="173"/>
      <c r="PJR341" s="173"/>
      <c r="PJS341" s="173"/>
      <c r="PJT341" s="173"/>
      <c r="PJU341" s="173"/>
      <c r="PJV341" s="173"/>
      <c r="PJW341" s="173"/>
      <c r="PJX341" s="173"/>
      <c r="PJY341" s="173"/>
      <c r="PJZ341" s="173"/>
      <c r="PKA341" s="125"/>
      <c r="PKB341" s="125"/>
      <c r="PKC341" s="134"/>
      <c r="PKD341" s="135"/>
      <c r="PKE341" s="135"/>
      <c r="PKF341" s="135"/>
      <c r="PKG341" s="135"/>
      <c r="PKH341" s="173"/>
      <c r="PKI341" s="173"/>
      <c r="PKJ341" s="173"/>
      <c r="PKK341" s="173"/>
      <c r="PKL341" s="173"/>
      <c r="PKM341" s="173"/>
      <c r="PKN341" s="173"/>
      <c r="PKO341" s="173"/>
      <c r="PKP341" s="173"/>
      <c r="PKQ341" s="173"/>
      <c r="PKR341" s="125"/>
      <c r="PKS341" s="125"/>
      <c r="PKT341" s="134"/>
      <c r="PKU341" s="135"/>
      <c r="PKV341" s="135"/>
      <c r="PKW341" s="135"/>
      <c r="PKX341" s="135"/>
      <c r="PKY341" s="173"/>
      <c r="PKZ341" s="173"/>
      <c r="PLA341" s="173"/>
      <c r="PLB341" s="173"/>
      <c r="PLC341" s="173"/>
      <c r="PLD341" s="173"/>
      <c r="PLE341" s="173"/>
      <c r="PLF341" s="173"/>
      <c r="PLG341" s="173"/>
      <c r="PLH341" s="173"/>
      <c r="PLI341" s="125"/>
      <c r="PLJ341" s="125"/>
      <c r="PLK341" s="134"/>
      <c r="PLL341" s="135"/>
      <c r="PLM341" s="135"/>
      <c r="PLN341" s="135"/>
      <c r="PLO341" s="135"/>
      <c r="PLP341" s="173"/>
      <c r="PLQ341" s="173"/>
      <c r="PLR341" s="173"/>
      <c r="PLS341" s="173"/>
      <c r="PLT341" s="173"/>
      <c r="PLU341" s="173"/>
      <c r="PLV341" s="173"/>
      <c r="PLW341" s="173"/>
      <c r="PLX341" s="173"/>
      <c r="PLY341" s="173"/>
      <c r="PLZ341" s="125"/>
      <c r="PMA341" s="125"/>
      <c r="PMB341" s="134"/>
      <c r="PMC341" s="135"/>
      <c r="PMD341" s="135"/>
      <c r="PME341" s="135"/>
      <c r="PMF341" s="135"/>
      <c r="PMG341" s="173"/>
      <c r="PMH341" s="173"/>
      <c r="PMI341" s="173"/>
      <c r="PMJ341" s="173"/>
      <c r="PMK341" s="173"/>
      <c r="PML341" s="173"/>
      <c r="PMM341" s="173"/>
      <c r="PMN341" s="173"/>
      <c r="PMO341" s="173"/>
      <c r="PMP341" s="173"/>
      <c r="PMQ341" s="125"/>
      <c r="PMR341" s="125"/>
      <c r="PMS341" s="134"/>
      <c r="PMT341" s="135"/>
      <c r="PMU341" s="135"/>
      <c r="PMV341" s="135"/>
      <c r="PMW341" s="135"/>
      <c r="PMX341" s="173"/>
      <c r="PMY341" s="173"/>
      <c r="PMZ341" s="173"/>
      <c r="PNA341" s="173"/>
      <c r="PNB341" s="173"/>
      <c r="PNC341" s="173"/>
      <c r="PND341" s="173"/>
      <c r="PNE341" s="173"/>
      <c r="PNF341" s="173"/>
      <c r="PNG341" s="173"/>
      <c r="PNH341" s="125"/>
      <c r="PNI341" s="125"/>
      <c r="PNJ341" s="134"/>
      <c r="PNK341" s="135"/>
      <c r="PNL341" s="135"/>
      <c r="PNM341" s="135"/>
      <c r="PNN341" s="135"/>
      <c r="PNO341" s="173"/>
      <c r="PNP341" s="173"/>
      <c r="PNQ341" s="173"/>
      <c r="PNR341" s="173"/>
      <c r="PNS341" s="173"/>
      <c r="PNT341" s="173"/>
      <c r="PNU341" s="173"/>
      <c r="PNV341" s="173"/>
      <c r="PNW341" s="173"/>
      <c r="PNX341" s="173"/>
      <c r="PNY341" s="125"/>
      <c r="PNZ341" s="125"/>
      <c r="POA341" s="134"/>
      <c r="POB341" s="135"/>
      <c r="POC341" s="135"/>
      <c r="POD341" s="135"/>
      <c r="POE341" s="135"/>
      <c r="POF341" s="173"/>
      <c r="POG341" s="173"/>
      <c r="POH341" s="173"/>
      <c r="POI341" s="173"/>
      <c r="POJ341" s="173"/>
      <c r="POK341" s="173"/>
      <c r="POL341" s="173"/>
      <c r="POM341" s="173"/>
      <c r="PON341" s="173"/>
      <c r="POO341" s="173"/>
      <c r="POP341" s="125"/>
      <c r="POQ341" s="125"/>
      <c r="POR341" s="134"/>
      <c r="POS341" s="135"/>
      <c r="POT341" s="135"/>
      <c r="POU341" s="135"/>
      <c r="POV341" s="135"/>
      <c r="POW341" s="173"/>
      <c r="POX341" s="173"/>
      <c r="POY341" s="173"/>
      <c r="POZ341" s="173"/>
      <c r="PPA341" s="173"/>
      <c r="PPB341" s="173"/>
      <c r="PPC341" s="173"/>
      <c r="PPD341" s="173"/>
      <c r="PPE341" s="173"/>
      <c r="PPF341" s="173"/>
      <c r="PPG341" s="125"/>
      <c r="PPH341" s="125"/>
      <c r="PPI341" s="134"/>
      <c r="PPJ341" s="135"/>
      <c r="PPK341" s="135"/>
      <c r="PPL341" s="135"/>
      <c r="PPM341" s="135"/>
      <c r="PPN341" s="173"/>
      <c r="PPO341" s="173"/>
      <c r="PPP341" s="173"/>
      <c r="PPQ341" s="173"/>
      <c r="PPR341" s="173"/>
      <c r="PPS341" s="173"/>
      <c r="PPT341" s="173"/>
      <c r="PPU341" s="173"/>
      <c r="PPV341" s="173"/>
      <c r="PPW341" s="173"/>
      <c r="PPX341" s="125"/>
      <c r="PPY341" s="125"/>
      <c r="PPZ341" s="134"/>
      <c r="PQA341" s="135"/>
      <c r="PQB341" s="135"/>
      <c r="PQC341" s="135"/>
      <c r="PQD341" s="135"/>
      <c r="PQE341" s="173"/>
      <c r="PQF341" s="173"/>
      <c r="PQG341" s="173"/>
      <c r="PQH341" s="173"/>
      <c r="PQI341" s="173"/>
      <c r="PQJ341" s="173"/>
      <c r="PQK341" s="173"/>
      <c r="PQL341" s="173"/>
      <c r="PQM341" s="173"/>
      <c r="PQN341" s="173"/>
      <c r="PQO341" s="125"/>
      <c r="PQP341" s="125"/>
      <c r="PQQ341" s="134"/>
      <c r="PQR341" s="135"/>
      <c r="PQS341" s="135"/>
      <c r="PQT341" s="135"/>
      <c r="PQU341" s="135"/>
      <c r="PQV341" s="173"/>
      <c r="PQW341" s="173"/>
      <c r="PQX341" s="173"/>
      <c r="PQY341" s="173"/>
      <c r="PQZ341" s="173"/>
      <c r="PRA341" s="173"/>
      <c r="PRB341" s="173"/>
      <c r="PRC341" s="173"/>
      <c r="PRD341" s="173"/>
      <c r="PRE341" s="173"/>
      <c r="PRF341" s="125"/>
      <c r="PRG341" s="125"/>
      <c r="PRH341" s="134"/>
      <c r="PRI341" s="135"/>
      <c r="PRJ341" s="135"/>
      <c r="PRK341" s="135"/>
      <c r="PRL341" s="135"/>
      <c r="PRM341" s="173"/>
      <c r="PRN341" s="173"/>
      <c r="PRO341" s="173"/>
      <c r="PRP341" s="173"/>
      <c r="PRQ341" s="173"/>
      <c r="PRR341" s="173"/>
      <c r="PRS341" s="173"/>
      <c r="PRT341" s="173"/>
      <c r="PRU341" s="173"/>
      <c r="PRV341" s="173"/>
      <c r="PRW341" s="125"/>
      <c r="PRX341" s="125"/>
      <c r="PRY341" s="134"/>
      <c r="PRZ341" s="135"/>
      <c r="PSA341" s="135"/>
      <c r="PSB341" s="135"/>
      <c r="PSC341" s="135"/>
      <c r="PSD341" s="173"/>
      <c r="PSE341" s="173"/>
      <c r="PSF341" s="173"/>
      <c r="PSG341" s="173"/>
      <c r="PSH341" s="173"/>
      <c r="PSI341" s="173"/>
      <c r="PSJ341" s="173"/>
      <c r="PSK341" s="173"/>
      <c r="PSL341" s="173"/>
      <c r="PSM341" s="173"/>
      <c r="PSN341" s="125"/>
      <c r="PSO341" s="125"/>
      <c r="PSP341" s="134"/>
      <c r="PSQ341" s="135"/>
      <c r="PSR341" s="135"/>
      <c r="PSS341" s="135"/>
      <c r="PST341" s="135"/>
      <c r="PSU341" s="173"/>
      <c r="PSV341" s="173"/>
      <c r="PSW341" s="173"/>
      <c r="PSX341" s="173"/>
      <c r="PSY341" s="173"/>
      <c r="PSZ341" s="173"/>
      <c r="PTA341" s="173"/>
      <c r="PTB341" s="173"/>
      <c r="PTC341" s="173"/>
      <c r="PTD341" s="173"/>
      <c r="PTE341" s="125"/>
      <c r="PTF341" s="125"/>
      <c r="PTG341" s="134"/>
      <c r="PTH341" s="135"/>
      <c r="PTI341" s="135"/>
      <c r="PTJ341" s="135"/>
      <c r="PTK341" s="135"/>
      <c r="PTL341" s="173"/>
      <c r="PTM341" s="173"/>
      <c r="PTN341" s="173"/>
      <c r="PTO341" s="173"/>
      <c r="PTP341" s="173"/>
      <c r="PTQ341" s="173"/>
      <c r="PTR341" s="173"/>
      <c r="PTS341" s="173"/>
      <c r="PTT341" s="173"/>
      <c r="PTU341" s="173"/>
      <c r="PTV341" s="125"/>
      <c r="PTW341" s="125"/>
      <c r="PTX341" s="134"/>
      <c r="PTY341" s="135"/>
      <c r="PTZ341" s="135"/>
      <c r="PUA341" s="135"/>
      <c r="PUB341" s="135"/>
      <c r="PUC341" s="173"/>
      <c r="PUD341" s="173"/>
      <c r="PUE341" s="173"/>
      <c r="PUF341" s="173"/>
      <c r="PUG341" s="173"/>
      <c r="PUH341" s="173"/>
      <c r="PUI341" s="173"/>
      <c r="PUJ341" s="173"/>
      <c r="PUK341" s="173"/>
      <c r="PUL341" s="173"/>
      <c r="PUM341" s="125"/>
      <c r="PUN341" s="125"/>
      <c r="PUO341" s="134"/>
      <c r="PUP341" s="135"/>
      <c r="PUQ341" s="135"/>
      <c r="PUR341" s="135"/>
      <c r="PUS341" s="135"/>
      <c r="PUT341" s="173"/>
      <c r="PUU341" s="173"/>
      <c r="PUV341" s="173"/>
      <c r="PUW341" s="173"/>
      <c r="PUX341" s="173"/>
      <c r="PUY341" s="173"/>
      <c r="PUZ341" s="173"/>
      <c r="PVA341" s="173"/>
      <c r="PVB341" s="173"/>
      <c r="PVC341" s="173"/>
      <c r="PVD341" s="125"/>
      <c r="PVE341" s="125"/>
      <c r="PVF341" s="134"/>
      <c r="PVG341" s="135"/>
      <c r="PVH341" s="135"/>
      <c r="PVI341" s="135"/>
      <c r="PVJ341" s="135"/>
      <c r="PVK341" s="173"/>
      <c r="PVL341" s="173"/>
      <c r="PVM341" s="173"/>
      <c r="PVN341" s="173"/>
      <c r="PVO341" s="173"/>
      <c r="PVP341" s="173"/>
      <c r="PVQ341" s="173"/>
      <c r="PVR341" s="173"/>
      <c r="PVS341" s="173"/>
      <c r="PVT341" s="173"/>
      <c r="PVU341" s="125"/>
      <c r="PVV341" s="125"/>
      <c r="PVW341" s="134"/>
      <c r="PVX341" s="135"/>
      <c r="PVY341" s="135"/>
      <c r="PVZ341" s="135"/>
      <c r="PWA341" s="135"/>
      <c r="PWB341" s="173"/>
      <c r="PWC341" s="173"/>
      <c r="PWD341" s="173"/>
      <c r="PWE341" s="173"/>
      <c r="PWF341" s="173"/>
      <c r="PWG341" s="173"/>
      <c r="PWH341" s="173"/>
      <c r="PWI341" s="173"/>
      <c r="PWJ341" s="173"/>
      <c r="PWK341" s="173"/>
      <c r="PWL341" s="125"/>
      <c r="PWM341" s="125"/>
      <c r="PWN341" s="134"/>
      <c r="PWO341" s="135"/>
      <c r="PWP341" s="135"/>
      <c r="PWQ341" s="135"/>
      <c r="PWR341" s="135"/>
      <c r="PWS341" s="173"/>
      <c r="PWT341" s="173"/>
      <c r="PWU341" s="173"/>
      <c r="PWV341" s="173"/>
      <c r="PWW341" s="173"/>
      <c r="PWX341" s="173"/>
      <c r="PWY341" s="173"/>
      <c r="PWZ341" s="173"/>
      <c r="PXA341" s="173"/>
      <c r="PXB341" s="173"/>
      <c r="PXC341" s="125"/>
      <c r="PXD341" s="125"/>
      <c r="PXE341" s="134"/>
      <c r="PXF341" s="135"/>
      <c r="PXG341" s="135"/>
      <c r="PXH341" s="135"/>
      <c r="PXI341" s="135"/>
      <c r="PXJ341" s="173"/>
      <c r="PXK341" s="173"/>
      <c r="PXL341" s="173"/>
      <c r="PXM341" s="173"/>
      <c r="PXN341" s="173"/>
      <c r="PXO341" s="173"/>
      <c r="PXP341" s="173"/>
      <c r="PXQ341" s="173"/>
      <c r="PXR341" s="173"/>
      <c r="PXS341" s="173"/>
      <c r="PXT341" s="125"/>
      <c r="PXU341" s="125"/>
      <c r="PXV341" s="134"/>
      <c r="PXW341" s="135"/>
      <c r="PXX341" s="135"/>
      <c r="PXY341" s="135"/>
      <c r="PXZ341" s="135"/>
      <c r="PYA341" s="173"/>
      <c r="PYB341" s="173"/>
      <c r="PYC341" s="173"/>
      <c r="PYD341" s="173"/>
      <c r="PYE341" s="173"/>
      <c r="PYF341" s="173"/>
      <c r="PYG341" s="173"/>
      <c r="PYH341" s="173"/>
      <c r="PYI341" s="173"/>
      <c r="PYJ341" s="173"/>
      <c r="PYK341" s="125"/>
      <c r="PYL341" s="125"/>
      <c r="PYM341" s="134"/>
      <c r="PYN341" s="135"/>
      <c r="PYO341" s="135"/>
      <c r="PYP341" s="135"/>
      <c r="PYQ341" s="135"/>
      <c r="PYR341" s="173"/>
      <c r="PYS341" s="173"/>
      <c r="PYT341" s="173"/>
      <c r="PYU341" s="173"/>
      <c r="PYV341" s="173"/>
      <c r="PYW341" s="173"/>
      <c r="PYX341" s="173"/>
      <c r="PYY341" s="173"/>
      <c r="PYZ341" s="173"/>
      <c r="PZA341" s="173"/>
      <c r="PZB341" s="125"/>
      <c r="PZC341" s="125"/>
      <c r="PZD341" s="134"/>
      <c r="PZE341" s="135"/>
      <c r="PZF341" s="135"/>
      <c r="PZG341" s="135"/>
      <c r="PZH341" s="135"/>
      <c r="PZI341" s="173"/>
      <c r="PZJ341" s="173"/>
      <c r="PZK341" s="173"/>
      <c r="PZL341" s="173"/>
      <c r="PZM341" s="173"/>
      <c r="PZN341" s="173"/>
      <c r="PZO341" s="173"/>
      <c r="PZP341" s="173"/>
      <c r="PZQ341" s="173"/>
      <c r="PZR341" s="173"/>
      <c r="PZS341" s="125"/>
      <c r="PZT341" s="125"/>
      <c r="PZU341" s="134"/>
      <c r="PZV341" s="135"/>
      <c r="PZW341" s="135"/>
      <c r="PZX341" s="135"/>
      <c r="PZY341" s="135"/>
      <c r="PZZ341" s="173"/>
      <c r="QAA341" s="173"/>
      <c r="QAB341" s="173"/>
      <c r="QAC341" s="173"/>
      <c r="QAD341" s="173"/>
      <c r="QAE341" s="173"/>
      <c r="QAF341" s="173"/>
      <c r="QAG341" s="173"/>
      <c r="QAH341" s="173"/>
      <c r="QAI341" s="173"/>
      <c r="QAJ341" s="125"/>
      <c r="QAK341" s="125"/>
      <c r="QAL341" s="134"/>
      <c r="QAM341" s="135"/>
      <c r="QAN341" s="135"/>
      <c r="QAO341" s="135"/>
      <c r="QAP341" s="135"/>
      <c r="QAQ341" s="173"/>
      <c r="QAR341" s="173"/>
      <c r="QAS341" s="173"/>
      <c r="QAT341" s="173"/>
      <c r="QAU341" s="173"/>
      <c r="QAV341" s="173"/>
      <c r="QAW341" s="173"/>
      <c r="QAX341" s="173"/>
      <c r="QAY341" s="173"/>
      <c r="QAZ341" s="173"/>
      <c r="QBA341" s="125"/>
      <c r="QBB341" s="125"/>
      <c r="QBC341" s="134"/>
      <c r="QBD341" s="135"/>
      <c r="QBE341" s="135"/>
      <c r="QBF341" s="135"/>
      <c r="QBG341" s="135"/>
      <c r="QBH341" s="173"/>
      <c r="QBI341" s="173"/>
      <c r="QBJ341" s="173"/>
      <c r="QBK341" s="173"/>
      <c r="QBL341" s="173"/>
      <c r="QBM341" s="173"/>
      <c r="QBN341" s="173"/>
      <c r="QBO341" s="173"/>
      <c r="QBP341" s="173"/>
      <c r="QBQ341" s="173"/>
      <c r="QBR341" s="125"/>
      <c r="QBS341" s="125"/>
      <c r="QBT341" s="134"/>
      <c r="QBU341" s="135"/>
      <c r="QBV341" s="135"/>
      <c r="QBW341" s="135"/>
      <c r="QBX341" s="135"/>
      <c r="QBY341" s="173"/>
      <c r="QBZ341" s="173"/>
      <c r="QCA341" s="173"/>
      <c r="QCB341" s="173"/>
      <c r="QCC341" s="173"/>
      <c r="QCD341" s="173"/>
      <c r="QCE341" s="173"/>
      <c r="QCF341" s="173"/>
      <c r="QCG341" s="173"/>
      <c r="QCH341" s="173"/>
      <c r="QCI341" s="125"/>
      <c r="QCJ341" s="125"/>
      <c r="QCK341" s="134"/>
      <c r="QCL341" s="135"/>
      <c r="QCM341" s="135"/>
      <c r="QCN341" s="135"/>
      <c r="QCO341" s="135"/>
      <c r="QCP341" s="173"/>
      <c r="QCQ341" s="173"/>
      <c r="QCR341" s="173"/>
      <c r="QCS341" s="173"/>
      <c r="QCT341" s="173"/>
      <c r="QCU341" s="173"/>
      <c r="QCV341" s="173"/>
      <c r="QCW341" s="173"/>
      <c r="QCX341" s="173"/>
      <c r="QCY341" s="173"/>
      <c r="QCZ341" s="125"/>
      <c r="QDA341" s="125"/>
      <c r="QDB341" s="134"/>
      <c r="QDC341" s="135"/>
      <c r="QDD341" s="135"/>
      <c r="QDE341" s="135"/>
      <c r="QDF341" s="135"/>
      <c r="QDG341" s="173"/>
      <c r="QDH341" s="173"/>
      <c r="QDI341" s="173"/>
      <c r="QDJ341" s="173"/>
      <c r="QDK341" s="173"/>
      <c r="QDL341" s="173"/>
      <c r="QDM341" s="173"/>
      <c r="QDN341" s="173"/>
      <c r="QDO341" s="173"/>
      <c r="QDP341" s="173"/>
      <c r="QDQ341" s="125"/>
      <c r="QDR341" s="125"/>
      <c r="QDS341" s="134"/>
      <c r="QDT341" s="135"/>
      <c r="QDU341" s="135"/>
      <c r="QDV341" s="135"/>
      <c r="QDW341" s="135"/>
      <c r="QDX341" s="173"/>
      <c r="QDY341" s="173"/>
      <c r="QDZ341" s="173"/>
      <c r="QEA341" s="173"/>
      <c r="QEB341" s="173"/>
      <c r="QEC341" s="173"/>
      <c r="QED341" s="173"/>
      <c r="QEE341" s="173"/>
      <c r="QEF341" s="173"/>
      <c r="QEG341" s="173"/>
      <c r="QEH341" s="125"/>
      <c r="QEI341" s="125"/>
      <c r="QEJ341" s="134"/>
      <c r="QEK341" s="135"/>
      <c r="QEL341" s="135"/>
      <c r="QEM341" s="135"/>
      <c r="QEN341" s="135"/>
      <c r="QEO341" s="173"/>
      <c r="QEP341" s="173"/>
      <c r="QEQ341" s="173"/>
      <c r="QER341" s="173"/>
      <c r="QES341" s="173"/>
      <c r="QET341" s="173"/>
      <c r="QEU341" s="173"/>
      <c r="QEV341" s="173"/>
      <c r="QEW341" s="173"/>
      <c r="QEX341" s="173"/>
      <c r="QEY341" s="125"/>
      <c r="QEZ341" s="125"/>
      <c r="QFA341" s="134"/>
      <c r="QFB341" s="135"/>
      <c r="QFC341" s="135"/>
      <c r="QFD341" s="135"/>
      <c r="QFE341" s="135"/>
      <c r="QFF341" s="173"/>
      <c r="QFG341" s="173"/>
      <c r="QFH341" s="173"/>
      <c r="QFI341" s="173"/>
      <c r="QFJ341" s="173"/>
      <c r="QFK341" s="173"/>
      <c r="QFL341" s="173"/>
      <c r="QFM341" s="173"/>
      <c r="QFN341" s="173"/>
      <c r="QFO341" s="173"/>
      <c r="QFP341" s="125"/>
      <c r="QFQ341" s="125"/>
      <c r="QFR341" s="134"/>
      <c r="QFS341" s="135"/>
      <c r="QFT341" s="135"/>
      <c r="QFU341" s="135"/>
      <c r="QFV341" s="135"/>
      <c r="QFW341" s="173"/>
      <c r="QFX341" s="173"/>
      <c r="QFY341" s="173"/>
      <c r="QFZ341" s="173"/>
      <c r="QGA341" s="173"/>
      <c r="QGB341" s="173"/>
      <c r="QGC341" s="173"/>
      <c r="QGD341" s="173"/>
      <c r="QGE341" s="173"/>
      <c r="QGF341" s="173"/>
      <c r="QGG341" s="125"/>
      <c r="QGH341" s="125"/>
      <c r="QGI341" s="134"/>
      <c r="QGJ341" s="135"/>
      <c r="QGK341" s="135"/>
      <c r="QGL341" s="135"/>
      <c r="QGM341" s="135"/>
      <c r="QGN341" s="173"/>
      <c r="QGO341" s="173"/>
      <c r="QGP341" s="173"/>
      <c r="QGQ341" s="173"/>
      <c r="QGR341" s="173"/>
      <c r="QGS341" s="173"/>
      <c r="QGT341" s="173"/>
      <c r="QGU341" s="173"/>
      <c r="QGV341" s="173"/>
      <c r="QGW341" s="173"/>
      <c r="QGX341" s="125"/>
      <c r="QGY341" s="125"/>
      <c r="QGZ341" s="134"/>
      <c r="QHA341" s="135"/>
      <c r="QHB341" s="135"/>
      <c r="QHC341" s="135"/>
      <c r="QHD341" s="135"/>
      <c r="QHE341" s="173"/>
      <c r="QHF341" s="173"/>
      <c r="QHG341" s="173"/>
      <c r="QHH341" s="173"/>
      <c r="QHI341" s="173"/>
      <c r="QHJ341" s="173"/>
      <c r="QHK341" s="173"/>
      <c r="QHL341" s="173"/>
      <c r="QHM341" s="173"/>
      <c r="QHN341" s="173"/>
      <c r="QHO341" s="125"/>
      <c r="QHP341" s="125"/>
      <c r="QHQ341" s="134"/>
      <c r="QHR341" s="135"/>
      <c r="QHS341" s="135"/>
      <c r="QHT341" s="135"/>
      <c r="QHU341" s="135"/>
      <c r="QHV341" s="173"/>
      <c r="QHW341" s="173"/>
      <c r="QHX341" s="173"/>
      <c r="QHY341" s="173"/>
      <c r="QHZ341" s="173"/>
      <c r="QIA341" s="173"/>
      <c r="QIB341" s="173"/>
      <c r="QIC341" s="173"/>
      <c r="QID341" s="173"/>
      <c r="QIE341" s="173"/>
      <c r="QIF341" s="125"/>
      <c r="QIG341" s="125"/>
      <c r="QIH341" s="134"/>
      <c r="QII341" s="135"/>
      <c r="QIJ341" s="135"/>
      <c r="QIK341" s="135"/>
      <c r="QIL341" s="135"/>
      <c r="QIM341" s="173"/>
      <c r="QIN341" s="173"/>
      <c r="QIO341" s="173"/>
      <c r="QIP341" s="173"/>
      <c r="QIQ341" s="173"/>
      <c r="QIR341" s="173"/>
      <c r="QIS341" s="173"/>
      <c r="QIT341" s="173"/>
      <c r="QIU341" s="173"/>
      <c r="QIV341" s="173"/>
      <c r="QIW341" s="125"/>
      <c r="QIX341" s="125"/>
      <c r="QIY341" s="134"/>
      <c r="QIZ341" s="135"/>
      <c r="QJA341" s="135"/>
      <c r="QJB341" s="135"/>
      <c r="QJC341" s="135"/>
      <c r="QJD341" s="173"/>
      <c r="QJE341" s="173"/>
      <c r="QJF341" s="173"/>
      <c r="QJG341" s="173"/>
      <c r="QJH341" s="173"/>
      <c r="QJI341" s="173"/>
      <c r="QJJ341" s="173"/>
      <c r="QJK341" s="173"/>
      <c r="QJL341" s="173"/>
      <c r="QJM341" s="173"/>
      <c r="QJN341" s="125"/>
      <c r="QJO341" s="125"/>
      <c r="QJP341" s="134"/>
      <c r="QJQ341" s="135"/>
      <c r="QJR341" s="135"/>
      <c r="QJS341" s="135"/>
      <c r="QJT341" s="135"/>
      <c r="QJU341" s="173"/>
      <c r="QJV341" s="173"/>
      <c r="QJW341" s="173"/>
      <c r="QJX341" s="173"/>
      <c r="QJY341" s="173"/>
      <c r="QJZ341" s="173"/>
      <c r="QKA341" s="173"/>
      <c r="QKB341" s="173"/>
      <c r="QKC341" s="173"/>
      <c r="QKD341" s="173"/>
      <c r="QKE341" s="125"/>
      <c r="QKF341" s="125"/>
      <c r="QKG341" s="134"/>
      <c r="QKH341" s="135"/>
      <c r="QKI341" s="135"/>
      <c r="QKJ341" s="135"/>
      <c r="QKK341" s="135"/>
      <c r="QKL341" s="173"/>
      <c r="QKM341" s="173"/>
      <c r="QKN341" s="173"/>
      <c r="QKO341" s="173"/>
      <c r="QKP341" s="173"/>
      <c r="QKQ341" s="173"/>
      <c r="QKR341" s="173"/>
      <c r="QKS341" s="173"/>
      <c r="QKT341" s="173"/>
      <c r="QKU341" s="173"/>
      <c r="QKV341" s="125"/>
      <c r="QKW341" s="125"/>
      <c r="QKX341" s="134"/>
      <c r="QKY341" s="135"/>
      <c r="QKZ341" s="135"/>
      <c r="QLA341" s="135"/>
      <c r="QLB341" s="135"/>
      <c r="QLC341" s="173"/>
      <c r="QLD341" s="173"/>
      <c r="QLE341" s="173"/>
      <c r="QLF341" s="173"/>
      <c r="QLG341" s="173"/>
      <c r="QLH341" s="173"/>
      <c r="QLI341" s="173"/>
      <c r="QLJ341" s="173"/>
      <c r="QLK341" s="173"/>
      <c r="QLL341" s="173"/>
      <c r="QLM341" s="125"/>
      <c r="QLN341" s="125"/>
      <c r="QLO341" s="134"/>
      <c r="QLP341" s="135"/>
      <c r="QLQ341" s="135"/>
      <c r="QLR341" s="135"/>
      <c r="QLS341" s="135"/>
      <c r="QLT341" s="173"/>
      <c r="QLU341" s="173"/>
      <c r="QLV341" s="173"/>
      <c r="QLW341" s="173"/>
      <c r="QLX341" s="173"/>
      <c r="QLY341" s="173"/>
      <c r="QLZ341" s="173"/>
      <c r="QMA341" s="173"/>
      <c r="QMB341" s="173"/>
      <c r="QMC341" s="173"/>
      <c r="QMD341" s="125"/>
      <c r="QME341" s="125"/>
      <c r="QMF341" s="134"/>
      <c r="QMG341" s="135"/>
      <c r="QMH341" s="135"/>
      <c r="QMI341" s="135"/>
      <c r="QMJ341" s="135"/>
      <c r="QMK341" s="173"/>
      <c r="QML341" s="173"/>
      <c r="QMM341" s="173"/>
      <c r="QMN341" s="173"/>
      <c r="QMO341" s="173"/>
      <c r="QMP341" s="173"/>
      <c r="QMQ341" s="173"/>
      <c r="QMR341" s="173"/>
      <c r="QMS341" s="173"/>
      <c r="QMT341" s="173"/>
      <c r="QMU341" s="125"/>
      <c r="QMV341" s="125"/>
      <c r="QMW341" s="134"/>
      <c r="QMX341" s="135"/>
      <c r="QMY341" s="135"/>
      <c r="QMZ341" s="135"/>
      <c r="QNA341" s="135"/>
      <c r="QNB341" s="173"/>
      <c r="QNC341" s="173"/>
      <c r="QND341" s="173"/>
      <c r="QNE341" s="173"/>
      <c r="QNF341" s="173"/>
      <c r="QNG341" s="173"/>
      <c r="QNH341" s="173"/>
      <c r="QNI341" s="173"/>
      <c r="QNJ341" s="173"/>
      <c r="QNK341" s="173"/>
      <c r="QNL341" s="125"/>
      <c r="QNM341" s="125"/>
      <c r="QNN341" s="134"/>
      <c r="QNO341" s="135"/>
      <c r="QNP341" s="135"/>
      <c r="QNQ341" s="135"/>
      <c r="QNR341" s="135"/>
      <c r="QNS341" s="173"/>
      <c r="QNT341" s="173"/>
      <c r="QNU341" s="173"/>
      <c r="QNV341" s="173"/>
      <c r="QNW341" s="173"/>
      <c r="QNX341" s="173"/>
      <c r="QNY341" s="173"/>
      <c r="QNZ341" s="173"/>
      <c r="QOA341" s="173"/>
      <c r="QOB341" s="173"/>
      <c r="QOC341" s="125"/>
      <c r="QOD341" s="125"/>
      <c r="QOE341" s="134"/>
      <c r="QOF341" s="135"/>
      <c r="QOG341" s="135"/>
      <c r="QOH341" s="135"/>
      <c r="QOI341" s="135"/>
      <c r="QOJ341" s="173"/>
      <c r="QOK341" s="173"/>
      <c r="QOL341" s="173"/>
      <c r="QOM341" s="173"/>
      <c r="QON341" s="173"/>
      <c r="QOO341" s="173"/>
      <c r="QOP341" s="173"/>
      <c r="QOQ341" s="173"/>
      <c r="QOR341" s="173"/>
      <c r="QOS341" s="173"/>
      <c r="QOT341" s="125"/>
      <c r="QOU341" s="125"/>
      <c r="QOV341" s="134"/>
      <c r="QOW341" s="135"/>
      <c r="QOX341" s="135"/>
      <c r="QOY341" s="135"/>
      <c r="QOZ341" s="135"/>
      <c r="QPA341" s="173"/>
      <c r="QPB341" s="173"/>
      <c r="QPC341" s="173"/>
      <c r="QPD341" s="173"/>
      <c r="QPE341" s="173"/>
      <c r="QPF341" s="173"/>
      <c r="QPG341" s="173"/>
      <c r="QPH341" s="173"/>
      <c r="QPI341" s="173"/>
      <c r="QPJ341" s="173"/>
      <c r="QPK341" s="125"/>
      <c r="QPL341" s="125"/>
      <c r="QPM341" s="134"/>
      <c r="QPN341" s="135"/>
      <c r="QPO341" s="135"/>
      <c r="QPP341" s="135"/>
      <c r="QPQ341" s="135"/>
      <c r="QPR341" s="173"/>
      <c r="QPS341" s="173"/>
      <c r="QPT341" s="173"/>
      <c r="QPU341" s="173"/>
      <c r="QPV341" s="173"/>
      <c r="QPW341" s="173"/>
      <c r="QPX341" s="173"/>
      <c r="QPY341" s="173"/>
      <c r="QPZ341" s="173"/>
      <c r="QQA341" s="173"/>
      <c r="QQB341" s="125"/>
      <c r="QQC341" s="125"/>
      <c r="QQD341" s="134"/>
      <c r="QQE341" s="135"/>
      <c r="QQF341" s="135"/>
      <c r="QQG341" s="135"/>
      <c r="QQH341" s="135"/>
      <c r="QQI341" s="173"/>
      <c r="QQJ341" s="173"/>
      <c r="QQK341" s="173"/>
      <c r="QQL341" s="173"/>
      <c r="QQM341" s="173"/>
      <c r="QQN341" s="173"/>
      <c r="QQO341" s="173"/>
      <c r="QQP341" s="173"/>
      <c r="QQQ341" s="173"/>
      <c r="QQR341" s="173"/>
      <c r="QQS341" s="125"/>
      <c r="QQT341" s="125"/>
      <c r="QQU341" s="134"/>
      <c r="QQV341" s="135"/>
      <c r="QQW341" s="135"/>
      <c r="QQX341" s="135"/>
      <c r="QQY341" s="135"/>
      <c r="QQZ341" s="173"/>
      <c r="QRA341" s="173"/>
      <c r="QRB341" s="173"/>
      <c r="QRC341" s="173"/>
      <c r="QRD341" s="173"/>
      <c r="QRE341" s="173"/>
      <c r="QRF341" s="173"/>
      <c r="QRG341" s="173"/>
      <c r="QRH341" s="173"/>
      <c r="QRI341" s="173"/>
      <c r="QRJ341" s="125"/>
      <c r="QRK341" s="125"/>
      <c r="QRL341" s="134"/>
      <c r="QRM341" s="135"/>
      <c r="QRN341" s="135"/>
      <c r="QRO341" s="135"/>
      <c r="QRP341" s="135"/>
      <c r="QRQ341" s="173"/>
      <c r="QRR341" s="173"/>
      <c r="QRS341" s="173"/>
      <c r="QRT341" s="173"/>
      <c r="QRU341" s="173"/>
      <c r="QRV341" s="173"/>
      <c r="QRW341" s="173"/>
      <c r="QRX341" s="173"/>
      <c r="QRY341" s="173"/>
      <c r="QRZ341" s="173"/>
      <c r="QSA341" s="125"/>
      <c r="QSB341" s="125"/>
      <c r="QSC341" s="134"/>
      <c r="QSD341" s="135"/>
      <c r="QSE341" s="135"/>
      <c r="QSF341" s="135"/>
      <c r="QSG341" s="135"/>
      <c r="QSH341" s="173"/>
      <c r="QSI341" s="173"/>
      <c r="QSJ341" s="173"/>
      <c r="QSK341" s="173"/>
      <c r="QSL341" s="173"/>
      <c r="QSM341" s="173"/>
      <c r="QSN341" s="173"/>
      <c r="QSO341" s="173"/>
      <c r="QSP341" s="173"/>
      <c r="QSQ341" s="173"/>
      <c r="QSR341" s="125"/>
      <c r="QSS341" s="125"/>
      <c r="QST341" s="134"/>
      <c r="QSU341" s="135"/>
      <c r="QSV341" s="135"/>
      <c r="QSW341" s="135"/>
      <c r="QSX341" s="135"/>
      <c r="QSY341" s="173"/>
      <c r="QSZ341" s="173"/>
      <c r="QTA341" s="173"/>
      <c r="QTB341" s="173"/>
      <c r="QTC341" s="173"/>
      <c r="QTD341" s="173"/>
      <c r="QTE341" s="173"/>
      <c r="QTF341" s="173"/>
      <c r="QTG341" s="173"/>
      <c r="QTH341" s="173"/>
      <c r="QTI341" s="125"/>
      <c r="QTJ341" s="125"/>
      <c r="QTK341" s="134"/>
      <c r="QTL341" s="135"/>
      <c r="QTM341" s="135"/>
      <c r="QTN341" s="135"/>
      <c r="QTO341" s="135"/>
      <c r="QTP341" s="173"/>
      <c r="QTQ341" s="173"/>
      <c r="QTR341" s="173"/>
      <c r="QTS341" s="173"/>
      <c r="QTT341" s="173"/>
      <c r="QTU341" s="173"/>
      <c r="QTV341" s="173"/>
      <c r="QTW341" s="173"/>
      <c r="QTX341" s="173"/>
      <c r="QTY341" s="173"/>
      <c r="QTZ341" s="125"/>
      <c r="QUA341" s="125"/>
      <c r="QUB341" s="134"/>
      <c r="QUC341" s="135"/>
      <c r="QUD341" s="135"/>
      <c r="QUE341" s="135"/>
      <c r="QUF341" s="135"/>
      <c r="QUG341" s="173"/>
      <c r="QUH341" s="173"/>
      <c r="QUI341" s="173"/>
      <c r="QUJ341" s="173"/>
      <c r="QUK341" s="173"/>
      <c r="QUL341" s="173"/>
      <c r="QUM341" s="173"/>
      <c r="QUN341" s="173"/>
      <c r="QUO341" s="173"/>
      <c r="QUP341" s="173"/>
      <c r="QUQ341" s="125"/>
      <c r="QUR341" s="125"/>
      <c r="QUS341" s="134"/>
      <c r="QUT341" s="135"/>
      <c r="QUU341" s="135"/>
      <c r="QUV341" s="135"/>
      <c r="QUW341" s="135"/>
      <c r="QUX341" s="173"/>
      <c r="QUY341" s="173"/>
      <c r="QUZ341" s="173"/>
      <c r="QVA341" s="173"/>
      <c r="QVB341" s="173"/>
      <c r="QVC341" s="173"/>
      <c r="QVD341" s="173"/>
      <c r="QVE341" s="173"/>
      <c r="QVF341" s="173"/>
      <c r="QVG341" s="173"/>
      <c r="QVH341" s="125"/>
      <c r="QVI341" s="125"/>
      <c r="QVJ341" s="134"/>
      <c r="QVK341" s="135"/>
      <c r="QVL341" s="135"/>
      <c r="QVM341" s="135"/>
      <c r="QVN341" s="135"/>
      <c r="QVO341" s="173"/>
      <c r="QVP341" s="173"/>
      <c r="QVQ341" s="173"/>
      <c r="QVR341" s="173"/>
      <c r="QVS341" s="173"/>
      <c r="QVT341" s="173"/>
      <c r="QVU341" s="173"/>
      <c r="QVV341" s="173"/>
      <c r="QVW341" s="173"/>
      <c r="QVX341" s="173"/>
      <c r="QVY341" s="125"/>
      <c r="QVZ341" s="125"/>
      <c r="QWA341" s="134"/>
      <c r="QWB341" s="135"/>
      <c r="QWC341" s="135"/>
      <c r="QWD341" s="135"/>
      <c r="QWE341" s="135"/>
      <c r="QWF341" s="173"/>
      <c r="QWG341" s="173"/>
      <c r="QWH341" s="173"/>
      <c r="QWI341" s="173"/>
      <c r="QWJ341" s="173"/>
      <c r="QWK341" s="173"/>
      <c r="QWL341" s="173"/>
      <c r="QWM341" s="173"/>
      <c r="QWN341" s="173"/>
      <c r="QWO341" s="173"/>
      <c r="QWP341" s="125"/>
      <c r="QWQ341" s="125"/>
      <c r="QWR341" s="134"/>
      <c r="QWS341" s="135"/>
      <c r="QWT341" s="135"/>
      <c r="QWU341" s="135"/>
      <c r="QWV341" s="135"/>
      <c r="QWW341" s="173"/>
      <c r="QWX341" s="173"/>
      <c r="QWY341" s="173"/>
      <c r="QWZ341" s="173"/>
      <c r="QXA341" s="173"/>
      <c r="QXB341" s="173"/>
      <c r="QXC341" s="173"/>
      <c r="QXD341" s="173"/>
      <c r="QXE341" s="173"/>
      <c r="QXF341" s="173"/>
      <c r="QXG341" s="125"/>
      <c r="QXH341" s="125"/>
      <c r="QXI341" s="134"/>
      <c r="QXJ341" s="135"/>
      <c r="QXK341" s="135"/>
      <c r="QXL341" s="135"/>
      <c r="QXM341" s="135"/>
      <c r="QXN341" s="173"/>
      <c r="QXO341" s="173"/>
      <c r="QXP341" s="173"/>
      <c r="QXQ341" s="173"/>
      <c r="QXR341" s="173"/>
      <c r="QXS341" s="173"/>
      <c r="QXT341" s="173"/>
      <c r="QXU341" s="173"/>
      <c r="QXV341" s="173"/>
      <c r="QXW341" s="173"/>
      <c r="QXX341" s="125"/>
      <c r="QXY341" s="125"/>
      <c r="QXZ341" s="134"/>
      <c r="QYA341" s="135"/>
      <c r="QYB341" s="135"/>
      <c r="QYC341" s="135"/>
      <c r="QYD341" s="135"/>
      <c r="QYE341" s="173"/>
      <c r="QYF341" s="173"/>
      <c r="QYG341" s="173"/>
      <c r="QYH341" s="173"/>
      <c r="QYI341" s="173"/>
      <c r="QYJ341" s="173"/>
      <c r="QYK341" s="173"/>
      <c r="QYL341" s="173"/>
      <c r="QYM341" s="173"/>
      <c r="QYN341" s="173"/>
      <c r="QYO341" s="125"/>
      <c r="QYP341" s="125"/>
      <c r="QYQ341" s="134"/>
      <c r="QYR341" s="135"/>
      <c r="QYS341" s="135"/>
      <c r="QYT341" s="135"/>
      <c r="QYU341" s="135"/>
      <c r="QYV341" s="173"/>
      <c r="QYW341" s="173"/>
      <c r="QYX341" s="173"/>
      <c r="QYY341" s="173"/>
      <c r="QYZ341" s="173"/>
      <c r="QZA341" s="173"/>
      <c r="QZB341" s="173"/>
      <c r="QZC341" s="173"/>
      <c r="QZD341" s="173"/>
      <c r="QZE341" s="173"/>
      <c r="QZF341" s="125"/>
      <c r="QZG341" s="125"/>
      <c r="QZH341" s="134"/>
      <c r="QZI341" s="135"/>
      <c r="QZJ341" s="135"/>
      <c r="QZK341" s="135"/>
      <c r="QZL341" s="135"/>
      <c r="QZM341" s="173"/>
      <c r="QZN341" s="173"/>
      <c r="QZO341" s="173"/>
      <c r="QZP341" s="173"/>
      <c r="QZQ341" s="173"/>
      <c r="QZR341" s="173"/>
      <c r="QZS341" s="173"/>
      <c r="QZT341" s="173"/>
      <c r="QZU341" s="173"/>
      <c r="QZV341" s="173"/>
      <c r="QZW341" s="125"/>
      <c r="QZX341" s="125"/>
      <c r="QZY341" s="134"/>
      <c r="QZZ341" s="135"/>
      <c r="RAA341" s="135"/>
      <c r="RAB341" s="135"/>
      <c r="RAC341" s="135"/>
      <c r="RAD341" s="173"/>
      <c r="RAE341" s="173"/>
      <c r="RAF341" s="173"/>
      <c r="RAG341" s="173"/>
      <c r="RAH341" s="173"/>
      <c r="RAI341" s="173"/>
      <c r="RAJ341" s="173"/>
      <c r="RAK341" s="173"/>
      <c r="RAL341" s="173"/>
      <c r="RAM341" s="173"/>
      <c r="RAN341" s="125"/>
      <c r="RAO341" s="125"/>
      <c r="RAP341" s="134"/>
      <c r="RAQ341" s="135"/>
      <c r="RAR341" s="135"/>
      <c r="RAS341" s="135"/>
      <c r="RAT341" s="135"/>
      <c r="RAU341" s="173"/>
      <c r="RAV341" s="173"/>
      <c r="RAW341" s="173"/>
      <c r="RAX341" s="173"/>
      <c r="RAY341" s="173"/>
      <c r="RAZ341" s="173"/>
      <c r="RBA341" s="173"/>
      <c r="RBB341" s="173"/>
      <c r="RBC341" s="173"/>
      <c r="RBD341" s="173"/>
      <c r="RBE341" s="125"/>
      <c r="RBF341" s="125"/>
      <c r="RBG341" s="134"/>
      <c r="RBH341" s="135"/>
      <c r="RBI341" s="135"/>
      <c r="RBJ341" s="135"/>
      <c r="RBK341" s="135"/>
      <c r="RBL341" s="173"/>
      <c r="RBM341" s="173"/>
      <c r="RBN341" s="173"/>
      <c r="RBO341" s="173"/>
      <c r="RBP341" s="173"/>
      <c r="RBQ341" s="173"/>
      <c r="RBR341" s="173"/>
      <c r="RBS341" s="173"/>
      <c r="RBT341" s="173"/>
      <c r="RBU341" s="173"/>
      <c r="RBV341" s="125"/>
      <c r="RBW341" s="125"/>
      <c r="RBX341" s="134"/>
      <c r="RBY341" s="135"/>
      <c r="RBZ341" s="135"/>
      <c r="RCA341" s="135"/>
      <c r="RCB341" s="135"/>
      <c r="RCC341" s="173"/>
      <c r="RCD341" s="173"/>
      <c r="RCE341" s="173"/>
      <c r="RCF341" s="173"/>
      <c r="RCG341" s="173"/>
      <c r="RCH341" s="173"/>
      <c r="RCI341" s="173"/>
      <c r="RCJ341" s="173"/>
      <c r="RCK341" s="173"/>
      <c r="RCL341" s="173"/>
      <c r="RCM341" s="125"/>
      <c r="RCN341" s="125"/>
      <c r="RCO341" s="134"/>
      <c r="RCP341" s="135"/>
      <c r="RCQ341" s="135"/>
      <c r="RCR341" s="135"/>
      <c r="RCS341" s="135"/>
      <c r="RCT341" s="173"/>
      <c r="RCU341" s="173"/>
      <c r="RCV341" s="173"/>
      <c r="RCW341" s="173"/>
      <c r="RCX341" s="173"/>
      <c r="RCY341" s="173"/>
      <c r="RCZ341" s="173"/>
      <c r="RDA341" s="173"/>
      <c r="RDB341" s="173"/>
      <c r="RDC341" s="173"/>
      <c r="RDD341" s="125"/>
      <c r="RDE341" s="125"/>
      <c r="RDF341" s="134"/>
      <c r="RDG341" s="135"/>
      <c r="RDH341" s="135"/>
      <c r="RDI341" s="135"/>
      <c r="RDJ341" s="135"/>
      <c r="RDK341" s="173"/>
      <c r="RDL341" s="173"/>
      <c r="RDM341" s="173"/>
      <c r="RDN341" s="173"/>
      <c r="RDO341" s="173"/>
      <c r="RDP341" s="173"/>
      <c r="RDQ341" s="173"/>
      <c r="RDR341" s="173"/>
      <c r="RDS341" s="173"/>
      <c r="RDT341" s="173"/>
      <c r="RDU341" s="125"/>
      <c r="RDV341" s="125"/>
      <c r="RDW341" s="134"/>
      <c r="RDX341" s="135"/>
      <c r="RDY341" s="135"/>
      <c r="RDZ341" s="135"/>
      <c r="REA341" s="135"/>
      <c r="REB341" s="173"/>
      <c r="REC341" s="173"/>
      <c r="RED341" s="173"/>
      <c r="REE341" s="173"/>
      <c r="REF341" s="173"/>
      <c r="REG341" s="173"/>
      <c r="REH341" s="173"/>
      <c r="REI341" s="173"/>
      <c r="REJ341" s="173"/>
      <c r="REK341" s="173"/>
      <c r="REL341" s="125"/>
      <c r="REM341" s="125"/>
      <c r="REN341" s="134"/>
      <c r="REO341" s="135"/>
      <c r="REP341" s="135"/>
      <c r="REQ341" s="135"/>
      <c r="RER341" s="135"/>
      <c r="RES341" s="173"/>
      <c r="RET341" s="173"/>
      <c r="REU341" s="173"/>
      <c r="REV341" s="173"/>
      <c r="REW341" s="173"/>
      <c r="REX341" s="173"/>
      <c r="REY341" s="173"/>
      <c r="REZ341" s="173"/>
      <c r="RFA341" s="173"/>
      <c r="RFB341" s="173"/>
      <c r="RFC341" s="125"/>
      <c r="RFD341" s="125"/>
      <c r="RFE341" s="134"/>
      <c r="RFF341" s="135"/>
      <c r="RFG341" s="135"/>
      <c r="RFH341" s="135"/>
      <c r="RFI341" s="135"/>
      <c r="RFJ341" s="173"/>
      <c r="RFK341" s="173"/>
      <c r="RFL341" s="173"/>
      <c r="RFM341" s="173"/>
      <c r="RFN341" s="173"/>
      <c r="RFO341" s="173"/>
      <c r="RFP341" s="173"/>
      <c r="RFQ341" s="173"/>
      <c r="RFR341" s="173"/>
      <c r="RFS341" s="173"/>
      <c r="RFT341" s="125"/>
      <c r="RFU341" s="125"/>
      <c r="RFV341" s="134"/>
      <c r="RFW341" s="135"/>
      <c r="RFX341" s="135"/>
      <c r="RFY341" s="135"/>
      <c r="RFZ341" s="135"/>
      <c r="RGA341" s="173"/>
      <c r="RGB341" s="173"/>
      <c r="RGC341" s="173"/>
      <c r="RGD341" s="173"/>
      <c r="RGE341" s="173"/>
      <c r="RGF341" s="173"/>
      <c r="RGG341" s="173"/>
      <c r="RGH341" s="173"/>
      <c r="RGI341" s="173"/>
      <c r="RGJ341" s="173"/>
      <c r="RGK341" s="125"/>
      <c r="RGL341" s="125"/>
      <c r="RGM341" s="134"/>
      <c r="RGN341" s="135"/>
      <c r="RGO341" s="135"/>
      <c r="RGP341" s="135"/>
      <c r="RGQ341" s="135"/>
      <c r="RGR341" s="173"/>
      <c r="RGS341" s="173"/>
      <c r="RGT341" s="173"/>
      <c r="RGU341" s="173"/>
      <c r="RGV341" s="173"/>
      <c r="RGW341" s="173"/>
      <c r="RGX341" s="173"/>
      <c r="RGY341" s="173"/>
      <c r="RGZ341" s="173"/>
      <c r="RHA341" s="173"/>
      <c r="RHB341" s="125"/>
      <c r="RHC341" s="125"/>
      <c r="RHD341" s="134"/>
      <c r="RHE341" s="135"/>
      <c r="RHF341" s="135"/>
      <c r="RHG341" s="135"/>
      <c r="RHH341" s="135"/>
      <c r="RHI341" s="173"/>
      <c r="RHJ341" s="173"/>
      <c r="RHK341" s="173"/>
      <c r="RHL341" s="173"/>
      <c r="RHM341" s="173"/>
      <c r="RHN341" s="173"/>
      <c r="RHO341" s="173"/>
      <c r="RHP341" s="173"/>
      <c r="RHQ341" s="173"/>
      <c r="RHR341" s="173"/>
      <c r="RHS341" s="125"/>
      <c r="RHT341" s="125"/>
      <c r="RHU341" s="134"/>
      <c r="RHV341" s="135"/>
      <c r="RHW341" s="135"/>
      <c r="RHX341" s="135"/>
      <c r="RHY341" s="135"/>
      <c r="RHZ341" s="173"/>
      <c r="RIA341" s="173"/>
      <c r="RIB341" s="173"/>
      <c r="RIC341" s="173"/>
      <c r="RID341" s="173"/>
      <c r="RIE341" s="173"/>
      <c r="RIF341" s="173"/>
      <c r="RIG341" s="173"/>
      <c r="RIH341" s="173"/>
      <c r="RII341" s="173"/>
      <c r="RIJ341" s="125"/>
      <c r="RIK341" s="125"/>
      <c r="RIL341" s="134"/>
      <c r="RIM341" s="135"/>
      <c r="RIN341" s="135"/>
      <c r="RIO341" s="135"/>
      <c r="RIP341" s="135"/>
      <c r="RIQ341" s="173"/>
      <c r="RIR341" s="173"/>
      <c r="RIS341" s="173"/>
      <c r="RIT341" s="173"/>
      <c r="RIU341" s="173"/>
      <c r="RIV341" s="173"/>
      <c r="RIW341" s="173"/>
      <c r="RIX341" s="173"/>
      <c r="RIY341" s="173"/>
      <c r="RIZ341" s="173"/>
      <c r="RJA341" s="125"/>
      <c r="RJB341" s="125"/>
      <c r="RJC341" s="134"/>
      <c r="RJD341" s="135"/>
      <c r="RJE341" s="135"/>
      <c r="RJF341" s="135"/>
      <c r="RJG341" s="135"/>
      <c r="RJH341" s="173"/>
      <c r="RJI341" s="173"/>
      <c r="RJJ341" s="173"/>
      <c r="RJK341" s="173"/>
      <c r="RJL341" s="173"/>
      <c r="RJM341" s="173"/>
      <c r="RJN341" s="173"/>
      <c r="RJO341" s="173"/>
      <c r="RJP341" s="173"/>
      <c r="RJQ341" s="173"/>
      <c r="RJR341" s="125"/>
      <c r="RJS341" s="125"/>
      <c r="RJT341" s="134"/>
      <c r="RJU341" s="135"/>
      <c r="RJV341" s="135"/>
      <c r="RJW341" s="135"/>
      <c r="RJX341" s="135"/>
      <c r="RJY341" s="173"/>
      <c r="RJZ341" s="173"/>
      <c r="RKA341" s="173"/>
      <c r="RKB341" s="173"/>
      <c r="RKC341" s="173"/>
      <c r="RKD341" s="173"/>
      <c r="RKE341" s="173"/>
      <c r="RKF341" s="173"/>
      <c r="RKG341" s="173"/>
      <c r="RKH341" s="173"/>
      <c r="RKI341" s="125"/>
      <c r="RKJ341" s="125"/>
      <c r="RKK341" s="134"/>
      <c r="RKL341" s="135"/>
      <c r="RKM341" s="135"/>
      <c r="RKN341" s="135"/>
      <c r="RKO341" s="135"/>
      <c r="RKP341" s="173"/>
      <c r="RKQ341" s="173"/>
      <c r="RKR341" s="173"/>
      <c r="RKS341" s="173"/>
      <c r="RKT341" s="173"/>
      <c r="RKU341" s="173"/>
      <c r="RKV341" s="173"/>
      <c r="RKW341" s="173"/>
      <c r="RKX341" s="173"/>
      <c r="RKY341" s="173"/>
      <c r="RKZ341" s="125"/>
      <c r="RLA341" s="125"/>
      <c r="RLB341" s="134"/>
      <c r="RLC341" s="135"/>
      <c r="RLD341" s="135"/>
      <c r="RLE341" s="135"/>
      <c r="RLF341" s="135"/>
      <c r="RLG341" s="173"/>
      <c r="RLH341" s="173"/>
      <c r="RLI341" s="173"/>
      <c r="RLJ341" s="173"/>
      <c r="RLK341" s="173"/>
      <c r="RLL341" s="173"/>
      <c r="RLM341" s="173"/>
      <c r="RLN341" s="173"/>
      <c r="RLO341" s="173"/>
      <c r="RLP341" s="173"/>
      <c r="RLQ341" s="125"/>
      <c r="RLR341" s="125"/>
      <c r="RLS341" s="134"/>
      <c r="RLT341" s="135"/>
      <c r="RLU341" s="135"/>
      <c r="RLV341" s="135"/>
      <c r="RLW341" s="135"/>
      <c r="RLX341" s="173"/>
      <c r="RLY341" s="173"/>
      <c r="RLZ341" s="173"/>
      <c r="RMA341" s="173"/>
      <c r="RMB341" s="173"/>
      <c r="RMC341" s="173"/>
      <c r="RMD341" s="173"/>
      <c r="RME341" s="173"/>
      <c r="RMF341" s="173"/>
      <c r="RMG341" s="173"/>
      <c r="RMH341" s="125"/>
      <c r="RMI341" s="125"/>
      <c r="RMJ341" s="134"/>
      <c r="RMK341" s="135"/>
      <c r="RML341" s="135"/>
      <c r="RMM341" s="135"/>
      <c r="RMN341" s="135"/>
      <c r="RMO341" s="173"/>
      <c r="RMP341" s="173"/>
      <c r="RMQ341" s="173"/>
      <c r="RMR341" s="173"/>
      <c r="RMS341" s="173"/>
      <c r="RMT341" s="173"/>
      <c r="RMU341" s="173"/>
      <c r="RMV341" s="173"/>
      <c r="RMW341" s="173"/>
      <c r="RMX341" s="173"/>
      <c r="RMY341" s="125"/>
      <c r="RMZ341" s="125"/>
      <c r="RNA341" s="134"/>
      <c r="RNB341" s="135"/>
      <c r="RNC341" s="135"/>
      <c r="RND341" s="135"/>
      <c r="RNE341" s="135"/>
      <c r="RNF341" s="173"/>
      <c r="RNG341" s="173"/>
      <c r="RNH341" s="173"/>
      <c r="RNI341" s="173"/>
      <c r="RNJ341" s="173"/>
      <c r="RNK341" s="173"/>
      <c r="RNL341" s="173"/>
      <c r="RNM341" s="173"/>
      <c r="RNN341" s="173"/>
      <c r="RNO341" s="173"/>
      <c r="RNP341" s="125"/>
      <c r="RNQ341" s="125"/>
      <c r="RNR341" s="134"/>
      <c r="RNS341" s="135"/>
      <c r="RNT341" s="135"/>
      <c r="RNU341" s="135"/>
      <c r="RNV341" s="135"/>
      <c r="RNW341" s="173"/>
      <c r="RNX341" s="173"/>
      <c r="RNY341" s="173"/>
      <c r="RNZ341" s="173"/>
      <c r="ROA341" s="173"/>
      <c r="ROB341" s="173"/>
      <c r="ROC341" s="173"/>
      <c r="ROD341" s="173"/>
      <c r="ROE341" s="173"/>
      <c r="ROF341" s="173"/>
      <c r="ROG341" s="125"/>
      <c r="ROH341" s="125"/>
      <c r="ROI341" s="134"/>
      <c r="ROJ341" s="135"/>
      <c r="ROK341" s="135"/>
      <c r="ROL341" s="135"/>
      <c r="ROM341" s="135"/>
      <c r="RON341" s="173"/>
      <c r="ROO341" s="173"/>
      <c r="ROP341" s="173"/>
      <c r="ROQ341" s="173"/>
      <c r="ROR341" s="173"/>
      <c r="ROS341" s="173"/>
      <c r="ROT341" s="173"/>
      <c r="ROU341" s="173"/>
      <c r="ROV341" s="173"/>
      <c r="ROW341" s="173"/>
      <c r="ROX341" s="125"/>
      <c r="ROY341" s="125"/>
      <c r="ROZ341" s="134"/>
      <c r="RPA341" s="135"/>
      <c r="RPB341" s="135"/>
      <c r="RPC341" s="135"/>
      <c r="RPD341" s="135"/>
      <c r="RPE341" s="173"/>
      <c r="RPF341" s="173"/>
      <c r="RPG341" s="173"/>
      <c r="RPH341" s="173"/>
      <c r="RPI341" s="173"/>
      <c r="RPJ341" s="173"/>
      <c r="RPK341" s="173"/>
      <c r="RPL341" s="173"/>
      <c r="RPM341" s="173"/>
      <c r="RPN341" s="173"/>
      <c r="RPO341" s="125"/>
      <c r="RPP341" s="125"/>
      <c r="RPQ341" s="134"/>
      <c r="RPR341" s="135"/>
      <c r="RPS341" s="135"/>
      <c r="RPT341" s="135"/>
      <c r="RPU341" s="135"/>
      <c r="RPV341" s="173"/>
      <c r="RPW341" s="173"/>
      <c r="RPX341" s="173"/>
      <c r="RPY341" s="173"/>
      <c r="RPZ341" s="173"/>
      <c r="RQA341" s="173"/>
      <c r="RQB341" s="173"/>
      <c r="RQC341" s="173"/>
      <c r="RQD341" s="173"/>
      <c r="RQE341" s="173"/>
      <c r="RQF341" s="125"/>
      <c r="RQG341" s="125"/>
      <c r="RQH341" s="134"/>
      <c r="RQI341" s="135"/>
      <c r="RQJ341" s="135"/>
      <c r="RQK341" s="135"/>
      <c r="RQL341" s="135"/>
      <c r="RQM341" s="173"/>
      <c r="RQN341" s="173"/>
      <c r="RQO341" s="173"/>
      <c r="RQP341" s="173"/>
      <c r="RQQ341" s="173"/>
      <c r="RQR341" s="173"/>
      <c r="RQS341" s="173"/>
      <c r="RQT341" s="173"/>
      <c r="RQU341" s="173"/>
      <c r="RQV341" s="173"/>
      <c r="RQW341" s="125"/>
      <c r="RQX341" s="125"/>
      <c r="RQY341" s="134"/>
      <c r="RQZ341" s="135"/>
      <c r="RRA341" s="135"/>
      <c r="RRB341" s="135"/>
      <c r="RRC341" s="135"/>
      <c r="RRD341" s="173"/>
      <c r="RRE341" s="173"/>
      <c r="RRF341" s="173"/>
      <c r="RRG341" s="173"/>
      <c r="RRH341" s="173"/>
      <c r="RRI341" s="173"/>
      <c r="RRJ341" s="173"/>
      <c r="RRK341" s="173"/>
      <c r="RRL341" s="173"/>
      <c r="RRM341" s="173"/>
      <c r="RRN341" s="125"/>
      <c r="RRO341" s="125"/>
      <c r="RRP341" s="134"/>
      <c r="RRQ341" s="135"/>
      <c r="RRR341" s="135"/>
      <c r="RRS341" s="135"/>
      <c r="RRT341" s="135"/>
      <c r="RRU341" s="173"/>
      <c r="RRV341" s="173"/>
      <c r="RRW341" s="173"/>
      <c r="RRX341" s="173"/>
      <c r="RRY341" s="173"/>
      <c r="RRZ341" s="173"/>
      <c r="RSA341" s="173"/>
      <c r="RSB341" s="173"/>
      <c r="RSC341" s="173"/>
      <c r="RSD341" s="173"/>
      <c r="RSE341" s="125"/>
      <c r="RSF341" s="125"/>
      <c r="RSG341" s="134"/>
      <c r="RSH341" s="135"/>
      <c r="RSI341" s="135"/>
      <c r="RSJ341" s="135"/>
      <c r="RSK341" s="135"/>
      <c r="RSL341" s="173"/>
      <c r="RSM341" s="173"/>
      <c r="RSN341" s="173"/>
      <c r="RSO341" s="173"/>
      <c r="RSP341" s="173"/>
      <c r="RSQ341" s="173"/>
      <c r="RSR341" s="173"/>
      <c r="RSS341" s="173"/>
      <c r="RST341" s="173"/>
      <c r="RSU341" s="173"/>
      <c r="RSV341" s="125"/>
      <c r="RSW341" s="125"/>
      <c r="RSX341" s="134"/>
      <c r="RSY341" s="135"/>
      <c r="RSZ341" s="135"/>
      <c r="RTA341" s="135"/>
      <c r="RTB341" s="135"/>
      <c r="RTC341" s="173"/>
      <c r="RTD341" s="173"/>
      <c r="RTE341" s="173"/>
      <c r="RTF341" s="173"/>
      <c r="RTG341" s="173"/>
      <c r="RTH341" s="173"/>
      <c r="RTI341" s="173"/>
      <c r="RTJ341" s="173"/>
      <c r="RTK341" s="173"/>
      <c r="RTL341" s="173"/>
      <c r="RTM341" s="125"/>
      <c r="RTN341" s="125"/>
      <c r="RTO341" s="134"/>
      <c r="RTP341" s="135"/>
      <c r="RTQ341" s="135"/>
      <c r="RTR341" s="135"/>
      <c r="RTS341" s="135"/>
      <c r="RTT341" s="173"/>
      <c r="RTU341" s="173"/>
      <c r="RTV341" s="173"/>
      <c r="RTW341" s="173"/>
      <c r="RTX341" s="173"/>
      <c r="RTY341" s="173"/>
      <c r="RTZ341" s="173"/>
      <c r="RUA341" s="173"/>
      <c r="RUB341" s="173"/>
      <c r="RUC341" s="173"/>
      <c r="RUD341" s="125"/>
      <c r="RUE341" s="125"/>
      <c r="RUF341" s="134"/>
      <c r="RUG341" s="135"/>
      <c r="RUH341" s="135"/>
      <c r="RUI341" s="135"/>
      <c r="RUJ341" s="135"/>
      <c r="RUK341" s="173"/>
      <c r="RUL341" s="173"/>
      <c r="RUM341" s="173"/>
      <c r="RUN341" s="173"/>
      <c r="RUO341" s="173"/>
      <c r="RUP341" s="173"/>
      <c r="RUQ341" s="173"/>
      <c r="RUR341" s="173"/>
      <c r="RUS341" s="173"/>
      <c r="RUT341" s="173"/>
      <c r="RUU341" s="125"/>
      <c r="RUV341" s="125"/>
      <c r="RUW341" s="134"/>
      <c r="RUX341" s="135"/>
      <c r="RUY341" s="135"/>
      <c r="RUZ341" s="135"/>
      <c r="RVA341" s="135"/>
      <c r="RVB341" s="173"/>
      <c r="RVC341" s="173"/>
      <c r="RVD341" s="173"/>
      <c r="RVE341" s="173"/>
      <c r="RVF341" s="173"/>
      <c r="RVG341" s="173"/>
      <c r="RVH341" s="173"/>
      <c r="RVI341" s="173"/>
      <c r="RVJ341" s="173"/>
      <c r="RVK341" s="173"/>
      <c r="RVL341" s="125"/>
      <c r="RVM341" s="125"/>
      <c r="RVN341" s="134"/>
      <c r="RVO341" s="135"/>
      <c r="RVP341" s="135"/>
      <c r="RVQ341" s="135"/>
      <c r="RVR341" s="135"/>
      <c r="RVS341" s="173"/>
      <c r="RVT341" s="173"/>
      <c r="RVU341" s="173"/>
      <c r="RVV341" s="173"/>
      <c r="RVW341" s="173"/>
      <c r="RVX341" s="173"/>
      <c r="RVY341" s="173"/>
      <c r="RVZ341" s="173"/>
      <c r="RWA341" s="173"/>
      <c r="RWB341" s="173"/>
      <c r="RWC341" s="125"/>
      <c r="RWD341" s="125"/>
      <c r="RWE341" s="134"/>
      <c r="RWF341" s="135"/>
      <c r="RWG341" s="135"/>
      <c r="RWH341" s="135"/>
      <c r="RWI341" s="135"/>
      <c r="RWJ341" s="173"/>
      <c r="RWK341" s="173"/>
      <c r="RWL341" s="173"/>
      <c r="RWM341" s="173"/>
      <c r="RWN341" s="173"/>
      <c r="RWO341" s="173"/>
      <c r="RWP341" s="173"/>
      <c r="RWQ341" s="173"/>
      <c r="RWR341" s="173"/>
      <c r="RWS341" s="173"/>
      <c r="RWT341" s="125"/>
      <c r="RWU341" s="125"/>
      <c r="RWV341" s="134"/>
      <c r="RWW341" s="135"/>
      <c r="RWX341" s="135"/>
      <c r="RWY341" s="135"/>
      <c r="RWZ341" s="135"/>
      <c r="RXA341" s="173"/>
      <c r="RXB341" s="173"/>
      <c r="RXC341" s="173"/>
      <c r="RXD341" s="173"/>
      <c r="RXE341" s="173"/>
      <c r="RXF341" s="173"/>
      <c r="RXG341" s="173"/>
      <c r="RXH341" s="173"/>
      <c r="RXI341" s="173"/>
      <c r="RXJ341" s="173"/>
      <c r="RXK341" s="125"/>
      <c r="RXL341" s="125"/>
      <c r="RXM341" s="134"/>
      <c r="RXN341" s="135"/>
      <c r="RXO341" s="135"/>
      <c r="RXP341" s="135"/>
      <c r="RXQ341" s="135"/>
      <c r="RXR341" s="173"/>
      <c r="RXS341" s="173"/>
      <c r="RXT341" s="173"/>
      <c r="RXU341" s="173"/>
      <c r="RXV341" s="173"/>
      <c r="RXW341" s="173"/>
      <c r="RXX341" s="173"/>
      <c r="RXY341" s="173"/>
      <c r="RXZ341" s="173"/>
      <c r="RYA341" s="173"/>
      <c r="RYB341" s="125"/>
      <c r="RYC341" s="125"/>
      <c r="RYD341" s="134"/>
      <c r="RYE341" s="135"/>
      <c r="RYF341" s="135"/>
      <c r="RYG341" s="135"/>
      <c r="RYH341" s="135"/>
      <c r="RYI341" s="173"/>
      <c r="RYJ341" s="173"/>
      <c r="RYK341" s="173"/>
      <c r="RYL341" s="173"/>
      <c r="RYM341" s="173"/>
      <c r="RYN341" s="173"/>
      <c r="RYO341" s="173"/>
      <c r="RYP341" s="173"/>
      <c r="RYQ341" s="173"/>
      <c r="RYR341" s="173"/>
      <c r="RYS341" s="125"/>
      <c r="RYT341" s="125"/>
      <c r="RYU341" s="134"/>
      <c r="RYV341" s="135"/>
      <c r="RYW341" s="135"/>
      <c r="RYX341" s="135"/>
      <c r="RYY341" s="135"/>
      <c r="RYZ341" s="173"/>
      <c r="RZA341" s="173"/>
      <c r="RZB341" s="173"/>
      <c r="RZC341" s="173"/>
      <c r="RZD341" s="173"/>
      <c r="RZE341" s="173"/>
      <c r="RZF341" s="173"/>
      <c r="RZG341" s="173"/>
      <c r="RZH341" s="173"/>
      <c r="RZI341" s="173"/>
      <c r="RZJ341" s="125"/>
      <c r="RZK341" s="125"/>
      <c r="RZL341" s="134"/>
      <c r="RZM341" s="135"/>
      <c r="RZN341" s="135"/>
      <c r="RZO341" s="135"/>
      <c r="RZP341" s="135"/>
      <c r="RZQ341" s="173"/>
      <c r="RZR341" s="173"/>
      <c r="RZS341" s="173"/>
      <c r="RZT341" s="173"/>
      <c r="RZU341" s="173"/>
      <c r="RZV341" s="173"/>
      <c r="RZW341" s="173"/>
      <c r="RZX341" s="173"/>
      <c r="RZY341" s="173"/>
      <c r="RZZ341" s="173"/>
      <c r="SAA341" s="125"/>
      <c r="SAB341" s="125"/>
      <c r="SAC341" s="134"/>
      <c r="SAD341" s="135"/>
      <c r="SAE341" s="135"/>
      <c r="SAF341" s="135"/>
      <c r="SAG341" s="135"/>
      <c r="SAH341" s="173"/>
      <c r="SAI341" s="173"/>
      <c r="SAJ341" s="173"/>
      <c r="SAK341" s="173"/>
      <c r="SAL341" s="173"/>
      <c r="SAM341" s="173"/>
      <c r="SAN341" s="173"/>
      <c r="SAO341" s="173"/>
      <c r="SAP341" s="173"/>
      <c r="SAQ341" s="173"/>
      <c r="SAR341" s="125"/>
      <c r="SAS341" s="125"/>
      <c r="SAT341" s="134"/>
      <c r="SAU341" s="135"/>
      <c r="SAV341" s="135"/>
      <c r="SAW341" s="135"/>
      <c r="SAX341" s="135"/>
      <c r="SAY341" s="173"/>
      <c r="SAZ341" s="173"/>
      <c r="SBA341" s="173"/>
      <c r="SBB341" s="173"/>
      <c r="SBC341" s="173"/>
      <c r="SBD341" s="173"/>
      <c r="SBE341" s="173"/>
      <c r="SBF341" s="173"/>
      <c r="SBG341" s="173"/>
      <c r="SBH341" s="173"/>
      <c r="SBI341" s="125"/>
      <c r="SBJ341" s="125"/>
      <c r="SBK341" s="134"/>
      <c r="SBL341" s="135"/>
      <c r="SBM341" s="135"/>
      <c r="SBN341" s="135"/>
      <c r="SBO341" s="135"/>
      <c r="SBP341" s="173"/>
      <c r="SBQ341" s="173"/>
      <c r="SBR341" s="173"/>
      <c r="SBS341" s="173"/>
      <c r="SBT341" s="173"/>
      <c r="SBU341" s="173"/>
      <c r="SBV341" s="173"/>
      <c r="SBW341" s="173"/>
      <c r="SBX341" s="173"/>
      <c r="SBY341" s="173"/>
      <c r="SBZ341" s="125"/>
      <c r="SCA341" s="125"/>
      <c r="SCB341" s="134"/>
      <c r="SCC341" s="135"/>
      <c r="SCD341" s="135"/>
      <c r="SCE341" s="135"/>
      <c r="SCF341" s="135"/>
      <c r="SCG341" s="173"/>
      <c r="SCH341" s="173"/>
      <c r="SCI341" s="173"/>
      <c r="SCJ341" s="173"/>
      <c r="SCK341" s="173"/>
      <c r="SCL341" s="173"/>
      <c r="SCM341" s="173"/>
      <c r="SCN341" s="173"/>
      <c r="SCO341" s="173"/>
      <c r="SCP341" s="173"/>
      <c r="SCQ341" s="125"/>
      <c r="SCR341" s="125"/>
      <c r="SCS341" s="134"/>
      <c r="SCT341" s="135"/>
      <c r="SCU341" s="135"/>
      <c r="SCV341" s="135"/>
      <c r="SCW341" s="135"/>
      <c r="SCX341" s="173"/>
      <c r="SCY341" s="173"/>
      <c r="SCZ341" s="173"/>
      <c r="SDA341" s="173"/>
      <c r="SDB341" s="173"/>
      <c r="SDC341" s="173"/>
      <c r="SDD341" s="173"/>
      <c r="SDE341" s="173"/>
      <c r="SDF341" s="173"/>
      <c r="SDG341" s="173"/>
      <c r="SDH341" s="125"/>
      <c r="SDI341" s="125"/>
      <c r="SDJ341" s="134"/>
      <c r="SDK341" s="135"/>
      <c r="SDL341" s="135"/>
      <c r="SDM341" s="135"/>
      <c r="SDN341" s="135"/>
      <c r="SDO341" s="173"/>
      <c r="SDP341" s="173"/>
      <c r="SDQ341" s="173"/>
      <c r="SDR341" s="173"/>
      <c r="SDS341" s="173"/>
      <c r="SDT341" s="173"/>
      <c r="SDU341" s="173"/>
      <c r="SDV341" s="173"/>
      <c r="SDW341" s="173"/>
      <c r="SDX341" s="173"/>
      <c r="SDY341" s="125"/>
      <c r="SDZ341" s="125"/>
      <c r="SEA341" s="134"/>
      <c r="SEB341" s="135"/>
      <c r="SEC341" s="135"/>
      <c r="SED341" s="135"/>
      <c r="SEE341" s="135"/>
      <c r="SEF341" s="173"/>
      <c r="SEG341" s="173"/>
      <c r="SEH341" s="173"/>
      <c r="SEI341" s="173"/>
      <c r="SEJ341" s="173"/>
      <c r="SEK341" s="173"/>
      <c r="SEL341" s="173"/>
      <c r="SEM341" s="173"/>
      <c r="SEN341" s="173"/>
      <c r="SEO341" s="173"/>
      <c r="SEP341" s="125"/>
      <c r="SEQ341" s="125"/>
      <c r="SER341" s="134"/>
      <c r="SES341" s="135"/>
      <c r="SET341" s="135"/>
      <c r="SEU341" s="135"/>
      <c r="SEV341" s="135"/>
      <c r="SEW341" s="173"/>
      <c r="SEX341" s="173"/>
      <c r="SEY341" s="173"/>
      <c r="SEZ341" s="173"/>
      <c r="SFA341" s="173"/>
      <c r="SFB341" s="173"/>
      <c r="SFC341" s="173"/>
      <c r="SFD341" s="173"/>
      <c r="SFE341" s="173"/>
      <c r="SFF341" s="173"/>
      <c r="SFG341" s="125"/>
      <c r="SFH341" s="125"/>
      <c r="SFI341" s="134"/>
      <c r="SFJ341" s="135"/>
      <c r="SFK341" s="135"/>
      <c r="SFL341" s="135"/>
      <c r="SFM341" s="135"/>
      <c r="SFN341" s="173"/>
      <c r="SFO341" s="173"/>
      <c r="SFP341" s="173"/>
      <c r="SFQ341" s="173"/>
      <c r="SFR341" s="173"/>
      <c r="SFS341" s="173"/>
      <c r="SFT341" s="173"/>
      <c r="SFU341" s="173"/>
      <c r="SFV341" s="173"/>
      <c r="SFW341" s="173"/>
      <c r="SFX341" s="125"/>
      <c r="SFY341" s="125"/>
      <c r="SFZ341" s="134"/>
      <c r="SGA341" s="135"/>
      <c r="SGB341" s="135"/>
      <c r="SGC341" s="135"/>
      <c r="SGD341" s="135"/>
      <c r="SGE341" s="173"/>
      <c r="SGF341" s="173"/>
      <c r="SGG341" s="173"/>
      <c r="SGH341" s="173"/>
      <c r="SGI341" s="173"/>
      <c r="SGJ341" s="173"/>
      <c r="SGK341" s="173"/>
      <c r="SGL341" s="173"/>
      <c r="SGM341" s="173"/>
      <c r="SGN341" s="173"/>
      <c r="SGO341" s="125"/>
      <c r="SGP341" s="125"/>
      <c r="SGQ341" s="134"/>
      <c r="SGR341" s="135"/>
      <c r="SGS341" s="135"/>
      <c r="SGT341" s="135"/>
      <c r="SGU341" s="135"/>
      <c r="SGV341" s="173"/>
      <c r="SGW341" s="173"/>
      <c r="SGX341" s="173"/>
      <c r="SGY341" s="173"/>
      <c r="SGZ341" s="173"/>
      <c r="SHA341" s="173"/>
      <c r="SHB341" s="173"/>
      <c r="SHC341" s="173"/>
      <c r="SHD341" s="173"/>
      <c r="SHE341" s="173"/>
      <c r="SHF341" s="125"/>
      <c r="SHG341" s="125"/>
      <c r="SHH341" s="134"/>
      <c r="SHI341" s="135"/>
      <c r="SHJ341" s="135"/>
      <c r="SHK341" s="135"/>
      <c r="SHL341" s="135"/>
      <c r="SHM341" s="173"/>
      <c r="SHN341" s="173"/>
      <c r="SHO341" s="173"/>
      <c r="SHP341" s="173"/>
      <c r="SHQ341" s="173"/>
      <c r="SHR341" s="173"/>
      <c r="SHS341" s="173"/>
      <c r="SHT341" s="173"/>
      <c r="SHU341" s="173"/>
      <c r="SHV341" s="173"/>
      <c r="SHW341" s="125"/>
      <c r="SHX341" s="125"/>
      <c r="SHY341" s="134"/>
      <c r="SHZ341" s="135"/>
      <c r="SIA341" s="135"/>
      <c r="SIB341" s="135"/>
      <c r="SIC341" s="135"/>
      <c r="SID341" s="173"/>
      <c r="SIE341" s="173"/>
      <c r="SIF341" s="173"/>
      <c r="SIG341" s="173"/>
      <c r="SIH341" s="173"/>
      <c r="SII341" s="173"/>
      <c r="SIJ341" s="173"/>
      <c r="SIK341" s="173"/>
      <c r="SIL341" s="173"/>
      <c r="SIM341" s="173"/>
      <c r="SIN341" s="125"/>
      <c r="SIO341" s="125"/>
      <c r="SIP341" s="134"/>
      <c r="SIQ341" s="135"/>
      <c r="SIR341" s="135"/>
      <c r="SIS341" s="135"/>
      <c r="SIT341" s="135"/>
      <c r="SIU341" s="173"/>
      <c r="SIV341" s="173"/>
      <c r="SIW341" s="173"/>
      <c r="SIX341" s="173"/>
      <c r="SIY341" s="173"/>
      <c r="SIZ341" s="173"/>
      <c r="SJA341" s="173"/>
      <c r="SJB341" s="173"/>
      <c r="SJC341" s="173"/>
      <c r="SJD341" s="173"/>
      <c r="SJE341" s="125"/>
      <c r="SJF341" s="125"/>
      <c r="SJG341" s="134"/>
      <c r="SJH341" s="135"/>
      <c r="SJI341" s="135"/>
      <c r="SJJ341" s="135"/>
      <c r="SJK341" s="135"/>
      <c r="SJL341" s="173"/>
      <c r="SJM341" s="173"/>
      <c r="SJN341" s="173"/>
      <c r="SJO341" s="173"/>
      <c r="SJP341" s="173"/>
      <c r="SJQ341" s="173"/>
      <c r="SJR341" s="173"/>
      <c r="SJS341" s="173"/>
      <c r="SJT341" s="173"/>
      <c r="SJU341" s="173"/>
      <c r="SJV341" s="125"/>
      <c r="SJW341" s="125"/>
      <c r="SJX341" s="134"/>
      <c r="SJY341" s="135"/>
      <c r="SJZ341" s="135"/>
      <c r="SKA341" s="135"/>
      <c r="SKB341" s="135"/>
      <c r="SKC341" s="173"/>
      <c r="SKD341" s="173"/>
      <c r="SKE341" s="173"/>
      <c r="SKF341" s="173"/>
      <c r="SKG341" s="173"/>
      <c r="SKH341" s="173"/>
      <c r="SKI341" s="173"/>
      <c r="SKJ341" s="173"/>
      <c r="SKK341" s="173"/>
      <c r="SKL341" s="173"/>
      <c r="SKM341" s="125"/>
      <c r="SKN341" s="125"/>
      <c r="SKO341" s="134"/>
      <c r="SKP341" s="135"/>
      <c r="SKQ341" s="135"/>
      <c r="SKR341" s="135"/>
      <c r="SKS341" s="135"/>
      <c r="SKT341" s="173"/>
      <c r="SKU341" s="173"/>
      <c r="SKV341" s="173"/>
      <c r="SKW341" s="173"/>
      <c r="SKX341" s="173"/>
      <c r="SKY341" s="173"/>
      <c r="SKZ341" s="173"/>
      <c r="SLA341" s="173"/>
      <c r="SLB341" s="173"/>
      <c r="SLC341" s="173"/>
      <c r="SLD341" s="125"/>
      <c r="SLE341" s="125"/>
      <c r="SLF341" s="134"/>
      <c r="SLG341" s="135"/>
      <c r="SLH341" s="135"/>
      <c r="SLI341" s="135"/>
      <c r="SLJ341" s="135"/>
      <c r="SLK341" s="173"/>
      <c r="SLL341" s="173"/>
      <c r="SLM341" s="173"/>
      <c r="SLN341" s="173"/>
      <c r="SLO341" s="173"/>
      <c r="SLP341" s="173"/>
      <c r="SLQ341" s="173"/>
      <c r="SLR341" s="173"/>
      <c r="SLS341" s="173"/>
      <c r="SLT341" s="173"/>
      <c r="SLU341" s="125"/>
      <c r="SLV341" s="125"/>
      <c r="SLW341" s="134"/>
      <c r="SLX341" s="135"/>
      <c r="SLY341" s="135"/>
      <c r="SLZ341" s="135"/>
      <c r="SMA341" s="135"/>
      <c r="SMB341" s="173"/>
      <c r="SMC341" s="173"/>
      <c r="SMD341" s="173"/>
      <c r="SME341" s="173"/>
      <c r="SMF341" s="173"/>
      <c r="SMG341" s="173"/>
      <c r="SMH341" s="173"/>
      <c r="SMI341" s="173"/>
      <c r="SMJ341" s="173"/>
      <c r="SMK341" s="173"/>
      <c r="SML341" s="125"/>
      <c r="SMM341" s="125"/>
      <c r="SMN341" s="134"/>
      <c r="SMO341" s="135"/>
      <c r="SMP341" s="135"/>
      <c r="SMQ341" s="135"/>
      <c r="SMR341" s="135"/>
      <c r="SMS341" s="173"/>
      <c r="SMT341" s="173"/>
      <c r="SMU341" s="173"/>
      <c r="SMV341" s="173"/>
      <c r="SMW341" s="173"/>
      <c r="SMX341" s="173"/>
      <c r="SMY341" s="173"/>
      <c r="SMZ341" s="173"/>
      <c r="SNA341" s="173"/>
      <c r="SNB341" s="173"/>
      <c r="SNC341" s="125"/>
      <c r="SND341" s="125"/>
      <c r="SNE341" s="134"/>
      <c r="SNF341" s="135"/>
      <c r="SNG341" s="135"/>
      <c r="SNH341" s="135"/>
      <c r="SNI341" s="135"/>
      <c r="SNJ341" s="173"/>
      <c r="SNK341" s="173"/>
      <c r="SNL341" s="173"/>
      <c r="SNM341" s="173"/>
      <c r="SNN341" s="173"/>
      <c r="SNO341" s="173"/>
      <c r="SNP341" s="173"/>
      <c r="SNQ341" s="173"/>
      <c r="SNR341" s="173"/>
      <c r="SNS341" s="173"/>
      <c r="SNT341" s="125"/>
      <c r="SNU341" s="125"/>
      <c r="SNV341" s="134"/>
      <c r="SNW341" s="135"/>
      <c r="SNX341" s="135"/>
      <c r="SNY341" s="135"/>
      <c r="SNZ341" s="135"/>
      <c r="SOA341" s="173"/>
      <c r="SOB341" s="173"/>
      <c r="SOC341" s="173"/>
      <c r="SOD341" s="173"/>
      <c r="SOE341" s="173"/>
      <c r="SOF341" s="173"/>
      <c r="SOG341" s="173"/>
      <c r="SOH341" s="173"/>
      <c r="SOI341" s="173"/>
      <c r="SOJ341" s="173"/>
      <c r="SOK341" s="125"/>
      <c r="SOL341" s="125"/>
      <c r="SOM341" s="134"/>
      <c r="SON341" s="135"/>
      <c r="SOO341" s="135"/>
      <c r="SOP341" s="135"/>
      <c r="SOQ341" s="135"/>
      <c r="SOR341" s="173"/>
      <c r="SOS341" s="173"/>
      <c r="SOT341" s="173"/>
      <c r="SOU341" s="173"/>
      <c r="SOV341" s="173"/>
      <c r="SOW341" s="173"/>
      <c r="SOX341" s="173"/>
      <c r="SOY341" s="173"/>
      <c r="SOZ341" s="173"/>
      <c r="SPA341" s="173"/>
      <c r="SPB341" s="125"/>
      <c r="SPC341" s="125"/>
      <c r="SPD341" s="134"/>
      <c r="SPE341" s="135"/>
      <c r="SPF341" s="135"/>
      <c r="SPG341" s="135"/>
      <c r="SPH341" s="135"/>
      <c r="SPI341" s="173"/>
      <c r="SPJ341" s="173"/>
      <c r="SPK341" s="173"/>
      <c r="SPL341" s="173"/>
      <c r="SPM341" s="173"/>
      <c r="SPN341" s="173"/>
      <c r="SPO341" s="173"/>
      <c r="SPP341" s="173"/>
      <c r="SPQ341" s="173"/>
      <c r="SPR341" s="173"/>
      <c r="SPS341" s="125"/>
      <c r="SPT341" s="125"/>
      <c r="SPU341" s="134"/>
      <c r="SPV341" s="135"/>
      <c r="SPW341" s="135"/>
      <c r="SPX341" s="135"/>
      <c r="SPY341" s="135"/>
      <c r="SPZ341" s="173"/>
      <c r="SQA341" s="173"/>
      <c r="SQB341" s="173"/>
      <c r="SQC341" s="173"/>
      <c r="SQD341" s="173"/>
      <c r="SQE341" s="173"/>
      <c r="SQF341" s="173"/>
      <c r="SQG341" s="173"/>
      <c r="SQH341" s="173"/>
      <c r="SQI341" s="173"/>
      <c r="SQJ341" s="125"/>
      <c r="SQK341" s="125"/>
      <c r="SQL341" s="134"/>
      <c r="SQM341" s="135"/>
      <c r="SQN341" s="135"/>
      <c r="SQO341" s="135"/>
      <c r="SQP341" s="135"/>
      <c r="SQQ341" s="173"/>
      <c r="SQR341" s="173"/>
      <c r="SQS341" s="173"/>
      <c r="SQT341" s="173"/>
      <c r="SQU341" s="173"/>
      <c r="SQV341" s="173"/>
      <c r="SQW341" s="173"/>
      <c r="SQX341" s="173"/>
      <c r="SQY341" s="173"/>
      <c r="SQZ341" s="173"/>
      <c r="SRA341" s="125"/>
      <c r="SRB341" s="125"/>
      <c r="SRC341" s="134"/>
      <c r="SRD341" s="135"/>
      <c r="SRE341" s="135"/>
      <c r="SRF341" s="135"/>
      <c r="SRG341" s="135"/>
      <c r="SRH341" s="173"/>
      <c r="SRI341" s="173"/>
      <c r="SRJ341" s="173"/>
      <c r="SRK341" s="173"/>
      <c r="SRL341" s="173"/>
      <c r="SRM341" s="173"/>
      <c r="SRN341" s="173"/>
      <c r="SRO341" s="173"/>
      <c r="SRP341" s="173"/>
      <c r="SRQ341" s="173"/>
      <c r="SRR341" s="125"/>
      <c r="SRS341" s="125"/>
      <c r="SRT341" s="134"/>
      <c r="SRU341" s="135"/>
      <c r="SRV341" s="135"/>
      <c r="SRW341" s="135"/>
      <c r="SRX341" s="135"/>
      <c r="SRY341" s="173"/>
      <c r="SRZ341" s="173"/>
      <c r="SSA341" s="173"/>
      <c r="SSB341" s="173"/>
      <c r="SSC341" s="173"/>
      <c r="SSD341" s="173"/>
      <c r="SSE341" s="173"/>
      <c r="SSF341" s="173"/>
      <c r="SSG341" s="173"/>
      <c r="SSH341" s="173"/>
      <c r="SSI341" s="125"/>
      <c r="SSJ341" s="125"/>
      <c r="SSK341" s="134"/>
      <c r="SSL341" s="135"/>
      <c r="SSM341" s="135"/>
      <c r="SSN341" s="135"/>
      <c r="SSO341" s="135"/>
      <c r="SSP341" s="173"/>
      <c r="SSQ341" s="173"/>
      <c r="SSR341" s="173"/>
      <c r="SSS341" s="173"/>
      <c r="SST341" s="173"/>
      <c r="SSU341" s="173"/>
      <c r="SSV341" s="173"/>
      <c r="SSW341" s="173"/>
      <c r="SSX341" s="173"/>
      <c r="SSY341" s="173"/>
      <c r="SSZ341" s="125"/>
      <c r="STA341" s="125"/>
      <c r="STB341" s="134"/>
      <c r="STC341" s="135"/>
      <c r="STD341" s="135"/>
      <c r="STE341" s="135"/>
      <c r="STF341" s="135"/>
      <c r="STG341" s="173"/>
      <c r="STH341" s="173"/>
      <c r="STI341" s="173"/>
      <c r="STJ341" s="173"/>
      <c r="STK341" s="173"/>
      <c r="STL341" s="173"/>
      <c r="STM341" s="173"/>
      <c r="STN341" s="173"/>
      <c r="STO341" s="173"/>
      <c r="STP341" s="173"/>
      <c r="STQ341" s="125"/>
      <c r="STR341" s="125"/>
      <c r="STS341" s="134"/>
      <c r="STT341" s="135"/>
      <c r="STU341" s="135"/>
      <c r="STV341" s="135"/>
      <c r="STW341" s="135"/>
      <c r="STX341" s="173"/>
      <c r="STY341" s="173"/>
      <c r="STZ341" s="173"/>
      <c r="SUA341" s="173"/>
      <c r="SUB341" s="173"/>
      <c r="SUC341" s="173"/>
      <c r="SUD341" s="173"/>
      <c r="SUE341" s="173"/>
      <c r="SUF341" s="173"/>
      <c r="SUG341" s="173"/>
      <c r="SUH341" s="125"/>
      <c r="SUI341" s="125"/>
      <c r="SUJ341" s="134"/>
      <c r="SUK341" s="135"/>
      <c r="SUL341" s="135"/>
      <c r="SUM341" s="135"/>
      <c r="SUN341" s="135"/>
      <c r="SUO341" s="173"/>
      <c r="SUP341" s="173"/>
      <c r="SUQ341" s="173"/>
      <c r="SUR341" s="173"/>
      <c r="SUS341" s="173"/>
      <c r="SUT341" s="173"/>
      <c r="SUU341" s="173"/>
      <c r="SUV341" s="173"/>
      <c r="SUW341" s="173"/>
      <c r="SUX341" s="173"/>
      <c r="SUY341" s="125"/>
      <c r="SUZ341" s="125"/>
      <c r="SVA341" s="134"/>
      <c r="SVB341" s="135"/>
      <c r="SVC341" s="135"/>
      <c r="SVD341" s="135"/>
      <c r="SVE341" s="135"/>
      <c r="SVF341" s="173"/>
      <c r="SVG341" s="173"/>
      <c r="SVH341" s="173"/>
      <c r="SVI341" s="173"/>
      <c r="SVJ341" s="173"/>
      <c r="SVK341" s="173"/>
      <c r="SVL341" s="173"/>
      <c r="SVM341" s="173"/>
      <c r="SVN341" s="173"/>
      <c r="SVO341" s="173"/>
      <c r="SVP341" s="125"/>
      <c r="SVQ341" s="125"/>
      <c r="SVR341" s="134"/>
      <c r="SVS341" s="135"/>
      <c r="SVT341" s="135"/>
      <c r="SVU341" s="135"/>
      <c r="SVV341" s="135"/>
      <c r="SVW341" s="173"/>
      <c r="SVX341" s="173"/>
      <c r="SVY341" s="173"/>
      <c r="SVZ341" s="173"/>
      <c r="SWA341" s="173"/>
      <c r="SWB341" s="173"/>
      <c r="SWC341" s="173"/>
      <c r="SWD341" s="173"/>
      <c r="SWE341" s="173"/>
      <c r="SWF341" s="173"/>
      <c r="SWG341" s="125"/>
      <c r="SWH341" s="125"/>
      <c r="SWI341" s="134"/>
      <c r="SWJ341" s="135"/>
      <c r="SWK341" s="135"/>
      <c r="SWL341" s="135"/>
      <c r="SWM341" s="135"/>
      <c r="SWN341" s="173"/>
      <c r="SWO341" s="173"/>
      <c r="SWP341" s="173"/>
      <c r="SWQ341" s="173"/>
      <c r="SWR341" s="173"/>
      <c r="SWS341" s="173"/>
      <c r="SWT341" s="173"/>
      <c r="SWU341" s="173"/>
      <c r="SWV341" s="173"/>
      <c r="SWW341" s="173"/>
      <c r="SWX341" s="125"/>
      <c r="SWY341" s="125"/>
      <c r="SWZ341" s="134"/>
      <c r="SXA341" s="135"/>
      <c r="SXB341" s="135"/>
      <c r="SXC341" s="135"/>
      <c r="SXD341" s="135"/>
      <c r="SXE341" s="173"/>
      <c r="SXF341" s="173"/>
      <c r="SXG341" s="173"/>
      <c r="SXH341" s="173"/>
      <c r="SXI341" s="173"/>
      <c r="SXJ341" s="173"/>
      <c r="SXK341" s="173"/>
      <c r="SXL341" s="173"/>
      <c r="SXM341" s="173"/>
      <c r="SXN341" s="173"/>
      <c r="SXO341" s="125"/>
      <c r="SXP341" s="125"/>
      <c r="SXQ341" s="134"/>
      <c r="SXR341" s="135"/>
      <c r="SXS341" s="135"/>
      <c r="SXT341" s="135"/>
      <c r="SXU341" s="135"/>
      <c r="SXV341" s="173"/>
      <c r="SXW341" s="173"/>
      <c r="SXX341" s="173"/>
      <c r="SXY341" s="173"/>
      <c r="SXZ341" s="173"/>
      <c r="SYA341" s="173"/>
      <c r="SYB341" s="173"/>
      <c r="SYC341" s="173"/>
      <c r="SYD341" s="173"/>
      <c r="SYE341" s="173"/>
      <c r="SYF341" s="125"/>
      <c r="SYG341" s="125"/>
      <c r="SYH341" s="134"/>
      <c r="SYI341" s="135"/>
      <c r="SYJ341" s="135"/>
      <c r="SYK341" s="135"/>
      <c r="SYL341" s="135"/>
      <c r="SYM341" s="173"/>
      <c r="SYN341" s="173"/>
      <c r="SYO341" s="173"/>
      <c r="SYP341" s="173"/>
      <c r="SYQ341" s="173"/>
      <c r="SYR341" s="173"/>
      <c r="SYS341" s="173"/>
      <c r="SYT341" s="173"/>
      <c r="SYU341" s="173"/>
      <c r="SYV341" s="173"/>
      <c r="SYW341" s="125"/>
      <c r="SYX341" s="125"/>
      <c r="SYY341" s="134"/>
      <c r="SYZ341" s="135"/>
      <c r="SZA341" s="135"/>
      <c r="SZB341" s="135"/>
      <c r="SZC341" s="135"/>
      <c r="SZD341" s="173"/>
      <c r="SZE341" s="173"/>
      <c r="SZF341" s="173"/>
      <c r="SZG341" s="173"/>
      <c r="SZH341" s="173"/>
      <c r="SZI341" s="173"/>
      <c r="SZJ341" s="173"/>
      <c r="SZK341" s="173"/>
      <c r="SZL341" s="173"/>
      <c r="SZM341" s="173"/>
      <c r="SZN341" s="125"/>
      <c r="SZO341" s="125"/>
      <c r="SZP341" s="134"/>
      <c r="SZQ341" s="135"/>
      <c r="SZR341" s="135"/>
      <c r="SZS341" s="135"/>
      <c r="SZT341" s="135"/>
      <c r="SZU341" s="173"/>
      <c r="SZV341" s="173"/>
      <c r="SZW341" s="173"/>
      <c r="SZX341" s="173"/>
      <c r="SZY341" s="173"/>
      <c r="SZZ341" s="173"/>
      <c r="TAA341" s="173"/>
      <c r="TAB341" s="173"/>
      <c r="TAC341" s="173"/>
      <c r="TAD341" s="173"/>
      <c r="TAE341" s="125"/>
      <c r="TAF341" s="125"/>
      <c r="TAG341" s="134"/>
      <c r="TAH341" s="135"/>
      <c r="TAI341" s="135"/>
      <c r="TAJ341" s="135"/>
      <c r="TAK341" s="135"/>
      <c r="TAL341" s="173"/>
      <c r="TAM341" s="173"/>
      <c r="TAN341" s="173"/>
      <c r="TAO341" s="173"/>
      <c r="TAP341" s="173"/>
      <c r="TAQ341" s="173"/>
      <c r="TAR341" s="173"/>
      <c r="TAS341" s="173"/>
      <c r="TAT341" s="173"/>
      <c r="TAU341" s="173"/>
      <c r="TAV341" s="125"/>
      <c r="TAW341" s="125"/>
      <c r="TAX341" s="134"/>
      <c r="TAY341" s="135"/>
      <c r="TAZ341" s="135"/>
      <c r="TBA341" s="135"/>
      <c r="TBB341" s="135"/>
      <c r="TBC341" s="173"/>
      <c r="TBD341" s="173"/>
      <c r="TBE341" s="173"/>
      <c r="TBF341" s="173"/>
      <c r="TBG341" s="173"/>
      <c r="TBH341" s="173"/>
      <c r="TBI341" s="173"/>
      <c r="TBJ341" s="173"/>
      <c r="TBK341" s="173"/>
      <c r="TBL341" s="173"/>
      <c r="TBM341" s="125"/>
      <c r="TBN341" s="125"/>
      <c r="TBO341" s="134"/>
      <c r="TBP341" s="135"/>
      <c r="TBQ341" s="135"/>
      <c r="TBR341" s="135"/>
      <c r="TBS341" s="135"/>
      <c r="TBT341" s="173"/>
      <c r="TBU341" s="173"/>
      <c r="TBV341" s="173"/>
      <c r="TBW341" s="173"/>
      <c r="TBX341" s="173"/>
      <c r="TBY341" s="173"/>
      <c r="TBZ341" s="173"/>
      <c r="TCA341" s="173"/>
      <c r="TCB341" s="173"/>
      <c r="TCC341" s="173"/>
      <c r="TCD341" s="125"/>
      <c r="TCE341" s="125"/>
      <c r="TCF341" s="134"/>
      <c r="TCG341" s="135"/>
      <c r="TCH341" s="135"/>
      <c r="TCI341" s="135"/>
      <c r="TCJ341" s="135"/>
      <c r="TCK341" s="173"/>
      <c r="TCL341" s="173"/>
      <c r="TCM341" s="173"/>
      <c r="TCN341" s="173"/>
      <c r="TCO341" s="173"/>
      <c r="TCP341" s="173"/>
      <c r="TCQ341" s="173"/>
      <c r="TCR341" s="173"/>
      <c r="TCS341" s="173"/>
      <c r="TCT341" s="173"/>
      <c r="TCU341" s="125"/>
      <c r="TCV341" s="125"/>
      <c r="TCW341" s="134"/>
      <c r="TCX341" s="135"/>
      <c r="TCY341" s="135"/>
      <c r="TCZ341" s="135"/>
      <c r="TDA341" s="135"/>
      <c r="TDB341" s="173"/>
      <c r="TDC341" s="173"/>
      <c r="TDD341" s="173"/>
      <c r="TDE341" s="173"/>
      <c r="TDF341" s="173"/>
      <c r="TDG341" s="173"/>
      <c r="TDH341" s="173"/>
      <c r="TDI341" s="173"/>
      <c r="TDJ341" s="173"/>
      <c r="TDK341" s="173"/>
      <c r="TDL341" s="125"/>
      <c r="TDM341" s="125"/>
      <c r="TDN341" s="134"/>
      <c r="TDO341" s="135"/>
      <c r="TDP341" s="135"/>
      <c r="TDQ341" s="135"/>
      <c r="TDR341" s="135"/>
      <c r="TDS341" s="173"/>
      <c r="TDT341" s="173"/>
      <c r="TDU341" s="173"/>
      <c r="TDV341" s="173"/>
      <c r="TDW341" s="173"/>
      <c r="TDX341" s="173"/>
      <c r="TDY341" s="173"/>
      <c r="TDZ341" s="173"/>
      <c r="TEA341" s="173"/>
      <c r="TEB341" s="173"/>
      <c r="TEC341" s="125"/>
      <c r="TED341" s="125"/>
      <c r="TEE341" s="134"/>
      <c r="TEF341" s="135"/>
      <c r="TEG341" s="135"/>
      <c r="TEH341" s="135"/>
      <c r="TEI341" s="135"/>
      <c r="TEJ341" s="173"/>
      <c r="TEK341" s="173"/>
      <c r="TEL341" s="173"/>
      <c r="TEM341" s="173"/>
      <c r="TEN341" s="173"/>
      <c r="TEO341" s="173"/>
      <c r="TEP341" s="173"/>
      <c r="TEQ341" s="173"/>
      <c r="TER341" s="173"/>
      <c r="TES341" s="173"/>
      <c r="TET341" s="125"/>
      <c r="TEU341" s="125"/>
      <c r="TEV341" s="134"/>
      <c r="TEW341" s="135"/>
      <c r="TEX341" s="135"/>
      <c r="TEY341" s="135"/>
      <c r="TEZ341" s="135"/>
      <c r="TFA341" s="173"/>
      <c r="TFB341" s="173"/>
      <c r="TFC341" s="173"/>
      <c r="TFD341" s="173"/>
      <c r="TFE341" s="173"/>
      <c r="TFF341" s="173"/>
      <c r="TFG341" s="173"/>
      <c r="TFH341" s="173"/>
      <c r="TFI341" s="173"/>
      <c r="TFJ341" s="173"/>
      <c r="TFK341" s="125"/>
      <c r="TFL341" s="125"/>
      <c r="TFM341" s="134"/>
      <c r="TFN341" s="135"/>
      <c r="TFO341" s="135"/>
      <c r="TFP341" s="135"/>
      <c r="TFQ341" s="135"/>
      <c r="TFR341" s="173"/>
      <c r="TFS341" s="173"/>
      <c r="TFT341" s="173"/>
      <c r="TFU341" s="173"/>
      <c r="TFV341" s="173"/>
      <c r="TFW341" s="173"/>
      <c r="TFX341" s="173"/>
      <c r="TFY341" s="173"/>
      <c r="TFZ341" s="173"/>
      <c r="TGA341" s="173"/>
      <c r="TGB341" s="125"/>
      <c r="TGC341" s="125"/>
      <c r="TGD341" s="134"/>
      <c r="TGE341" s="135"/>
      <c r="TGF341" s="135"/>
      <c r="TGG341" s="135"/>
      <c r="TGH341" s="135"/>
      <c r="TGI341" s="173"/>
      <c r="TGJ341" s="173"/>
      <c r="TGK341" s="173"/>
      <c r="TGL341" s="173"/>
      <c r="TGM341" s="173"/>
      <c r="TGN341" s="173"/>
      <c r="TGO341" s="173"/>
      <c r="TGP341" s="173"/>
      <c r="TGQ341" s="173"/>
      <c r="TGR341" s="173"/>
      <c r="TGS341" s="125"/>
      <c r="TGT341" s="125"/>
      <c r="TGU341" s="134"/>
      <c r="TGV341" s="135"/>
      <c r="TGW341" s="135"/>
      <c r="TGX341" s="135"/>
      <c r="TGY341" s="135"/>
      <c r="TGZ341" s="173"/>
      <c r="THA341" s="173"/>
      <c r="THB341" s="173"/>
      <c r="THC341" s="173"/>
      <c r="THD341" s="173"/>
      <c r="THE341" s="173"/>
      <c r="THF341" s="173"/>
      <c r="THG341" s="173"/>
      <c r="THH341" s="173"/>
      <c r="THI341" s="173"/>
      <c r="THJ341" s="125"/>
      <c r="THK341" s="125"/>
      <c r="THL341" s="134"/>
      <c r="THM341" s="135"/>
      <c r="THN341" s="135"/>
      <c r="THO341" s="135"/>
      <c r="THP341" s="135"/>
      <c r="THQ341" s="173"/>
      <c r="THR341" s="173"/>
      <c r="THS341" s="173"/>
      <c r="THT341" s="173"/>
      <c r="THU341" s="173"/>
      <c r="THV341" s="173"/>
      <c r="THW341" s="173"/>
      <c r="THX341" s="173"/>
      <c r="THY341" s="173"/>
      <c r="THZ341" s="173"/>
      <c r="TIA341" s="125"/>
      <c r="TIB341" s="125"/>
      <c r="TIC341" s="134"/>
      <c r="TID341" s="135"/>
      <c r="TIE341" s="135"/>
      <c r="TIF341" s="135"/>
      <c r="TIG341" s="135"/>
      <c r="TIH341" s="173"/>
      <c r="TII341" s="173"/>
      <c r="TIJ341" s="173"/>
      <c r="TIK341" s="173"/>
      <c r="TIL341" s="173"/>
      <c r="TIM341" s="173"/>
      <c r="TIN341" s="173"/>
      <c r="TIO341" s="173"/>
      <c r="TIP341" s="173"/>
      <c r="TIQ341" s="173"/>
      <c r="TIR341" s="125"/>
      <c r="TIS341" s="125"/>
      <c r="TIT341" s="134"/>
      <c r="TIU341" s="135"/>
      <c r="TIV341" s="135"/>
      <c r="TIW341" s="135"/>
      <c r="TIX341" s="135"/>
      <c r="TIY341" s="173"/>
      <c r="TIZ341" s="173"/>
      <c r="TJA341" s="173"/>
      <c r="TJB341" s="173"/>
      <c r="TJC341" s="173"/>
      <c r="TJD341" s="173"/>
      <c r="TJE341" s="173"/>
      <c r="TJF341" s="173"/>
      <c r="TJG341" s="173"/>
      <c r="TJH341" s="173"/>
      <c r="TJI341" s="125"/>
      <c r="TJJ341" s="125"/>
      <c r="TJK341" s="134"/>
      <c r="TJL341" s="135"/>
      <c r="TJM341" s="135"/>
      <c r="TJN341" s="135"/>
      <c r="TJO341" s="135"/>
      <c r="TJP341" s="173"/>
      <c r="TJQ341" s="173"/>
      <c r="TJR341" s="173"/>
      <c r="TJS341" s="173"/>
      <c r="TJT341" s="173"/>
      <c r="TJU341" s="173"/>
      <c r="TJV341" s="173"/>
      <c r="TJW341" s="173"/>
      <c r="TJX341" s="173"/>
      <c r="TJY341" s="173"/>
      <c r="TJZ341" s="125"/>
      <c r="TKA341" s="125"/>
      <c r="TKB341" s="134"/>
      <c r="TKC341" s="135"/>
      <c r="TKD341" s="135"/>
      <c r="TKE341" s="135"/>
      <c r="TKF341" s="135"/>
      <c r="TKG341" s="173"/>
      <c r="TKH341" s="173"/>
      <c r="TKI341" s="173"/>
      <c r="TKJ341" s="173"/>
      <c r="TKK341" s="173"/>
      <c r="TKL341" s="173"/>
      <c r="TKM341" s="173"/>
      <c r="TKN341" s="173"/>
      <c r="TKO341" s="173"/>
      <c r="TKP341" s="173"/>
      <c r="TKQ341" s="125"/>
      <c r="TKR341" s="125"/>
      <c r="TKS341" s="134"/>
      <c r="TKT341" s="135"/>
      <c r="TKU341" s="135"/>
      <c r="TKV341" s="135"/>
      <c r="TKW341" s="135"/>
      <c r="TKX341" s="173"/>
      <c r="TKY341" s="173"/>
      <c r="TKZ341" s="173"/>
      <c r="TLA341" s="173"/>
      <c r="TLB341" s="173"/>
      <c r="TLC341" s="173"/>
      <c r="TLD341" s="173"/>
      <c r="TLE341" s="173"/>
      <c r="TLF341" s="173"/>
      <c r="TLG341" s="173"/>
      <c r="TLH341" s="125"/>
      <c r="TLI341" s="125"/>
      <c r="TLJ341" s="134"/>
      <c r="TLK341" s="135"/>
      <c r="TLL341" s="135"/>
      <c r="TLM341" s="135"/>
      <c r="TLN341" s="135"/>
      <c r="TLO341" s="173"/>
      <c r="TLP341" s="173"/>
      <c r="TLQ341" s="173"/>
      <c r="TLR341" s="173"/>
      <c r="TLS341" s="173"/>
      <c r="TLT341" s="173"/>
      <c r="TLU341" s="173"/>
      <c r="TLV341" s="173"/>
      <c r="TLW341" s="173"/>
      <c r="TLX341" s="173"/>
      <c r="TLY341" s="125"/>
      <c r="TLZ341" s="125"/>
      <c r="TMA341" s="134"/>
      <c r="TMB341" s="135"/>
      <c r="TMC341" s="135"/>
      <c r="TMD341" s="135"/>
      <c r="TME341" s="135"/>
      <c r="TMF341" s="173"/>
      <c r="TMG341" s="173"/>
      <c r="TMH341" s="173"/>
      <c r="TMI341" s="173"/>
      <c r="TMJ341" s="173"/>
      <c r="TMK341" s="173"/>
      <c r="TML341" s="173"/>
      <c r="TMM341" s="173"/>
      <c r="TMN341" s="173"/>
      <c r="TMO341" s="173"/>
      <c r="TMP341" s="125"/>
      <c r="TMQ341" s="125"/>
      <c r="TMR341" s="134"/>
      <c r="TMS341" s="135"/>
      <c r="TMT341" s="135"/>
      <c r="TMU341" s="135"/>
      <c r="TMV341" s="135"/>
      <c r="TMW341" s="173"/>
      <c r="TMX341" s="173"/>
      <c r="TMY341" s="173"/>
      <c r="TMZ341" s="173"/>
      <c r="TNA341" s="173"/>
      <c r="TNB341" s="173"/>
      <c r="TNC341" s="173"/>
      <c r="TND341" s="173"/>
      <c r="TNE341" s="173"/>
      <c r="TNF341" s="173"/>
      <c r="TNG341" s="125"/>
      <c r="TNH341" s="125"/>
      <c r="TNI341" s="134"/>
      <c r="TNJ341" s="135"/>
      <c r="TNK341" s="135"/>
      <c r="TNL341" s="135"/>
      <c r="TNM341" s="135"/>
      <c r="TNN341" s="173"/>
      <c r="TNO341" s="173"/>
      <c r="TNP341" s="173"/>
      <c r="TNQ341" s="173"/>
      <c r="TNR341" s="173"/>
      <c r="TNS341" s="173"/>
      <c r="TNT341" s="173"/>
      <c r="TNU341" s="173"/>
      <c r="TNV341" s="173"/>
      <c r="TNW341" s="173"/>
      <c r="TNX341" s="125"/>
      <c r="TNY341" s="125"/>
      <c r="TNZ341" s="134"/>
      <c r="TOA341" s="135"/>
      <c r="TOB341" s="135"/>
      <c r="TOC341" s="135"/>
      <c r="TOD341" s="135"/>
      <c r="TOE341" s="173"/>
      <c r="TOF341" s="173"/>
      <c r="TOG341" s="173"/>
      <c r="TOH341" s="173"/>
      <c r="TOI341" s="173"/>
      <c r="TOJ341" s="173"/>
      <c r="TOK341" s="173"/>
      <c r="TOL341" s="173"/>
      <c r="TOM341" s="173"/>
      <c r="TON341" s="173"/>
      <c r="TOO341" s="125"/>
      <c r="TOP341" s="125"/>
      <c r="TOQ341" s="134"/>
      <c r="TOR341" s="135"/>
      <c r="TOS341" s="135"/>
      <c r="TOT341" s="135"/>
      <c r="TOU341" s="135"/>
      <c r="TOV341" s="173"/>
      <c r="TOW341" s="173"/>
      <c r="TOX341" s="173"/>
      <c r="TOY341" s="173"/>
      <c r="TOZ341" s="173"/>
      <c r="TPA341" s="173"/>
      <c r="TPB341" s="173"/>
      <c r="TPC341" s="173"/>
      <c r="TPD341" s="173"/>
      <c r="TPE341" s="173"/>
      <c r="TPF341" s="125"/>
      <c r="TPG341" s="125"/>
      <c r="TPH341" s="134"/>
      <c r="TPI341" s="135"/>
      <c r="TPJ341" s="135"/>
      <c r="TPK341" s="135"/>
      <c r="TPL341" s="135"/>
      <c r="TPM341" s="173"/>
      <c r="TPN341" s="173"/>
      <c r="TPO341" s="173"/>
      <c r="TPP341" s="173"/>
      <c r="TPQ341" s="173"/>
      <c r="TPR341" s="173"/>
      <c r="TPS341" s="173"/>
      <c r="TPT341" s="173"/>
      <c r="TPU341" s="173"/>
      <c r="TPV341" s="173"/>
      <c r="TPW341" s="125"/>
      <c r="TPX341" s="125"/>
      <c r="TPY341" s="134"/>
      <c r="TPZ341" s="135"/>
      <c r="TQA341" s="135"/>
      <c r="TQB341" s="135"/>
      <c r="TQC341" s="135"/>
      <c r="TQD341" s="173"/>
      <c r="TQE341" s="173"/>
      <c r="TQF341" s="173"/>
      <c r="TQG341" s="173"/>
      <c r="TQH341" s="173"/>
      <c r="TQI341" s="173"/>
      <c r="TQJ341" s="173"/>
      <c r="TQK341" s="173"/>
      <c r="TQL341" s="173"/>
      <c r="TQM341" s="173"/>
      <c r="TQN341" s="125"/>
      <c r="TQO341" s="125"/>
      <c r="TQP341" s="134"/>
      <c r="TQQ341" s="135"/>
      <c r="TQR341" s="135"/>
      <c r="TQS341" s="135"/>
      <c r="TQT341" s="135"/>
      <c r="TQU341" s="173"/>
      <c r="TQV341" s="173"/>
      <c r="TQW341" s="173"/>
      <c r="TQX341" s="173"/>
      <c r="TQY341" s="173"/>
      <c r="TQZ341" s="173"/>
      <c r="TRA341" s="173"/>
      <c r="TRB341" s="173"/>
      <c r="TRC341" s="173"/>
      <c r="TRD341" s="173"/>
      <c r="TRE341" s="125"/>
      <c r="TRF341" s="125"/>
      <c r="TRG341" s="134"/>
      <c r="TRH341" s="135"/>
      <c r="TRI341" s="135"/>
      <c r="TRJ341" s="135"/>
      <c r="TRK341" s="135"/>
      <c r="TRL341" s="173"/>
      <c r="TRM341" s="173"/>
      <c r="TRN341" s="173"/>
      <c r="TRO341" s="173"/>
      <c r="TRP341" s="173"/>
      <c r="TRQ341" s="173"/>
      <c r="TRR341" s="173"/>
      <c r="TRS341" s="173"/>
      <c r="TRT341" s="173"/>
      <c r="TRU341" s="173"/>
      <c r="TRV341" s="125"/>
      <c r="TRW341" s="125"/>
      <c r="TRX341" s="134"/>
      <c r="TRY341" s="135"/>
      <c r="TRZ341" s="135"/>
      <c r="TSA341" s="135"/>
      <c r="TSB341" s="135"/>
      <c r="TSC341" s="173"/>
      <c r="TSD341" s="173"/>
      <c r="TSE341" s="173"/>
      <c r="TSF341" s="173"/>
      <c r="TSG341" s="173"/>
      <c r="TSH341" s="173"/>
      <c r="TSI341" s="173"/>
      <c r="TSJ341" s="173"/>
      <c r="TSK341" s="173"/>
      <c r="TSL341" s="173"/>
      <c r="TSM341" s="125"/>
      <c r="TSN341" s="125"/>
      <c r="TSO341" s="134"/>
      <c r="TSP341" s="135"/>
      <c r="TSQ341" s="135"/>
      <c r="TSR341" s="135"/>
      <c r="TSS341" s="135"/>
      <c r="TST341" s="173"/>
      <c r="TSU341" s="173"/>
      <c r="TSV341" s="173"/>
      <c r="TSW341" s="173"/>
      <c r="TSX341" s="173"/>
      <c r="TSY341" s="173"/>
      <c r="TSZ341" s="173"/>
      <c r="TTA341" s="173"/>
      <c r="TTB341" s="173"/>
      <c r="TTC341" s="173"/>
      <c r="TTD341" s="125"/>
      <c r="TTE341" s="125"/>
      <c r="TTF341" s="134"/>
      <c r="TTG341" s="135"/>
      <c r="TTH341" s="135"/>
      <c r="TTI341" s="135"/>
      <c r="TTJ341" s="135"/>
      <c r="TTK341" s="173"/>
      <c r="TTL341" s="173"/>
      <c r="TTM341" s="173"/>
      <c r="TTN341" s="173"/>
      <c r="TTO341" s="173"/>
      <c r="TTP341" s="173"/>
      <c r="TTQ341" s="173"/>
      <c r="TTR341" s="173"/>
      <c r="TTS341" s="173"/>
      <c r="TTT341" s="173"/>
      <c r="TTU341" s="125"/>
      <c r="TTV341" s="125"/>
      <c r="TTW341" s="134"/>
      <c r="TTX341" s="135"/>
      <c r="TTY341" s="135"/>
      <c r="TTZ341" s="135"/>
      <c r="TUA341" s="135"/>
      <c r="TUB341" s="173"/>
      <c r="TUC341" s="173"/>
      <c r="TUD341" s="173"/>
      <c r="TUE341" s="173"/>
      <c r="TUF341" s="173"/>
      <c r="TUG341" s="173"/>
      <c r="TUH341" s="173"/>
      <c r="TUI341" s="173"/>
      <c r="TUJ341" s="173"/>
      <c r="TUK341" s="173"/>
      <c r="TUL341" s="125"/>
      <c r="TUM341" s="125"/>
      <c r="TUN341" s="134"/>
      <c r="TUO341" s="135"/>
      <c r="TUP341" s="135"/>
      <c r="TUQ341" s="135"/>
      <c r="TUR341" s="135"/>
      <c r="TUS341" s="173"/>
      <c r="TUT341" s="173"/>
      <c r="TUU341" s="173"/>
      <c r="TUV341" s="173"/>
      <c r="TUW341" s="173"/>
      <c r="TUX341" s="173"/>
      <c r="TUY341" s="173"/>
      <c r="TUZ341" s="173"/>
      <c r="TVA341" s="173"/>
      <c r="TVB341" s="173"/>
      <c r="TVC341" s="125"/>
      <c r="TVD341" s="125"/>
      <c r="TVE341" s="134"/>
      <c r="TVF341" s="135"/>
      <c r="TVG341" s="135"/>
      <c r="TVH341" s="135"/>
      <c r="TVI341" s="135"/>
      <c r="TVJ341" s="173"/>
      <c r="TVK341" s="173"/>
      <c r="TVL341" s="173"/>
      <c r="TVM341" s="173"/>
      <c r="TVN341" s="173"/>
      <c r="TVO341" s="173"/>
      <c r="TVP341" s="173"/>
      <c r="TVQ341" s="173"/>
      <c r="TVR341" s="173"/>
      <c r="TVS341" s="173"/>
      <c r="TVT341" s="125"/>
      <c r="TVU341" s="125"/>
      <c r="TVV341" s="134"/>
      <c r="TVW341" s="135"/>
      <c r="TVX341" s="135"/>
      <c r="TVY341" s="135"/>
      <c r="TVZ341" s="135"/>
      <c r="TWA341" s="173"/>
      <c r="TWB341" s="173"/>
      <c r="TWC341" s="173"/>
      <c r="TWD341" s="173"/>
      <c r="TWE341" s="173"/>
      <c r="TWF341" s="173"/>
      <c r="TWG341" s="173"/>
      <c r="TWH341" s="173"/>
      <c r="TWI341" s="173"/>
      <c r="TWJ341" s="173"/>
      <c r="TWK341" s="125"/>
      <c r="TWL341" s="125"/>
      <c r="TWM341" s="134"/>
      <c r="TWN341" s="135"/>
      <c r="TWO341" s="135"/>
      <c r="TWP341" s="135"/>
      <c r="TWQ341" s="135"/>
      <c r="TWR341" s="173"/>
      <c r="TWS341" s="173"/>
      <c r="TWT341" s="173"/>
      <c r="TWU341" s="173"/>
      <c r="TWV341" s="173"/>
      <c r="TWW341" s="173"/>
      <c r="TWX341" s="173"/>
      <c r="TWY341" s="173"/>
      <c r="TWZ341" s="173"/>
      <c r="TXA341" s="173"/>
      <c r="TXB341" s="125"/>
      <c r="TXC341" s="125"/>
      <c r="TXD341" s="134"/>
      <c r="TXE341" s="135"/>
      <c r="TXF341" s="135"/>
      <c r="TXG341" s="135"/>
      <c r="TXH341" s="135"/>
      <c r="TXI341" s="173"/>
      <c r="TXJ341" s="173"/>
      <c r="TXK341" s="173"/>
      <c r="TXL341" s="173"/>
      <c r="TXM341" s="173"/>
      <c r="TXN341" s="173"/>
      <c r="TXO341" s="173"/>
      <c r="TXP341" s="173"/>
      <c r="TXQ341" s="173"/>
      <c r="TXR341" s="173"/>
      <c r="TXS341" s="125"/>
      <c r="TXT341" s="125"/>
      <c r="TXU341" s="134"/>
      <c r="TXV341" s="135"/>
      <c r="TXW341" s="135"/>
      <c r="TXX341" s="135"/>
      <c r="TXY341" s="135"/>
      <c r="TXZ341" s="173"/>
      <c r="TYA341" s="173"/>
      <c r="TYB341" s="173"/>
      <c r="TYC341" s="173"/>
      <c r="TYD341" s="173"/>
      <c r="TYE341" s="173"/>
      <c r="TYF341" s="173"/>
      <c r="TYG341" s="173"/>
      <c r="TYH341" s="173"/>
      <c r="TYI341" s="173"/>
      <c r="TYJ341" s="125"/>
      <c r="TYK341" s="125"/>
      <c r="TYL341" s="134"/>
      <c r="TYM341" s="135"/>
      <c r="TYN341" s="135"/>
      <c r="TYO341" s="135"/>
      <c r="TYP341" s="135"/>
      <c r="TYQ341" s="173"/>
      <c r="TYR341" s="173"/>
      <c r="TYS341" s="173"/>
      <c r="TYT341" s="173"/>
      <c r="TYU341" s="173"/>
      <c r="TYV341" s="173"/>
      <c r="TYW341" s="173"/>
      <c r="TYX341" s="173"/>
      <c r="TYY341" s="173"/>
      <c r="TYZ341" s="173"/>
      <c r="TZA341" s="125"/>
      <c r="TZB341" s="125"/>
      <c r="TZC341" s="134"/>
      <c r="TZD341" s="135"/>
      <c r="TZE341" s="135"/>
      <c r="TZF341" s="135"/>
      <c r="TZG341" s="135"/>
      <c r="TZH341" s="173"/>
      <c r="TZI341" s="173"/>
      <c r="TZJ341" s="173"/>
      <c r="TZK341" s="173"/>
      <c r="TZL341" s="173"/>
      <c r="TZM341" s="173"/>
      <c r="TZN341" s="173"/>
      <c r="TZO341" s="173"/>
      <c r="TZP341" s="173"/>
      <c r="TZQ341" s="173"/>
      <c r="TZR341" s="125"/>
      <c r="TZS341" s="125"/>
      <c r="TZT341" s="134"/>
      <c r="TZU341" s="135"/>
      <c r="TZV341" s="135"/>
      <c r="TZW341" s="135"/>
      <c r="TZX341" s="135"/>
      <c r="TZY341" s="173"/>
      <c r="TZZ341" s="173"/>
      <c r="UAA341" s="173"/>
      <c r="UAB341" s="173"/>
      <c r="UAC341" s="173"/>
      <c r="UAD341" s="173"/>
      <c r="UAE341" s="173"/>
      <c r="UAF341" s="173"/>
      <c r="UAG341" s="173"/>
      <c r="UAH341" s="173"/>
      <c r="UAI341" s="125"/>
      <c r="UAJ341" s="125"/>
      <c r="UAK341" s="134"/>
      <c r="UAL341" s="135"/>
      <c r="UAM341" s="135"/>
      <c r="UAN341" s="135"/>
      <c r="UAO341" s="135"/>
      <c r="UAP341" s="173"/>
      <c r="UAQ341" s="173"/>
      <c r="UAR341" s="173"/>
      <c r="UAS341" s="173"/>
      <c r="UAT341" s="173"/>
      <c r="UAU341" s="173"/>
      <c r="UAV341" s="173"/>
      <c r="UAW341" s="173"/>
      <c r="UAX341" s="173"/>
      <c r="UAY341" s="173"/>
      <c r="UAZ341" s="125"/>
      <c r="UBA341" s="125"/>
      <c r="UBB341" s="134"/>
      <c r="UBC341" s="135"/>
      <c r="UBD341" s="135"/>
      <c r="UBE341" s="135"/>
      <c r="UBF341" s="135"/>
      <c r="UBG341" s="173"/>
      <c r="UBH341" s="173"/>
      <c r="UBI341" s="173"/>
      <c r="UBJ341" s="173"/>
      <c r="UBK341" s="173"/>
      <c r="UBL341" s="173"/>
      <c r="UBM341" s="173"/>
      <c r="UBN341" s="173"/>
      <c r="UBO341" s="173"/>
      <c r="UBP341" s="173"/>
      <c r="UBQ341" s="125"/>
      <c r="UBR341" s="125"/>
      <c r="UBS341" s="134"/>
      <c r="UBT341" s="135"/>
      <c r="UBU341" s="135"/>
      <c r="UBV341" s="135"/>
      <c r="UBW341" s="135"/>
      <c r="UBX341" s="173"/>
      <c r="UBY341" s="173"/>
      <c r="UBZ341" s="173"/>
      <c r="UCA341" s="173"/>
      <c r="UCB341" s="173"/>
      <c r="UCC341" s="173"/>
      <c r="UCD341" s="173"/>
      <c r="UCE341" s="173"/>
      <c r="UCF341" s="173"/>
      <c r="UCG341" s="173"/>
      <c r="UCH341" s="125"/>
      <c r="UCI341" s="125"/>
      <c r="UCJ341" s="134"/>
      <c r="UCK341" s="135"/>
      <c r="UCL341" s="135"/>
      <c r="UCM341" s="135"/>
      <c r="UCN341" s="135"/>
      <c r="UCO341" s="173"/>
      <c r="UCP341" s="173"/>
      <c r="UCQ341" s="173"/>
      <c r="UCR341" s="173"/>
      <c r="UCS341" s="173"/>
      <c r="UCT341" s="173"/>
      <c r="UCU341" s="173"/>
      <c r="UCV341" s="173"/>
      <c r="UCW341" s="173"/>
      <c r="UCX341" s="173"/>
      <c r="UCY341" s="125"/>
      <c r="UCZ341" s="125"/>
      <c r="UDA341" s="134"/>
      <c r="UDB341" s="135"/>
      <c r="UDC341" s="135"/>
      <c r="UDD341" s="135"/>
      <c r="UDE341" s="135"/>
      <c r="UDF341" s="173"/>
      <c r="UDG341" s="173"/>
      <c r="UDH341" s="173"/>
      <c r="UDI341" s="173"/>
      <c r="UDJ341" s="173"/>
      <c r="UDK341" s="173"/>
      <c r="UDL341" s="173"/>
      <c r="UDM341" s="173"/>
      <c r="UDN341" s="173"/>
      <c r="UDO341" s="173"/>
      <c r="UDP341" s="125"/>
      <c r="UDQ341" s="125"/>
      <c r="UDR341" s="134"/>
      <c r="UDS341" s="135"/>
      <c r="UDT341" s="135"/>
      <c r="UDU341" s="135"/>
      <c r="UDV341" s="135"/>
      <c r="UDW341" s="173"/>
      <c r="UDX341" s="173"/>
      <c r="UDY341" s="173"/>
      <c r="UDZ341" s="173"/>
      <c r="UEA341" s="173"/>
      <c r="UEB341" s="173"/>
      <c r="UEC341" s="173"/>
      <c r="UED341" s="173"/>
      <c r="UEE341" s="173"/>
      <c r="UEF341" s="173"/>
      <c r="UEG341" s="125"/>
      <c r="UEH341" s="125"/>
      <c r="UEI341" s="134"/>
      <c r="UEJ341" s="135"/>
      <c r="UEK341" s="135"/>
      <c r="UEL341" s="135"/>
      <c r="UEM341" s="135"/>
      <c r="UEN341" s="173"/>
      <c r="UEO341" s="173"/>
      <c r="UEP341" s="173"/>
      <c r="UEQ341" s="173"/>
      <c r="UER341" s="173"/>
      <c r="UES341" s="173"/>
      <c r="UET341" s="173"/>
      <c r="UEU341" s="173"/>
      <c r="UEV341" s="173"/>
      <c r="UEW341" s="173"/>
      <c r="UEX341" s="125"/>
      <c r="UEY341" s="125"/>
      <c r="UEZ341" s="134"/>
      <c r="UFA341" s="135"/>
      <c r="UFB341" s="135"/>
      <c r="UFC341" s="135"/>
      <c r="UFD341" s="135"/>
      <c r="UFE341" s="173"/>
      <c r="UFF341" s="173"/>
      <c r="UFG341" s="173"/>
      <c r="UFH341" s="173"/>
      <c r="UFI341" s="173"/>
      <c r="UFJ341" s="173"/>
      <c r="UFK341" s="173"/>
      <c r="UFL341" s="173"/>
      <c r="UFM341" s="173"/>
      <c r="UFN341" s="173"/>
      <c r="UFO341" s="125"/>
      <c r="UFP341" s="125"/>
      <c r="UFQ341" s="134"/>
      <c r="UFR341" s="135"/>
      <c r="UFS341" s="135"/>
      <c r="UFT341" s="135"/>
      <c r="UFU341" s="135"/>
      <c r="UFV341" s="173"/>
      <c r="UFW341" s="173"/>
      <c r="UFX341" s="173"/>
      <c r="UFY341" s="173"/>
      <c r="UFZ341" s="173"/>
      <c r="UGA341" s="173"/>
      <c r="UGB341" s="173"/>
      <c r="UGC341" s="173"/>
      <c r="UGD341" s="173"/>
      <c r="UGE341" s="173"/>
      <c r="UGF341" s="125"/>
      <c r="UGG341" s="125"/>
      <c r="UGH341" s="134"/>
      <c r="UGI341" s="135"/>
      <c r="UGJ341" s="135"/>
      <c r="UGK341" s="135"/>
      <c r="UGL341" s="135"/>
      <c r="UGM341" s="173"/>
      <c r="UGN341" s="173"/>
      <c r="UGO341" s="173"/>
      <c r="UGP341" s="173"/>
      <c r="UGQ341" s="173"/>
      <c r="UGR341" s="173"/>
      <c r="UGS341" s="173"/>
      <c r="UGT341" s="173"/>
      <c r="UGU341" s="173"/>
      <c r="UGV341" s="173"/>
      <c r="UGW341" s="125"/>
      <c r="UGX341" s="125"/>
      <c r="UGY341" s="134"/>
      <c r="UGZ341" s="135"/>
      <c r="UHA341" s="135"/>
      <c r="UHB341" s="135"/>
      <c r="UHC341" s="135"/>
      <c r="UHD341" s="173"/>
      <c r="UHE341" s="173"/>
      <c r="UHF341" s="173"/>
      <c r="UHG341" s="173"/>
      <c r="UHH341" s="173"/>
      <c r="UHI341" s="173"/>
      <c r="UHJ341" s="173"/>
      <c r="UHK341" s="173"/>
      <c r="UHL341" s="173"/>
      <c r="UHM341" s="173"/>
      <c r="UHN341" s="125"/>
      <c r="UHO341" s="125"/>
      <c r="UHP341" s="134"/>
      <c r="UHQ341" s="135"/>
      <c r="UHR341" s="135"/>
      <c r="UHS341" s="135"/>
      <c r="UHT341" s="135"/>
      <c r="UHU341" s="173"/>
      <c r="UHV341" s="173"/>
      <c r="UHW341" s="173"/>
      <c r="UHX341" s="173"/>
      <c r="UHY341" s="173"/>
      <c r="UHZ341" s="173"/>
      <c r="UIA341" s="173"/>
      <c r="UIB341" s="173"/>
      <c r="UIC341" s="173"/>
      <c r="UID341" s="173"/>
      <c r="UIE341" s="125"/>
      <c r="UIF341" s="125"/>
      <c r="UIG341" s="134"/>
      <c r="UIH341" s="135"/>
      <c r="UII341" s="135"/>
      <c r="UIJ341" s="135"/>
      <c r="UIK341" s="135"/>
      <c r="UIL341" s="173"/>
      <c r="UIM341" s="173"/>
      <c r="UIN341" s="173"/>
      <c r="UIO341" s="173"/>
      <c r="UIP341" s="173"/>
      <c r="UIQ341" s="173"/>
      <c r="UIR341" s="173"/>
      <c r="UIS341" s="173"/>
      <c r="UIT341" s="173"/>
      <c r="UIU341" s="173"/>
      <c r="UIV341" s="125"/>
      <c r="UIW341" s="125"/>
      <c r="UIX341" s="134"/>
      <c r="UIY341" s="135"/>
      <c r="UIZ341" s="135"/>
      <c r="UJA341" s="135"/>
      <c r="UJB341" s="135"/>
      <c r="UJC341" s="173"/>
      <c r="UJD341" s="173"/>
      <c r="UJE341" s="173"/>
      <c r="UJF341" s="173"/>
      <c r="UJG341" s="173"/>
      <c r="UJH341" s="173"/>
      <c r="UJI341" s="173"/>
      <c r="UJJ341" s="173"/>
      <c r="UJK341" s="173"/>
      <c r="UJL341" s="173"/>
      <c r="UJM341" s="125"/>
      <c r="UJN341" s="125"/>
      <c r="UJO341" s="134"/>
      <c r="UJP341" s="135"/>
      <c r="UJQ341" s="135"/>
      <c r="UJR341" s="135"/>
      <c r="UJS341" s="135"/>
      <c r="UJT341" s="173"/>
      <c r="UJU341" s="173"/>
      <c r="UJV341" s="173"/>
      <c r="UJW341" s="173"/>
      <c r="UJX341" s="173"/>
      <c r="UJY341" s="173"/>
      <c r="UJZ341" s="173"/>
      <c r="UKA341" s="173"/>
      <c r="UKB341" s="173"/>
      <c r="UKC341" s="173"/>
      <c r="UKD341" s="125"/>
      <c r="UKE341" s="125"/>
      <c r="UKF341" s="134"/>
      <c r="UKG341" s="135"/>
      <c r="UKH341" s="135"/>
      <c r="UKI341" s="135"/>
      <c r="UKJ341" s="135"/>
      <c r="UKK341" s="173"/>
      <c r="UKL341" s="173"/>
      <c r="UKM341" s="173"/>
      <c r="UKN341" s="173"/>
      <c r="UKO341" s="173"/>
      <c r="UKP341" s="173"/>
      <c r="UKQ341" s="173"/>
      <c r="UKR341" s="173"/>
      <c r="UKS341" s="173"/>
      <c r="UKT341" s="173"/>
      <c r="UKU341" s="125"/>
      <c r="UKV341" s="125"/>
      <c r="UKW341" s="134"/>
      <c r="UKX341" s="135"/>
      <c r="UKY341" s="135"/>
      <c r="UKZ341" s="135"/>
      <c r="ULA341" s="135"/>
      <c r="ULB341" s="173"/>
      <c r="ULC341" s="173"/>
      <c r="ULD341" s="173"/>
      <c r="ULE341" s="173"/>
      <c r="ULF341" s="173"/>
      <c r="ULG341" s="173"/>
      <c r="ULH341" s="173"/>
      <c r="ULI341" s="173"/>
      <c r="ULJ341" s="173"/>
      <c r="ULK341" s="173"/>
      <c r="ULL341" s="125"/>
      <c r="ULM341" s="125"/>
      <c r="ULN341" s="134"/>
      <c r="ULO341" s="135"/>
      <c r="ULP341" s="135"/>
      <c r="ULQ341" s="135"/>
      <c r="ULR341" s="135"/>
      <c r="ULS341" s="173"/>
      <c r="ULT341" s="173"/>
      <c r="ULU341" s="173"/>
      <c r="ULV341" s="173"/>
      <c r="ULW341" s="173"/>
      <c r="ULX341" s="173"/>
      <c r="ULY341" s="173"/>
      <c r="ULZ341" s="173"/>
      <c r="UMA341" s="173"/>
      <c r="UMB341" s="173"/>
      <c r="UMC341" s="125"/>
      <c r="UMD341" s="125"/>
      <c r="UME341" s="134"/>
      <c r="UMF341" s="135"/>
      <c r="UMG341" s="135"/>
      <c r="UMH341" s="135"/>
      <c r="UMI341" s="135"/>
      <c r="UMJ341" s="173"/>
      <c r="UMK341" s="173"/>
      <c r="UML341" s="173"/>
      <c r="UMM341" s="173"/>
      <c r="UMN341" s="173"/>
      <c r="UMO341" s="173"/>
      <c r="UMP341" s="173"/>
      <c r="UMQ341" s="173"/>
      <c r="UMR341" s="173"/>
      <c r="UMS341" s="173"/>
      <c r="UMT341" s="125"/>
      <c r="UMU341" s="125"/>
      <c r="UMV341" s="134"/>
      <c r="UMW341" s="135"/>
      <c r="UMX341" s="135"/>
      <c r="UMY341" s="135"/>
      <c r="UMZ341" s="135"/>
      <c r="UNA341" s="173"/>
      <c r="UNB341" s="173"/>
      <c r="UNC341" s="173"/>
      <c r="UND341" s="173"/>
      <c r="UNE341" s="173"/>
      <c r="UNF341" s="173"/>
      <c r="UNG341" s="173"/>
      <c r="UNH341" s="173"/>
      <c r="UNI341" s="173"/>
      <c r="UNJ341" s="173"/>
      <c r="UNK341" s="125"/>
      <c r="UNL341" s="125"/>
      <c r="UNM341" s="134"/>
      <c r="UNN341" s="135"/>
      <c r="UNO341" s="135"/>
      <c r="UNP341" s="135"/>
      <c r="UNQ341" s="135"/>
      <c r="UNR341" s="173"/>
      <c r="UNS341" s="173"/>
      <c r="UNT341" s="173"/>
      <c r="UNU341" s="173"/>
      <c r="UNV341" s="173"/>
      <c r="UNW341" s="173"/>
      <c r="UNX341" s="173"/>
      <c r="UNY341" s="173"/>
      <c r="UNZ341" s="173"/>
      <c r="UOA341" s="173"/>
      <c r="UOB341" s="125"/>
      <c r="UOC341" s="125"/>
      <c r="UOD341" s="134"/>
      <c r="UOE341" s="135"/>
      <c r="UOF341" s="135"/>
      <c r="UOG341" s="135"/>
      <c r="UOH341" s="135"/>
      <c r="UOI341" s="173"/>
      <c r="UOJ341" s="173"/>
      <c r="UOK341" s="173"/>
      <c r="UOL341" s="173"/>
      <c r="UOM341" s="173"/>
      <c r="UON341" s="173"/>
      <c r="UOO341" s="173"/>
      <c r="UOP341" s="173"/>
      <c r="UOQ341" s="173"/>
      <c r="UOR341" s="173"/>
      <c r="UOS341" s="125"/>
      <c r="UOT341" s="125"/>
      <c r="UOU341" s="134"/>
      <c r="UOV341" s="135"/>
      <c r="UOW341" s="135"/>
      <c r="UOX341" s="135"/>
      <c r="UOY341" s="135"/>
      <c r="UOZ341" s="173"/>
      <c r="UPA341" s="173"/>
      <c r="UPB341" s="173"/>
      <c r="UPC341" s="173"/>
      <c r="UPD341" s="173"/>
      <c r="UPE341" s="173"/>
      <c r="UPF341" s="173"/>
      <c r="UPG341" s="173"/>
      <c r="UPH341" s="173"/>
      <c r="UPI341" s="173"/>
      <c r="UPJ341" s="125"/>
      <c r="UPK341" s="125"/>
      <c r="UPL341" s="134"/>
      <c r="UPM341" s="135"/>
      <c r="UPN341" s="135"/>
      <c r="UPO341" s="135"/>
      <c r="UPP341" s="135"/>
      <c r="UPQ341" s="173"/>
      <c r="UPR341" s="173"/>
      <c r="UPS341" s="173"/>
      <c r="UPT341" s="173"/>
      <c r="UPU341" s="173"/>
      <c r="UPV341" s="173"/>
      <c r="UPW341" s="173"/>
      <c r="UPX341" s="173"/>
      <c r="UPY341" s="173"/>
      <c r="UPZ341" s="173"/>
      <c r="UQA341" s="125"/>
      <c r="UQB341" s="125"/>
      <c r="UQC341" s="134"/>
      <c r="UQD341" s="135"/>
      <c r="UQE341" s="135"/>
      <c r="UQF341" s="135"/>
      <c r="UQG341" s="135"/>
      <c r="UQH341" s="173"/>
      <c r="UQI341" s="173"/>
      <c r="UQJ341" s="173"/>
      <c r="UQK341" s="173"/>
      <c r="UQL341" s="173"/>
      <c r="UQM341" s="173"/>
      <c r="UQN341" s="173"/>
      <c r="UQO341" s="173"/>
      <c r="UQP341" s="173"/>
      <c r="UQQ341" s="173"/>
      <c r="UQR341" s="125"/>
      <c r="UQS341" s="125"/>
      <c r="UQT341" s="134"/>
      <c r="UQU341" s="135"/>
      <c r="UQV341" s="135"/>
      <c r="UQW341" s="135"/>
      <c r="UQX341" s="135"/>
      <c r="UQY341" s="173"/>
      <c r="UQZ341" s="173"/>
      <c r="URA341" s="173"/>
      <c r="URB341" s="173"/>
      <c r="URC341" s="173"/>
      <c r="URD341" s="173"/>
      <c r="URE341" s="173"/>
      <c r="URF341" s="173"/>
      <c r="URG341" s="173"/>
      <c r="URH341" s="173"/>
      <c r="URI341" s="125"/>
      <c r="URJ341" s="125"/>
      <c r="URK341" s="134"/>
      <c r="URL341" s="135"/>
      <c r="URM341" s="135"/>
      <c r="URN341" s="135"/>
      <c r="URO341" s="135"/>
      <c r="URP341" s="173"/>
      <c r="URQ341" s="173"/>
      <c r="URR341" s="173"/>
      <c r="URS341" s="173"/>
      <c r="URT341" s="173"/>
      <c r="URU341" s="173"/>
      <c r="URV341" s="173"/>
      <c r="URW341" s="173"/>
      <c r="URX341" s="173"/>
      <c r="URY341" s="173"/>
      <c r="URZ341" s="125"/>
      <c r="USA341" s="125"/>
      <c r="USB341" s="134"/>
      <c r="USC341" s="135"/>
      <c r="USD341" s="135"/>
      <c r="USE341" s="135"/>
      <c r="USF341" s="135"/>
      <c r="USG341" s="173"/>
      <c r="USH341" s="173"/>
      <c r="USI341" s="173"/>
      <c r="USJ341" s="173"/>
      <c r="USK341" s="173"/>
      <c r="USL341" s="173"/>
      <c r="USM341" s="173"/>
      <c r="USN341" s="173"/>
      <c r="USO341" s="173"/>
      <c r="USP341" s="173"/>
      <c r="USQ341" s="125"/>
      <c r="USR341" s="125"/>
      <c r="USS341" s="134"/>
      <c r="UST341" s="135"/>
      <c r="USU341" s="135"/>
      <c r="USV341" s="135"/>
      <c r="USW341" s="135"/>
      <c r="USX341" s="173"/>
      <c r="USY341" s="173"/>
      <c r="USZ341" s="173"/>
      <c r="UTA341" s="173"/>
      <c r="UTB341" s="173"/>
      <c r="UTC341" s="173"/>
      <c r="UTD341" s="173"/>
      <c r="UTE341" s="173"/>
      <c r="UTF341" s="173"/>
      <c r="UTG341" s="173"/>
      <c r="UTH341" s="125"/>
      <c r="UTI341" s="125"/>
      <c r="UTJ341" s="134"/>
      <c r="UTK341" s="135"/>
      <c r="UTL341" s="135"/>
      <c r="UTM341" s="135"/>
      <c r="UTN341" s="135"/>
      <c r="UTO341" s="173"/>
      <c r="UTP341" s="173"/>
      <c r="UTQ341" s="173"/>
      <c r="UTR341" s="173"/>
      <c r="UTS341" s="173"/>
      <c r="UTT341" s="173"/>
      <c r="UTU341" s="173"/>
      <c r="UTV341" s="173"/>
      <c r="UTW341" s="173"/>
      <c r="UTX341" s="173"/>
      <c r="UTY341" s="125"/>
      <c r="UTZ341" s="125"/>
      <c r="UUA341" s="134"/>
      <c r="UUB341" s="135"/>
      <c r="UUC341" s="135"/>
      <c r="UUD341" s="135"/>
      <c r="UUE341" s="135"/>
      <c r="UUF341" s="173"/>
      <c r="UUG341" s="173"/>
      <c r="UUH341" s="173"/>
      <c r="UUI341" s="173"/>
      <c r="UUJ341" s="173"/>
      <c r="UUK341" s="173"/>
      <c r="UUL341" s="173"/>
      <c r="UUM341" s="173"/>
      <c r="UUN341" s="173"/>
      <c r="UUO341" s="173"/>
      <c r="UUP341" s="125"/>
      <c r="UUQ341" s="125"/>
      <c r="UUR341" s="134"/>
      <c r="UUS341" s="135"/>
      <c r="UUT341" s="135"/>
      <c r="UUU341" s="135"/>
      <c r="UUV341" s="135"/>
      <c r="UUW341" s="173"/>
      <c r="UUX341" s="173"/>
      <c r="UUY341" s="173"/>
      <c r="UUZ341" s="173"/>
      <c r="UVA341" s="173"/>
      <c r="UVB341" s="173"/>
      <c r="UVC341" s="173"/>
      <c r="UVD341" s="173"/>
      <c r="UVE341" s="173"/>
      <c r="UVF341" s="173"/>
      <c r="UVG341" s="125"/>
      <c r="UVH341" s="125"/>
      <c r="UVI341" s="134"/>
      <c r="UVJ341" s="135"/>
      <c r="UVK341" s="135"/>
      <c r="UVL341" s="135"/>
      <c r="UVM341" s="135"/>
      <c r="UVN341" s="173"/>
      <c r="UVO341" s="173"/>
      <c r="UVP341" s="173"/>
      <c r="UVQ341" s="173"/>
      <c r="UVR341" s="173"/>
      <c r="UVS341" s="173"/>
      <c r="UVT341" s="173"/>
      <c r="UVU341" s="173"/>
      <c r="UVV341" s="173"/>
      <c r="UVW341" s="173"/>
      <c r="UVX341" s="125"/>
      <c r="UVY341" s="125"/>
      <c r="UVZ341" s="134"/>
      <c r="UWA341" s="135"/>
      <c r="UWB341" s="135"/>
      <c r="UWC341" s="135"/>
      <c r="UWD341" s="135"/>
      <c r="UWE341" s="173"/>
      <c r="UWF341" s="173"/>
      <c r="UWG341" s="173"/>
      <c r="UWH341" s="173"/>
      <c r="UWI341" s="173"/>
      <c r="UWJ341" s="173"/>
      <c r="UWK341" s="173"/>
      <c r="UWL341" s="173"/>
      <c r="UWM341" s="173"/>
      <c r="UWN341" s="173"/>
      <c r="UWO341" s="125"/>
      <c r="UWP341" s="125"/>
      <c r="UWQ341" s="134"/>
      <c r="UWR341" s="135"/>
      <c r="UWS341" s="135"/>
      <c r="UWT341" s="135"/>
      <c r="UWU341" s="135"/>
      <c r="UWV341" s="173"/>
      <c r="UWW341" s="173"/>
      <c r="UWX341" s="173"/>
      <c r="UWY341" s="173"/>
      <c r="UWZ341" s="173"/>
      <c r="UXA341" s="173"/>
      <c r="UXB341" s="173"/>
      <c r="UXC341" s="173"/>
      <c r="UXD341" s="173"/>
      <c r="UXE341" s="173"/>
      <c r="UXF341" s="125"/>
      <c r="UXG341" s="125"/>
      <c r="UXH341" s="134"/>
      <c r="UXI341" s="135"/>
      <c r="UXJ341" s="135"/>
      <c r="UXK341" s="135"/>
      <c r="UXL341" s="135"/>
      <c r="UXM341" s="173"/>
      <c r="UXN341" s="173"/>
      <c r="UXO341" s="173"/>
      <c r="UXP341" s="173"/>
      <c r="UXQ341" s="173"/>
      <c r="UXR341" s="173"/>
      <c r="UXS341" s="173"/>
      <c r="UXT341" s="173"/>
      <c r="UXU341" s="173"/>
      <c r="UXV341" s="173"/>
      <c r="UXW341" s="125"/>
      <c r="UXX341" s="125"/>
      <c r="UXY341" s="134"/>
      <c r="UXZ341" s="135"/>
      <c r="UYA341" s="135"/>
      <c r="UYB341" s="135"/>
      <c r="UYC341" s="135"/>
      <c r="UYD341" s="173"/>
      <c r="UYE341" s="173"/>
      <c r="UYF341" s="173"/>
      <c r="UYG341" s="173"/>
      <c r="UYH341" s="173"/>
      <c r="UYI341" s="173"/>
      <c r="UYJ341" s="173"/>
      <c r="UYK341" s="173"/>
      <c r="UYL341" s="173"/>
      <c r="UYM341" s="173"/>
      <c r="UYN341" s="125"/>
      <c r="UYO341" s="125"/>
      <c r="UYP341" s="134"/>
      <c r="UYQ341" s="135"/>
      <c r="UYR341" s="135"/>
      <c r="UYS341" s="135"/>
      <c r="UYT341" s="135"/>
      <c r="UYU341" s="173"/>
      <c r="UYV341" s="173"/>
      <c r="UYW341" s="173"/>
      <c r="UYX341" s="173"/>
      <c r="UYY341" s="173"/>
      <c r="UYZ341" s="173"/>
      <c r="UZA341" s="173"/>
      <c r="UZB341" s="173"/>
      <c r="UZC341" s="173"/>
      <c r="UZD341" s="173"/>
      <c r="UZE341" s="125"/>
      <c r="UZF341" s="125"/>
      <c r="UZG341" s="134"/>
      <c r="UZH341" s="135"/>
      <c r="UZI341" s="135"/>
      <c r="UZJ341" s="135"/>
      <c r="UZK341" s="135"/>
      <c r="UZL341" s="173"/>
      <c r="UZM341" s="173"/>
      <c r="UZN341" s="173"/>
      <c r="UZO341" s="173"/>
      <c r="UZP341" s="173"/>
      <c r="UZQ341" s="173"/>
      <c r="UZR341" s="173"/>
      <c r="UZS341" s="173"/>
      <c r="UZT341" s="173"/>
      <c r="UZU341" s="173"/>
      <c r="UZV341" s="125"/>
      <c r="UZW341" s="125"/>
      <c r="UZX341" s="134"/>
      <c r="UZY341" s="135"/>
      <c r="UZZ341" s="135"/>
      <c r="VAA341" s="135"/>
      <c r="VAB341" s="135"/>
      <c r="VAC341" s="173"/>
      <c r="VAD341" s="173"/>
      <c r="VAE341" s="173"/>
      <c r="VAF341" s="173"/>
      <c r="VAG341" s="173"/>
      <c r="VAH341" s="173"/>
      <c r="VAI341" s="173"/>
      <c r="VAJ341" s="173"/>
      <c r="VAK341" s="173"/>
      <c r="VAL341" s="173"/>
      <c r="VAM341" s="125"/>
      <c r="VAN341" s="125"/>
      <c r="VAO341" s="134"/>
      <c r="VAP341" s="135"/>
      <c r="VAQ341" s="135"/>
      <c r="VAR341" s="135"/>
      <c r="VAS341" s="135"/>
      <c r="VAT341" s="173"/>
      <c r="VAU341" s="173"/>
      <c r="VAV341" s="173"/>
      <c r="VAW341" s="173"/>
      <c r="VAX341" s="173"/>
      <c r="VAY341" s="173"/>
      <c r="VAZ341" s="173"/>
      <c r="VBA341" s="173"/>
      <c r="VBB341" s="173"/>
      <c r="VBC341" s="173"/>
      <c r="VBD341" s="125"/>
      <c r="VBE341" s="125"/>
      <c r="VBF341" s="134"/>
      <c r="VBG341" s="135"/>
      <c r="VBH341" s="135"/>
      <c r="VBI341" s="135"/>
      <c r="VBJ341" s="135"/>
      <c r="VBK341" s="173"/>
      <c r="VBL341" s="173"/>
      <c r="VBM341" s="173"/>
      <c r="VBN341" s="173"/>
      <c r="VBO341" s="173"/>
      <c r="VBP341" s="173"/>
      <c r="VBQ341" s="173"/>
      <c r="VBR341" s="173"/>
      <c r="VBS341" s="173"/>
      <c r="VBT341" s="173"/>
      <c r="VBU341" s="125"/>
      <c r="VBV341" s="125"/>
      <c r="VBW341" s="134"/>
      <c r="VBX341" s="135"/>
      <c r="VBY341" s="135"/>
      <c r="VBZ341" s="135"/>
      <c r="VCA341" s="135"/>
      <c r="VCB341" s="173"/>
      <c r="VCC341" s="173"/>
      <c r="VCD341" s="173"/>
      <c r="VCE341" s="173"/>
      <c r="VCF341" s="173"/>
      <c r="VCG341" s="173"/>
      <c r="VCH341" s="173"/>
      <c r="VCI341" s="173"/>
      <c r="VCJ341" s="173"/>
      <c r="VCK341" s="173"/>
      <c r="VCL341" s="125"/>
      <c r="VCM341" s="125"/>
      <c r="VCN341" s="134"/>
      <c r="VCO341" s="135"/>
      <c r="VCP341" s="135"/>
      <c r="VCQ341" s="135"/>
      <c r="VCR341" s="135"/>
      <c r="VCS341" s="173"/>
      <c r="VCT341" s="173"/>
      <c r="VCU341" s="173"/>
      <c r="VCV341" s="173"/>
      <c r="VCW341" s="173"/>
      <c r="VCX341" s="173"/>
      <c r="VCY341" s="173"/>
      <c r="VCZ341" s="173"/>
      <c r="VDA341" s="173"/>
      <c r="VDB341" s="173"/>
      <c r="VDC341" s="125"/>
      <c r="VDD341" s="125"/>
      <c r="VDE341" s="134"/>
      <c r="VDF341" s="135"/>
      <c r="VDG341" s="135"/>
      <c r="VDH341" s="135"/>
      <c r="VDI341" s="135"/>
      <c r="VDJ341" s="173"/>
      <c r="VDK341" s="173"/>
      <c r="VDL341" s="173"/>
      <c r="VDM341" s="173"/>
      <c r="VDN341" s="173"/>
      <c r="VDO341" s="173"/>
      <c r="VDP341" s="173"/>
      <c r="VDQ341" s="173"/>
      <c r="VDR341" s="173"/>
      <c r="VDS341" s="173"/>
      <c r="VDT341" s="125"/>
      <c r="VDU341" s="125"/>
      <c r="VDV341" s="134"/>
      <c r="VDW341" s="135"/>
      <c r="VDX341" s="135"/>
      <c r="VDY341" s="135"/>
      <c r="VDZ341" s="135"/>
      <c r="VEA341" s="173"/>
      <c r="VEB341" s="173"/>
      <c r="VEC341" s="173"/>
      <c r="VED341" s="173"/>
      <c r="VEE341" s="173"/>
      <c r="VEF341" s="173"/>
      <c r="VEG341" s="173"/>
      <c r="VEH341" s="173"/>
      <c r="VEI341" s="173"/>
      <c r="VEJ341" s="173"/>
      <c r="VEK341" s="125"/>
      <c r="VEL341" s="125"/>
      <c r="VEM341" s="134"/>
      <c r="VEN341" s="135"/>
      <c r="VEO341" s="135"/>
      <c r="VEP341" s="135"/>
      <c r="VEQ341" s="135"/>
      <c r="VER341" s="173"/>
      <c r="VES341" s="173"/>
      <c r="VET341" s="173"/>
      <c r="VEU341" s="173"/>
      <c r="VEV341" s="173"/>
      <c r="VEW341" s="173"/>
      <c r="VEX341" s="173"/>
      <c r="VEY341" s="173"/>
      <c r="VEZ341" s="173"/>
      <c r="VFA341" s="173"/>
      <c r="VFB341" s="125"/>
      <c r="VFC341" s="125"/>
      <c r="VFD341" s="134"/>
      <c r="VFE341" s="135"/>
      <c r="VFF341" s="135"/>
      <c r="VFG341" s="135"/>
      <c r="VFH341" s="135"/>
      <c r="VFI341" s="173"/>
      <c r="VFJ341" s="173"/>
      <c r="VFK341" s="173"/>
      <c r="VFL341" s="173"/>
      <c r="VFM341" s="173"/>
      <c r="VFN341" s="173"/>
      <c r="VFO341" s="173"/>
      <c r="VFP341" s="173"/>
      <c r="VFQ341" s="173"/>
      <c r="VFR341" s="173"/>
      <c r="VFS341" s="125"/>
      <c r="VFT341" s="125"/>
      <c r="VFU341" s="134"/>
      <c r="VFV341" s="135"/>
      <c r="VFW341" s="135"/>
      <c r="VFX341" s="135"/>
      <c r="VFY341" s="135"/>
      <c r="VFZ341" s="173"/>
      <c r="VGA341" s="173"/>
      <c r="VGB341" s="173"/>
      <c r="VGC341" s="173"/>
      <c r="VGD341" s="173"/>
      <c r="VGE341" s="173"/>
      <c r="VGF341" s="173"/>
      <c r="VGG341" s="173"/>
      <c r="VGH341" s="173"/>
      <c r="VGI341" s="173"/>
      <c r="VGJ341" s="125"/>
      <c r="VGK341" s="125"/>
      <c r="VGL341" s="134"/>
      <c r="VGM341" s="135"/>
      <c r="VGN341" s="135"/>
      <c r="VGO341" s="135"/>
      <c r="VGP341" s="135"/>
      <c r="VGQ341" s="173"/>
      <c r="VGR341" s="173"/>
      <c r="VGS341" s="173"/>
      <c r="VGT341" s="173"/>
      <c r="VGU341" s="173"/>
      <c r="VGV341" s="173"/>
      <c r="VGW341" s="173"/>
      <c r="VGX341" s="173"/>
      <c r="VGY341" s="173"/>
      <c r="VGZ341" s="173"/>
      <c r="VHA341" s="125"/>
      <c r="VHB341" s="125"/>
      <c r="VHC341" s="134"/>
      <c r="VHD341" s="135"/>
      <c r="VHE341" s="135"/>
      <c r="VHF341" s="135"/>
      <c r="VHG341" s="135"/>
      <c r="VHH341" s="173"/>
      <c r="VHI341" s="173"/>
      <c r="VHJ341" s="173"/>
      <c r="VHK341" s="173"/>
      <c r="VHL341" s="173"/>
      <c r="VHM341" s="173"/>
      <c r="VHN341" s="173"/>
      <c r="VHO341" s="173"/>
      <c r="VHP341" s="173"/>
      <c r="VHQ341" s="173"/>
      <c r="VHR341" s="125"/>
      <c r="VHS341" s="125"/>
      <c r="VHT341" s="134"/>
      <c r="VHU341" s="135"/>
      <c r="VHV341" s="135"/>
      <c r="VHW341" s="135"/>
      <c r="VHX341" s="135"/>
      <c r="VHY341" s="173"/>
      <c r="VHZ341" s="173"/>
      <c r="VIA341" s="173"/>
      <c r="VIB341" s="173"/>
      <c r="VIC341" s="173"/>
      <c r="VID341" s="173"/>
      <c r="VIE341" s="173"/>
      <c r="VIF341" s="173"/>
      <c r="VIG341" s="173"/>
      <c r="VIH341" s="173"/>
      <c r="VII341" s="125"/>
      <c r="VIJ341" s="125"/>
      <c r="VIK341" s="134"/>
      <c r="VIL341" s="135"/>
      <c r="VIM341" s="135"/>
      <c r="VIN341" s="135"/>
      <c r="VIO341" s="135"/>
      <c r="VIP341" s="173"/>
      <c r="VIQ341" s="173"/>
      <c r="VIR341" s="173"/>
      <c r="VIS341" s="173"/>
      <c r="VIT341" s="173"/>
      <c r="VIU341" s="173"/>
      <c r="VIV341" s="173"/>
      <c r="VIW341" s="173"/>
      <c r="VIX341" s="173"/>
      <c r="VIY341" s="173"/>
      <c r="VIZ341" s="125"/>
      <c r="VJA341" s="125"/>
      <c r="VJB341" s="134"/>
      <c r="VJC341" s="135"/>
      <c r="VJD341" s="135"/>
      <c r="VJE341" s="135"/>
      <c r="VJF341" s="135"/>
      <c r="VJG341" s="173"/>
      <c r="VJH341" s="173"/>
      <c r="VJI341" s="173"/>
      <c r="VJJ341" s="173"/>
      <c r="VJK341" s="173"/>
      <c r="VJL341" s="173"/>
      <c r="VJM341" s="173"/>
      <c r="VJN341" s="173"/>
      <c r="VJO341" s="173"/>
      <c r="VJP341" s="173"/>
      <c r="VJQ341" s="125"/>
      <c r="VJR341" s="125"/>
      <c r="VJS341" s="134"/>
      <c r="VJT341" s="135"/>
      <c r="VJU341" s="135"/>
      <c r="VJV341" s="135"/>
      <c r="VJW341" s="135"/>
      <c r="VJX341" s="173"/>
      <c r="VJY341" s="173"/>
      <c r="VJZ341" s="173"/>
      <c r="VKA341" s="173"/>
      <c r="VKB341" s="173"/>
      <c r="VKC341" s="173"/>
      <c r="VKD341" s="173"/>
      <c r="VKE341" s="173"/>
      <c r="VKF341" s="173"/>
      <c r="VKG341" s="173"/>
      <c r="VKH341" s="125"/>
      <c r="VKI341" s="125"/>
      <c r="VKJ341" s="134"/>
      <c r="VKK341" s="135"/>
      <c r="VKL341" s="135"/>
      <c r="VKM341" s="135"/>
      <c r="VKN341" s="135"/>
      <c r="VKO341" s="173"/>
      <c r="VKP341" s="173"/>
      <c r="VKQ341" s="173"/>
      <c r="VKR341" s="173"/>
      <c r="VKS341" s="173"/>
      <c r="VKT341" s="173"/>
      <c r="VKU341" s="173"/>
      <c r="VKV341" s="173"/>
      <c r="VKW341" s="173"/>
      <c r="VKX341" s="173"/>
      <c r="VKY341" s="125"/>
      <c r="VKZ341" s="125"/>
      <c r="VLA341" s="134"/>
      <c r="VLB341" s="135"/>
      <c r="VLC341" s="135"/>
      <c r="VLD341" s="135"/>
      <c r="VLE341" s="135"/>
      <c r="VLF341" s="173"/>
      <c r="VLG341" s="173"/>
      <c r="VLH341" s="173"/>
      <c r="VLI341" s="173"/>
      <c r="VLJ341" s="173"/>
      <c r="VLK341" s="173"/>
      <c r="VLL341" s="173"/>
      <c r="VLM341" s="173"/>
      <c r="VLN341" s="173"/>
      <c r="VLO341" s="173"/>
      <c r="VLP341" s="125"/>
      <c r="VLQ341" s="125"/>
      <c r="VLR341" s="134"/>
      <c r="VLS341" s="135"/>
      <c r="VLT341" s="135"/>
      <c r="VLU341" s="135"/>
      <c r="VLV341" s="135"/>
      <c r="VLW341" s="173"/>
      <c r="VLX341" s="173"/>
      <c r="VLY341" s="173"/>
      <c r="VLZ341" s="173"/>
      <c r="VMA341" s="173"/>
      <c r="VMB341" s="173"/>
      <c r="VMC341" s="173"/>
      <c r="VMD341" s="173"/>
      <c r="VME341" s="173"/>
      <c r="VMF341" s="173"/>
      <c r="VMG341" s="125"/>
      <c r="VMH341" s="125"/>
      <c r="VMI341" s="134"/>
      <c r="VMJ341" s="135"/>
      <c r="VMK341" s="135"/>
      <c r="VML341" s="135"/>
      <c r="VMM341" s="135"/>
      <c r="VMN341" s="173"/>
      <c r="VMO341" s="173"/>
      <c r="VMP341" s="173"/>
      <c r="VMQ341" s="173"/>
      <c r="VMR341" s="173"/>
      <c r="VMS341" s="173"/>
      <c r="VMT341" s="173"/>
      <c r="VMU341" s="173"/>
      <c r="VMV341" s="173"/>
      <c r="VMW341" s="173"/>
      <c r="VMX341" s="125"/>
      <c r="VMY341" s="125"/>
      <c r="VMZ341" s="134"/>
      <c r="VNA341" s="135"/>
      <c r="VNB341" s="135"/>
      <c r="VNC341" s="135"/>
      <c r="VND341" s="135"/>
      <c r="VNE341" s="173"/>
      <c r="VNF341" s="173"/>
      <c r="VNG341" s="173"/>
      <c r="VNH341" s="173"/>
      <c r="VNI341" s="173"/>
      <c r="VNJ341" s="173"/>
      <c r="VNK341" s="173"/>
      <c r="VNL341" s="173"/>
      <c r="VNM341" s="173"/>
      <c r="VNN341" s="173"/>
      <c r="VNO341" s="125"/>
      <c r="VNP341" s="125"/>
      <c r="VNQ341" s="134"/>
      <c r="VNR341" s="135"/>
      <c r="VNS341" s="135"/>
      <c r="VNT341" s="135"/>
      <c r="VNU341" s="135"/>
      <c r="VNV341" s="173"/>
      <c r="VNW341" s="173"/>
      <c r="VNX341" s="173"/>
      <c r="VNY341" s="173"/>
      <c r="VNZ341" s="173"/>
      <c r="VOA341" s="173"/>
      <c r="VOB341" s="173"/>
      <c r="VOC341" s="173"/>
      <c r="VOD341" s="173"/>
      <c r="VOE341" s="173"/>
      <c r="VOF341" s="125"/>
      <c r="VOG341" s="125"/>
      <c r="VOH341" s="134"/>
      <c r="VOI341" s="135"/>
      <c r="VOJ341" s="135"/>
      <c r="VOK341" s="135"/>
      <c r="VOL341" s="135"/>
      <c r="VOM341" s="173"/>
      <c r="VON341" s="173"/>
      <c r="VOO341" s="173"/>
      <c r="VOP341" s="173"/>
      <c r="VOQ341" s="173"/>
      <c r="VOR341" s="173"/>
      <c r="VOS341" s="173"/>
      <c r="VOT341" s="173"/>
      <c r="VOU341" s="173"/>
      <c r="VOV341" s="173"/>
      <c r="VOW341" s="125"/>
      <c r="VOX341" s="125"/>
      <c r="VOY341" s="134"/>
      <c r="VOZ341" s="135"/>
      <c r="VPA341" s="135"/>
      <c r="VPB341" s="135"/>
      <c r="VPC341" s="135"/>
      <c r="VPD341" s="173"/>
      <c r="VPE341" s="173"/>
      <c r="VPF341" s="173"/>
      <c r="VPG341" s="173"/>
      <c r="VPH341" s="173"/>
      <c r="VPI341" s="173"/>
      <c r="VPJ341" s="173"/>
      <c r="VPK341" s="173"/>
      <c r="VPL341" s="173"/>
      <c r="VPM341" s="173"/>
      <c r="VPN341" s="125"/>
      <c r="VPO341" s="125"/>
      <c r="VPP341" s="134"/>
      <c r="VPQ341" s="135"/>
      <c r="VPR341" s="135"/>
      <c r="VPS341" s="135"/>
      <c r="VPT341" s="135"/>
      <c r="VPU341" s="173"/>
      <c r="VPV341" s="173"/>
      <c r="VPW341" s="173"/>
      <c r="VPX341" s="173"/>
      <c r="VPY341" s="173"/>
      <c r="VPZ341" s="173"/>
      <c r="VQA341" s="173"/>
      <c r="VQB341" s="173"/>
      <c r="VQC341" s="173"/>
      <c r="VQD341" s="173"/>
      <c r="VQE341" s="125"/>
      <c r="VQF341" s="125"/>
      <c r="VQG341" s="134"/>
      <c r="VQH341" s="135"/>
      <c r="VQI341" s="135"/>
      <c r="VQJ341" s="135"/>
      <c r="VQK341" s="135"/>
      <c r="VQL341" s="173"/>
      <c r="VQM341" s="173"/>
      <c r="VQN341" s="173"/>
      <c r="VQO341" s="173"/>
      <c r="VQP341" s="173"/>
      <c r="VQQ341" s="173"/>
      <c r="VQR341" s="173"/>
      <c r="VQS341" s="173"/>
      <c r="VQT341" s="173"/>
      <c r="VQU341" s="173"/>
      <c r="VQV341" s="125"/>
      <c r="VQW341" s="125"/>
      <c r="VQX341" s="134"/>
      <c r="VQY341" s="135"/>
      <c r="VQZ341" s="135"/>
      <c r="VRA341" s="135"/>
      <c r="VRB341" s="135"/>
      <c r="VRC341" s="173"/>
      <c r="VRD341" s="173"/>
      <c r="VRE341" s="173"/>
      <c r="VRF341" s="173"/>
      <c r="VRG341" s="173"/>
      <c r="VRH341" s="173"/>
      <c r="VRI341" s="173"/>
      <c r="VRJ341" s="173"/>
      <c r="VRK341" s="173"/>
      <c r="VRL341" s="173"/>
      <c r="VRM341" s="125"/>
      <c r="VRN341" s="125"/>
      <c r="VRO341" s="134"/>
      <c r="VRP341" s="135"/>
      <c r="VRQ341" s="135"/>
      <c r="VRR341" s="135"/>
      <c r="VRS341" s="135"/>
      <c r="VRT341" s="173"/>
      <c r="VRU341" s="173"/>
      <c r="VRV341" s="173"/>
      <c r="VRW341" s="173"/>
      <c r="VRX341" s="173"/>
      <c r="VRY341" s="173"/>
      <c r="VRZ341" s="173"/>
      <c r="VSA341" s="173"/>
      <c r="VSB341" s="173"/>
      <c r="VSC341" s="173"/>
      <c r="VSD341" s="125"/>
      <c r="VSE341" s="125"/>
      <c r="VSF341" s="134"/>
      <c r="VSG341" s="135"/>
      <c r="VSH341" s="135"/>
      <c r="VSI341" s="135"/>
      <c r="VSJ341" s="135"/>
      <c r="VSK341" s="173"/>
      <c r="VSL341" s="173"/>
      <c r="VSM341" s="173"/>
      <c r="VSN341" s="173"/>
      <c r="VSO341" s="173"/>
      <c r="VSP341" s="173"/>
      <c r="VSQ341" s="173"/>
      <c r="VSR341" s="173"/>
      <c r="VSS341" s="173"/>
      <c r="VST341" s="173"/>
      <c r="VSU341" s="125"/>
      <c r="VSV341" s="125"/>
      <c r="VSW341" s="134"/>
      <c r="VSX341" s="135"/>
      <c r="VSY341" s="135"/>
      <c r="VSZ341" s="135"/>
      <c r="VTA341" s="135"/>
      <c r="VTB341" s="173"/>
      <c r="VTC341" s="173"/>
      <c r="VTD341" s="173"/>
      <c r="VTE341" s="173"/>
      <c r="VTF341" s="173"/>
      <c r="VTG341" s="173"/>
      <c r="VTH341" s="173"/>
      <c r="VTI341" s="173"/>
      <c r="VTJ341" s="173"/>
      <c r="VTK341" s="173"/>
      <c r="VTL341" s="125"/>
      <c r="VTM341" s="125"/>
      <c r="VTN341" s="134"/>
      <c r="VTO341" s="135"/>
      <c r="VTP341" s="135"/>
      <c r="VTQ341" s="135"/>
      <c r="VTR341" s="135"/>
      <c r="VTS341" s="173"/>
      <c r="VTT341" s="173"/>
      <c r="VTU341" s="173"/>
      <c r="VTV341" s="173"/>
      <c r="VTW341" s="173"/>
      <c r="VTX341" s="173"/>
      <c r="VTY341" s="173"/>
      <c r="VTZ341" s="173"/>
      <c r="VUA341" s="173"/>
      <c r="VUB341" s="173"/>
      <c r="VUC341" s="125"/>
      <c r="VUD341" s="125"/>
      <c r="VUE341" s="134"/>
      <c r="VUF341" s="135"/>
      <c r="VUG341" s="135"/>
      <c r="VUH341" s="135"/>
      <c r="VUI341" s="135"/>
      <c r="VUJ341" s="173"/>
      <c r="VUK341" s="173"/>
      <c r="VUL341" s="173"/>
      <c r="VUM341" s="173"/>
      <c r="VUN341" s="173"/>
      <c r="VUO341" s="173"/>
      <c r="VUP341" s="173"/>
      <c r="VUQ341" s="173"/>
      <c r="VUR341" s="173"/>
      <c r="VUS341" s="173"/>
      <c r="VUT341" s="125"/>
      <c r="VUU341" s="125"/>
      <c r="VUV341" s="134"/>
      <c r="VUW341" s="135"/>
      <c r="VUX341" s="135"/>
      <c r="VUY341" s="135"/>
      <c r="VUZ341" s="135"/>
      <c r="VVA341" s="173"/>
      <c r="VVB341" s="173"/>
      <c r="VVC341" s="173"/>
      <c r="VVD341" s="173"/>
      <c r="VVE341" s="173"/>
      <c r="VVF341" s="173"/>
      <c r="VVG341" s="173"/>
      <c r="VVH341" s="173"/>
      <c r="VVI341" s="173"/>
      <c r="VVJ341" s="173"/>
      <c r="VVK341" s="125"/>
      <c r="VVL341" s="125"/>
      <c r="VVM341" s="134"/>
      <c r="VVN341" s="135"/>
      <c r="VVO341" s="135"/>
      <c r="VVP341" s="135"/>
      <c r="VVQ341" s="135"/>
      <c r="VVR341" s="173"/>
      <c r="VVS341" s="173"/>
      <c r="VVT341" s="173"/>
      <c r="VVU341" s="173"/>
      <c r="VVV341" s="173"/>
      <c r="VVW341" s="173"/>
      <c r="VVX341" s="173"/>
      <c r="VVY341" s="173"/>
      <c r="VVZ341" s="173"/>
      <c r="VWA341" s="173"/>
      <c r="VWB341" s="125"/>
      <c r="VWC341" s="125"/>
      <c r="VWD341" s="134"/>
      <c r="VWE341" s="135"/>
      <c r="VWF341" s="135"/>
      <c r="VWG341" s="135"/>
      <c r="VWH341" s="135"/>
      <c r="VWI341" s="173"/>
      <c r="VWJ341" s="173"/>
      <c r="VWK341" s="173"/>
      <c r="VWL341" s="173"/>
      <c r="VWM341" s="173"/>
      <c r="VWN341" s="173"/>
      <c r="VWO341" s="173"/>
      <c r="VWP341" s="173"/>
      <c r="VWQ341" s="173"/>
      <c r="VWR341" s="173"/>
      <c r="VWS341" s="125"/>
      <c r="VWT341" s="125"/>
      <c r="VWU341" s="134"/>
      <c r="VWV341" s="135"/>
      <c r="VWW341" s="135"/>
      <c r="VWX341" s="135"/>
      <c r="VWY341" s="135"/>
      <c r="VWZ341" s="173"/>
      <c r="VXA341" s="173"/>
      <c r="VXB341" s="173"/>
      <c r="VXC341" s="173"/>
      <c r="VXD341" s="173"/>
      <c r="VXE341" s="173"/>
      <c r="VXF341" s="173"/>
      <c r="VXG341" s="173"/>
      <c r="VXH341" s="173"/>
      <c r="VXI341" s="173"/>
      <c r="VXJ341" s="125"/>
      <c r="VXK341" s="125"/>
      <c r="VXL341" s="134"/>
      <c r="VXM341" s="135"/>
      <c r="VXN341" s="135"/>
      <c r="VXO341" s="135"/>
      <c r="VXP341" s="135"/>
      <c r="VXQ341" s="173"/>
      <c r="VXR341" s="173"/>
      <c r="VXS341" s="173"/>
      <c r="VXT341" s="173"/>
      <c r="VXU341" s="173"/>
      <c r="VXV341" s="173"/>
      <c r="VXW341" s="173"/>
      <c r="VXX341" s="173"/>
      <c r="VXY341" s="173"/>
      <c r="VXZ341" s="173"/>
      <c r="VYA341" s="125"/>
      <c r="VYB341" s="125"/>
      <c r="VYC341" s="134"/>
      <c r="VYD341" s="135"/>
      <c r="VYE341" s="135"/>
      <c r="VYF341" s="135"/>
      <c r="VYG341" s="135"/>
      <c r="VYH341" s="173"/>
      <c r="VYI341" s="173"/>
      <c r="VYJ341" s="173"/>
      <c r="VYK341" s="173"/>
      <c r="VYL341" s="173"/>
      <c r="VYM341" s="173"/>
      <c r="VYN341" s="173"/>
      <c r="VYO341" s="173"/>
      <c r="VYP341" s="173"/>
      <c r="VYQ341" s="173"/>
      <c r="VYR341" s="125"/>
      <c r="VYS341" s="125"/>
      <c r="VYT341" s="134"/>
      <c r="VYU341" s="135"/>
      <c r="VYV341" s="135"/>
      <c r="VYW341" s="135"/>
      <c r="VYX341" s="135"/>
      <c r="VYY341" s="173"/>
      <c r="VYZ341" s="173"/>
      <c r="VZA341" s="173"/>
      <c r="VZB341" s="173"/>
      <c r="VZC341" s="173"/>
      <c r="VZD341" s="173"/>
      <c r="VZE341" s="173"/>
      <c r="VZF341" s="173"/>
      <c r="VZG341" s="173"/>
      <c r="VZH341" s="173"/>
      <c r="VZI341" s="125"/>
      <c r="VZJ341" s="125"/>
      <c r="VZK341" s="134"/>
      <c r="VZL341" s="135"/>
      <c r="VZM341" s="135"/>
      <c r="VZN341" s="135"/>
      <c r="VZO341" s="135"/>
      <c r="VZP341" s="173"/>
      <c r="VZQ341" s="173"/>
      <c r="VZR341" s="173"/>
      <c r="VZS341" s="173"/>
      <c r="VZT341" s="173"/>
      <c r="VZU341" s="173"/>
      <c r="VZV341" s="173"/>
      <c r="VZW341" s="173"/>
      <c r="VZX341" s="173"/>
      <c r="VZY341" s="173"/>
      <c r="VZZ341" s="125"/>
      <c r="WAA341" s="125"/>
      <c r="WAB341" s="134"/>
      <c r="WAC341" s="135"/>
      <c r="WAD341" s="135"/>
      <c r="WAE341" s="135"/>
      <c r="WAF341" s="135"/>
      <c r="WAG341" s="173"/>
      <c r="WAH341" s="173"/>
      <c r="WAI341" s="173"/>
      <c r="WAJ341" s="173"/>
      <c r="WAK341" s="173"/>
      <c r="WAL341" s="173"/>
      <c r="WAM341" s="173"/>
      <c r="WAN341" s="173"/>
      <c r="WAO341" s="173"/>
      <c r="WAP341" s="173"/>
      <c r="WAQ341" s="125"/>
      <c r="WAR341" s="125"/>
      <c r="WAS341" s="134"/>
      <c r="WAT341" s="135"/>
      <c r="WAU341" s="135"/>
      <c r="WAV341" s="135"/>
      <c r="WAW341" s="135"/>
      <c r="WAX341" s="173"/>
      <c r="WAY341" s="173"/>
      <c r="WAZ341" s="173"/>
      <c r="WBA341" s="173"/>
      <c r="WBB341" s="173"/>
      <c r="WBC341" s="173"/>
      <c r="WBD341" s="173"/>
      <c r="WBE341" s="173"/>
      <c r="WBF341" s="173"/>
      <c r="WBG341" s="173"/>
      <c r="WBH341" s="125"/>
      <c r="WBI341" s="125"/>
      <c r="WBJ341" s="134"/>
      <c r="WBK341" s="135"/>
      <c r="WBL341" s="135"/>
      <c r="WBM341" s="135"/>
      <c r="WBN341" s="135"/>
      <c r="WBO341" s="173"/>
      <c r="WBP341" s="173"/>
      <c r="WBQ341" s="173"/>
      <c r="WBR341" s="173"/>
      <c r="WBS341" s="173"/>
      <c r="WBT341" s="173"/>
      <c r="WBU341" s="173"/>
      <c r="WBV341" s="173"/>
      <c r="WBW341" s="173"/>
      <c r="WBX341" s="173"/>
      <c r="WBY341" s="125"/>
      <c r="WBZ341" s="125"/>
      <c r="WCA341" s="134"/>
      <c r="WCB341" s="135"/>
      <c r="WCC341" s="135"/>
      <c r="WCD341" s="135"/>
      <c r="WCE341" s="135"/>
      <c r="WCF341" s="173"/>
      <c r="WCG341" s="173"/>
      <c r="WCH341" s="173"/>
      <c r="WCI341" s="173"/>
      <c r="WCJ341" s="173"/>
      <c r="WCK341" s="173"/>
      <c r="WCL341" s="173"/>
      <c r="WCM341" s="173"/>
      <c r="WCN341" s="173"/>
      <c r="WCO341" s="173"/>
      <c r="WCP341" s="125"/>
      <c r="WCQ341" s="125"/>
      <c r="WCR341" s="134"/>
      <c r="WCS341" s="135"/>
      <c r="WCT341" s="135"/>
      <c r="WCU341" s="135"/>
      <c r="WCV341" s="135"/>
      <c r="WCW341" s="173"/>
      <c r="WCX341" s="173"/>
      <c r="WCY341" s="173"/>
      <c r="WCZ341" s="173"/>
      <c r="WDA341" s="173"/>
      <c r="WDB341" s="173"/>
      <c r="WDC341" s="173"/>
      <c r="WDD341" s="173"/>
      <c r="WDE341" s="173"/>
      <c r="WDF341" s="173"/>
      <c r="WDG341" s="125"/>
      <c r="WDH341" s="125"/>
      <c r="WDI341" s="134"/>
      <c r="WDJ341" s="135"/>
      <c r="WDK341" s="135"/>
      <c r="WDL341" s="135"/>
      <c r="WDM341" s="135"/>
      <c r="WDN341" s="173"/>
      <c r="WDO341" s="173"/>
      <c r="WDP341" s="173"/>
      <c r="WDQ341" s="173"/>
      <c r="WDR341" s="173"/>
      <c r="WDS341" s="173"/>
      <c r="WDT341" s="173"/>
      <c r="WDU341" s="173"/>
      <c r="WDV341" s="173"/>
      <c r="WDW341" s="173"/>
      <c r="WDX341" s="125"/>
      <c r="WDY341" s="125"/>
      <c r="WDZ341" s="134"/>
      <c r="WEA341" s="135"/>
      <c r="WEB341" s="135"/>
      <c r="WEC341" s="135"/>
      <c r="WED341" s="135"/>
      <c r="WEE341" s="173"/>
      <c r="WEF341" s="173"/>
      <c r="WEG341" s="173"/>
      <c r="WEH341" s="173"/>
      <c r="WEI341" s="173"/>
      <c r="WEJ341" s="173"/>
      <c r="WEK341" s="173"/>
      <c r="WEL341" s="173"/>
      <c r="WEM341" s="173"/>
      <c r="WEN341" s="173"/>
      <c r="WEO341" s="125"/>
      <c r="WEP341" s="125"/>
      <c r="WEQ341" s="134"/>
      <c r="WER341" s="135"/>
      <c r="WES341" s="135"/>
      <c r="WET341" s="135"/>
      <c r="WEU341" s="135"/>
      <c r="WEV341" s="173"/>
      <c r="WEW341" s="173"/>
      <c r="WEX341" s="173"/>
      <c r="WEY341" s="173"/>
      <c r="WEZ341" s="173"/>
      <c r="WFA341" s="173"/>
      <c r="WFB341" s="173"/>
      <c r="WFC341" s="173"/>
      <c r="WFD341" s="173"/>
      <c r="WFE341" s="173"/>
      <c r="WFF341" s="125"/>
      <c r="WFG341" s="125"/>
      <c r="WFH341" s="134"/>
      <c r="WFI341" s="135"/>
      <c r="WFJ341" s="135"/>
      <c r="WFK341" s="135"/>
      <c r="WFL341" s="135"/>
      <c r="WFM341" s="173"/>
      <c r="WFN341" s="173"/>
      <c r="WFO341" s="173"/>
      <c r="WFP341" s="173"/>
      <c r="WFQ341" s="173"/>
      <c r="WFR341" s="173"/>
      <c r="WFS341" s="173"/>
      <c r="WFT341" s="173"/>
      <c r="WFU341" s="173"/>
      <c r="WFV341" s="173"/>
      <c r="WFW341" s="125"/>
      <c r="WFX341" s="125"/>
      <c r="WFY341" s="134"/>
      <c r="WFZ341" s="135"/>
      <c r="WGA341" s="135"/>
      <c r="WGB341" s="135"/>
      <c r="WGC341" s="135"/>
      <c r="WGD341" s="173"/>
      <c r="WGE341" s="173"/>
      <c r="WGF341" s="173"/>
      <c r="WGG341" s="173"/>
      <c r="WGH341" s="173"/>
      <c r="WGI341" s="173"/>
      <c r="WGJ341" s="173"/>
      <c r="WGK341" s="173"/>
      <c r="WGL341" s="173"/>
      <c r="WGM341" s="173"/>
      <c r="WGN341" s="125"/>
      <c r="WGO341" s="125"/>
      <c r="WGP341" s="134"/>
      <c r="WGQ341" s="135"/>
      <c r="WGR341" s="135"/>
      <c r="WGS341" s="135"/>
      <c r="WGT341" s="135"/>
      <c r="WGU341" s="173"/>
      <c r="WGV341" s="173"/>
      <c r="WGW341" s="173"/>
      <c r="WGX341" s="173"/>
      <c r="WGY341" s="173"/>
      <c r="WGZ341" s="173"/>
      <c r="WHA341" s="173"/>
      <c r="WHB341" s="173"/>
      <c r="WHC341" s="173"/>
      <c r="WHD341" s="173"/>
      <c r="WHE341" s="125"/>
      <c r="WHF341" s="125"/>
      <c r="WHG341" s="134"/>
      <c r="WHH341" s="135"/>
      <c r="WHI341" s="135"/>
      <c r="WHJ341" s="135"/>
      <c r="WHK341" s="135"/>
      <c r="WHL341" s="173"/>
      <c r="WHM341" s="173"/>
      <c r="WHN341" s="173"/>
      <c r="WHO341" s="173"/>
      <c r="WHP341" s="173"/>
      <c r="WHQ341" s="173"/>
      <c r="WHR341" s="173"/>
      <c r="WHS341" s="173"/>
      <c r="WHT341" s="173"/>
      <c r="WHU341" s="173"/>
      <c r="WHV341" s="125"/>
      <c r="WHW341" s="125"/>
      <c r="WHX341" s="134"/>
      <c r="WHY341" s="135"/>
      <c r="WHZ341" s="135"/>
      <c r="WIA341" s="135"/>
      <c r="WIB341" s="135"/>
      <c r="WIC341" s="173"/>
      <c r="WID341" s="173"/>
      <c r="WIE341" s="173"/>
      <c r="WIF341" s="173"/>
      <c r="WIG341" s="173"/>
      <c r="WIH341" s="173"/>
      <c r="WII341" s="173"/>
      <c r="WIJ341" s="173"/>
      <c r="WIK341" s="173"/>
      <c r="WIL341" s="173"/>
      <c r="WIM341" s="125"/>
      <c r="WIN341" s="125"/>
      <c r="WIO341" s="134"/>
      <c r="WIP341" s="135"/>
      <c r="WIQ341" s="135"/>
      <c r="WIR341" s="135"/>
      <c r="WIS341" s="135"/>
      <c r="WIT341" s="173"/>
      <c r="WIU341" s="173"/>
      <c r="WIV341" s="173"/>
      <c r="WIW341" s="173"/>
      <c r="WIX341" s="173"/>
      <c r="WIY341" s="173"/>
      <c r="WIZ341" s="173"/>
      <c r="WJA341" s="173"/>
      <c r="WJB341" s="173"/>
      <c r="WJC341" s="173"/>
      <c r="WJD341" s="125"/>
      <c r="WJE341" s="125"/>
      <c r="WJF341" s="134"/>
      <c r="WJG341" s="135"/>
      <c r="WJH341" s="135"/>
      <c r="WJI341" s="135"/>
      <c r="WJJ341" s="135"/>
      <c r="WJK341" s="173"/>
      <c r="WJL341" s="173"/>
      <c r="WJM341" s="173"/>
      <c r="WJN341" s="173"/>
      <c r="WJO341" s="173"/>
      <c r="WJP341" s="173"/>
      <c r="WJQ341" s="173"/>
      <c r="WJR341" s="173"/>
      <c r="WJS341" s="173"/>
      <c r="WJT341" s="173"/>
      <c r="WJU341" s="125"/>
      <c r="WJV341" s="125"/>
      <c r="WJW341" s="134"/>
      <c r="WJX341" s="135"/>
      <c r="WJY341" s="135"/>
      <c r="WJZ341" s="135"/>
      <c r="WKA341" s="135"/>
      <c r="WKB341" s="173"/>
      <c r="WKC341" s="173"/>
      <c r="WKD341" s="173"/>
      <c r="WKE341" s="173"/>
      <c r="WKF341" s="173"/>
      <c r="WKG341" s="173"/>
      <c r="WKH341" s="173"/>
      <c r="WKI341" s="173"/>
      <c r="WKJ341" s="173"/>
      <c r="WKK341" s="173"/>
      <c r="WKL341" s="125"/>
      <c r="WKM341" s="125"/>
      <c r="WKN341" s="134"/>
      <c r="WKO341" s="135"/>
      <c r="WKP341" s="135"/>
      <c r="WKQ341" s="135"/>
      <c r="WKR341" s="135"/>
      <c r="WKS341" s="173"/>
      <c r="WKT341" s="173"/>
      <c r="WKU341" s="173"/>
      <c r="WKV341" s="173"/>
      <c r="WKW341" s="173"/>
      <c r="WKX341" s="173"/>
      <c r="WKY341" s="173"/>
      <c r="WKZ341" s="173"/>
      <c r="WLA341" s="173"/>
      <c r="WLB341" s="173"/>
      <c r="WLC341" s="125"/>
      <c r="WLD341" s="125"/>
      <c r="WLE341" s="134"/>
      <c r="WLF341" s="135"/>
      <c r="WLG341" s="135"/>
      <c r="WLH341" s="135"/>
      <c r="WLI341" s="135"/>
      <c r="WLJ341" s="173"/>
      <c r="WLK341" s="173"/>
      <c r="WLL341" s="173"/>
      <c r="WLM341" s="173"/>
      <c r="WLN341" s="173"/>
      <c r="WLO341" s="173"/>
      <c r="WLP341" s="173"/>
      <c r="WLQ341" s="173"/>
      <c r="WLR341" s="173"/>
      <c r="WLS341" s="173"/>
      <c r="WLT341" s="125"/>
      <c r="WLU341" s="125"/>
      <c r="WLV341" s="134"/>
      <c r="WLW341" s="135"/>
      <c r="WLX341" s="135"/>
      <c r="WLY341" s="135"/>
      <c r="WLZ341" s="135"/>
      <c r="WMA341" s="173"/>
      <c r="WMB341" s="173"/>
      <c r="WMC341" s="173"/>
      <c r="WMD341" s="173"/>
      <c r="WME341" s="173"/>
      <c r="WMF341" s="173"/>
      <c r="WMG341" s="173"/>
      <c r="WMH341" s="173"/>
      <c r="WMI341" s="173"/>
      <c r="WMJ341" s="173"/>
      <c r="WMK341" s="125"/>
      <c r="WML341" s="125"/>
      <c r="WMM341" s="134"/>
      <c r="WMN341" s="135"/>
      <c r="WMO341" s="135"/>
      <c r="WMP341" s="135"/>
      <c r="WMQ341" s="135"/>
      <c r="WMR341" s="173"/>
      <c r="WMS341" s="173"/>
      <c r="WMT341" s="173"/>
      <c r="WMU341" s="173"/>
      <c r="WMV341" s="173"/>
      <c r="WMW341" s="173"/>
      <c r="WMX341" s="173"/>
      <c r="WMY341" s="173"/>
      <c r="WMZ341" s="173"/>
      <c r="WNA341" s="173"/>
      <c r="WNB341" s="125"/>
      <c r="WNC341" s="125"/>
      <c r="WND341" s="134"/>
      <c r="WNE341" s="135"/>
      <c r="WNF341" s="135"/>
      <c r="WNG341" s="135"/>
      <c r="WNH341" s="135"/>
      <c r="WNI341" s="173"/>
      <c r="WNJ341" s="173"/>
      <c r="WNK341" s="173"/>
      <c r="WNL341" s="173"/>
      <c r="WNM341" s="173"/>
      <c r="WNN341" s="173"/>
      <c r="WNO341" s="173"/>
      <c r="WNP341" s="173"/>
      <c r="WNQ341" s="173"/>
      <c r="WNR341" s="173"/>
      <c r="WNS341" s="125"/>
      <c r="WNT341" s="125"/>
      <c r="WNU341" s="134"/>
      <c r="WNV341" s="135"/>
      <c r="WNW341" s="135"/>
      <c r="WNX341" s="135"/>
      <c r="WNY341" s="135"/>
      <c r="WNZ341" s="173"/>
      <c r="WOA341" s="173"/>
      <c r="WOB341" s="173"/>
      <c r="WOC341" s="173"/>
      <c r="WOD341" s="173"/>
      <c r="WOE341" s="173"/>
      <c r="WOF341" s="173"/>
      <c r="WOG341" s="173"/>
      <c r="WOH341" s="173"/>
      <c r="WOI341" s="173"/>
      <c r="WOJ341" s="125"/>
      <c r="WOK341" s="125"/>
      <c r="WOL341" s="134"/>
      <c r="WOM341" s="135"/>
      <c r="WON341" s="135"/>
      <c r="WOO341" s="135"/>
      <c r="WOP341" s="135"/>
      <c r="WOQ341" s="173"/>
      <c r="WOR341" s="173"/>
      <c r="WOS341" s="173"/>
      <c r="WOT341" s="173"/>
      <c r="WOU341" s="173"/>
      <c r="WOV341" s="173"/>
      <c r="WOW341" s="173"/>
      <c r="WOX341" s="173"/>
      <c r="WOY341" s="173"/>
      <c r="WOZ341" s="173"/>
      <c r="WPA341" s="125"/>
      <c r="WPB341" s="125"/>
      <c r="WPC341" s="134"/>
      <c r="WPD341" s="135"/>
      <c r="WPE341" s="135"/>
      <c r="WPF341" s="135"/>
      <c r="WPG341" s="135"/>
      <c r="WPH341" s="173"/>
      <c r="WPI341" s="173"/>
      <c r="WPJ341" s="173"/>
      <c r="WPK341" s="173"/>
      <c r="WPL341" s="173"/>
      <c r="WPM341" s="173"/>
      <c r="WPN341" s="173"/>
      <c r="WPO341" s="173"/>
      <c r="WPP341" s="173"/>
      <c r="WPQ341" s="173"/>
      <c r="WPR341" s="125"/>
      <c r="WPS341" s="125"/>
      <c r="WPT341" s="134"/>
      <c r="WPU341" s="135"/>
      <c r="WPV341" s="135"/>
      <c r="WPW341" s="135"/>
      <c r="WPX341" s="135"/>
      <c r="WPY341" s="173"/>
      <c r="WPZ341" s="173"/>
      <c r="WQA341" s="173"/>
      <c r="WQB341" s="173"/>
      <c r="WQC341" s="173"/>
      <c r="WQD341" s="173"/>
      <c r="WQE341" s="173"/>
      <c r="WQF341" s="173"/>
      <c r="WQG341" s="173"/>
      <c r="WQH341" s="173"/>
      <c r="WQI341" s="125"/>
      <c r="WQJ341" s="125"/>
      <c r="WQK341" s="134"/>
      <c r="WQL341" s="135"/>
      <c r="WQM341" s="135"/>
      <c r="WQN341" s="135"/>
      <c r="WQO341" s="135"/>
      <c r="WQP341" s="173"/>
      <c r="WQQ341" s="173"/>
      <c r="WQR341" s="173"/>
      <c r="WQS341" s="173"/>
      <c r="WQT341" s="173"/>
      <c r="WQU341" s="173"/>
      <c r="WQV341" s="173"/>
      <c r="WQW341" s="173"/>
      <c r="WQX341" s="173"/>
      <c r="WQY341" s="173"/>
      <c r="WQZ341" s="125"/>
      <c r="WRA341" s="125"/>
      <c r="WRB341" s="134"/>
      <c r="WRC341" s="135"/>
      <c r="WRD341" s="135"/>
      <c r="WRE341" s="135"/>
      <c r="WRF341" s="135"/>
      <c r="WRG341" s="173"/>
      <c r="WRH341" s="173"/>
      <c r="WRI341" s="173"/>
      <c r="WRJ341" s="173"/>
      <c r="WRK341" s="173"/>
      <c r="WRL341" s="173"/>
      <c r="WRM341" s="173"/>
      <c r="WRN341" s="173"/>
      <c r="WRO341" s="173"/>
      <c r="WRP341" s="173"/>
      <c r="WRQ341" s="125"/>
      <c r="WRR341" s="125"/>
      <c r="WRS341" s="134"/>
      <c r="WRT341" s="135"/>
      <c r="WRU341" s="135"/>
      <c r="WRV341" s="135"/>
      <c r="WRW341" s="135"/>
      <c r="WRX341" s="173"/>
      <c r="WRY341" s="173"/>
      <c r="WRZ341" s="173"/>
      <c r="WSA341" s="173"/>
      <c r="WSB341" s="173"/>
      <c r="WSC341" s="173"/>
      <c r="WSD341" s="173"/>
      <c r="WSE341" s="173"/>
      <c r="WSF341" s="173"/>
      <c r="WSG341" s="173"/>
      <c r="WSH341" s="125"/>
      <c r="WSI341" s="125"/>
      <c r="WSJ341" s="134"/>
      <c r="WSK341" s="135"/>
      <c r="WSL341" s="135"/>
      <c r="WSM341" s="135"/>
      <c r="WSN341" s="135"/>
      <c r="WSO341" s="173"/>
      <c r="WSP341" s="173"/>
      <c r="WSQ341" s="173"/>
      <c r="WSR341" s="173"/>
      <c r="WSS341" s="173"/>
      <c r="WST341" s="173"/>
      <c r="WSU341" s="173"/>
      <c r="WSV341" s="173"/>
      <c r="WSW341" s="173"/>
      <c r="WSX341" s="173"/>
      <c r="WSY341" s="125"/>
      <c r="WSZ341" s="125"/>
      <c r="WTA341" s="134"/>
      <c r="WTB341" s="135"/>
      <c r="WTC341" s="135"/>
      <c r="WTD341" s="135"/>
      <c r="WTE341" s="135"/>
      <c r="WTF341" s="173"/>
      <c r="WTG341" s="173"/>
      <c r="WTH341" s="173"/>
      <c r="WTI341" s="173"/>
      <c r="WTJ341" s="173"/>
      <c r="WTK341" s="173"/>
      <c r="WTL341" s="173"/>
      <c r="WTM341" s="173"/>
      <c r="WTN341" s="173"/>
      <c r="WTO341" s="173"/>
      <c r="WTP341" s="125"/>
      <c r="WTQ341" s="125"/>
      <c r="WTR341" s="134"/>
      <c r="WTS341" s="135"/>
      <c r="WTT341" s="135"/>
      <c r="WTU341" s="135"/>
      <c r="WTV341" s="135"/>
      <c r="WTW341" s="173"/>
      <c r="WTX341" s="173"/>
      <c r="WTY341" s="173"/>
      <c r="WTZ341" s="173"/>
      <c r="WUA341" s="173"/>
      <c r="WUB341" s="173"/>
      <c r="WUC341" s="173"/>
      <c r="WUD341" s="173"/>
      <c r="WUE341" s="173"/>
      <c r="WUF341" s="173"/>
      <c r="WUG341" s="125"/>
      <c r="WUH341" s="125"/>
      <c r="WUI341" s="134"/>
      <c r="WUJ341" s="135"/>
      <c r="WUK341" s="135"/>
      <c r="WUL341" s="135"/>
      <c r="WUM341" s="135"/>
      <c r="WUN341" s="173"/>
      <c r="WUO341" s="173"/>
      <c r="WUP341" s="173"/>
      <c r="WUQ341" s="173"/>
      <c r="WUR341" s="173"/>
      <c r="WUS341" s="173"/>
      <c r="WUT341" s="173"/>
      <c r="WUU341" s="173"/>
      <c r="WUV341" s="173"/>
      <c r="WUW341" s="173"/>
      <c r="WUX341" s="125"/>
      <c r="WUY341" s="125"/>
      <c r="WUZ341" s="134"/>
      <c r="WVA341" s="135"/>
      <c r="WVB341" s="135"/>
      <c r="WVC341" s="135"/>
      <c r="WVD341" s="135"/>
      <c r="WVE341" s="173"/>
      <c r="WVF341" s="173"/>
      <c r="WVG341" s="173"/>
      <c r="WVH341" s="173"/>
      <c r="WVI341" s="173"/>
      <c r="WVJ341" s="173"/>
      <c r="WVK341" s="173"/>
      <c r="WVL341" s="173"/>
      <c r="WVM341" s="173"/>
      <c r="WVN341" s="173"/>
      <c r="WVO341" s="125"/>
      <c r="WVP341" s="125"/>
      <c r="WVQ341" s="134"/>
      <c r="WVR341" s="135"/>
      <c r="WVS341" s="135"/>
      <c r="WVT341" s="135"/>
      <c r="WVU341" s="135"/>
      <c r="WVV341" s="173"/>
      <c r="WVW341" s="173"/>
      <c r="WVX341" s="173"/>
      <c r="WVY341" s="173"/>
      <c r="WVZ341" s="173"/>
      <c r="WWA341" s="173"/>
      <c r="WWB341" s="173"/>
      <c r="WWC341" s="173"/>
      <c r="WWD341" s="173"/>
      <c r="WWE341" s="173"/>
      <c r="WWF341" s="125"/>
      <c r="WWG341" s="125"/>
      <c r="WWH341" s="134"/>
      <c r="WWI341" s="135"/>
      <c r="WWJ341" s="135"/>
      <c r="WWK341" s="135"/>
      <c r="WWL341" s="135"/>
      <c r="WWM341" s="173"/>
      <c r="WWN341" s="173"/>
      <c r="WWO341" s="173"/>
      <c r="WWP341" s="173"/>
      <c r="WWQ341" s="173"/>
      <c r="WWR341" s="173"/>
      <c r="WWS341" s="173"/>
      <c r="WWT341" s="173"/>
      <c r="WWU341" s="173"/>
      <c r="WWV341" s="173"/>
      <c r="WWW341" s="125"/>
      <c r="WWX341" s="125"/>
      <c r="WWY341" s="134"/>
      <c r="WWZ341" s="135"/>
      <c r="WXA341" s="135"/>
      <c r="WXB341" s="135"/>
      <c r="WXC341" s="135"/>
      <c r="WXD341" s="173"/>
      <c r="WXE341" s="173"/>
      <c r="WXF341" s="173"/>
      <c r="WXG341" s="173"/>
      <c r="WXH341" s="173"/>
      <c r="WXI341" s="173"/>
      <c r="WXJ341" s="173"/>
      <c r="WXK341" s="173"/>
      <c r="WXL341" s="173"/>
      <c r="WXM341" s="173"/>
      <c r="WXN341" s="125"/>
      <c r="WXO341" s="125"/>
      <c r="WXP341" s="134"/>
      <c r="WXQ341" s="135"/>
      <c r="WXR341" s="135"/>
      <c r="WXS341" s="135"/>
      <c r="WXT341" s="135"/>
      <c r="WXU341" s="173"/>
      <c r="WXV341" s="173"/>
      <c r="WXW341" s="173"/>
      <c r="WXX341" s="173"/>
      <c r="WXY341" s="173"/>
      <c r="WXZ341" s="173"/>
      <c r="WYA341" s="173"/>
      <c r="WYB341" s="173"/>
      <c r="WYC341" s="173"/>
      <c r="WYD341" s="173"/>
      <c r="WYE341" s="125"/>
      <c r="WYF341" s="125"/>
      <c r="WYG341" s="134"/>
      <c r="WYH341" s="135"/>
      <c r="WYI341" s="135"/>
      <c r="WYJ341" s="135"/>
      <c r="WYK341" s="135"/>
      <c r="WYL341" s="173"/>
      <c r="WYM341" s="173"/>
      <c r="WYN341" s="173"/>
      <c r="WYO341" s="173"/>
      <c r="WYP341" s="173"/>
      <c r="WYQ341" s="173"/>
      <c r="WYR341" s="173"/>
      <c r="WYS341" s="173"/>
      <c r="WYT341" s="173"/>
      <c r="WYU341" s="173"/>
      <c r="WYV341" s="125"/>
      <c r="WYW341" s="125"/>
      <c r="WYX341" s="134"/>
      <c r="WYY341" s="135"/>
      <c r="WYZ341" s="135"/>
      <c r="WZA341" s="135"/>
      <c r="WZB341" s="135"/>
      <c r="WZC341" s="173"/>
      <c r="WZD341" s="173"/>
      <c r="WZE341" s="173"/>
      <c r="WZF341" s="173"/>
      <c r="WZG341" s="173"/>
      <c r="WZH341" s="173"/>
      <c r="WZI341" s="173"/>
      <c r="WZJ341" s="173"/>
      <c r="WZK341" s="173"/>
      <c r="WZL341" s="173"/>
      <c r="WZM341" s="125"/>
      <c r="WZN341" s="125"/>
      <c r="WZO341" s="134"/>
      <c r="WZP341" s="135"/>
      <c r="WZQ341" s="135"/>
      <c r="WZR341" s="135"/>
      <c r="WZS341" s="135"/>
      <c r="WZT341" s="173"/>
      <c r="WZU341" s="173"/>
      <c r="WZV341" s="173"/>
      <c r="WZW341" s="173"/>
      <c r="WZX341" s="173"/>
      <c r="WZY341" s="173"/>
      <c r="WZZ341" s="173"/>
      <c r="XAA341" s="173"/>
      <c r="XAB341" s="173"/>
      <c r="XAC341" s="173"/>
      <c r="XAD341" s="125"/>
      <c r="XAE341" s="125"/>
      <c r="XAF341" s="134"/>
      <c r="XAG341" s="135"/>
      <c r="XAH341" s="135"/>
      <c r="XAI341" s="135"/>
      <c r="XAJ341" s="135"/>
      <c r="XAK341" s="173"/>
      <c r="XAL341" s="173"/>
      <c r="XAM341" s="173"/>
      <c r="XAN341" s="173"/>
      <c r="XAO341" s="173"/>
      <c r="XAP341" s="173"/>
      <c r="XAQ341" s="173"/>
      <c r="XAR341" s="173"/>
      <c r="XAS341" s="173"/>
      <c r="XAT341" s="173"/>
      <c r="XAU341" s="125"/>
      <c r="XAV341" s="125"/>
      <c r="XAW341" s="134"/>
      <c r="XAX341" s="135"/>
      <c r="XAY341" s="135"/>
      <c r="XAZ341" s="135"/>
      <c r="XBA341" s="135"/>
      <c r="XBB341" s="173"/>
      <c r="XBC341" s="173"/>
      <c r="XBD341" s="173"/>
      <c r="XBE341" s="173"/>
      <c r="XBF341" s="173"/>
      <c r="XBG341" s="173"/>
      <c r="XBH341" s="173"/>
      <c r="XBI341" s="173"/>
      <c r="XBJ341" s="173"/>
      <c r="XBK341" s="173"/>
      <c r="XBL341" s="125"/>
      <c r="XBM341" s="125"/>
      <c r="XBN341" s="134"/>
      <c r="XBO341" s="135"/>
      <c r="XBP341" s="135"/>
      <c r="XBQ341" s="135"/>
      <c r="XBR341" s="135"/>
      <c r="XBS341" s="173"/>
      <c r="XBT341" s="173"/>
      <c r="XBU341" s="173"/>
      <c r="XBV341" s="173"/>
      <c r="XBW341" s="173"/>
      <c r="XBX341" s="173"/>
      <c r="XBY341" s="173"/>
      <c r="XBZ341" s="173"/>
      <c r="XCA341" s="173"/>
      <c r="XCB341" s="173"/>
      <c r="XCC341" s="125"/>
      <c r="XCD341" s="125"/>
      <c r="XCE341" s="134"/>
      <c r="XCF341" s="135"/>
      <c r="XCG341" s="135"/>
      <c r="XCH341" s="135"/>
      <c r="XCI341" s="135"/>
      <c r="XCJ341" s="173"/>
      <c r="XCK341" s="173"/>
      <c r="XCL341" s="173"/>
      <c r="XCM341" s="173"/>
      <c r="XCN341" s="173"/>
      <c r="XCO341" s="173"/>
      <c r="XCP341" s="173"/>
      <c r="XCQ341" s="173"/>
      <c r="XCR341" s="173"/>
      <c r="XCS341" s="173"/>
      <c r="XCT341" s="125"/>
      <c r="XCU341" s="125"/>
      <c r="XCV341" s="134"/>
      <c r="XCW341" s="135"/>
      <c r="XCX341" s="135"/>
      <c r="XCY341" s="135"/>
      <c r="XCZ341" s="135"/>
      <c r="XDA341" s="173"/>
      <c r="XDB341" s="173"/>
      <c r="XDC341" s="173"/>
      <c r="XDD341" s="173"/>
      <c r="XDE341" s="173"/>
      <c r="XDF341" s="173"/>
      <c r="XDG341" s="173"/>
      <c r="XDH341" s="173"/>
      <c r="XDI341" s="173"/>
      <c r="XDJ341" s="173"/>
      <c r="XDK341" s="125"/>
      <c r="XDL341" s="125"/>
      <c r="XDM341" s="134"/>
      <c r="XDN341" s="135"/>
      <c r="XDO341" s="135"/>
      <c r="XDP341" s="135"/>
      <c r="XDQ341" s="135"/>
      <c r="XDR341" s="173"/>
      <c r="XDS341" s="173"/>
      <c r="XDT341" s="173"/>
      <c r="XDU341" s="173"/>
      <c r="XDV341" s="173"/>
      <c r="XDW341" s="173"/>
      <c r="XDX341" s="173"/>
      <c r="XDY341" s="173"/>
      <c r="XDZ341" s="173"/>
      <c r="XEA341" s="173"/>
      <c r="XEB341" s="125"/>
      <c r="XEC341" s="125"/>
      <c r="XED341" s="134"/>
      <c r="XEE341" s="135"/>
      <c r="XEF341" s="135"/>
      <c r="XEG341" s="135"/>
      <c r="XEH341" s="135"/>
      <c r="XEI341" s="173"/>
      <c r="XEJ341" s="173"/>
      <c r="XEK341" s="173"/>
      <c r="XEL341" s="173"/>
      <c r="XEM341" s="173"/>
      <c r="XEN341" s="173"/>
      <c r="XEO341" s="173"/>
      <c r="XEP341" s="173"/>
      <c r="XEQ341" s="173"/>
      <c r="XER341" s="173"/>
      <c r="XES341" s="125"/>
      <c r="XET341" s="125"/>
      <c r="XEU341" s="134"/>
      <c r="XEV341" s="135"/>
      <c r="XEW341" s="135"/>
      <c r="XEX341" s="135"/>
      <c r="XEY341" s="135"/>
      <c r="XEZ341" s="173"/>
      <c r="XFA341" s="173"/>
      <c r="XFB341" s="173"/>
    </row>
    <row r="342" spans="1:16382" ht="11.25">
      <c r="C342" s="164" t="s">
        <v>184</v>
      </c>
      <c r="G342" s="164" t="s">
        <v>176</v>
      </c>
      <c r="J342" s="170">
        <f t="shared" ref="J342:R342" si="235">J341/I341-1</f>
        <v>-3.6782940418142784E-2</v>
      </c>
      <c r="K342" s="170">
        <f t="shared" si="235"/>
        <v>0.15027605907529851</v>
      </c>
      <c r="L342" s="170">
        <f t="shared" si="235"/>
        <v>0.11646125557079712</v>
      </c>
      <c r="M342" s="170">
        <f t="shared" si="235"/>
        <v>0.11654244532076152</v>
      </c>
      <c r="N342" s="170">
        <f t="shared" si="235"/>
        <v>-4.5676762145888228E-2</v>
      </c>
      <c r="O342" s="170">
        <f t="shared" si="235"/>
        <v>1.8537801640818197E-2</v>
      </c>
      <c r="P342" s="170">
        <f t="shared" si="235"/>
        <v>4.928441988785992E-2</v>
      </c>
      <c r="Q342" s="170">
        <f t="shared" si="235"/>
        <v>0.13913797893372326</v>
      </c>
      <c r="R342" s="170">
        <f t="shared" si="235"/>
        <v>0.12279773397156357</v>
      </c>
      <c r="Y342" s="207"/>
      <c r="Z342" s="207"/>
      <c r="AA342" s="207"/>
      <c r="AB342" s="207"/>
      <c r="AC342" s="207"/>
    </row>
    <row r="343" spans="1:16382" ht="11.25">
      <c r="A343" s="129" t="str">
        <f>'[7]Input sheet'!A138</f>
        <v>Turkey</v>
      </c>
      <c r="B343" s="129" t="str">
        <f>'[7]Input sheet'!B138</f>
        <v>Tourism Spend Factors</v>
      </c>
      <c r="C343" s="4" t="str">
        <f>'[7]Input sheet'!C138</f>
        <v>Total National Tourism Expenditure by Sector</v>
      </c>
      <c r="D343" s="2" t="str">
        <f>'[7]Input sheet'!D138</f>
        <v>Accommodation</v>
      </c>
      <c r="G343" s="1" t="str">
        <f>Home!$B$2&amp;" Million"</f>
        <v>Foriant Million</v>
      </c>
      <c r="H343" s="169">
        <f>H7+H39</f>
        <v>865225.98169284291</v>
      </c>
      <c r="I343" s="169">
        <f>I7+I39</f>
        <v>882267.81965464435</v>
      </c>
      <c r="J343" s="169">
        <f t="shared" ref="J343:M355" si="236">J7+J39</f>
        <v>840264.11876914115</v>
      </c>
      <c r="K343" s="169">
        <f t="shared" si="236"/>
        <v>968759.38720579864</v>
      </c>
      <c r="L343" s="169">
        <f t="shared" si="236"/>
        <v>1076831.269988806</v>
      </c>
      <c r="M343" s="169">
        <f t="shared" si="236"/>
        <v>1208055.9364827618</v>
      </c>
      <c r="N343" s="169">
        <f>N7+N39</f>
        <v>1143093.7528554332</v>
      </c>
      <c r="O343" s="169">
        <f t="shared" ref="O343:R355" si="237">O7+O39</f>
        <v>1163278.5328651594</v>
      </c>
      <c r="P343" s="169">
        <f t="shared" si="237"/>
        <v>1216482.9208984156</v>
      </c>
      <c r="Q343" s="169">
        <f t="shared" si="237"/>
        <v>1385023.2927632648</v>
      </c>
      <c r="R343" s="169">
        <f t="shared" si="237"/>
        <v>1549706.7151095404</v>
      </c>
      <c r="Y343" s="207"/>
      <c r="Z343" s="207"/>
      <c r="AA343" s="207"/>
      <c r="AB343" s="207"/>
      <c r="AC343" s="207"/>
    </row>
    <row r="344" spans="1:16382" ht="11.25">
      <c r="C344" s="164" t="s">
        <v>184</v>
      </c>
      <c r="G344" s="164" t="s">
        <v>176</v>
      </c>
      <c r="J344" s="170">
        <f t="shared" ref="J344:R344" si="238">J343/I343-1</f>
        <v>-4.760878720697892E-2</v>
      </c>
      <c r="K344" s="170">
        <f t="shared" si="238"/>
        <v>0.15292247469150944</v>
      </c>
      <c r="L344" s="170">
        <f t="shared" si="238"/>
        <v>0.11155699156084564</v>
      </c>
      <c r="M344" s="170">
        <f t="shared" si="238"/>
        <v>0.12186186466828719</v>
      </c>
      <c r="N344" s="170">
        <f t="shared" si="238"/>
        <v>-5.3774152061588421E-2</v>
      </c>
      <c r="O344" s="170">
        <f t="shared" si="238"/>
        <v>1.7658026701051321E-2</v>
      </c>
      <c r="P344" s="170">
        <f t="shared" si="238"/>
        <v>4.5736585460933066E-2</v>
      </c>
      <c r="Q344" s="170">
        <f t="shared" si="238"/>
        <v>0.13854725698933468</v>
      </c>
      <c r="R344" s="170">
        <f t="shared" si="238"/>
        <v>0.11890299838764085</v>
      </c>
      <c r="Y344" s="125"/>
      <c r="Z344" s="125"/>
      <c r="AA344" s="134"/>
      <c r="AB344" s="135"/>
      <c r="AC344" s="135"/>
    </row>
    <row r="345" spans="1:16382" ht="11.25">
      <c r="A345" s="129" t="str">
        <f>'[7]Input sheet'!A139</f>
        <v>Turkey</v>
      </c>
      <c r="B345" s="129" t="str">
        <f>'[7]Input sheet'!B139</f>
        <v>Tourism Spend Factors</v>
      </c>
      <c r="C345" s="4" t="str">
        <f>'[7]Input sheet'!C139</f>
        <v>Total National Tourism Expenditure by Sector</v>
      </c>
      <c r="D345" s="2" t="str">
        <f>'[7]Input sheet'!D139</f>
        <v>Entertainment &amp; Sightseeing</v>
      </c>
      <c r="G345" s="1" t="str">
        <f>Home!$B$2&amp;" Million"</f>
        <v>Foriant Million</v>
      </c>
      <c r="H345" s="169">
        <f>H9+H41</f>
        <v>194621.81822113966</v>
      </c>
      <c r="I345" s="169">
        <f>I9+I41</f>
        <v>195403.63971900096</v>
      </c>
      <c r="J345" s="169">
        <f t="shared" si="236"/>
        <v>189026.31639871656</v>
      </c>
      <c r="K345" s="169">
        <f t="shared" si="236"/>
        <v>218222.2957162699</v>
      </c>
      <c r="L345" s="169">
        <f t="shared" si="236"/>
        <v>240728.68405192267</v>
      </c>
      <c r="M345" s="169">
        <f>M9+M41</f>
        <v>267888.05554583855</v>
      </c>
      <c r="N345" s="169">
        <f>N9+N41</f>
        <v>254867.80764880101</v>
      </c>
      <c r="O345" s="169">
        <f t="shared" si="237"/>
        <v>258533.39065423681</v>
      </c>
      <c r="P345" s="169">
        <f t="shared" si="237"/>
        <v>269809.7551970596</v>
      </c>
      <c r="Q345" s="169">
        <f t="shared" si="237"/>
        <v>308023.56477565749</v>
      </c>
      <c r="R345" s="169">
        <f t="shared" si="237"/>
        <v>345969.97111184354</v>
      </c>
      <c r="Z345" s="1"/>
    </row>
    <row r="346" spans="1:16382" ht="11.25">
      <c r="C346" s="164" t="s">
        <v>184</v>
      </c>
      <c r="G346" s="164" t="s">
        <v>176</v>
      </c>
      <c r="J346" s="170">
        <f t="shared" ref="J346:R346" si="239">J345/I345-1</f>
        <v>-3.2636665977436641E-2</v>
      </c>
      <c r="K346" s="170">
        <f t="shared" si="239"/>
        <v>0.15445457475862634</v>
      </c>
      <c r="L346" s="170">
        <f t="shared" si="239"/>
        <v>0.10313514602978668</v>
      </c>
      <c r="M346" s="170">
        <f t="shared" si="239"/>
        <v>0.11282150110560929</v>
      </c>
      <c r="N346" s="170">
        <f t="shared" si="239"/>
        <v>-4.8603316301310873E-2</v>
      </c>
      <c r="O346" s="170">
        <f t="shared" si="239"/>
        <v>1.438229111495648E-2</v>
      </c>
      <c r="P346" s="170">
        <f t="shared" si="239"/>
        <v>4.3616665972187052E-2</v>
      </c>
      <c r="Q346" s="170">
        <f t="shared" si="239"/>
        <v>0.14163242374497487</v>
      </c>
      <c r="R346" s="170">
        <f t="shared" si="239"/>
        <v>0.12319319258519568</v>
      </c>
      <c r="Z346" s="1"/>
    </row>
    <row r="347" spans="1:16382" ht="11.25">
      <c r="A347" s="129" t="str">
        <f>'[7]Input sheet'!A140</f>
        <v>Turkey</v>
      </c>
      <c r="B347" s="129" t="str">
        <f>'[7]Input sheet'!B140</f>
        <v>Tourism Spend Factors</v>
      </c>
      <c r="C347" s="4" t="str">
        <f>'[7]Input sheet'!C140</f>
        <v>Total National Tourism Expenditure by Sector</v>
      </c>
      <c r="D347" s="2" t="str">
        <f>'[7]Input sheet'!D140</f>
        <v>Foodservice</v>
      </c>
      <c r="G347" s="1" t="str">
        <f>Home!$B$2&amp;" Million"</f>
        <v>Foriant Million</v>
      </c>
      <c r="H347" s="169">
        <f>H11+H43</f>
        <v>536377.41302144097</v>
      </c>
      <c r="I347" s="169">
        <f>I11+I43</f>
        <v>542502.30258589215</v>
      </c>
      <c r="J347" s="169">
        <f t="shared" si="236"/>
        <v>520081.10181510093</v>
      </c>
      <c r="K347" s="169">
        <f t="shared" si="236"/>
        <v>599772.55967785034</v>
      </c>
      <c r="L347" s="169">
        <f t="shared" si="236"/>
        <v>661325.99710062391</v>
      </c>
      <c r="M347" s="169">
        <f t="shared" si="236"/>
        <v>737921.03670765099</v>
      </c>
      <c r="N347" s="169">
        <f>N11+N43</f>
        <v>699101.87032091955</v>
      </c>
      <c r="O347" s="169">
        <f t="shared" si="237"/>
        <v>707678.17978721368</v>
      </c>
      <c r="P347" s="169">
        <f t="shared" si="237"/>
        <v>740344.58001174591</v>
      </c>
      <c r="Q347" s="169">
        <f t="shared" si="237"/>
        <v>840826.45875693858</v>
      </c>
      <c r="R347" s="169">
        <f t="shared" si="237"/>
        <v>937258.03699067875</v>
      </c>
      <c r="Z347" s="1"/>
    </row>
    <row r="348" spans="1:16382" ht="11.25">
      <c r="C348" s="164" t="s">
        <v>184</v>
      </c>
      <c r="G348" s="164" t="s">
        <v>176</v>
      </c>
      <c r="J348" s="170">
        <f t="shared" ref="J348:R348" si="240">J347/I347-1</f>
        <v>-4.1329226924785911E-2</v>
      </c>
      <c r="K348" s="170">
        <f t="shared" si="240"/>
        <v>0.15322890523155608</v>
      </c>
      <c r="L348" s="170">
        <f t="shared" si="240"/>
        <v>0.1026279652670925</v>
      </c>
      <c r="M348" s="170">
        <f t="shared" si="240"/>
        <v>0.11582039711554359</v>
      </c>
      <c r="N348" s="170">
        <f t="shared" si="240"/>
        <v>-5.2606125121366865E-2</v>
      </c>
      <c r="O348" s="170">
        <f t="shared" si="240"/>
        <v>1.2267610530575679E-2</v>
      </c>
      <c r="P348" s="170">
        <f t="shared" si="240"/>
        <v>4.6159965302808192E-2</v>
      </c>
      <c r="Q348" s="170">
        <f t="shared" si="240"/>
        <v>0.13572312333751202</v>
      </c>
      <c r="R348" s="170">
        <f t="shared" si="240"/>
        <v>0.11468666004671491</v>
      </c>
      <c r="Z348" s="1"/>
    </row>
    <row r="349" spans="1:16382" ht="11.25">
      <c r="A349" s="129" t="str">
        <f>'[7]Input sheet'!A141</f>
        <v>Turkey</v>
      </c>
      <c r="B349" s="129" t="str">
        <f>'[7]Input sheet'!B141</f>
        <v>Tourism Spend Factors</v>
      </c>
      <c r="C349" s="4" t="str">
        <f>'[7]Input sheet'!C141</f>
        <v>Total National Tourism Expenditure by Sector</v>
      </c>
      <c r="D349" s="2" t="str">
        <f>'[7]Input sheet'!D141</f>
        <v>Retail</v>
      </c>
      <c r="G349" s="1" t="str">
        <f>Home!$B$2&amp;" Million"</f>
        <v>Foriant Million</v>
      </c>
      <c r="H349" s="169">
        <f>H13+H45</f>
        <v>444187.22477886139</v>
      </c>
      <c r="I349" s="169">
        <f>I13+I45</f>
        <v>444526.8223931223</v>
      </c>
      <c r="J349" s="169">
        <f t="shared" si="236"/>
        <v>431767.04791486193</v>
      </c>
      <c r="K349" s="169">
        <f t="shared" si="236"/>
        <v>498668.11035101203</v>
      </c>
      <c r="L349" s="169">
        <f t="shared" si="236"/>
        <v>553802.32663101924</v>
      </c>
      <c r="M349" s="169">
        <f t="shared" si="236"/>
        <v>622563.80833173636</v>
      </c>
      <c r="N349" s="169">
        <f>N13+N45</f>
        <v>602191.70125566318</v>
      </c>
      <c r="O349" s="169">
        <f t="shared" si="237"/>
        <v>613580.23099468846</v>
      </c>
      <c r="P349" s="169">
        <f t="shared" si="237"/>
        <v>644078.96887340571</v>
      </c>
      <c r="Q349" s="169">
        <f t="shared" si="237"/>
        <v>738764.91273367254</v>
      </c>
      <c r="R349" s="169">
        <f t="shared" si="237"/>
        <v>833474.44051473611</v>
      </c>
      <c r="Z349" s="1"/>
    </row>
    <row r="350" spans="1:16382" ht="11.25">
      <c r="C350" s="164" t="s">
        <v>184</v>
      </c>
      <c r="G350" s="164" t="s">
        <v>176</v>
      </c>
      <c r="J350" s="170">
        <f t="shared" ref="J350:R350" si="241">J349/I349-1</f>
        <v>-2.8704172246722393E-2</v>
      </c>
      <c r="K350" s="170">
        <f t="shared" si="241"/>
        <v>0.15494712428666402</v>
      </c>
      <c r="L350" s="170">
        <f t="shared" si="241"/>
        <v>0.11056294785162479</v>
      </c>
      <c r="M350" s="170">
        <f t="shared" si="241"/>
        <v>0.1241625005785334</v>
      </c>
      <c r="N350" s="170">
        <f t="shared" si="241"/>
        <v>-3.2722922218468842E-2</v>
      </c>
      <c r="O350" s="170">
        <f t="shared" si="241"/>
        <v>1.8911801200977019E-2</v>
      </c>
      <c r="P350" s="170">
        <f t="shared" si="241"/>
        <v>4.9706193808224608E-2</v>
      </c>
      <c r="Q350" s="170">
        <f t="shared" si="241"/>
        <v>0.14700983642718102</v>
      </c>
      <c r="R350" s="170">
        <f t="shared" si="241"/>
        <v>0.12819981857368834</v>
      </c>
      <c r="Z350" s="1"/>
    </row>
    <row r="351" spans="1:16382" ht="11.25">
      <c r="A351" s="129" t="str">
        <f>'[7]Input sheet'!A142</f>
        <v>Turkey</v>
      </c>
      <c r="B351" s="129" t="str">
        <f>'[7]Input sheet'!B142</f>
        <v>Tourism Spend Factors</v>
      </c>
      <c r="C351" s="4" t="str">
        <f>'[7]Input sheet'!C142</f>
        <v>Total National Tourism Expenditure by Sector</v>
      </c>
      <c r="D351" s="2" t="str">
        <f>'[7]Input sheet'!D142</f>
        <v>Transportation</v>
      </c>
      <c r="G351" s="1" t="str">
        <f>Home!$B$2&amp;" Million"</f>
        <v>Foriant Million</v>
      </c>
      <c r="H351" s="169">
        <f>H15+H47</f>
        <v>298799.86305862619</v>
      </c>
      <c r="I351" s="169">
        <f>I15+I47</f>
        <v>313773.10980969487</v>
      </c>
      <c r="J351" s="169">
        <f t="shared" si="236"/>
        <v>317225.91182848107</v>
      </c>
      <c r="K351" s="169">
        <f t="shared" si="236"/>
        <v>356163.54694053187</v>
      </c>
      <c r="L351" s="169">
        <f t="shared" si="236"/>
        <v>416426.96617210755</v>
      </c>
      <c r="M351" s="169">
        <f t="shared" si="236"/>
        <v>459669.37895170791</v>
      </c>
      <c r="N351" s="169">
        <f>N15+N47</f>
        <v>451188.12819633423</v>
      </c>
      <c r="O351" s="169">
        <f t="shared" si="237"/>
        <v>463330.76962121204</v>
      </c>
      <c r="P351" s="169">
        <f t="shared" si="237"/>
        <v>491526.42181910615</v>
      </c>
      <c r="Q351" s="169">
        <f t="shared" si="237"/>
        <v>557842.70102054393</v>
      </c>
      <c r="R351" s="169">
        <f t="shared" si="237"/>
        <v>635732.52068216575</v>
      </c>
      <c r="Z351" s="1"/>
    </row>
    <row r="352" spans="1:16382" ht="11.25">
      <c r="C352" s="164" t="s">
        <v>184</v>
      </c>
      <c r="G352" s="164" t="s">
        <v>176</v>
      </c>
      <c r="J352" s="170">
        <f t="shared" ref="J352:R352" si="242">J351/I351-1</f>
        <v>1.1004136144363574E-2</v>
      </c>
      <c r="K352" s="170">
        <f t="shared" si="242"/>
        <v>0.12274418217482741</v>
      </c>
      <c r="L352" s="170">
        <f t="shared" si="242"/>
        <v>0.1692015360618524</v>
      </c>
      <c r="M352" s="170">
        <f t="shared" si="242"/>
        <v>0.10384152874895336</v>
      </c>
      <c r="N352" s="170">
        <f t="shared" si="242"/>
        <v>-1.8450762969496659E-2</v>
      </c>
      <c r="O352" s="170">
        <f t="shared" si="242"/>
        <v>2.6912590704500916E-2</v>
      </c>
      <c r="P352" s="170">
        <f t="shared" si="242"/>
        <v>6.0854262325260589E-2</v>
      </c>
      <c r="Q352" s="170">
        <f t="shared" si="242"/>
        <v>0.13491905268491111</v>
      </c>
      <c r="R352" s="170">
        <f t="shared" si="242"/>
        <v>0.13962685093687965</v>
      </c>
      <c r="Z352" s="1"/>
    </row>
    <row r="353" spans="1:16382" ht="11.25">
      <c r="A353" s="129" t="str">
        <f>'[7]Input sheet'!A143</f>
        <v>Turkey</v>
      </c>
      <c r="B353" s="129" t="str">
        <f>'[7]Input sheet'!B143</f>
        <v>Tourism Spend Factors</v>
      </c>
      <c r="C353" s="4" t="str">
        <f>'[7]Input sheet'!C143</f>
        <v>Total National Tourism Expenditure by Sector</v>
      </c>
      <c r="D353" s="2" t="str">
        <f>'[7]Input sheet'!D143</f>
        <v>Travel Intermediation</v>
      </c>
      <c r="G353" s="1" t="str">
        <f>Home!$B$2&amp;" Million"</f>
        <v>Foriant Million</v>
      </c>
      <c r="H353" s="169">
        <f>H17+H49</f>
        <v>435622.73713848513</v>
      </c>
      <c r="I353" s="169">
        <f>I17+I49</f>
        <v>431105.00522669952</v>
      </c>
      <c r="J353" s="169">
        <f t="shared" si="236"/>
        <v>410412.57483577909</v>
      </c>
      <c r="K353" s="169">
        <f t="shared" si="236"/>
        <v>478237.13799867436</v>
      </c>
      <c r="L353" s="169">
        <f t="shared" si="236"/>
        <v>530873.04973382654</v>
      </c>
      <c r="M353" s="169">
        <f t="shared" si="236"/>
        <v>592557.38544962916</v>
      </c>
      <c r="N353" s="169">
        <f>N17+N49</f>
        <v>560478.82991782436</v>
      </c>
      <c r="O353" s="169">
        <f t="shared" si="237"/>
        <v>571480.803138574</v>
      </c>
      <c r="P353" s="169">
        <f t="shared" si="237"/>
        <v>598759.73133655149</v>
      </c>
      <c r="Q353" s="169">
        <f t="shared" si="237"/>
        <v>686871.77480640507</v>
      </c>
      <c r="R353" s="169">
        <f t="shared" si="237"/>
        <v>768901.2088085654</v>
      </c>
      <c r="Z353" s="1"/>
    </row>
    <row r="354" spans="1:16382" ht="11.25">
      <c r="C354" s="164" t="s">
        <v>184</v>
      </c>
      <c r="G354" s="164" t="s">
        <v>176</v>
      </c>
      <c r="J354" s="170">
        <f t="shared" ref="J354:R354" si="243">J353/I353-1</f>
        <v>-4.7998585356343049E-2</v>
      </c>
      <c r="K354" s="170">
        <f t="shared" si="243"/>
        <v>0.16525946650156698</v>
      </c>
      <c r="L354" s="170">
        <f t="shared" si="243"/>
        <v>0.11006236771034317</v>
      </c>
      <c r="M354" s="170">
        <f t="shared" si="243"/>
        <v>0.11619413670882417</v>
      </c>
      <c r="N354" s="170">
        <f t="shared" si="243"/>
        <v>-5.4135778777719135E-2</v>
      </c>
      <c r="O354" s="170">
        <f t="shared" si="243"/>
        <v>1.9629596397713556E-2</v>
      </c>
      <c r="P354" s="170">
        <f t="shared" si="243"/>
        <v>4.7733761218507365E-2</v>
      </c>
      <c r="Q354" s="170">
        <f t="shared" si="243"/>
        <v>0.1471575973774486</v>
      </c>
      <c r="R354" s="170">
        <f t="shared" si="243"/>
        <v>0.11942466849111733</v>
      </c>
      <c r="Z354" s="1"/>
    </row>
    <row r="355" spans="1:16382" ht="11.25">
      <c r="A355" s="129" t="str">
        <f>'[7]Input sheet'!A144</f>
        <v>Turkey</v>
      </c>
      <c r="B355" s="129" t="str">
        <f>'[7]Input sheet'!B144</f>
        <v>Tourism Spend Factors</v>
      </c>
      <c r="C355" s="4" t="str">
        <f>'[7]Input sheet'!C144</f>
        <v>Total National Tourism Expenditure by Sector</v>
      </c>
      <c r="D355" s="2" t="str">
        <f>'[7]Input sheet'!D144</f>
        <v>Other Sectors</v>
      </c>
      <c r="G355" s="1" t="str">
        <f>Home!$B$2&amp;" Million"</f>
        <v>Foriant Million</v>
      </c>
      <c r="H355" s="169">
        <f>H19+H51</f>
        <v>175949.31453769389</v>
      </c>
      <c r="I355" s="169">
        <f>I19+I51</f>
        <v>180529.54055608585</v>
      </c>
      <c r="J355" s="169">
        <f t="shared" si="236"/>
        <v>171346.19514935924</v>
      </c>
      <c r="K355" s="169">
        <f t="shared" si="236"/>
        <v>193113.80299377255</v>
      </c>
      <c r="L355" s="169">
        <f t="shared" si="236"/>
        <v>218777.33132169431</v>
      </c>
      <c r="M355" s="169">
        <f t="shared" si="236"/>
        <v>241173.21413655073</v>
      </c>
      <c r="N355" s="169">
        <f>N19+N51</f>
        <v>230269.51689723352</v>
      </c>
      <c r="O355" s="169">
        <f t="shared" si="237"/>
        <v>236370.72827185842</v>
      </c>
      <c r="P355" s="169">
        <f t="shared" si="237"/>
        <v>251090.36961235441</v>
      </c>
      <c r="Q355" s="169">
        <f t="shared" si="237"/>
        <v>280802.11489529477</v>
      </c>
      <c r="R355" s="169">
        <f t="shared" si="237"/>
        <v>316314.46564450354</v>
      </c>
      <c r="Z355" s="1"/>
    </row>
    <row r="356" spans="1:16382" ht="11.25">
      <c r="C356" s="164" t="s">
        <v>184</v>
      </c>
      <c r="G356" s="164" t="s">
        <v>176</v>
      </c>
      <c r="J356" s="170">
        <f t="shared" ref="J356:R356" si="244">J355/I355-1</f>
        <v>-5.0868934682042122E-2</v>
      </c>
      <c r="K356" s="170">
        <f t="shared" si="244"/>
        <v>0.1270387581436454</v>
      </c>
      <c r="L356" s="170">
        <f t="shared" si="244"/>
        <v>0.13289328846550319</v>
      </c>
      <c r="M356" s="170">
        <f t="shared" si="244"/>
        <v>0.10236838834972839</v>
      </c>
      <c r="N356" s="170">
        <f t="shared" si="244"/>
        <v>-4.5211062423970549E-2</v>
      </c>
      <c r="O356" s="170">
        <f t="shared" si="244"/>
        <v>2.6495957679660176E-2</v>
      </c>
      <c r="P356" s="170">
        <f t="shared" si="244"/>
        <v>6.2273537201977147E-2</v>
      </c>
      <c r="Q356" s="170">
        <f t="shared" si="244"/>
        <v>0.11833088353333032</v>
      </c>
      <c r="R356" s="170">
        <f t="shared" si="244"/>
        <v>0.1264675330613183</v>
      </c>
      <c r="Z356" s="1"/>
    </row>
    <row r="357" spans="1:16382" customFormat="1">
      <c r="A357" s="125" t="str">
        <f>'[7]Input sheet'!A145</f>
        <v>Turkey</v>
      </c>
      <c r="B357" s="125" t="str">
        <f>'[7]Input sheet'!B145</f>
        <v>Tourism Spend Factors</v>
      </c>
      <c r="C357" s="134" t="str">
        <f>'[7]Input sheet'!C145</f>
        <v>Average Expenditure per Domestic Tourist by Sector</v>
      </c>
      <c r="D357" s="135"/>
      <c r="E357" s="135"/>
      <c r="F357" s="135"/>
      <c r="G357" s="135" t="str">
        <f>Home!$B$2</f>
        <v>Foriant</v>
      </c>
      <c r="H357" s="173">
        <f t="shared" ref="H357:M357" si="245">(H5*1000)/H496</f>
        <v>4007.5398596822702</v>
      </c>
      <c r="I357" s="173">
        <f t="shared" si="245"/>
        <v>7348.1766222096367</v>
      </c>
      <c r="J357" s="173">
        <f t="shared" si="245"/>
        <v>9475.9110224973465</v>
      </c>
      <c r="K357" s="173">
        <f t="shared" si="245"/>
        <v>9201.8496175467699</v>
      </c>
      <c r="L357" s="173">
        <f t="shared" si="245"/>
        <v>9065.5721382421161</v>
      </c>
      <c r="M357" s="173">
        <f t="shared" si="245"/>
        <v>10087.87587897441</v>
      </c>
      <c r="N357" s="173">
        <f>M357*(1+N358)</f>
        <v>10912.670125741266</v>
      </c>
      <c r="O357" s="173">
        <f>N357*(1+O358)</f>
        <v>10840.05851111785</v>
      </c>
      <c r="P357" s="173">
        <f>O357*(1+P358)</f>
        <v>10971.022871643918</v>
      </c>
      <c r="Q357" s="173">
        <f>P357*(1+Q358)</f>
        <v>11392.016398668206</v>
      </c>
      <c r="R357" s="173">
        <f>Q357*(1+R358)</f>
        <v>11707.180800148699</v>
      </c>
      <c r="S357" s="125"/>
      <c r="T357" s="125"/>
      <c r="U357" s="134"/>
      <c r="V357" s="135"/>
      <c r="W357" s="135"/>
      <c r="X357" s="135"/>
      <c r="Y357" s="1"/>
      <c r="Z357" s="1"/>
      <c r="AA357" s="1"/>
      <c r="AB357" s="1"/>
      <c r="AC357" s="1"/>
      <c r="AD357" s="173"/>
      <c r="AE357" s="173"/>
      <c r="AF357" s="173"/>
      <c r="AG357" s="173"/>
      <c r="AH357" s="173"/>
      <c r="AI357" s="173"/>
      <c r="AJ357" s="125"/>
      <c r="AK357" s="125"/>
      <c r="AL357" s="134"/>
      <c r="AM357" s="135"/>
      <c r="AN357" s="135"/>
      <c r="AO357" s="135"/>
      <c r="AP357" s="135"/>
      <c r="AQ357" s="173"/>
      <c r="AR357" s="173"/>
      <c r="AS357" s="173"/>
      <c r="AT357" s="173"/>
      <c r="AU357" s="173"/>
      <c r="AV357" s="173"/>
      <c r="AW357" s="173"/>
      <c r="AX357" s="173"/>
      <c r="AY357" s="173"/>
      <c r="AZ357" s="173"/>
      <c r="BA357" s="125"/>
      <c r="BB357" s="125"/>
      <c r="BC357" s="134"/>
      <c r="BD357" s="135"/>
      <c r="BE357" s="135"/>
      <c r="BF357" s="135"/>
      <c r="BG357" s="135"/>
      <c r="BH357" s="173"/>
      <c r="BI357" s="173"/>
      <c r="BJ357" s="173"/>
      <c r="BK357" s="173"/>
      <c r="BL357" s="173"/>
      <c r="BM357" s="173"/>
      <c r="BN357" s="173"/>
      <c r="BO357" s="173"/>
      <c r="BP357" s="173"/>
      <c r="BQ357" s="173"/>
      <c r="BR357" s="125"/>
      <c r="BS357" s="125"/>
      <c r="BT357" s="134"/>
      <c r="BU357" s="135"/>
      <c r="BV357" s="135"/>
      <c r="BW357" s="135"/>
      <c r="BX357" s="135"/>
      <c r="BY357" s="173"/>
      <c r="BZ357" s="173"/>
      <c r="CA357" s="173"/>
      <c r="CB357" s="173"/>
      <c r="CC357" s="173"/>
      <c r="CD357" s="173"/>
      <c r="CE357" s="173"/>
      <c r="CF357" s="173"/>
      <c r="CG357" s="173"/>
      <c r="CH357" s="173"/>
      <c r="CI357" s="125"/>
      <c r="CJ357" s="125"/>
      <c r="CK357" s="134"/>
      <c r="CL357" s="135"/>
      <c r="CM357" s="135"/>
      <c r="CN357" s="135"/>
      <c r="CO357" s="135"/>
      <c r="CP357" s="173"/>
      <c r="CQ357" s="173"/>
      <c r="CR357" s="173"/>
      <c r="CS357" s="173"/>
      <c r="CT357" s="173"/>
      <c r="CU357" s="173"/>
      <c r="CV357" s="173"/>
      <c r="CW357" s="173"/>
      <c r="CX357" s="173"/>
      <c r="CY357" s="173"/>
      <c r="CZ357" s="125"/>
      <c r="DA357" s="125"/>
      <c r="DB357" s="134"/>
      <c r="DC357" s="135"/>
      <c r="DD357" s="135"/>
      <c r="DE357" s="135"/>
      <c r="DF357" s="135"/>
      <c r="DG357" s="173"/>
      <c r="DH357" s="173"/>
      <c r="DI357" s="173"/>
      <c r="DJ357" s="173"/>
      <c r="DK357" s="173"/>
      <c r="DL357" s="173"/>
      <c r="DM357" s="173"/>
      <c r="DN357" s="173"/>
      <c r="DO357" s="173"/>
      <c r="DP357" s="173"/>
      <c r="DQ357" s="125"/>
      <c r="DR357" s="125"/>
      <c r="DS357" s="134"/>
      <c r="DT357" s="135"/>
      <c r="DU357" s="135"/>
      <c r="DV357" s="135"/>
      <c r="DW357" s="135"/>
      <c r="DX357" s="173"/>
      <c r="DY357" s="173"/>
      <c r="DZ357" s="173"/>
      <c r="EA357" s="173"/>
      <c r="EB357" s="173"/>
      <c r="EC357" s="173"/>
      <c r="ED357" s="173"/>
      <c r="EE357" s="173"/>
      <c r="EF357" s="173"/>
      <c r="EG357" s="173"/>
      <c r="EH357" s="125"/>
      <c r="EI357" s="125"/>
      <c r="EJ357" s="134"/>
      <c r="EK357" s="135"/>
      <c r="EL357" s="135"/>
      <c r="EM357" s="135"/>
      <c r="EN357" s="135"/>
      <c r="EO357" s="173"/>
      <c r="EP357" s="173"/>
      <c r="EQ357" s="173"/>
      <c r="ER357" s="173"/>
      <c r="ES357" s="173"/>
      <c r="ET357" s="173"/>
      <c r="EU357" s="173"/>
      <c r="EV357" s="173"/>
      <c r="EW357" s="173"/>
      <c r="EX357" s="173"/>
      <c r="EY357" s="125"/>
      <c r="EZ357" s="125"/>
      <c r="FA357" s="134"/>
      <c r="FB357" s="135"/>
      <c r="FC357" s="135"/>
      <c r="FD357" s="135"/>
      <c r="FE357" s="135"/>
      <c r="FF357" s="173"/>
      <c r="FG357" s="173"/>
      <c r="FH357" s="173"/>
      <c r="FI357" s="173"/>
      <c r="FJ357" s="173"/>
      <c r="FK357" s="173"/>
      <c r="FL357" s="173"/>
      <c r="FM357" s="173"/>
      <c r="FN357" s="173"/>
      <c r="FO357" s="173"/>
      <c r="FP357" s="125"/>
      <c r="FQ357" s="125"/>
      <c r="FR357" s="134"/>
      <c r="FS357" s="135"/>
      <c r="FT357" s="135"/>
      <c r="FU357" s="135"/>
      <c r="FV357" s="135"/>
      <c r="FW357" s="173"/>
      <c r="FX357" s="173"/>
      <c r="FY357" s="173"/>
      <c r="FZ357" s="173"/>
      <c r="GA357" s="173"/>
      <c r="GB357" s="173"/>
      <c r="GC357" s="173"/>
      <c r="GD357" s="173"/>
      <c r="GE357" s="173"/>
      <c r="GF357" s="173"/>
      <c r="GG357" s="125"/>
      <c r="GH357" s="125"/>
      <c r="GI357" s="134"/>
      <c r="GJ357" s="135"/>
      <c r="GK357" s="135"/>
      <c r="GL357" s="135"/>
      <c r="GM357" s="135"/>
      <c r="GN357" s="173"/>
      <c r="GO357" s="173"/>
      <c r="GP357" s="173"/>
      <c r="GQ357" s="173"/>
      <c r="GR357" s="173"/>
      <c r="GS357" s="173"/>
      <c r="GT357" s="173"/>
      <c r="GU357" s="173"/>
      <c r="GV357" s="173"/>
      <c r="GW357" s="173"/>
      <c r="GX357" s="125"/>
      <c r="GY357" s="125"/>
      <c r="GZ357" s="134"/>
      <c r="HA357" s="135"/>
      <c r="HB357" s="135"/>
      <c r="HC357" s="135"/>
      <c r="HD357" s="135"/>
      <c r="HE357" s="173"/>
      <c r="HF357" s="173"/>
      <c r="HG357" s="173"/>
      <c r="HH357" s="173"/>
      <c r="HI357" s="173"/>
      <c r="HJ357" s="173"/>
      <c r="HK357" s="173"/>
      <c r="HL357" s="173"/>
      <c r="HM357" s="173"/>
      <c r="HN357" s="173"/>
      <c r="HO357" s="125"/>
      <c r="HP357" s="125"/>
      <c r="HQ357" s="134"/>
      <c r="HR357" s="135"/>
      <c r="HS357" s="135"/>
      <c r="HT357" s="135"/>
      <c r="HU357" s="135"/>
      <c r="HV357" s="173"/>
      <c r="HW357" s="173"/>
      <c r="HX357" s="173"/>
      <c r="HY357" s="173"/>
      <c r="HZ357" s="173"/>
      <c r="IA357" s="173"/>
      <c r="IB357" s="173"/>
      <c r="IC357" s="173"/>
      <c r="ID357" s="173"/>
      <c r="IE357" s="173"/>
      <c r="IF357" s="125"/>
      <c r="IG357" s="125"/>
      <c r="IH357" s="134"/>
      <c r="II357" s="135"/>
      <c r="IJ357" s="135"/>
      <c r="IK357" s="135"/>
      <c r="IL357" s="135"/>
      <c r="IM357" s="173"/>
      <c r="IN357" s="173"/>
      <c r="IO357" s="173"/>
      <c r="IP357" s="173"/>
      <c r="IQ357" s="173"/>
      <c r="IR357" s="173"/>
      <c r="IS357" s="173"/>
      <c r="IT357" s="173"/>
      <c r="IU357" s="173"/>
      <c r="IV357" s="173"/>
      <c r="IW357" s="125"/>
      <c r="IX357" s="125"/>
      <c r="IY357" s="134"/>
      <c r="IZ357" s="135"/>
      <c r="JA357" s="135"/>
      <c r="JB357" s="135"/>
      <c r="JC357" s="135"/>
      <c r="JD357" s="173"/>
      <c r="JE357" s="173"/>
      <c r="JF357" s="173"/>
      <c r="JG357" s="173"/>
      <c r="JH357" s="173"/>
      <c r="JI357" s="173"/>
      <c r="JJ357" s="173"/>
      <c r="JK357" s="173"/>
      <c r="JL357" s="173"/>
      <c r="JM357" s="173"/>
      <c r="JN357" s="125"/>
      <c r="JO357" s="125"/>
      <c r="JP357" s="134"/>
      <c r="JQ357" s="135"/>
      <c r="JR357" s="135"/>
      <c r="JS357" s="135"/>
      <c r="JT357" s="135"/>
      <c r="JU357" s="173"/>
      <c r="JV357" s="173"/>
      <c r="JW357" s="173"/>
      <c r="JX357" s="173"/>
      <c r="JY357" s="173"/>
      <c r="JZ357" s="173"/>
      <c r="KA357" s="173"/>
      <c r="KB357" s="173"/>
      <c r="KC357" s="173"/>
      <c r="KD357" s="173"/>
      <c r="KE357" s="125"/>
      <c r="KF357" s="125"/>
      <c r="KG357" s="134"/>
      <c r="KH357" s="135"/>
      <c r="KI357" s="135"/>
      <c r="KJ357" s="135"/>
      <c r="KK357" s="135"/>
      <c r="KL357" s="173"/>
      <c r="KM357" s="173"/>
      <c r="KN357" s="173"/>
      <c r="KO357" s="173"/>
      <c r="KP357" s="173"/>
      <c r="KQ357" s="173"/>
      <c r="KR357" s="173"/>
      <c r="KS357" s="173"/>
      <c r="KT357" s="173"/>
      <c r="KU357" s="173"/>
      <c r="KV357" s="125"/>
      <c r="KW357" s="125"/>
      <c r="KX357" s="134"/>
      <c r="KY357" s="135"/>
      <c r="KZ357" s="135"/>
      <c r="LA357" s="135"/>
      <c r="LB357" s="135"/>
      <c r="LC357" s="173"/>
      <c r="LD357" s="173"/>
      <c r="LE357" s="173"/>
      <c r="LF357" s="173"/>
      <c r="LG357" s="173"/>
      <c r="LH357" s="173"/>
      <c r="LI357" s="173"/>
      <c r="LJ357" s="173"/>
      <c r="LK357" s="173"/>
      <c r="LL357" s="173"/>
      <c r="LM357" s="125"/>
      <c r="LN357" s="125"/>
      <c r="LO357" s="134"/>
      <c r="LP357" s="135"/>
      <c r="LQ357" s="135"/>
      <c r="LR357" s="135"/>
      <c r="LS357" s="135"/>
      <c r="LT357" s="173"/>
      <c r="LU357" s="173"/>
      <c r="LV357" s="173"/>
      <c r="LW357" s="173"/>
      <c r="LX357" s="173"/>
      <c r="LY357" s="173"/>
      <c r="LZ357" s="173"/>
      <c r="MA357" s="173"/>
      <c r="MB357" s="173"/>
      <c r="MC357" s="173"/>
      <c r="MD357" s="125"/>
      <c r="ME357" s="125"/>
      <c r="MF357" s="134"/>
      <c r="MG357" s="135"/>
      <c r="MH357" s="135"/>
      <c r="MI357" s="135"/>
      <c r="MJ357" s="135"/>
      <c r="MK357" s="173"/>
      <c r="ML357" s="173"/>
      <c r="MM357" s="173"/>
      <c r="MN357" s="173"/>
      <c r="MO357" s="173"/>
      <c r="MP357" s="173"/>
      <c r="MQ357" s="173"/>
      <c r="MR357" s="173"/>
      <c r="MS357" s="173"/>
      <c r="MT357" s="173"/>
      <c r="MU357" s="125"/>
      <c r="MV357" s="125"/>
      <c r="MW357" s="134"/>
      <c r="MX357" s="135"/>
      <c r="MY357" s="135"/>
      <c r="MZ357" s="135"/>
      <c r="NA357" s="135"/>
      <c r="NB357" s="173"/>
      <c r="NC357" s="173"/>
      <c r="ND357" s="173"/>
      <c r="NE357" s="173"/>
      <c r="NF357" s="173"/>
      <c r="NG357" s="173"/>
      <c r="NH357" s="173"/>
      <c r="NI357" s="173"/>
      <c r="NJ357" s="173"/>
      <c r="NK357" s="173"/>
      <c r="NL357" s="125"/>
      <c r="NM357" s="125"/>
      <c r="NN357" s="134"/>
      <c r="NO357" s="135"/>
      <c r="NP357" s="135"/>
      <c r="NQ357" s="135"/>
      <c r="NR357" s="135"/>
      <c r="NS357" s="173"/>
      <c r="NT357" s="173"/>
      <c r="NU357" s="173"/>
      <c r="NV357" s="173"/>
      <c r="NW357" s="173"/>
      <c r="NX357" s="173"/>
      <c r="NY357" s="173"/>
      <c r="NZ357" s="173"/>
      <c r="OA357" s="173"/>
      <c r="OB357" s="173"/>
      <c r="OC357" s="125"/>
      <c r="OD357" s="125"/>
      <c r="OE357" s="134"/>
      <c r="OF357" s="135"/>
      <c r="OG357" s="135"/>
      <c r="OH357" s="135"/>
      <c r="OI357" s="135"/>
      <c r="OJ357" s="173"/>
      <c r="OK357" s="173"/>
      <c r="OL357" s="173"/>
      <c r="OM357" s="173"/>
      <c r="ON357" s="173"/>
      <c r="OO357" s="173"/>
      <c r="OP357" s="173"/>
      <c r="OQ357" s="173"/>
      <c r="OR357" s="173"/>
      <c r="OS357" s="173"/>
      <c r="OT357" s="125"/>
      <c r="OU357" s="125"/>
      <c r="OV357" s="134"/>
      <c r="OW357" s="135"/>
      <c r="OX357" s="135"/>
      <c r="OY357" s="135"/>
      <c r="OZ357" s="135"/>
      <c r="PA357" s="173"/>
      <c r="PB357" s="173"/>
      <c r="PC357" s="173"/>
      <c r="PD357" s="173"/>
      <c r="PE357" s="173"/>
      <c r="PF357" s="173"/>
      <c r="PG357" s="173"/>
      <c r="PH357" s="173"/>
      <c r="PI357" s="173"/>
      <c r="PJ357" s="173"/>
      <c r="PK357" s="125"/>
      <c r="PL357" s="125"/>
      <c r="PM357" s="134"/>
      <c r="PN357" s="135"/>
      <c r="PO357" s="135"/>
      <c r="PP357" s="135"/>
      <c r="PQ357" s="135"/>
      <c r="PR357" s="173"/>
      <c r="PS357" s="173"/>
      <c r="PT357" s="173"/>
      <c r="PU357" s="173"/>
      <c r="PV357" s="173"/>
      <c r="PW357" s="173"/>
      <c r="PX357" s="173"/>
      <c r="PY357" s="173"/>
      <c r="PZ357" s="173"/>
      <c r="QA357" s="173"/>
      <c r="QB357" s="125"/>
      <c r="QC357" s="125"/>
      <c r="QD357" s="134"/>
      <c r="QE357" s="135"/>
      <c r="QF357" s="135"/>
      <c r="QG357" s="135"/>
      <c r="QH357" s="135"/>
      <c r="QI357" s="173"/>
      <c r="QJ357" s="173"/>
      <c r="QK357" s="173"/>
      <c r="QL357" s="173"/>
      <c r="QM357" s="173"/>
      <c r="QN357" s="173"/>
      <c r="QO357" s="173"/>
      <c r="QP357" s="173"/>
      <c r="QQ357" s="173"/>
      <c r="QR357" s="173"/>
      <c r="QS357" s="125"/>
      <c r="QT357" s="125"/>
      <c r="QU357" s="134"/>
      <c r="QV357" s="135"/>
      <c r="QW357" s="135"/>
      <c r="QX357" s="135"/>
      <c r="QY357" s="135"/>
      <c r="QZ357" s="173"/>
      <c r="RA357" s="173"/>
      <c r="RB357" s="173"/>
      <c r="RC357" s="173"/>
      <c r="RD357" s="173"/>
      <c r="RE357" s="173"/>
      <c r="RF357" s="173"/>
      <c r="RG357" s="173"/>
      <c r="RH357" s="173"/>
      <c r="RI357" s="173"/>
      <c r="RJ357" s="125"/>
      <c r="RK357" s="125"/>
      <c r="RL357" s="134"/>
      <c r="RM357" s="135"/>
      <c r="RN357" s="135"/>
      <c r="RO357" s="135"/>
      <c r="RP357" s="135"/>
      <c r="RQ357" s="173"/>
      <c r="RR357" s="173"/>
      <c r="RS357" s="173"/>
      <c r="RT357" s="173"/>
      <c r="RU357" s="173"/>
      <c r="RV357" s="173"/>
      <c r="RW357" s="173"/>
      <c r="RX357" s="173"/>
      <c r="RY357" s="173"/>
      <c r="RZ357" s="173"/>
      <c r="SA357" s="125"/>
      <c r="SB357" s="125"/>
      <c r="SC357" s="134"/>
      <c r="SD357" s="135"/>
      <c r="SE357" s="135"/>
      <c r="SF357" s="135"/>
      <c r="SG357" s="135"/>
      <c r="SH357" s="173"/>
      <c r="SI357" s="173"/>
      <c r="SJ357" s="173"/>
      <c r="SK357" s="173"/>
      <c r="SL357" s="173"/>
      <c r="SM357" s="173"/>
      <c r="SN357" s="173"/>
      <c r="SO357" s="173"/>
      <c r="SP357" s="173"/>
      <c r="SQ357" s="173"/>
      <c r="SR357" s="125"/>
      <c r="SS357" s="125"/>
      <c r="ST357" s="134"/>
      <c r="SU357" s="135"/>
      <c r="SV357" s="135"/>
      <c r="SW357" s="135"/>
      <c r="SX357" s="135"/>
      <c r="SY357" s="173"/>
      <c r="SZ357" s="173"/>
      <c r="TA357" s="173"/>
      <c r="TB357" s="173"/>
      <c r="TC357" s="173"/>
      <c r="TD357" s="173"/>
      <c r="TE357" s="173"/>
      <c r="TF357" s="173"/>
      <c r="TG357" s="173"/>
      <c r="TH357" s="173"/>
      <c r="TI357" s="125"/>
      <c r="TJ357" s="125"/>
      <c r="TK357" s="134"/>
      <c r="TL357" s="135"/>
      <c r="TM357" s="135"/>
      <c r="TN357" s="135"/>
      <c r="TO357" s="135"/>
      <c r="TP357" s="173"/>
      <c r="TQ357" s="173"/>
      <c r="TR357" s="173"/>
      <c r="TS357" s="173"/>
      <c r="TT357" s="173"/>
      <c r="TU357" s="173"/>
      <c r="TV357" s="173"/>
      <c r="TW357" s="173"/>
      <c r="TX357" s="173"/>
      <c r="TY357" s="173"/>
      <c r="TZ357" s="125"/>
      <c r="UA357" s="125"/>
      <c r="UB357" s="134"/>
      <c r="UC357" s="135"/>
      <c r="UD357" s="135"/>
      <c r="UE357" s="135"/>
      <c r="UF357" s="135"/>
      <c r="UG357" s="173"/>
      <c r="UH357" s="173"/>
      <c r="UI357" s="173"/>
      <c r="UJ357" s="173"/>
      <c r="UK357" s="173"/>
      <c r="UL357" s="173"/>
      <c r="UM357" s="173"/>
      <c r="UN357" s="173"/>
      <c r="UO357" s="173"/>
      <c r="UP357" s="173"/>
      <c r="UQ357" s="125"/>
      <c r="UR357" s="125"/>
      <c r="US357" s="134"/>
      <c r="UT357" s="135"/>
      <c r="UU357" s="135"/>
      <c r="UV357" s="135"/>
      <c r="UW357" s="135"/>
      <c r="UX357" s="173"/>
      <c r="UY357" s="173"/>
      <c r="UZ357" s="173"/>
      <c r="VA357" s="173"/>
      <c r="VB357" s="173"/>
      <c r="VC357" s="173"/>
      <c r="VD357" s="173"/>
      <c r="VE357" s="173"/>
      <c r="VF357" s="173"/>
      <c r="VG357" s="173"/>
      <c r="VH357" s="125"/>
      <c r="VI357" s="125"/>
      <c r="VJ357" s="134"/>
      <c r="VK357" s="135"/>
      <c r="VL357" s="135"/>
      <c r="VM357" s="135"/>
      <c r="VN357" s="135"/>
      <c r="VO357" s="173"/>
      <c r="VP357" s="173"/>
      <c r="VQ357" s="173"/>
      <c r="VR357" s="173"/>
      <c r="VS357" s="173"/>
      <c r="VT357" s="173"/>
      <c r="VU357" s="173"/>
      <c r="VV357" s="173"/>
      <c r="VW357" s="173"/>
      <c r="VX357" s="173"/>
      <c r="VY357" s="125"/>
      <c r="VZ357" s="125"/>
      <c r="WA357" s="134"/>
      <c r="WB357" s="135"/>
      <c r="WC357" s="135"/>
      <c r="WD357" s="135"/>
      <c r="WE357" s="135"/>
      <c r="WF357" s="173"/>
      <c r="WG357" s="173"/>
      <c r="WH357" s="173"/>
      <c r="WI357" s="173"/>
      <c r="WJ357" s="173"/>
      <c r="WK357" s="173"/>
      <c r="WL357" s="173"/>
      <c r="WM357" s="173"/>
      <c r="WN357" s="173"/>
      <c r="WO357" s="173"/>
      <c r="WP357" s="125"/>
      <c r="WQ357" s="125"/>
      <c r="WR357" s="134"/>
      <c r="WS357" s="135"/>
      <c r="WT357" s="135"/>
      <c r="WU357" s="135"/>
      <c r="WV357" s="135"/>
      <c r="WW357" s="173"/>
      <c r="WX357" s="173"/>
      <c r="WY357" s="173"/>
      <c r="WZ357" s="173"/>
      <c r="XA357" s="173"/>
      <c r="XB357" s="173"/>
      <c r="XC357" s="173"/>
      <c r="XD357" s="173"/>
      <c r="XE357" s="173"/>
      <c r="XF357" s="173"/>
      <c r="XG357" s="125"/>
      <c r="XH357" s="125"/>
      <c r="XI357" s="134"/>
      <c r="XJ357" s="135"/>
      <c r="XK357" s="135"/>
      <c r="XL357" s="135"/>
      <c r="XM357" s="135"/>
      <c r="XN357" s="173"/>
      <c r="XO357" s="173"/>
      <c r="XP357" s="173"/>
      <c r="XQ357" s="173"/>
      <c r="XR357" s="173"/>
      <c r="XS357" s="173"/>
      <c r="XT357" s="173"/>
      <c r="XU357" s="173"/>
      <c r="XV357" s="173"/>
      <c r="XW357" s="173"/>
      <c r="XX357" s="125"/>
      <c r="XY357" s="125"/>
      <c r="XZ357" s="134"/>
      <c r="YA357" s="135"/>
      <c r="YB357" s="135"/>
      <c r="YC357" s="135"/>
      <c r="YD357" s="135"/>
      <c r="YE357" s="173"/>
      <c r="YF357" s="173"/>
      <c r="YG357" s="173"/>
      <c r="YH357" s="173"/>
      <c r="YI357" s="173"/>
      <c r="YJ357" s="173"/>
      <c r="YK357" s="173"/>
      <c r="YL357" s="173"/>
      <c r="YM357" s="173"/>
      <c r="YN357" s="173"/>
      <c r="YO357" s="125"/>
      <c r="YP357" s="125"/>
      <c r="YQ357" s="134"/>
      <c r="YR357" s="135"/>
      <c r="YS357" s="135"/>
      <c r="YT357" s="135"/>
      <c r="YU357" s="135"/>
      <c r="YV357" s="173"/>
      <c r="YW357" s="173"/>
      <c r="YX357" s="173"/>
      <c r="YY357" s="173"/>
      <c r="YZ357" s="173"/>
      <c r="ZA357" s="173"/>
      <c r="ZB357" s="173"/>
      <c r="ZC357" s="173"/>
      <c r="ZD357" s="173"/>
      <c r="ZE357" s="173"/>
      <c r="ZF357" s="125"/>
      <c r="ZG357" s="125"/>
      <c r="ZH357" s="134"/>
      <c r="ZI357" s="135"/>
      <c r="ZJ357" s="135"/>
      <c r="ZK357" s="135"/>
      <c r="ZL357" s="135"/>
      <c r="ZM357" s="173"/>
      <c r="ZN357" s="173"/>
      <c r="ZO357" s="173"/>
      <c r="ZP357" s="173"/>
      <c r="ZQ357" s="173"/>
      <c r="ZR357" s="173"/>
      <c r="ZS357" s="173"/>
      <c r="ZT357" s="173"/>
      <c r="ZU357" s="173"/>
      <c r="ZV357" s="173"/>
      <c r="ZW357" s="125"/>
      <c r="ZX357" s="125"/>
      <c r="ZY357" s="134"/>
      <c r="ZZ357" s="135"/>
      <c r="AAA357" s="135"/>
      <c r="AAB357" s="135"/>
      <c r="AAC357" s="135"/>
      <c r="AAD357" s="173"/>
      <c r="AAE357" s="173"/>
      <c r="AAF357" s="173"/>
      <c r="AAG357" s="173"/>
      <c r="AAH357" s="173"/>
      <c r="AAI357" s="173"/>
      <c r="AAJ357" s="173"/>
      <c r="AAK357" s="173"/>
      <c r="AAL357" s="173"/>
      <c r="AAM357" s="173"/>
      <c r="AAN357" s="125"/>
      <c r="AAO357" s="125"/>
      <c r="AAP357" s="134"/>
      <c r="AAQ357" s="135"/>
      <c r="AAR357" s="135"/>
      <c r="AAS357" s="135"/>
      <c r="AAT357" s="135"/>
      <c r="AAU357" s="173"/>
      <c r="AAV357" s="173"/>
      <c r="AAW357" s="173"/>
      <c r="AAX357" s="173"/>
      <c r="AAY357" s="173"/>
      <c r="AAZ357" s="173"/>
      <c r="ABA357" s="173"/>
      <c r="ABB357" s="173"/>
      <c r="ABC357" s="173"/>
      <c r="ABD357" s="173"/>
      <c r="ABE357" s="125"/>
      <c r="ABF357" s="125"/>
      <c r="ABG357" s="134"/>
      <c r="ABH357" s="135"/>
      <c r="ABI357" s="135"/>
      <c r="ABJ357" s="135"/>
      <c r="ABK357" s="135"/>
      <c r="ABL357" s="173"/>
      <c r="ABM357" s="173"/>
      <c r="ABN357" s="173"/>
      <c r="ABO357" s="173"/>
      <c r="ABP357" s="173"/>
      <c r="ABQ357" s="173"/>
      <c r="ABR357" s="173"/>
      <c r="ABS357" s="173"/>
      <c r="ABT357" s="173"/>
      <c r="ABU357" s="173"/>
      <c r="ABV357" s="125"/>
      <c r="ABW357" s="125"/>
      <c r="ABX357" s="134"/>
      <c r="ABY357" s="135"/>
      <c r="ABZ357" s="135"/>
      <c r="ACA357" s="135"/>
      <c r="ACB357" s="135"/>
      <c r="ACC357" s="173"/>
      <c r="ACD357" s="173"/>
      <c r="ACE357" s="173"/>
      <c r="ACF357" s="173"/>
      <c r="ACG357" s="173"/>
      <c r="ACH357" s="173"/>
      <c r="ACI357" s="173"/>
      <c r="ACJ357" s="173"/>
      <c r="ACK357" s="173"/>
      <c r="ACL357" s="173"/>
      <c r="ACM357" s="125"/>
      <c r="ACN357" s="125"/>
      <c r="ACO357" s="134"/>
      <c r="ACP357" s="135"/>
      <c r="ACQ357" s="135"/>
      <c r="ACR357" s="135"/>
      <c r="ACS357" s="135"/>
      <c r="ACT357" s="173"/>
      <c r="ACU357" s="173"/>
      <c r="ACV357" s="173"/>
      <c r="ACW357" s="173"/>
      <c r="ACX357" s="173"/>
      <c r="ACY357" s="173"/>
      <c r="ACZ357" s="173"/>
      <c r="ADA357" s="173"/>
      <c r="ADB357" s="173"/>
      <c r="ADC357" s="173"/>
      <c r="ADD357" s="125"/>
      <c r="ADE357" s="125"/>
      <c r="ADF357" s="134"/>
      <c r="ADG357" s="135"/>
      <c r="ADH357" s="135"/>
      <c r="ADI357" s="135"/>
      <c r="ADJ357" s="135"/>
      <c r="ADK357" s="173"/>
      <c r="ADL357" s="173"/>
      <c r="ADM357" s="173"/>
      <c r="ADN357" s="173"/>
      <c r="ADO357" s="173"/>
      <c r="ADP357" s="173"/>
      <c r="ADQ357" s="173"/>
      <c r="ADR357" s="173"/>
      <c r="ADS357" s="173"/>
      <c r="ADT357" s="173"/>
      <c r="ADU357" s="125"/>
      <c r="ADV357" s="125"/>
      <c r="ADW357" s="134"/>
      <c r="ADX357" s="135"/>
      <c r="ADY357" s="135"/>
      <c r="ADZ357" s="135"/>
      <c r="AEA357" s="135"/>
      <c r="AEB357" s="173"/>
      <c r="AEC357" s="173"/>
      <c r="AED357" s="173"/>
      <c r="AEE357" s="173"/>
      <c r="AEF357" s="173"/>
      <c r="AEG357" s="173"/>
      <c r="AEH357" s="173"/>
      <c r="AEI357" s="173"/>
      <c r="AEJ357" s="173"/>
      <c r="AEK357" s="173"/>
      <c r="AEL357" s="125"/>
      <c r="AEM357" s="125"/>
      <c r="AEN357" s="134"/>
      <c r="AEO357" s="135"/>
      <c r="AEP357" s="135"/>
      <c r="AEQ357" s="135"/>
      <c r="AER357" s="135"/>
      <c r="AES357" s="173"/>
      <c r="AET357" s="173"/>
      <c r="AEU357" s="173"/>
      <c r="AEV357" s="173"/>
      <c r="AEW357" s="173"/>
      <c r="AEX357" s="173"/>
      <c r="AEY357" s="173"/>
      <c r="AEZ357" s="173"/>
      <c r="AFA357" s="173"/>
      <c r="AFB357" s="173"/>
      <c r="AFC357" s="125"/>
      <c r="AFD357" s="125"/>
      <c r="AFE357" s="134"/>
      <c r="AFF357" s="135"/>
      <c r="AFG357" s="135"/>
      <c r="AFH357" s="135"/>
      <c r="AFI357" s="135"/>
      <c r="AFJ357" s="173"/>
      <c r="AFK357" s="173"/>
      <c r="AFL357" s="173"/>
      <c r="AFM357" s="173"/>
      <c r="AFN357" s="173"/>
      <c r="AFO357" s="173"/>
      <c r="AFP357" s="173"/>
      <c r="AFQ357" s="173"/>
      <c r="AFR357" s="173"/>
      <c r="AFS357" s="173"/>
      <c r="AFT357" s="125"/>
      <c r="AFU357" s="125"/>
      <c r="AFV357" s="134"/>
      <c r="AFW357" s="135"/>
      <c r="AFX357" s="135"/>
      <c r="AFY357" s="135"/>
      <c r="AFZ357" s="135"/>
      <c r="AGA357" s="173"/>
      <c r="AGB357" s="173"/>
      <c r="AGC357" s="173"/>
      <c r="AGD357" s="173"/>
      <c r="AGE357" s="173"/>
      <c r="AGF357" s="173"/>
      <c r="AGG357" s="173"/>
      <c r="AGH357" s="173"/>
      <c r="AGI357" s="173"/>
      <c r="AGJ357" s="173"/>
      <c r="AGK357" s="125"/>
      <c r="AGL357" s="125"/>
      <c r="AGM357" s="134"/>
      <c r="AGN357" s="135"/>
      <c r="AGO357" s="135"/>
      <c r="AGP357" s="135"/>
      <c r="AGQ357" s="135"/>
      <c r="AGR357" s="173"/>
      <c r="AGS357" s="173"/>
      <c r="AGT357" s="173"/>
      <c r="AGU357" s="173"/>
      <c r="AGV357" s="173"/>
      <c r="AGW357" s="173"/>
      <c r="AGX357" s="173"/>
      <c r="AGY357" s="173"/>
      <c r="AGZ357" s="173"/>
      <c r="AHA357" s="173"/>
      <c r="AHB357" s="125"/>
      <c r="AHC357" s="125"/>
      <c r="AHD357" s="134"/>
      <c r="AHE357" s="135"/>
      <c r="AHF357" s="135"/>
      <c r="AHG357" s="135"/>
      <c r="AHH357" s="135"/>
      <c r="AHI357" s="173"/>
      <c r="AHJ357" s="173"/>
      <c r="AHK357" s="173"/>
      <c r="AHL357" s="173"/>
      <c r="AHM357" s="173"/>
      <c r="AHN357" s="173"/>
      <c r="AHO357" s="173"/>
      <c r="AHP357" s="173"/>
      <c r="AHQ357" s="173"/>
      <c r="AHR357" s="173"/>
      <c r="AHS357" s="125"/>
      <c r="AHT357" s="125"/>
      <c r="AHU357" s="134"/>
      <c r="AHV357" s="135"/>
      <c r="AHW357" s="135"/>
      <c r="AHX357" s="135"/>
      <c r="AHY357" s="135"/>
      <c r="AHZ357" s="173"/>
      <c r="AIA357" s="173"/>
      <c r="AIB357" s="173"/>
      <c r="AIC357" s="173"/>
      <c r="AID357" s="173"/>
      <c r="AIE357" s="173"/>
      <c r="AIF357" s="173"/>
      <c r="AIG357" s="173"/>
      <c r="AIH357" s="173"/>
      <c r="AII357" s="173"/>
      <c r="AIJ357" s="125"/>
      <c r="AIK357" s="125"/>
      <c r="AIL357" s="134"/>
      <c r="AIM357" s="135"/>
      <c r="AIN357" s="135"/>
      <c r="AIO357" s="135"/>
      <c r="AIP357" s="135"/>
      <c r="AIQ357" s="173"/>
      <c r="AIR357" s="173"/>
      <c r="AIS357" s="173"/>
      <c r="AIT357" s="173"/>
      <c r="AIU357" s="173"/>
      <c r="AIV357" s="173"/>
      <c r="AIW357" s="173"/>
      <c r="AIX357" s="173"/>
      <c r="AIY357" s="173"/>
      <c r="AIZ357" s="173"/>
      <c r="AJA357" s="125"/>
      <c r="AJB357" s="125"/>
      <c r="AJC357" s="134"/>
      <c r="AJD357" s="135"/>
      <c r="AJE357" s="135"/>
      <c r="AJF357" s="135"/>
      <c r="AJG357" s="135"/>
      <c r="AJH357" s="173"/>
      <c r="AJI357" s="173"/>
      <c r="AJJ357" s="173"/>
      <c r="AJK357" s="173"/>
      <c r="AJL357" s="173"/>
      <c r="AJM357" s="173"/>
      <c r="AJN357" s="173"/>
      <c r="AJO357" s="173"/>
      <c r="AJP357" s="173"/>
      <c r="AJQ357" s="173"/>
      <c r="AJR357" s="125"/>
      <c r="AJS357" s="125"/>
      <c r="AJT357" s="134"/>
      <c r="AJU357" s="135"/>
      <c r="AJV357" s="135"/>
      <c r="AJW357" s="135"/>
      <c r="AJX357" s="135"/>
      <c r="AJY357" s="173"/>
      <c r="AJZ357" s="173"/>
      <c r="AKA357" s="173"/>
      <c r="AKB357" s="173"/>
      <c r="AKC357" s="173"/>
      <c r="AKD357" s="173"/>
      <c r="AKE357" s="173"/>
      <c r="AKF357" s="173"/>
      <c r="AKG357" s="173"/>
      <c r="AKH357" s="173"/>
      <c r="AKI357" s="125"/>
      <c r="AKJ357" s="125"/>
      <c r="AKK357" s="134"/>
      <c r="AKL357" s="135"/>
      <c r="AKM357" s="135"/>
      <c r="AKN357" s="135"/>
      <c r="AKO357" s="135"/>
      <c r="AKP357" s="173"/>
      <c r="AKQ357" s="173"/>
      <c r="AKR357" s="173"/>
      <c r="AKS357" s="173"/>
      <c r="AKT357" s="173"/>
      <c r="AKU357" s="173"/>
      <c r="AKV357" s="173"/>
      <c r="AKW357" s="173"/>
      <c r="AKX357" s="173"/>
      <c r="AKY357" s="173"/>
      <c r="AKZ357" s="125"/>
      <c r="ALA357" s="125"/>
      <c r="ALB357" s="134"/>
      <c r="ALC357" s="135"/>
      <c r="ALD357" s="135"/>
      <c r="ALE357" s="135"/>
      <c r="ALF357" s="135"/>
      <c r="ALG357" s="173"/>
      <c r="ALH357" s="173"/>
      <c r="ALI357" s="173"/>
      <c r="ALJ357" s="173"/>
      <c r="ALK357" s="173"/>
      <c r="ALL357" s="173"/>
      <c r="ALM357" s="173"/>
      <c r="ALN357" s="173"/>
      <c r="ALO357" s="173"/>
      <c r="ALP357" s="173"/>
      <c r="ALQ357" s="125"/>
      <c r="ALR357" s="125"/>
      <c r="ALS357" s="134"/>
      <c r="ALT357" s="135"/>
      <c r="ALU357" s="135"/>
      <c r="ALV357" s="135"/>
      <c r="ALW357" s="135"/>
      <c r="ALX357" s="173"/>
      <c r="ALY357" s="173"/>
      <c r="ALZ357" s="173"/>
      <c r="AMA357" s="173"/>
      <c r="AMB357" s="173"/>
      <c r="AMC357" s="173"/>
      <c r="AMD357" s="173"/>
      <c r="AME357" s="173"/>
      <c r="AMF357" s="173"/>
      <c r="AMG357" s="173"/>
      <c r="AMH357" s="125"/>
      <c r="AMI357" s="125"/>
      <c r="AMJ357" s="134"/>
      <c r="AMK357" s="135"/>
      <c r="AML357" s="135"/>
      <c r="AMM357" s="135"/>
      <c r="AMN357" s="135"/>
      <c r="AMO357" s="173"/>
      <c r="AMP357" s="173"/>
      <c r="AMQ357" s="173"/>
      <c r="AMR357" s="173"/>
      <c r="AMS357" s="173"/>
      <c r="AMT357" s="173"/>
      <c r="AMU357" s="173"/>
      <c r="AMV357" s="173"/>
      <c r="AMW357" s="173"/>
      <c r="AMX357" s="173"/>
      <c r="AMY357" s="125"/>
      <c r="AMZ357" s="125"/>
      <c r="ANA357" s="134"/>
      <c r="ANB357" s="135"/>
      <c r="ANC357" s="135"/>
      <c r="AND357" s="135"/>
      <c r="ANE357" s="135"/>
      <c r="ANF357" s="173"/>
      <c r="ANG357" s="173"/>
      <c r="ANH357" s="173"/>
      <c r="ANI357" s="173"/>
      <c r="ANJ357" s="173"/>
      <c r="ANK357" s="173"/>
      <c r="ANL357" s="173"/>
      <c r="ANM357" s="173"/>
      <c r="ANN357" s="173"/>
      <c r="ANO357" s="173"/>
      <c r="ANP357" s="125"/>
      <c r="ANQ357" s="125"/>
      <c r="ANR357" s="134"/>
      <c r="ANS357" s="135"/>
      <c r="ANT357" s="135"/>
      <c r="ANU357" s="135"/>
      <c r="ANV357" s="135"/>
      <c r="ANW357" s="173"/>
      <c r="ANX357" s="173"/>
      <c r="ANY357" s="173"/>
      <c r="ANZ357" s="173"/>
      <c r="AOA357" s="173"/>
      <c r="AOB357" s="173"/>
      <c r="AOC357" s="173"/>
      <c r="AOD357" s="173"/>
      <c r="AOE357" s="173"/>
      <c r="AOF357" s="173"/>
      <c r="AOG357" s="125"/>
      <c r="AOH357" s="125"/>
      <c r="AOI357" s="134"/>
      <c r="AOJ357" s="135"/>
      <c r="AOK357" s="135"/>
      <c r="AOL357" s="135"/>
      <c r="AOM357" s="135"/>
      <c r="AON357" s="173"/>
      <c r="AOO357" s="173"/>
      <c r="AOP357" s="173"/>
      <c r="AOQ357" s="173"/>
      <c r="AOR357" s="173"/>
      <c r="AOS357" s="173"/>
      <c r="AOT357" s="173"/>
      <c r="AOU357" s="173"/>
      <c r="AOV357" s="173"/>
      <c r="AOW357" s="173"/>
      <c r="AOX357" s="125"/>
      <c r="AOY357" s="125"/>
      <c r="AOZ357" s="134"/>
      <c r="APA357" s="135"/>
      <c r="APB357" s="135"/>
      <c r="APC357" s="135"/>
      <c r="APD357" s="135"/>
      <c r="APE357" s="173"/>
      <c r="APF357" s="173"/>
      <c r="APG357" s="173"/>
      <c r="APH357" s="173"/>
      <c r="API357" s="173"/>
      <c r="APJ357" s="173"/>
      <c r="APK357" s="173"/>
      <c r="APL357" s="173"/>
      <c r="APM357" s="173"/>
      <c r="APN357" s="173"/>
      <c r="APO357" s="125"/>
      <c r="APP357" s="125"/>
      <c r="APQ357" s="134"/>
      <c r="APR357" s="135"/>
      <c r="APS357" s="135"/>
      <c r="APT357" s="135"/>
      <c r="APU357" s="135"/>
      <c r="APV357" s="173"/>
      <c r="APW357" s="173"/>
      <c r="APX357" s="173"/>
      <c r="APY357" s="173"/>
      <c r="APZ357" s="173"/>
      <c r="AQA357" s="173"/>
      <c r="AQB357" s="173"/>
      <c r="AQC357" s="173"/>
      <c r="AQD357" s="173"/>
      <c r="AQE357" s="173"/>
      <c r="AQF357" s="125"/>
      <c r="AQG357" s="125"/>
      <c r="AQH357" s="134"/>
      <c r="AQI357" s="135"/>
      <c r="AQJ357" s="135"/>
      <c r="AQK357" s="135"/>
      <c r="AQL357" s="135"/>
      <c r="AQM357" s="173"/>
      <c r="AQN357" s="173"/>
      <c r="AQO357" s="173"/>
      <c r="AQP357" s="173"/>
      <c r="AQQ357" s="173"/>
      <c r="AQR357" s="173"/>
      <c r="AQS357" s="173"/>
      <c r="AQT357" s="173"/>
      <c r="AQU357" s="173"/>
      <c r="AQV357" s="173"/>
      <c r="AQW357" s="125"/>
      <c r="AQX357" s="125"/>
      <c r="AQY357" s="134"/>
      <c r="AQZ357" s="135"/>
      <c r="ARA357" s="135"/>
      <c r="ARB357" s="135"/>
      <c r="ARC357" s="135"/>
      <c r="ARD357" s="173"/>
      <c r="ARE357" s="173"/>
      <c r="ARF357" s="173"/>
      <c r="ARG357" s="173"/>
      <c r="ARH357" s="173"/>
      <c r="ARI357" s="173"/>
      <c r="ARJ357" s="173"/>
      <c r="ARK357" s="173"/>
      <c r="ARL357" s="173"/>
      <c r="ARM357" s="173"/>
      <c r="ARN357" s="125"/>
      <c r="ARO357" s="125"/>
      <c r="ARP357" s="134"/>
      <c r="ARQ357" s="135"/>
      <c r="ARR357" s="135"/>
      <c r="ARS357" s="135"/>
      <c r="ART357" s="135"/>
      <c r="ARU357" s="173"/>
      <c r="ARV357" s="173"/>
      <c r="ARW357" s="173"/>
      <c r="ARX357" s="173"/>
      <c r="ARY357" s="173"/>
      <c r="ARZ357" s="173"/>
      <c r="ASA357" s="173"/>
      <c r="ASB357" s="173"/>
      <c r="ASC357" s="173"/>
      <c r="ASD357" s="173"/>
      <c r="ASE357" s="125"/>
      <c r="ASF357" s="125"/>
      <c r="ASG357" s="134"/>
      <c r="ASH357" s="135"/>
      <c r="ASI357" s="135"/>
      <c r="ASJ357" s="135"/>
      <c r="ASK357" s="135"/>
      <c r="ASL357" s="173"/>
      <c r="ASM357" s="173"/>
      <c r="ASN357" s="173"/>
      <c r="ASO357" s="173"/>
      <c r="ASP357" s="173"/>
      <c r="ASQ357" s="173"/>
      <c r="ASR357" s="173"/>
      <c r="ASS357" s="173"/>
      <c r="AST357" s="173"/>
      <c r="ASU357" s="173"/>
      <c r="ASV357" s="125"/>
      <c r="ASW357" s="125"/>
      <c r="ASX357" s="134"/>
      <c r="ASY357" s="135"/>
      <c r="ASZ357" s="135"/>
      <c r="ATA357" s="135"/>
      <c r="ATB357" s="135"/>
      <c r="ATC357" s="173"/>
      <c r="ATD357" s="173"/>
      <c r="ATE357" s="173"/>
      <c r="ATF357" s="173"/>
      <c r="ATG357" s="173"/>
      <c r="ATH357" s="173"/>
      <c r="ATI357" s="173"/>
      <c r="ATJ357" s="173"/>
      <c r="ATK357" s="173"/>
      <c r="ATL357" s="173"/>
      <c r="ATM357" s="125"/>
      <c r="ATN357" s="125"/>
      <c r="ATO357" s="134"/>
      <c r="ATP357" s="135"/>
      <c r="ATQ357" s="135"/>
      <c r="ATR357" s="135"/>
      <c r="ATS357" s="135"/>
      <c r="ATT357" s="173"/>
      <c r="ATU357" s="173"/>
      <c r="ATV357" s="173"/>
      <c r="ATW357" s="173"/>
      <c r="ATX357" s="173"/>
      <c r="ATY357" s="173"/>
      <c r="ATZ357" s="173"/>
      <c r="AUA357" s="173"/>
      <c r="AUB357" s="173"/>
      <c r="AUC357" s="173"/>
      <c r="AUD357" s="125"/>
      <c r="AUE357" s="125"/>
      <c r="AUF357" s="134"/>
      <c r="AUG357" s="135"/>
      <c r="AUH357" s="135"/>
      <c r="AUI357" s="135"/>
      <c r="AUJ357" s="135"/>
      <c r="AUK357" s="173"/>
      <c r="AUL357" s="173"/>
      <c r="AUM357" s="173"/>
      <c r="AUN357" s="173"/>
      <c r="AUO357" s="173"/>
      <c r="AUP357" s="173"/>
      <c r="AUQ357" s="173"/>
      <c r="AUR357" s="173"/>
      <c r="AUS357" s="173"/>
      <c r="AUT357" s="173"/>
      <c r="AUU357" s="125"/>
      <c r="AUV357" s="125"/>
      <c r="AUW357" s="134"/>
      <c r="AUX357" s="135"/>
      <c r="AUY357" s="135"/>
      <c r="AUZ357" s="135"/>
      <c r="AVA357" s="135"/>
      <c r="AVB357" s="173"/>
      <c r="AVC357" s="173"/>
      <c r="AVD357" s="173"/>
      <c r="AVE357" s="173"/>
      <c r="AVF357" s="173"/>
      <c r="AVG357" s="173"/>
      <c r="AVH357" s="173"/>
      <c r="AVI357" s="173"/>
      <c r="AVJ357" s="173"/>
      <c r="AVK357" s="173"/>
      <c r="AVL357" s="125"/>
      <c r="AVM357" s="125"/>
      <c r="AVN357" s="134"/>
      <c r="AVO357" s="135"/>
      <c r="AVP357" s="135"/>
      <c r="AVQ357" s="135"/>
      <c r="AVR357" s="135"/>
      <c r="AVS357" s="173"/>
      <c r="AVT357" s="173"/>
      <c r="AVU357" s="173"/>
      <c r="AVV357" s="173"/>
      <c r="AVW357" s="173"/>
      <c r="AVX357" s="173"/>
      <c r="AVY357" s="173"/>
      <c r="AVZ357" s="173"/>
      <c r="AWA357" s="173"/>
      <c r="AWB357" s="173"/>
      <c r="AWC357" s="125"/>
      <c r="AWD357" s="125"/>
      <c r="AWE357" s="134"/>
      <c r="AWF357" s="135"/>
      <c r="AWG357" s="135"/>
      <c r="AWH357" s="135"/>
      <c r="AWI357" s="135"/>
      <c r="AWJ357" s="173"/>
      <c r="AWK357" s="173"/>
      <c r="AWL357" s="173"/>
      <c r="AWM357" s="173"/>
      <c r="AWN357" s="173"/>
      <c r="AWO357" s="173"/>
      <c r="AWP357" s="173"/>
      <c r="AWQ357" s="173"/>
      <c r="AWR357" s="173"/>
      <c r="AWS357" s="173"/>
      <c r="AWT357" s="125"/>
      <c r="AWU357" s="125"/>
      <c r="AWV357" s="134"/>
      <c r="AWW357" s="135"/>
      <c r="AWX357" s="135"/>
      <c r="AWY357" s="135"/>
      <c r="AWZ357" s="135"/>
      <c r="AXA357" s="173"/>
      <c r="AXB357" s="173"/>
      <c r="AXC357" s="173"/>
      <c r="AXD357" s="173"/>
      <c r="AXE357" s="173"/>
      <c r="AXF357" s="173"/>
      <c r="AXG357" s="173"/>
      <c r="AXH357" s="173"/>
      <c r="AXI357" s="173"/>
      <c r="AXJ357" s="173"/>
      <c r="AXK357" s="125"/>
      <c r="AXL357" s="125"/>
      <c r="AXM357" s="134"/>
      <c r="AXN357" s="135"/>
      <c r="AXO357" s="135"/>
      <c r="AXP357" s="135"/>
      <c r="AXQ357" s="135"/>
      <c r="AXR357" s="173"/>
      <c r="AXS357" s="173"/>
      <c r="AXT357" s="173"/>
      <c r="AXU357" s="173"/>
      <c r="AXV357" s="173"/>
      <c r="AXW357" s="173"/>
      <c r="AXX357" s="173"/>
      <c r="AXY357" s="173"/>
      <c r="AXZ357" s="173"/>
      <c r="AYA357" s="173"/>
      <c r="AYB357" s="125"/>
      <c r="AYC357" s="125"/>
      <c r="AYD357" s="134"/>
      <c r="AYE357" s="135"/>
      <c r="AYF357" s="135"/>
      <c r="AYG357" s="135"/>
      <c r="AYH357" s="135"/>
      <c r="AYI357" s="173"/>
      <c r="AYJ357" s="173"/>
      <c r="AYK357" s="173"/>
      <c r="AYL357" s="173"/>
      <c r="AYM357" s="173"/>
      <c r="AYN357" s="173"/>
      <c r="AYO357" s="173"/>
      <c r="AYP357" s="173"/>
      <c r="AYQ357" s="173"/>
      <c r="AYR357" s="173"/>
      <c r="AYS357" s="125"/>
      <c r="AYT357" s="125"/>
      <c r="AYU357" s="134"/>
      <c r="AYV357" s="135"/>
      <c r="AYW357" s="135"/>
      <c r="AYX357" s="135"/>
      <c r="AYY357" s="135"/>
      <c r="AYZ357" s="173"/>
      <c r="AZA357" s="173"/>
      <c r="AZB357" s="173"/>
      <c r="AZC357" s="173"/>
      <c r="AZD357" s="173"/>
      <c r="AZE357" s="173"/>
      <c r="AZF357" s="173"/>
      <c r="AZG357" s="173"/>
      <c r="AZH357" s="173"/>
      <c r="AZI357" s="173"/>
      <c r="AZJ357" s="125"/>
      <c r="AZK357" s="125"/>
      <c r="AZL357" s="134"/>
      <c r="AZM357" s="135"/>
      <c r="AZN357" s="135"/>
      <c r="AZO357" s="135"/>
      <c r="AZP357" s="135"/>
      <c r="AZQ357" s="173"/>
      <c r="AZR357" s="173"/>
      <c r="AZS357" s="173"/>
      <c r="AZT357" s="173"/>
      <c r="AZU357" s="173"/>
      <c r="AZV357" s="173"/>
      <c r="AZW357" s="173"/>
      <c r="AZX357" s="173"/>
      <c r="AZY357" s="173"/>
      <c r="AZZ357" s="173"/>
      <c r="BAA357" s="125"/>
      <c r="BAB357" s="125"/>
      <c r="BAC357" s="134"/>
      <c r="BAD357" s="135"/>
      <c r="BAE357" s="135"/>
      <c r="BAF357" s="135"/>
      <c r="BAG357" s="135"/>
      <c r="BAH357" s="173"/>
      <c r="BAI357" s="173"/>
      <c r="BAJ357" s="173"/>
      <c r="BAK357" s="173"/>
      <c r="BAL357" s="173"/>
      <c r="BAM357" s="173"/>
      <c r="BAN357" s="173"/>
      <c r="BAO357" s="173"/>
      <c r="BAP357" s="173"/>
      <c r="BAQ357" s="173"/>
      <c r="BAR357" s="125"/>
      <c r="BAS357" s="125"/>
      <c r="BAT357" s="134"/>
      <c r="BAU357" s="135"/>
      <c r="BAV357" s="135"/>
      <c r="BAW357" s="135"/>
      <c r="BAX357" s="135"/>
      <c r="BAY357" s="173"/>
      <c r="BAZ357" s="173"/>
      <c r="BBA357" s="173"/>
      <c r="BBB357" s="173"/>
      <c r="BBC357" s="173"/>
      <c r="BBD357" s="173"/>
      <c r="BBE357" s="173"/>
      <c r="BBF357" s="173"/>
      <c r="BBG357" s="173"/>
      <c r="BBH357" s="173"/>
      <c r="BBI357" s="125"/>
      <c r="BBJ357" s="125"/>
      <c r="BBK357" s="134"/>
      <c r="BBL357" s="135"/>
      <c r="BBM357" s="135"/>
      <c r="BBN357" s="135"/>
      <c r="BBO357" s="135"/>
      <c r="BBP357" s="173"/>
      <c r="BBQ357" s="173"/>
      <c r="BBR357" s="173"/>
      <c r="BBS357" s="173"/>
      <c r="BBT357" s="173"/>
      <c r="BBU357" s="173"/>
      <c r="BBV357" s="173"/>
      <c r="BBW357" s="173"/>
      <c r="BBX357" s="173"/>
      <c r="BBY357" s="173"/>
      <c r="BBZ357" s="125"/>
      <c r="BCA357" s="125"/>
      <c r="BCB357" s="134"/>
      <c r="BCC357" s="135"/>
      <c r="BCD357" s="135"/>
      <c r="BCE357" s="135"/>
      <c r="BCF357" s="135"/>
      <c r="BCG357" s="173"/>
      <c r="BCH357" s="173"/>
      <c r="BCI357" s="173"/>
      <c r="BCJ357" s="173"/>
      <c r="BCK357" s="173"/>
      <c r="BCL357" s="173"/>
      <c r="BCM357" s="173"/>
      <c r="BCN357" s="173"/>
      <c r="BCO357" s="173"/>
      <c r="BCP357" s="173"/>
      <c r="BCQ357" s="125"/>
      <c r="BCR357" s="125"/>
      <c r="BCS357" s="134"/>
      <c r="BCT357" s="135"/>
      <c r="BCU357" s="135"/>
      <c r="BCV357" s="135"/>
      <c r="BCW357" s="135"/>
      <c r="BCX357" s="173"/>
      <c r="BCY357" s="173"/>
      <c r="BCZ357" s="173"/>
      <c r="BDA357" s="173"/>
      <c r="BDB357" s="173"/>
      <c r="BDC357" s="173"/>
      <c r="BDD357" s="173"/>
      <c r="BDE357" s="173"/>
      <c r="BDF357" s="173"/>
      <c r="BDG357" s="173"/>
      <c r="BDH357" s="125"/>
      <c r="BDI357" s="125"/>
      <c r="BDJ357" s="134"/>
      <c r="BDK357" s="135"/>
      <c r="BDL357" s="135"/>
      <c r="BDM357" s="135"/>
      <c r="BDN357" s="135"/>
      <c r="BDO357" s="173"/>
      <c r="BDP357" s="173"/>
      <c r="BDQ357" s="173"/>
      <c r="BDR357" s="173"/>
      <c r="BDS357" s="173"/>
      <c r="BDT357" s="173"/>
      <c r="BDU357" s="173"/>
      <c r="BDV357" s="173"/>
      <c r="BDW357" s="173"/>
      <c r="BDX357" s="173"/>
      <c r="BDY357" s="125"/>
      <c r="BDZ357" s="125"/>
      <c r="BEA357" s="134"/>
      <c r="BEB357" s="135"/>
      <c r="BEC357" s="135"/>
      <c r="BED357" s="135"/>
      <c r="BEE357" s="135"/>
      <c r="BEF357" s="173"/>
      <c r="BEG357" s="173"/>
      <c r="BEH357" s="173"/>
      <c r="BEI357" s="173"/>
      <c r="BEJ357" s="173"/>
      <c r="BEK357" s="173"/>
      <c r="BEL357" s="173"/>
      <c r="BEM357" s="173"/>
      <c r="BEN357" s="173"/>
      <c r="BEO357" s="173"/>
      <c r="BEP357" s="125"/>
      <c r="BEQ357" s="125"/>
      <c r="BER357" s="134"/>
      <c r="BES357" s="135"/>
      <c r="BET357" s="135"/>
      <c r="BEU357" s="135"/>
      <c r="BEV357" s="135"/>
      <c r="BEW357" s="173"/>
      <c r="BEX357" s="173"/>
      <c r="BEY357" s="173"/>
      <c r="BEZ357" s="173"/>
      <c r="BFA357" s="173"/>
      <c r="BFB357" s="173"/>
      <c r="BFC357" s="173"/>
      <c r="BFD357" s="173"/>
      <c r="BFE357" s="173"/>
      <c r="BFF357" s="173"/>
      <c r="BFG357" s="125"/>
      <c r="BFH357" s="125"/>
      <c r="BFI357" s="134"/>
      <c r="BFJ357" s="135"/>
      <c r="BFK357" s="135"/>
      <c r="BFL357" s="135"/>
      <c r="BFM357" s="135"/>
      <c r="BFN357" s="173"/>
      <c r="BFO357" s="173"/>
      <c r="BFP357" s="173"/>
      <c r="BFQ357" s="173"/>
      <c r="BFR357" s="173"/>
      <c r="BFS357" s="173"/>
      <c r="BFT357" s="173"/>
      <c r="BFU357" s="173"/>
      <c r="BFV357" s="173"/>
      <c r="BFW357" s="173"/>
      <c r="BFX357" s="125"/>
      <c r="BFY357" s="125"/>
      <c r="BFZ357" s="134"/>
      <c r="BGA357" s="135"/>
      <c r="BGB357" s="135"/>
      <c r="BGC357" s="135"/>
      <c r="BGD357" s="135"/>
      <c r="BGE357" s="173"/>
      <c r="BGF357" s="173"/>
      <c r="BGG357" s="173"/>
      <c r="BGH357" s="173"/>
      <c r="BGI357" s="173"/>
      <c r="BGJ357" s="173"/>
      <c r="BGK357" s="173"/>
      <c r="BGL357" s="173"/>
      <c r="BGM357" s="173"/>
      <c r="BGN357" s="173"/>
      <c r="BGO357" s="125"/>
      <c r="BGP357" s="125"/>
      <c r="BGQ357" s="134"/>
      <c r="BGR357" s="135"/>
      <c r="BGS357" s="135"/>
      <c r="BGT357" s="135"/>
      <c r="BGU357" s="135"/>
      <c r="BGV357" s="173"/>
      <c r="BGW357" s="173"/>
      <c r="BGX357" s="173"/>
      <c r="BGY357" s="173"/>
      <c r="BGZ357" s="173"/>
      <c r="BHA357" s="173"/>
      <c r="BHB357" s="173"/>
      <c r="BHC357" s="173"/>
      <c r="BHD357" s="173"/>
      <c r="BHE357" s="173"/>
      <c r="BHF357" s="125"/>
      <c r="BHG357" s="125"/>
      <c r="BHH357" s="134"/>
      <c r="BHI357" s="135"/>
      <c r="BHJ357" s="135"/>
      <c r="BHK357" s="135"/>
      <c r="BHL357" s="135"/>
      <c r="BHM357" s="173"/>
      <c r="BHN357" s="173"/>
      <c r="BHO357" s="173"/>
      <c r="BHP357" s="173"/>
      <c r="BHQ357" s="173"/>
      <c r="BHR357" s="173"/>
      <c r="BHS357" s="173"/>
      <c r="BHT357" s="173"/>
      <c r="BHU357" s="173"/>
      <c r="BHV357" s="173"/>
      <c r="BHW357" s="125"/>
      <c r="BHX357" s="125"/>
      <c r="BHY357" s="134"/>
      <c r="BHZ357" s="135"/>
      <c r="BIA357" s="135"/>
      <c r="BIB357" s="135"/>
      <c r="BIC357" s="135"/>
      <c r="BID357" s="173"/>
      <c r="BIE357" s="173"/>
      <c r="BIF357" s="173"/>
      <c r="BIG357" s="173"/>
      <c r="BIH357" s="173"/>
      <c r="BII357" s="173"/>
      <c r="BIJ357" s="173"/>
      <c r="BIK357" s="173"/>
      <c r="BIL357" s="173"/>
      <c r="BIM357" s="173"/>
      <c r="BIN357" s="125"/>
      <c r="BIO357" s="125"/>
      <c r="BIP357" s="134"/>
      <c r="BIQ357" s="135"/>
      <c r="BIR357" s="135"/>
      <c r="BIS357" s="135"/>
      <c r="BIT357" s="135"/>
      <c r="BIU357" s="173"/>
      <c r="BIV357" s="173"/>
      <c r="BIW357" s="173"/>
      <c r="BIX357" s="173"/>
      <c r="BIY357" s="173"/>
      <c r="BIZ357" s="173"/>
      <c r="BJA357" s="173"/>
      <c r="BJB357" s="173"/>
      <c r="BJC357" s="173"/>
      <c r="BJD357" s="173"/>
      <c r="BJE357" s="125"/>
      <c r="BJF357" s="125"/>
      <c r="BJG357" s="134"/>
      <c r="BJH357" s="135"/>
      <c r="BJI357" s="135"/>
      <c r="BJJ357" s="135"/>
      <c r="BJK357" s="135"/>
      <c r="BJL357" s="173"/>
      <c r="BJM357" s="173"/>
      <c r="BJN357" s="173"/>
      <c r="BJO357" s="173"/>
      <c r="BJP357" s="173"/>
      <c r="BJQ357" s="173"/>
      <c r="BJR357" s="173"/>
      <c r="BJS357" s="173"/>
      <c r="BJT357" s="173"/>
      <c r="BJU357" s="173"/>
      <c r="BJV357" s="125"/>
      <c r="BJW357" s="125"/>
      <c r="BJX357" s="134"/>
      <c r="BJY357" s="135"/>
      <c r="BJZ357" s="135"/>
      <c r="BKA357" s="135"/>
      <c r="BKB357" s="135"/>
      <c r="BKC357" s="173"/>
      <c r="BKD357" s="173"/>
      <c r="BKE357" s="173"/>
      <c r="BKF357" s="173"/>
      <c r="BKG357" s="173"/>
      <c r="BKH357" s="173"/>
      <c r="BKI357" s="173"/>
      <c r="BKJ357" s="173"/>
      <c r="BKK357" s="173"/>
      <c r="BKL357" s="173"/>
      <c r="BKM357" s="125"/>
      <c r="BKN357" s="125"/>
      <c r="BKO357" s="134"/>
      <c r="BKP357" s="135"/>
      <c r="BKQ357" s="135"/>
      <c r="BKR357" s="135"/>
      <c r="BKS357" s="135"/>
      <c r="BKT357" s="173"/>
      <c r="BKU357" s="173"/>
      <c r="BKV357" s="173"/>
      <c r="BKW357" s="173"/>
      <c r="BKX357" s="173"/>
      <c r="BKY357" s="173"/>
      <c r="BKZ357" s="173"/>
      <c r="BLA357" s="173"/>
      <c r="BLB357" s="173"/>
      <c r="BLC357" s="173"/>
      <c r="BLD357" s="125"/>
      <c r="BLE357" s="125"/>
      <c r="BLF357" s="134"/>
      <c r="BLG357" s="135"/>
      <c r="BLH357" s="135"/>
      <c r="BLI357" s="135"/>
      <c r="BLJ357" s="135"/>
      <c r="BLK357" s="173"/>
      <c r="BLL357" s="173"/>
      <c r="BLM357" s="173"/>
      <c r="BLN357" s="173"/>
      <c r="BLO357" s="173"/>
      <c r="BLP357" s="173"/>
      <c r="BLQ357" s="173"/>
      <c r="BLR357" s="173"/>
      <c r="BLS357" s="173"/>
      <c r="BLT357" s="173"/>
      <c r="BLU357" s="125"/>
      <c r="BLV357" s="125"/>
      <c r="BLW357" s="134"/>
      <c r="BLX357" s="135"/>
      <c r="BLY357" s="135"/>
      <c r="BLZ357" s="135"/>
      <c r="BMA357" s="135"/>
      <c r="BMB357" s="173"/>
      <c r="BMC357" s="173"/>
      <c r="BMD357" s="173"/>
      <c r="BME357" s="173"/>
      <c r="BMF357" s="173"/>
      <c r="BMG357" s="173"/>
      <c r="BMH357" s="173"/>
      <c r="BMI357" s="173"/>
      <c r="BMJ357" s="173"/>
      <c r="BMK357" s="173"/>
      <c r="BML357" s="125"/>
      <c r="BMM357" s="125"/>
      <c r="BMN357" s="134"/>
      <c r="BMO357" s="135"/>
      <c r="BMP357" s="135"/>
      <c r="BMQ357" s="135"/>
      <c r="BMR357" s="135"/>
      <c r="BMS357" s="173"/>
      <c r="BMT357" s="173"/>
      <c r="BMU357" s="173"/>
      <c r="BMV357" s="173"/>
      <c r="BMW357" s="173"/>
      <c r="BMX357" s="173"/>
      <c r="BMY357" s="173"/>
      <c r="BMZ357" s="173"/>
      <c r="BNA357" s="173"/>
      <c r="BNB357" s="173"/>
      <c r="BNC357" s="125"/>
      <c r="BND357" s="125"/>
      <c r="BNE357" s="134"/>
      <c r="BNF357" s="135"/>
      <c r="BNG357" s="135"/>
      <c r="BNH357" s="135"/>
      <c r="BNI357" s="135"/>
      <c r="BNJ357" s="173"/>
      <c r="BNK357" s="173"/>
      <c r="BNL357" s="173"/>
      <c r="BNM357" s="173"/>
      <c r="BNN357" s="173"/>
      <c r="BNO357" s="173"/>
      <c r="BNP357" s="173"/>
      <c r="BNQ357" s="173"/>
      <c r="BNR357" s="173"/>
      <c r="BNS357" s="173"/>
      <c r="BNT357" s="125"/>
      <c r="BNU357" s="125"/>
      <c r="BNV357" s="134"/>
      <c r="BNW357" s="135"/>
      <c r="BNX357" s="135"/>
      <c r="BNY357" s="135"/>
      <c r="BNZ357" s="135"/>
      <c r="BOA357" s="173"/>
      <c r="BOB357" s="173"/>
      <c r="BOC357" s="173"/>
      <c r="BOD357" s="173"/>
      <c r="BOE357" s="173"/>
      <c r="BOF357" s="173"/>
      <c r="BOG357" s="173"/>
      <c r="BOH357" s="173"/>
      <c r="BOI357" s="173"/>
      <c r="BOJ357" s="173"/>
      <c r="BOK357" s="125"/>
      <c r="BOL357" s="125"/>
      <c r="BOM357" s="134"/>
      <c r="BON357" s="135"/>
      <c r="BOO357" s="135"/>
      <c r="BOP357" s="135"/>
      <c r="BOQ357" s="135"/>
      <c r="BOR357" s="173"/>
      <c r="BOS357" s="173"/>
      <c r="BOT357" s="173"/>
      <c r="BOU357" s="173"/>
      <c r="BOV357" s="173"/>
      <c r="BOW357" s="173"/>
      <c r="BOX357" s="173"/>
      <c r="BOY357" s="173"/>
      <c r="BOZ357" s="173"/>
      <c r="BPA357" s="173"/>
      <c r="BPB357" s="125"/>
      <c r="BPC357" s="125"/>
      <c r="BPD357" s="134"/>
      <c r="BPE357" s="135"/>
      <c r="BPF357" s="135"/>
      <c r="BPG357" s="135"/>
      <c r="BPH357" s="135"/>
      <c r="BPI357" s="173"/>
      <c r="BPJ357" s="173"/>
      <c r="BPK357" s="173"/>
      <c r="BPL357" s="173"/>
      <c r="BPM357" s="173"/>
      <c r="BPN357" s="173"/>
      <c r="BPO357" s="173"/>
      <c r="BPP357" s="173"/>
      <c r="BPQ357" s="173"/>
      <c r="BPR357" s="173"/>
      <c r="BPS357" s="125"/>
      <c r="BPT357" s="125"/>
      <c r="BPU357" s="134"/>
      <c r="BPV357" s="135"/>
      <c r="BPW357" s="135"/>
      <c r="BPX357" s="135"/>
      <c r="BPY357" s="135"/>
      <c r="BPZ357" s="173"/>
      <c r="BQA357" s="173"/>
      <c r="BQB357" s="173"/>
      <c r="BQC357" s="173"/>
      <c r="BQD357" s="173"/>
      <c r="BQE357" s="173"/>
      <c r="BQF357" s="173"/>
      <c r="BQG357" s="173"/>
      <c r="BQH357" s="173"/>
      <c r="BQI357" s="173"/>
      <c r="BQJ357" s="125"/>
      <c r="BQK357" s="125"/>
      <c r="BQL357" s="134"/>
      <c r="BQM357" s="135"/>
      <c r="BQN357" s="135"/>
      <c r="BQO357" s="135"/>
      <c r="BQP357" s="135"/>
      <c r="BQQ357" s="173"/>
      <c r="BQR357" s="173"/>
      <c r="BQS357" s="173"/>
      <c r="BQT357" s="173"/>
      <c r="BQU357" s="173"/>
      <c r="BQV357" s="173"/>
      <c r="BQW357" s="173"/>
      <c r="BQX357" s="173"/>
      <c r="BQY357" s="173"/>
      <c r="BQZ357" s="173"/>
      <c r="BRA357" s="125"/>
      <c r="BRB357" s="125"/>
      <c r="BRC357" s="134"/>
      <c r="BRD357" s="135"/>
      <c r="BRE357" s="135"/>
      <c r="BRF357" s="135"/>
      <c r="BRG357" s="135"/>
      <c r="BRH357" s="173"/>
      <c r="BRI357" s="173"/>
      <c r="BRJ357" s="173"/>
      <c r="BRK357" s="173"/>
      <c r="BRL357" s="173"/>
      <c r="BRM357" s="173"/>
      <c r="BRN357" s="173"/>
      <c r="BRO357" s="173"/>
      <c r="BRP357" s="173"/>
      <c r="BRQ357" s="173"/>
      <c r="BRR357" s="125"/>
      <c r="BRS357" s="125"/>
      <c r="BRT357" s="134"/>
      <c r="BRU357" s="135"/>
      <c r="BRV357" s="135"/>
      <c r="BRW357" s="135"/>
      <c r="BRX357" s="135"/>
      <c r="BRY357" s="173"/>
      <c r="BRZ357" s="173"/>
      <c r="BSA357" s="173"/>
      <c r="BSB357" s="173"/>
      <c r="BSC357" s="173"/>
      <c r="BSD357" s="173"/>
      <c r="BSE357" s="173"/>
      <c r="BSF357" s="173"/>
      <c r="BSG357" s="173"/>
      <c r="BSH357" s="173"/>
      <c r="BSI357" s="125"/>
      <c r="BSJ357" s="125"/>
      <c r="BSK357" s="134"/>
      <c r="BSL357" s="135"/>
      <c r="BSM357" s="135"/>
      <c r="BSN357" s="135"/>
      <c r="BSO357" s="135"/>
      <c r="BSP357" s="173"/>
      <c r="BSQ357" s="173"/>
      <c r="BSR357" s="173"/>
      <c r="BSS357" s="173"/>
      <c r="BST357" s="173"/>
      <c r="BSU357" s="173"/>
      <c r="BSV357" s="173"/>
      <c r="BSW357" s="173"/>
      <c r="BSX357" s="173"/>
      <c r="BSY357" s="173"/>
      <c r="BSZ357" s="125"/>
      <c r="BTA357" s="125"/>
      <c r="BTB357" s="134"/>
      <c r="BTC357" s="135"/>
      <c r="BTD357" s="135"/>
      <c r="BTE357" s="135"/>
      <c r="BTF357" s="135"/>
      <c r="BTG357" s="173"/>
      <c r="BTH357" s="173"/>
      <c r="BTI357" s="173"/>
      <c r="BTJ357" s="173"/>
      <c r="BTK357" s="173"/>
      <c r="BTL357" s="173"/>
      <c r="BTM357" s="173"/>
      <c r="BTN357" s="173"/>
      <c r="BTO357" s="173"/>
      <c r="BTP357" s="173"/>
      <c r="BTQ357" s="125"/>
      <c r="BTR357" s="125"/>
      <c r="BTS357" s="134"/>
      <c r="BTT357" s="135"/>
      <c r="BTU357" s="135"/>
      <c r="BTV357" s="135"/>
      <c r="BTW357" s="135"/>
      <c r="BTX357" s="173"/>
      <c r="BTY357" s="173"/>
      <c r="BTZ357" s="173"/>
      <c r="BUA357" s="173"/>
      <c r="BUB357" s="173"/>
      <c r="BUC357" s="173"/>
      <c r="BUD357" s="173"/>
      <c r="BUE357" s="173"/>
      <c r="BUF357" s="173"/>
      <c r="BUG357" s="173"/>
      <c r="BUH357" s="125"/>
      <c r="BUI357" s="125"/>
      <c r="BUJ357" s="134"/>
      <c r="BUK357" s="135"/>
      <c r="BUL357" s="135"/>
      <c r="BUM357" s="135"/>
      <c r="BUN357" s="135"/>
      <c r="BUO357" s="173"/>
      <c r="BUP357" s="173"/>
      <c r="BUQ357" s="173"/>
      <c r="BUR357" s="173"/>
      <c r="BUS357" s="173"/>
      <c r="BUT357" s="173"/>
      <c r="BUU357" s="173"/>
      <c r="BUV357" s="173"/>
      <c r="BUW357" s="173"/>
      <c r="BUX357" s="173"/>
      <c r="BUY357" s="125"/>
      <c r="BUZ357" s="125"/>
      <c r="BVA357" s="134"/>
      <c r="BVB357" s="135"/>
      <c r="BVC357" s="135"/>
      <c r="BVD357" s="135"/>
      <c r="BVE357" s="135"/>
      <c r="BVF357" s="173"/>
      <c r="BVG357" s="173"/>
      <c r="BVH357" s="173"/>
      <c r="BVI357" s="173"/>
      <c r="BVJ357" s="173"/>
      <c r="BVK357" s="173"/>
      <c r="BVL357" s="173"/>
      <c r="BVM357" s="173"/>
      <c r="BVN357" s="173"/>
      <c r="BVO357" s="173"/>
      <c r="BVP357" s="125"/>
      <c r="BVQ357" s="125"/>
      <c r="BVR357" s="134"/>
      <c r="BVS357" s="135"/>
      <c r="BVT357" s="135"/>
      <c r="BVU357" s="135"/>
      <c r="BVV357" s="135"/>
      <c r="BVW357" s="173"/>
      <c r="BVX357" s="173"/>
      <c r="BVY357" s="173"/>
      <c r="BVZ357" s="173"/>
      <c r="BWA357" s="173"/>
      <c r="BWB357" s="173"/>
      <c r="BWC357" s="173"/>
      <c r="BWD357" s="173"/>
      <c r="BWE357" s="173"/>
      <c r="BWF357" s="173"/>
      <c r="BWG357" s="125"/>
      <c r="BWH357" s="125"/>
      <c r="BWI357" s="134"/>
      <c r="BWJ357" s="135"/>
      <c r="BWK357" s="135"/>
      <c r="BWL357" s="135"/>
      <c r="BWM357" s="135"/>
      <c r="BWN357" s="173"/>
      <c r="BWO357" s="173"/>
      <c r="BWP357" s="173"/>
      <c r="BWQ357" s="173"/>
      <c r="BWR357" s="173"/>
      <c r="BWS357" s="173"/>
      <c r="BWT357" s="173"/>
      <c r="BWU357" s="173"/>
      <c r="BWV357" s="173"/>
      <c r="BWW357" s="173"/>
      <c r="BWX357" s="125"/>
      <c r="BWY357" s="125"/>
      <c r="BWZ357" s="134"/>
      <c r="BXA357" s="135"/>
      <c r="BXB357" s="135"/>
      <c r="BXC357" s="135"/>
      <c r="BXD357" s="135"/>
      <c r="BXE357" s="173"/>
      <c r="BXF357" s="173"/>
      <c r="BXG357" s="173"/>
      <c r="BXH357" s="173"/>
      <c r="BXI357" s="173"/>
      <c r="BXJ357" s="173"/>
      <c r="BXK357" s="173"/>
      <c r="BXL357" s="173"/>
      <c r="BXM357" s="173"/>
      <c r="BXN357" s="173"/>
      <c r="BXO357" s="125"/>
      <c r="BXP357" s="125"/>
      <c r="BXQ357" s="134"/>
      <c r="BXR357" s="135"/>
      <c r="BXS357" s="135"/>
      <c r="BXT357" s="135"/>
      <c r="BXU357" s="135"/>
      <c r="BXV357" s="173"/>
      <c r="BXW357" s="173"/>
      <c r="BXX357" s="173"/>
      <c r="BXY357" s="173"/>
      <c r="BXZ357" s="173"/>
      <c r="BYA357" s="173"/>
      <c r="BYB357" s="173"/>
      <c r="BYC357" s="173"/>
      <c r="BYD357" s="173"/>
      <c r="BYE357" s="173"/>
      <c r="BYF357" s="125"/>
      <c r="BYG357" s="125"/>
      <c r="BYH357" s="134"/>
      <c r="BYI357" s="135"/>
      <c r="BYJ357" s="135"/>
      <c r="BYK357" s="135"/>
      <c r="BYL357" s="135"/>
      <c r="BYM357" s="173"/>
      <c r="BYN357" s="173"/>
      <c r="BYO357" s="173"/>
      <c r="BYP357" s="173"/>
      <c r="BYQ357" s="173"/>
      <c r="BYR357" s="173"/>
      <c r="BYS357" s="173"/>
      <c r="BYT357" s="173"/>
      <c r="BYU357" s="173"/>
      <c r="BYV357" s="173"/>
      <c r="BYW357" s="125"/>
      <c r="BYX357" s="125"/>
      <c r="BYY357" s="134"/>
      <c r="BYZ357" s="135"/>
      <c r="BZA357" s="135"/>
      <c r="BZB357" s="135"/>
      <c r="BZC357" s="135"/>
      <c r="BZD357" s="173"/>
      <c r="BZE357" s="173"/>
      <c r="BZF357" s="173"/>
      <c r="BZG357" s="173"/>
      <c r="BZH357" s="173"/>
      <c r="BZI357" s="173"/>
      <c r="BZJ357" s="173"/>
      <c r="BZK357" s="173"/>
      <c r="BZL357" s="173"/>
      <c r="BZM357" s="173"/>
      <c r="BZN357" s="125"/>
      <c r="BZO357" s="125"/>
      <c r="BZP357" s="134"/>
      <c r="BZQ357" s="135"/>
      <c r="BZR357" s="135"/>
      <c r="BZS357" s="135"/>
      <c r="BZT357" s="135"/>
      <c r="BZU357" s="173"/>
      <c r="BZV357" s="173"/>
      <c r="BZW357" s="173"/>
      <c r="BZX357" s="173"/>
      <c r="BZY357" s="173"/>
      <c r="BZZ357" s="173"/>
      <c r="CAA357" s="173"/>
      <c r="CAB357" s="173"/>
      <c r="CAC357" s="173"/>
      <c r="CAD357" s="173"/>
      <c r="CAE357" s="125"/>
      <c r="CAF357" s="125"/>
      <c r="CAG357" s="134"/>
      <c r="CAH357" s="135"/>
      <c r="CAI357" s="135"/>
      <c r="CAJ357" s="135"/>
      <c r="CAK357" s="135"/>
      <c r="CAL357" s="173"/>
      <c r="CAM357" s="173"/>
      <c r="CAN357" s="173"/>
      <c r="CAO357" s="173"/>
      <c r="CAP357" s="173"/>
      <c r="CAQ357" s="173"/>
      <c r="CAR357" s="173"/>
      <c r="CAS357" s="173"/>
      <c r="CAT357" s="173"/>
      <c r="CAU357" s="173"/>
      <c r="CAV357" s="125"/>
      <c r="CAW357" s="125"/>
      <c r="CAX357" s="134"/>
      <c r="CAY357" s="135"/>
      <c r="CAZ357" s="135"/>
      <c r="CBA357" s="135"/>
      <c r="CBB357" s="135"/>
      <c r="CBC357" s="173"/>
      <c r="CBD357" s="173"/>
      <c r="CBE357" s="173"/>
      <c r="CBF357" s="173"/>
      <c r="CBG357" s="173"/>
      <c r="CBH357" s="173"/>
      <c r="CBI357" s="173"/>
      <c r="CBJ357" s="173"/>
      <c r="CBK357" s="173"/>
      <c r="CBL357" s="173"/>
      <c r="CBM357" s="125"/>
      <c r="CBN357" s="125"/>
      <c r="CBO357" s="134"/>
      <c r="CBP357" s="135"/>
      <c r="CBQ357" s="135"/>
      <c r="CBR357" s="135"/>
      <c r="CBS357" s="135"/>
      <c r="CBT357" s="173"/>
      <c r="CBU357" s="173"/>
      <c r="CBV357" s="173"/>
      <c r="CBW357" s="173"/>
      <c r="CBX357" s="173"/>
      <c r="CBY357" s="173"/>
      <c r="CBZ357" s="173"/>
      <c r="CCA357" s="173"/>
      <c r="CCB357" s="173"/>
      <c r="CCC357" s="173"/>
      <c r="CCD357" s="125"/>
      <c r="CCE357" s="125"/>
      <c r="CCF357" s="134"/>
      <c r="CCG357" s="135"/>
      <c r="CCH357" s="135"/>
      <c r="CCI357" s="135"/>
      <c r="CCJ357" s="135"/>
      <c r="CCK357" s="173"/>
      <c r="CCL357" s="173"/>
      <c r="CCM357" s="173"/>
      <c r="CCN357" s="173"/>
      <c r="CCO357" s="173"/>
      <c r="CCP357" s="173"/>
      <c r="CCQ357" s="173"/>
      <c r="CCR357" s="173"/>
      <c r="CCS357" s="173"/>
      <c r="CCT357" s="173"/>
      <c r="CCU357" s="125"/>
      <c r="CCV357" s="125"/>
      <c r="CCW357" s="134"/>
      <c r="CCX357" s="135"/>
      <c r="CCY357" s="135"/>
      <c r="CCZ357" s="135"/>
      <c r="CDA357" s="135"/>
      <c r="CDB357" s="173"/>
      <c r="CDC357" s="173"/>
      <c r="CDD357" s="173"/>
      <c r="CDE357" s="173"/>
      <c r="CDF357" s="173"/>
      <c r="CDG357" s="173"/>
      <c r="CDH357" s="173"/>
      <c r="CDI357" s="173"/>
      <c r="CDJ357" s="173"/>
      <c r="CDK357" s="173"/>
      <c r="CDL357" s="125"/>
      <c r="CDM357" s="125"/>
      <c r="CDN357" s="134"/>
      <c r="CDO357" s="135"/>
      <c r="CDP357" s="135"/>
      <c r="CDQ357" s="135"/>
      <c r="CDR357" s="135"/>
      <c r="CDS357" s="173"/>
      <c r="CDT357" s="173"/>
      <c r="CDU357" s="173"/>
      <c r="CDV357" s="173"/>
      <c r="CDW357" s="173"/>
      <c r="CDX357" s="173"/>
      <c r="CDY357" s="173"/>
      <c r="CDZ357" s="173"/>
      <c r="CEA357" s="173"/>
      <c r="CEB357" s="173"/>
      <c r="CEC357" s="125"/>
      <c r="CED357" s="125"/>
      <c r="CEE357" s="134"/>
      <c r="CEF357" s="135"/>
      <c r="CEG357" s="135"/>
      <c r="CEH357" s="135"/>
      <c r="CEI357" s="135"/>
      <c r="CEJ357" s="173"/>
      <c r="CEK357" s="173"/>
      <c r="CEL357" s="173"/>
      <c r="CEM357" s="173"/>
      <c r="CEN357" s="173"/>
      <c r="CEO357" s="173"/>
      <c r="CEP357" s="173"/>
      <c r="CEQ357" s="173"/>
      <c r="CER357" s="173"/>
      <c r="CES357" s="173"/>
      <c r="CET357" s="125"/>
      <c r="CEU357" s="125"/>
      <c r="CEV357" s="134"/>
      <c r="CEW357" s="135"/>
      <c r="CEX357" s="135"/>
      <c r="CEY357" s="135"/>
      <c r="CEZ357" s="135"/>
      <c r="CFA357" s="173"/>
      <c r="CFB357" s="173"/>
      <c r="CFC357" s="173"/>
      <c r="CFD357" s="173"/>
      <c r="CFE357" s="173"/>
      <c r="CFF357" s="173"/>
      <c r="CFG357" s="173"/>
      <c r="CFH357" s="173"/>
      <c r="CFI357" s="173"/>
      <c r="CFJ357" s="173"/>
      <c r="CFK357" s="125"/>
      <c r="CFL357" s="125"/>
      <c r="CFM357" s="134"/>
      <c r="CFN357" s="135"/>
      <c r="CFO357" s="135"/>
      <c r="CFP357" s="135"/>
      <c r="CFQ357" s="135"/>
      <c r="CFR357" s="173"/>
      <c r="CFS357" s="173"/>
      <c r="CFT357" s="173"/>
      <c r="CFU357" s="173"/>
      <c r="CFV357" s="173"/>
      <c r="CFW357" s="173"/>
      <c r="CFX357" s="173"/>
      <c r="CFY357" s="173"/>
      <c r="CFZ357" s="173"/>
      <c r="CGA357" s="173"/>
      <c r="CGB357" s="125"/>
      <c r="CGC357" s="125"/>
      <c r="CGD357" s="134"/>
      <c r="CGE357" s="135"/>
      <c r="CGF357" s="135"/>
      <c r="CGG357" s="135"/>
      <c r="CGH357" s="135"/>
      <c r="CGI357" s="173"/>
      <c r="CGJ357" s="173"/>
      <c r="CGK357" s="173"/>
      <c r="CGL357" s="173"/>
      <c r="CGM357" s="173"/>
      <c r="CGN357" s="173"/>
      <c r="CGO357" s="173"/>
      <c r="CGP357" s="173"/>
      <c r="CGQ357" s="173"/>
      <c r="CGR357" s="173"/>
      <c r="CGS357" s="125"/>
      <c r="CGT357" s="125"/>
      <c r="CGU357" s="134"/>
      <c r="CGV357" s="135"/>
      <c r="CGW357" s="135"/>
      <c r="CGX357" s="135"/>
      <c r="CGY357" s="135"/>
      <c r="CGZ357" s="173"/>
      <c r="CHA357" s="173"/>
      <c r="CHB357" s="173"/>
      <c r="CHC357" s="173"/>
      <c r="CHD357" s="173"/>
      <c r="CHE357" s="173"/>
      <c r="CHF357" s="173"/>
      <c r="CHG357" s="173"/>
      <c r="CHH357" s="173"/>
      <c r="CHI357" s="173"/>
      <c r="CHJ357" s="125"/>
      <c r="CHK357" s="125"/>
      <c r="CHL357" s="134"/>
      <c r="CHM357" s="135"/>
      <c r="CHN357" s="135"/>
      <c r="CHO357" s="135"/>
      <c r="CHP357" s="135"/>
      <c r="CHQ357" s="173"/>
      <c r="CHR357" s="173"/>
      <c r="CHS357" s="173"/>
      <c r="CHT357" s="173"/>
      <c r="CHU357" s="173"/>
      <c r="CHV357" s="173"/>
      <c r="CHW357" s="173"/>
      <c r="CHX357" s="173"/>
      <c r="CHY357" s="173"/>
      <c r="CHZ357" s="173"/>
      <c r="CIA357" s="125"/>
      <c r="CIB357" s="125"/>
      <c r="CIC357" s="134"/>
      <c r="CID357" s="135"/>
      <c r="CIE357" s="135"/>
      <c r="CIF357" s="135"/>
      <c r="CIG357" s="135"/>
      <c r="CIH357" s="173"/>
      <c r="CII357" s="173"/>
      <c r="CIJ357" s="173"/>
      <c r="CIK357" s="173"/>
      <c r="CIL357" s="173"/>
      <c r="CIM357" s="173"/>
      <c r="CIN357" s="173"/>
      <c r="CIO357" s="173"/>
      <c r="CIP357" s="173"/>
      <c r="CIQ357" s="173"/>
      <c r="CIR357" s="125"/>
      <c r="CIS357" s="125"/>
      <c r="CIT357" s="134"/>
      <c r="CIU357" s="135"/>
      <c r="CIV357" s="135"/>
      <c r="CIW357" s="135"/>
      <c r="CIX357" s="135"/>
      <c r="CIY357" s="173"/>
      <c r="CIZ357" s="173"/>
      <c r="CJA357" s="173"/>
      <c r="CJB357" s="173"/>
      <c r="CJC357" s="173"/>
      <c r="CJD357" s="173"/>
      <c r="CJE357" s="173"/>
      <c r="CJF357" s="173"/>
      <c r="CJG357" s="173"/>
      <c r="CJH357" s="173"/>
      <c r="CJI357" s="125"/>
      <c r="CJJ357" s="125"/>
      <c r="CJK357" s="134"/>
      <c r="CJL357" s="135"/>
      <c r="CJM357" s="135"/>
      <c r="CJN357" s="135"/>
      <c r="CJO357" s="135"/>
      <c r="CJP357" s="173"/>
      <c r="CJQ357" s="173"/>
      <c r="CJR357" s="173"/>
      <c r="CJS357" s="173"/>
      <c r="CJT357" s="173"/>
      <c r="CJU357" s="173"/>
      <c r="CJV357" s="173"/>
      <c r="CJW357" s="173"/>
      <c r="CJX357" s="173"/>
      <c r="CJY357" s="173"/>
      <c r="CJZ357" s="125"/>
      <c r="CKA357" s="125"/>
      <c r="CKB357" s="134"/>
      <c r="CKC357" s="135"/>
      <c r="CKD357" s="135"/>
      <c r="CKE357" s="135"/>
      <c r="CKF357" s="135"/>
      <c r="CKG357" s="173"/>
      <c r="CKH357" s="173"/>
      <c r="CKI357" s="173"/>
      <c r="CKJ357" s="173"/>
      <c r="CKK357" s="173"/>
      <c r="CKL357" s="173"/>
      <c r="CKM357" s="173"/>
      <c r="CKN357" s="173"/>
      <c r="CKO357" s="173"/>
      <c r="CKP357" s="173"/>
      <c r="CKQ357" s="125"/>
      <c r="CKR357" s="125"/>
      <c r="CKS357" s="134"/>
      <c r="CKT357" s="135"/>
      <c r="CKU357" s="135"/>
      <c r="CKV357" s="135"/>
      <c r="CKW357" s="135"/>
      <c r="CKX357" s="173"/>
      <c r="CKY357" s="173"/>
      <c r="CKZ357" s="173"/>
      <c r="CLA357" s="173"/>
      <c r="CLB357" s="173"/>
      <c r="CLC357" s="173"/>
      <c r="CLD357" s="173"/>
      <c r="CLE357" s="173"/>
      <c r="CLF357" s="173"/>
      <c r="CLG357" s="173"/>
      <c r="CLH357" s="125"/>
      <c r="CLI357" s="125"/>
      <c r="CLJ357" s="134"/>
      <c r="CLK357" s="135"/>
      <c r="CLL357" s="135"/>
      <c r="CLM357" s="135"/>
      <c r="CLN357" s="135"/>
      <c r="CLO357" s="173"/>
      <c r="CLP357" s="173"/>
      <c r="CLQ357" s="173"/>
      <c r="CLR357" s="173"/>
      <c r="CLS357" s="173"/>
      <c r="CLT357" s="173"/>
      <c r="CLU357" s="173"/>
      <c r="CLV357" s="173"/>
      <c r="CLW357" s="173"/>
      <c r="CLX357" s="173"/>
      <c r="CLY357" s="125"/>
      <c r="CLZ357" s="125"/>
      <c r="CMA357" s="134"/>
      <c r="CMB357" s="135"/>
      <c r="CMC357" s="135"/>
      <c r="CMD357" s="135"/>
      <c r="CME357" s="135"/>
      <c r="CMF357" s="173"/>
      <c r="CMG357" s="173"/>
      <c r="CMH357" s="173"/>
      <c r="CMI357" s="173"/>
      <c r="CMJ357" s="173"/>
      <c r="CMK357" s="173"/>
      <c r="CML357" s="173"/>
      <c r="CMM357" s="173"/>
      <c r="CMN357" s="173"/>
      <c r="CMO357" s="173"/>
      <c r="CMP357" s="125"/>
      <c r="CMQ357" s="125"/>
      <c r="CMR357" s="134"/>
      <c r="CMS357" s="135"/>
      <c r="CMT357" s="135"/>
      <c r="CMU357" s="135"/>
      <c r="CMV357" s="135"/>
      <c r="CMW357" s="173"/>
      <c r="CMX357" s="173"/>
      <c r="CMY357" s="173"/>
      <c r="CMZ357" s="173"/>
      <c r="CNA357" s="173"/>
      <c r="CNB357" s="173"/>
      <c r="CNC357" s="173"/>
      <c r="CND357" s="173"/>
      <c r="CNE357" s="173"/>
      <c r="CNF357" s="173"/>
      <c r="CNG357" s="125"/>
      <c r="CNH357" s="125"/>
      <c r="CNI357" s="134"/>
      <c r="CNJ357" s="135"/>
      <c r="CNK357" s="135"/>
      <c r="CNL357" s="135"/>
      <c r="CNM357" s="135"/>
      <c r="CNN357" s="173"/>
      <c r="CNO357" s="173"/>
      <c r="CNP357" s="173"/>
      <c r="CNQ357" s="173"/>
      <c r="CNR357" s="173"/>
      <c r="CNS357" s="173"/>
      <c r="CNT357" s="173"/>
      <c r="CNU357" s="173"/>
      <c r="CNV357" s="173"/>
      <c r="CNW357" s="173"/>
      <c r="CNX357" s="125"/>
      <c r="CNY357" s="125"/>
      <c r="CNZ357" s="134"/>
      <c r="COA357" s="135"/>
      <c r="COB357" s="135"/>
      <c r="COC357" s="135"/>
      <c r="COD357" s="135"/>
      <c r="COE357" s="173"/>
      <c r="COF357" s="173"/>
      <c r="COG357" s="173"/>
      <c r="COH357" s="173"/>
      <c r="COI357" s="173"/>
      <c r="COJ357" s="173"/>
      <c r="COK357" s="173"/>
      <c r="COL357" s="173"/>
      <c r="COM357" s="173"/>
      <c r="CON357" s="173"/>
      <c r="COO357" s="125"/>
      <c r="COP357" s="125"/>
      <c r="COQ357" s="134"/>
      <c r="COR357" s="135"/>
      <c r="COS357" s="135"/>
      <c r="COT357" s="135"/>
      <c r="COU357" s="135"/>
      <c r="COV357" s="173"/>
      <c r="COW357" s="173"/>
      <c r="COX357" s="173"/>
      <c r="COY357" s="173"/>
      <c r="COZ357" s="173"/>
      <c r="CPA357" s="173"/>
      <c r="CPB357" s="173"/>
      <c r="CPC357" s="173"/>
      <c r="CPD357" s="173"/>
      <c r="CPE357" s="173"/>
      <c r="CPF357" s="125"/>
      <c r="CPG357" s="125"/>
      <c r="CPH357" s="134"/>
      <c r="CPI357" s="135"/>
      <c r="CPJ357" s="135"/>
      <c r="CPK357" s="135"/>
      <c r="CPL357" s="135"/>
      <c r="CPM357" s="173"/>
      <c r="CPN357" s="173"/>
      <c r="CPO357" s="173"/>
      <c r="CPP357" s="173"/>
      <c r="CPQ357" s="173"/>
      <c r="CPR357" s="173"/>
      <c r="CPS357" s="173"/>
      <c r="CPT357" s="173"/>
      <c r="CPU357" s="173"/>
      <c r="CPV357" s="173"/>
      <c r="CPW357" s="125"/>
      <c r="CPX357" s="125"/>
      <c r="CPY357" s="134"/>
      <c r="CPZ357" s="135"/>
      <c r="CQA357" s="135"/>
      <c r="CQB357" s="135"/>
      <c r="CQC357" s="135"/>
      <c r="CQD357" s="173"/>
      <c r="CQE357" s="173"/>
      <c r="CQF357" s="173"/>
      <c r="CQG357" s="173"/>
      <c r="CQH357" s="173"/>
      <c r="CQI357" s="173"/>
      <c r="CQJ357" s="173"/>
      <c r="CQK357" s="173"/>
      <c r="CQL357" s="173"/>
      <c r="CQM357" s="173"/>
      <c r="CQN357" s="125"/>
      <c r="CQO357" s="125"/>
      <c r="CQP357" s="134"/>
      <c r="CQQ357" s="135"/>
      <c r="CQR357" s="135"/>
      <c r="CQS357" s="135"/>
      <c r="CQT357" s="135"/>
      <c r="CQU357" s="173"/>
      <c r="CQV357" s="173"/>
      <c r="CQW357" s="173"/>
      <c r="CQX357" s="173"/>
      <c r="CQY357" s="173"/>
      <c r="CQZ357" s="173"/>
      <c r="CRA357" s="173"/>
      <c r="CRB357" s="173"/>
      <c r="CRC357" s="173"/>
      <c r="CRD357" s="173"/>
      <c r="CRE357" s="125"/>
      <c r="CRF357" s="125"/>
      <c r="CRG357" s="134"/>
      <c r="CRH357" s="135"/>
      <c r="CRI357" s="135"/>
      <c r="CRJ357" s="135"/>
      <c r="CRK357" s="135"/>
      <c r="CRL357" s="173"/>
      <c r="CRM357" s="173"/>
      <c r="CRN357" s="173"/>
      <c r="CRO357" s="173"/>
      <c r="CRP357" s="173"/>
      <c r="CRQ357" s="173"/>
      <c r="CRR357" s="173"/>
      <c r="CRS357" s="173"/>
      <c r="CRT357" s="173"/>
      <c r="CRU357" s="173"/>
      <c r="CRV357" s="125"/>
      <c r="CRW357" s="125"/>
      <c r="CRX357" s="134"/>
      <c r="CRY357" s="135"/>
      <c r="CRZ357" s="135"/>
      <c r="CSA357" s="135"/>
      <c r="CSB357" s="135"/>
      <c r="CSC357" s="173"/>
      <c r="CSD357" s="173"/>
      <c r="CSE357" s="173"/>
      <c r="CSF357" s="173"/>
      <c r="CSG357" s="173"/>
      <c r="CSH357" s="173"/>
      <c r="CSI357" s="173"/>
      <c r="CSJ357" s="173"/>
      <c r="CSK357" s="173"/>
      <c r="CSL357" s="173"/>
      <c r="CSM357" s="125"/>
      <c r="CSN357" s="125"/>
      <c r="CSO357" s="134"/>
      <c r="CSP357" s="135"/>
      <c r="CSQ357" s="135"/>
      <c r="CSR357" s="135"/>
      <c r="CSS357" s="135"/>
      <c r="CST357" s="173"/>
      <c r="CSU357" s="173"/>
      <c r="CSV357" s="173"/>
      <c r="CSW357" s="173"/>
      <c r="CSX357" s="173"/>
      <c r="CSY357" s="173"/>
      <c r="CSZ357" s="173"/>
      <c r="CTA357" s="173"/>
      <c r="CTB357" s="173"/>
      <c r="CTC357" s="173"/>
      <c r="CTD357" s="125"/>
      <c r="CTE357" s="125"/>
      <c r="CTF357" s="134"/>
      <c r="CTG357" s="135"/>
      <c r="CTH357" s="135"/>
      <c r="CTI357" s="135"/>
      <c r="CTJ357" s="135"/>
      <c r="CTK357" s="173"/>
      <c r="CTL357" s="173"/>
      <c r="CTM357" s="173"/>
      <c r="CTN357" s="173"/>
      <c r="CTO357" s="173"/>
      <c r="CTP357" s="173"/>
      <c r="CTQ357" s="173"/>
      <c r="CTR357" s="173"/>
      <c r="CTS357" s="173"/>
      <c r="CTT357" s="173"/>
      <c r="CTU357" s="125"/>
      <c r="CTV357" s="125"/>
      <c r="CTW357" s="134"/>
      <c r="CTX357" s="135"/>
      <c r="CTY357" s="135"/>
      <c r="CTZ357" s="135"/>
      <c r="CUA357" s="135"/>
      <c r="CUB357" s="173"/>
      <c r="CUC357" s="173"/>
      <c r="CUD357" s="173"/>
      <c r="CUE357" s="173"/>
      <c r="CUF357" s="173"/>
      <c r="CUG357" s="173"/>
      <c r="CUH357" s="173"/>
      <c r="CUI357" s="173"/>
      <c r="CUJ357" s="173"/>
      <c r="CUK357" s="173"/>
      <c r="CUL357" s="125"/>
      <c r="CUM357" s="125"/>
      <c r="CUN357" s="134"/>
      <c r="CUO357" s="135"/>
      <c r="CUP357" s="135"/>
      <c r="CUQ357" s="135"/>
      <c r="CUR357" s="135"/>
      <c r="CUS357" s="173"/>
      <c r="CUT357" s="173"/>
      <c r="CUU357" s="173"/>
      <c r="CUV357" s="173"/>
      <c r="CUW357" s="173"/>
      <c r="CUX357" s="173"/>
      <c r="CUY357" s="173"/>
      <c r="CUZ357" s="173"/>
      <c r="CVA357" s="173"/>
      <c r="CVB357" s="173"/>
      <c r="CVC357" s="125"/>
      <c r="CVD357" s="125"/>
      <c r="CVE357" s="134"/>
      <c r="CVF357" s="135"/>
      <c r="CVG357" s="135"/>
      <c r="CVH357" s="135"/>
      <c r="CVI357" s="135"/>
      <c r="CVJ357" s="173"/>
      <c r="CVK357" s="173"/>
      <c r="CVL357" s="173"/>
      <c r="CVM357" s="173"/>
      <c r="CVN357" s="173"/>
      <c r="CVO357" s="173"/>
      <c r="CVP357" s="173"/>
      <c r="CVQ357" s="173"/>
      <c r="CVR357" s="173"/>
      <c r="CVS357" s="173"/>
      <c r="CVT357" s="125"/>
      <c r="CVU357" s="125"/>
      <c r="CVV357" s="134"/>
      <c r="CVW357" s="135"/>
      <c r="CVX357" s="135"/>
      <c r="CVY357" s="135"/>
      <c r="CVZ357" s="135"/>
      <c r="CWA357" s="173"/>
      <c r="CWB357" s="173"/>
      <c r="CWC357" s="173"/>
      <c r="CWD357" s="173"/>
      <c r="CWE357" s="173"/>
      <c r="CWF357" s="173"/>
      <c r="CWG357" s="173"/>
      <c r="CWH357" s="173"/>
      <c r="CWI357" s="173"/>
      <c r="CWJ357" s="173"/>
      <c r="CWK357" s="125"/>
      <c r="CWL357" s="125"/>
      <c r="CWM357" s="134"/>
      <c r="CWN357" s="135"/>
      <c r="CWO357" s="135"/>
      <c r="CWP357" s="135"/>
      <c r="CWQ357" s="135"/>
      <c r="CWR357" s="173"/>
      <c r="CWS357" s="173"/>
      <c r="CWT357" s="173"/>
      <c r="CWU357" s="173"/>
      <c r="CWV357" s="173"/>
      <c r="CWW357" s="173"/>
      <c r="CWX357" s="173"/>
      <c r="CWY357" s="173"/>
      <c r="CWZ357" s="173"/>
      <c r="CXA357" s="173"/>
      <c r="CXB357" s="125"/>
      <c r="CXC357" s="125"/>
      <c r="CXD357" s="134"/>
      <c r="CXE357" s="135"/>
      <c r="CXF357" s="135"/>
      <c r="CXG357" s="135"/>
      <c r="CXH357" s="135"/>
      <c r="CXI357" s="173"/>
      <c r="CXJ357" s="173"/>
      <c r="CXK357" s="173"/>
      <c r="CXL357" s="173"/>
      <c r="CXM357" s="173"/>
      <c r="CXN357" s="173"/>
      <c r="CXO357" s="173"/>
      <c r="CXP357" s="173"/>
      <c r="CXQ357" s="173"/>
      <c r="CXR357" s="173"/>
      <c r="CXS357" s="125"/>
      <c r="CXT357" s="125"/>
      <c r="CXU357" s="134"/>
      <c r="CXV357" s="135"/>
      <c r="CXW357" s="135"/>
      <c r="CXX357" s="135"/>
      <c r="CXY357" s="135"/>
      <c r="CXZ357" s="173"/>
      <c r="CYA357" s="173"/>
      <c r="CYB357" s="173"/>
      <c r="CYC357" s="173"/>
      <c r="CYD357" s="173"/>
      <c r="CYE357" s="173"/>
      <c r="CYF357" s="173"/>
      <c r="CYG357" s="173"/>
      <c r="CYH357" s="173"/>
      <c r="CYI357" s="173"/>
      <c r="CYJ357" s="125"/>
      <c r="CYK357" s="125"/>
      <c r="CYL357" s="134"/>
      <c r="CYM357" s="135"/>
      <c r="CYN357" s="135"/>
      <c r="CYO357" s="135"/>
      <c r="CYP357" s="135"/>
      <c r="CYQ357" s="173"/>
      <c r="CYR357" s="173"/>
      <c r="CYS357" s="173"/>
      <c r="CYT357" s="173"/>
      <c r="CYU357" s="173"/>
      <c r="CYV357" s="173"/>
      <c r="CYW357" s="173"/>
      <c r="CYX357" s="173"/>
      <c r="CYY357" s="173"/>
      <c r="CYZ357" s="173"/>
      <c r="CZA357" s="125"/>
      <c r="CZB357" s="125"/>
      <c r="CZC357" s="134"/>
      <c r="CZD357" s="135"/>
      <c r="CZE357" s="135"/>
      <c r="CZF357" s="135"/>
      <c r="CZG357" s="135"/>
      <c r="CZH357" s="173"/>
      <c r="CZI357" s="173"/>
      <c r="CZJ357" s="173"/>
      <c r="CZK357" s="173"/>
      <c r="CZL357" s="173"/>
      <c r="CZM357" s="173"/>
      <c r="CZN357" s="173"/>
      <c r="CZO357" s="173"/>
      <c r="CZP357" s="173"/>
      <c r="CZQ357" s="173"/>
      <c r="CZR357" s="125"/>
      <c r="CZS357" s="125"/>
      <c r="CZT357" s="134"/>
      <c r="CZU357" s="135"/>
      <c r="CZV357" s="135"/>
      <c r="CZW357" s="135"/>
      <c r="CZX357" s="135"/>
      <c r="CZY357" s="173"/>
      <c r="CZZ357" s="173"/>
      <c r="DAA357" s="173"/>
      <c r="DAB357" s="173"/>
      <c r="DAC357" s="173"/>
      <c r="DAD357" s="173"/>
      <c r="DAE357" s="173"/>
      <c r="DAF357" s="173"/>
      <c r="DAG357" s="173"/>
      <c r="DAH357" s="173"/>
      <c r="DAI357" s="125"/>
      <c r="DAJ357" s="125"/>
      <c r="DAK357" s="134"/>
      <c r="DAL357" s="135"/>
      <c r="DAM357" s="135"/>
      <c r="DAN357" s="135"/>
      <c r="DAO357" s="135"/>
      <c r="DAP357" s="173"/>
      <c r="DAQ357" s="173"/>
      <c r="DAR357" s="173"/>
      <c r="DAS357" s="173"/>
      <c r="DAT357" s="173"/>
      <c r="DAU357" s="173"/>
      <c r="DAV357" s="173"/>
      <c r="DAW357" s="173"/>
      <c r="DAX357" s="173"/>
      <c r="DAY357" s="173"/>
      <c r="DAZ357" s="125"/>
      <c r="DBA357" s="125"/>
      <c r="DBB357" s="134"/>
      <c r="DBC357" s="135"/>
      <c r="DBD357" s="135"/>
      <c r="DBE357" s="135"/>
      <c r="DBF357" s="135"/>
      <c r="DBG357" s="173"/>
      <c r="DBH357" s="173"/>
      <c r="DBI357" s="173"/>
      <c r="DBJ357" s="173"/>
      <c r="DBK357" s="173"/>
      <c r="DBL357" s="173"/>
      <c r="DBM357" s="173"/>
      <c r="DBN357" s="173"/>
      <c r="DBO357" s="173"/>
      <c r="DBP357" s="173"/>
      <c r="DBQ357" s="125"/>
      <c r="DBR357" s="125"/>
      <c r="DBS357" s="134"/>
      <c r="DBT357" s="135"/>
      <c r="DBU357" s="135"/>
      <c r="DBV357" s="135"/>
      <c r="DBW357" s="135"/>
      <c r="DBX357" s="173"/>
      <c r="DBY357" s="173"/>
      <c r="DBZ357" s="173"/>
      <c r="DCA357" s="173"/>
      <c r="DCB357" s="173"/>
      <c r="DCC357" s="173"/>
      <c r="DCD357" s="173"/>
      <c r="DCE357" s="173"/>
      <c r="DCF357" s="173"/>
      <c r="DCG357" s="173"/>
      <c r="DCH357" s="125"/>
      <c r="DCI357" s="125"/>
      <c r="DCJ357" s="134"/>
      <c r="DCK357" s="135"/>
      <c r="DCL357" s="135"/>
      <c r="DCM357" s="135"/>
      <c r="DCN357" s="135"/>
      <c r="DCO357" s="173"/>
      <c r="DCP357" s="173"/>
      <c r="DCQ357" s="173"/>
      <c r="DCR357" s="173"/>
      <c r="DCS357" s="173"/>
      <c r="DCT357" s="173"/>
      <c r="DCU357" s="173"/>
      <c r="DCV357" s="173"/>
      <c r="DCW357" s="173"/>
      <c r="DCX357" s="173"/>
      <c r="DCY357" s="125"/>
      <c r="DCZ357" s="125"/>
      <c r="DDA357" s="134"/>
      <c r="DDB357" s="135"/>
      <c r="DDC357" s="135"/>
      <c r="DDD357" s="135"/>
      <c r="DDE357" s="135"/>
      <c r="DDF357" s="173"/>
      <c r="DDG357" s="173"/>
      <c r="DDH357" s="173"/>
      <c r="DDI357" s="173"/>
      <c r="DDJ357" s="173"/>
      <c r="DDK357" s="173"/>
      <c r="DDL357" s="173"/>
      <c r="DDM357" s="173"/>
      <c r="DDN357" s="173"/>
      <c r="DDO357" s="173"/>
      <c r="DDP357" s="125"/>
      <c r="DDQ357" s="125"/>
      <c r="DDR357" s="134"/>
      <c r="DDS357" s="135"/>
      <c r="DDT357" s="135"/>
      <c r="DDU357" s="135"/>
      <c r="DDV357" s="135"/>
      <c r="DDW357" s="173"/>
      <c r="DDX357" s="173"/>
      <c r="DDY357" s="173"/>
      <c r="DDZ357" s="173"/>
      <c r="DEA357" s="173"/>
      <c r="DEB357" s="173"/>
      <c r="DEC357" s="173"/>
      <c r="DED357" s="173"/>
      <c r="DEE357" s="173"/>
      <c r="DEF357" s="173"/>
      <c r="DEG357" s="125"/>
      <c r="DEH357" s="125"/>
      <c r="DEI357" s="134"/>
      <c r="DEJ357" s="135"/>
      <c r="DEK357" s="135"/>
      <c r="DEL357" s="135"/>
      <c r="DEM357" s="135"/>
      <c r="DEN357" s="173"/>
      <c r="DEO357" s="173"/>
      <c r="DEP357" s="173"/>
      <c r="DEQ357" s="173"/>
      <c r="DER357" s="173"/>
      <c r="DES357" s="173"/>
      <c r="DET357" s="173"/>
      <c r="DEU357" s="173"/>
      <c r="DEV357" s="173"/>
      <c r="DEW357" s="173"/>
      <c r="DEX357" s="125"/>
      <c r="DEY357" s="125"/>
      <c r="DEZ357" s="134"/>
      <c r="DFA357" s="135"/>
      <c r="DFB357" s="135"/>
      <c r="DFC357" s="135"/>
      <c r="DFD357" s="135"/>
      <c r="DFE357" s="173"/>
      <c r="DFF357" s="173"/>
      <c r="DFG357" s="173"/>
      <c r="DFH357" s="173"/>
      <c r="DFI357" s="173"/>
      <c r="DFJ357" s="173"/>
      <c r="DFK357" s="173"/>
      <c r="DFL357" s="173"/>
      <c r="DFM357" s="173"/>
      <c r="DFN357" s="173"/>
      <c r="DFO357" s="125"/>
      <c r="DFP357" s="125"/>
      <c r="DFQ357" s="134"/>
      <c r="DFR357" s="135"/>
      <c r="DFS357" s="135"/>
      <c r="DFT357" s="135"/>
      <c r="DFU357" s="135"/>
      <c r="DFV357" s="173"/>
      <c r="DFW357" s="173"/>
      <c r="DFX357" s="173"/>
      <c r="DFY357" s="173"/>
      <c r="DFZ357" s="173"/>
      <c r="DGA357" s="173"/>
      <c r="DGB357" s="173"/>
      <c r="DGC357" s="173"/>
      <c r="DGD357" s="173"/>
      <c r="DGE357" s="173"/>
      <c r="DGF357" s="125"/>
      <c r="DGG357" s="125"/>
      <c r="DGH357" s="134"/>
      <c r="DGI357" s="135"/>
      <c r="DGJ357" s="135"/>
      <c r="DGK357" s="135"/>
      <c r="DGL357" s="135"/>
      <c r="DGM357" s="173"/>
      <c r="DGN357" s="173"/>
      <c r="DGO357" s="173"/>
      <c r="DGP357" s="173"/>
      <c r="DGQ357" s="173"/>
      <c r="DGR357" s="173"/>
      <c r="DGS357" s="173"/>
      <c r="DGT357" s="173"/>
      <c r="DGU357" s="173"/>
      <c r="DGV357" s="173"/>
      <c r="DGW357" s="125"/>
      <c r="DGX357" s="125"/>
      <c r="DGY357" s="134"/>
      <c r="DGZ357" s="135"/>
      <c r="DHA357" s="135"/>
      <c r="DHB357" s="135"/>
      <c r="DHC357" s="135"/>
      <c r="DHD357" s="173"/>
      <c r="DHE357" s="173"/>
      <c r="DHF357" s="173"/>
      <c r="DHG357" s="173"/>
      <c r="DHH357" s="173"/>
      <c r="DHI357" s="173"/>
      <c r="DHJ357" s="173"/>
      <c r="DHK357" s="173"/>
      <c r="DHL357" s="173"/>
      <c r="DHM357" s="173"/>
      <c r="DHN357" s="125"/>
      <c r="DHO357" s="125"/>
      <c r="DHP357" s="134"/>
      <c r="DHQ357" s="135"/>
      <c r="DHR357" s="135"/>
      <c r="DHS357" s="135"/>
      <c r="DHT357" s="135"/>
      <c r="DHU357" s="173"/>
      <c r="DHV357" s="173"/>
      <c r="DHW357" s="173"/>
      <c r="DHX357" s="173"/>
      <c r="DHY357" s="173"/>
      <c r="DHZ357" s="173"/>
      <c r="DIA357" s="173"/>
      <c r="DIB357" s="173"/>
      <c r="DIC357" s="173"/>
      <c r="DID357" s="173"/>
      <c r="DIE357" s="125"/>
      <c r="DIF357" s="125"/>
      <c r="DIG357" s="134"/>
      <c r="DIH357" s="135"/>
      <c r="DII357" s="135"/>
      <c r="DIJ357" s="135"/>
      <c r="DIK357" s="135"/>
      <c r="DIL357" s="173"/>
      <c r="DIM357" s="173"/>
      <c r="DIN357" s="173"/>
      <c r="DIO357" s="173"/>
      <c r="DIP357" s="173"/>
      <c r="DIQ357" s="173"/>
      <c r="DIR357" s="173"/>
      <c r="DIS357" s="173"/>
      <c r="DIT357" s="173"/>
      <c r="DIU357" s="173"/>
      <c r="DIV357" s="125"/>
      <c r="DIW357" s="125"/>
      <c r="DIX357" s="134"/>
      <c r="DIY357" s="135"/>
      <c r="DIZ357" s="135"/>
      <c r="DJA357" s="135"/>
      <c r="DJB357" s="135"/>
      <c r="DJC357" s="173"/>
      <c r="DJD357" s="173"/>
      <c r="DJE357" s="173"/>
      <c r="DJF357" s="173"/>
      <c r="DJG357" s="173"/>
      <c r="DJH357" s="173"/>
      <c r="DJI357" s="173"/>
      <c r="DJJ357" s="173"/>
      <c r="DJK357" s="173"/>
      <c r="DJL357" s="173"/>
      <c r="DJM357" s="125"/>
      <c r="DJN357" s="125"/>
      <c r="DJO357" s="134"/>
      <c r="DJP357" s="135"/>
      <c r="DJQ357" s="135"/>
      <c r="DJR357" s="135"/>
      <c r="DJS357" s="135"/>
      <c r="DJT357" s="173"/>
      <c r="DJU357" s="173"/>
      <c r="DJV357" s="173"/>
      <c r="DJW357" s="173"/>
      <c r="DJX357" s="173"/>
      <c r="DJY357" s="173"/>
      <c r="DJZ357" s="173"/>
      <c r="DKA357" s="173"/>
      <c r="DKB357" s="173"/>
      <c r="DKC357" s="173"/>
      <c r="DKD357" s="125"/>
      <c r="DKE357" s="125"/>
      <c r="DKF357" s="134"/>
      <c r="DKG357" s="135"/>
      <c r="DKH357" s="135"/>
      <c r="DKI357" s="135"/>
      <c r="DKJ357" s="135"/>
      <c r="DKK357" s="173"/>
      <c r="DKL357" s="173"/>
      <c r="DKM357" s="173"/>
      <c r="DKN357" s="173"/>
      <c r="DKO357" s="173"/>
      <c r="DKP357" s="173"/>
      <c r="DKQ357" s="173"/>
      <c r="DKR357" s="173"/>
      <c r="DKS357" s="173"/>
      <c r="DKT357" s="173"/>
      <c r="DKU357" s="125"/>
      <c r="DKV357" s="125"/>
      <c r="DKW357" s="134"/>
      <c r="DKX357" s="135"/>
      <c r="DKY357" s="135"/>
      <c r="DKZ357" s="135"/>
      <c r="DLA357" s="135"/>
      <c r="DLB357" s="173"/>
      <c r="DLC357" s="173"/>
      <c r="DLD357" s="173"/>
      <c r="DLE357" s="173"/>
      <c r="DLF357" s="173"/>
      <c r="DLG357" s="173"/>
      <c r="DLH357" s="173"/>
      <c r="DLI357" s="173"/>
      <c r="DLJ357" s="173"/>
      <c r="DLK357" s="173"/>
      <c r="DLL357" s="125"/>
      <c r="DLM357" s="125"/>
      <c r="DLN357" s="134"/>
      <c r="DLO357" s="135"/>
      <c r="DLP357" s="135"/>
      <c r="DLQ357" s="135"/>
      <c r="DLR357" s="135"/>
      <c r="DLS357" s="173"/>
      <c r="DLT357" s="173"/>
      <c r="DLU357" s="173"/>
      <c r="DLV357" s="173"/>
      <c r="DLW357" s="173"/>
      <c r="DLX357" s="173"/>
      <c r="DLY357" s="173"/>
      <c r="DLZ357" s="173"/>
      <c r="DMA357" s="173"/>
      <c r="DMB357" s="173"/>
      <c r="DMC357" s="125"/>
      <c r="DMD357" s="125"/>
      <c r="DME357" s="134"/>
      <c r="DMF357" s="135"/>
      <c r="DMG357" s="135"/>
      <c r="DMH357" s="135"/>
      <c r="DMI357" s="135"/>
      <c r="DMJ357" s="173"/>
      <c r="DMK357" s="173"/>
      <c r="DML357" s="173"/>
      <c r="DMM357" s="173"/>
      <c r="DMN357" s="173"/>
      <c r="DMO357" s="173"/>
      <c r="DMP357" s="173"/>
      <c r="DMQ357" s="173"/>
      <c r="DMR357" s="173"/>
      <c r="DMS357" s="173"/>
      <c r="DMT357" s="125"/>
      <c r="DMU357" s="125"/>
      <c r="DMV357" s="134"/>
      <c r="DMW357" s="135"/>
      <c r="DMX357" s="135"/>
      <c r="DMY357" s="135"/>
      <c r="DMZ357" s="135"/>
      <c r="DNA357" s="173"/>
      <c r="DNB357" s="173"/>
      <c r="DNC357" s="173"/>
      <c r="DND357" s="173"/>
      <c r="DNE357" s="173"/>
      <c r="DNF357" s="173"/>
      <c r="DNG357" s="173"/>
      <c r="DNH357" s="173"/>
      <c r="DNI357" s="173"/>
      <c r="DNJ357" s="173"/>
      <c r="DNK357" s="125"/>
      <c r="DNL357" s="125"/>
      <c r="DNM357" s="134"/>
      <c r="DNN357" s="135"/>
      <c r="DNO357" s="135"/>
      <c r="DNP357" s="135"/>
      <c r="DNQ357" s="135"/>
      <c r="DNR357" s="173"/>
      <c r="DNS357" s="173"/>
      <c r="DNT357" s="173"/>
      <c r="DNU357" s="173"/>
      <c r="DNV357" s="173"/>
      <c r="DNW357" s="173"/>
      <c r="DNX357" s="173"/>
      <c r="DNY357" s="173"/>
      <c r="DNZ357" s="173"/>
      <c r="DOA357" s="173"/>
      <c r="DOB357" s="125"/>
      <c r="DOC357" s="125"/>
      <c r="DOD357" s="134"/>
      <c r="DOE357" s="135"/>
      <c r="DOF357" s="135"/>
      <c r="DOG357" s="135"/>
      <c r="DOH357" s="135"/>
      <c r="DOI357" s="173"/>
      <c r="DOJ357" s="173"/>
      <c r="DOK357" s="173"/>
      <c r="DOL357" s="173"/>
      <c r="DOM357" s="173"/>
      <c r="DON357" s="173"/>
      <c r="DOO357" s="173"/>
      <c r="DOP357" s="173"/>
      <c r="DOQ357" s="173"/>
      <c r="DOR357" s="173"/>
      <c r="DOS357" s="125"/>
      <c r="DOT357" s="125"/>
      <c r="DOU357" s="134"/>
      <c r="DOV357" s="135"/>
      <c r="DOW357" s="135"/>
      <c r="DOX357" s="135"/>
      <c r="DOY357" s="135"/>
      <c r="DOZ357" s="173"/>
      <c r="DPA357" s="173"/>
      <c r="DPB357" s="173"/>
      <c r="DPC357" s="173"/>
      <c r="DPD357" s="173"/>
      <c r="DPE357" s="173"/>
      <c r="DPF357" s="173"/>
      <c r="DPG357" s="173"/>
      <c r="DPH357" s="173"/>
      <c r="DPI357" s="173"/>
      <c r="DPJ357" s="125"/>
      <c r="DPK357" s="125"/>
      <c r="DPL357" s="134"/>
      <c r="DPM357" s="135"/>
      <c r="DPN357" s="135"/>
      <c r="DPO357" s="135"/>
      <c r="DPP357" s="135"/>
      <c r="DPQ357" s="173"/>
      <c r="DPR357" s="173"/>
      <c r="DPS357" s="173"/>
      <c r="DPT357" s="173"/>
      <c r="DPU357" s="173"/>
      <c r="DPV357" s="173"/>
      <c r="DPW357" s="173"/>
      <c r="DPX357" s="173"/>
      <c r="DPY357" s="173"/>
      <c r="DPZ357" s="173"/>
      <c r="DQA357" s="125"/>
      <c r="DQB357" s="125"/>
      <c r="DQC357" s="134"/>
      <c r="DQD357" s="135"/>
      <c r="DQE357" s="135"/>
      <c r="DQF357" s="135"/>
      <c r="DQG357" s="135"/>
      <c r="DQH357" s="173"/>
      <c r="DQI357" s="173"/>
      <c r="DQJ357" s="173"/>
      <c r="DQK357" s="173"/>
      <c r="DQL357" s="173"/>
      <c r="DQM357" s="173"/>
      <c r="DQN357" s="173"/>
      <c r="DQO357" s="173"/>
      <c r="DQP357" s="173"/>
      <c r="DQQ357" s="173"/>
      <c r="DQR357" s="125"/>
      <c r="DQS357" s="125"/>
      <c r="DQT357" s="134"/>
      <c r="DQU357" s="135"/>
      <c r="DQV357" s="135"/>
      <c r="DQW357" s="135"/>
      <c r="DQX357" s="135"/>
      <c r="DQY357" s="173"/>
      <c r="DQZ357" s="173"/>
      <c r="DRA357" s="173"/>
      <c r="DRB357" s="173"/>
      <c r="DRC357" s="173"/>
      <c r="DRD357" s="173"/>
      <c r="DRE357" s="173"/>
      <c r="DRF357" s="173"/>
      <c r="DRG357" s="173"/>
      <c r="DRH357" s="173"/>
      <c r="DRI357" s="125"/>
      <c r="DRJ357" s="125"/>
      <c r="DRK357" s="134"/>
      <c r="DRL357" s="135"/>
      <c r="DRM357" s="135"/>
      <c r="DRN357" s="135"/>
      <c r="DRO357" s="135"/>
      <c r="DRP357" s="173"/>
      <c r="DRQ357" s="173"/>
      <c r="DRR357" s="173"/>
      <c r="DRS357" s="173"/>
      <c r="DRT357" s="173"/>
      <c r="DRU357" s="173"/>
      <c r="DRV357" s="173"/>
      <c r="DRW357" s="173"/>
      <c r="DRX357" s="173"/>
      <c r="DRY357" s="173"/>
      <c r="DRZ357" s="125"/>
      <c r="DSA357" s="125"/>
      <c r="DSB357" s="134"/>
      <c r="DSC357" s="135"/>
      <c r="DSD357" s="135"/>
      <c r="DSE357" s="135"/>
      <c r="DSF357" s="135"/>
      <c r="DSG357" s="173"/>
      <c r="DSH357" s="173"/>
      <c r="DSI357" s="173"/>
      <c r="DSJ357" s="173"/>
      <c r="DSK357" s="173"/>
      <c r="DSL357" s="173"/>
      <c r="DSM357" s="173"/>
      <c r="DSN357" s="173"/>
      <c r="DSO357" s="173"/>
      <c r="DSP357" s="173"/>
      <c r="DSQ357" s="125"/>
      <c r="DSR357" s="125"/>
      <c r="DSS357" s="134"/>
      <c r="DST357" s="135"/>
      <c r="DSU357" s="135"/>
      <c r="DSV357" s="135"/>
      <c r="DSW357" s="135"/>
      <c r="DSX357" s="173"/>
      <c r="DSY357" s="173"/>
      <c r="DSZ357" s="173"/>
      <c r="DTA357" s="173"/>
      <c r="DTB357" s="173"/>
      <c r="DTC357" s="173"/>
      <c r="DTD357" s="173"/>
      <c r="DTE357" s="173"/>
      <c r="DTF357" s="173"/>
      <c r="DTG357" s="173"/>
      <c r="DTH357" s="125"/>
      <c r="DTI357" s="125"/>
      <c r="DTJ357" s="134"/>
      <c r="DTK357" s="135"/>
      <c r="DTL357" s="135"/>
      <c r="DTM357" s="135"/>
      <c r="DTN357" s="135"/>
      <c r="DTO357" s="173"/>
      <c r="DTP357" s="173"/>
      <c r="DTQ357" s="173"/>
      <c r="DTR357" s="173"/>
      <c r="DTS357" s="173"/>
      <c r="DTT357" s="173"/>
      <c r="DTU357" s="173"/>
      <c r="DTV357" s="173"/>
      <c r="DTW357" s="173"/>
      <c r="DTX357" s="173"/>
      <c r="DTY357" s="125"/>
      <c r="DTZ357" s="125"/>
      <c r="DUA357" s="134"/>
      <c r="DUB357" s="135"/>
      <c r="DUC357" s="135"/>
      <c r="DUD357" s="135"/>
      <c r="DUE357" s="135"/>
      <c r="DUF357" s="173"/>
      <c r="DUG357" s="173"/>
      <c r="DUH357" s="173"/>
      <c r="DUI357" s="173"/>
      <c r="DUJ357" s="173"/>
      <c r="DUK357" s="173"/>
      <c r="DUL357" s="173"/>
      <c r="DUM357" s="173"/>
      <c r="DUN357" s="173"/>
      <c r="DUO357" s="173"/>
      <c r="DUP357" s="125"/>
      <c r="DUQ357" s="125"/>
      <c r="DUR357" s="134"/>
      <c r="DUS357" s="135"/>
      <c r="DUT357" s="135"/>
      <c r="DUU357" s="135"/>
      <c r="DUV357" s="135"/>
      <c r="DUW357" s="173"/>
      <c r="DUX357" s="173"/>
      <c r="DUY357" s="173"/>
      <c r="DUZ357" s="173"/>
      <c r="DVA357" s="173"/>
      <c r="DVB357" s="173"/>
      <c r="DVC357" s="173"/>
      <c r="DVD357" s="173"/>
      <c r="DVE357" s="173"/>
      <c r="DVF357" s="173"/>
      <c r="DVG357" s="125"/>
      <c r="DVH357" s="125"/>
      <c r="DVI357" s="134"/>
      <c r="DVJ357" s="135"/>
      <c r="DVK357" s="135"/>
      <c r="DVL357" s="135"/>
      <c r="DVM357" s="135"/>
      <c r="DVN357" s="173"/>
      <c r="DVO357" s="173"/>
      <c r="DVP357" s="173"/>
      <c r="DVQ357" s="173"/>
      <c r="DVR357" s="173"/>
      <c r="DVS357" s="173"/>
      <c r="DVT357" s="173"/>
      <c r="DVU357" s="173"/>
      <c r="DVV357" s="173"/>
      <c r="DVW357" s="173"/>
      <c r="DVX357" s="125"/>
      <c r="DVY357" s="125"/>
      <c r="DVZ357" s="134"/>
      <c r="DWA357" s="135"/>
      <c r="DWB357" s="135"/>
      <c r="DWC357" s="135"/>
      <c r="DWD357" s="135"/>
      <c r="DWE357" s="173"/>
      <c r="DWF357" s="173"/>
      <c r="DWG357" s="173"/>
      <c r="DWH357" s="173"/>
      <c r="DWI357" s="173"/>
      <c r="DWJ357" s="173"/>
      <c r="DWK357" s="173"/>
      <c r="DWL357" s="173"/>
      <c r="DWM357" s="173"/>
      <c r="DWN357" s="173"/>
      <c r="DWO357" s="125"/>
      <c r="DWP357" s="125"/>
      <c r="DWQ357" s="134"/>
      <c r="DWR357" s="135"/>
      <c r="DWS357" s="135"/>
      <c r="DWT357" s="135"/>
      <c r="DWU357" s="135"/>
      <c r="DWV357" s="173"/>
      <c r="DWW357" s="173"/>
      <c r="DWX357" s="173"/>
      <c r="DWY357" s="173"/>
      <c r="DWZ357" s="173"/>
      <c r="DXA357" s="173"/>
      <c r="DXB357" s="173"/>
      <c r="DXC357" s="173"/>
      <c r="DXD357" s="173"/>
      <c r="DXE357" s="173"/>
      <c r="DXF357" s="125"/>
      <c r="DXG357" s="125"/>
      <c r="DXH357" s="134"/>
      <c r="DXI357" s="135"/>
      <c r="DXJ357" s="135"/>
      <c r="DXK357" s="135"/>
      <c r="DXL357" s="135"/>
      <c r="DXM357" s="173"/>
      <c r="DXN357" s="173"/>
      <c r="DXO357" s="173"/>
      <c r="DXP357" s="173"/>
      <c r="DXQ357" s="173"/>
      <c r="DXR357" s="173"/>
      <c r="DXS357" s="173"/>
      <c r="DXT357" s="173"/>
      <c r="DXU357" s="173"/>
      <c r="DXV357" s="173"/>
      <c r="DXW357" s="125"/>
      <c r="DXX357" s="125"/>
      <c r="DXY357" s="134"/>
      <c r="DXZ357" s="135"/>
      <c r="DYA357" s="135"/>
      <c r="DYB357" s="135"/>
      <c r="DYC357" s="135"/>
      <c r="DYD357" s="173"/>
      <c r="DYE357" s="173"/>
      <c r="DYF357" s="173"/>
      <c r="DYG357" s="173"/>
      <c r="DYH357" s="173"/>
      <c r="DYI357" s="173"/>
      <c r="DYJ357" s="173"/>
      <c r="DYK357" s="173"/>
      <c r="DYL357" s="173"/>
      <c r="DYM357" s="173"/>
      <c r="DYN357" s="125"/>
      <c r="DYO357" s="125"/>
      <c r="DYP357" s="134"/>
      <c r="DYQ357" s="135"/>
      <c r="DYR357" s="135"/>
      <c r="DYS357" s="135"/>
      <c r="DYT357" s="135"/>
      <c r="DYU357" s="173"/>
      <c r="DYV357" s="173"/>
      <c r="DYW357" s="173"/>
      <c r="DYX357" s="173"/>
      <c r="DYY357" s="173"/>
      <c r="DYZ357" s="173"/>
      <c r="DZA357" s="173"/>
      <c r="DZB357" s="173"/>
      <c r="DZC357" s="173"/>
      <c r="DZD357" s="173"/>
      <c r="DZE357" s="125"/>
      <c r="DZF357" s="125"/>
      <c r="DZG357" s="134"/>
      <c r="DZH357" s="135"/>
      <c r="DZI357" s="135"/>
      <c r="DZJ357" s="135"/>
      <c r="DZK357" s="135"/>
      <c r="DZL357" s="173"/>
      <c r="DZM357" s="173"/>
      <c r="DZN357" s="173"/>
      <c r="DZO357" s="173"/>
      <c r="DZP357" s="173"/>
      <c r="DZQ357" s="173"/>
      <c r="DZR357" s="173"/>
      <c r="DZS357" s="173"/>
      <c r="DZT357" s="173"/>
      <c r="DZU357" s="173"/>
      <c r="DZV357" s="125"/>
      <c r="DZW357" s="125"/>
      <c r="DZX357" s="134"/>
      <c r="DZY357" s="135"/>
      <c r="DZZ357" s="135"/>
      <c r="EAA357" s="135"/>
      <c r="EAB357" s="135"/>
      <c r="EAC357" s="173"/>
      <c r="EAD357" s="173"/>
      <c r="EAE357" s="173"/>
      <c r="EAF357" s="173"/>
      <c r="EAG357" s="173"/>
      <c r="EAH357" s="173"/>
      <c r="EAI357" s="173"/>
      <c r="EAJ357" s="173"/>
      <c r="EAK357" s="173"/>
      <c r="EAL357" s="173"/>
      <c r="EAM357" s="125"/>
      <c r="EAN357" s="125"/>
      <c r="EAO357" s="134"/>
      <c r="EAP357" s="135"/>
      <c r="EAQ357" s="135"/>
      <c r="EAR357" s="135"/>
      <c r="EAS357" s="135"/>
      <c r="EAT357" s="173"/>
      <c r="EAU357" s="173"/>
      <c r="EAV357" s="173"/>
      <c r="EAW357" s="173"/>
      <c r="EAX357" s="173"/>
      <c r="EAY357" s="173"/>
      <c r="EAZ357" s="173"/>
      <c r="EBA357" s="173"/>
      <c r="EBB357" s="173"/>
      <c r="EBC357" s="173"/>
      <c r="EBD357" s="125"/>
      <c r="EBE357" s="125"/>
      <c r="EBF357" s="134"/>
      <c r="EBG357" s="135"/>
      <c r="EBH357" s="135"/>
      <c r="EBI357" s="135"/>
      <c r="EBJ357" s="135"/>
      <c r="EBK357" s="173"/>
      <c r="EBL357" s="173"/>
      <c r="EBM357" s="173"/>
      <c r="EBN357" s="173"/>
      <c r="EBO357" s="173"/>
      <c r="EBP357" s="173"/>
      <c r="EBQ357" s="173"/>
      <c r="EBR357" s="173"/>
      <c r="EBS357" s="173"/>
      <c r="EBT357" s="173"/>
      <c r="EBU357" s="125"/>
      <c r="EBV357" s="125"/>
      <c r="EBW357" s="134"/>
      <c r="EBX357" s="135"/>
      <c r="EBY357" s="135"/>
      <c r="EBZ357" s="135"/>
      <c r="ECA357" s="135"/>
      <c r="ECB357" s="173"/>
      <c r="ECC357" s="173"/>
      <c r="ECD357" s="173"/>
      <c r="ECE357" s="173"/>
      <c r="ECF357" s="173"/>
      <c r="ECG357" s="173"/>
      <c r="ECH357" s="173"/>
      <c r="ECI357" s="173"/>
      <c r="ECJ357" s="173"/>
      <c r="ECK357" s="173"/>
      <c r="ECL357" s="125"/>
      <c r="ECM357" s="125"/>
      <c r="ECN357" s="134"/>
      <c r="ECO357" s="135"/>
      <c r="ECP357" s="135"/>
      <c r="ECQ357" s="135"/>
      <c r="ECR357" s="135"/>
      <c r="ECS357" s="173"/>
      <c r="ECT357" s="173"/>
      <c r="ECU357" s="173"/>
      <c r="ECV357" s="173"/>
      <c r="ECW357" s="173"/>
      <c r="ECX357" s="173"/>
      <c r="ECY357" s="173"/>
      <c r="ECZ357" s="173"/>
      <c r="EDA357" s="173"/>
      <c r="EDB357" s="173"/>
      <c r="EDC357" s="125"/>
      <c r="EDD357" s="125"/>
      <c r="EDE357" s="134"/>
      <c r="EDF357" s="135"/>
      <c r="EDG357" s="135"/>
      <c r="EDH357" s="135"/>
      <c r="EDI357" s="135"/>
      <c r="EDJ357" s="173"/>
      <c r="EDK357" s="173"/>
      <c r="EDL357" s="173"/>
      <c r="EDM357" s="173"/>
      <c r="EDN357" s="173"/>
      <c r="EDO357" s="173"/>
      <c r="EDP357" s="173"/>
      <c r="EDQ357" s="173"/>
      <c r="EDR357" s="173"/>
      <c r="EDS357" s="173"/>
      <c r="EDT357" s="125"/>
      <c r="EDU357" s="125"/>
      <c r="EDV357" s="134"/>
      <c r="EDW357" s="135"/>
      <c r="EDX357" s="135"/>
      <c r="EDY357" s="135"/>
      <c r="EDZ357" s="135"/>
      <c r="EEA357" s="173"/>
      <c r="EEB357" s="173"/>
      <c r="EEC357" s="173"/>
      <c r="EED357" s="173"/>
      <c r="EEE357" s="173"/>
      <c r="EEF357" s="173"/>
      <c r="EEG357" s="173"/>
      <c r="EEH357" s="173"/>
      <c r="EEI357" s="173"/>
      <c r="EEJ357" s="173"/>
      <c r="EEK357" s="125"/>
      <c r="EEL357" s="125"/>
      <c r="EEM357" s="134"/>
      <c r="EEN357" s="135"/>
      <c r="EEO357" s="135"/>
      <c r="EEP357" s="135"/>
      <c r="EEQ357" s="135"/>
      <c r="EER357" s="173"/>
      <c r="EES357" s="173"/>
      <c r="EET357" s="173"/>
      <c r="EEU357" s="173"/>
      <c r="EEV357" s="173"/>
      <c r="EEW357" s="173"/>
      <c r="EEX357" s="173"/>
      <c r="EEY357" s="173"/>
      <c r="EEZ357" s="173"/>
      <c r="EFA357" s="173"/>
      <c r="EFB357" s="125"/>
      <c r="EFC357" s="125"/>
      <c r="EFD357" s="134"/>
      <c r="EFE357" s="135"/>
      <c r="EFF357" s="135"/>
      <c r="EFG357" s="135"/>
      <c r="EFH357" s="135"/>
      <c r="EFI357" s="173"/>
      <c r="EFJ357" s="173"/>
      <c r="EFK357" s="173"/>
      <c r="EFL357" s="173"/>
      <c r="EFM357" s="173"/>
      <c r="EFN357" s="173"/>
      <c r="EFO357" s="173"/>
      <c r="EFP357" s="173"/>
      <c r="EFQ357" s="173"/>
      <c r="EFR357" s="173"/>
      <c r="EFS357" s="125"/>
      <c r="EFT357" s="125"/>
      <c r="EFU357" s="134"/>
      <c r="EFV357" s="135"/>
      <c r="EFW357" s="135"/>
      <c r="EFX357" s="135"/>
      <c r="EFY357" s="135"/>
      <c r="EFZ357" s="173"/>
      <c r="EGA357" s="173"/>
      <c r="EGB357" s="173"/>
      <c r="EGC357" s="173"/>
      <c r="EGD357" s="173"/>
      <c r="EGE357" s="173"/>
      <c r="EGF357" s="173"/>
      <c r="EGG357" s="173"/>
      <c r="EGH357" s="173"/>
      <c r="EGI357" s="173"/>
      <c r="EGJ357" s="125"/>
      <c r="EGK357" s="125"/>
      <c r="EGL357" s="134"/>
      <c r="EGM357" s="135"/>
      <c r="EGN357" s="135"/>
      <c r="EGO357" s="135"/>
      <c r="EGP357" s="135"/>
      <c r="EGQ357" s="173"/>
      <c r="EGR357" s="173"/>
      <c r="EGS357" s="173"/>
      <c r="EGT357" s="173"/>
      <c r="EGU357" s="173"/>
      <c r="EGV357" s="173"/>
      <c r="EGW357" s="173"/>
      <c r="EGX357" s="173"/>
      <c r="EGY357" s="173"/>
      <c r="EGZ357" s="173"/>
      <c r="EHA357" s="125"/>
      <c r="EHB357" s="125"/>
      <c r="EHC357" s="134"/>
      <c r="EHD357" s="135"/>
      <c r="EHE357" s="135"/>
      <c r="EHF357" s="135"/>
      <c r="EHG357" s="135"/>
      <c r="EHH357" s="173"/>
      <c r="EHI357" s="173"/>
      <c r="EHJ357" s="173"/>
      <c r="EHK357" s="173"/>
      <c r="EHL357" s="173"/>
      <c r="EHM357" s="173"/>
      <c r="EHN357" s="173"/>
      <c r="EHO357" s="173"/>
      <c r="EHP357" s="173"/>
      <c r="EHQ357" s="173"/>
      <c r="EHR357" s="125"/>
      <c r="EHS357" s="125"/>
      <c r="EHT357" s="134"/>
      <c r="EHU357" s="135"/>
      <c r="EHV357" s="135"/>
      <c r="EHW357" s="135"/>
      <c r="EHX357" s="135"/>
      <c r="EHY357" s="173"/>
      <c r="EHZ357" s="173"/>
      <c r="EIA357" s="173"/>
      <c r="EIB357" s="173"/>
      <c r="EIC357" s="173"/>
      <c r="EID357" s="173"/>
      <c r="EIE357" s="173"/>
      <c r="EIF357" s="173"/>
      <c r="EIG357" s="173"/>
      <c r="EIH357" s="173"/>
      <c r="EII357" s="125"/>
      <c r="EIJ357" s="125"/>
      <c r="EIK357" s="134"/>
      <c r="EIL357" s="135"/>
      <c r="EIM357" s="135"/>
      <c r="EIN357" s="135"/>
      <c r="EIO357" s="135"/>
      <c r="EIP357" s="173"/>
      <c r="EIQ357" s="173"/>
      <c r="EIR357" s="173"/>
      <c r="EIS357" s="173"/>
      <c r="EIT357" s="173"/>
      <c r="EIU357" s="173"/>
      <c r="EIV357" s="173"/>
      <c r="EIW357" s="173"/>
      <c r="EIX357" s="173"/>
      <c r="EIY357" s="173"/>
      <c r="EIZ357" s="125"/>
      <c r="EJA357" s="125"/>
      <c r="EJB357" s="134"/>
      <c r="EJC357" s="135"/>
      <c r="EJD357" s="135"/>
      <c r="EJE357" s="135"/>
      <c r="EJF357" s="135"/>
      <c r="EJG357" s="173"/>
      <c r="EJH357" s="173"/>
      <c r="EJI357" s="173"/>
      <c r="EJJ357" s="173"/>
      <c r="EJK357" s="173"/>
      <c r="EJL357" s="173"/>
      <c r="EJM357" s="173"/>
      <c r="EJN357" s="173"/>
      <c r="EJO357" s="173"/>
      <c r="EJP357" s="173"/>
      <c r="EJQ357" s="125"/>
      <c r="EJR357" s="125"/>
      <c r="EJS357" s="134"/>
      <c r="EJT357" s="135"/>
      <c r="EJU357" s="135"/>
      <c r="EJV357" s="135"/>
      <c r="EJW357" s="135"/>
      <c r="EJX357" s="173"/>
      <c r="EJY357" s="173"/>
      <c r="EJZ357" s="173"/>
      <c r="EKA357" s="173"/>
      <c r="EKB357" s="173"/>
      <c r="EKC357" s="173"/>
      <c r="EKD357" s="173"/>
      <c r="EKE357" s="173"/>
      <c r="EKF357" s="173"/>
      <c r="EKG357" s="173"/>
      <c r="EKH357" s="125"/>
      <c r="EKI357" s="125"/>
      <c r="EKJ357" s="134"/>
      <c r="EKK357" s="135"/>
      <c r="EKL357" s="135"/>
      <c r="EKM357" s="135"/>
      <c r="EKN357" s="135"/>
      <c r="EKO357" s="173"/>
      <c r="EKP357" s="173"/>
      <c r="EKQ357" s="173"/>
      <c r="EKR357" s="173"/>
      <c r="EKS357" s="173"/>
      <c r="EKT357" s="173"/>
      <c r="EKU357" s="173"/>
      <c r="EKV357" s="173"/>
      <c r="EKW357" s="173"/>
      <c r="EKX357" s="173"/>
      <c r="EKY357" s="125"/>
      <c r="EKZ357" s="125"/>
      <c r="ELA357" s="134"/>
      <c r="ELB357" s="135"/>
      <c r="ELC357" s="135"/>
      <c r="ELD357" s="135"/>
      <c r="ELE357" s="135"/>
      <c r="ELF357" s="173"/>
      <c r="ELG357" s="173"/>
      <c r="ELH357" s="173"/>
      <c r="ELI357" s="173"/>
      <c r="ELJ357" s="173"/>
      <c r="ELK357" s="173"/>
      <c r="ELL357" s="173"/>
      <c r="ELM357" s="173"/>
      <c r="ELN357" s="173"/>
      <c r="ELO357" s="173"/>
      <c r="ELP357" s="125"/>
      <c r="ELQ357" s="125"/>
      <c r="ELR357" s="134"/>
      <c r="ELS357" s="135"/>
      <c r="ELT357" s="135"/>
      <c r="ELU357" s="135"/>
      <c r="ELV357" s="135"/>
      <c r="ELW357" s="173"/>
      <c r="ELX357" s="173"/>
      <c r="ELY357" s="173"/>
      <c r="ELZ357" s="173"/>
      <c r="EMA357" s="173"/>
      <c r="EMB357" s="173"/>
      <c r="EMC357" s="173"/>
      <c r="EMD357" s="173"/>
      <c r="EME357" s="173"/>
      <c r="EMF357" s="173"/>
      <c r="EMG357" s="125"/>
      <c r="EMH357" s="125"/>
      <c r="EMI357" s="134"/>
      <c r="EMJ357" s="135"/>
      <c r="EMK357" s="135"/>
      <c r="EML357" s="135"/>
      <c r="EMM357" s="135"/>
      <c r="EMN357" s="173"/>
      <c r="EMO357" s="173"/>
      <c r="EMP357" s="173"/>
      <c r="EMQ357" s="173"/>
      <c r="EMR357" s="173"/>
      <c r="EMS357" s="173"/>
      <c r="EMT357" s="173"/>
      <c r="EMU357" s="173"/>
      <c r="EMV357" s="173"/>
      <c r="EMW357" s="173"/>
      <c r="EMX357" s="125"/>
      <c r="EMY357" s="125"/>
      <c r="EMZ357" s="134"/>
      <c r="ENA357" s="135"/>
      <c r="ENB357" s="135"/>
      <c r="ENC357" s="135"/>
      <c r="END357" s="135"/>
      <c r="ENE357" s="173"/>
      <c r="ENF357" s="173"/>
      <c r="ENG357" s="173"/>
      <c r="ENH357" s="173"/>
      <c r="ENI357" s="173"/>
      <c r="ENJ357" s="173"/>
      <c r="ENK357" s="173"/>
      <c r="ENL357" s="173"/>
      <c r="ENM357" s="173"/>
      <c r="ENN357" s="173"/>
      <c r="ENO357" s="125"/>
      <c r="ENP357" s="125"/>
      <c r="ENQ357" s="134"/>
      <c r="ENR357" s="135"/>
      <c r="ENS357" s="135"/>
      <c r="ENT357" s="135"/>
      <c r="ENU357" s="135"/>
      <c r="ENV357" s="173"/>
      <c r="ENW357" s="173"/>
      <c r="ENX357" s="173"/>
      <c r="ENY357" s="173"/>
      <c r="ENZ357" s="173"/>
      <c r="EOA357" s="173"/>
      <c r="EOB357" s="173"/>
      <c r="EOC357" s="173"/>
      <c r="EOD357" s="173"/>
      <c r="EOE357" s="173"/>
      <c r="EOF357" s="125"/>
      <c r="EOG357" s="125"/>
      <c r="EOH357" s="134"/>
      <c r="EOI357" s="135"/>
      <c r="EOJ357" s="135"/>
      <c r="EOK357" s="135"/>
      <c r="EOL357" s="135"/>
      <c r="EOM357" s="173"/>
      <c r="EON357" s="173"/>
      <c r="EOO357" s="173"/>
      <c r="EOP357" s="173"/>
      <c r="EOQ357" s="173"/>
      <c r="EOR357" s="173"/>
      <c r="EOS357" s="173"/>
      <c r="EOT357" s="173"/>
      <c r="EOU357" s="173"/>
      <c r="EOV357" s="173"/>
      <c r="EOW357" s="125"/>
      <c r="EOX357" s="125"/>
      <c r="EOY357" s="134"/>
      <c r="EOZ357" s="135"/>
      <c r="EPA357" s="135"/>
      <c r="EPB357" s="135"/>
      <c r="EPC357" s="135"/>
      <c r="EPD357" s="173"/>
      <c r="EPE357" s="173"/>
      <c r="EPF357" s="173"/>
      <c r="EPG357" s="173"/>
      <c r="EPH357" s="173"/>
      <c r="EPI357" s="173"/>
      <c r="EPJ357" s="173"/>
      <c r="EPK357" s="173"/>
      <c r="EPL357" s="173"/>
      <c r="EPM357" s="173"/>
      <c r="EPN357" s="125"/>
      <c r="EPO357" s="125"/>
      <c r="EPP357" s="134"/>
      <c r="EPQ357" s="135"/>
      <c r="EPR357" s="135"/>
      <c r="EPS357" s="135"/>
      <c r="EPT357" s="135"/>
      <c r="EPU357" s="173"/>
      <c r="EPV357" s="173"/>
      <c r="EPW357" s="173"/>
      <c r="EPX357" s="173"/>
      <c r="EPY357" s="173"/>
      <c r="EPZ357" s="173"/>
      <c r="EQA357" s="173"/>
      <c r="EQB357" s="173"/>
      <c r="EQC357" s="173"/>
      <c r="EQD357" s="173"/>
      <c r="EQE357" s="125"/>
      <c r="EQF357" s="125"/>
      <c r="EQG357" s="134"/>
      <c r="EQH357" s="135"/>
      <c r="EQI357" s="135"/>
      <c r="EQJ357" s="135"/>
      <c r="EQK357" s="135"/>
      <c r="EQL357" s="173"/>
      <c r="EQM357" s="173"/>
      <c r="EQN357" s="173"/>
      <c r="EQO357" s="173"/>
      <c r="EQP357" s="173"/>
      <c r="EQQ357" s="173"/>
      <c r="EQR357" s="173"/>
      <c r="EQS357" s="173"/>
      <c r="EQT357" s="173"/>
      <c r="EQU357" s="173"/>
      <c r="EQV357" s="125"/>
      <c r="EQW357" s="125"/>
      <c r="EQX357" s="134"/>
      <c r="EQY357" s="135"/>
      <c r="EQZ357" s="135"/>
      <c r="ERA357" s="135"/>
      <c r="ERB357" s="135"/>
      <c r="ERC357" s="173"/>
      <c r="ERD357" s="173"/>
      <c r="ERE357" s="173"/>
      <c r="ERF357" s="173"/>
      <c r="ERG357" s="173"/>
      <c r="ERH357" s="173"/>
      <c r="ERI357" s="173"/>
      <c r="ERJ357" s="173"/>
      <c r="ERK357" s="173"/>
      <c r="ERL357" s="173"/>
      <c r="ERM357" s="125"/>
      <c r="ERN357" s="125"/>
      <c r="ERO357" s="134"/>
      <c r="ERP357" s="135"/>
      <c r="ERQ357" s="135"/>
      <c r="ERR357" s="135"/>
      <c r="ERS357" s="135"/>
      <c r="ERT357" s="173"/>
      <c r="ERU357" s="173"/>
      <c r="ERV357" s="173"/>
      <c r="ERW357" s="173"/>
      <c r="ERX357" s="173"/>
      <c r="ERY357" s="173"/>
      <c r="ERZ357" s="173"/>
      <c r="ESA357" s="173"/>
      <c r="ESB357" s="173"/>
      <c r="ESC357" s="173"/>
      <c r="ESD357" s="125"/>
      <c r="ESE357" s="125"/>
      <c r="ESF357" s="134"/>
      <c r="ESG357" s="135"/>
      <c r="ESH357" s="135"/>
      <c r="ESI357" s="135"/>
      <c r="ESJ357" s="135"/>
      <c r="ESK357" s="173"/>
      <c r="ESL357" s="173"/>
      <c r="ESM357" s="173"/>
      <c r="ESN357" s="173"/>
      <c r="ESO357" s="173"/>
      <c r="ESP357" s="173"/>
      <c r="ESQ357" s="173"/>
      <c r="ESR357" s="173"/>
      <c r="ESS357" s="173"/>
      <c r="EST357" s="173"/>
      <c r="ESU357" s="125"/>
      <c r="ESV357" s="125"/>
      <c r="ESW357" s="134"/>
      <c r="ESX357" s="135"/>
      <c r="ESY357" s="135"/>
      <c r="ESZ357" s="135"/>
      <c r="ETA357" s="135"/>
      <c r="ETB357" s="173"/>
      <c r="ETC357" s="173"/>
      <c r="ETD357" s="173"/>
      <c r="ETE357" s="173"/>
      <c r="ETF357" s="173"/>
      <c r="ETG357" s="173"/>
      <c r="ETH357" s="173"/>
      <c r="ETI357" s="173"/>
      <c r="ETJ357" s="173"/>
      <c r="ETK357" s="173"/>
      <c r="ETL357" s="125"/>
      <c r="ETM357" s="125"/>
      <c r="ETN357" s="134"/>
      <c r="ETO357" s="135"/>
      <c r="ETP357" s="135"/>
      <c r="ETQ357" s="135"/>
      <c r="ETR357" s="135"/>
      <c r="ETS357" s="173"/>
      <c r="ETT357" s="173"/>
      <c r="ETU357" s="173"/>
      <c r="ETV357" s="173"/>
      <c r="ETW357" s="173"/>
      <c r="ETX357" s="173"/>
      <c r="ETY357" s="173"/>
      <c r="ETZ357" s="173"/>
      <c r="EUA357" s="173"/>
      <c r="EUB357" s="173"/>
      <c r="EUC357" s="125"/>
      <c r="EUD357" s="125"/>
      <c r="EUE357" s="134"/>
      <c r="EUF357" s="135"/>
      <c r="EUG357" s="135"/>
      <c r="EUH357" s="135"/>
      <c r="EUI357" s="135"/>
      <c r="EUJ357" s="173"/>
      <c r="EUK357" s="173"/>
      <c r="EUL357" s="173"/>
      <c r="EUM357" s="173"/>
      <c r="EUN357" s="173"/>
      <c r="EUO357" s="173"/>
      <c r="EUP357" s="173"/>
      <c r="EUQ357" s="173"/>
      <c r="EUR357" s="173"/>
      <c r="EUS357" s="173"/>
      <c r="EUT357" s="125"/>
      <c r="EUU357" s="125"/>
      <c r="EUV357" s="134"/>
      <c r="EUW357" s="135"/>
      <c r="EUX357" s="135"/>
      <c r="EUY357" s="135"/>
      <c r="EUZ357" s="135"/>
      <c r="EVA357" s="173"/>
      <c r="EVB357" s="173"/>
      <c r="EVC357" s="173"/>
      <c r="EVD357" s="173"/>
      <c r="EVE357" s="173"/>
      <c r="EVF357" s="173"/>
      <c r="EVG357" s="173"/>
      <c r="EVH357" s="173"/>
      <c r="EVI357" s="173"/>
      <c r="EVJ357" s="173"/>
      <c r="EVK357" s="125"/>
      <c r="EVL357" s="125"/>
      <c r="EVM357" s="134"/>
      <c r="EVN357" s="135"/>
      <c r="EVO357" s="135"/>
      <c r="EVP357" s="135"/>
      <c r="EVQ357" s="135"/>
      <c r="EVR357" s="173"/>
      <c r="EVS357" s="173"/>
      <c r="EVT357" s="173"/>
      <c r="EVU357" s="173"/>
      <c r="EVV357" s="173"/>
      <c r="EVW357" s="173"/>
      <c r="EVX357" s="173"/>
      <c r="EVY357" s="173"/>
      <c r="EVZ357" s="173"/>
      <c r="EWA357" s="173"/>
      <c r="EWB357" s="125"/>
      <c r="EWC357" s="125"/>
      <c r="EWD357" s="134"/>
      <c r="EWE357" s="135"/>
      <c r="EWF357" s="135"/>
      <c r="EWG357" s="135"/>
      <c r="EWH357" s="135"/>
      <c r="EWI357" s="173"/>
      <c r="EWJ357" s="173"/>
      <c r="EWK357" s="173"/>
      <c r="EWL357" s="173"/>
      <c r="EWM357" s="173"/>
      <c r="EWN357" s="173"/>
      <c r="EWO357" s="173"/>
      <c r="EWP357" s="173"/>
      <c r="EWQ357" s="173"/>
      <c r="EWR357" s="173"/>
      <c r="EWS357" s="125"/>
      <c r="EWT357" s="125"/>
      <c r="EWU357" s="134"/>
      <c r="EWV357" s="135"/>
      <c r="EWW357" s="135"/>
      <c r="EWX357" s="135"/>
      <c r="EWY357" s="135"/>
      <c r="EWZ357" s="173"/>
      <c r="EXA357" s="173"/>
      <c r="EXB357" s="173"/>
      <c r="EXC357" s="173"/>
      <c r="EXD357" s="173"/>
      <c r="EXE357" s="173"/>
      <c r="EXF357" s="173"/>
      <c r="EXG357" s="173"/>
      <c r="EXH357" s="173"/>
      <c r="EXI357" s="173"/>
      <c r="EXJ357" s="125"/>
      <c r="EXK357" s="125"/>
      <c r="EXL357" s="134"/>
      <c r="EXM357" s="135"/>
      <c r="EXN357" s="135"/>
      <c r="EXO357" s="135"/>
      <c r="EXP357" s="135"/>
      <c r="EXQ357" s="173"/>
      <c r="EXR357" s="173"/>
      <c r="EXS357" s="173"/>
      <c r="EXT357" s="173"/>
      <c r="EXU357" s="173"/>
      <c r="EXV357" s="173"/>
      <c r="EXW357" s="173"/>
      <c r="EXX357" s="173"/>
      <c r="EXY357" s="173"/>
      <c r="EXZ357" s="173"/>
      <c r="EYA357" s="125"/>
      <c r="EYB357" s="125"/>
      <c r="EYC357" s="134"/>
      <c r="EYD357" s="135"/>
      <c r="EYE357" s="135"/>
      <c r="EYF357" s="135"/>
      <c r="EYG357" s="135"/>
      <c r="EYH357" s="173"/>
      <c r="EYI357" s="173"/>
      <c r="EYJ357" s="173"/>
      <c r="EYK357" s="173"/>
      <c r="EYL357" s="173"/>
      <c r="EYM357" s="173"/>
      <c r="EYN357" s="173"/>
      <c r="EYO357" s="173"/>
      <c r="EYP357" s="173"/>
      <c r="EYQ357" s="173"/>
      <c r="EYR357" s="125"/>
      <c r="EYS357" s="125"/>
      <c r="EYT357" s="134"/>
      <c r="EYU357" s="135"/>
      <c r="EYV357" s="135"/>
      <c r="EYW357" s="135"/>
      <c r="EYX357" s="135"/>
      <c r="EYY357" s="173"/>
      <c r="EYZ357" s="173"/>
      <c r="EZA357" s="173"/>
      <c r="EZB357" s="173"/>
      <c r="EZC357" s="173"/>
      <c r="EZD357" s="173"/>
      <c r="EZE357" s="173"/>
      <c r="EZF357" s="173"/>
      <c r="EZG357" s="173"/>
      <c r="EZH357" s="173"/>
      <c r="EZI357" s="125"/>
      <c r="EZJ357" s="125"/>
      <c r="EZK357" s="134"/>
      <c r="EZL357" s="135"/>
      <c r="EZM357" s="135"/>
      <c r="EZN357" s="135"/>
      <c r="EZO357" s="135"/>
      <c r="EZP357" s="173"/>
      <c r="EZQ357" s="173"/>
      <c r="EZR357" s="173"/>
      <c r="EZS357" s="173"/>
      <c r="EZT357" s="173"/>
      <c r="EZU357" s="173"/>
      <c r="EZV357" s="173"/>
      <c r="EZW357" s="173"/>
      <c r="EZX357" s="173"/>
      <c r="EZY357" s="173"/>
      <c r="EZZ357" s="125"/>
      <c r="FAA357" s="125"/>
      <c r="FAB357" s="134"/>
      <c r="FAC357" s="135"/>
      <c r="FAD357" s="135"/>
      <c r="FAE357" s="135"/>
      <c r="FAF357" s="135"/>
      <c r="FAG357" s="173"/>
      <c r="FAH357" s="173"/>
      <c r="FAI357" s="173"/>
      <c r="FAJ357" s="173"/>
      <c r="FAK357" s="173"/>
      <c r="FAL357" s="173"/>
      <c r="FAM357" s="173"/>
      <c r="FAN357" s="173"/>
      <c r="FAO357" s="173"/>
      <c r="FAP357" s="173"/>
      <c r="FAQ357" s="125"/>
      <c r="FAR357" s="125"/>
      <c r="FAS357" s="134"/>
      <c r="FAT357" s="135"/>
      <c r="FAU357" s="135"/>
      <c r="FAV357" s="135"/>
      <c r="FAW357" s="135"/>
      <c r="FAX357" s="173"/>
      <c r="FAY357" s="173"/>
      <c r="FAZ357" s="173"/>
      <c r="FBA357" s="173"/>
      <c r="FBB357" s="173"/>
      <c r="FBC357" s="173"/>
      <c r="FBD357" s="173"/>
      <c r="FBE357" s="173"/>
      <c r="FBF357" s="173"/>
      <c r="FBG357" s="173"/>
      <c r="FBH357" s="125"/>
      <c r="FBI357" s="125"/>
      <c r="FBJ357" s="134"/>
      <c r="FBK357" s="135"/>
      <c r="FBL357" s="135"/>
      <c r="FBM357" s="135"/>
      <c r="FBN357" s="135"/>
      <c r="FBO357" s="173"/>
      <c r="FBP357" s="173"/>
      <c r="FBQ357" s="173"/>
      <c r="FBR357" s="173"/>
      <c r="FBS357" s="173"/>
      <c r="FBT357" s="173"/>
      <c r="FBU357" s="173"/>
      <c r="FBV357" s="173"/>
      <c r="FBW357" s="173"/>
      <c r="FBX357" s="173"/>
      <c r="FBY357" s="125"/>
      <c r="FBZ357" s="125"/>
      <c r="FCA357" s="134"/>
      <c r="FCB357" s="135"/>
      <c r="FCC357" s="135"/>
      <c r="FCD357" s="135"/>
      <c r="FCE357" s="135"/>
      <c r="FCF357" s="173"/>
      <c r="FCG357" s="173"/>
      <c r="FCH357" s="173"/>
      <c r="FCI357" s="173"/>
      <c r="FCJ357" s="173"/>
      <c r="FCK357" s="173"/>
      <c r="FCL357" s="173"/>
      <c r="FCM357" s="173"/>
      <c r="FCN357" s="173"/>
      <c r="FCO357" s="173"/>
      <c r="FCP357" s="125"/>
      <c r="FCQ357" s="125"/>
      <c r="FCR357" s="134"/>
      <c r="FCS357" s="135"/>
      <c r="FCT357" s="135"/>
      <c r="FCU357" s="135"/>
      <c r="FCV357" s="135"/>
      <c r="FCW357" s="173"/>
      <c r="FCX357" s="173"/>
      <c r="FCY357" s="173"/>
      <c r="FCZ357" s="173"/>
      <c r="FDA357" s="173"/>
      <c r="FDB357" s="173"/>
      <c r="FDC357" s="173"/>
      <c r="FDD357" s="173"/>
      <c r="FDE357" s="173"/>
      <c r="FDF357" s="173"/>
      <c r="FDG357" s="125"/>
      <c r="FDH357" s="125"/>
      <c r="FDI357" s="134"/>
      <c r="FDJ357" s="135"/>
      <c r="FDK357" s="135"/>
      <c r="FDL357" s="135"/>
      <c r="FDM357" s="135"/>
      <c r="FDN357" s="173"/>
      <c r="FDO357" s="173"/>
      <c r="FDP357" s="173"/>
      <c r="FDQ357" s="173"/>
      <c r="FDR357" s="173"/>
      <c r="FDS357" s="173"/>
      <c r="FDT357" s="173"/>
      <c r="FDU357" s="173"/>
      <c r="FDV357" s="173"/>
      <c r="FDW357" s="173"/>
      <c r="FDX357" s="125"/>
      <c r="FDY357" s="125"/>
      <c r="FDZ357" s="134"/>
      <c r="FEA357" s="135"/>
      <c r="FEB357" s="135"/>
      <c r="FEC357" s="135"/>
      <c r="FED357" s="135"/>
      <c r="FEE357" s="173"/>
      <c r="FEF357" s="173"/>
      <c r="FEG357" s="173"/>
      <c r="FEH357" s="173"/>
      <c r="FEI357" s="173"/>
      <c r="FEJ357" s="173"/>
      <c r="FEK357" s="173"/>
      <c r="FEL357" s="173"/>
      <c r="FEM357" s="173"/>
      <c r="FEN357" s="173"/>
      <c r="FEO357" s="125"/>
      <c r="FEP357" s="125"/>
      <c r="FEQ357" s="134"/>
      <c r="FER357" s="135"/>
      <c r="FES357" s="135"/>
      <c r="FET357" s="135"/>
      <c r="FEU357" s="135"/>
      <c r="FEV357" s="173"/>
      <c r="FEW357" s="173"/>
      <c r="FEX357" s="173"/>
      <c r="FEY357" s="173"/>
      <c r="FEZ357" s="173"/>
      <c r="FFA357" s="173"/>
      <c r="FFB357" s="173"/>
      <c r="FFC357" s="173"/>
      <c r="FFD357" s="173"/>
      <c r="FFE357" s="173"/>
      <c r="FFF357" s="125"/>
      <c r="FFG357" s="125"/>
      <c r="FFH357" s="134"/>
      <c r="FFI357" s="135"/>
      <c r="FFJ357" s="135"/>
      <c r="FFK357" s="135"/>
      <c r="FFL357" s="135"/>
      <c r="FFM357" s="173"/>
      <c r="FFN357" s="173"/>
      <c r="FFO357" s="173"/>
      <c r="FFP357" s="173"/>
      <c r="FFQ357" s="173"/>
      <c r="FFR357" s="173"/>
      <c r="FFS357" s="173"/>
      <c r="FFT357" s="173"/>
      <c r="FFU357" s="173"/>
      <c r="FFV357" s="173"/>
      <c r="FFW357" s="125"/>
      <c r="FFX357" s="125"/>
      <c r="FFY357" s="134"/>
      <c r="FFZ357" s="135"/>
      <c r="FGA357" s="135"/>
      <c r="FGB357" s="135"/>
      <c r="FGC357" s="135"/>
      <c r="FGD357" s="173"/>
      <c r="FGE357" s="173"/>
      <c r="FGF357" s="173"/>
      <c r="FGG357" s="173"/>
      <c r="FGH357" s="173"/>
      <c r="FGI357" s="173"/>
      <c r="FGJ357" s="173"/>
      <c r="FGK357" s="173"/>
      <c r="FGL357" s="173"/>
      <c r="FGM357" s="173"/>
      <c r="FGN357" s="125"/>
      <c r="FGO357" s="125"/>
      <c r="FGP357" s="134"/>
      <c r="FGQ357" s="135"/>
      <c r="FGR357" s="135"/>
      <c r="FGS357" s="135"/>
      <c r="FGT357" s="135"/>
      <c r="FGU357" s="173"/>
      <c r="FGV357" s="173"/>
      <c r="FGW357" s="173"/>
      <c r="FGX357" s="173"/>
      <c r="FGY357" s="173"/>
      <c r="FGZ357" s="173"/>
      <c r="FHA357" s="173"/>
      <c r="FHB357" s="173"/>
      <c r="FHC357" s="173"/>
      <c r="FHD357" s="173"/>
      <c r="FHE357" s="125"/>
      <c r="FHF357" s="125"/>
      <c r="FHG357" s="134"/>
      <c r="FHH357" s="135"/>
      <c r="FHI357" s="135"/>
      <c r="FHJ357" s="135"/>
      <c r="FHK357" s="135"/>
      <c r="FHL357" s="173"/>
      <c r="FHM357" s="173"/>
      <c r="FHN357" s="173"/>
      <c r="FHO357" s="173"/>
      <c r="FHP357" s="173"/>
      <c r="FHQ357" s="173"/>
      <c r="FHR357" s="173"/>
      <c r="FHS357" s="173"/>
      <c r="FHT357" s="173"/>
      <c r="FHU357" s="173"/>
      <c r="FHV357" s="125"/>
      <c r="FHW357" s="125"/>
      <c r="FHX357" s="134"/>
      <c r="FHY357" s="135"/>
      <c r="FHZ357" s="135"/>
      <c r="FIA357" s="135"/>
      <c r="FIB357" s="135"/>
      <c r="FIC357" s="173"/>
      <c r="FID357" s="173"/>
      <c r="FIE357" s="173"/>
      <c r="FIF357" s="173"/>
      <c r="FIG357" s="173"/>
      <c r="FIH357" s="173"/>
      <c r="FII357" s="173"/>
      <c r="FIJ357" s="173"/>
      <c r="FIK357" s="173"/>
      <c r="FIL357" s="173"/>
      <c r="FIM357" s="125"/>
      <c r="FIN357" s="125"/>
      <c r="FIO357" s="134"/>
      <c r="FIP357" s="135"/>
      <c r="FIQ357" s="135"/>
      <c r="FIR357" s="135"/>
      <c r="FIS357" s="135"/>
      <c r="FIT357" s="173"/>
      <c r="FIU357" s="173"/>
      <c r="FIV357" s="173"/>
      <c r="FIW357" s="173"/>
      <c r="FIX357" s="173"/>
      <c r="FIY357" s="173"/>
      <c r="FIZ357" s="173"/>
      <c r="FJA357" s="173"/>
      <c r="FJB357" s="173"/>
      <c r="FJC357" s="173"/>
      <c r="FJD357" s="125"/>
      <c r="FJE357" s="125"/>
      <c r="FJF357" s="134"/>
      <c r="FJG357" s="135"/>
      <c r="FJH357" s="135"/>
      <c r="FJI357" s="135"/>
      <c r="FJJ357" s="135"/>
      <c r="FJK357" s="173"/>
      <c r="FJL357" s="173"/>
      <c r="FJM357" s="173"/>
      <c r="FJN357" s="173"/>
      <c r="FJO357" s="173"/>
      <c r="FJP357" s="173"/>
      <c r="FJQ357" s="173"/>
      <c r="FJR357" s="173"/>
      <c r="FJS357" s="173"/>
      <c r="FJT357" s="173"/>
      <c r="FJU357" s="125"/>
      <c r="FJV357" s="125"/>
      <c r="FJW357" s="134"/>
      <c r="FJX357" s="135"/>
      <c r="FJY357" s="135"/>
      <c r="FJZ357" s="135"/>
      <c r="FKA357" s="135"/>
      <c r="FKB357" s="173"/>
      <c r="FKC357" s="173"/>
      <c r="FKD357" s="173"/>
      <c r="FKE357" s="173"/>
      <c r="FKF357" s="173"/>
      <c r="FKG357" s="173"/>
      <c r="FKH357" s="173"/>
      <c r="FKI357" s="173"/>
      <c r="FKJ357" s="173"/>
      <c r="FKK357" s="173"/>
      <c r="FKL357" s="125"/>
      <c r="FKM357" s="125"/>
      <c r="FKN357" s="134"/>
      <c r="FKO357" s="135"/>
      <c r="FKP357" s="135"/>
      <c r="FKQ357" s="135"/>
      <c r="FKR357" s="135"/>
      <c r="FKS357" s="173"/>
      <c r="FKT357" s="173"/>
      <c r="FKU357" s="173"/>
      <c r="FKV357" s="173"/>
      <c r="FKW357" s="173"/>
      <c r="FKX357" s="173"/>
      <c r="FKY357" s="173"/>
      <c r="FKZ357" s="173"/>
      <c r="FLA357" s="173"/>
      <c r="FLB357" s="173"/>
      <c r="FLC357" s="125"/>
      <c r="FLD357" s="125"/>
      <c r="FLE357" s="134"/>
      <c r="FLF357" s="135"/>
      <c r="FLG357" s="135"/>
      <c r="FLH357" s="135"/>
      <c r="FLI357" s="135"/>
      <c r="FLJ357" s="173"/>
      <c r="FLK357" s="173"/>
      <c r="FLL357" s="173"/>
      <c r="FLM357" s="173"/>
      <c r="FLN357" s="173"/>
      <c r="FLO357" s="173"/>
      <c r="FLP357" s="173"/>
      <c r="FLQ357" s="173"/>
      <c r="FLR357" s="173"/>
      <c r="FLS357" s="173"/>
      <c r="FLT357" s="125"/>
      <c r="FLU357" s="125"/>
      <c r="FLV357" s="134"/>
      <c r="FLW357" s="135"/>
      <c r="FLX357" s="135"/>
      <c r="FLY357" s="135"/>
      <c r="FLZ357" s="135"/>
      <c r="FMA357" s="173"/>
      <c r="FMB357" s="173"/>
      <c r="FMC357" s="173"/>
      <c r="FMD357" s="173"/>
      <c r="FME357" s="173"/>
      <c r="FMF357" s="173"/>
      <c r="FMG357" s="173"/>
      <c r="FMH357" s="173"/>
      <c r="FMI357" s="173"/>
      <c r="FMJ357" s="173"/>
      <c r="FMK357" s="125"/>
      <c r="FML357" s="125"/>
      <c r="FMM357" s="134"/>
      <c r="FMN357" s="135"/>
      <c r="FMO357" s="135"/>
      <c r="FMP357" s="135"/>
      <c r="FMQ357" s="135"/>
      <c r="FMR357" s="173"/>
      <c r="FMS357" s="173"/>
      <c r="FMT357" s="173"/>
      <c r="FMU357" s="173"/>
      <c r="FMV357" s="173"/>
      <c r="FMW357" s="173"/>
      <c r="FMX357" s="173"/>
      <c r="FMY357" s="173"/>
      <c r="FMZ357" s="173"/>
      <c r="FNA357" s="173"/>
      <c r="FNB357" s="125"/>
      <c r="FNC357" s="125"/>
      <c r="FND357" s="134"/>
      <c r="FNE357" s="135"/>
      <c r="FNF357" s="135"/>
      <c r="FNG357" s="135"/>
      <c r="FNH357" s="135"/>
      <c r="FNI357" s="173"/>
      <c r="FNJ357" s="173"/>
      <c r="FNK357" s="173"/>
      <c r="FNL357" s="173"/>
      <c r="FNM357" s="173"/>
      <c r="FNN357" s="173"/>
      <c r="FNO357" s="173"/>
      <c r="FNP357" s="173"/>
      <c r="FNQ357" s="173"/>
      <c r="FNR357" s="173"/>
      <c r="FNS357" s="125"/>
      <c r="FNT357" s="125"/>
      <c r="FNU357" s="134"/>
      <c r="FNV357" s="135"/>
      <c r="FNW357" s="135"/>
      <c r="FNX357" s="135"/>
      <c r="FNY357" s="135"/>
      <c r="FNZ357" s="173"/>
      <c r="FOA357" s="173"/>
      <c r="FOB357" s="173"/>
      <c r="FOC357" s="173"/>
      <c r="FOD357" s="173"/>
      <c r="FOE357" s="173"/>
      <c r="FOF357" s="173"/>
      <c r="FOG357" s="173"/>
      <c r="FOH357" s="173"/>
      <c r="FOI357" s="173"/>
      <c r="FOJ357" s="125"/>
      <c r="FOK357" s="125"/>
      <c r="FOL357" s="134"/>
      <c r="FOM357" s="135"/>
      <c r="FON357" s="135"/>
      <c r="FOO357" s="135"/>
      <c r="FOP357" s="135"/>
      <c r="FOQ357" s="173"/>
      <c r="FOR357" s="173"/>
      <c r="FOS357" s="173"/>
      <c r="FOT357" s="173"/>
      <c r="FOU357" s="173"/>
      <c r="FOV357" s="173"/>
      <c r="FOW357" s="173"/>
      <c r="FOX357" s="173"/>
      <c r="FOY357" s="173"/>
      <c r="FOZ357" s="173"/>
      <c r="FPA357" s="125"/>
      <c r="FPB357" s="125"/>
      <c r="FPC357" s="134"/>
      <c r="FPD357" s="135"/>
      <c r="FPE357" s="135"/>
      <c r="FPF357" s="135"/>
      <c r="FPG357" s="135"/>
      <c r="FPH357" s="173"/>
      <c r="FPI357" s="173"/>
      <c r="FPJ357" s="173"/>
      <c r="FPK357" s="173"/>
      <c r="FPL357" s="173"/>
      <c r="FPM357" s="173"/>
      <c r="FPN357" s="173"/>
      <c r="FPO357" s="173"/>
      <c r="FPP357" s="173"/>
      <c r="FPQ357" s="173"/>
      <c r="FPR357" s="125"/>
      <c r="FPS357" s="125"/>
      <c r="FPT357" s="134"/>
      <c r="FPU357" s="135"/>
      <c r="FPV357" s="135"/>
      <c r="FPW357" s="135"/>
      <c r="FPX357" s="135"/>
      <c r="FPY357" s="173"/>
      <c r="FPZ357" s="173"/>
      <c r="FQA357" s="173"/>
      <c r="FQB357" s="173"/>
      <c r="FQC357" s="173"/>
      <c r="FQD357" s="173"/>
      <c r="FQE357" s="173"/>
      <c r="FQF357" s="173"/>
      <c r="FQG357" s="173"/>
      <c r="FQH357" s="173"/>
      <c r="FQI357" s="125"/>
      <c r="FQJ357" s="125"/>
      <c r="FQK357" s="134"/>
      <c r="FQL357" s="135"/>
      <c r="FQM357" s="135"/>
      <c r="FQN357" s="135"/>
      <c r="FQO357" s="135"/>
      <c r="FQP357" s="173"/>
      <c r="FQQ357" s="173"/>
      <c r="FQR357" s="173"/>
      <c r="FQS357" s="173"/>
      <c r="FQT357" s="173"/>
      <c r="FQU357" s="173"/>
      <c r="FQV357" s="173"/>
      <c r="FQW357" s="173"/>
      <c r="FQX357" s="173"/>
      <c r="FQY357" s="173"/>
      <c r="FQZ357" s="125"/>
      <c r="FRA357" s="125"/>
      <c r="FRB357" s="134"/>
      <c r="FRC357" s="135"/>
      <c r="FRD357" s="135"/>
      <c r="FRE357" s="135"/>
      <c r="FRF357" s="135"/>
      <c r="FRG357" s="173"/>
      <c r="FRH357" s="173"/>
      <c r="FRI357" s="173"/>
      <c r="FRJ357" s="173"/>
      <c r="FRK357" s="173"/>
      <c r="FRL357" s="173"/>
      <c r="FRM357" s="173"/>
      <c r="FRN357" s="173"/>
      <c r="FRO357" s="173"/>
      <c r="FRP357" s="173"/>
      <c r="FRQ357" s="125"/>
      <c r="FRR357" s="125"/>
      <c r="FRS357" s="134"/>
      <c r="FRT357" s="135"/>
      <c r="FRU357" s="135"/>
      <c r="FRV357" s="135"/>
      <c r="FRW357" s="135"/>
      <c r="FRX357" s="173"/>
      <c r="FRY357" s="173"/>
      <c r="FRZ357" s="173"/>
      <c r="FSA357" s="173"/>
      <c r="FSB357" s="173"/>
      <c r="FSC357" s="173"/>
      <c r="FSD357" s="173"/>
      <c r="FSE357" s="173"/>
      <c r="FSF357" s="173"/>
      <c r="FSG357" s="173"/>
      <c r="FSH357" s="125"/>
      <c r="FSI357" s="125"/>
      <c r="FSJ357" s="134"/>
      <c r="FSK357" s="135"/>
      <c r="FSL357" s="135"/>
      <c r="FSM357" s="135"/>
      <c r="FSN357" s="135"/>
      <c r="FSO357" s="173"/>
      <c r="FSP357" s="173"/>
      <c r="FSQ357" s="173"/>
      <c r="FSR357" s="173"/>
      <c r="FSS357" s="173"/>
      <c r="FST357" s="173"/>
      <c r="FSU357" s="173"/>
      <c r="FSV357" s="173"/>
      <c r="FSW357" s="173"/>
      <c r="FSX357" s="173"/>
      <c r="FSY357" s="125"/>
      <c r="FSZ357" s="125"/>
      <c r="FTA357" s="134"/>
      <c r="FTB357" s="135"/>
      <c r="FTC357" s="135"/>
      <c r="FTD357" s="135"/>
      <c r="FTE357" s="135"/>
      <c r="FTF357" s="173"/>
      <c r="FTG357" s="173"/>
      <c r="FTH357" s="173"/>
      <c r="FTI357" s="173"/>
      <c r="FTJ357" s="173"/>
      <c r="FTK357" s="173"/>
      <c r="FTL357" s="173"/>
      <c r="FTM357" s="173"/>
      <c r="FTN357" s="173"/>
      <c r="FTO357" s="173"/>
      <c r="FTP357" s="125"/>
      <c r="FTQ357" s="125"/>
      <c r="FTR357" s="134"/>
      <c r="FTS357" s="135"/>
      <c r="FTT357" s="135"/>
      <c r="FTU357" s="135"/>
      <c r="FTV357" s="135"/>
      <c r="FTW357" s="173"/>
      <c r="FTX357" s="173"/>
      <c r="FTY357" s="173"/>
      <c r="FTZ357" s="173"/>
      <c r="FUA357" s="173"/>
      <c r="FUB357" s="173"/>
      <c r="FUC357" s="173"/>
      <c r="FUD357" s="173"/>
      <c r="FUE357" s="173"/>
      <c r="FUF357" s="173"/>
      <c r="FUG357" s="125"/>
      <c r="FUH357" s="125"/>
      <c r="FUI357" s="134"/>
      <c r="FUJ357" s="135"/>
      <c r="FUK357" s="135"/>
      <c r="FUL357" s="135"/>
      <c r="FUM357" s="135"/>
      <c r="FUN357" s="173"/>
      <c r="FUO357" s="173"/>
      <c r="FUP357" s="173"/>
      <c r="FUQ357" s="173"/>
      <c r="FUR357" s="173"/>
      <c r="FUS357" s="173"/>
      <c r="FUT357" s="173"/>
      <c r="FUU357" s="173"/>
      <c r="FUV357" s="173"/>
      <c r="FUW357" s="173"/>
      <c r="FUX357" s="125"/>
      <c r="FUY357" s="125"/>
      <c r="FUZ357" s="134"/>
      <c r="FVA357" s="135"/>
      <c r="FVB357" s="135"/>
      <c r="FVC357" s="135"/>
      <c r="FVD357" s="135"/>
      <c r="FVE357" s="173"/>
      <c r="FVF357" s="173"/>
      <c r="FVG357" s="173"/>
      <c r="FVH357" s="173"/>
      <c r="FVI357" s="173"/>
      <c r="FVJ357" s="173"/>
      <c r="FVK357" s="173"/>
      <c r="FVL357" s="173"/>
      <c r="FVM357" s="173"/>
      <c r="FVN357" s="173"/>
      <c r="FVO357" s="125"/>
      <c r="FVP357" s="125"/>
      <c r="FVQ357" s="134"/>
      <c r="FVR357" s="135"/>
      <c r="FVS357" s="135"/>
      <c r="FVT357" s="135"/>
      <c r="FVU357" s="135"/>
      <c r="FVV357" s="173"/>
      <c r="FVW357" s="173"/>
      <c r="FVX357" s="173"/>
      <c r="FVY357" s="173"/>
      <c r="FVZ357" s="173"/>
      <c r="FWA357" s="173"/>
      <c r="FWB357" s="173"/>
      <c r="FWC357" s="173"/>
      <c r="FWD357" s="173"/>
      <c r="FWE357" s="173"/>
      <c r="FWF357" s="125"/>
      <c r="FWG357" s="125"/>
      <c r="FWH357" s="134"/>
      <c r="FWI357" s="135"/>
      <c r="FWJ357" s="135"/>
      <c r="FWK357" s="135"/>
      <c r="FWL357" s="135"/>
      <c r="FWM357" s="173"/>
      <c r="FWN357" s="173"/>
      <c r="FWO357" s="173"/>
      <c r="FWP357" s="173"/>
      <c r="FWQ357" s="173"/>
      <c r="FWR357" s="173"/>
      <c r="FWS357" s="173"/>
      <c r="FWT357" s="173"/>
      <c r="FWU357" s="173"/>
      <c r="FWV357" s="173"/>
      <c r="FWW357" s="125"/>
      <c r="FWX357" s="125"/>
      <c r="FWY357" s="134"/>
      <c r="FWZ357" s="135"/>
      <c r="FXA357" s="135"/>
      <c r="FXB357" s="135"/>
      <c r="FXC357" s="135"/>
      <c r="FXD357" s="173"/>
      <c r="FXE357" s="173"/>
      <c r="FXF357" s="173"/>
      <c r="FXG357" s="173"/>
      <c r="FXH357" s="173"/>
      <c r="FXI357" s="173"/>
      <c r="FXJ357" s="173"/>
      <c r="FXK357" s="173"/>
      <c r="FXL357" s="173"/>
      <c r="FXM357" s="173"/>
      <c r="FXN357" s="125"/>
      <c r="FXO357" s="125"/>
      <c r="FXP357" s="134"/>
      <c r="FXQ357" s="135"/>
      <c r="FXR357" s="135"/>
      <c r="FXS357" s="135"/>
      <c r="FXT357" s="135"/>
      <c r="FXU357" s="173"/>
      <c r="FXV357" s="173"/>
      <c r="FXW357" s="173"/>
      <c r="FXX357" s="173"/>
      <c r="FXY357" s="173"/>
      <c r="FXZ357" s="173"/>
      <c r="FYA357" s="173"/>
      <c r="FYB357" s="173"/>
      <c r="FYC357" s="173"/>
      <c r="FYD357" s="173"/>
      <c r="FYE357" s="125"/>
      <c r="FYF357" s="125"/>
      <c r="FYG357" s="134"/>
      <c r="FYH357" s="135"/>
      <c r="FYI357" s="135"/>
      <c r="FYJ357" s="135"/>
      <c r="FYK357" s="135"/>
      <c r="FYL357" s="173"/>
      <c r="FYM357" s="173"/>
      <c r="FYN357" s="173"/>
      <c r="FYO357" s="173"/>
      <c r="FYP357" s="173"/>
      <c r="FYQ357" s="173"/>
      <c r="FYR357" s="173"/>
      <c r="FYS357" s="173"/>
      <c r="FYT357" s="173"/>
      <c r="FYU357" s="173"/>
      <c r="FYV357" s="125"/>
      <c r="FYW357" s="125"/>
      <c r="FYX357" s="134"/>
      <c r="FYY357" s="135"/>
      <c r="FYZ357" s="135"/>
      <c r="FZA357" s="135"/>
      <c r="FZB357" s="135"/>
      <c r="FZC357" s="173"/>
      <c r="FZD357" s="173"/>
      <c r="FZE357" s="173"/>
      <c r="FZF357" s="173"/>
      <c r="FZG357" s="173"/>
      <c r="FZH357" s="173"/>
      <c r="FZI357" s="173"/>
      <c r="FZJ357" s="173"/>
      <c r="FZK357" s="173"/>
      <c r="FZL357" s="173"/>
      <c r="FZM357" s="125"/>
      <c r="FZN357" s="125"/>
      <c r="FZO357" s="134"/>
      <c r="FZP357" s="135"/>
      <c r="FZQ357" s="135"/>
      <c r="FZR357" s="135"/>
      <c r="FZS357" s="135"/>
      <c r="FZT357" s="173"/>
      <c r="FZU357" s="173"/>
      <c r="FZV357" s="173"/>
      <c r="FZW357" s="173"/>
      <c r="FZX357" s="173"/>
      <c r="FZY357" s="173"/>
      <c r="FZZ357" s="173"/>
      <c r="GAA357" s="173"/>
      <c r="GAB357" s="173"/>
      <c r="GAC357" s="173"/>
      <c r="GAD357" s="125"/>
      <c r="GAE357" s="125"/>
      <c r="GAF357" s="134"/>
      <c r="GAG357" s="135"/>
      <c r="GAH357" s="135"/>
      <c r="GAI357" s="135"/>
      <c r="GAJ357" s="135"/>
      <c r="GAK357" s="173"/>
      <c r="GAL357" s="173"/>
      <c r="GAM357" s="173"/>
      <c r="GAN357" s="173"/>
      <c r="GAO357" s="173"/>
      <c r="GAP357" s="173"/>
      <c r="GAQ357" s="173"/>
      <c r="GAR357" s="173"/>
      <c r="GAS357" s="173"/>
      <c r="GAT357" s="173"/>
      <c r="GAU357" s="125"/>
      <c r="GAV357" s="125"/>
      <c r="GAW357" s="134"/>
      <c r="GAX357" s="135"/>
      <c r="GAY357" s="135"/>
      <c r="GAZ357" s="135"/>
      <c r="GBA357" s="135"/>
      <c r="GBB357" s="173"/>
      <c r="GBC357" s="173"/>
      <c r="GBD357" s="173"/>
      <c r="GBE357" s="173"/>
      <c r="GBF357" s="173"/>
      <c r="GBG357" s="173"/>
      <c r="GBH357" s="173"/>
      <c r="GBI357" s="173"/>
      <c r="GBJ357" s="173"/>
      <c r="GBK357" s="173"/>
      <c r="GBL357" s="125"/>
      <c r="GBM357" s="125"/>
      <c r="GBN357" s="134"/>
      <c r="GBO357" s="135"/>
      <c r="GBP357" s="135"/>
      <c r="GBQ357" s="135"/>
      <c r="GBR357" s="135"/>
      <c r="GBS357" s="173"/>
      <c r="GBT357" s="173"/>
      <c r="GBU357" s="173"/>
      <c r="GBV357" s="173"/>
      <c r="GBW357" s="173"/>
      <c r="GBX357" s="173"/>
      <c r="GBY357" s="173"/>
      <c r="GBZ357" s="173"/>
      <c r="GCA357" s="173"/>
      <c r="GCB357" s="173"/>
      <c r="GCC357" s="125"/>
      <c r="GCD357" s="125"/>
      <c r="GCE357" s="134"/>
      <c r="GCF357" s="135"/>
      <c r="GCG357" s="135"/>
      <c r="GCH357" s="135"/>
      <c r="GCI357" s="135"/>
      <c r="GCJ357" s="173"/>
      <c r="GCK357" s="173"/>
      <c r="GCL357" s="173"/>
      <c r="GCM357" s="173"/>
      <c r="GCN357" s="173"/>
      <c r="GCO357" s="173"/>
      <c r="GCP357" s="173"/>
      <c r="GCQ357" s="173"/>
      <c r="GCR357" s="173"/>
      <c r="GCS357" s="173"/>
      <c r="GCT357" s="125"/>
      <c r="GCU357" s="125"/>
      <c r="GCV357" s="134"/>
      <c r="GCW357" s="135"/>
      <c r="GCX357" s="135"/>
      <c r="GCY357" s="135"/>
      <c r="GCZ357" s="135"/>
      <c r="GDA357" s="173"/>
      <c r="GDB357" s="173"/>
      <c r="GDC357" s="173"/>
      <c r="GDD357" s="173"/>
      <c r="GDE357" s="173"/>
      <c r="GDF357" s="173"/>
      <c r="GDG357" s="173"/>
      <c r="GDH357" s="173"/>
      <c r="GDI357" s="173"/>
      <c r="GDJ357" s="173"/>
      <c r="GDK357" s="125"/>
      <c r="GDL357" s="125"/>
      <c r="GDM357" s="134"/>
      <c r="GDN357" s="135"/>
      <c r="GDO357" s="135"/>
      <c r="GDP357" s="135"/>
      <c r="GDQ357" s="135"/>
      <c r="GDR357" s="173"/>
      <c r="GDS357" s="173"/>
      <c r="GDT357" s="173"/>
      <c r="GDU357" s="173"/>
      <c r="GDV357" s="173"/>
      <c r="GDW357" s="173"/>
      <c r="GDX357" s="173"/>
      <c r="GDY357" s="173"/>
      <c r="GDZ357" s="173"/>
      <c r="GEA357" s="173"/>
      <c r="GEB357" s="125"/>
      <c r="GEC357" s="125"/>
      <c r="GED357" s="134"/>
      <c r="GEE357" s="135"/>
      <c r="GEF357" s="135"/>
      <c r="GEG357" s="135"/>
      <c r="GEH357" s="135"/>
      <c r="GEI357" s="173"/>
      <c r="GEJ357" s="173"/>
      <c r="GEK357" s="173"/>
      <c r="GEL357" s="173"/>
      <c r="GEM357" s="173"/>
      <c r="GEN357" s="173"/>
      <c r="GEO357" s="173"/>
      <c r="GEP357" s="173"/>
      <c r="GEQ357" s="173"/>
      <c r="GER357" s="173"/>
      <c r="GES357" s="125"/>
      <c r="GET357" s="125"/>
      <c r="GEU357" s="134"/>
      <c r="GEV357" s="135"/>
      <c r="GEW357" s="135"/>
      <c r="GEX357" s="135"/>
      <c r="GEY357" s="135"/>
      <c r="GEZ357" s="173"/>
      <c r="GFA357" s="173"/>
      <c r="GFB357" s="173"/>
      <c r="GFC357" s="173"/>
      <c r="GFD357" s="173"/>
      <c r="GFE357" s="173"/>
      <c r="GFF357" s="173"/>
      <c r="GFG357" s="173"/>
      <c r="GFH357" s="173"/>
      <c r="GFI357" s="173"/>
      <c r="GFJ357" s="125"/>
      <c r="GFK357" s="125"/>
      <c r="GFL357" s="134"/>
      <c r="GFM357" s="135"/>
      <c r="GFN357" s="135"/>
      <c r="GFO357" s="135"/>
      <c r="GFP357" s="135"/>
      <c r="GFQ357" s="173"/>
      <c r="GFR357" s="173"/>
      <c r="GFS357" s="173"/>
      <c r="GFT357" s="173"/>
      <c r="GFU357" s="173"/>
      <c r="GFV357" s="173"/>
      <c r="GFW357" s="173"/>
      <c r="GFX357" s="173"/>
      <c r="GFY357" s="173"/>
      <c r="GFZ357" s="173"/>
      <c r="GGA357" s="125"/>
      <c r="GGB357" s="125"/>
      <c r="GGC357" s="134"/>
      <c r="GGD357" s="135"/>
      <c r="GGE357" s="135"/>
      <c r="GGF357" s="135"/>
      <c r="GGG357" s="135"/>
      <c r="GGH357" s="173"/>
      <c r="GGI357" s="173"/>
      <c r="GGJ357" s="173"/>
      <c r="GGK357" s="173"/>
      <c r="GGL357" s="173"/>
      <c r="GGM357" s="173"/>
      <c r="GGN357" s="173"/>
      <c r="GGO357" s="173"/>
      <c r="GGP357" s="173"/>
      <c r="GGQ357" s="173"/>
      <c r="GGR357" s="125"/>
      <c r="GGS357" s="125"/>
      <c r="GGT357" s="134"/>
      <c r="GGU357" s="135"/>
      <c r="GGV357" s="135"/>
      <c r="GGW357" s="135"/>
      <c r="GGX357" s="135"/>
      <c r="GGY357" s="173"/>
      <c r="GGZ357" s="173"/>
      <c r="GHA357" s="173"/>
      <c r="GHB357" s="173"/>
      <c r="GHC357" s="173"/>
      <c r="GHD357" s="173"/>
      <c r="GHE357" s="173"/>
      <c r="GHF357" s="173"/>
      <c r="GHG357" s="173"/>
      <c r="GHH357" s="173"/>
      <c r="GHI357" s="125"/>
      <c r="GHJ357" s="125"/>
      <c r="GHK357" s="134"/>
      <c r="GHL357" s="135"/>
      <c r="GHM357" s="135"/>
      <c r="GHN357" s="135"/>
      <c r="GHO357" s="135"/>
      <c r="GHP357" s="173"/>
      <c r="GHQ357" s="173"/>
      <c r="GHR357" s="173"/>
      <c r="GHS357" s="173"/>
      <c r="GHT357" s="173"/>
      <c r="GHU357" s="173"/>
      <c r="GHV357" s="173"/>
      <c r="GHW357" s="173"/>
      <c r="GHX357" s="173"/>
      <c r="GHY357" s="173"/>
      <c r="GHZ357" s="125"/>
      <c r="GIA357" s="125"/>
      <c r="GIB357" s="134"/>
      <c r="GIC357" s="135"/>
      <c r="GID357" s="135"/>
      <c r="GIE357" s="135"/>
      <c r="GIF357" s="135"/>
      <c r="GIG357" s="173"/>
      <c r="GIH357" s="173"/>
      <c r="GII357" s="173"/>
      <c r="GIJ357" s="173"/>
      <c r="GIK357" s="173"/>
      <c r="GIL357" s="173"/>
      <c r="GIM357" s="173"/>
      <c r="GIN357" s="173"/>
      <c r="GIO357" s="173"/>
      <c r="GIP357" s="173"/>
      <c r="GIQ357" s="125"/>
      <c r="GIR357" s="125"/>
      <c r="GIS357" s="134"/>
      <c r="GIT357" s="135"/>
      <c r="GIU357" s="135"/>
      <c r="GIV357" s="135"/>
      <c r="GIW357" s="135"/>
      <c r="GIX357" s="173"/>
      <c r="GIY357" s="173"/>
      <c r="GIZ357" s="173"/>
      <c r="GJA357" s="173"/>
      <c r="GJB357" s="173"/>
      <c r="GJC357" s="173"/>
      <c r="GJD357" s="173"/>
      <c r="GJE357" s="173"/>
      <c r="GJF357" s="173"/>
      <c r="GJG357" s="173"/>
      <c r="GJH357" s="125"/>
      <c r="GJI357" s="125"/>
      <c r="GJJ357" s="134"/>
      <c r="GJK357" s="135"/>
      <c r="GJL357" s="135"/>
      <c r="GJM357" s="135"/>
      <c r="GJN357" s="135"/>
      <c r="GJO357" s="173"/>
      <c r="GJP357" s="173"/>
      <c r="GJQ357" s="173"/>
      <c r="GJR357" s="173"/>
      <c r="GJS357" s="173"/>
      <c r="GJT357" s="173"/>
      <c r="GJU357" s="173"/>
      <c r="GJV357" s="173"/>
      <c r="GJW357" s="173"/>
      <c r="GJX357" s="173"/>
      <c r="GJY357" s="125"/>
      <c r="GJZ357" s="125"/>
      <c r="GKA357" s="134"/>
      <c r="GKB357" s="135"/>
      <c r="GKC357" s="135"/>
      <c r="GKD357" s="135"/>
      <c r="GKE357" s="135"/>
      <c r="GKF357" s="173"/>
      <c r="GKG357" s="173"/>
      <c r="GKH357" s="173"/>
      <c r="GKI357" s="173"/>
      <c r="GKJ357" s="173"/>
      <c r="GKK357" s="173"/>
      <c r="GKL357" s="173"/>
      <c r="GKM357" s="173"/>
      <c r="GKN357" s="173"/>
      <c r="GKO357" s="173"/>
      <c r="GKP357" s="125"/>
      <c r="GKQ357" s="125"/>
      <c r="GKR357" s="134"/>
      <c r="GKS357" s="135"/>
      <c r="GKT357" s="135"/>
      <c r="GKU357" s="135"/>
      <c r="GKV357" s="135"/>
      <c r="GKW357" s="173"/>
      <c r="GKX357" s="173"/>
      <c r="GKY357" s="173"/>
      <c r="GKZ357" s="173"/>
      <c r="GLA357" s="173"/>
      <c r="GLB357" s="173"/>
      <c r="GLC357" s="173"/>
      <c r="GLD357" s="173"/>
      <c r="GLE357" s="173"/>
      <c r="GLF357" s="173"/>
      <c r="GLG357" s="125"/>
      <c r="GLH357" s="125"/>
      <c r="GLI357" s="134"/>
      <c r="GLJ357" s="135"/>
      <c r="GLK357" s="135"/>
      <c r="GLL357" s="135"/>
      <c r="GLM357" s="135"/>
      <c r="GLN357" s="173"/>
      <c r="GLO357" s="173"/>
      <c r="GLP357" s="173"/>
      <c r="GLQ357" s="173"/>
      <c r="GLR357" s="173"/>
      <c r="GLS357" s="173"/>
      <c r="GLT357" s="173"/>
      <c r="GLU357" s="173"/>
      <c r="GLV357" s="173"/>
      <c r="GLW357" s="173"/>
      <c r="GLX357" s="125"/>
      <c r="GLY357" s="125"/>
      <c r="GLZ357" s="134"/>
      <c r="GMA357" s="135"/>
      <c r="GMB357" s="135"/>
      <c r="GMC357" s="135"/>
      <c r="GMD357" s="135"/>
      <c r="GME357" s="173"/>
      <c r="GMF357" s="173"/>
      <c r="GMG357" s="173"/>
      <c r="GMH357" s="173"/>
      <c r="GMI357" s="173"/>
      <c r="GMJ357" s="173"/>
      <c r="GMK357" s="173"/>
      <c r="GML357" s="173"/>
      <c r="GMM357" s="173"/>
      <c r="GMN357" s="173"/>
      <c r="GMO357" s="125"/>
      <c r="GMP357" s="125"/>
      <c r="GMQ357" s="134"/>
      <c r="GMR357" s="135"/>
      <c r="GMS357" s="135"/>
      <c r="GMT357" s="135"/>
      <c r="GMU357" s="135"/>
      <c r="GMV357" s="173"/>
      <c r="GMW357" s="173"/>
      <c r="GMX357" s="173"/>
      <c r="GMY357" s="173"/>
      <c r="GMZ357" s="173"/>
      <c r="GNA357" s="173"/>
      <c r="GNB357" s="173"/>
      <c r="GNC357" s="173"/>
      <c r="GND357" s="173"/>
      <c r="GNE357" s="173"/>
      <c r="GNF357" s="125"/>
      <c r="GNG357" s="125"/>
      <c r="GNH357" s="134"/>
      <c r="GNI357" s="135"/>
      <c r="GNJ357" s="135"/>
      <c r="GNK357" s="135"/>
      <c r="GNL357" s="135"/>
      <c r="GNM357" s="173"/>
      <c r="GNN357" s="173"/>
      <c r="GNO357" s="173"/>
      <c r="GNP357" s="173"/>
      <c r="GNQ357" s="173"/>
      <c r="GNR357" s="173"/>
      <c r="GNS357" s="173"/>
      <c r="GNT357" s="173"/>
      <c r="GNU357" s="173"/>
      <c r="GNV357" s="173"/>
      <c r="GNW357" s="125"/>
      <c r="GNX357" s="125"/>
      <c r="GNY357" s="134"/>
      <c r="GNZ357" s="135"/>
      <c r="GOA357" s="135"/>
      <c r="GOB357" s="135"/>
      <c r="GOC357" s="135"/>
      <c r="GOD357" s="173"/>
      <c r="GOE357" s="173"/>
      <c r="GOF357" s="173"/>
      <c r="GOG357" s="173"/>
      <c r="GOH357" s="173"/>
      <c r="GOI357" s="173"/>
      <c r="GOJ357" s="173"/>
      <c r="GOK357" s="173"/>
      <c r="GOL357" s="173"/>
      <c r="GOM357" s="173"/>
      <c r="GON357" s="125"/>
      <c r="GOO357" s="125"/>
      <c r="GOP357" s="134"/>
      <c r="GOQ357" s="135"/>
      <c r="GOR357" s="135"/>
      <c r="GOS357" s="135"/>
      <c r="GOT357" s="135"/>
      <c r="GOU357" s="173"/>
      <c r="GOV357" s="173"/>
      <c r="GOW357" s="173"/>
      <c r="GOX357" s="173"/>
      <c r="GOY357" s="173"/>
      <c r="GOZ357" s="173"/>
      <c r="GPA357" s="173"/>
      <c r="GPB357" s="173"/>
      <c r="GPC357" s="173"/>
      <c r="GPD357" s="173"/>
      <c r="GPE357" s="125"/>
      <c r="GPF357" s="125"/>
      <c r="GPG357" s="134"/>
      <c r="GPH357" s="135"/>
      <c r="GPI357" s="135"/>
      <c r="GPJ357" s="135"/>
      <c r="GPK357" s="135"/>
      <c r="GPL357" s="173"/>
      <c r="GPM357" s="173"/>
      <c r="GPN357" s="173"/>
      <c r="GPO357" s="173"/>
      <c r="GPP357" s="173"/>
      <c r="GPQ357" s="173"/>
      <c r="GPR357" s="173"/>
      <c r="GPS357" s="173"/>
      <c r="GPT357" s="173"/>
      <c r="GPU357" s="173"/>
      <c r="GPV357" s="125"/>
      <c r="GPW357" s="125"/>
      <c r="GPX357" s="134"/>
      <c r="GPY357" s="135"/>
      <c r="GPZ357" s="135"/>
      <c r="GQA357" s="135"/>
      <c r="GQB357" s="135"/>
      <c r="GQC357" s="173"/>
      <c r="GQD357" s="173"/>
      <c r="GQE357" s="173"/>
      <c r="GQF357" s="173"/>
      <c r="GQG357" s="173"/>
      <c r="GQH357" s="173"/>
      <c r="GQI357" s="173"/>
      <c r="GQJ357" s="173"/>
      <c r="GQK357" s="173"/>
      <c r="GQL357" s="173"/>
      <c r="GQM357" s="125"/>
      <c r="GQN357" s="125"/>
      <c r="GQO357" s="134"/>
      <c r="GQP357" s="135"/>
      <c r="GQQ357" s="135"/>
      <c r="GQR357" s="135"/>
      <c r="GQS357" s="135"/>
      <c r="GQT357" s="173"/>
      <c r="GQU357" s="173"/>
      <c r="GQV357" s="173"/>
      <c r="GQW357" s="173"/>
      <c r="GQX357" s="173"/>
      <c r="GQY357" s="173"/>
      <c r="GQZ357" s="173"/>
      <c r="GRA357" s="173"/>
      <c r="GRB357" s="173"/>
      <c r="GRC357" s="173"/>
      <c r="GRD357" s="125"/>
      <c r="GRE357" s="125"/>
      <c r="GRF357" s="134"/>
      <c r="GRG357" s="135"/>
      <c r="GRH357" s="135"/>
      <c r="GRI357" s="135"/>
      <c r="GRJ357" s="135"/>
      <c r="GRK357" s="173"/>
      <c r="GRL357" s="173"/>
      <c r="GRM357" s="173"/>
      <c r="GRN357" s="173"/>
      <c r="GRO357" s="173"/>
      <c r="GRP357" s="173"/>
      <c r="GRQ357" s="173"/>
      <c r="GRR357" s="173"/>
      <c r="GRS357" s="173"/>
      <c r="GRT357" s="173"/>
      <c r="GRU357" s="125"/>
      <c r="GRV357" s="125"/>
      <c r="GRW357" s="134"/>
      <c r="GRX357" s="135"/>
      <c r="GRY357" s="135"/>
      <c r="GRZ357" s="135"/>
      <c r="GSA357" s="135"/>
      <c r="GSB357" s="173"/>
      <c r="GSC357" s="173"/>
      <c r="GSD357" s="173"/>
      <c r="GSE357" s="173"/>
      <c r="GSF357" s="173"/>
      <c r="GSG357" s="173"/>
      <c r="GSH357" s="173"/>
      <c r="GSI357" s="173"/>
      <c r="GSJ357" s="173"/>
      <c r="GSK357" s="173"/>
      <c r="GSL357" s="125"/>
      <c r="GSM357" s="125"/>
      <c r="GSN357" s="134"/>
      <c r="GSO357" s="135"/>
      <c r="GSP357" s="135"/>
      <c r="GSQ357" s="135"/>
      <c r="GSR357" s="135"/>
      <c r="GSS357" s="173"/>
      <c r="GST357" s="173"/>
      <c r="GSU357" s="173"/>
      <c r="GSV357" s="173"/>
      <c r="GSW357" s="173"/>
      <c r="GSX357" s="173"/>
      <c r="GSY357" s="173"/>
      <c r="GSZ357" s="173"/>
      <c r="GTA357" s="173"/>
      <c r="GTB357" s="173"/>
      <c r="GTC357" s="125"/>
      <c r="GTD357" s="125"/>
      <c r="GTE357" s="134"/>
      <c r="GTF357" s="135"/>
      <c r="GTG357" s="135"/>
      <c r="GTH357" s="135"/>
      <c r="GTI357" s="135"/>
      <c r="GTJ357" s="173"/>
      <c r="GTK357" s="173"/>
      <c r="GTL357" s="173"/>
      <c r="GTM357" s="173"/>
      <c r="GTN357" s="173"/>
      <c r="GTO357" s="173"/>
      <c r="GTP357" s="173"/>
      <c r="GTQ357" s="173"/>
      <c r="GTR357" s="173"/>
      <c r="GTS357" s="173"/>
      <c r="GTT357" s="125"/>
      <c r="GTU357" s="125"/>
      <c r="GTV357" s="134"/>
      <c r="GTW357" s="135"/>
      <c r="GTX357" s="135"/>
      <c r="GTY357" s="135"/>
      <c r="GTZ357" s="135"/>
      <c r="GUA357" s="173"/>
      <c r="GUB357" s="173"/>
      <c r="GUC357" s="173"/>
      <c r="GUD357" s="173"/>
      <c r="GUE357" s="173"/>
      <c r="GUF357" s="173"/>
      <c r="GUG357" s="173"/>
      <c r="GUH357" s="173"/>
      <c r="GUI357" s="173"/>
      <c r="GUJ357" s="173"/>
      <c r="GUK357" s="125"/>
      <c r="GUL357" s="125"/>
      <c r="GUM357" s="134"/>
      <c r="GUN357" s="135"/>
      <c r="GUO357" s="135"/>
      <c r="GUP357" s="135"/>
      <c r="GUQ357" s="135"/>
      <c r="GUR357" s="173"/>
      <c r="GUS357" s="173"/>
      <c r="GUT357" s="173"/>
      <c r="GUU357" s="173"/>
      <c r="GUV357" s="173"/>
      <c r="GUW357" s="173"/>
      <c r="GUX357" s="173"/>
      <c r="GUY357" s="173"/>
      <c r="GUZ357" s="173"/>
      <c r="GVA357" s="173"/>
      <c r="GVB357" s="125"/>
      <c r="GVC357" s="125"/>
      <c r="GVD357" s="134"/>
      <c r="GVE357" s="135"/>
      <c r="GVF357" s="135"/>
      <c r="GVG357" s="135"/>
      <c r="GVH357" s="135"/>
      <c r="GVI357" s="173"/>
      <c r="GVJ357" s="173"/>
      <c r="GVK357" s="173"/>
      <c r="GVL357" s="173"/>
      <c r="GVM357" s="173"/>
      <c r="GVN357" s="173"/>
      <c r="GVO357" s="173"/>
      <c r="GVP357" s="173"/>
      <c r="GVQ357" s="173"/>
      <c r="GVR357" s="173"/>
      <c r="GVS357" s="125"/>
      <c r="GVT357" s="125"/>
      <c r="GVU357" s="134"/>
      <c r="GVV357" s="135"/>
      <c r="GVW357" s="135"/>
      <c r="GVX357" s="135"/>
      <c r="GVY357" s="135"/>
      <c r="GVZ357" s="173"/>
      <c r="GWA357" s="173"/>
      <c r="GWB357" s="173"/>
      <c r="GWC357" s="173"/>
      <c r="GWD357" s="173"/>
      <c r="GWE357" s="173"/>
      <c r="GWF357" s="173"/>
      <c r="GWG357" s="173"/>
      <c r="GWH357" s="173"/>
      <c r="GWI357" s="173"/>
      <c r="GWJ357" s="125"/>
      <c r="GWK357" s="125"/>
      <c r="GWL357" s="134"/>
      <c r="GWM357" s="135"/>
      <c r="GWN357" s="135"/>
      <c r="GWO357" s="135"/>
      <c r="GWP357" s="135"/>
      <c r="GWQ357" s="173"/>
      <c r="GWR357" s="173"/>
      <c r="GWS357" s="173"/>
      <c r="GWT357" s="173"/>
      <c r="GWU357" s="173"/>
      <c r="GWV357" s="173"/>
      <c r="GWW357" s="173"/>
      <c r="GWX357" s="173"/>
      <c r="GWY357" s="173"/>
      <c r="GWZ357" s="173"/>
      <c r="GXA357" s="125"/>
      <c r="GXB357" s="125"/>
      <c r="GXC357" s="134"/>
      <c r="GXD357" s="135"/>
      <c r="GXE357" s="135"/>
      <c r="GXF357" s="135"/>
      <c r="GXG357" s="135"/>
      <c r="GXH357" s="173"/>
      <c r="GXI357" s="173"/>
      <c r="GXJ357" s="173"/>
      <c r="GXK357" s="173"/>
      <c r="GXL357" s="173"/>
      <c r="GXM357" s="173"/>
      <c r="GXN357" s="173"/>
      <c r="GXO357" s="173"/>
      <c r="GXP357" s="173"/>
      <c r="GXQ357" s="173"/>
      <c r="GXR357" s="125"/>
      <c r="GXS357" s="125"/>
      <c r="GXT357" s="134"/>
      <c r="GXU357" s="135"/>
      <c r="GXV357" s="135"/>
      <c r="GXW357" s="135"/>
      <c r="GXX357" s="135"/>
      <c r="GXY357" s="173"/>
      <c r="GXZ357" s="173"/>
      <c r="GYA357" s="173"/>
      <c r="GYB357" s="173"/>
      <c r="GYC357" s="173"/>
      <c r="GYD357" s="173"/>
      <c r="GYE357" s="173"/>
      <c r="GYF357" s="173"/>
      <c r="GYG357" s="173"/>
      <c r="GYH357" s="173"/>
      <c r="GYI357" s="125"/>
      <c r="GYJ357" s="125"/>
      <c r="GYK357" s="134"/>
      <c r="GYL357" s="135"/>
      <c r="GYM357" s="135"/>
      <c r="GYN357" s="135"/>
      <c r="GYO357" s="135"/>
      <c r="GYP357" s="173"/>
      <c r="GYQ357" s="173"/>
      <c r="GYR357" s="173"/>
      <c r="GYS357" s="173"/>
      <c r="GYT357" s="173"/>
      <c r="GYU357" s="173"/>
      <c r="GYV357" s="173"/>
      <c r="GYW357" s="173"/>
      <c r="GYX357" s="173"/>
      <c r="GYY357" s="173"/>
      <c r="GYZ357" s="125"/>
      <c r="GZA357" s="125"/>
      <c r="GZB357" s="134"/>
      <c r="GZC357" s="135"/>
      <c r="GZD357" s="135"/>
      <c r="GZE357" s="135"/>
      <c r="GZF357" s="135"/>
      <c r="GZG357" s="173"/>
      <c r="GZH357" s="173"/>
      <c r="GZI357" s="173"/>
      <c r="GZJ357" s="173"/>
      <c r="GZK357" s="173"/>
      <c r="GZL357" s="173"/>
      <c r="GZM357" s="173"/>
      <c r="GZN357" s="173"/>
      <c r="GZO357" s="173"/>
      <c r="GZP357" s="173"/>
      <c r="GZQ357" s="125"/>
      <c r="GZR357" s="125"/>
      <c r="GZS357" s="134"/>
      <c r="GZT357" s="135"/>
      <c r="GZU357" s="135"/>
      <c r="GZV357" s="135"/>
      <c r="GZW357" s="135"/>
      <c r="GZX357" s="173"/>
      <c r="GZY357" s="173"/>
      <c r="GZZ357" s="173"/>
      <c r="HAA357" s="173"/>
      <c r="HAB357" s="173"/>
      <c r="HAC357" s="173"/>
      <c r="HAD357" s="173"/>
      <c r="HAE357" s="173"/>
      <c r="HAF357" s="173"/>
      <c r="HAG357" s="173"/>
      <c r="HAH357" s="125"/>
      <c r="HAI357" s="125"/>
      <c r="HAJ357" s="134"/>
      <c r="HAK357" s="135"/>
      <c r="HAL357" s="135"/>
      <c r="HAM357" s="135"/>
      <c r="HAN357" s="135"/>
      <c r="HAO357" s="173"/>
      <c r="HAP357" s="173"/>
      <c r="HAQ357" s="173"/>
      <c r="HAR357" s="173"/>
      <c r="HAS357" s="173"/>
      <c r="HAT357" s="173"/>
      <c r="HAU357" s="173"/>
      <c r="HAV357" s="173"/>
      <c r="HAW357" s="173"/>
      <c r="HAX357" s="173"/>
      <c r="HAY357" s="125"/>
      <c r="HAZ357" s="125"/>
      <c r="HBA357" s="134"/>
      <c r="HBB357" s="135"/>
      <c r="HBC357" s="135"/>
      <c r="HBD357" s="135"/>
      <c r="HBE357" s="135"/>
      <c r="HBF357" s="173"/>
      <c r="HBG357" s="173"/>
      <c r="HBH357" s="173"/>
      <c r="HBI357" s="173"/>
      <c r="HBJ357" s="173"/>
      <c r="HBK357" s="173"/>
      <c r="HBL357" s="173"/>
      <c r="HBM357" s="173"/>
      <c r="HBN357" s="173"/>
      <c r="HBO357" s="173"/>
      <c r="HBP357" s="125"/>
      <c r="HBQ357" s="125"/>
      <c r="HBR357" s="134"/>
      <c r="HBS357" s="135"/>
      <c r="HBT357" s="135"/>
      <c r="HBU357" s="135"/>
      <c r="HBV357" s="135"/>
      <c r="HBW357" s="173"/>
      <c r="HBX357" s="173"/>
      <c r="HBY357" s="173"/>
      <c r="HBZ357" s="173"/>
      <c r="HCA357" s="173"/>
      <c r="HCB357" s="173"/>
      <c r="HCC357" s="173"/>
      <c r="HCD357" s="173"/>
      <c r="HCE357" s="173"/>
      <c r="HCF357" s="173"/>
      <c r="HCG357" s="125"/>
      <c r="HCH357" s="125"/>
      <c r="HCI357" s="134"/>
      <c r="HCJ357" s="135"/>
      <c r="HCK357" s="135"/>
      <c r="HCL357" s="135"/>
      <c r="HCM357" s="135"/>
      <c r="HCN357" s="173"/>
      <c r="HCO357" s="173"/>
      <c r="HCP357" s="173"/>
      <c r="HCQ357" s="173"/>
      <c r="HCR357" s="173"/>
      <c r="HCS357" s="173"/>
      <c r="HCT357" s="173"/>
      <c r="HCU357" s="173"/>
      <c r="HCV357" s="173"/>
      <c r="HCW357" s="173"/>
      <c r="HCX357" s="125"/>
      <c r="HCY357" s="125"/>
      <c r="HCZ357" s="134"/>
      <c r="HDA357" s="135"/>
      <c r="HDB357" s="135"/>
      <c r="HDC357" s="135"/>
      <c r="HDD357" s="135"/>
      <c r="HDE357" s="173"/>
      <c r="HDF357" s="173"/>
      <c r="HDG357" s="173"/>
      <c r="HDH357" s="173"/>
      <c r="HDI357" s="173"/>
      <c r="HDJ357" s="173"/>
      <c r="HDK357" s="173"/>
      <c r="HDL357" s="173"/>
      <c r="HDM357" s="173"/>
      <c r="HDN357" s="173"/>
      <c r="HDO357" s="125"/>
      <c r="HDP357" s="125"/>
      <c r="HDQ357" s="134"/>
      <c r="HDR357" s="135"/>
      <c r="HDS357" s="135"/>
      <c r="HDT357" s="135"/>
      <c r="HDU357" s="135"/>
      <c r="HDV357" s="173"/>
      <c r="HDW357" s="173"/>
      <c r="HDX357" s="173"/>
      <c r="HDY357" s="173"/>
      <c r="HDZ357" s="173"/>
      <c r="HEA357" s="173"/>
      <c r="HEB357" s="173"/>
      <c r="HEC357" s="173"/>
      <c r="HED357" s="173"/>
      <c r="HEE357" s="173"/>
      <c r="HEF357" s="125"/>
      <c r="HEG357" s="125"/>
      <c r="HEH357" s="134"/>
      <c r="HEI357" s="135"/>
      <c r="HEJ357" s="135"/>
      <c r="HEK357" s="135"/>
      <c r="HEL357" s="135"/>
      <c r="HEM357" s="173"/>
      <c r="HEN357" s="173"/>
      <c r="HEO357" s="173"/>
      <c r="HEP357" s="173"/>
      <c r="HEQ357" s="173"/>
      <c r="HER357" s="173"/>
      <c r="HES357" s="173"/>
      <c r="HET357" s="173"/>
      <c r="HEU357" s="173"/>
      <c r="HEV357" s="173"/>
      <c r="HEW357" s="125"/>
      <c r="HEX357" s="125"/>
      <c r="HEY357" s="134"/>
      <c r="HEZ357" s="135"/>
      <c r="HFA357" s="135"/>
      <c r="HFB357" s="135"/>
      <c r="HFC357" s="135"/>
      <c r="HFD357" s="173"/>
      <c r="HFE357" s="173"/>
      <c r="HFF357" s="173"/>
      <c r="HFG357" s="173"/>
      <c r="HFH357" s="173"/>
      <c r="HFI357" s="173"/>
      <c r="HFJ357" s="173"/>
      <c r="HFK357" s="173"/>
      <c r="HFL357" s="173"/>
      <c r="HFM357" s="173"/>
      <c r="HFN357" s="125"/>
      <c r="HFO357" s="125"/>
      <c r="HFP357" s="134"/>
      <c r="HFQ357" s="135"/>
      <c r="HFR357" s="135"/>
      <c r="HFS357" s="135"/>
      <c r="HFT357" s="135"/>
      <c r="HFU357" s="173"/>
      <c r="HFV357" s="173"/>
      <c r="HFW357" s="173"/>
      <c r="HFX357" s="173"/>
      <c r="HFY357" s="173"/>
      <c r="HFZ357" s="173"/>
      <c r="HGA357" s="173"/>
      <c r="HGB357" s="173"/>
      <c r="HGC357" s="173"/>
      <c r="HGD357" s="173"/>
      <c r="HGE357" s="125"/>
      <c r="HGF357" s="125"/>
      <c r="HGG357" s="134"/>
      <c r="HGH357" s="135"/>
      <c r="HGI357" s="135"/>
      <c r="HGJ357" s="135"/>
      <c r="HGK357" s="135"/>
      <c r="HGL357" s="173"/>
      <c r="HGM357" s="173"/>
      <c r="HGN357" s="173"/>
      <c r="HGO357" s="173"/>
      <c r="HGP357" s="173"/>
      <c r="HGQ357" s="173"/>
      <c r="HGR357" s="173"/>
      <c r="HGS357" s="173"/>
      <c r="HGT357" s="173"/>
      <c r="HGU357" s="173"/>
      <c r="HGV357" s="125"/>
      <c r="HGW357" s="125"/>
      <c r="HGX357" s="134"/>
      <c r="HGY357" s="135"/>
      <c r="HGZ357" s="135"/>
      <c r="HHA357" s="135"/>
      <c r="HHB357" s="135"/>
      <c r="HHC357" s="173"/>
      <c r="HHD357" s="173"/>
      <c r="HHE357" s="173"/>
      <c r="HHF357" s="173"/>
      <c r="HHG357" s="173"/>
      <c r="HHH357" s="173"/>
      <c r="HHI357" s="173"/>
      <c r="HHJ357" s="173"/>
      <c r="HHK357" s="173"/>
      <c r="HHL357" s="173"/>
      <c r="HHM357" s="125"/>
      <c r="HHN357" s="125"/>
      <c r="HHO357" s="134"/>
      <c r="HHP357" s="135"/>
      <c r="HHQ357" s="135"/>
      <c r="HHR357" s="135"/>
      <c r="HHS357" s="135"/>
      <c r="HHT357" s="173"/>
      <c r="HHU357" s="173"/>
      <c r="HHV357" s="173"/>
      <c r="HHW357" s="173"/>
      <c r="HHX357" s="173"/>
      <c r="HHY357" s="173"/>
      <c r="HHZ357" s="173"/>
      <c r="HIA357" s="173"/>
      <c r="HIB357" s="173"/>
      <c r="HIC357" s="173"/>
      <c r="HID357" s="125"/>
      <c r="HIE357" s="125"/>
      <c r="HIF357" s="134"/>
      <c r="HIG357" s="135"/>
      <c r="HIH357" s="135"/>
      <c r="HII357" s="135"/>
      <c r="HIJ357" s="135"/>
      <c r="HIK357" s="173"/>
      <c r="HIL357" s="173"/>
      <c r="HIM357" s="173"/>
      <c r="HIN357" s="173"/>
      <c r="HIO357" s="173"/>
      <c r="HIP357" s="173"/>
      <c r="HIQ357" s="173"/>
      <c r="HIR357" s="173"/>
      <c r="HIS357" s="173"/>
      <c r="HIT357" s="173"/>
      <c r="HIU357" s="125"/>
      <c r="HIV357" s="125"/>
      <c r="HIW357" s="134"/>
      <c r="HIX357" s="135"/>
      <c r="HIY357" s="135"/>
      <c r="HIZ357" s="135"/>
      <c r="HJA357" s="135"/>
      <c r="HJB357" s="173"/>
      <c r="HJC357" s="173"/>
      <c r="HJD357" s="173"/>
      <c r="HJE357" s="173"/>
      <c r="HJF357" s="173"/>
      <c r="HJG357" s="173"/>
      <c r="HJH357" s="173"/>
      <c r="HJI357" s="173"/>
      <c r="HJJ357" s="173"/>
      <c r="HJK357" s="173"/>
      <c r="HJL357" s="125"/>
      <c r="HJM357" s="125"/>
      <c r="HJN357" s="134"/>
      <c r="HJO357" s="135"/>
      <c r="HJP357" s="135"/>
      <c r="HJQ357" s="135"/>
      <c r="HJR357" s="135"/>
      <c r="HJS357" s="173"/>
      <c r="HJT357" s="173"/>
      <c r="HJU357" s="173"/>
      <c r="HJV357" s="173"/>
      <c r="HJW357" s="173"/>
      <c r="HJX357" s="173"/>
      <c r="HJY357" s="173"/>
      <c r="HJZ357" s="173"/>
      <c r="HKA357" s="173"/>
      <c r="HKB357" s="173"/>
      <c r="HKC357" s="125"/>
      <c r="HKD357" s="125"/>
      <c r="HKE357" s="134"/>
      <c r="HKF357" s="135"/>
      <c r="HKG357" s="135"/>
      <c r="HKH357" s="135"/>
      <c r="HKI357" s="135"/>
      <c r="HKJ357" s="173"/>
      <c r="HKK357" s="173"/>
      <c r="HKL357" s="173"/>
      <c r="HKM357" s="173"/>
      <c r="HKN357" s="173"/>
      <c r="HKO357" s="173"/>
      <c r="HKP357" s="173"/>
      <c r="HKQ357" s="173"/>
      <c r="HKR357" s="173"/>
      <c r="HKS357" s="173"/>
      <c r="HKT357" s="125"/>
      <c r="HKU357" s="125"/>
      <c r="HKV357" s="134"/>
      <c r="HKW357" s="135"/>
      <c r="HKX357" s="135"/>
      <c r="HKY357" s="135"/>
      <c r="HKZ357" s="135"/>
      <c r="HLA357" s="173"/>
      <c r="HLB357" s="173"/>
      <c r="HLC357" s="173"/>
      <c r="HLD357" s="173"/>
      <c r="HLE357" s="173"/>
      <c r="HLF357" s="173"/>
      <c r="HLG357" s="173"/>
      <c r="HLH357" s="173"/>
      <c r="HLI357" s="173"/>
      <c r="HLJ357" s="173"/>
      <c r="HLK357" s="125"/>
      <c r="HLL357" s="125"/>
      <c r="HLM357" s="134"/>
      <c r="HLN357" s="135"/>
      <c r="HLO357" s="135"/>
      <c r="HLP357" s="135"/>
      <c r="HLQ357" s="135"/>
      <c r="HLR357" s="173"/>
      <c r="HLS357" s="173"/>
      <c r="HLT357" s="173"/>
      <c r="HLU357" s="173"/>
      <c r="HLV357" s="173"/>
      <c r="HLW357" s="173"/>
      <c r="HLX357" s="173"/>
      <c r="HLY357" s="173"/>
      <c r="HLZ357" s="173"/>
      <c r="HMA357" s="173"/>
      <c r="HMB357" s="125"/>
      <c r="HMC357" s="125"/>
      <c r="HMD357" s="134"/>
      <c r="HME357" s="135"/>
      <c r="HMF357" s="135"/>
      <c r="HMG357" s="135"/>
      <c r="HMH357" s="135"/>
      <c r="HMI357" s="173"/>
      <c r="HMJ357" s="173"/>
      <c r="HMK357" s="173"/>
      <c r="HML357" s="173"/>
      <c r="HMM357" s="173"/>
      <c r="HMN357" s="173"/>
      <c r="HMO357" s="173"/>
      <c r="HMP357" s="173"/>
      <c r="HMQ357" s="173"/>
      <c r="HMR357" s="173"/>
      <c r="HMS357" s="125"/>
      <c r="HMT357" s="125"/>
      <c r="HMU357" s="134"/>
      <c r="HMV357" s="135"/>
      <c r="HMW357" s="135"/>
      <c r="HMX357" s="135"/>
      <c r="HMY357" s="135"/>
      <c r="HMZ357" s="173"/>
      <c r="HNA357" s="173"/>
      <c r="HNB357" s="173"/>
      <c r="HNC357" s="173"/>
      <c r="HND357" s="173"/>
      <c r="HNE357" s="173"/>
      <c r="HNF357" s="173"/>
      <c r="HNG357" s="173"/>
      <c r="HNH357" s="173"/>
      <c r="HNI357" s="173"/>
      <c r="HNJ357" s="125"/>
      <c r="HNK357" s="125"/>
      <c r="HNL357" s="134"/>
      <c r="HNM357" s="135"/>
      <c r="HNN357" s="135"/>
      <c r="HNO357" s="135"/>
      <c r="HNP357" s="135"/>
      <c r="HNQ357" s="173"/>
      <c r="HNR357" s="173"/>
      <c r="HNS357" s="173"/>
      <c r="HNT357" s="173"/>
      <c r="HNU357" s="173"/>
      <c r="HNV357" s="173"/>
      <c r="HNW357" s="173"/>
      <c r="HNX357" s="173"/>
      <c r="HNY357" s="173"/>
      <c r="HNZ357" s="173"/>
      <c r="HOA357" s="125"/>
      <c r="HOB357" s="125"/>
      <c r="HOC357" s="134"/>
      <c r="HOD357" s="135"/>
      <c r="HOE357" s="135"/>
      <c r="HOF357" s="135"/>
      <c r="HOG357" s="135"/>
      <c r="HOH357" s="173"/>
      <c r="HOI357" s="173"/>
      <c r="HOJ357" s="173"/>
      <c r="HOK357" s="173"/>
      <c r="HOL357" s="173"/>
      <c r="HOM357" s="173"/>
      <c r="HON357" s="173"/>
      <c r="HOO357" s="173"/>
      <c r="HOP357" s="173"/>
      <c r="HOQ357" s="173"/>
      <c r="HOR357" s="125"/>
      <c r="HOS357" s="125"/>
      <c r="HOT357" s="134"/>
      <c r="HOU357" s="135"/>
      <c r="HOV357" s="135"/>
      <c r="HOW357" s="135"/>
      <c r="HOX357" s="135"/>
      <c r="HOY357" s="173"/>
      <c r="HOZ357" s="173"/>
      <c r="HPA357" s="173"/>
      <c r="HPB357" s="173"/>
      <c r="HPC357" s="173"/>
      <c r="HPD357" s="173"/>
      <c r="HPE357" s="173"/>
      <c r="HPF357" s="173"/>
      <c r="HPG357" s="173"/>
      <c r="HPH357" s="173"/>
      <c r="HPI357" s="125"/>
      <c r="HPJ357" s="125"/>
      <c r="HPK357" s="134"/>
      <c r="HPL357" s="135"/>
      <c r="HPM357" s="135"/>
      <c r="HPN357" s="135"/>
      <c r="HPO357" s="135"/>
      <c r="HPP357" s="173"/>
      <c r="HPQ357" s="173"/>
      <c r="HPR357" s="173"/>
      <c r="HPS357" s="173"/>
      <c r="HPT357" s="173"/>
      <c r="HPU357" s="173"/>
      <c r="HPV357" s="173"/>
      <c r="HPW357" s="173"/>
      <c r="HPX357" s="173"/>
      <c r="HPY357" s="173"/>
      <c r="HPZ357" s="125"/>
      <c r="HQA357" s="125"/>
      <c r="HQB357" s="134"/>
      <c r="HQC357" s="135"/>
      <c r="HQD357" s="135"/>
      <c r="HQE357" s="135"/>
      <c r="HQF357" s="135"/>
      <c r="HQG357" s="173"/>
      <c r="HQH357" s="173"/>
      <c r="HQI357" s="173"/>
      <c r="HQJ357" s="173"/>
      <c r="HQK357" s="173"/>
      <c r="HQL357" s="173"/>
      <c r="HQM357" s="173"/>
      <c r="HQN357" s="173"/>
      <c r="HQO357" s="173"/>
      <c r="HQP357" s="173"/>
      <c r="HQQ357" s="125"/>
      <c r="HQR357" s="125"/>
      <c r="HQS357" s="134"/>
      <c r="HQT357" s="135"/>
      <c r="HQU357" s="135"/>
      <c r="HQV357" s="135"/>
      <c r="HQW357" s="135"/>
      <c r="HQX357" s="173"/>
      <c r="HQY357" s="173"/>
      <c r="HQZ357" s="173"/>
      <c r="HRA357" s="173"/>
      <c r="HRB357" s="173"/>
      <c r="HRC357" s="173"/>
      <c r="HRD357" s="173"/>
      <c r="HRE357" s="173"/>
      <c r="HRF357" s="173"/>
      <c r="HRG357" s="173"/>
      <c r="HRH357" s="125"/>
      <c r="HRI357" s="125"/>
      <c r="HRJ357" s="134"/>
      <c r="HRK357" s="135"/>
      <c r="HRL357" s="135"/>
      <c r="HRM357" s="135"/>
      <c r="HRN357" s="135"/>
      <c r="HRO357" s="173"/>
      <c r="HRP357" s="173"/>
      <c r="HRQ357" s="173"/>
      <c r="HRR357" s="173"/>
      <c r="HRS357" s="173"/>
      <c r="HRT357" s="173"/>
      <c r="HRU357" s="173"/>
      <c r="HRV357" s="173"/>
      <c r="HRW357" s="173"/>
      <c r="HRX357" s="173"/>
      <c r="HRY357" s="125"/>
      <c r="HRZ357" s="125"/>
      <c r="HSA357" s="134"/>
      <c r="HSB357" s="135"/>
      <c r="HSC357" s="135"/>
      <c r="HSD357" s="135"/>
      <c r="HSE357" s="135"/>
      <c r="HSF357" s="173"/>
      <c r="HSG357" s="173"/>
      <c r="HSH357" s="173"/>
      <c r="HSI357" s="173"/>
      <c r="HSJ357" s="173"/>
      <c r="HSK357" s="173"/>
      <c r="HSL357" s="173"/>
      <c r="HSM357" s="173"/>
      <c r="HSN357" s="173"/>
      <c r="HSO357" s="173"/>
      <c r="HSP357" s="125"/>
      <c r="HSQ357" s="125"/>
      <c r="HSR357" s="134"/>
      <c r="HSS357" s="135"/>
      <c r="HST357" s="135"/>
      <c r="HSU357" s="135"/>
      <c r="HSV357" s="135"/>
      <c r="HSW357" s="173"/>
      <c r="HSX357" s="173"/>
      <c r="HSY357" s="173"/>
      <c r="HSZ357" s="173"/>
      <c r="HTA357" s="173"/>
      <c r="HTB357" s="173"/>
      <c r="HTC357" s="173"/>
      <c r="HTD357" s="173"/>
      <c r="HTE357" s="173"/>
      <c r="HTF357" s="173"/>
      <c r="HTG357" s="125"/>
      <c r="HTH357" s="125"/>
      <c r="HTI357" s="134"/>
      <c r="HTJ357" s="135"/>
      <c r="HTK357" s="135"/>
      <c r="HTL357" s="135"/>
      <c r="HTM357" s="135"/>
      <c r="HTN357" s="173"/>
      <c r="HTO357" s="173"/>
      <c r="HTP357" s="173"/>
      <c r="HTQ357" s="173"/>
      <c r="HTR357" s="173"/>
      <c r="HTS357" s="173"/>
      <c r="HTT357" s="173"/>
      <c r="HTU357" s="173"/>
      <c r="HTV357" s="173"/>
      <c r="HTW357" s="173"/>
      <c r="HTX357" s="125"/>
      <c r="HTY357" s="125"/>
      <c r="HTZ357" s="134"/>
      <c r="HUA357" s="135"/>
      <c r="HUB357" s="135"/>
      <c r="HUC357" s="135"/>
      <c r="HUD357" s="135"/>
      <c r="HUE357" s="173"/>
      <c r="HUF357" s="173"/>
      <c r="HUG357" s="173"/>
      <c r="HUH357" s="173"/>
      <c r="HUI357" s="173"/>
      <c r="HUJ357" s="173"/>
      <c r="HUK357" s="173"/>
      <c r="HUL357" s="173"/>
      <c r="HUM357" s="173"/>
      <c r="HUN357" s="173"/>
      <c r="HUO357" s="125"/>
      <c r="HUP357" s="125"/>
      <c r="HUQ357" s="134"/>
      <c r="HUR357" s="135"/>
      <c r="HUS357" s="135"/>
      <c r="HUT357" s="135"/>
      <c r="HUU357" s="135"/>
      <c r="HUV357" s="173"/>
      <c r="HUW357" s="173"/>
      <c r="HUX357" s="173"/>
      <c r="HUY357" s="173"/>
      <c r="HUZ357" s="173"/>
      <c r="HVA357" s="173"/>
      <c r="HVB357" s="173"/>
      <c r="HVC357" s="173"/>
      <c r="HVD357" s="173"/>
      <c r="HVE357" s="173"/>
      <c r="HVF357" s="125"/>
      <c r="HVG357" s="125"/>
      <c r="HVH357" s="134"/>
      <c r="HVI357" s="135"/>
      <c r="HVJ357" s="135"/>
      <c r="HVK357" s="135"/>
      <c r="HVL357" s="135"/>
      <c r="HVM357" s="173"/>
      <c r="HVN357" s="173"/>
      <c r="HVO357" s="173"/>
      <c r="HVP357" s="173"/>
      <c r="HVQ357" s="173"/>
      <c r="HVR357" s="173"/>
      <c r="HVS357" s="173"/>
      <c r="HVT357" s="173"/>
      <c r="HVU357" s="173"/>
      <c r="HVV357" s="173"/>
      <c r="HVW357" s="125"/>
      <c r="HVX357" s="125"/>
      <c r="HVY357" s="134"/>
      <c r="HVZ357" s="135"/>
      <c r="HWA357" s="135"/>
      <c r="HWB357" s="135"/>
      <c r="HWC357" s="135"/>
      <c r="HWD357" s="173"/>
      <c r="HWE357" s="173"/>
      <c r="HWF357" s="173"/>
      <c r="HWG357" s="173"/>
      <c r="HWH357" s="173"/>
      <c r="HWI357" s="173"/>
      <c r="HWJ357" s="173"/>
      <c r="HWK357" s="173"/>
      <c r="HWL357" s="173"/>
      <c r="HWM357" s="173"/>
      <c r="HWN357" s="125"/>
      <c r="HWO357" s="125"/>
      <c r="HWP357" s="134"/>
      <c r="HWQ357" s="135"/>
      <c r="HWR357" s="135"/>
      <c r="HWS357" s="135"/>
      <c r="HWT357" s="135"/>
      <c r="HWU357" s="173"/>
      <c r="HWV357" s="173"/>
      <c r="HWW357" s="173"/>
      <c r="HWX357" s="173"/>
      <c r="HWY357" s="173"/>
      <c r="HWZ357" s="173"/>
      <c r="HXA357" s="173"/>
      <c r="HXB357" s="173"/>
      <c r="HXC357" s="173"/>
      <c r="HXD357" s="173"/>
      <c r="HXE357" s="125"/>
      <c r="HXF357" s="125"/>
      <c r="HXG357" s="134"/>
      <c r="HXH357" s="135"/>
      <c r="HXI357" s="135"/>
      <c r="HXJ357" s="135"/>
      <c r="HXK357" s="135"/>
      <c r="HXL357" s="173"/>
      <c r="HXM357" s="173"/>
      <c r="HXN357" s="173"/>
      <c r="HXO357" s="173"/>
      <c r="HXP357" s="173"/>
      <c r="HXQ357" s="173"/>
      <c r="HXR357" s="173"/>
      <c r="HXS357" s="173"/>
      <c r="HXT357" s="173"/>
      <c r="HXU357" s="173"/>
      <c r="HXV357" s="125"/>
      <c r="HXW357" s="125"/>
      <c r="HXX357" s="134"/>
      <c r="HXY357" s="135"/>
      <c r="HXZ357" s="135"/>
      <c r="HYA357" s="135"/>
      <c r="HYB357" s="135"/>
      <c r="HYC357" s="173"/>
      <c r="HYD357" s="173"/>
      <c r="HYE357" s="173"/>
      <c r="HYF357" s="173"/>
      <c r="HYG357" s="173"/>
      <c r="HYH357" s="173"/>
      <c r="HYI357" s="173"/>
      <c r="HYJ357" s="173"/>
      <c r="HYK357" s="173"/>
      <c r="HYL357" s="173"/>
      <c r="HYM357" s="125"/>
      <c r="HYN357" s="125"/>
      <c r="HYO357" s="134"/>
      <c r="HYP357" s="135"/>
      <c r="HYQ357" s="135"/>
      <c r="HYR357" s="135"/>
      <c r="HYS357" s="135"/>
      <c r="HYT357" s="173"/>
      <c r="HYU357" s="173"/>
      <c r="HYV357" s="173"/>
      <c r="HYW357" s="173"/>
      <c r="HYX357" s="173"/>
      <c r="HYY357" s="173"/>
      <c r="HYZ357" s="173"/>
      <c r="HZA357" s="173"/>
      <c r="HZB357" s="173"/>
      <c r="HZC357" s="173"/>
      <c r="HZD357" s="125"/>
      <c r="HZE357" s="125"/>
      <c r="HZF357" s="134"/>
      <c r="HZG357" s="135"/>
      <c r="HZH357" s="135"/>
      <c r="HZI357" s="135"/>
      <c r="HZJ357" s="135"/>
      <c r="HZK357" s="173"/>
      <c r="HZL357" s="173"/>
      <c r="HZM357" s="173"/>
      <c r="HZN357" s="173"/>
      <c r="HZO357" s="173"/>
      <c r="HZP357" s="173"/>
      <c r="HZQ357" s="173"/>
      <c r="HZR357" s="173"/>
      <c r="HZS357" s="173"/>
      <c r="HZT357" s="173"/>
      <c r="HZU357" s="125"/>
      <c r="HZV357" s="125"/>
      <c r="HZW357" s="134"/>
      <c r="HZX357" s="135"/>
      <c r="HZY357" s="135"/>
      <c r="HZZ357" s="135"/>
      <c r="IAA357" s="135"/>
      <c r="IAB357" s="173"/>
      <c r="IAC357" s="173"/>
      <c r="IAD357" s="173"/>
      <c r="IAE357" s="173"/>
      <c r="IAF357" s="173"/>
      <c r="IAG357" s="173"/>
      <c r="IAH357" s="173"/>
      <c r="IAI357" s="173"/>
      <c r="IAJ357" s="173"/>
      <c r="IAK357" s="173"/>
      <c r="IAL357" s="125"/>
      <c r="IAM357" s="125"/>
      <c r="IAN357" s="134"/>
      <c r="IAO357" s="135"/>
      <c r="IAP357" s="135"/>
      <c r="IAQ357" s="135"/>
      <c r="IAR357" s="135"/>
      <c r="IAS357" s="173"/>
      <c r="IAT357" s="173"/>
      <c r="IAU357" s="173"/>
      <c r="IAV357" s="173"/>
      <c r="IAW357" s="173"/>
      <c r="IAX357" s="173"/>
      <c r="IAY357" s="173"/>
      <c r="IAZ357" s="173"/>
      <c r="IBA357" s="173"/>
      <c r="IBB357" s="173"/>
      <c r="IBC357" s="125"/>
      <c r="IBD357" s="125"/>
      <c r="IBE357" s="134"/>
      <c r="IBF357" s="135"/>
      <c r="IBG357" s="135"/>
      <c r="IBH357" s="135"/>
      <c r="IBI357" s="135"/>
      <c r="IBJ357" s="173"/>
      <c r="IBK357" s="173"/>
      <c r="IBL357" s="173"/>
      <c r="IBM357" s="173"/>
      <c r="IBN357" s="173"/>
      <c r="IBO357" s="173"/>
      <c r="IBP357" s="173"/>
      <c r="IBQ357" s="173"/>
      <c r="IBR357" s="173"/>
      <c r="IBS357" s="173"/>
      <c r="IBT357" s="125"/>
      <c r="IBU357" s="125"/>
      <c r="IBV357" s="134"/>
      <c r="IBW357" s="135"/>
      <c r="IBX357" s="135"/>
      <c r="IBY357" s="135"/>
      <c r="IBZ357" s="135"/>
      <c r="ICA357" s="173"/>
      <c r="ICB357" s="173"/>
      <c r="ICC357" s="173"/>
      <c r="ICD357" s="173"/>
      <c r="ICE357" s="173"/>
      <c r="ICF357" s="173"/>
      <c r="ICG357" s="173"/>
      <c r="ICH357" s="173"/>
      <c r="ICI357" s="173"/>
      <c r="ICJ357" s="173"/>
      <c r="ICK357" s="125"/>
      <c r="ICL357" s="125"/>
      <c r="ICM357" s="134"/>
      <c r="ICN357" s="135"/>
      <c r="ICO357" s="135"/>
      <c r="ICP357" s="135"/>
      <c r="ICQ357" s="135"/>
      <c r="ICR357" s="173"/>
      <c r="ICS357" s="173"/>
      <c r="ICT357" s="173"/>
      <c r="ICU357" s="173"/>
      <c r="ICV357" s="173"/>
      <c r="ICW357" s="173"/>
      <c r="ICX357" s="173"/>
      <c r="ICY357" s="173"/>
      <c r="ICZ357" s="173"/>
      <c r="IDA357" s="173"/>
      <c r="IDB357" s="125"/>
      <c r="IDC357" s="125"/>
      <c r="IDD357" s="134"/>
      <c r="IDE357" s="135"/>
      <c r="IDF357" s="135"/>
      <c r="IDG357" s="135"/>
      <c r="IDH357" s="135"/>
      <c r="IDI357" s="173"/>
      <c r="IDJ357" s="173"/>
      <c r="IDK357" s="173"/>
      <c r="IDL357" s="173"/>
      <c r="IDM357" s="173"/>
      <c r="IDN357" s="173"/>
      <c r="IDO357" s="173"/>
      <c r="IDP357" s="173"/>
      <c r="IDQ357" s="173"/>
      <c r="IDR357" s="173"/>
      <c r="IDS357" s="125"/>
      <c r="IDT357" s="125"/>
      <c r="IDU357" s="134"/>
      <c r="IDV357" s="135"/>
      <c r="IDW357" s="135"/>
      <c r="IDX357" s="135"/>
      <c r="IDY357" s="135"/>
      <c r="IDZ357" s="173"/>
      <c r="IEA357" s="173"/>
      <c r="IEB357" s="173"/>
      <c r="IEC357" s="173"/>
      <c r="IED357" s="173"/>
      <c r="IEE357" s="173"/>
      <c r="IEF357" s="173"/>
      <c r="IEG357" s="173"/>
      <c r="IEH357" s="173"/>
      <c r="IEI357" s="173"/>
      <c r="IEJ357" s="125"/>
      <c r="IEK357" s="125"/>
      <c r="IEL357" s="134"/>
      <c r="IEM357" s="135"/>
      <c r="IEN357" s="135"/>
      <c r="IEO357" s="135"/>
      <c r="IEP357" s="135"/>
      <c r="IEQ357" s="173"/>
      <c r="IER357" s="173"/>
      <c r="IES357" s="173"/>
      <c r="IET357" s="173"/>
      <c r="IEU357" s="173"/>
      <c r="IEV357" s="173"/>
      <c r="IEW357" s="173"/>
      <c r="IEX357" s="173"/>
      <c r="IEY357" s="173"/>
      <c r="IEZ357" s="173"/>
      <c r="IFA357" s="125"/>
      <c r="IFB357" s="125"/>
      <c r="IFC357" s="134"/>
      <c r="IFD357" s="135"/>
      <c r="IFE357" s="135"/>
      <c r="IFF357" s="135"/>
      <c r="IFG357" s="135"/>
      <c r="IFH357" s="173"/>
      <c r="IFI357" s="173"/>
      <c r="IFJ357" s="173"/>
      <c r="IFK357" s="173"/>
      <c r="IFL357" s="173"/>
      <c r="IFM357" s="173"/>
      <c r="IFN357" s="173"/>
      <c r="IFO357" s="173"/>
      <c r="IFP357" s="173"/>
      <c r="IFQ357" s="173"/>
      <c r="IFR357" s="125"/>
      <c r="IFS357" s="125"/>
      <c r="IFT357" s="134"/>
      <c r="IFU357" s="135"/>
      <c r="IFV357" s="135"/>
      <c r="IFW357" s="135"/>
      <c r="IFX357" s="135"/>
      <c r="IFY357" s="173"/>
      <c r="IFZ357" s="173"/>
      <c r="IGA357" s="173"/>
      <c r="IGB357" s="173"/>
      <c r="IGC357" s="173"/>
      <c r="IGD357" s="173"/>
      <c r="IGE357" s="173"/>
      <c r="IGF357" s="173"/>
      <c r="IGG357" s="173"/>
      <c r="IGH357" s="173"/>
      <c r="IGI357" s="125"/>
      <c r="IGJ357" s="125"/>
      <c r="IGK357" s="134"/>
      <c r="IGL357" s="135"/>
      <c r="IGM357" s="135"/>
      <c r="IGN357" s="135"/>
      <c r="IGO357" s="135"/>
      <c r="IGP357" s="173"/>
      <c r="IGQ357" s="173"/>
      <c r="IGR357" s="173"/>
      <c r="IGS357" s="173"/>
      <c r="IGT357" s="173"/>
      <c r="IGU357" s="173"/>
      <c r="IGV357" s="173"/>
      <c r="IGW357" s="173"/>
      <c r="IGX357" s="173"/>
      <c r="IGY357" s="173"/>
      <c r="IGZ357" s="125"/>
      <c r="IHA357" s="125"/>
      <c r="IHB357" s="134"/>
      <c r="IHC357" s="135"/>
      <c r="IHD357" s="135"/>
      <c r="IHE357" s="135"/>
      <c r="IHF357" s="135"/>
      <c r="IHG357" s="173"/>
      <c r="IHH357" s="173"/>
      <c r="IHI357" s="173"/>
      <c r="IHJ357" s="173"/>
      <c r="IHK357" s="173"/>
      <c r="IHL357" s="173"/>
      <c r="IHM357" s="173"/>
      <c r="IHN357" s="173"/>
      <c r="IHO357" s="173"/>
      <c r="IHP357" s="173"/>
      <c r="IHQ357" s="125"/>
      <c r="IHR357" s="125"/>
      <c r="IHS357" s="134"/>
      <c r="IHT357" s="135"/>
      <c r="IHU357" s="135"/>
      <c r="IHV357" s="135"/>
      <c r="IHW357" s="135"/>
      <c r="IHX357" s="173"/>
      <c r="IHY357" s="173"/>
      <c r="IHZ357" s="173"/>
      <c r="IIA357" s="173"/>
      <c r="IIB357" s="173"/>
      <c r="IIC357" s="173"/>
      <c r="IID357" s="173"/>
      <c r="IIE357" s="173"/>
      <c r="IIF357" s="173"/>
      <c r="IIG357" s="173"/>
      <c r="IIH357" s="125"/>
      <c r="III357" s="125"/>
      <c r="IIJ357" s="134"/>
      <c r="IIK357" s="135"/>
      <c r="IIL357" s="135"/>
      <c r="IIM357" s="135"/>
      <c r="IIN357" s="135"/>
      <c r="IIO357" s="173"/>
      <c r="IIP357" s="173"/>
      <c r="IIQ357" s="173"/>
      <c r="IIR357" s="173"/>
      <c r="IIS357" s="173"/>
      <c r="IIT357" s="173"/>
      <c r="IIU357" s="173"/>
      <c r="IIV357" s="173"/>
      <c r="IIW357" s="173"/>
      <c r="IIX357" s="173"/>
      <c r="IIY357" s="125"/>
      <c r="IIZ357" s="125"/>
      <c r="IJA357" s="134"/>
      <c r="IJB357" s="135"/>
      <c r="IJC357" s="135"/>
      <c r="IJD357" s="135"/>
      <c r="IJE357" s="135"/>
      <c r="IJF357" s="173"/>
      <c r="IJG357" s="173"/>
      <c r="IJH357" s="173"/>
      <c r="IJI357" s="173"/>
      <c r="IJJ357" s="173"/>
      <c r="IJK357" s="173"/>
      <c r="IJL357" s="173"/>
      <c r="IJM357" s="173"/>
      <c r="IJN357" s="173"/>
      <c r="IJO357" s="173"/>
      <c r="IJP357" s="125"/>
      <c r="IJQ357" s="125"/>
      <c r="IJR357" s="134"/>
      <c r="IJS357" s="135"/>
      <c r="IJT357" s="135"/>
      <c r="IJU357" s="135"/>
      <c r="IJV357" s="135"/>
      <c r="IJW357" s="173"/>
      <c r="IJX357" s="173"/>
      <c r="IJY357" s="173"/>
      <c r="IJZ357" s="173"/>
      <c r="IKA357" s="173"/>
      <c r="IKB357" s="173"/>
      <c r="IKC357" s="173"/>
      <c r="IKD357" s="173"/>
      <c r="IKE357" s="173"/>
      <c r="IKF357" s="173"/>
      <c r="IKG357" s="125"/>
      <c r="IKH357" s="125"/>
      <c r="IKI357" s="134"/>
      <c r="IKJ357" s="135"/>
      <c r="IKK357" s="135"/>
      <c r="IKL357" s="135"/>
      <c r="IKM357" s="135"/>
      <c r="IKN357" s="173"/>
      <c r="IKO357" s="173"/>
      <c r="IKP357" s="173"/>
      <c r="IKQ357" s="173"/>
      <c r="IKR357" s="173"/>
      <c r="IKS357" s="173"/>
      <c r="IKT357" s="173"/>
      <c r="IKU357" s="173"/>
      <c r="IKV357" s="173"/>
      <c r="IKW357" s="173"/>
      <c r="IKX357" s="125"/>
      <c r="IKY357" s="125"/>
      <c r="IKZ357" s="134"/>
      <c r="ILA357" s="135"/>
      <c r="ILB357" s="135"/>
      <c r="ILC357" s="135"/>
      <c r="ILD357" s="135"/>
      <c r="ILE357" s="173"/>
      <c r="ILF357" s="173"/>
      <c r="ILG357" s="173"/>
      <c r="ILH357" s="173"/>
      <c r="ILI357" s="173"/>
      <c r="ILJ357" s="173"/>
      <c r="ILK357" s="173"/>
      <c r="ILL357" s="173"/>
      <c r="ILM357" s="173"/>
      <c r="ILN357" s="173"/>
      <c r="ILO357" s="125"/>
      <c r="ILP357" s="125"/>
      <c r="ILQ357" s="134"/>
      <c r="ILR357" s="135"/>
      <c r="ILS357" s="135"/>
      <c r="ILT357" s="135"/>
      <c r="ILU357" s="135"/>
      <c r="ILV357" s="173"/>
      <c r="ILW357" s="173"/>
      <c r="ILX357" s="173"/>
      <c r="ILY357" s="173"/>
      <c r="ILZ357" s="173"/>
      <c r="IMA357" s="173"/>
      <c r="IMB357" s="173"/>
      <c r="IMC357" s="173"/>
      <c r="IMD357" s="173"/>
      <c r="IME357" s="173"/>
      <c r="IMF357" s="125"/>
      <c r="IMG357" s="125"/>
      <c r="IMH357" s="134"/>
      <c r="IMI357" s="135"/>
      <c r="IMJ357" s="135"/>
      <c r="IMK357" s="135"/>
      <c r="IML357" s="135"/>
      <c r="IMM357" s="173"/>
      <c r="IMN357" s="173"/>
      <c r="IMO357" s="173"/>
      <c r="IMP357" s="173"/>
      <c r="IMQ357" s="173"/>
      <c r="IMR357" s="173"/>
      <c r="IMS357" s="173"/>
      <c r="IMT357" s="173"/>
      <c r="IMU357" s="173"/>
      <c r="IMV357" s="173"/>
      <c r="IMW357" s="125"/>
      <c r="IMX357" s="125"/>
      <c r="IMY357" s="134"/>
      <c r="IMZ357" s="135"/>
      <c r="INA357" s="135"/>
      <c r="INB357" s="135"/>
      <c r="INC357" s="135"/>
      <c r="IND357" s="173"/>
      <c r="INE357" s="173"/>
      <c r="INF357" s="173"/>
      <c r="ING357" s="173"/>
      <c r="INH357" s="173"/>
      <c r="INI357" s="173"/>
      <c r="INJ357" s="173"/>
      <c r="INK357" s="173"/>
      <c r="INL357" s="173"/>
      <c r="INM357" s="173"/>
      <c r="INN357" s="125"/>
      <c r="INO357" s="125"/>
      <c r="INP357" s="134"/>
      <c r="INQ357" s="135"/>
      <c r="INR357" s="135"/>
      <c r="INS357" s="135"/>
      <c r="INT357" s="135"/>
      <c r="INU357" s="173"/>
      <c r="INV357" s="173"/>
      <c r="INW357" s="173"/>
      <c r="INX357" s="173"/>
      <c r="INY357" s="173"/>
      <c r="INZ357" s="173"/>
      <c r="IOA357" s="173"/>
      <c r="IOB357" s="173"/>
      <c r="IOC357" s="173"/>
      <c r="IOD357" s="173"/>
      <c r="IOE357" s="125"/>
      <c r="IOF357" s="125"/>
      <c r="IOG357" s="134"/>
      <c r="IOH357" s="135"/>
      <c r="IOI357" s="135"/>
      <c r="IOJ357" s="135"/>
      <c r="IOK357" s="135"/>
      <c r="IOL357" s="173"/>
      <c r="IOM357" s="173"/>
      <c r="ION357" s="173"/>
      <c r="IOO357" s="173"/>
      <c r="IOP357" s="173"/>
      <c r="IOQ357" s="173"/>
      <c r="IOR357" s="173"/>
      <c r="IOS357" s="173"/>
      <c r="IOT357" s="173"/>
      <c r="IOU357" s="173"/>
      <c r="IOV357" s="125"/>
      <c r="IOW357" s="125"/>
      <c r="IOX357" s="134"/>
      <c r="IOY357" s="135"/>
      <c r="IOZ357" s="135"/>
      <c r="IPA357" s="135"/>
      <c r="IPB357" s="135"/>
      <c r="IPC357" s="173"/>
      <c r="IPD357" s="173"/>
      <c r="IPE357" s="173"/>
      <c r="IPF357" s="173"/>
      <c r="IPG357" s="173"/>
      <c r="IPH357" s="173"/>
      <c r="IPI357" s="173"/>
      <c r="IPJ357" s="173"/>
      <c r="IPK357" s="173"/>
      <c r="IPL357" s="173"/>
      <c r="IPM357" s="125"/>
      <c r="IPN357" s="125"/>
      <c r="IPO357" s="134"/>
      <c r="IPP357" s="135"/>
      <c r="IPQ357" s="135"/>
      <c r="IPR357" s="135"/>
      <c r="IPS357" s="135"/>
      <c r="IPT357" s="173"/>
      <c r="IPU357" s="173"/>
      <c r="IPV357" s="173"/>
      <c r="IPW357" s="173"/>
      <c r="IPX357" s="173"/>
      <c r="IPY357" s="173"/>
      <c r="IPZ357" s="173"/>
      <c r="IQA357" s="173"/>
      <c r="IQB357" s="173"/>
      <c r="IQC357" s="173"/>
      <c r="IQD357" s="125"/>
      <c r="IQE357" s="125"/>
      <c r="IQF357" s="134"/>
      <c r="IQG357" s="135"/>
      <c r="IQH357" s="135"/>
      <c r="IQI357" s="135"/>
      <c r="IQJ357" s="135"/>
      <c r="IQK357" s="173"/>
      <c r="IQL357" s="173"/>
      <c r="IQM357" s="173"/>
      <c r="IQN357" s="173"/>
      <c r="IQO357" s="173"/>
      <c r="IQP357" s="173"/>
      <c r="IQQ357" s="173"/>
      <c r="IQR357" s="173"/>
      <c r="IQS357" s="173"/>
      <c r="IQT357" s="173"/>
      <c r="IQU357" s="125"/>
      <c r="IQV357" s="125"/>
      <c r="IQW357" s="134"/>
      <c r="IQX357" s="135"/>
      <c r="IQY357" s="135"/>
      <c r="IQZ357" s="135"/>
      <c r="IRA357" s="135"/>
      <c r="IRB357" s="173"/>
      <c r="IRC357" s="173"/>
      <c r="IRD357" s="173"/>
      <c r="IRE357" s="173"/>
      <c r="IRF357" s="173"/>
      <c r="IRG357" s="173"/>
      <c r="IRH357" s="173"/>
      <c r="IRI357" s="173"/>
      <c r="IRJ357" s="173"/>
      <c r="IRK357" s="173"/>
      <c r="IRL357" s="125"/>
      <c r="IRM357" s="125"/>
      <c r="IRN357" s="134"/>
      <c r="IRO357" s="135"/>
      <c r="IRP357" s="135"/>
      <c r="IRQ357" s="135"/>
      <c r="IRR357" s="135"/>
      <c r="IRS357" s="173"/>
      <c r="IRT357" s="173"/>
      <c r="IRU357" s="173"/>
      <c r="IRV357" s="173"/>
      <c r="IRW357" s="173"/>
      <c r="IRX357" s="173"/>
      <c r="IRY357" s="173"/>
      <c r="IRZ357" s="173"/>
      <c r="ISA357" s="173"/>
      <c r="ISB357" s="173"/>
      <c r="ISC357" s="125"/>
      <c r="ISD357" s="125"/>
      <c r="ISE357" s="134"/>
      <c r="ISF357" s="135"/>
      <c r="ISG357" s="135"/>
      <c r="ISH357" s="135"/>
      <c r="ISI357" s="135"/>
      <c r="ISJ357" s="173"/>
      <c r="ISK357" s="173"/>
      <c r="ISL357" s="173"/>
      <c r="ISM357" s="173"/>
      <c r="ISN357" s="173"/>
      <c r="ISO357" s="173"/>
      <c r="ISP357" s="173"/>
      <c r="ISQ357" s="173"/>
      <c r="ISR357" s="173"/>
      <c r="ISS357" s="173"/>
      <c r="IST357" s="125"/>
      <c r="ISU357" s="125"/>
      <c r="ISV357" s="134"/>
      <c r="ISW357" s="135"/>
      <c r="ISX357" s="135"/>
      <c r="ISY357" s="135"/>
      <c r="ISZ357" s="135"/>
      <c r="ITA357" s="173"/>
      <c r="ITB357" s="173"/>
      <c r="ITC357" s="173"/>
      <c r="ITD357" s="173"/>
      <c r="ITE357" s="173"/>
      <c r="ITF357" s="173"/>
      <c r="ITG357" s="173"/>
      <c r="ITH357" s="173"/>
      <c r="ITI357" s="173"/>
      <c r="ITJ357" s="173"/>
      <c r="ITK357" s="125"/>
      <c r="ITL357" s="125"/>
      <c r="ITM357" s="134"/>
      <c r="ITN357" s="135"/>
      <c r="ITO357" s="135"/>
      <c r="ITP357" s="135"/>
      <c r="ITQ357" s="135"/>
      <c r="ITR357" s="173"/>
      <c r="ITS357" s="173"/>
      <c r="ITT357" s="173"/>
      <c r="ITU357" s="173"/>
      <c r="ITV357" s="173"/>
      <c r="ITW357" s="173"/>
      <c r="ITX357" s="173"/>
      <c r="ITY357" s="173"/>
      <c r="ITZ357" s="173"/>
      <c r="IUA357" s="173"/>
      <c r="IUB357" s="125"/>
      <c r="IUC357" s="125"/>
      <c r="IUD357" s="134"/>
      <c r="IUE357" s="135"/>
      <c r="IUF357" s="135"/>
      <c r="IUG357" s="135"/>
      <c r="IUH357" s="135"/>
      <c r="IUI357" s="173"/>
      <c r="IUJ357" s="173"/>
      <c r="IUK357" s="173"/>
      <c r="IUL357" s="173"/>
      <c r="IUM357" s="173"/>
      <c r="IUN357" s="173"/>
      <c r="IUO357" s="173"/>
      <c r="IUP357" s="173"/>
      <c r="IUQ357" s="173"/>
      <c r="IUR357" s="173"/>
      <c r="IUS357" s="125"/>
      <c r="IUT357" s="125"/>
      <c r="IUU357" s="134"/>
      <c r="IUV357" s="135"/>
      <c r="IUW357" s="135"/>
      <c r="IUX357" s="135"/>
      <c r="IUY357" s="135"/>
      <c r="IUZ357" s="173"/>
      <c r="IVA357" s="173"/>
      <c r="IVB357" s="173"/>
      <c r="IVC357" s="173"/>
      <c r="IVD357" s="173"/>
      <c r="IVE357" s="173"/>
      <c r="IVF357" s="173"/>
      <c r="IVG357" s="173"/>
      <c r="IVH357" s="173"/>
      <c r="IVI357" s="173"/>
      <c r="IVJ357" s="125"/>
      <c r="IVK357" s="125"/>
      <c r="IVL357" s="134"/>
      <c r="IVM357" s="135"/>
      <c r="IVN357" s="135"/>
      <c r="IVO357" s="135"/>
      <c r="IVP357" s="135"/>
      <c r="IVQ357" s="173"/>
      <c r="IVR357" s="173"/>
      <c r="IVS357" s="173"/>
      <c r="IVT357" s="173"/>
      <c r="IVU357" s="173"/>
      <c r="IVV357" s="173"/>
      <c r="IVW357" s="173"/>
      <c r="IVX357" s="173"/>
      <c r="IVY357" s="173"/>
      <c r="IVZ357" s="173"/>
      <c r="IWA357" s="125"/>
      <c r="IWB357" s="125"/>
      <c r="IWC357" s="134"/>
      <c r="IWD357" s="135"/>
      <c r="IWE357" s="135"/>
      <c r="IWF357" s="135"/>
      <c r="IWG357" s="135"/>
      <c r="IWH357" s="173"/>
      <c r="IWI357" s="173"/>
      <c r="IWJ357" s="173"/>
      <c r="IWK357" s="173"/>
      <c r="IWL357" s="173"/>
      <c r="IWM357" s="173"/>
      <c r="IWN357" s="173"/>
      <c r="IWO357" s="173"/>
      <c r="IWP357" s="173"/>
      <c r="IWQ357" s="173"/>
      <c r="IWR357" s="125"/>
      <c r="IWS357" s="125"/>
      <c r="IWT357" s="134"/>
      <c r="IWU357" s="135"/>
      <c r="IWV357" s="135"/>
      <c r="IWW357" s="135"/>
      <c r="IWX357" s="135"/>
      <c r="IWY357" s="173"/>
      <c r="IWZ357" s="173"/>
      <c r="IXA357" s="173"/>
      <c r="IXB357" s="173"/>
      <c r="IXC357" s="173"/>
      <c r="IXD357" s="173"/>
      <c r="IXE357" s="173"/>
      <c r="IXF357" s="173"/>
      <c r="IXG357" s="173"/>
      <c r="IXH357" s="173"/>
      <c r="IXI357" s="125"/>
      <c r="IXJ357" s="125"/>
      <c r="IXK357" s="134"/>
      <c r="IXL357" s="135"/>
      <c r="IXM357" s="135"/>
      <c r="IXN357" s="135"/>
      <c r="IXO357" s="135"/>
      <c r="IXP357" s="173"/>
      <c r="IXQ357" s="173"/>
      <c r="IXR357" s="173"/>
      <c r="IXS357" s="173"/>
      <c r="IXT357" s="173"/>
      <c r="IXU357" s="173"/>
      <c r="IXV357" s="173"/>
      <c r="IXW357" s="173"/>
      <c r="IXX357" s="173"/>
      <c r="IXY357" s="173"/>
      <c r="IXZ357" s="125"/>
      <c r="IYA357" s="125"/>
      <c r="IYB357" s="134"/>
      <c r="IYC357" s="135"/>
      <c r="IYD357" s="135"/>
      <c r="IYE357" s="135"/>
      <c r="IYF357" s="135"/>
      <c r="IYG357" s="173"/>
      <c r="IYH357" s="173"/>
      <c r="IYI357" s="173"/>
      <c r="IYJ357" s="173"/>
      <c r="IYK357" s="173"/>
      <c r="IYL357" s="173"/>
      <c r="IYM357" s="173"/>
      <c r="IYN357" s="173"/>
      <c r="IYO357" s="173"/>
      <c r="IYP357" s="173"/>
      <c r="IYQ357" s="125"/>
      <c r="IYR357" s="125"/>
      <c r="IYS357" s="134"/>
      <c r="IYT357" s="135"/>
      <c r="IYU357" s="135"/>
      <c r="IYV357" s="135"/>
      <c r="IYW357" s="135"/>
      <c r="IYX357" s="173"/>
      <c r="IYY357" s="173"/>
      <c r="IYZ357" s="173"/>
      <c r="IZA357" s="173"/>
      <c r="IZB357" s="173"/>
      <c r="IZC357" s="173"/>
      <c r="IZD357" s="173"/>
      <c r="IZE357" s="173"/>
      <c r="IZF357" s="173"/>
      <c r="IZG357" s="173"/>
      <c r="IZH357" s="125"/>
      <c r="IZI357" s="125"/>
      <c r="IZJ357" s="134"/>
      <c r="IZK357" s="135"/>
      <c r="IZL357" s="135"/>
      <c r="IZM357" s="135"/>
      <c r="IZN357" s="135"/>
      <c r="IZO357" s="173"/>
      <c r="IZP357" s="173"/>
      <c r="IZQ357" s="173"/>
      <c r="IZR357" s="173"/>
      <c r="IZS357" s="173"/>
      <c r="IZT357" s="173"/>
      <c r="IZU357" s="173"/>
      <c r="IZV357" s="173"/>
      <c r="IZW357" s="173"/>
      <c r="IZX357" s="173"/>
      <c r="IZY357" s="125"/>
      <c r="IZZ357" s="125"/>
      <c r="JAA357" s="134"/>
      <c r="JAB357" s="135"/>
      <c r="JAC357" s="135"/>
      <c r="JAD357" s="135"/>
      <c r="JAE357" s="135"/>
      <c r="JAF357" s="173"/>
      <c r="JAG357" s="173"/>
      <c r="JAH357" s="173"/>
      <c r="JAI357" s="173"/>
      <c r="JAJ357" s="173"/>
      <c r="JAK357" s="173"/>
      <c r="JAL357" s="173"/>
      <c r="JAM357" s="173"/>
      <c r="JAN357" s="173"/>
      <c r="JAO357" s="173"/>
      <c r="JAP357" s="125"/>
      <c r="JAQ357" s="125"/>
      <c r="JAR357" s="134"/>
      <c r="JAS357" s="135"/>
      <c r="JAT357" s="135"/>
      <c r="JAU357" s="135"/>
      <c r="JAV357" s="135"/>
      <c r="JAW357" s="173"/>
      <c r="JAX357" s="173"/>
      <c r="JAY357" s="173"/>
      <c r="JAZ357" s="173"/>
      <c r="JBA357" s="173"/>
      <c r="JBB357" s="173"/>
      <c r="JBC357" s="173"/>
      <c r="JBD357" s="173"/>
      <c r="JBE357" s="173"/>
      <c r="JBF357" s="173"/>
      <c r="JBG357" s="125"/>
      <c r="JBH357" s="125"/>
      <c r="JBI357" s="134"/>
      <c r="JBJ357" s="135"/>
      <c r="JBK357" s="135"/>
      <c r="JBL357" s="135"/>
      <c r="JBM357" s="135"/>
      <c r="JBN357" s="173"/>
      <c r="JBO357" s="173"/>
      <c r="JBP357" s="173"/>
      <c r="JBQ357" s="173"/>
      <c r="JBR357" s="173"/>
      <c r="JBS357" s="173"/>
      <c r="JBT357" s="173"/>
      <c r="JBU357" s="173"/>
      <c r="JBV357" s="173"/>
      <c r="JBW357" s="173"/>
      <c r="JBX357" s="125"/>
      <c r="JBY357" s="125"/>
      <c r="JBZ357" s="134"/>
      <c r="JCA357" s="135"/>
      <c r="JCB357" s="135"/>
      <c r="JCC357" s="135"/>
      <c r="JCD357" s="135"/>
      <c r="JCE357" s="173"/>
      <c r="JCF357" s="173"/>
      <c r="JCG357" s="173"/>
      <c r="JCH357" s="173"/>
      <c r="JCI357" s="173"/>
      <c r="JCJ357" s="173"/>
      <c r="JCK357" s="173"/>
      <c r="JCL357" s="173"/>
      <c r="JCM357" s="173"/>
      <c r="JCN357" s="173"/>
      <c r="JCO357" s="125"/>
      <c r="JCP357" s="125"/>
      <c r="JCQ357" s="134"/>
      <c r="JCR357" s="135"/>
      <c r="JCS357" s="135"/>
      <c r="JCT357" s="135"/>
      <c r="JCU357" s="135"/>
      <c r="JCV357" s="173"/>
      <c r="JCW357" s="173"/>
      <c r="JCX357" s="173"/>
      <c r="JCY357" s="173"/>
      <c r="JCZ357" s="173"/>
      <c r="JDA357" s="173"/>
      <c r="JDB357" s="173"/>
      <c r="JDC357" s="173"/>
      <c r="JDD357" s="173"/>
      <c r="JDE357" s="173"/>
      <c r="JDF357" s="125"/>
      <c r="JDG357" s="125"/>
      <c r="JDH357" s="134"/>
      <c r="JDI357" s="135"/>
      <c r="JDJ357" s="135"/>
      <c r="JDK357" s="135"/>
      <c r="JDL357" s="135"/>
      <c r="JDM357" s="173"/>
      <c r="JDN357" s="173"/>
      <c r="JDO357" s="173"/>
      <c r="JDP357" s="173"/>
      <c r="JDQ357" s="173"/>
      <c r="JDR357" s="173"/>
      <c r="JDS357" s="173"/>
      <c r="JDT357" s="173"/>
      <c r="JDU357" s="173"/>
      <c r="JDV357" s="173"/>
      <c r="JDW357" s="125"/>
      <c r="JDX357" s="125"/>
      <c r="JDY357" s="134"/>
      <c r="JDZ357" s="135"/>
      <c r="JEA357" s="135"/>
      <c r="JEB357" s="135"/>
      <c r="JEC357" s="135"/>
      <c r="JED357" s="173"/>
      <c r="JEE357" s="173"/>
      <c r="JEF357" s="173"/>
      <c r="JEG357" s="173"/>
      <c r="JEH357" s="173"/>
      <c r="JEI357" s="173"/>
      <c r="JEJ357" s="173"/>
      <c r="JEK357" s="173"/>
      <c r="JEL357" s="173"/>
      <c r="JEM357" s="173"/>
      <c r="JEN357" s="125"/>
      <c r="JEO357" s="125"/>
      <c r="JEP357" s="134"/>
      <c r="JEQ357" s="135"/>
      <c r="JER357" s="135"/>
      <c r="JES357" s="135"/>
      <c r="JET357" s="135"/>
      <c r="JEU357" s="173"/>
      <c r="JEV357" s="173"/>
      <c r="JEW357" s="173"/>
      <c r="JEX357" s="173"/>
      <c r="JEY357" s="173"/>
      <c r="JEZ357" s="173"/>
      <c r="JFA357" s="173"/>
      <c r="JFB357" s="173"/>
      <c r="JFC357" s="173"/>
      <c r="JFD357" s="173"/>
      <c r="JFE357" s="125"/>
      <c r="JFF357" s="125"/>
      <c r="JFG357" s="134"/>
      <c r="JFH357" s="135"/>
      <c r="JFI357" s="135"/>
      <c r="JFJ357" s="135"/>
      <c r="JFK357" s="135"/>
      <c r="JFL357" s="173"/>
      <c r="JFM357" s="173"/>
      <c r="JFN357" s="173"/>
      <c r="JFO357" s="173"/>
      <c r="JFP357" s="173"/>
      <c r="JFQ357" s="173"/>
      <c r="JFR357" s="173"/>
      <c r="JFS357" s="173"/>
      <c r="JFT357" s="173"/>
      <c r="JFU357" s="173"/>
      <c r="JFV357" s="125"/>
      <c r="JFW357" s="125"/>
      <c r="JFX357" s="134"/>
      <c r="JFY357" s="135"/>
      <c r="JFZ357" s="135"/>
      <c r="JGA357" s="135"/>
      <c r="JGB357" s="135"/>
      <c r="JGC357" s="173"/>
      <c r="JGD357" s="173"/>
      <c r="JGE357" s="173"/>
      <c r="JGF357" s="173"/>
      <c r="JGG357" s="173"/>
      <c r="JGH357" s="173"/>
      <c r="JGI357" s="173"/>
      <c r="JGJ357" s="173"/>
      <c r="JGK357" s="173"/>
      <c r="JGL357" s="173"/>
      <c r="JGM357" s="125"/>
      <c r="JGN357" s="125"/>
      <c r="JGO357" s="134"/>
      <c r="JGP357" s="135"/>
      <c r="JGQ357" s="135"/>
      <c r="JGR357" s="135"/>
      <c r="JGS357" s="135"/>
      <c r="JGT357" s="173"/>
      <c r="JGU357" s="173"/>
      <c r="JGV357" s="173"/>
      <c r="JGW357" s="173"/>
      <c r="JGX357" s="173"/>
      <c r="JGY357" s="173"/>
      <c r="JGZ357" s="173"/>
      <c r="JHA357" s="173"/>
      <c r="JHB357" s="173"/>
      <c r="JHC357" s="173"/>
      <c r="JHD357" s="125"/>
      <c r="JHE357" s="125"/>
      <c r="JHF357" s="134"/>
      <c r="JHG357" s="135"/>
      <c r="JHH357" s="135"/>
      <c r="JHI357" s="135"/>
      <c r="JHJ357" s="135"/>
      <c r="JHK357" s="173"/>
      <c r="JHL357" s="173"/>
      <c r="JHM357" s="173"/>
      <c r="JHN357" s="173"/>
      <c r="JHO357" s="173"/>
      <c r="JHP357" s="173"/>
      <c r="JHQ357" s="173"/>
      <c r="JHR357" s="173"/>
      <c r="JHS357" s="173"/>
      <c r="JHT357" s="173"/>
      <c r="JHU357" s="125"/>
      <c r="JHV357" s="125"/>
      <c r="JHW357" s="134"/>
      <c r="JHX357" s="135"/>
      <c r="JHY357" s="135"/>
      <c r="JHZ357" s="135"/>
      <c r="JIA357" s="135"/>
      <c r="JIB357" s="173"/>
      <c r="JIC357" s="173"/>
      <c r="JID357" s="173"/>
      <c r="JIE357" s="173"/>
      <c r="JIF357" s="173"/>
      <c r="JIG357" s="173"/>
      <c r="JIH357" s="173"/>
      <c r="JII357" s="173"/>
      <c r="JIJ357" s="173"/>
      <c r="JIK357" s="173"/>
      <c r="JIL357" s="125"/>
      <c r="JIM357" s="125"/>
      <c r="JIN357" s="134"/>
      <c r="JIO357" s="135"/>
      <c r="JIP357" s="135"/>
      <c r="JIQ357" s="135"/>
      <c r="JIR357" s="135"/>
      <c r="JIS357" s="173"/>
      <c r="JIT357" s="173"/>
      <c r="JIU357" s="173"/>
      <c r="JIV357" s="173"/>
      <c r="JIW357" s="173"/>
      <c r="JIX357" s="173"/>
      <c r="JIY357" s="173"/>
      <c r="JIZ357" s="173"/>
      <c r="JJA357" s="173"/>
      <c r="JJB357" s="173"/>
      <c r="JJC357" s="125"/>
      <c r="JJD357" s="125"/>
      <c r="JJE357" s="134"/>
      <c r="JJF357" s="135"/>
      <c r="JJG357" s="135"/>
      <c r="JJH357" s="135"/>
      <c r="JJI357" s="135"/>
      <c r="JJJ357" s="173"/>
      <c r="JJK357" s="173"/>
      <c r="JJL357" s="173"/>
      <c r="JJM357" s="173"/>
      <c r="JJN357" s="173"/>
      <c r="JJO357" s="173"/>
      <c r="JJP357" s="173"/>
      <c r="JJQ357" s="173"/>
      <c r="JJR357" s="173"/>
      <c r="JJS357" s="173"/>
      <c r="JJT357" s="125"/>
      <c r="JJU357" s="125"/>
      <c r="JJV357" s="134"/>
      <c r="JJW357" s="135"/>
      <c r="JJX357" s="135"/>
      <c r="JJY357" s="135"/>
      <c r="JJZ357" s="135"/>
      <c r="JKA357" s="173"/>
      <c r="JKB357" s="173"/>
      <c r="JKC357" s="173"/>
      <c r="JKD357" s="173"/>
      <c r="JKE357" s="173"/>
      <c r="JKF357" s="173"/>
      <c r="JKG357" s="173"/>
      <c r="JKH357" s="173"/>
      <c r="JKI357" s="173"/>
      <c r="JKJ357" s="173"/>
      <c r="JKK357" s="125"/>
      <c r="JKL357" s="125"/>
      <c r="JKM357" s="134"/>
      <c r="JKN357" s="135"/>
      <c r="JKO357" s="135"/>
      <c r="JKP357" s="135"/>
      <c r="JKQ357" s="135"/>
      <c r="JKR357" s="173"/>
      <c r="JKS357" s="173"/>
      <c r="JKT357" s="173"/>
      <c r="JKU357" s="173"/>
      <c r="JKV357" s="173"/>
      <c r="JKW357" s="173"/>
      <c r="JKX357" s="173"/>
      <c r="JKY357" s="173"/>
      <c r="JKZ357" s="173"/>
      <c r="JLA357" s="173"/>
      <c r="JLB357" s="125"/>
      <c r="JLC357" s="125"/>
      <c r="JLD357" s="134"/>
      <c r="JLE357" s="135"/>
      <c r="JLF357" s="135"/>
      <c r="JLG357" s="135"/>
      <c r="JLH357" s="135"/>
      <c r="JLI357" s="173"/>
      <c r="JLJ357" s="173"/>
      <c r="JLK357" s="173"/>
      <c r="JLL357" s="173"/>
      <c r="JLM357" s="173"/>
      <c r="JLN357" s="173"/>
      <c r="JLO357" s="173"/>
      <c r="JLP357" s="173"/>
      <c r="JLQ357" s="173"/>
      <c r="JLR357" s="173"/>
      <c r="JLS357" s="125"/>
      <c r="JLT357" s="125"/>
      <c r="JLU357" s="134"/>
      <c r="JLV357" s="135"/>
      <c r="JLW357" s="135"/>
      <c r="JLX357" s="135"/>
      <c r="JLY357" s="135"/>
      <c r="JLZ357" s="173"/>
      <c r="JMA357" s="173"/>
      <c r="JMB357" s="173"/>
      <c r="JMC357" s="173"/>
      <c r="JMD357" s="173"/>
      <c r="JME357" s="173"/>
      <c r="JMF357" s="173"/>
      <c r="JMG357" s="173"/>
      <c r="JMH357" s="173"/>
      <c r="JMI357" s="173"/>
      <c r="JMJ357" s="125"/>
      <c r="JMK357" s="125"/>
      <c r="JML357" s="134"/>
      <c r="JMM357" s="135"/>
      <c r="JMN357" s="135"/>
      <c r="JMO357" s="135"/>
      <c r="JMP357" s="135"/>
      <c r="JMQ357" s="173"/>
      <c r="JMR357" s="173"/>
      <c r="JMS357" s="173"/>
      <c r="JMT357" s="173"/>
      <c r="JMU357" s="173"/>
      <c r="JMV357" s="173"/>
      <c r="JMW357" s="173"/>
      <c r="JMX357" s="173"/>
      <c r="JMY357" s="173"/>
      <c r="JMZ357" s="173"/>
      <c r="JNA357" s="125"/>
      <c r="JNB357" s="125"/>
      <c r="JNC357" s="134"/>
      <c r="JND357" s="135"/>
      <c r="JNE357" s="135"/>
      <c r="JNF357" s="135"/>
      <c r="JNG357" s="135"/>
      <c r="JNH357" s="173"/>
      <c r="JNI357" s="173"/>
      <c r="JNJ357" s="173"/>
      <c r="JNK357" s="173"/>
      <c r="JNL357" s="173"/>
      <c r="JNM357" s="173"/>
      <c r="JNN357" s="173"/>
      <c r="JNO357" s="173"/>
      <c r="JNP357" s="173"/>
      <c r="JNQ357" s="173"/>
      <c r="JNR357" s="125"/>
      <c r="JNS357" s="125"/>
      <c r="JNT357" s="134"/>
      <c r="JNU357" s="135"/>
      <c r="JNV357" s="135"/>
      <c r="JNW357" s="135"/>
      <c r="JNX357" s="135"/>
      <c r="JNY357" s="173"/>
      <c r="JNZ357" s="173"/>
      <c r="JOA357" s="173"/>
      <c r="JOB357" s="173"/>
      <c r="JOC357" s="173"/>
      <c r="JOD357" s="173"/>
      <c r="JOE357" s="173"/>
      <c r="JOF357" s="173"/>
      <c r="JOG357" s="173"/>
      <c r="JOH357" s="173"/>
      <c r="JOI357" s="125"/>
      <c r="JOJ357" s="125"/>
      <c r="JOK357" s="134"/>
      <c r="JOL357" s="135"/>
      <c r="JOM357" s="135"/>
      <c r="JON357" s="135"/>
      <c r="JOO357" s="135"/>
      <c r="JOP357" s="173"/>
      <c r="JOQ357" s="173"/>
      <c r="JOR357" s="173"/>
      <c r="JOS357" s="173"/>
      <c r="JOT357" s="173"/>
      <c r="JOU357" s="173"/>
      <c r="JOV357" s="173"/>
      <c r="JOW357" s="173"/>
      <c r="JOX357" s="173"/>
      <c r="JOY357" s="173"/>
      <c r="JOZ357" s="125"/>
      <c r="JPA357" s="125"/>
      <c r="JPB357" s="134"/>
      <c r="JPC357" s="135"/>
      <c r="JPD357" s="135"/>
      <c r="JPE357" s="135"/>
      <c r="JPF357" s="135"/>
      <c r="JPG357" s="173"/>
      <c r="JPH357" s="173"/>
      <c r="JPI357" s="173"/>
      <c r="JPJ357" s="173"/>
      <c r="JPK357" s="173"/>
      <c r="JPL357" s="173"/>
      <c r="JPM357" s="173"/>
      <c r="JPN357" s="173"/>
      <c r="JPO357" s="173"/>
      <c r="JPP357" s="173"/>
      <c r="JPQ357" s="125"/>
      <c r="JPR357" s="125"/>
      <c r="JPS357" s="134"/>
      <c r="JPT357" s="135"/>
      <c r="JPU357" s="135"/>
      <c r="JPV357" s="135"/>
      <c r="JPW357" s="135"/>
      <c r="JPX357" s="173"/>
      <c r="JPY357" s="173"/>
      <c r="JPZ357" s="173"/>
      <c r="JQA357" s="173"/>
      <c r="JQB357" s="173"/>
      <c r="JQC357" s="173"/>
      <c r="JQD357" s="173"/>
      <c r="JQE357" s="173"/>
      <c r="JQF357" s="173"/>
      <c r="JQG357" s="173"/>
      <c r="JQH357" s="125"/>
      <c r="JQI357" s="125"/>
      <c r="JQJ357" s="134"/>
      <c r="JQK357" s="135"/>
      <c r="JQL357" s="135"/>
      <c r="JQM357" s="135"/>
      <c r="JQN357" s="135"/>
      <c r="JQO357" s="173"/>
      <c r="JQP357" s="173"/>
      <c r="JQQ357" s="173"/>
      <c r="JQR357" s="173"/>
      <c r="JQS357" s="173"/>
      <c r="JQT357" s="173"/>
      <c r="JQU357" s="173"/>
      <c r="JQV357" s="173"/>
      <c r="JQW357" s="173"/>
      <c r="JQX357" s="173"/>
      <c r="JQY357" s="125"/>
      <c r="JQZ357" s="125"/>
      <c r="JRA357" s="134"/>
      <c r="JRB357" s="135"/>
      <c r="JRC357" s="135"/>
      <c r="JRD357" s="135"/>
      <c r="JRE357" s="135"/>
      <c r="JRF357" s="173"/>
      <c r="JRG357" s="173"/>
      <c r="JRH357" s="173"/>
      <c r="JRI357" s="173"/>
      <c r="JRJ357" s="173"/>
      <c r="JRK357" s="173"/>
      <c r="JRL357" s="173"/>
      <c r="JRM357" s="173"/>
      <c r="JRN357" s="173"/>
      <c r="JRO357" s="173"/>
      <c r="JRP357" s="125"/>
      <c r="JRQ357" s="125"/>
      <c r="JRR357" s="134"/>
      <c r="JRS357" s="135"/>
      <c r="JRT357" s="135"/>
      <c r="JRU357" s="135"/>
      <c r="JRV357" s="135"/>
      <c r="JRW357" s="173"/>
      <c r="JRX357" s="173"/>
      <c r="JRY357" s="173"/>
      <c r="JRZ357" s="173"/>
      <c r="JSA357" s="173"/>
      <c r="JSB357" s="173"/>
      <c r="JSC357" s="173"/>
      <c r="JSD357" s="173"/>
      <c r="JSE357" s="173"/>
      <c r="JSF357" s="173"/>
      <c r="JSG357" s="125"/>
      <c r="JSH357" s="125"/>
      <c r="JSI357" s="134"/>
      <c r="JSJ357" s="135"/>
      <c r="JSK357" s="135"/>
      <c r="JSL357" s="135"/>
      <c r="JSM357" s="135"/>
      <c r="JSN357" s="173"/>
      <c r="JSO357" s="173"/>
      <c r="JSP357" s="173"/>
      <c r="JSQ357" s="173"/>
      <c r="JSR357" s="173"/>
      <c r="JSS357" s="173"/>
      <c r="JST357" s="173"/>
      <c r="JSU357" s="173"/>
      <c r="JSV357" s="173"/>
      <c r="JSW357" s="173"/>
      <c r="JSX357" s="125"/>
      <c r="JSY357" s="125"/>
      <c r="JSZ357" s="134"/>
      <c r="JTA357" s="135"/>
      <c r="JTB357" s="135"/>
      <c r="JTC357" s="135"/>
      <c r="JTD357" s="135"/>
      <c r="JTE357" s="173"/>
      <c r="JTF357" s="173"/>
      <c r="JTG357" s="173"/>
      <c r="JTH357" s="173"/>
      <c r="JTI357" s="173"/>
      <c r="JTJ357" s="173"/>
      <c r="JTK357" s="173"/>
      <c r="JTL357" s="173"/>
      <c r="JTM357" s="173"/>
      <c r="JTN357" s="173"/>
      <c r="JTO357" s="125"/>
      <c r="JTP357" s="125"/>
      <c r="JTQ357" s="134"/>
      <c r="JTR357" s="135"/>
      <c r="JTS357" s="135"/>
      <c r="JTT357" s="135"/>
      <c r="JTU357" s="135"/>
      <c r="JTV357" s="173"/>
      <c r="JTW357" s="173"/>
      <c r="JTX357" s="173"/>
      <c r="JTY357" s="173"/>
      <c r="JTZ357" s="173"/>
      <c r="JUA357" s="173"/>
      <c r="JUB357" s="173"/>
      <c r="JUC357" s="173"/>
      <c r="JUD357" s="173"/>
      <c r="JUE357" s="173"/>
      <c r="JUF357" s="125"/>
      <c r="JUG357" s="125"/>
      <c r="JUH357" s="134"/>
      <c r="JUI357" s="135"/>
      <c r="JUJ357" s="135"/>
      <c r="JUK357" s="135"/>
      <c r="JUL357" s="135"/>
      <c r="JUM357" s="173"/>
      <c r="JUN357" s="173"/>
      <c r="JUO357" s="173"/>
      <c r="JUP357" s="173"/>
      <c r="JUQ357" s="173"/>
      <c r="JUR357" s="173"/>
      <c r="JUS357" s="173"/>
      <c r="JUT357" s="173"/>
      <c r="JUU357" s="173"/>
      <c r="JUV357" s="173"/>
      <c r="JUW357" s="125"/>
      <c r="JUX357" s="125"/>
      <c r="JUY357" s="134"/>
      <c r="JUZ357" s="135"/>
      <c r="JVA357" s="135"/>
      <c r="JVB357" s="135"/>
      <c r="JVC357" s="135"/>
      <c r="JVD357" s="173"/>
      <c r="JVE357" s="173"/>
      <c r="JVF357" s="173"/>
      <c r="JVG357" s="173"/>
      <c r="JVH357" s="173"/>
      <c r="JVI357" s="173"/>
      <c r="JVJ357" s="173"/>
      <c r="JVK357" s="173"/>
      <c r="JVL357" s="173"/>
      <c r="JVM357" s="173"/>
      <c r="JVN357" s="125"/>
      <c r="JVO357" s="125"/>
      <c r="JVP357" s="134"/>
      <c r="JVQ357" s="135"/>
      <c r="JVR357" s="135"/>
      <c r="JVS357" s="135"/>
      <c r="JVT357" s="135"/>
      <c r="JVU357" s="173"/>
      <c r="JVV357" s="173"/>
      <c r="JVW357" s="173"/>
      <c r="JVX357" s="173"/>
      <c r="JVY357" s="173"/>
      <c r="JVZ357" s="173"/>
      <c r="JWA357" s="173"/>
      <c r="JWB357" s="173"/>
      <c r="JWC357" s="173"/>
      <c r="JWD357" s="173"/>
      <c r="JWE357" s="125"/>
      <c r="JWF357" s="125"/>
      <c r="JWG357" s="134"/>
      <c r="JWH357" s="135"/>
      <c r="JWI357" s="135"/>
      <c r="JWJ357" s="135"/>
      <c r="JWK357" s="135"/>
      <c r="JWL357" s="173"/>
      <c r="JWM357" s="173"/>
      <c r="JWN357" s="173"/>
      <c r="JWO357" s="173"/>
      <c r="JWP357" s="173"/>
      <c r="JWQ357" s="173"/>
      <c r="JWR357" s="173"/>
      <c r="JWS357" s="173"/>
      <c r="JWT357" s="173"/>
      <c r="JWU357" s="173"/>
      <c r="JWV357" s="125"/>
      <c r="JWW357" s="125"/>
      <c r="JWX357" s="134"/>
      <c r="JWY357" s="135"/>
      <c r="JWZ357" s="135"/>
      <c r="JXA357" s="135"/>
      <c r="JXB357" s="135"/>
      <c r="JXC357" s="173"/>
      <c r="JXD357" s="173"/>
      <c r="JXE357" s="173"/>
      <c r="JXF357" s="173"/>
      <c r="JXG357" s="173"/>
      <c r="JXH357" s="173"/>
      <c r="JXI357" s="173"/>
      <c r="JXJ357" s="173"/>
      <c r="JXK357" s="173"/>
      <c r="JXL357" s="173"/>
      <c r="JXM357" s="125"/>
      <c r="JXN357" s="125"/>
      <c r="JXO357" s="134"/>
      <c r="JXP357" s="135"/>
      <c r="JXQ357" s="135"/>
      <c r="JXR357" s="135"/>
      <c r="JXS357" s="135"/>
      <c r="JXT357" s="173"/>
      <c r="JXU357" s="173"/>
      <c r="JXV357" s="173"/>
      <c r="JXW357" s="173"/>
      <c r="JXX357" s="173"/>
      <c r="JXY357" s="173"/>
      <c r="JXZ357" s="173"/>
      <c r="JYA357" s="173"/>
      <c r="JYB357" s="173"/>
      <c r="JYC357" s="173"/>
      <c r="JYD357" s="125"/>
      <c r="JYE357" s="125"/>
      <c r="JYF357" s="134"/>
      <c r="JYG357" s="135"/>
      <c r="JYH357" s="135"/>
      <c r="JYI357" s="135"/>
      <c r="JYJ357" s="135"/>
      <c r="JYK357" s="173"/>
      <c r="JYL357" s="173"/>
      <c r="JYM357" s="173"/>
      <c r="JYN357" s="173"/>
      <c r="JYO357" s="173"/>
      <c r="JYP357" s="173"/>
      <c r="JYQ357" s="173"/>
      <c r="JYR357" s="173"/>
      <c r="JYS357" s="173"/>
      <c r="JYT357" s="173"/>
      <c r="JYU357" s="125"/>
      <c r="JYV357" s="125"/>
      <c r="JYW357" s="134"/>
      <c r="JYX357" s="135"/>
      <c r="JYY357" s="135"/>
      <c r="JYZ357" s="135"/>
      <c r="JZA357" s="135"/>
      <c r="JZB357" s="173"/>
      <c r="JZC357" s="173"/>
      <c r="JZD357" s="173"/>
      <c r="JZE357" s="173"/>
      <c r="JZF357" s="173"/>
      <c r="JZG357" s="173"/>
      <c r="JZH357" s="173"/>
      <c r="JZI357" s="173"/>
      <c r="JZJ357" s="173"/>
      <c r="JZK357" s="173"/>
      <c r="JZL357" s="125"/>
      <c r="JZM357" s="125"/>
      <c r="JZN357" s="134"/>
      <c r="JZO357" s="135"/>
      <c r="JZP357" s="135"/>
      <c r="JZQ357" s="135"/>
      <c r="JZR357" s="135"/>
      <c r="JZS357" s="173"/>
      <c r="JZT357" s="173"/>
      <c r="JZU357" s="173"/>
      <c r="JZV357" s="173"/>
      <c r="JZW357" s="173"/>
      <c r="JZX357" s="173"/>
      <c r="JZY357" s="173"/>
      <c r="JZZ357" s="173"/>
      <c r="KAA357" s="173"/>
      <c r="KAB357" s="173"/>
      <c r="KAC357" s="125"/>
      <c r="KAD357" s="125"/>
      <c r="KAE357" s="134"/>
      <c r="KAF357" s="135"/>
      <c r="KAG357" s="135"/>
      <c r="KAH357" s="135"/>
      <c r="KAI357" s="135"/>
      <c r="KAJ357" s="173"/>
      <c r="KAK357" s="173"/>
      <c r="KAL357" s="173"/>
      <c r="KAM357" s="173"/>
      <c r="KAN357" s="173"/>
      <c r="KAO357" s="173"/>
      <c r="KAP357" s="173"/>
      <c r="KAQ357" s="173"/>
      <c r="KAR357" s="173"/>
      <c r="KAS357" s="173"/>
      <c r="KAT357" s="125"/>
      <c r="KAU357" s="125"/>
      <c r="KAV357" s="134"/>
      <c r="KAW357" s="135"/>
      <c r="KAX357" s="135"/>
      <c r="KAY357" s="135"/>
      <c r="KAZ357" s="135"/>
      <c r="KBA357" s="173"/>
      <c r="KBB357" s="173"/>
      <c r="KBC357" s="173"/>
      <c r="KBD357" s="173"/>
      <c r="KBE357" s="173"/>
      <c r="KBF357" s="173"/>
      <c r="KBG357" s="173"/>
      <c r="KBH357" s="173"/>
      <c r="KBI357" s="173"/>
      <c r="KBJ357" s="173"/>
      <c r="KBK357" s="125"/>
      <c r="KBL357" s="125"/>
      <c r="KBM357" s="134"/>
      <c r="KBN357" s="135"/>
      <c r="KBO357" s="135"/>
      <c r="KBP357" s="135"/>
      <c r="KBQ357" s="135"/>
      <c r="KBR357" s="173"/>
      <c r="KBS357" s="173"/>
      <c r="KBT357" s="173"/>
      <c r="KBU357" s="173"/>
      <c r="KBV357" s="173"/>
      <c r="KBW357" s="173"/>
      <c r="KBX357" s="173"/>
      <c r="KBY357" s="173"/>
      <c r="KBZ357" s="173"/>
      <c r="KCA357" s="173"/>
      <c r="KCB357" s="125"/>
      <c r="KCC357" s="125"/>
      <c r="KCD357" s="134"/>
      <c r="KCE357" s="135"/>
      <c r="KCF357" s="135"/>
      <c r="KCG357" s="135"/>
      <c r="KCH357" s="135"/>
      <c r="KCI357" s="173"/>
      <c r="KCJ357" s="173"/>
      <c r="KCK357" s="173"/>
      <c r="KCL357" s="173"/>
      <c r="KCM357" s="173"/>
      <c r="KCN357" s="173"/>
      <c r="KCO357" s="173"/>
      <c r="KCP357" s="173"/>
      <c r="KCQ357" s="173"/>
      <c r="KCR357" s="173"/>
      <c r="KCS357" s="125"/>
      <c r="KCT357" s="125"/>
      <c r="KCU357" s="134"/>
      <c r="KCV357" s="135"/>
      <c r="KCW357" s="135"/>
      <c r="KCX357" s="135"/>
      <c r="KCY357" s="135"/>
      <c r="KCZ357" s="173"/>
      <c r="KDA357" s="173"/>
      <c r="KDB357" s="173"/>
      <c r="KDC357" s="173"/>
      <c r="KDD357" s="173"/>
      <c r="KDE357" s="173"/>
      <c r="KDF357" s="173"/>
      <c r="KDG357" s="173"/>
      <c r="KDH357" s="173"/>
      <c r="KDI357" s="173"/>
      <c r="KDJ357" s="125"/>
      <c r="KDK357" s="125"/>
      <c r="KDL357" s="134"/>
      <c r="KDM357" s="135"/>
      <c r="KDN357" s="135"/>
      <c r="KDO357" s="135"/>
      <c r="KDP357" s="135"/>
      <c r="KDQ357" s="173"/>
      <c r="KDR357" s="173"/>
      <c r="KDS357" s="173"/>
      <c r="KDT357" s="173"/>
      <c r="KDU357" s="173"/>
      <c r="KDV357" s="173"/>
      <c r="KDW357" s="173"/>
      <c r="KDX357" s="173"/>
      <c r="KDY357" s="173"/>
      <c r="KDZ357" s="173"/>
      <c r="KEA357" s="125"/>
      <c r="KEB357" s="125"/>
      <c r="KEC357" s="134"/>
      <c r="KED357" s="135"/>
      <c r="KEE357" s="135"/>
      <c r="KEF357" s="135"/>
      <c r="KEG357" s="135"/>
      <c r="KEH357" s="173"/>
      <c r="KEI357" s="173"/>
      <c r="KEJ357" s="173"/>
      <c r="KEK357" s="173"/>
      <c r="KEL357" s="173"/>
      <c r="KEM357" s="173"/>
      <c r="KEN357" s="173"/>
      <c r="KEO357" s="173"/>
      <c r="KEP357" s="173"/>
      <c r="KEQ357" s="173"/>
      <c r="KER357" s="125"/>
      <c r="KES357" s="125"/>
      <c r="KET357" s="134"/>
      <c r="KEU357" s="135"/>
      <c r="KEV357" s="135"/>
      <c r="KEW357" s="135"/>
      <c r="KEX357" s="135"/>
      <c r="KEY357" s="173"/>
      <c r="KEZ357" s="173"/>
      <c r="KFA357" s="173"/>
      <c r="KFB357" s="173"/>
      <c r="KFC357" s="173"/>
      <c r="KFD357" s="173"/>
      <c r="KFE357" s="173"/>
      <c r="KFF357" s="173"/>
      <c r="KFG357" s="173"/>
      <c r="KFH357" s="173"/>
      <c r="KFI357" s="125"/>
      <c r="KFJ357" s="125"/>
      <c r="KFK357" s="134"/>
      <c r="KFL357" s="135"/>
      <c r="KFM357" s="135"/>
      <c r="KFN357" s="135"/>
      <c r="KFO357" s="135"/>
      <c r="KFP357" s="173"/>
      <c r="KFQ357" s="173"/>
      <c r="KFR357" s="173"/>
      <c r="KFS357" s="173"/>
      <c r="KFT357" s="173"/>
      <c r="KFU357" s="173"/>
      <c r="KFV357" s="173"/>
      <c r="KFW357" s="173"/>
      <c r="KFX357" s="173"/>
      <c r="KFY357" s="173"/>
      <c r="KFZ357" s="125"/>
      <c r="KGA357" s="125"/>
      <c r="KGB357" s="134"/>
      <c r="KGC357" s="135"/>
      <c r="KGD357" s="135"/>
      <c r="KGE357" s="135"/>
      <c r="KGF357" s="135"/>
      <c r="KGG357" s="173"/>
      <c r="KGH357" s="173"/>
      <c r="KGI357" s="173"/>
      <c r="KGJ357" s="173"/>
      <c r="KGK357" s="173"/>
      <c r="KGL357" s="173"/>
      <c r="KGM357" s="173"/>
      <c r="KGN357" s="173"/>
      <c r="KGO357" s="173"/>
      <c r="KGP357" s="173"/>
      <c r="KGQ357" s="125"/>
      <c r="KGR357" s="125"/>
      <c r="KGS357" s="134"/>
      <c r="KGT357" s="135"/>
      <c r="KGU357" s="135"/>
      <c r="KGV357" s="135"/>
      <c r="KGW357" s="135"/>
      <c r="KGX357" s="173"/>
      <c r="KGY357" s="173"/>
      <c r="KGZ357" s="173"/>
      <c r="KHA357" s="173"/>
      <c r="KHB357" s="173"/>
      <c r="KHC357" s="173"/>
      <c r="KHD357" s="173"/>
      <c r="KHE357" s="173"/>
      <c r="KHF357" s="173"/>
      <c r="KHG357" s="173"/>
      <c r="KHH357" s="125"/>
      <c r="KHI357" s="125"/>
      <c r="KHJ357" s="134"/>
      <c r="KHK357" s="135"/>
      <c r="KHL357" s="135"/>
      <c r="KHM357" s="135"/>
      <c r="KHN357" s="135"/>
      <c r="KHO357" s="173"/>
      <c r="KHP357" s="173"/>
      <c r="KHQ357" s="173"/>
      <c r="KHR357" s="173"/>
      <c r="KHS357" s="173"/>
      <c r="KHT357" s="173"/>
      <c r="KHU357" s="173"/>
      <c r="KHV357" s="173"/>
      <c r="KHW357" s="173"/>
      <c r="KHX357" s="173"/>
      <c r="KHY357" s="125"/>
      <c r="KHZ357" s="125"/>
      <c r="KIA357" s="134"/>
      <c r="KIB357" s="135"/>
      <c r="KIC357" s="135"/>
      <c r="KID357" s="135"/>
      <c r="KIE357" s="135"/>
      <c r="KIF357" s="173"/>
      <c r="KIG357" s="173"/>
      <c r="KIH357" s="173"/>
      <c r="KII357" s="173"/>
      <c r="KIJ357" s="173"/>
      <c r="KIK357" s="173"/>
      <c r="KIL357" s="173"/>
      <c r="KIM357" s="173"/>
      <c r="KIN357" s="173"/>
      <c r="KIO357" s="173"/>
      <c r="KIP357" s="125"/>
      <c r="KIQ357" s="125"/>
      <c r="KIR357" s="134"/>
      <c r="KIS357" s="135"/>
      <c r="KIT357" s="135"/>
      <c r="KIU357" s="135"/>
      <c r="KIV357" s="135"/>
      <c r="KIW357" s="173"/>
      <c r="KIX357" s="173"/>
      <c r="KIY357" s="173"/>
      <c r="KIZ357" s="173"/>
      <c r="KJA357" s="173"/>
      <c r="KJB357" s="173"/>
      <c r="KJC357" s="173"/>
      <c r="KJD357" s="173"/>
      <c r="KJE357" s="173"/>
      <c r="KJF357" s="173"/>
      <c r="KJG357" s="125"/>
      <c r="KJH357" s="125"/>
      <c r="KJI357" s="134"/>
      <c r="KJJ357" s="135"/>
      <c r="KJK357" s="135"/>
      <c r="KJL357" s="135"/>
      <c r="KJM357" s="135"/>
      <c r="KJN357" s="173"/>
      <c r="KJO357" s="173"/>
      <c r="KJP357" s="173"/>
      <c r="KJQ357" s="173"/>
      <c r="KJR357" s="173"/>
      <c r="KJS357" s="173"/>
      <c r="KJT357" s="173"/>
      <c r="KJU357" s="173"/>
      <c r="KJV357" s="173"/>
      <c r="KJW357" s="173"/>
      <c r="KJX357" s="125"/>
      <c r="KJY357" s="125"/>
      <c r="KJZ357" s="134"/>
      <c r="KKA357" s="135"/>
      <c r="KKB357" s="135"/>
      <c r="KKC357" s="135"/>
      <c r="KKD357" s="135"/>
      <c r="KKE357" s="173"/>
      <c r="KKF357" s="173"/>
      <c r="KKG357" s="173"/>
      <c r="KKH357" s="173"/>
      <c r="KKI357" s="173"/>
      <c r="KKJ357" s="173"/>
      <c r="KKK357" s="173"/>
      <c r="KKL357" s="173"/>
      <c r="KKM357" s="173"/>
      <c r="KKN357" s="173"/>
      <c r="KKO357" s="125"/>
      <c r="KKP357" s="125"/>
      <c r="KKQ357" s="134"/>
      <c r="KKR357" s="135"/>
      <c r="KKS357" s="135"/>
      <c r="KKT357" s="135"/>
      <c r="KKU357" s="135"/>
      <c r="KKV357" s="173"/>
      <c r="KKW357" s="173"/>
      <c r="KKX357" s="173"/>
      <c r="KKY357" s="173"/>
      <c r="KKZ357" s="173"/>
      <c r="KLA357" s="173"/>
      <c r="KLB357" s="173"/>
      <c r="KLC357" s="173"/>
      <c r="KLD357" s="173"/>
      <c r="KLE357" s="173"/>
      <c r="KLF357" s="125"/>
      <c r="KLG357" s="125"/>
      <c r="KLH357" s="134"/>
      <c r="KLI357" s="135"/>
      <c r="KLJ357" s="135"/>
      <c r="KLK357" s="135"/>
      <c r="KLL357" s="135"/>
      <c r="KLM357" s="173"/>
      <c r="KLN357" s="173"/>
      <c r="KLO357" s="173"/>
      <c r="KLP357" s="173"/>
      <c r="KLQ357" s="173"/>
      <c r="KLR357" s="173"/>
      <c r="KLS357" s="173"/>
      <c r="KLT357" s="173"/>
      <c r="KLU357" s="173"/>
      <c r="KLV357" s="173"/>
      <c r="KLW357" s="125"/>
      <c r="KLX357" s="125"/>
      <c r="KLY357" s="134"/>
      <c r="KLZ357" s="135"/>
      <c r="KMA357" s="135"/>
      <c r="KMB357" s="135"/>
      <c r="KMC357" s="135"/>
      <c r="KMD357" s="173"/>
      <c r="KME357" s="173"/>
      <c r="KMF357" s="173"/>
      <c r="KMG357" s="173"/>
      <c r="KMH357" s="173"/>
      <c r="KMI357" s="173"/>
      <c r="KMJ357" s="173"/>
      <c r="KMK357" s="173"/>
      <c r="KML357" s="173"/>
      <c r="KMM357" s="173"/>
      <c r="KMN357" s="125"/>
      <c r="KMO357" s="125"/>
      <c r="KMP357" s="134"/>
      <c r="KMQ357" s="135"/>
      <c r="KMR357" s="135"/>
      <c r="KMS357" s="135"/>
      <c r="KMT357" s="135"/>
      <c r="KMU357" s="173"/>
      <c r="KMV357" s="173"/>
      <c r="KMW357" s="173"/>
      <c r="KMX357" s="173"/>
      <c r="KMY357" s="173"/>
      <c r="KMZ357" s="173"/>
      <c r="KNA357" s="173"/>
      <c r="KNB357" s="173"/>
      <c r="KNC357" s="173"/>
      <c r="KND357" s="173"/>
      <c r="KNE357" s="125"/>
      <c r="KNF357" s="125"/>
      <c r="KNG357" s="134"/>
      <c r="KNH357" s="135"/>
      <c r="KNI357" s="135"/>
      <c r="KNJ357" s="135"/>
      <c r="KNK357" s="135"/>
      <c r="KNL357" s="173"/>
      <c r="KNM357" s="173"/>
      <c r="KNN357" s="173"/>
      <c r="KNO357" s="173"/>
      <c r="KNP357" s="173"/>
      <c r="KNQ357" s="173"/>
      <c r="KNR357" s="173"/>
      <c r="KNS357" s="173"/>
      <c r="KNT357" s="173"/>
      <c r="KNU357" s="173"/>
      <c r="KNV357" s="125"/>
      <c r="KNW357" s="125"/>
      <c r="KNX357" s="134"/>
      <c r="KNY357" s="135"/>
      <c r="KNZ357" s="135"/>
      <c r="KOA357" s="135"/>
      <c r="KOB357" s="135"/>
      <c r="KOC357" s="173"/>
      <c r="KOD357" s="173"/>
      <c r="KOE357" s="173"/>
      <c r="KOF357" s="173"/>
      <c r="KOG357" s="173"/>
      <c r="KOH357" s="173"/>
      <c r="KOI357" s="173"/>
      <c r="KOJ357" s="173"/>
      <c r="KOK357" s="173"/>
      <c r="KOL357" s="173"/>
      <c r="KOM357" s="125"/>
      <c r="KON357" s="125"/>
      <c r="KOO357" s="134"/>
      <c r="KOP357" s="135"/>
      <c r="KOQ357" s="135"/>
      <c r="KOR357" s="135"/>
      <c r="KOS357" s="135"/>
      <c r="KOT357" s="173"/>
      <c r="KOU357" s="173"/>
      <c r="KOV357" s="173"/>
      <c r="KOW357" s="173"/>
      <c r="KOX357" s="173"/>
      <c r="KOY357" s="173"/>
      <c r="KOZ357" s="173"/>
      <c r="KPA357" s="173"/>
      <c r="KPB357" s="173"/>
      <c r="KPC357" s="173"/>
      <c r="KPD357" s="125"/>
      <c r="KPE357" s="125"/>
      <c r="KPF357" s="134"/>
      <c r="KPG357" s="135"/>
      <c r="KPH357" s="135"/>
      <c r="KPI357" s="135"/>
      <c r="KPJ357" s="135"/>
      <c r="KPK357" s="173"/>
      <c r="KPL357" s="173"/>
      <c r="KPM357" s="173"/>
      <c r="KPN357" s="173"/>
      <c r="KPO357" s="173"/>
      <c r="KPP357" s="173"/>
      <c r="KPQ357" s="173"/>
      <c r="KPR357" s="173"/>
      <c r="KPS357" s="173"/>
      <c r="KPT357" s="173"/>
      <c r="KPU357" s="125"/>
      <c r="KPV357" s="125"/>
      <c r="KPW357" s="134"/>
      <c r="KPX357" s="135"/>
      <c r="KPY357" s="135"/>
      <c r="KPZ357" s="135"/>
      <c r="KQA357" s="135"/>
      <c r="KQB357" s="173"/>
      <c r="KQC357" s="173"/>
      <c r="KQD357" s="173"/>
      <c r="KQE357" s="173"/>
      <c r="KQF357" s="173"/>
      <c r="KQG357" s="173"/>
      <c r="KQH357" s="173"/>
      <c r="KQI357" s="173"/>
      <c r="KQJ357" s="173"/>
      <c r="KQK357" s="173"/>
      <c r="KQL357" s="125"/>
      <c r="KQM357" s="125"/>
      <c r="KQN357" s="134"/>
      <c r="KQO357" s="135"/>
      <c r="KQP357" s="135"/>
      <c r="KQQ357" s="135"/>
      <c r="KQR357" s="135"/>
      <c r="KQS357" s="173"/>
      <c r="KQT357" s="173"/>
      <c r="KQU357" s="173"/>
      <c r="KQV357" s="173"/>
      <c r="KQW357" s="173"/>
      <c r="KQX357" s="173"/>
      <c r="KQY357" s="173"/>
      <c r="KQZ357" s="173"/>
      <c r="KRA357" s="173"/>
      <c r="KRB357" s="173"/>
      <c r="KRC357" s="125"/>
      <c r="KRD357" s="125"/>
      <c r="KRE357" s="134"/>
      <c r="KRF357" s="135"/>
      <c r="KRG357" s="135"/>
      <c r="KRH357" s="135"/>
      <c r="KRI357" s="135"/>
      <c r="KRJ357" s="173"/>
      <c r="KRK357" s="173"/>
      <c r="KRL357" s="173"/>
      <c r="KRM357" s="173"/>
      <c r="KRN357" s="173"/>
      <c r="KRO357" s="173"/>
      <c r="KRP357" s="173"/>
      <c r="KRQ357" s="173"/>
      <c r="KRR357" s="173"/>
      <c r="KRS357" s="173"/>
      <c r="KRT357" s="125"/>
      <c r="KRU357" s="125"/>
      <c r="KRV357" s="134"/>
      <c r="KRW357" s="135"/>
      <c r="KRX357" s="135"/>
      <c r="KRY357" s="135"/>
      <c r="KRZ357" s="135"/>
      <c r="KSA357" s="173"/>
      <c r="KSB357" s="173"/>
      <c r="KSC357" s="173"/>
      <c r="KSD357" s="173"/>
      <c r="KSE357" s="173"/>
      <c r="KSF357" s="173"/>
      <c r="KSG357" s="173"/>
      <c r="KSH357" s="173"/>
      <c r="KSI357" s="173"/>
      <c r="KSJ357" s="173"/>
      <c r="KSK357" s="125"/>
      <c r="KSL357" s="125"/>
      <c r="KSM357" s="134"/>
      <c r="KSN357" s="135"/>
      <c r="KSO357" s="135"/>
      <c r="KSP357" s="135"/>
      <c r="KSQ357" s="135"/>
      <c r="KSR357" s="173"/>
      <c r="KSS357" s="173"/>
      <c r="KST357" s="173"/>
      <c r="KSU357" s="173"/>
      <c r="KSV357" s="173"/>
      <c r="KSW357" s="173"/>
      <c r="KSX357" s="173"/>
      <c r="KSY357" s="173"/>
      <c r="KSZ357" s="173"/>
      <c r="KTA357" s="173"/>
      <c r="KTB357" s="125"/>
      <c r="KTC357" s="125"/>
      <c r="KTD357" s="134"/>
      <c r="KTE357" s="135"/>
      <c r="KTF357" s="135"/>
      <c r="KTG357" s="135"/>
      <c r="KTH357" s="135"/>
      <c r="KTI357" s="173"/>
      <c r="KTJ357" s="173"/>
      <c r="KTK357" s="173"/>
      <c r="KTL357" s="173"/>
      <c r="KTM357" s="173"/>
      <c r="KTN357" s="173"/>
      <c r="KTO357" s="173"/>
      <c r="KTP357" s="173"/>
      <c r="KTQ357" s="173"/>
      <c r="KTR357" s="173"/>
      <c r="KTS357" s="125"/>
      <c r="KTT357" s="125"/>
      <c r="KTU357" s="134"/>
      <c r="KTV357" s="135"/>
      <c r="KTW357" s="135"/>
      <c r="KTX357" s="135"/>
      <c r="KTY357" s="135"/>
      <c r="KTZ357" s="173"/>
      <c r="KUA357" s="173"/>
      <c r="KUB357" s="173"/>
      <c r="KUC357" s="173"/>
      <c r="KUD357" s="173"/>
      <c r="KUE357" s="173"/>
      <c r="KUF357" s="173"/>
      <c r="KUG357" s="173"/>
      <c r="KUH357" s="173"/>
      <c r="KUI357" s="173"/>
      <c r="KUJ357" s="125"/>
      <c r="KUK357" s="125"/>
      <c r="KUL357" s="134"/>
      <c r="KUM357" s="135"/>
      <c r="KUN357" s="135"/>
      <c r="KUO357" s="135"/>
      <c r="KUP357" s="135"/>
      <c r="KUQ357" s="173"/>
      <c r="KUR357" s="173"/>
      <c r="KUS357" s="173"/>
      <c r="KUT357" s="173"/>
      <c r="KUU357" s="173"/>
      <c r="KUV357" s="173"/>
      <c r="KUW357" s="173"/>
      <c r="KUX357" s="173"/>
      <c r="KUY357" s="173"/>
      <c r="KUZ357" s="173"/>
      <c r="KVA357" s="125"/>
      <c r="KVB357" s="125"/>
      <c r="KVC357" s="134"/>
      <c r="KVD357" s="135"/>
      <c r="KVE357" s="135"/>
      <c r="KVF357" s="135"/>
      <c r="KVG357" s="135"/>
      <c r="KVH357" s="173"/>
      <c r="KVI357" s="173"/>
      <c r="KVJ357" s="173"/>
      <c r="KVK357" s="173"/>
      <c r="KVL357" s="173"/>
      <c r="KVM357" s="173"/>
      <c r="KVN357" s="173"/>
      <c r="KVO357" s="173"/>
      <c r="KVP357" s="173"/>
      <c r="KVQ357" s="173"/>
      <c r="KVR357" s="125"/>
      <c r="KVS357" s="125"/>
      <c r="KVT357" s="134"/>
      <c r="KVU357" s="135"/>
      <c r="KVV357" s="135"/>
      <c r="KVW357" s="135"/>
      <c r="KVX357" s="135"/>
      <c r="KVY357" s="173"/>
      <c r="KVZ357" s="173"/>
      <c r="KWA357" s="173"/>
      <c r="KWB357" s="173"/>
      <c r="KWC357" s="173"/>
      <c r="KWD357" s="173"/>
      <c r="KWE357" s="173"/>
      <c r="KWF357" s="173"/>
      <c r="KWG357" s="173"/>
      <c r="KWH357" s="173"/>
      <c r="KWI357" s="125"/>
      <c r="KWJ357" s="125"/>
      <c r="KWK357" s="134"/>
      <c r="KWL357" s="135"/>
      <c r="KWM357" s="135"/>
      <c r="KWN357" s="135"/>
      <c r="KWO357" s="135"/>
      <c r="KWP357" s="173"/>
      <c r="KWQ357" s="173"/>
      <c r="KWR357" s="173"/>
      <c r="KWS357" s="173"/>
      <c r="KWT357" s="173"/>
      <c r="KWU357" s="173"/>
      <c r="KWV357" s="173"/>
      <c r="KWW357" s="173"/>
      <c r="KWX357" s="173"/>
      <c r="KWY357" s="173"/>
      <c r="KWZ357" s="125"/>
      <c r="KXA357" s="125"/>
      <c r="KXB357" s="134"/>
      <c r="KXC357" s="135"/>
      <c r="KXD357" s="135"/>
      <c r="KXE357" s="135"/>
      <c r="KXF357" s="135"/>
      <c r="KXG357" s="173"/>
      <c r="KXH357" s="173"/>
      <c r="KXI357" s="173"/>
      <c r="KXJ357" s="173"/>
      <c r="KXK357" s="173"/>
      <c r="KXL357" s="173"/>
      <c r="KXM357" s="173"/>
      <c r="KXN357" s="173"/>
      <c r="KXO357" s="173"/>
      <c r="KXP357" s="173"/>
      <c r="KXQ357" s="125"/>
      <c r="KXR357" s="125"/>
      <c r="KXS357" s="134"/>
      <c r="KXT357" s="135"/>
      <c r="KXU357" s="135"/>
      <c r="KXV357" s="135"/>
      <c r="KXW357" s="135"/>
      <c r="KXX357" s="173"/>
      <c r="KXY357" s="173"/>
      <c r="KXZ357" s="173"/>
      <c r="KYA357" s="173"/>
      <c r="KYB357" s="173"/>
      <c r="KYC357" s="173"/>
      <c r="KYD357" s="173"/>
      <c r="KYE357" s="173"/>
      <c r="KYF357" s="173"/>
      <c r="KYG357" s="173"/>
      <c r="KYH357" s="125"/>
      <c r="KYI357" s="125"/>
      <c r="KYJ357" s="134"/>
      <c r="KYK357" s="135"/>
      <c r="KYL357" s="135"/>
      <c r="KYM357" s="135"/>
      <c r="KYN357" s="135"/>
      <c r="KYO357" s="173"/>
      <c r="KYP357" s="173"/>
      <c r="KYQ357" s="173"/>
      <c r="KYR357" s="173"/>
      <c r="KYS357" s="173"/>
      <c r="KYT357" s="173"/>
      <c r="KYU357" s="173"/>
      <c r="KYV357" s="173"/>
      <c r="KYW357" s="173"/>
      <c r="KYX357" s="173"/>
      <c r="KYY357" s="125"/>
      <c r="KYZ357" s="125"/>
      <c r="KZA357" s="134"/>
      <c r="KZB357" s="135"/>
      <c r="KZC357" s="135"/>
      <c r="KZD357" s="135"/>
      <c r="KZE357" s="135"/>
      <c r="KZF357" s="173"/>
      <c r="KZG357" s="173"/>
      <c r="KZH357" s="173"/>
      <c r="KZI357" s="173"/>
      <c r="KZJ357" s="173"/>
      <c r="KZK357" s="173"/>
      <c r="KZL357" s="173"/>
      <c r="KZM357" s="173"/>
      <c r="KZN357" s="173"/>
      <c r="KZO357" s="173"/>
      <c r="KZP357" s="125"/>
      <c r="KZQ357" s="125"/>
      <c r="KZR357" s="134"/>
      <c r="KZS357" s="135"/>
      <c r="KZT357" s="135"/>
      <c r="KZU357" s="135"/>
      <c r="KZV357" s="135"/>
      <c r="KZW357" s="173"/>
      <c r="KZX357" s="173"/>
      <c r="KZY357" s="173"/>
      <c r="KZZ357" s="173"/>
      <c r="LAA357" s="173"/>
      <c r="LAB357" s="173"/>
      <c r="LAC357" s="173"/>
      <c r="LAD357" s="173"/>
      <c r="LAE357" s="173"/>
      <c r="LAF357" s="173"/>
      <c r="LAG357" s="125"/>
      <c r="LAH357" s="125"/>
      <c r="LAI357" s="134"/>
      <c r="LAJ357" s="135"/>
      <c r="LAK357" s="135"/>
      <c r="LAL357" s="135"/>
      <c r="LAM357" s="135"/>
      <c r="LAN357" s="173"/>
      <c r="LAO357" s="173"/>
      <c r="LAP357" s="173"/>
      <c r="LAQ357" s="173"/>
      <c r="LAR357" s="173"/>
      <c r="LAS357" s="173"/>
      <c r="LAT357" s="173"/>
      <c r="LAU357" s="173"/>
      <c r="LAV357" s="173"/>
      <c r="LAW357" s="173"/>
      <c r="LAX357" s="125"/>
      <c r="LAY357" s="125"/>
      <c r="LAZ357" s="134"/>
      <c r="LBA357" s="135"/>
      <c r="LBB357" s="135"/>
      <c r="LBC357" s="135"/>
      <c r="LBD357" s="135"/>
      <c r="LBE357" s="173"/>
      <c r="LBF357" s="173"/>
      <c r="LBG357" s="173"/>
      <c r="LBH357" s="173"/>
      <c r="LBI357" s="173"/>
      <c r="LBJ357" s="173"/>
      <c r="LBK357" s="173"/>
      <c r="LBL357" s="173"/>
      <c r="LBM357" s="173"/>
      <c r="LBN357" s="173"/>
      <c r="LBO357" s="125"/>
      <c r="LBP357" s="125"/>
      <c r="LBQ357" s="134"/>
      <c r="LBR357" s="135"/>
      <c r="LBS357" s="135"/>
      <c r="LBT357" s="135"/>
      <c r="LBU357" s="135"/>
      <c r="LBV357" s="173"/>
      <c r="LBW357" s="173"/>
      <c r="LBX357" s="173"/>
      <c r="LBY357" s="173"/>
      <c r="LBZ357" s="173"/>
      <c r="LCA357" s="173"/>
      <c r="LCB357" s="173"/>
      <c r="LCC357" s="173"/>
      <c r="LCD357" s="173"/>
      <c r="LCE357" s="173"/>
      <c r="LCF357" s="125"/>
      <c r="LCG357" s="125"/>
      <c r="LCH357" s="134"/>
      <c r="LCI357" s="135"/>
      <c r="LCJ357" s="135"/>
      <c r="LCK357" s="135"/>
      <c r="LCL357" s="135"/>
      <c r="LCM357" s="173"/>
      <c r="LCN357" s="173"/>
      <c r="LCO357" s="173"/>
      <c r="LCP357" s="173"/>
      <c r="LCQ357" s="173"/>
      <c r="LCR357" s="173"/>
      <c r="LCS357" s="173"/>
      <c r="LCT357" s="173"/>
      <c r="LCU357" s="173"/>
      <c r="LCV357" s="173"/>
      <c r="LCW357" s="125"/>
      <c r="LCX357" s="125"/>
      <c r="LCY357" s="134"/>
      <c r="LCZ357" s="135"/>
      <c r="LDA357" s="135"/>
      <c r="LDB357" s="135"/>
      <c r="LDC357" s="135"/>
      <c r="LDD357" s="173"/>
      <c r="LDE357" s="173"/>
      <c r="LDF357" s="173"/>
      <c r="LDG357" s="173"/>
      <c r="LDH357" s="173"/>
      <c r="LDI357" s="173"/>
      <c r="LDJ357" s="173"/>
      <c r="LDK357" s="173"/>
      <c r="LDL357" s="173"/>
      <c r="LDM357" s="173"/>
      <c r="LDN357" s="125"/>
      <c r="LDO357" s="125"/>
      <c r="LDP357" s="134"/>
      <c r="LDQ357" s="135"/>
      <c r="LDR357" s="135"/>
      <c r="LDS357" s="135"/>
      <c r="LDT357" s="135"/>
      <c r="LDU357" s="173"/>
      <c r="LDV357" s="173"/>
      <c r="LDW357" s="173"/>
      <c r="LDX357" s="173"/>
      <c r="LDY357" s="173"/>
      <c r="LDZ357" s="173"/>
      <c r="LEA357" s="173"/>
      <c r="LEB357" s="173"/>
      <c r="LEC357" s="173"/>
      <c r="LED357" s="173"/>
      <c r="LEE357" s="125"/>
      <c r="LEF357" s="125"/>
      <c r="LEG357" s="134"/>
      <c r="LEH357" s="135"/>
      <c r="LEI357" s="135"/>
      <c r="LEJ357" s="135"/>
      <c r="LEK357" s="135"/>
      <c r="LEL357" s="173"/>
      <c r="LEM357" s="173"/>
      <c r="LEN357" s="173"/>
      <c r="LEO357" s="173"/>
      <c r="LEP357" s="173"/>
      <c r="LEQ357" s="173"/>
      <c r="LER357" s="173"/>
      <c r="LES357" s="173"/>
      <c r="LET357" s="173"/>
      <c r="LEU357" s="173"/>
      <c r="LEV357" s="125"/>
      <c r="LEW357" s="125"/>
      <c r="LEX357" s="134"/>
      <c r="LEY357" s="135"/>
      <c r="LEZ357" s="135"/>
      <c r="LFA357" s="135"/>
      <c r="LFB357" s="135"/>
      <c r="LFC357" s="173"/>
      <c r="LFD357" s="173"/>
      <c r="LFE357" s="173"/>
      <c r="LFF357" s="173"/>
      <c r="LFG357" s="173"/>
      <c r="LFH357" s="173"/>
      <c r="LFI357" s="173"/>
      <c r="LFJ357" s="173"/>
      <c r="LFK357" s="173"/>
      <c r="LFL357" s="173"/>
      <c r="LFM357" s="125"/>
      <c r="LFN357" s="125"/>
      <c r="LFO357" s="134"/>
      <c r="LFP357" s="135"/>
      <c r="LFQ357" s="135"/>
      <c r="LFR357" s="135"/>
      <c r="LFS357" s="135"/>
      <c r="LFT357" s="173"/>
      <c r="LFU357" s="173"/>
      <c r="LFV357" s="173"/>
      <c r="LFW357" s="173"/>
      <c r="LFX357" s="173"/>
      <c r="LFY357" s="173"/>
      <c r="LFZ357" s="173"/>
      <c r="LGA357" s="173"/>
      <c r="LGB357" s="173"/>
      <c r="LGC357" s="173"/>
      <c r="LGD357" s="125"/>
      <c r="LGE357" s="125"/>
      <c r="LGF357" s="134"/>
      <c r="LGG357" s="135"/>
      <c r="LGH357" s="135"/>
      <c r="LGI357" s="135"/>
      <c r="LGJ357" s="135"/>
      <c r="LGK357" s="173"/>
      <c r="LGL357" s="173"/>
      <c r="LGM357" s="173"/>
      <c r="LGN357" s="173"/>
      <c r="LGO357" s="173"/>
      <c r="LGP357" s="173"/>
      <c r="LGQ357" s="173"/>
      <c r="LGR357" s="173"/>
      <c r="LGS357" s="173"/>
      <c r="LGT357" s="173"/>
      <c r="LGU357" s="125"/>
      <c r="LGV357" s="125"/>
      <c r="LGW357" s="134"/>
      <c r="LGX357" s="135"/>
      <c r="LGY357" s="135"/>
      <c r="LGZ357" s="135"/>
      <c r="LHA357" s="135"/>
      <c r="LHB357" s="173"/>
      <c r="LHC357" s="173"/>
      <c r="LHD357" s="173"/>
      <c r="LHE357" s="173"/>
      <c r="LHF357" s="173"/>
      <c r="LHG357" s="173"/>
      <c r="LHH357" s="173"/>
      <c r="LHI357" s="173"/>
      <c r="LHJ357" s="173"/>
      <c r="LHK357" s="173"/>
      <c r="LHL357" s="125"/>
      <c r="LHM357" s="125"/>
      <c r="LHN357" s="134"/>
      <c r="LHO357" s="135"/>
      <c r="LHP357" s="135"/>
      <c r="LHQ357" s="135"/>
      <c r="LHR357" s="135"/>
      <c r="LHS357" s="173"/>
      <c r="LHT357" s="173"/>
      <c r="LHU357" s="173"/>
      <c r="LHV357" s="173"/>
      <c r="LHW357" s="173"/>
      <c r="LHX357" s="173"/>
      <c r="LHY357" s="173"/>
      <c r="LHZ357" s="173"/>
      <c r="LIA357" s="173"/>
      <c r="LIB357" s="173"/>
      <c r="LIC357" s="125"/>
      <c r="LID357" s="125"/>
      <c r="LIE357" s="134"/>
      <c r="LIF357" s="135"/>
      <c r="LIG357" s="135"/>
      <c r="LIH357" s="135"/>
      <c r="LII357" s="135"/>
      <c r="LIJ357" s="173"/>
      <c r="LIK357" s="173"/>
      <c r="LIL357" s="173"/>
      <c r="LIM357" s="173"/>
      <c r="LIN357" s="173"/>
      <c r="LIO357" s="173"/>
      <c r="LIP357" s="173"/>
      <c r="LIQ357" s="173"/>
      <c r="LIR357" s="173"/>
      <c r="LIS357" s="173"/>
      <c r="LIT357" s="125"/>
      <c r="LIU357" s="125"/>
      <c r="LIV357" s="134"/>
      <c r="LIW357" s="135"/>
      <c r="LIX357" s="135"/>
      <c r="LIY357" s="135"/>
      <c r="LIZ357" s="135"/>
      <c r="LJA357" s="173"/>
      <c r="LJB357" s="173"/>
      <c r="LJC357" s="173"/>
      <c r="LJD357" s="173"/>
      <c r="LJE357" s="173"/>
      <c r="LJF357" s="173"/>
      <c r="LJG357" s="173"/>
      <c r="LJH357" s="173"/>
      <c r="LJI357" s="173"/>
      <c r="LJJ357" s="173"/>
      <c r="LJK357" s="125"/>
      <c r="LJL357" s="125"/>
      <c r="LJM357" s="134"/>
      <c r="LJN357" s="135"/>
      <c r="LJO357" s="135"/>
      <c r="LJP357" s="135"/>
      <c r="LJQ357" s="135"/>
      <c r="LJR357" s="173"/>
      <c r="LJS357" s="173"/>
      <c r="LJT357" s="173"/>
      <c r="LJU357" s="173"/>
      <c r="LJV357" s="173"/>
      <c r="LJW357" s="173"/>
      <c r="LJX357" s="173"/>
      <c r="LJY357" s="173"/>
      <c r="LJZ357" s="173"/>
      <c r="LKA357" s="173"/>
      <c r="LKB357" s="125"/>
      <c r="LKC357" s="125"/>
      <c r="LKD357" s="134"/>
      <c r="LKE357" s="135"/>
      <c r="LKF357" s="135"/>
      <c r="LKG357" s="135"/>
      <c r="LKH357" s="135"/>
      <c r="LKI357" s="173"/>
      <c r="LKJ357" s="173"/>
      <c r="LKK357" s="173"/>
      <c r="LKL357" s="173"/>
      <c r="LKM357" s="173"/>
      <c r="LKN357" s="173"/>
      <c r="LKO357" s="173"/>
      <c r="LKP357" s="173"/>
      <c r="LKQ357" s="173"/>
      <c r="LKR357" s="173"/>
      <c r="LKS357" s="125"/>
      <c r="LKT357" s="125"/>
      <c r="LKU357" s="134"/>
      <c r="LKV357" s="135"/>
      <c r="LKW357" s="135"/>
      <c r="LKX357" s="135"/>
      <c r="LKY357" s="135"/>
      <c r="LKZ357" s="173"/>
      <c r="LLA357" s="173"/>
      <c r="LLB357" s="173"/>
      <c r="LLC357" s="173"/>
      <c r="LLD357" s="173"/>
      <c r="LLE357" s="173"/>
      <c r="LLF357" s="173"/>
      <c r="LLG357" s="173"/>
      <c r="LLH357" s="173"/>
      <c r="LLI357" s="173"/>
      <c r="LLJ357" s="125"/>
      <c r="LLK357" s="125"/>
      <c r="LLL357" s="134"/>
      <c r="LLM357" s="135"/>
      <c r="LLN357" s="135"/>
      <c r="LLO357" s="135"/>
      <c r="LLP357" s="135"/>
      <c r="LLQ357" s="173"/>
      <c r="LLR357" s="173"/>
      <c r="LLS357" s="173"/>
      <c r="LLT357" s="173"/>
      <c r="LLU357" s="173"/>
      <c r="LLV357" s="173"/>
      <c r="LLW357" s="173"/>
      <c r="LLX357" s="173"/>
      <c r="LLY357" s="173"/>
      <c r="LLZ357" s="173"/>
      <c r="LMA357" s="125"/>
      <c r="LMB357" s="125"/>
      <c r="LMC357" s="134"/>
      <c r="LMD357" s="135"/>
      <c r="LME357" s="135"/>
      <c r="LMF357" s="135"/>
      <c r="LMG357" s="135"/>
      <c r="LMH357" s="173"/>
      <c r="LMI357" s="173"/>
      <c r="LMJ357" s="173"/>
      <c r="LMK357" s="173"/>
      <c r="LML357" s="173"/>
      <c r="LMM357" s="173"/>
      <c r="LMN357" s="173"/>
      <c r="LMO357" s="173"/>
      <c r="LMP357" s="173"/>
      <c r="LMQ357" s="173"/>
      <c r="LMR357" s="125"/>
      <c r="LMS357" s="125"/>
      <c r="LMT357" s="134"/>
      <c r="LMU357" s="135"/>
      <c r="LMV357" s="135"/>
      <c r="LMW357" s="135"/>
      <c r="LMX357" s="135"/>
      <c r="LMY357" s="173"/>
      <c r="LMZ357" s="173"/>
      <c r="LNA357" s="173"/>
      <c r="LNB357" s="173"/>
      <c r="LNC357" s="173"/>
      <c r="LND357" s="173"/>
      <c r="LNE357" s="173"/>
      <c r="LNF357" s="173"/>
      <c r="LNG357" s="173"/>
      <c r="LNH357" s="173"/>
      <c r="LNI357" s="125"/>
      <c r="LNJ357" s="125"/>
      <c r="LNK357" s="134"/>
      <c r="LNL357" s="135"/>
      <c r="LNM357" s="135"/>
      <c r="LNN357" s="135"/>
      <c r="LNO357" s="135"/>
      <c r="LNP357" s="173"/>
      <c r="LNQ357" s="173"/>
      <c r="LNR357" s="173"/>
      <c r="LNS357" s="173"/>
      <c r="LNT357" s="173"/>
      <c r="LNU357" s="173"/>
      <c r="LNV357" s="173"/>
      <c r="LNW357" s="173"/>
      <c r="LNX357" s="173"/>
      <c r="LNY357" s="173"/>
      <c r="LNZ357" s="125"/>
      <c r="LOA357" s="125"/>
      <c r="LOB357" s="134"/>
      <c r="LOC357" s="135"/>
      <c r="LOD357" s="135"/>
      <c r="LOE357" s="135"/>
      <c r="LOF357" s="135"/>
      <c r="LOG357" s="173"/>
      <c r="LOH357" s="173"/>
      <c r="LOI357" s="173"/>
      <c r="LOJ357" s="173"/>
      <c r="LOK357" s="173"/>
      <c r="LOL357" s="173"/>
      <c r="LOM357" s="173"/>
      <c r="LON357" s="173"/>
      <c r="LOO357" s="173"/>
      <c r="LOP357" s="173"/>
      <c r="LOQ357" s="125"/>
      <c r="LOR357" s="125"/>
      <c r="LOS357" s="134"/>
      <c r="LOT357" s="135"/>
      <c r="LOU357" s="135"/>
      <c r="LOV357" s="135"/>
      <c r="LOW357" s="135"/>
      <c r="LOX357" s="173"/>
      <c r="LOY357" s="173"/>
      <c r="LOZ357" s="173"/>
      <c r="LPA357" s="173"/>
      <c r="LPB357" s="173"/>
      <c r="LPC357" s="173"/>
      <c r="LPD357" s="173"/>
      <c r="LPE357" s="173"/>
      <c r="LPF357" s="173"/>
      <c r="LPG357" s="173"/>
      <c r="LPH357" s="125"/>
      <c r="LPI357" s="125"/>
      <c r="LPJ357" s="134"/>
      <c r="LPK357" s="135"/>
      <c r="LPL357" s="135"/>
      <c r="LPM357" s="135"/>
      <c r="LPN357" s="135"/>
      <c r="LPO357" s="173"/>
      <c r="LPP357" s="173"/>
      <c r="LPQ357" s="173"/>
      <c r="LPR357" s="173"/>
      <c r="LPS357" s="173"/>
      <c r="LPT357" s="173"/>
      <c r="LPU357" s="173"/>
      <c r="LPV357" s="173"/>
      <c r="LPW357" s="173"/>
      <c r="LPX357" s="173"/>
      <c r="LPY357" s="125"/>
      <c r="LPZ357" s="125"/>
      <c r="LQA357" s="134"/>
      <c r="LQB357" s="135"/>
      <c r="LQC357" s="135"/>
      <c r="LQD357" s="135"/>
      <c r="LQE357" s="135"/>
      <c r="LQF357" s="173"/>
      <c r="LQG357" s="173"/>
      <c r="LQH357" s="173"/>
      <c r="LQI357" s="173"/>
      <c r="LQJ357" s="173"/>
      <c r="LQK357" s="173"/>
      <c r="LQL357" s="173"/>
      <c r="LQM357" s="173"/>
      <c r="LQN357" s="173"/>
      <c r="LQO357" s="173"/>
      <c r="LQP357" s="125"/>
      <c r="LQQ357" s="125"/>
      <c r="LQR357" s="134"/>
      <c r="LQS357" s="135"/>
      <c r="LQT357" s="135"/>
      <c r="LQU357" s="135"/>
      <c r="LQV357" s="135"/>
      <c r="LQW357" s="173"/>
      <c r="LQX357" s="173"/>
      <c r="LQY357" s="173"/>
      <c r="LQZ357" s="173"/>
      <c r="LRA357" s="173"/>
      <c r="LRB357" s="173"/>
      <c r="LRC357" s="173"/>
      <c r="LRD357" s="173"/>
      <c r="LRE357" s="173"/>
      <c r="LRF357" s="173"/>
      <c r="LRG357" s="125"/>
      <c r="LRH357" s="125"/>
      <c r="LRI357" s="134"/>
      <c r="LRJ357" s="135"/>
      <c r="LRK357" s="135"/>
      <c r="LRL357" s="135"/>
      <c r="LRM357" s="135"/>
      <c r="LRN357" s="173"/>
      <c r="LRO357" s="173"/>
      <c r="LRP357" s="173"/>
      <c r="LRQ357" s="173"/>
      <c r="LRR357" s="173"/>
      <c r="LRS357" s="173"/>
      <c r="LRT357" s="173"/>
      <c r="LRU357" s="173"/>
      <c r="LRV357" s="173"/>
      <c r="LRW357" s="173"/>
      <c r="LRX357" s="125"/>
      <c r="LRY357" s="125"/>
      <c r="LRZ357" s="134"/>
      <c r="LSA357" s="135"/>
      <c r="LSB357" s="135"/>
      <c r="LSC357" s="135"/>
      <c r="LSD357" s="135"/>
      <c r="LSE357" s="173"/>
      <c r="LSF357" s="173"/>
      <c r="LSG357" s="173"/>
      <c r="LSH357" s="173"/>
      <c r="LSI357" s="173"/>
      <c r="LSJ357" s="173"/>
      <c r="LSK357" s="173"/>
      <c r="LSL357" s="173"/>
      <c r="LSM357" s="173"/>
      <c r="LSN357" s="173"/>
      <c r="LSO357" s="125"/>
      <c r="LSP357" s="125"/>
      <c r="LSQ357" s="134"/>
      <c r="LSR357" s="135"/>
      <c r="LSS357" s="135"/>
      <c r="LST357" s="135"/>
      <c r="LSU357" s="135"/>
      <c r="LSV357" s="173"/>
      <c r="LSW357" s="173"/>
      <c r="LSX357" s="173"/>
      <c r="LSY357" s="173"/>
      <c r="LSZ357" s="173"/>
      <c r="LTA357" s="173"/>
      <c r="LTB357" s="173"/>
      <c r="LTC357" s="173"/>
      <c r="LTD357" s="173"/>
      <c r="LTE357" s="173"/>
      <c r="LTF357" s="125"/>
      <c r="LTG357" s="125"/>
      <c r="LTH357" s="134"/>
      <c r="LTI357" s="135"/>
      <c r="LTJ357" s="135"/>
      <c r="LTK357" s="135"/>
      <c r="LTL357" s="135"/>
      <c r="LTM357" s="173"/>
      <c r="LTN357" s="173"/>
      <c r="LTO357" s="173"/>
      <c r="LTP357" s="173"/>
      <c r="LTQ357" s="173"/>
      <c r="LTR357" s="173"/>
      <c r="LTS357" s="173"/>
      <c r="LTT357" s="173"/>
      <c r="LTU357" s="173"/>
      <c r="LTV357" s="173"/>
      <c r="LTW357" s="125"/>
      <c r="LTX357" s="125"/>
      <c r="LTY357" s="134"/>
      <c r="LTZ357" s="135"/>
      <c r="LUA357" s="135"/>
      <c r="LUB357" s="135"/>
      <c r="LUC357" s="135"/>
      <c r="LUD357" s="173"/>
      <c r="LUE357" s="173"/>
      <c r="LUF357" s="173"/>
      <c r="LUG357" s="173"/>
      <c r="LUH357" s="173"/>
      <c r="LUI357" s="173"/>
      <c r="LUJ357" s="173"/>
      <c r="LUK357" s="173"/>
      <c r="LUL357" s="173"/>
      <c r="LUM357" s="173"/>
      <c r="LUN357" s="125"/>
      <c r="LUO357" s="125"/>
      <c r="LUP357" s="134"/>
      <c r="LUQ357" s="135"/>
      <c r="LUR357" s="135"/>
      <c r="LUS357" s="135"/>
      <c r="LUT357" s="135"/>
      <c r="LUU357" s="173"/>
      <c r="LUV357" s="173"/>
      <c r="LUW357" s="173"/>
      <c r="LUX357" s="173"/>
      <c r="LUY357" s="173"/>
      <c r="LUZ357" s="173"/>
      <c r="LVA357" s="173"/>
      <c r="LVB357" s="173"/>
      <c r="LVC357" s="173"/>
      <c r="LVD357" s="173"/>
      <c r="LVE357" s="125"/>
      <c r="LVF357" s="125"/>
      <c r="LVG357" s="134"/>
      <c r="LVH357" s="135"/>
      <c r="LVI357" s="135"/>
      <c r="LVJ357" s="135"/>
      <c r="LVK357" s="135"/>
      <c r="LVL357" s="173"/>
      <c r="LVM357" s="173"/>
      <c r="LVN357" s="173"/>
      <c r="LVO357" s="173"/>
      <c r="LVP357" s="173"/>
      <c r="LVQ357" s="173"/>
      <c r="LVR357" s="173"/>
      <c r="LVS357" s="173"/>
      <c r="LVT357" s="173"/>
      <c r="LVU357" s="173"/>
      <c r="LVV357" s="125"/>
      <c r="LVW357" s="125"/>
      <c r="LVX357" s="134"/>
      <c r="LVY357" s="135"/>
      <c r="LVZ357" s="135"/>
      <c r="LWA357" s="135"/>
      <c r="LWB357" s="135"/>
      <c r="LWC357" s="173"/>
      <c r="LWD357" s="173"/>
      <c r="LWE357" s="173"/>
      <c r="LWF357" s="173"/>
      <c r="LWG357" s="173"/>
      <c r="LWH357" s="173"/>
      <c r="LWI357" s="173"/>
      <c r="LWJ357" s="173"/>
      <c r="LWK357" s="173"/>
      <c r="LWL357" s="173"/>
      <c r="LWM357" s="125"/>
      <c r="LWN357" s="125"/>
      <c r="LWO357" s="134"/>
      <c r="LWP357" s="135"/>
      <c r="LWQ357" s="135"/>
      <c r="LWR357" s="135"/>
      <c r="LWS357" s="135"/>
      <c r="LWT357" s="173"/>
      <c r="LWU357" s="173"/>
      <c r="LWV357" s="173"/>
      <c r="LWW357" s="173"/>
      <c r="LWX357" s="173"/>
      <c r="LWY357" s="173"/>
      <c r="LWZ357" s="173"/>
      <c r="LXA357" s="173"/>
      <c r="LXB357" s="173"/>
      <c r="LXC357" s="173"/>
      <c r="LXD357" s="125"/>
      <c r="LXE357" s="125"/>
      <c r="LXF357" s="134"/>
      <c r="LXG357" s="135"/>
      <c r="LXH357" s="135"/>
      <c r="LXI357" s="135"/>
      <c r="LXJ357" s="135"/>
      <c r="LXK357" s="173"/>
      <c r="LXL357" s="173"/>
      <c r="LXM357" s="173"/>
      <c r="LXN357" s="173"/>
      <c r="LXO357" s="173"/>
      <c r="LXP357" s="173"/>
      <c r="LXQ357" s="173"/>
      <c r="LXR357" s="173"/>
      <c r="LXS357" s="173"/>
      <c r="LXT357" s="173"/>
      <c r="LXU357" s="125"/>
      <c r="LXV357" s="125"/>
      <c r="LXW357" s="134"/>
      <c r="LXX357" s="135"/>
      <c r="LXY357" s="135"/>
      <c r="LXZ357" s="135"/>
      <c r="LYA357" s="135"/>
      <c r="LYB357" s="173"/>
      <c r="LYC357" s="173"/>
      <c r="LYD357" s="173"/>
      <c r="LYE357" s="173"/>
      <c r="LYF357" s="173"/>
      <c r="LYG357" s="173"/>
      <c r="LYH357" s="173"/>
      <c r="LYI357" s="173"/>
      <c r="LYJ357" s="173"/>
      <c r="LYK357" s="173"/>
      <c r="LYL357" s="125"/>
      <c r="LYM357" s="125"/>
      <c r="LYN357" s="134"/>
      <c r="LYO357" s="135"/>
      <c r="LYP357" s="135"/>
      <c r="LYQ357" s="135"/>
      <c r="LYR357" s="135"/>
      <c r="LYS357" s="173"/>
      <c r="LYT357" s="173"/>
      <c r="LYU357" s="173"/>
      <c r="LYV357" s="173"/>
      <c r="LYW357" s="173"/>
      <c r="LYX357" s="173"/>
      <c r="LYY357" s="173"/>
      <c r="LYZ357" s="173"/>
      <c r="LZA357" s="173"/>
      <c r="LZB357" s="173"/>
      <c r="LZC357" s="125"/>
      <c r="LZD357" s="125"/>
      <c r="LZE357" s="134"/>
      <c r="LZF357" s="135"/>
      <c r="LZG357" s="135"/>
      <c r="LZH357" s="135"/>
      <c r="LZI357" s="135"/>
      <c r="LZJ357" s="173"/>
      <c r="LZK357" s="173"/>
      <c r="LZL357" s="173"/>
      <c r="LZM357" s="173"/>
      <c r="LZN357" s="173"/>
      <c r="LZO357" s="173"/>
      <c r="LZP357" s="173"/>
      <c r="LZQ357" s="173"/>
      <c r="LZR357" s="173"/>
      <c r="LZS357" s="173"/>
      <c r="LZT357" s="125"/>
      <c r="LZU357" s="125"/>
      <c r="LZV357" s="134"/>
      <c r="LZW357" s="135"/>
      <c r="LZX357" s="135"/>
      <c r="LZY357" s="135"/>
      <c r="LZZ357" s="135"/>
      <c r="MAA357" s="173"/>
      <c r="MAB357" s="173"/>
      <c r="MAC357" s="173"/>
      <c r="MAD357" s="173"/>
      <c r="MAE357" s="173"/>
      <c r="MAF357" s="173"/>
      <c r="MAG357" s="173"/>
      <c r="MAH357" s="173"/>
      <c r="MAI357" s="173"/>
      <c r="MAJ357" s="173"/>
      <c r="MAK357" s="125"/>
      <c r="MAL357" s="125"/>
      <c r="MAM357" s="134"/>
      <c r="MAN357" s="135"/>
      <c r="MAO357" s="135"/>
      <c r="MAP357" s="135"/>
      <c r="MAQ357" s="135"/>
      <c r="MAR357" s="173"/>
      <c r="MAS357" s="173"/>
      <c r="MAT357" s="173"/>
      <c r="MAU357" s="173"/>
      <c r="MAV357" s="173"/>
      <c r="MAW357" s="173"/>
      <c r="MAX357" s="173"/>
      <c r="MAY357" s="173"/>
      <c r="MAZ357" s="173"/>
      <c r="MBA357" s="173"/>
      <c r="MBB357" s="125"/>
      <c r="MBC357" s="125"/>
      <c r="MBD357" s="134"/>
      <c r="MBE357" s="135"/>
      <c r="MBF357" s="135"/>
      <c r="MBG357" s="135"/>
      <c r="MBH357" s="135"/>
      <c r="MBI357" s="173"/>
      <c r="MBJ357" s="173"/>
      <c r="MBK357" s="173"/>
      <c r="MBL357" s="173"/>
      <c r="MBM357" s="173"/>
      <c r="MBN357" s="173"/>
      <c r="MBO357" s="173"/>
      <c r="MBP357" s="173"/>
      <c r="MBQ357" s="173"/>
      <c r="MBR357" s="173"/>
      <c r="MBS357" s="125"/>
      <c r="MBT357" s="125"/>
      <c r="MBU357" s="134"/>
      <c r="MBV357" s="135"/>
      <c r="MBW357" s="135"/>
      <c r="MBX357" s="135"/>
      <c r="MBY357" s="135"/>
      <c r="MBZ357" s="173"/>
      <c r="MCA357" s="173"/>
      <c r="MCB357" s="173"/>
      <c r="MCC357" s="173"/>
      <c r="MCD357" s="173"/>
      <c r="MCE357" s="173"/>
      <c r="MCF357" s="173"/>
      <c r="MCG357" s="173"/>
      <c r="MCH357" s="173"/>
      <c r="MCI357" s="173"/>
      <c r="MCJ357" s="125"/>
      <c r="MCK357" s="125"/>
      <c r="MCL357" s="134"/>
      <c r="MCM357" s="135"/>
      <c r="MCN357" s="135"/>
      <c r="MCO357" s="135"/>
      <c r="MCP357" s="135"/>
      <c r="MCQ357" s="173"/>
      <c r="MCR357" s="173"/>
      <c r="MCS357" s="173"/>
      <c r="MCT357" s="173"/>
      <c r="MCU357" s="173"/>
      <c r="MCV357" s="173"/>
      <c r="MCW357" s="173"/>
      <c r="MCX357" s="173"/>
      <c r="MCY357" s="173"/>
      <c r="MCZ357" s="173"/>
      <c r="MDA357" s="125"/>
      <c r="MDB357" s="125"/>
      <c r="MDC357" s="134"/>
      <c r="MDD357" s="135"/>
      <c r="MDE357" s="135"/>
      <c r="MDF357" s="135"/>
      <c r="MDG357" s="135"/>
      <c r="MDH357" s="173"/>
      <c r="MDI357" s="173"/>
      <c r="MDJ357" s="173"/>
      <c r="MDK357" s="173"/>
      <c r="MDL357" s="173"/>
      <c r="MDM357" s="173"/>
      <c r="MDN357" s="173"/>
      <c r="MDO357" s="173"/>
      <c r="MDP357" s="173"/>
      <c r="MDQ357" s="173"/>
      <c r="MDR357" s="125"/>
      <c r="MDS357" s="125"/>
      <c r="MDT357" s="134"/>
      <c r="MDU357" s="135"/>
      <c r="MDV357" s="135"/>
      <c r="MDW357" s="135"/>
      <c r="MDX357" s="135"/>
      <c r="MDY357" s="173"/>
      <c r="MDZ357" s="173"/>
      <c r="MEA357" s="173"/>
      <c r="MEB357" s="173"/>
      <c r="MEC357" s="173"/>
      <c r="MED357" s="173"/>
      <c r="MEE357" s="173"/>
      <c r="MEF357" s="173"/>
      <c r="MEG357" s="173"/>
      <c r="MEH357" s="173"/>
      <c r="MEI357" s="125"/>
      <c r="MEJ357" s="125"/>
      <c r="MEK357" s="134"/>
      <c r="MEL357" s="135"/>
      <c r="MEM357" s="135"/>
      <c r="MEN357" s="135"/>
      <c r="MEO357" s="135"/>
      <c r="MEP357" s="173"/>
      <c r="MEQ357" s="173"/>
      <c r="MER357" s="173"/>
      <c r="MES357" s="173"/>
      <c r="MET357" s="173"/>
      <c r="MEU357" s="173"/>
      <c r="MEV357" s="173"/>
      <c r="MEW357" s="173"/>
      <c r="MEX357" s="173"/>
      <c r="MEY357" s="173"/>
      <c r="MEZ357" s="125"/>
      <c r="MFA357" s="125"/>
      <c r="MFB357" s="134"/>
      <c r="MFC357" s="135"/>
      <c r="MFD357" s="135"/>
      <c r="MFE357" s="135"/>
      <c r="MFF357" s="135"/>
      <c r="MFG357" s="173"/>
      <c r="MFH357" s="173"/>
      <c r="MFI357" s="173"/>
      <c r="MFJ357" s="173"/>
      <c r="MFK357" s="173"/>
      <c r="MFL357" s="173"/>
      <c r="MFM357" s="173"/>
      <c r="MFN357" s="173"/>
      <c r="MFO357" s="173"/>
      <c r="MFP357" s="173"/>
      <c r="MFQ357" s="125"/>
      <c r="MFR357" s="125"/>
      <c r="MFS357" s="134"/>
      <c r="MFT357" s="135"/>
      <c r="MFU357" s="135"/>
      <c r="MFV357" s="135"/>
      <c r="MFW357" s="135"/>
      <c r="MFX357" s="173"/>
      <c r="MFY357" s="173"/>
      <c r="MFZ357" s="173"/>
      <c r="MGA357" s="173"/>
      <c r="MGB357" s="173"/>
      <c r="MGC357" s="173"/>
      <c r="MGD357" s="173"/>
      <c r="MGE357" s="173"/>
      <c r="MGF357" s="173"/>
      <c r="MGG357" s="173"/>
      <c r="MGH357" s="125"/>
      <c r="MGI357" s="125"/>
      <c r="MGJ357" s="134"/>
      <c r="MGK357" s="135"/>
      <c r="MGL357" s="135"/>
      <c r="MGM357" s="135"/>
      <c r="MGN357" s="135"/>
      <c r="MGO357" s="173"/>
      <c r="MGP357" s="173"/>
      <c r="MGQ357" s="173"/>
      <c r="MGR357" s="173"/>
      <c r="MGS357" s="173"/>
      <c r="MGT357" s="173"/>
      <c r="MGU357" s="173"/>
      <c r="MGV357" s="173"/>
      <c r="MGW357" s="173"/>
      <c r="MGX357" s="173"/>
      <c r="MGY357" s="125"/>
      <c r="MGZ357" s="125"/>
      <c r="MHA357" s="134"/>
      <c r="MHB357" s="135"/>
      <c r="MHC357" s="135"/>
      <c r="MHD357" s="135"/>
      <c r="MHE357" s="135"/>
      <c r="MHF357" s="173"/>
      <c r="MHG357" s="173"/>
      <c r="MHH357" s="173"/>
      <c r="MHI357" s="173"/>
      <c r="MHJ357" s="173"/>
      <c r="MHK357" s="173"/>
      <c r="MHL357" s="173"/>
      <c r="MHM357" s="173"/>
      <c r="MHN357" s="173"/>
      <c r="MHO357" s="173"/>
      <c r="MHP357" s="125"/>
      <c r="MHQ357" s="125"/>
      <c r="MHR357" s="134"/>
      <c r="MHS357" s="135"/>
      <c r="MHT357" s="135"/>
      <c r="MHU357" s="135"/>
      <c r="MHV357" s="135"/>
      <c r="MHW357" s="173"/>
      <c r="MHX357" s="173"/>
      <c r="MHY357" s="173"/>
      <c r="MHZ357" s="173"/>
      <c r="MIA357" s="173"/>
      <c r="MIB357" s="173"/>
      <c r="MIC357" s="173"/>
      <c r="MID357" s="173"/>
      <c r="MIE357" s="173"/>
      <c r="MIF357" s="173"/>
      <c r="MIG357" s="125"/>
      <c r="MIH357" s="125"/>
      <c r="MII357" s="134"/>
      <c r="MIJ357" s="135"/>
      <c r="MIK357" s="135"/>
      <c r="MIL357" s="135"/>
      <c r="MIM357" s="135"/>
      <c r="MIN357" s="173"/>
      <c r="MIO357" s="173"/>
      <c r="MIP357" s="173"/>
      <c r="MIQ357" s="173"/>
      <c r="MIR357" s="173"/>
      <c r="MIS357" s="173"/>
      <c r="MIT357" s="173"/>
      <c r="MIU357" s="173"/>
      <c r="MIV357" s="173"/>
      <c r="MIW357" s="173"/>
      <c r="MIX357" s="125"/>
      <c r="MIY357" s="125"/>
      <c r="MIZ357" s="134"/>
      <c r="MJA357" s="135"/>
      <c r="MJB357" s="135"/>
      <c r="MJC357" s="135"/>
      <c r="MJD357" s="135"/>
      <c r="MJE357" s="173"/>
      <c r="MJF357" s="173"/>
      <c r="MJG357" s="173"/>
      <c r="MJH357" s="173"/>
      <c r="MJI357" s="173"/>
      <c r="MJJ357" s="173"/>
      <c r="MJK357" s="173"/>
      <c r="MJL357" s="173"/>
      <c r="MJM357" s="173"/>
      <c r="MJN357" s="173"/>
      <c r="MJO357" s="125"/>
      <c r="MJP357" s="125"/>
      <c r="MJQ357" s="134"/>
      <c r="MJR357" s="135"/>
      <c r="MJS357" s="135"/>
      <c r="MJT357" s="135"/>
      <c r="MJU357" s="135"/>
      <c r="MJV357" s="173"/>
      <c r="MJW357" s="173"/>
      <c r="MJX357" s="173"/>
      <c r="MJY357" s="173"/>
      <c r="MJZ357" s="173"/>
      <c r="MKA357" s="173"/>
      <c r="MKB357" s="173"/>
      <c r="MKC357" s="173"/>
      <c r="MKD357" s="173"/>
      <c r="MKE357" s="173"/>
      <c r="MKF357" s="125"/>
      <c r="MKG357" s="125"/>
      <c r="MKH357" s="134"/>
      <c r="MKI357" s="135"/>
      <c r="MKJ357" s="135"/>
      <c r="MKK357" s="135"/>
      <c r="MKL357" s="135"/>
      <c r="MKM357" s="173"/>
      <c r="MKN357" s="173"/>
      <c r="MKO357" s="173"/>
      <c r="MKP357" s="173"/>
      <c r="MKQ357" s="173"/>
      <c r="MKR357" s="173"/>
      <c r="MKS357" s="173"/>
      <c r="MKT357" s="173"/>
      <c r="MKU357" s="173"/>
      <c r="MKV357" s="173"/>
      <c r="MKW357" s="125"/>
      <c r="MKX357" s="125"/>
      <c r="MKY357" s="134"/>
      <c r="MKZ357" s="135"/>
      <c r="MLA357" s="135"/>
      <c r="MLB357" s="135"/>
      <c r="MLC357" s="135"/>
      <c r="MLD357" s="173"/>
      <c r="MLE357" s="173"/>
      <c r="MLF357" s="173"/>
      <c r="MLG357" s="173"/>
      <c r="MLH357" s="173"/>
      <c r="MLI357" s="173"/>
      <c r="MLJ357" s="173"/>
      <c r="MLK357" s="173"/>
      <c r="MLL357" s="173"/>
      <c r="MLM357" s="173"/>
      <c r="MLN357" s="125"/>
      <c r="MLO357" s="125"/>
      <c r="MLP357" s="134"/>
      <c r="MLQ357" s="135"/>
      <c r="MLR357" s="135"/>
      <c r="MLS357" s="135"/>
      <c r="MLT357" s="135"/>
      <c r="MLU357" s="173"/>
      <c r="MLV357" s="173"/>
      <c r="MLW357" s="173"/>
      <c r="MLX357" s="173"/>
      <c r="MLY357" s="173"/>
      <c r="MLZ357" s="173"/>
      <c r="MMA357" s="173"/>
      <c r="MMB357" s="173"/>
      <c r="MMC357" s="173"/>
      <c r="MMD357" s="173"/>
      <c r="MME357" s="125"/>
      <c r="MMF357" s="125"/>
      <c r="MMG357" s="134"/>
      <c r="MMH357" s="135"/>
      <c r="MMI357" s="135"/>
      <c r="MMJ357" s="135"/>
      <c r="MMK357" s="135"/>
      <c r="MML357" s="173"/>
      <c r="MMM357" s="173"/>
      <c r="MMN357" s="173"/>
      <c r="MMO357" s="173"/>
      <c r="MMP357" s="173"/>
      <c r="MMQ357" s="173"/>
      <c r="MMR357" s="173"/>
      <c r="MMS357" s="173"/>
      <c r="MMT357" s="173"/>
      <c r="MMU357" s="173"/>
      <c r="MMV357" s="125"/>
      <c r="MMW357" s="125"/>
      <c r="MMX357" s="134"/>
      <c r="MMY357" s="135"/>
      <c r="MMZ357" s="135"/>
      <c r="MNA357" s="135"/>
      <c r="MNB357" s="135"/>
      <c r="MNC357" s="173"/>
      <c r="MND357" s="173"/>
      <c r="MNE357" s="173"/>
      <c r="MNF357" s="173"/>
      <c r="MNG357" s="173"/>
      <c r="MNH357" s="173"/>
      <c r="MNI357" s="173"/>
      <c r="MNJ357" s="173"/>
      <c r="MNK357" s="173"/>
      <c r="MNL357" s="173"/>
      <c r="MNM357" s="125"/>
      <c r="MNN357" s="125"/>
      <c r="MNO357" s="134"/>
      <c r="MNP357" s="135"/>
      <c r="MNQ357" s="135"/>
      <c r="MNR357" s="135"/>
      <c r="MNS357" s="135"/>
      <c r="MNT357" s="173"/>
      <c r="MNU357" s="173"/>
      <c r="MNV357" s="173"/>
      <c r="MNW357" s="173"/>
      <c r="MNX357" s="173"/>
      <c r="MNY357" s="173"/>
      <c r="MNZ357" s="173"/>
      <c r="MOA357" s="173"/>
      <c r="MOB357" s="173"/>
      <c r="MOC357" s="173"/>
      <c r="MOD357" s="125"/>
      <c r="MOE357" s="125"/>
      <c r="MOF357" s="134"/>
      <c r="MOG357" s="135"/>
      <c r="MOH357" s="135"/>
      <c r="MOI357" s="135"/>
      <c r="MOJ357" s="135"/>
      <c r="MOK357" s="173"/>
      <c r="MOL357" s="173"/>
      <c r="MOM357" s="173"/>
      <c r="MON357" s="173"/>
      <c r="MOO357" s="173"/>
      <c r="MOP357" s="173"/>
      <c r="MOQ357" s="173"/>
      <c r="MOR357" s="173"/>
      <c r="MOS357" s="173"/>
      <c r="MOT357" s="173"/>
      <c r="MOU357" s="125"/>
      <c r="MOV357" s="125"/>
      <c r="MOW357" s="134"/>
      <c r="MOX357" s="135"/>
      <c r="MOY357" s="135"/>
      <c r="MOZ357" s="135"/>
      <c r="MPA357" s="135"/>
      <c r="MPB357" s="173"/>
      <c r="MPC357" s="173"/>
      <c r="MPD357" s="173"/>
      <c r="MPE357" s="173"/>
      <c r="MPF357" s="173"/>
      <c r="MPG357" s="173"/>
      <c r="MPH357" s="173"/>
      <c r="MPI357" s="173"/>
      <c r="MPJ357" s="173"/>
      <c r="MPK357" s="173"/>
      <c r="MPL357" s="125"/>
      <c r="MPM357" s="125"/>
      <c r="MPN357" s="134"/>
      <c r="MPO357" s="135"/>
      <c r="MPP357" s="135"/>
      <c r="MPQ357" s="135"/>
      <c r="MPR357" s="135"/>
      <c r="MPS357" s="173"/>
      <c r="MPT357" s="173"/>
      <c r="MPU357" s="173"/>
      <c r="MPV357" s="173"/>
      <c r="MPW357" s="173"/>
      <c r="MPX357" s="173"/>
      <c r="MPY357" s="173"/>
      <c r="MPZ357" s="173"/>
      <c r="MQA357" s="173"/>
      <c r="MQB357" s="173"/>
      <c r="MQC357" s="125"/>
      <c r="MQD357" s="125"/>
      <c r="MQE357" s="134"/>
      <c r="MQF357" s="135"/>
      <c r="MQG357" s="135"/>
      <c r="MQH357" s="135"/>
      <c r="MQI357" s="135"/>
      <c r="MQJ357" s="173"/>
      <c r="MQK357" s="173"/>
      <c r="MQL357" s="173"/>
      <c r="MQM357" s="173"/>
      <c r="MQN357" s="173"/>
      <c r="MQO357" s="173"/>
      <c r="MQP357" s="173"/>
      <c r="MQQ357" s="173"/>
      <c r="MQR357" s="173"/>
      <c r="MQS357" s="173"/>
      <c r="MQT357" s="125"/>
      <c r="MQU357" s="125"/>
      <c r="MQV357" s="134"/>
      <c r="MQW357" s="135"/>
      <c r="MQX357" s="135"/>
      <c r="MQY357" s="135"/>
      <c r="MQZ357" s="135"/>
      <c r="MRA357" s="173"/>
      <c r="MRB357" s="173"/>
      <c r="MRC357" s="173"/>
      <c r="MRD357" s="173"/>
      <c r="MRE357" s="173"/>
      <c r="MRF357" s="173"/>
      <c r="MRG357" s="173"/>
      <c r="MRH357" s="173"/>
      <c r="MRI357" s="173"/>
      <c r="MRJ357" s="173"/>
      <c r="MRK357" s="125"/>
      <c r="MRL357" s="125"/>
      <c r="MRM357" s="134"/>
      <c r="MRN357" s="135"/>
      <c r="MRO357" s="135"/>
      <c r="MRP357" s="135"/>
      <c r="MRQ357" s="135"/>
      <c r="MRR357" s="173"/>
      <c r="MRS357" s="173"/>
      <c r="MRT357" s="173"/>
      <c r="MRU357" s="173"/>
      <c r="MRV357" s="173"/>
      <c r="MRW357" s="173"/>
      <c r="MRX357" s="173"/>
      <c r="MRY357" s="173"/>
      <c r="MRZ357" s="173"/>
      <c r="MSA357" s="173"/>
      <c r="MSB357" s="125"/>
      <c r="MSC357" s="125"/>
      <c r="MSD357" s="134"/>
      <c r="MSE357" s="135"/>
      <c r="MSF357" s="135"/>
      <c r="MSG357" s="135"/>
      <c r="MSH357" s="135"/>
      <c r="MSI357" s="173"/>
      <c r="MSJ357" s="173"/>
      <c r="MSK357" s="173"/>
      <c r="MSL357" s="173"/>
      <c r="MSM357" s="173"/>
      <c r="MSN357" s="173"/>
      <c r="MSO357" s="173"/>
      <c r="MSP357" s="173"/>
      <c r="MSQ357" s="173"/>
      <c r="MSR357" s="173"/>
      <c r="MSS357" s="125"/>
      <c r="MST357" s="125"/>
      <c r="MSU357" s="134"/>
      <c r="MSV357" s="135"/>
      <c r="MSW357" s="135"/>
      <c r="MSX357" s="135"/>
      <c r="MSY357" s="135"/>
      <c r="MSZ357" s="173"/>
      <c r="MTA357" s="173"/>
      <c r="MTB357" s="173"/>
      <c r="MTC357" s="173"/>
      <c r="MTD357" s="173"/>
      <c r="MTE357" s="173"/>
      <c r="MTF357" s="173"/>
      <c r="MTG357" s="173"/>
      <c r="MTH357" s="173"/>
      <c r="MTI357" s="173"/>
      <c r="MTJ357" s="125"/>
      <c r="MTK357" s="125"/>
      <c r="MTL357" s="134"/>
      <c r="MTM357" s="135"/>
      <c r="MTN357" s="135"/>
      <c r="MTO357" s="135"/>
      <c r="MTP357" s="135"/>
      <c r="MTQ357" s="173"/>
      <c r="MTR357" s="173"/>
      <c r="MTS357" s="173"/>
      <c r="MTT357" s="173"/>
      <c r="MTU357" s="173"/>
      <c r="MTV357" s="173"/>
      <c r="MTW357" s="173"/>
      <c r="MTX357" s="173"/>
      <c r="MTY357" s="173"/>
      <c r="MTZ357" s="173"/>
      <c r="MUA357" s="125"/>
      <c r="MUB357" s="125"/>
      <c r="MUC357" s="134"/>
      <c r="MUD357" s="135"/>
      <c r="MUE357" s="135"/>
      <c r="MUF357" s="135"/>
      <c r="MUG357" s="135"/>
      <c r="MUH357" s="173"/>
      <c r="MUI357" s="173"/>
      <c r="MUJ357" s="173"/>
      <c r="MUK357" s="173"/>
      <c r="MUL357" s="173"/>
      <c r="MUM357" s="173"/>
      <c r="MUN357" s="173"/>
      <c r="MUO357" s="173"/>
      <c r="MUP357" s="173"/>
      <c r="MUQ357" s="173"/>
      <c r="MUR357" s="125"/>
      <c r="MUS357" s="125"/>
      <c r="MUT357" s="134"/>
      <c r="MUU357" s="135"/>
      <c r="MUV357" s="135"/>
      <c r="MUW357" s="135"/>
      <c r="MUX357" s="135"/>
      <c r="MUY357" s="173"/>
      <c r="MUZ357" s="173"/>
      <c r="MVA357" s="173"/>
      <c r="MVB357" s="173"/>
      <c r="MVC357" s="173"/>
      <c r="MVD357" s="173"/>
      <c r="MVE357" s="173"/>
      <c r="MVF357" s="173"/>
      <c r="MVG357" s="173"/>
      <c r="MVH357" s="173"/>
      <c r="MVI357" s="125"/>
      <c r="MVJ357" s="125"/>
      <c r="MVK357" s="134"/>
      <c r="MVL357" s="135"/>
      <c r="MVM357" s="135"/>
      <c r="MVN357" s="135"/>
      <c r="MVO357" s="135"/>
      <c r="MVP357" s="173"/>
      <c r="MVQ357" s="173"/>
      <c r="MVR357" s="173"/>
      <c r="MVS357" s="173"/>
      <c r="MVT357" s="173"/>
      <c r="MVU357" s="173"/>
      <c r="MVV357" s="173"/>
      <c r="MVW357" s="173"/>
      <c r="MVX357" s="173"/>
      <c r="MVY357" s="173"/>
      <c r="MVZ357" s="125"/>
      <c r="MWA357" s="125"/>
      <c r="MWB357" s="134"/>
      <c r="MWC357" s="135"/>
      <c r="MWD357" s="135"/>
      <c r="MWE357" s="135"/>
      <c r="MWF357" s="135"/>
      <c r="MWG357" s="173"/>
      <c r="MWH357" s="173"/>
      <c r="MWI357" s="173"/>
      <c r="MWJ357" s="173"/>
      <c r="MWK357" s="173"/>
      <c r="MWL357" s="173"/>
      <c r="MWM357" s="173"/>
      <c r="MWN357" s="173"/>
      <c r="MWO357" s="173"/>
      <c r="MWP357" s="173"/>
      <c r="MWQ357" s="125"/>
      <c r="MWR357" s="125"/>
      <c r="MWS357" s="134"/>
      <c r="MWT357" s="135"/>
      <c r="MWU357" s="135"/>
      <c r="MWV357" s="135"/>
      <c r="MWW357" s="135"/>
      <c r="MWX357" s="173"/>
      <c r="MWY357" s="173"/>
      <c r="MWZ357" s="173"/>
      <c r="MXA357" s="173"/>
      <c r="MXB357" s="173"/>
      <c r="MXC357" s="173"/>
      <c r="MXD357" s="173"/>
      <c r="MXE357" s="173"/>
      <c r="MXF357" s="173"/>
      <c r="MXG357" s="173"/>
      <c r="MXH357" s="125"/>
      <c r="MXI357" s="125"/>
      <c r="MXJ357" s="134"/>
      <c r="MXK357" s="135"/>
      <c r="MXL357" s="135"/>
      <c r="MXM357" s="135"/>
      <c r="MXN357" s="135"/>
      <c r="MXO357" s="173"/>
      <c r="MXP357" s="173"/>
      <c r="MXQ357" s="173"/>
      <c r="MXR357" s="173"/>
      <c r="MXS357" s="173"/>
      <c r="MXT357" s="173"/>
      <c r="MXU357" s="173"/>
      <c r="MXV357" s="173"/>
      <c r="MXW357" s="173"/>
      <c r="MXX357" s="173"/>
      <c r="MXY357" s="125"/>
      <c r="MXZ357" s="125"/>
      <c r="MYA357" s="134"/>
      <c r="MYB357" s="135"/>
      <c r="MYC357" s="135"/>
      <c r="MYD357" s="135"/>
      <c r="MYE357" s="135"/>
      <c r="MYF357" s="173"/>
      <c r="MYG357" s="173"/>
      <c r="MYH357" s="173"/>
      <c r="MYI357" s="173"/>
      <c r="MYJ357" s="173"/>
      <c r="MYK357" s="173"/>
      <c r="MYL357" s="173"/>
      <c r="MYM357" s="173"/>
      <c r="MYN357" s="173"/>
      <c r="MYO357" s="173"/>
      <c r="MYP357" s="125"/>
      <c r="MYQ357" s="125"/>
      <c r="MYR357" s="134"/>
      <c r="MYS357" s="135"/>
      <c r="MYT357" s="135"/>
      <c r="MYU357" s="135"/>
      <c r="MYV357" s="135"/>
      <c r="MYW357" s="173"/>
      <c r="MYX357" s="173"/>
      <c r="MYY357" s="173"/>
      <c r="MYZ357" s="173"/>
      <c r="MZA357" s="173"/>
      <c r="MZB357" s="173"/>
      <c r="MZC357" s="173"/>
      <c r="MZD357" s="173"/>
      <c r="MZE357" s="173"/>
      <c r="MZF357" s="173"/>
      <c r="MZG357" s="125"/>
      <c r="MZH357" s="125"/>
      <c r="MZI357" s="134"/>
      <c r="MZJ357" s="135"/>
      <c r="MZK357" s="135"/>
      <c r="MZL357" s="135"/>
      <c r="MZM357" s="135"/>
      <c r="MZN357" s="173"/>
      <c r="MZO357" s="173"/>
      <c r="MZP357" s="173"/>
      <c r="MZQ357" s="173"/>
      <c r="MZR357" s="173"/>
      <c r="MZS357" s="173"/>
      <c r="MZT357" s="173"/>
      <c r="MZU357" s="173"/>
      <c r="MZV357" s="173"/>
      <c r="MZW357" s="173"/>
      <c r="MZX357" s="125"/>
      <c r="MZY357" s="125"/>
      <c r="MZZ357" s="134"/>
      <c r="NAA357" s="135"/>
      <c r="NAB357" s="135"/>
      <c r="NAC357" s="135"/>
      <c r="NAD357" s="135"/>
      <c r="NAE357" s="173"/>
      <c r="NAF357" s="173"/>
      <c r="NAG357" s="173"/>
      <c r="NAH357" s="173"/>
      <c r="NAI357" s="173"/>
      <c r="NAJ357" s="173"/>
      <c r="NAK357" s="173"/>
      <c r="NAL357" s="173"/>
      <c r="NAM357" s="173"/>
      <c r="NAN357" s="173"/>
      <c r="NAO357" s="125"/>
      <c r="NAP357" s="125"/>
      <c r="NAQ357" s="134"/>
      <c r="NAR357" s="135"/>
      <c r="NAS357" s="135"/>
      <c r="NAT357" s="135"/>
      <c r="NAU357" s="135"/>
      <c r="NAV357" s="173"/>
      <c r="NAW357" s="173"/>
      <c r="NAX357" s="173"/>
      <c r="NAY357" s="173"/>
      <c r="NAZ357" s="173"/>
      <c r="NBA357" s="173"/>
      <c r="NBB357" s="173"/>
      <c r="NBC357" s="173"/>
      <c r="NBD357" s="173"/>
      <c r="NBE357" s="173"/>
      <c r="NBF357" s="125"/>
      <c r="NBG357" s="125"/>
      <c r="NBH357" s="134"/>
      <c r="NBI357" s="135"/>
      <c r="NBJ357" s="135"/>
      <c r="NBK357" s="135"/>
      <c r="NBL357" s="135"/>
      <c r="NBM357" s="173"/>
      <c r="NBN357" s="173"/>
      <c r="NBO357" s="173"/>
      <c r="NBP357" s="173"/>
      <c r="NBQ357" s="173"/>
      <c r="NBR357" s="173"/>
      <c r="NBS357" s="173"/>
      <c r="NBT357" s="173"/>
      <c r="NBU357" s="173"/>
      <c r="NBV357" s="173"/>
      <c r="NBW357" s="125"/>
      <c r="NBX357" s="125"/>
      <c r="NBY357" s="134"/>
      <c r="NBZ357" s="135"/>
      <c r="NCA357" s="135"/>
      <c r="NCB357" s="135"/>
      <c r="NCC357" s="135"/>
      <c r="NCD357" s="173"/>
      <c r="NCE357" s="173"/>
      <c r="NCF357" s="173"/>
      <c r="NCG357" s="173"/>
      <c r="NCH357" s="173"/>
      <c r="NCI357" s="173"/>
      <c r="NCJ357" s="173"/>
      <c r="NCK357" s="173"/>
      <c r="NCL357" s="173"/>
      <c r="NCM357" s="173"/>
      <c r="NCN357" s="125"/>
      <c r="NCO357" s="125"/>
      <c r="NCP357" s="134"/>
      <c r="NCQ357" s="135"/>
      <c r="NCR357" s="135"/>
      <c r="NCS357" s="135"/>
      <c r="NCT357" s="135"/>
      <c r="NCU357" s="173"/>
      <c r="NCV357" s="173"/>
      <c r="NCW357" s="173"/>
      <c r="NCX357" s="173"/>
      <c r="NCY357" s="173"/>
      <c r="NCZ357" s="173"/>
      <c r="NDA357" s="173"/>
      <c r="NDB357" s="173"/>
      <c r="NDC357" s="173"/>
      <c r="NDD357" s="173"/>
      <c r="NDE357" s="125"/>
      <c r="NDF357" s="125"/>
      <c r="NDG357" s="134"/>
      <c r="NDH357" s="135"/>
      <c r="NDI357" s="135"/>
      <c r="NDJ357" s="135"/>
      <c r="NDK357" s="135"/>
      <c r="NDL357" s="173"/>
      <c r="NDM357" s="173"/>
      <c r="NDN357" s="173"/>
      <c r="NDO357" s="173"/>
      <c r="NDP357" s="173"/>
      <c r="NDQ357" s="173"/>
      <c r="NDR357" s="173"/>
      <c r="NDS357" s="173"/>
      <c r="NDT357" s="173"/>
      <c r="NDU357" s="173"/>
      <c r="NDV357" s="125"/>
      <c r="NDW357" s="125"/>
      <c r="NDX357" s="134"/>
      <c r="NDY357" s="135"/>
      <c r="NDZ357" s="135"/>
      <c r="NEA357" s="135"/>
      <c r="NEB357" s="135"/>
      <c r="NEC357" s="173"/>
      <c r="NED357" s="173"/>
      <c r="NEE357" s="173"/>
      <c r="NEF357" s="173"/>
      <c r="NEG357" s="173"/>
      <c r="NEH357" s="173"/>
      <c r="NEI357" s="173"/>
      <c r="NEJ357" s="173"/>
      <c r="NEK357" s="173"/>
      <c r="NEL357" s="173"/>
      <c r="NEM357" s="125"/>
      <c r="NEN357" s="125"/>
      <c r="NEO357" s="134"/>
      <c r="NEP357" s="135"/>
      <c r="NEQ357" s="135"/>
      <c r="NER357" s="135"/>
      <c r="NES357" s="135"/>
      <c r="NET357" s="173"/>
      <c r="NEU357" s="173"/>
      <c r="NEV357" s="173"/>
      <c r="NEW357" s="173"/>
      <c r="NEX357" s="173"/>
      <c r="NEY357" s="173"/>
      <c r="NEZ357" s="173"/>
      <c r="NFA357" s="173"/>
      <c r="NFB357" s="173"/>
      <c r="NFC357" s="173"/>
      <c r="NFD357" s="125"/>
      <c r="NFE357" s="125"/>
      <c r="NFF357" s="134"/>
      <c r="NFG357" s="135"/>
      <c r="NFH357" s="135"/>
      <c r="NFI357" s="135"/>
      <c r="NFJ357" s="135"/>
      <c r="NFK357" s="173"/>
      <c r="NFL357" s="173"/>
      <c r="NFM357" s="173"/>
      <c r="NFN357" s="173"/>
      <c r="NFO357" s="173"/>
      <c r="NFP357" s="173"/>
      <c r="NFQ357" s="173"/>
      <c r="NFR357" s="173"/>
      <c r="NFS357" s="173"/>
      <c r="NFT357" s="173"/>
      <c r="NFU357" s="125"/>
      <c r="NFV357" s="125"/>
      <c r="NFW357" s="134"/>
      <c r="NFX357" s="135"/>
      <c r="NFY357" s="135"/>
      <c r="NFZ357" s="135"/>
      <c r="NGA357" s="135"/>
      <c r="NGB357" s="173"/>
      <c r="NGC357" s="173"/>
      <c r="NGD357" s="173"/>
      <c r="NGE357" s="173"/>
      <c r="NGF357" s="173"/>
      <c r="NGG357" s="173"/>
      <c r="NGH357" s="173"/>
      <c r="NGI357" s="173"/>
      <c r="NGJ357" s="173"/>
      <c r="NGK357" s="173"/>
      <c r="NGL357" s="125"/>
      <c r="NGM357" s="125"/>
      <c r="NGN357" s="134"/>
      <c r="NGO357" s="135"/>
      <c r="NGP357" s="135"/>
      <c r="NGQ357" s="135"/>
      <c r="NGR357" s="135"/>
      <c r="NGS357" s="173"/>
      <c r="NGT357" s="173"/>
      <c r="NGU357" s="173"/>
      <c r="NGV357" s="173"/>
      <c r="NGW357" s="173"/>
      <c r="NGX357" s="173"/>
      <c r="NGY357" s="173"/>
      <c r="NGZ357" s="173"/>
      <c r="NHA357" s="173"/>
      <c r="NHB357" s="173"/>
      <c r="NHC357" s="125"/>
      <c r="NHD357" s="125"/>
      <c r="NHE357" s="134"/>
      <c r="NHF357" s="135"/>
      <c r="NHG357" s="135"/>
      <c r="NHH357" s="135"/>
      <c r="NHI357" s="135"/>
      <c r="NHJ357" s="173"/>
      <c r="NHK357" s="173"/>
      <c r="NHL357" s="173"/>
      <c r="NHM357" s="173"/>
      <c r="NHN357" s="173"/>
      <c r="NHO357" s="173"/>
      <c r="NHP357" s="173"/>
      <c r="NHQ357" s="173"/>
      <c r="NHR357" s="173"/>
      <c r="NHS357" s="173"/>
      <c r="NHT357" s="125"/>
      <c r="NHU357" s="125"/>
      <c r="NHV357" s="134"/>
      <c r="NHW357" s="135"/>
      <c r="NHX357" s="135"/>
      <c r="NHY357" s="135"/>
      <c r="NHZ357" s="135"/>
      <c r="NIA357" s="173"/>
      <c r="NIB357" s="173"/>
      <c r="NIC357" s="173"/>
      <c r="NID357" s="173"/>
      <c r="NIE357" s="173"/>
      <c r="NIF357" s="173"/>
      <c r="NIG357" s="173"/>
      <c r="NIH357" s="173"/>
      <c r="NII357" s="173"/>
      <c r="NIJ357" s="173"/>
      <c r="NIK357" s="125"/>
      <c r="NIL357" s="125"/>
      <c r="NIM357" s="134"/>
      <c r="NIN357" s="135"/>
      <c r="NIO357" s="135"/>
      <c r="NIP357" s="135"/>
      <c r="NIQ357" s="135"/>
      <c r="NIR357" s="173"/>
      <c r="NIS357" s="173"/>
      <c r="NIT357" s="173"/>
      <c r="NIU357" s="173"/>
      <c r="NIV357" s="173"/>
      <c r="NIW357" s="173"/>
      <c r="NIX357" s="173"/>
      <c r="NIY357" s="173"/>
      <c r="NIZ357" s="173"/>
      <c r="NJA357" s="173"/>
      <c r="NJB357" s="125"/>
      <c r="NJC357" s="125"/>
      <c r="NJD357" s="134"/>
      <c r="NJE357" s="135"/>
      <c r="NJF357" s="135"/>
      <c r="NJG357" s="135"/>
      <c r="NJH357" s="135"/>
      <c r="NJI357" s="173"/>
      <c r="NJJ357" s="173"/>
      <c r="NJK357" s="173"/>
      <c r="NJL357" s="173"/>
      <c r="NJM357" s="173"/>
      <c r="NJN357" s="173"/>
      <c r="NJO357" s="173"/>
      <c r="NJP357" s="173"/>
      <c r="NJQ357" s="173"/>
      <c r="NJR357" s="173"/>
      <c r="NJS357" s="125"/>
      <c r="NJT357" s="125"/>
      <c r="NJU357" s="134"/>
      <c r="NJV357" s="135"/>
      <c r="NJW357" s="135"/>
      <c r="NJX357" s="135"/>
      <c r="NJY357" s="135"/>
      <c r="NJZ357" s="173"/>
      <c r="NKA357" s="173"/>
      <c r="NKB357" s="173"/>
      <c r="NKC357" s="173"/>
      <c r="NKD357" s="173"/>
      <c r="NKE357" s="173"/>
      <c r="NKF357" s="173"/>
      <c r="NKG357" s="173"/>
      <c r="NKH357" s="173"/>
      <c r="NKI357" s="173"/>
      <c r="NKJ357" s="125"/>
      <c r="NKK357" s="125"/>
      <c r="NKL357" s="134"/>
      <c r="NKM357" s="135"/>
      <c r="NKN357" s="135"/>
      <c r="NKO357" s="135"/>
      <c r="NKP357" s="135"/>
      <c r="NKQ357" s="173"/>
      <c r="NKR357" s="173"/>
      <c r="NKS357" s="173"/>
      <c r="NKT357" s="173"/>
      <c r="NKU357" s="173"/>
      <c r="NKV357" s="173"/>
      <c r="NKW357" s="173"/>
      <c r="NKX357" s="173"/>
      <c r="NKY357" s="173"/>
      <c r="NKZ357" s="173"/>
      <c r="NLA357" s="125"/>
      <c r="NLB357" s="125"/>
      <c r="NLC357" s="134"/>
      <c r="NLD357" s="135"/>
      <c r="NLE357" s="135"/>
      <c r="NLF357" s="135"/>
      <c r="NLG357" s="135"/>
      <c r="NLH357" s="173"/>
      <c r="NLI357" s="173"/>
      <c r="NLJ357" s="173"/>
      <c r="NLK357" s="173"/>
      <c r="NLL357" s="173"/>
      <c r="NLM357" s="173"/>
      <c r="NLN357" s="173"/>
      <c r="NLO357" s="173"/>
      <c r="NLP357" s="173"/>
      <c r="NLQ357" s="173"/>
      <c r="NLR357" s="125"/>
      <c r="NLS357" s="125"/>
      <c r="NLT357" s="134"/>
      <c r="NLU357" s="135"/>
      <c r="NLV357" s="135"/>
      <c r="NLW357" s="135"/>
      <c r="NLX357" s="135"/>
      <c r="NLY357" s="173"/>
      <c r="NLZ357" s="173"/>
      <c r="NMA357" s="173"/>
      <c r="NMB357" s="173"/>
      <c r="NMC357" s="173"/>
      <c r="NMD357" s="173"/>
      <c r="NME357" s="173"/>
      <c r="NMF357" s="173"/>
      <c r="NMG357" s="173"/>
      <c r="NMH357" s="173"/>
      <c r="NMI357" s="125"/>
      <c r="NMJ357" s="125"/>
      <c r="NMK357" s="134"/>
      <c r="NML357" s="135"/>
      <c r="NMM357" s="135"/>
      <c r="NMN357" s="135"/>
      <c r="NMO357" s="135"/>
      <c r="NMP357" s="173"/>
      <c r="NMQ357" s="173"/>
      <c r="NMR357" s="173"/>
      <c r="NMS357" s="173"/>
      <c r="NMT357" s="173"/>
      <c r="NMU357" s="173"/>
      <c r="NMV357" s="173"/>
      <c r="NMW357" s="173"/>
      <c r="NMX357" s="173"/>
      <c r="NMY357" s="173"/>
      <c r="NMZ357" s="125"/>
      <c r="NNA357" s="125"/>
      <c r="NNB357" s="134"/>
      <c r="NNC357" s="135"/>
      <c r="NND357" s="135"/>
      <c r="NNE357" s="135"/>
      <c r="NNF357" s="135"/>
      <c r="NNG357" s="173"/>
      <c r="NNH357" s="173"/>
      <c r="NNI357" s="173"/>
      <c r="NNJ357" s="173"/>
      <c r="NNK357" s="173"/>
      <c r="NNL357" s="173"/>
      <c r="NNM357" s="173"/>
      <c r="NNN357" s="173"/>
      <c r="NNO357" s="173"/>
      <c r="NNP357" s="173"/>
      <c r="NNQ357" s="125"/>
      <c r="NNR357" s="125"/>
      <c r="NNS357" s="134"/>
      <c r="NNT357" s="135"/>
      <c r="NNU357" s="135"/>
      <c r="NNV357" s="135"/>
      <c r="NNW357" s="135"/>
      <c r="NNX357" s="173"/>
      <c r="NNY357" s="173"/>
      <c r="NNZ357" s="173"/>
      <c r="NOA357" s="173"/>
      <c r="NOB357" s="173"/>
      <c r="NOC357" s="173"/>
      <c r="NOD357" s="173"/>
      <c r="NOE357" s="173"/>
      <c r="NOF357" s="173"/>
      <c r="NOG357" s="173"/>
      <c r="NOH357" s="125"/>
      <c r="NOI357" s="125"/>
      <c r="NOJ357" s="134"/>
      <c r="NOK357" s="135"/>
      <c r="NOL357" s="135"/>
      <c r="NOM357" s="135"/>
      <c r="NON357" s="135"/>
      <c r="NOO357" s="173"/>
      <c r="NOP357" s="173"/>
      <c r="NOQ357" s="173"/>
      <c r="NOR357" s="173"/>
      <c r="NOS357" s="173"/>
      <c r="NOT357" s="173"/>
      <c r="NOU357" s="173"/>
      <c r="NOV357" s="173"/>
      <c r="NOW357" s="173"/>
      <c r="NOX357" s="173"/>
      <c r="NOY357" s="125"/>
      <c r="NOZ357" s="125"/>
      <c r="NPA357" s="134"/>
      <c r="NPB357" s="135"/>
      <c r="NPC357" s="135"/>
      <c r="NPD357" s="135"/>
      <c r="NPE357" s="135"/>
      <c r="NPF357" s="173"/>
      <c r="NPG357" s="173"/>
      <c r="NPH357" s="173"/>
      <c r="NPI357" s="173"/>
      <c r="NPJ357" s="173"/>
      <c r="NPK357" s="173"/>
      <c r="NPL357" s="173"/>
      <c r="NPM357" s="173"/>
      <c r="NPN357" s="173"/>
      <c r="NPO357" s="173"/>
      <c r="NPP357" s="125"/>
      <c r="NPQ357" s="125"/>
      <c r="NPR357" s="134"/>
      <c r="NPS357" s="135"/>
      <c r="NPT357" s="135"/>
      <c r="NPU357" s="135"/>
      <c r="NPV357" s="135"/>
      <c r="NPW357" s="173"/>
      <c r="NPX357" s="173"/>
      <c r="NPY357" s="173"/>
      <c r="NPZ357" s="173"/>
      <c r="NQA357" s="173"/>
      <c r="NQB357" s="173"/>
      <c r="NQC357" s="173"/>
      <c r="NQD357" s="173"/>
      <c r="NQE357" s="173"/>
      <c r="NQF357" s="173"/>
      <c r="NQG357" s="125"/>
      <c r="NQH357" s="125"/>
      <c r="NQI357" s="134"/>
      <c r="NQJ357" s="135"/>
      <c r="NQK357" s="135"/>
      <c r="NQL357" s="135"/>
      <c r="NQM357" s="135"/>
      <c r="NQN357" s="173"/>
      <c r="NQO357" s="173"/>
      <c r="NQP357" s="173"/>
      <c r="NQQ357" s="173"/>
      <c r="NQR357" s="173"/>
      <c r="NQS357" s="173"/>
      <c r="NQT357" s="173"/>
      <c r="NQU357" s="173"/>
      <c r="NQV357" s="173"/>
      <c r="NQW357" s="173"/>
      <c r="NQX357" s="125"/>
      <c r="NQY357" s="125"/>
      <c r="NQZ357" s="134"/>
      <c r="NRA357" s="135"/>
      <c r="NRB357" s="135"/>
      <c r="NRC357" s="135"/>
      <c r="NRD357" s="135"/>
      <c r="NRE357" s="173"/>
      <c r="NRF357" s="173"/>
      <c r="NRG357" s="173"/>
      <c r="NRH357" s="173"/>
      <c r="NRI357" s="173"/>
      <c r="NRJ357" s="173"/>
      <c r="NRK357" s="173"/>
      <c r="NRL357" s="173"/>
      <c r="NRM357" s="173"/>
      <c r="NRN357" s="173"/>
      <c r="NRO357" s="125"/>
      <c r="NRP357" s="125"/>
      <c r="NRQ357" s="134"/>
      <c r="NRR357" s="135"/>
      <c r="NRS357" s="135"/>
      <c r="NRT357" s="135"/>
      <c r="NRU357" s="135"/>
      <c r="NRV357" s="173"/>
      <c r="NRW357" s="173"/>
      <c r="NRX357" s="173"/>
      <c r="NRY357" s="173"/>
      <c r="NRZ357" s="173"/>
      <c r="NSA357" s="173"/>
      <c r="NSB357" s="173"/>
      <c r="NSC357" s="173"/>
      <c r="NSD357" s="173"/>
      <c r="NSE357" s="173"/>
      <c r="NSF357" s="125"/>
      <c r="NSG357" s="125"/>
      <c r="NSH357" s="134"/>
      <c r="NSI357" s="135"/>
      <c r="NSJ357" s="135"/>
      <c r="NSK357" s="135"/>
      <c r="NSL357" s="135"/>
      <c r="NSM357" s="173"/>
      <c r="NSN357" s="173"/>
      <c r="NSO357" s="173"/>
      <c r="NSP357" s="173"/>
      <c r="NSQ357" s="173"/>
      <c r="NSR357" s="173"/>
      <c r="NSS357" s="173"/>
      <c r="NST357" s="173"/>
      <c r="NSU357" s="173"/>
      <c r="NSV357" s="173"/>
      <c r="NSW357" s="125"/>
      <c r="NSX357" s="125"/>
      <c r="NSY357" s="134"/>
      <c r="NSZ357" s="135"/>
      <c r="NTA357" s="135"/>
      <c r="NTB357" s="135"/>
      <c r="NTC357" s="135"/>
      <c r="NTD357" s="173"/>
      <c r="NTE357" s="173"/>
      <c r="NTF357" s="173"/>
      <c r="NTG357" s="173"/>
      <c r="NTH357" s="173"/>
      <c r="NTI357" s="173"/>
      <c r="NTJ357" s="173"/>
      <c r="NTK357" s="173"/>
      <c r="NTL357" s="173"/>
      <c r="NTM357" s="173"/>
      <c r="NTN357" s="125"/>
      <c r="NTO357" s="125"/>
      <c r="NTP357" s="134"/>
      <c r="NTQ357" s="135"/>
      <c r="NTR357" s="135"/>
      <c r="NTS357" s="135"/>
      <c r="NTT357" s="135"/>
      <c r="NTU357" s="173"/>
      <c r="NTV357" s="173"/>
      <c r="NTW357" s="173"/>
      <c r="NTX357" s="173"/>
      <c r="NTY357" s="173"/>
      <c r="NTZ357" s="173"/>
      <c r="NUA357" s="173"/>
      <c r="NUB357" s="173"/>
      <c r="NUC357" s="173"/>
      <c r="NUD357" s="173"/>
      <c r="NUE357" s="125"/>
      <c r="NUF357" s="125"/>
      <c r="NUG357" s="134"/>
      <c r="NUH357" s="135"/>
      <c r="NUI357" s="135"/>
      <c r="NUJ357" s="135"/>
      <c r="NUK357" s="135"/>
      <c r="NUL357" s="173"/>
      <c r="NUM357" s="173"/>
      <c r="NUN357" s="173"/>
      <c r="NUO357" s="173"/>
      <c r="NUP357" s="173"/>
      <c r="NUQ357" s="173"/>
      <c r="NUR357" s="173"/>
      <c r="NUS357" s="173"/>
      <c r="NUT357" s="173"/>
      <c r="NUU357" s="173"/>
      <c r="NUV357" s="125"/>
      <c r="NUW357" s="125"/>
      <c r="NUX357" s="134"/>
      <c r="NUY357" s="135"/>
      <c r="NUZ357" s="135"/>
      <c r="NVA357" s="135"/>
      <c r="NVB357" s="135"/>
      <c r="NVC357" s="173"/>
      <c r="NVD357" s="173"/>
      <c r="NVE357" s="173"/>
      <c r="NVF357" s="173"/>
      <c r="NVG357" s="173"/>
      <c r="NVH357" s="173"/>
      <c r="NVI357" s="173"/>
      <c r="NVJ357" s="173"/>
      <c r="NVK357" s="173"/>
      <c r="NVL357" s="173"/>
      <c r="NVM357" s="125"/>
      <c r="NVN357" s="125"/>
      <c r="NVO357" s="134"/>
      <c r="NVP357" s="135"/>
      <c r="NVQ357" s="135"/>
      <c r="NVR357" s="135"/>
      <c r="NVS357" s="135"/>
      <c r="NVT357" s="173"/>
      <c r="NVU357" s="173"/>
      <c r="NVV357" s="173"/>
      <c r="NVW357" s="173"/>
      <c r="NVX357" s="173"/>
      <c r="NVY357" s="173"/>
      <c r="NVZ357" s="173"/>
      <c r="NWA357" s="173"/>
      <c r="NWB357" s="173"/>
      <c r="NWC357" s="173"/>
      <c r="NWD357" s="125"/>
      <c r="NWE357" s="125"/>
      <c r="NWF357" s="134"/>
      <c r="NWG357" s="135"/>
      <c r="NWH357" s="135"/>
      <c r="NWI357" s="135"/>
      <c r="NWJ357" s="135"/>
      <c r="NWK357" s="173"/>
      <c r="NWL357" s="173"/>
      <c r="NWM357" s="173"/>
      <c r="NWN357" s="173"/>
      <c r="NWO357" s="173"/>
      <c r="NWP357" s="173"/>
      <c r="NWQ357" s="173"/>
      <c r="NWR357" s="173"/>
      <c r="NWS357" s="173"/>
      <c r="NWT357" s="173"/>
      <c r="NWU357" s="125"/>
      <c r="NWV357" s="125"/>
      <c r="NWW357" s="134"/>
      <c r="NWX357" s="135"/>
      <c r="NWY357" s="135"/>
      <c r="NWZ357" s="135"/>
      <c r="NXA357" s="135"/>
      <c r="NXB357" s="173"/>
      <c r="NXC357" s="173"/>
      <c r="NXD357" s="173"/>
      <c r="NXE357" s="173"/>
      <c r="NXF357" s="173"/>
      <c r="NXG357" s="173"/>
      <c r="NXH357" s="173"/>
      <c r="NXI357" s="173"/>
      <c r="NXJ357" s="173"/>
      <c r="NXK357" s="173"/>
      <c r="NXL357" s="125"/>
      <c r="NXM357" s="125"/>
      <c r="NXN357" s="134"/>
      <c r="NXO357" s="135"/>
      <c r="NXP357" s="135"/>
      <c r="NXQ357" s="135"/>
      <c r="NXR357" s="135"/>
      <c r="NXS357" s="173"/>
      <c r="NXT357" s="173"/>
      <c r="NXU357" s="173"/>
      <c r="NXV357" s="173"/>
      <c r="NXW357" s="173"/>
      <c r="NXX357" s="173"/>
      <c r="NXY357" s="173"/>
      <c r="NXZ357" s="173"/>
      <c r="NYA357" s="173"/>
      <c r="NYB357" s="173"/>
      <c r="NYC357" s="125"/>
      <c r="NYD357" s="125"/>
      <c r="NYE357" s="134"/>
      <c r="NYF357" s="135"/>
      <c r="NYG357" s="135"/>
      <c r="NYH357" s="135"/>
      <c r="NYI357" s="135"/>
      <c r="NYJ357" s="173"/>
      <c r="NYK357" s="173"/>
      <c r="NYL357" s="173"/>
      <c r="NYM357" s="173"/>
      <c r="NYN357" s="173"/>
      <c r="NYO357" s="173"/>
      <c r="NYP357" s="173"/>
      <c r="NYQ357" s="173"/>
      <c r="NYR357" s="173"/>
      <c r="NYS357" s="173"/>
      <c r="NYT357" s="125"/>
      <c r="NYU357" s="125"/>
      <c r="NYV357" s="134"/>
      <c r="NYW357" s="135"/>
      <c r="NYX357" s="135"/>
      <c r="NYY357" s="135"/>
      <c r="NYZ357" s="135"/>
      <c r="NZA357" s="173"/>
      <c r="NZB357" s="173"/>
      <c r="NZC357" s="173"/>
      <c r="NZD357" s="173"/>
      <c r="NZE357" s="173"/>
      <c r="NZF357" s="173"/>
      <c r="NZG357" s="173"/>
      <c r="NZH357" s="173"/>
      <c r="NZI357" s="173"/>
      <c r="NZJ357" s="173"/>
      <c r="NZK357" s="125"/>
      <c r="NZL357" s="125"/>
      <c r="NZM357" s="134"/>
      <c r="NZN357" s="135"/>
      <c r="NZO357" s="135"/>
      <c r="NZP357" s="135"/>
      <c r="NZQ357" s="135"/>
      <c r="NZR357" s="173"/>
      <c r="NZS357" s="173"/>
      <c r="NZT357" s="173"/>
      <c r="NZU357" s="173"/>
      <c r="NZV357" s="173"/>
      <c r="NZW357" s="173"/>
      <c r="NZX357" s="173"/>
      <c r="NZY357" s="173"/>
      <c r="NZZ357" s="173"/>
      <c r="OAA357" s="173"/>
      <c r="OAB357" s="125"/>
      <c r="OAC357" s="125"/>
      <c r="OAD357" s="134"/>
      <c r="OAE357" s="135"/>
      <c r="OAF357" s="135"/>
      <c r="OAG357" s="135"/>
      <c r="OAH357" s="135"/>
      <c r="OAI357" s="173"/>
      <c r="OAJ357" s="173"/>
      <c r="OAK357" s="173"/>
      <c r="OAL357" s="173"/>
      <c r="OAM357" s="173"/>
      <c r="OAN357" s="173"/>
      <c r="OAO357" s="173"/>
      <c r="OAP357" s="173"/>
      <c r="OAQ357" s="173"/>
      <c r="OAR357" s="173"/>
      <c r="OAS357" s="125"/>
      <c r="OAT357" s="125"/>
      <c r="OAU357" s="134"/>
      <c r="OAV357" s="135"/>
      <c r="OAW357" s="135"/>
      <c r="OAX357" s="135"/>
      <c r="OAY357" s="135"/>
      <c r="OAZ357" s="173"/>
      <c r="OBA357" s="173"/>
      <c r="OBB357" s="173"/>
      <c r="OBC357" s="173"/>
      <c r="OBD357" s="173"/>
      <c r="OBE357" s="173"/>
      <c r="OBF357" s="173"/>
      <c r="OBG357" s="173"/>
      <c r="OBH357" s="173"/>
      <c r="OBI357" s="173"/>
      <c r="OBJ357" s="125"/>
      <c r="OBK357" s="125"/>
      <c r="OBL357" s="134"/>
      <c r="OBM357" s="135"/>
      <c r="OBN357" s="135"/>
      <c r="OBO357" s="135"/>
      <c r="OBP357" s="135"/>
      <c r="OBQ357" s="173"/>
      <c r="OBR357" s="173"/>
      <c r="OBS357" s="173"/>
      <c r="OBT357" s="173"/>
      <c r="OBU357" s="173"/>
      <c r="OBV357" s="173"/>
      <c r="OBW357" s="173"/>
      <c r="OBX357" s="173"/>
      <c r="OBY357" s="173"/>
      <c r="OBZ357" s="173"/>
      <c r="OCA357" s="125"/>
      <c r="OCB357" s="125"/>
      <c r="OCC357" s="134"/>
      <c r="OCD357" s="135"/>
      <c r="OCE357" s="135"/>
      <c r="OCF357" s="135"/>
      <c r="OCG357" s="135"/>
      <c r="OCH357" s="173"/>
      <c r="OCI357" s="173"/>
      <c r="OCJ357" s="173"/>
      <c r="OCK357" s="173"/>
      <c r="OCL357" s="173"/>
      <c r="OCM357" s="173"/>
      <c r="OCN357" s="173"/>
      <c r="OCO357" s="173"/>
      <c r="OCP357" s="173"/>
      <c r="OCQ357" s="173"/>
      <c r="OCR357" s="125"/>
      <c r="OCS357" s="125"/>
      <c r="OCT357" s="134"/>
      <c r="OCU357" s="135"/>
      <c r="OCV357" s="135"/>
      <c r="OCW357" s="135"/>
      <c r="OCX357" s="135"/>
      <c r="OCY357" s="173"/>
      <c r="OCZ357" s="173"/>
      <c r="ODA357" s="173"/>
      <c r="ODB357" s="173"/>
      <c r="ODC357" s="173"/>
      <c r="ODD357" s="173"/>
      <c r="ODE357" s="173"/>
      <c r="ODF357" s="173"/>
      <c r="ODG357" s="173"/>
      <c r="ODH357" s="173"/>
      <c r="ODI357" s="125"/>
      <c r="ODJ357" s="125"/>
      <c r="ODK357" s="134"/>
      <c r="ODL357" s="135"/>
      <c r="ODM357" s="135"/>
      <c r="ODN357" s="135"/>
      <c r="ODO357" s="135"/>
      <c r="ODP357" s="173"/>
      <c r="ODQ357" s="173"/>
      <c r="ODR357" s="173"/>
      <c r="ODS357" s="173"/>
      <c r="ODT357" s="173"/>
      <c r="ODU357" s="173"/>
      <c r="ODV357" s="173"/>
      <c r="ODW357" s="173"/>
      <c r="ODX357" s="173"/>
      <c r="ODY357" s="173"/>
      <c r="ODZ357" s="125"/>
      <c r="OEA357" s="125"/>
      <c r="OEB357" s="134"/>
      <c r="OEC357" s="135"/>
      <c r="OED357" s="135"/>
      <c r="OEE357" s="135"/>
      <c r="OEF357" s="135"/>
      <c r="OEG357" s="173"/>
      <c r="OEH357" s="173"/>
      <c r="OEI357" s="173"/>
      <c r="OEJ357" s="173"/>
      <c r="OEK357" s="173"/>
      <c r="OEL357" s="173"/>
      <c r="OEM357" s="173"/>
      <c r="OEN357" s="173"/>
      <c r="OEO357" s="173"/>
      <c r="OEP357" s="173"/>
      <c r="OEQ357" s="125"/>
      <c r="OER357" s="125"/>
      <c r="OES357" s="134"/>
      <c r="OET357" s="135"/>
      <c r="OEU357" s="135"/>
      <c r="OEV357" s="135"/>
      <c r="OEW357" s="135"/>
      <c r="OEX357" s="173"/>
      <c r="OEY357" s="173"/>
      <c r="OEZ357" s="173"/>
      <c r="OFA357" s="173"/>
      <c r="OFB357" s="173"/>
      <c r="OFC357" s="173"/>
      <c r="OFD357" s="173"/>
      <c r="OFE357" s="173"/>
      <c r="OFF357" s="173"/>
      <c r="OFG357" s="173"/>
      <c r="OFH357" s="125"/>
      <c r="OFI357" s="125"/>
      <c r="OFJ357" s="134"/>
      <c r="OFK357" s="135"/>
      <c r="OFL357" s="135"/>
      <c r="OFM357" s="135"/>
      <c r="OFN357" s="135"/>
      <c r="OFO357" s="173"/>
      <c r="OFP357" s="173"/>
      <c r="OFQ357" s="173"/>
      <c r="OFR357" s="173"/>
      <c r="OFS357" s="173"/>
      <c r="OFT357" s="173"/>
      <c r="OFU357" s="173"/>
      <c r="OFV357" s="173"/>
      <c r="OFW357" s="173"/>
      <c r="OFX357" s="173"/>
      <c r="OFY357" s="125"/>
      <c r="OFZ357" s="125"/>
      <c r="OGA357" s="134"/>
      <c r="OGB357" s="135"/>
      <c r="OGC357" s="135"/>
      <c r="OGD357" s="135"/>
      <c r="OGE357" s="135"/>
      <c r="OGF357" s="173"/>
      <c r="OGG357" s="173"/>
      <c r="OGH357" s="173"/>
      <c r="OGI357" s="173"/>
      <c r="OGJ357" s="173"/>
      <c r="OGK357" s="173"/>
      <c r="OGL357" s="173"/>
      <c r="OGM357" s="173"/>
      <c r="OGN357" s="173"/>
      <c r="OGO357" s="173"/>
      <c r="OGP357" s="125"/>
      <c r="OGQ357" s="125"/>
      <c r="OGR357" s="134"/>
      <c r="OGS357" s="135"/>
      <c r="OGT357" s="135"/>
      <c r="OGU357" s="135"/>
      <c r="OGV357" s="135"/>
      <c r="OGW357" s="173"/>
      <c r="OGX357" s="173"/>
      <c r="OGY357" s="173"/>
      <c r="OGZ357" s="173"/>
      <c r="OHA357" s="173"/>
      <c r="OHB357" s="173"/>
      <c r="OHC357" s="173"/>
      <c r="OHD357" s="173"/>
      <c r="OHE357" s="173"/>
      <c r="OHF357" s="173"/>
      <c r="OHG357" s="125"/>
      <c r="OHH357" s="125"/>
      <c r="OHI357" s="134"/>
      <c r="OHJ357" s="135"/>
      <c r="OHK357" s="135"/>
      <c r="OHL357" s="135"/>
      <c r="OHM357" s="135"/>
      <c r="OHN357" s="173"/>
      <c r="OHO357" s="173"/>
      <c r="OHP357" s="173"/>
      <c r="OHQ357" s="173"/>
      <c r="OHR357" s="173"/>
      <c r="OHS357" s="173"/>
      <c r="OHT357" s="173"/>
      <c r="OHU357" s="173"/>
      <c r="OHV357" s="173"/>
      <c r="OHW357" s="173"/>
      <c r="OHX357" s="125"/>
      <c r="OHY357" s="125"/>
      <c r="OHZ357" s="134"/>
      <c r="OIA357" s="135"/>
      <c r="OIB357" s="135"/>
      <c r="OIC357" s="135"/>
      <c r="OID357" s="135"/>
      <c r="OIE357" s="173"/>
      <c r="OIF357" s="173"/>
      <c r="OIG357" s="173"/>
      <c r="OIH357" s="173"/>
      <c r="OII357" s="173"/>
      <c r="OIJ357" s="173"/>
      <c r="OIK357" s="173"/>
      <c r="OIL357" s="173"/>
      <c r="OIM357" s="173"/>
      <c r="OIN357" s="173"/>
      <c r="OIO357" s="125"/>
      <c r="OIP357" s="125"/>
      <c r="OIQ357" s="134"/>
      <c r="OIR357" s="135"/>
      <c r="OIS357" s="135"/>
      <c r="OIT357" s="135"/>
      <c r="OIU357" s="135"/>
      <c r="OIV357" s="173"/>
      <c r="OIW357" s="173"/>
      <c r="OIX357" s="173"/>
      <c r="OIY357" s="173"/>
      <c r="OIZ357" s="173"/>
      <c r="OJA357" s="173"/>
      <c r="OJB357" s="173"/>
      <c r="OJC357" s="173"/>
      <c r="OJD357" s="173"/>
      <c r="OJE357" s="173"/>
      <c r="OJF357" s="125"/>
      <c r="OJG357" s="125"/>
      <c r="OJH357" s="134"/>
      <c r="OJI357" s="135"/>
      <c r="OJJ357" s="135"/>
      <c r="OJK357" s="135"/>
      <c r="OJL357" s="135"/>
      <c r="OJM357" s="173"/>
      <c r="OJN357" s="173"/>
      <c r="OJO357" s="173"/>
      <c r="OJP357" s="173"/>
      <c r="OJQ357" s="173"/>
      <c r="OJR357" s="173"/>
      <c r="OJS357" s="173"/>
      <c r="OJT357" s="173"/>
      <c r="OJU357" s="173"/>
      <c r="OJV357" s="173"/>
      <c r="OJW357" s="125"/>
      <c r="OJX357" s="125"/>
      <c r="OJY357" s="134"/>
      <c r="OJZ357" s="135"/>
      <c r="OKA357" s="135"/>
      <c r="OKB357" s="135"/>
      <c r="OKC357" s="135"/>
      <c r="OKD357" s="173"/>
      <c r="OKE357" s="173"/>
      <c r="OKF357" s="173"/>
      <c r="OKG357" s="173"/>
      <c r="OKH357" s="173"/>
      <c r="OKI357" s="173"/>
      <c r="OKJ357" s="173"/>
      <c r="OKK357" s="173"/>
      <c r="OKL357" s="173"/>
      <c r="OKM357" s="173"/>
      <c r="OKN357" s="125"/>
      <c r="OKO357" s="125"/>
      <c r="OKP357" s="134"/>
      <c r="OKQ357" s="135"/>
      <c r="OKR357" s="135"/>
      <c r="OKS357" s="135"/>
      <c r="OKT357" s="135"/>
      <c r="OKU357" s="173"/>
      <c r="OKV357" s="173"/>
      <c r="OKW357" s="173"/>
      <c r="OKX357" s="173"/>
      <c r="OKY357" s="173"/>
      <c r="OKZ357" s="173"/>
      <c r="OLA357" s="173"/>
      <c r="OLB357" s="173"/>
      <c r="OLC357" s="173"/>
      <c r="OLD357" s="173"/>
      <c r="OLE357" s="125"/>
      <c r="OLF357" s="125"/>
      <c r="OLG357" s="134"/>
      <c r="OLH357" s="135"/>
      <c r="OLI357" s="135"/>
      <c r="OLJ357" s="135"/>
      <c r="OLK357" s="135"/>
      <c r="OLL357" s="173"/>
      <c r="OLM357" s="173"/>
      <c r="OLN357" s="173"/>
      <c r="OLO357" s="173"/>
      <c r="OLP357" s="173"/>
      <c r="OLQ357" s="173"/>
      <c r="OLR357" s="173"/>
      <c r="OLS357" s="173"/>
      <c r="OLT357" s="173"/>
      <c r="OLU357" s="173"/>
      <c r="OLV357" s="125"/>
      <c r="OLW357" s="125"/>
      <c r="OLX357" s="134"/>
      <c r="OLY357" s="135"/>
      <c r="OLZ357" s="135"/>
      <c r="OMA357" s="135"/>
      <c r="OMB357" s="135"/>
      <c r="OMC357" s="173"/>
      <c r="OMD357" s="173"/>
      <c r="OME357" s="173"/>
      <c r="OMF357" s="173"/>
      <c r="OMG357" s="173"/>
      <c r="OMH357" s="173"/>
      <c r="OMI357" s="173"/>
      <c r="OMJ357" s="173"/>
      <c r="OMK357" s="173"/>
      <c r="OML357" s="173"/>
      <c r="OMM357" s="125"/>
      <c r="OMN357" s="125"/>
      <c r="OMO357" s="134"/>
      <c r="OMP357" s="135"/>
      <c r="OMQ357" s="135"/>
      <c r="OMR357" s="135"/>
      <c r="OMS357" s="135"/>
      <c r="OMT357" s="173"/>
      <c r="OMU357" s="173"/>
      <c r="OMV357" s="173"/>
      <c r="OMW357" s="173"/>
      <c r="OMX357" s="173"/>
      <c r="OMY357" s="173"/>
      <c r="OMZ357" s="173"/>
      <c r="ONA357" s="173"/>
      <c r="ONB357" s="173"/>
      <c r="ONC357" s="173"/>
      <c r="OND357" s="125"/>
      <c r="ONE357" s="125"/>
      <c r="ONF357" s="134"/>
      <c r="ONG357" s="135"/>
      <c r="ONH357" s="135"/>
      <c r="ONI357" s="135"/>
      <c r="ONJ357" s="135"/>
      <c r="ONK357" s="173"/>
      <c r="ONL357" s="173"/>
      <c r="ONM357" s="173"/>
      <c r="ONN357" s="173"/>
      <c r="ONO357" s="173"/>
      <c r="ONP357" s="173"/>
      <c r="ONQ357" s="173"/>
      <c r="ONR357" s="173"/>
      <c r="ONS357" s="173"/>
      <c r="ONT357" s="173"/>
      <c r="ONU357" s="125"/>
      <c r="ONV357" s="125"/>
      <c r="ONW357" s="134"/>
      <c r="ONX357" s="135"/>
      <c r="ONY357" s="135"/>
      <c r="ONZ357" s="135"/>
      <c r="OOA357" s="135"/>
      <c r="OOB357" s="173"/>
      <c r="OOC357" s="173"/>
      <c r="OOD357" s="173"/>
      <c r="OOE357" s="173"/>
      <c r="OOF357" s="173"/>
      <c r="OOG357" s="173"/>
      <c r="OOH357" s="173"/>
      <c r="OOI357" s="173"/>
      <c r="OOJ357" s="173"/>
      <c r="OOK357" s="173"/>
      <c r="OOL357" s="125"/>
      <c r="OOM357" s="125"/>
      <c r="OON357" s="134"/>
      <c r="OOO357" s="135"/>
      <c r="OOP357" s="135"/>
      <c r="OOQ357" s="135"/>
      <c r="OOR357" s="135"/>
      <c r="OOS357" s="173"/>
      <c r="OOT357" s="173"/>
      <c r="OOU357" s="173"/>
      <c r="OOV357" s="173"/>
      <c r="OOW357" s="173"/>
      <c r="OOX357" s="173"/>
      <c r="OOY357" s="173"/>
      <c r="OOZ357" s="173"/>
      <c r="OPA357" s="173"/>
      <c r="OPB357" s="173"/>
      <c r="OPC357" s="125"/>
      <c r="OPD357" s="125"/>
      <c r="OPE357" s="134"/>
      <c r="OPF357" s="135"/>
      <c r="OPG357" s="135"/>
      <c r="OPH357" s="135"/>
      <c r="OPI357" s="135"/>
      <c r="OPJ357" s="173"/>
      <c r="OPK357" s="173"/>
      <c r="OPL357" s="173"/>
      <c r="OPM357" s="173"/>
      <c r="OPN357" s="173"/>
      <c r="OPO357" s="173"/>
      <c r="OPP357" s="173"/>
      <c r="OPQ357" s="173"/>
      <c r="OPR357" s="173"/>
      <c r="OPS357" s="173"/>
      <c r="OPT357" s="125"/>
      <c r="OPU357" s="125"/>
      <c r="OPV357" s="134"/>
      <c r="OPW357" s="135"/>
      <c r="OPX357" s="135"/>
      <c r="OPY357" s="135"/>
      <c r="OPZ357" s="135"/>
      <c r="OQA357" s="173"/>
      <c r="OQB357" s="173"/>
      <c r="OQC357" s="173"/>
      <c r="OQD357" s="173"/>
      <c r="OQE357" s="173"/>
      <c r="OQF357" s="173"/>
      <c r="OQG357" s="173"/>
      <c r="OQH357" s="173"/>
      <c r="OQI357" s="173"/>
      <c r="OQJ357" s="173"/>
      <c r="OQK357" s="125"/>
      <c r="OQL357" s="125"/>
      <c r="OQM357" s="134"/>
      <c r="OQN357" s="135"/>
      <c r="OQO357" s="135"/>
      <c r="OQP357" s="135"/>
      <c r="OQQ357" s="135"/>
      <c r="OQR357" s="173"/>
      <c r="OQS357" s="173"/>
      <c r="OQT357" s="173"/>
      <c r="OQU357" s="173"/>
      <c r="OQV357" s="173"/>
      <c r="OQW357" s="173"/>
      <c r="OQX357" s="173"/>
      <c r="OQY357" s="173"/>
      <c r="OQZ357" s="173"/>
      <c r="ORA357" s="173"/>
      <c r="ORB357" s="125"/>
      <c r="ORC357" s="125"/>
      <c r="ORD357" s="134"/>
      <c r="ORE357" s="135"/>
      <c r="ORF357" s="135"/>
      <c r="ORG357" s="135"/>
      <c r="ORH357" s="135"/>
      <c r="ORI357" s="173"/>
      <c r="ORJ357" s="173"/>
      <c r="ORK357" s="173"/>
      <c r="ORL357" s="173"/>
      <c r="ORM357" s="173"/>
      <c r="ORN357" s="173"/>
      <c r="ORO357" s="173"/>
      <c r="ORP357" s="173"/>
      <c r="ORQ357" s="173"/>
      <c r="ORR357" s="173"/>
      <c r="ORS357" s="125"/>
      <c r="ORT357" s="125"/>
      <c r="ORU357" s="134"/>
      <c r="ORV357" s="135"/>
      <c r="ORW357" s="135"/>
      <c r="ORX357" s="135"/>
      <c r="ORY357" s="135"/>
      <c r="ORZ357" s="173"/>
      <c r="OSA357" s="173"/>
      <c r="OSB357" s="173"/>
      <c r="OSC357" s="173"/>
      <c r="OSD357" s="173"/>
      <c r="OSE357" s="173"/>
      <c r="OSF357" s="173"/>
      <c r="OSG357" s="173"/>
      <c r="OSH357" s="173"/>
      <c r="OSI357" s="173"/>
      <c r="OSJ357" s="125"/>
      <c r="OSK357" s="125"/>
      <c r="OSL357" s="134"/>
      <c r="OSM357" s="135"/>
      <c r="OSN357" s="135"/>
      <c r="OSO357" s="135"/>
      <c r="OSP357" s="135"/>
      <c r="OSQ357" s="173"/>
      <c r="OSR357" s="173"/>
      <c r="OSS357" s="173"/>
      <c r="OST357" s="173"/>
      <c r="OSU357" s="173"/>
      <c r="OSV357" s="173"/>
      <c r="OSW357" s="173"/>
      <c r="OSX357" s="173"/>
      <c r="OSY357" s="173"/>
      <c r="OSZ357" s="173"/>
      <c r="OTA357" s="125"/>
      <c r="OTB357" s="125"/>
      <c r="OTC357" s="134"/>
      <c r="OTD357" s="135"/>
      <c r="OTE357" s="135"/>
      <c r="OTF357" s="135"/>
      <c r="OTG357" s="135"/>
      <c r="OTH357" s="173"/>
      <c r="OTI357" s="173"/>
      <c r="OTJ357" s="173"/>
      <c r="OTK357" s="173"/>
      <c r="OTL357" s="173"/>
      <c r="OTM357" s="173"/>
      <c r="OTN357" s="173"/>
      <c r="OTO357" s="173"/>
      <c r="OTP357" s="173"/>
      <c r="OTQ357" s="173"/>
      <c r="OTR357" s="125"/>
      <c r="OTS357" s="125"/>
      <c r="OTT357" s="134"/>
      <c r="OTU357" s="135"/>
      <c r="OTV357" s="135"/>
      <c r="OTW357" s="135"/>
      <c r="OTX357" s="135"/>
      <c r="OTY357" s="173"/>
      <c r="OTZ357" s="173"/>
      <c r="OUA357" s="173"/>
      <c r="OUB357" s="173"/>
      <c r="OUC357" s="173"/>
      <c r="OUD357" s="173"/>
      <c r="OUE357" s="173"/>
      <c r="OUF357" s="173"/>
      <c r="OUG357" s="173"/>
      <c r="OUH357" s="173"/>
      <c r="OUI357" s="125"/>
      <c r="OUJ357" s="125"/>
      <c r="OUK357" s="134"/>
      <c r="OUL357" s="135"/>
      <c r="OUM357" s="135"/>
      <c r="OUN357" s="135"/>
      <c r="OUO357" s="135"/>
      <c r="OUP357" s="173"/>
      <c r="OUQ357" s="173"/>
      <c r="OUR357" s="173"/>
      <c r="OUS357" s="173"/>
      <c r="OUT357" s="173"/>
      <c r="OUU357" s="173"/>
      <c r="OUV357" s="173"/>
      <c r="OUW357" s="173"/>
      <c r="OUX357" s="173"/>
      <c r="OUY357" s="173"/>
      <c r="OUZ357" s="125"/>
      <c r="OVA357" s="125"/>
      <c r="OVB357" s="134"/>
      <c r="OVC357" s="135"/>
      <c r="OVD357" s="135"/>
      <c r="OVE357" s="135"/>
      <c r="OVF357" s="135"/>
      <c r="OVG357" s="173"/>
      <c r="OVH357" s="173"/>
      <c r="OVI357" s="173"/>
      <c r="OVJ357" s="173"/>
      <c r="OVK357" s="173"/>
      <c r="OVL357" s="173"/>
      <c r="OVM357" s="173"/>
      <c r="OVN357" s="173"/>
      <c r="OVO357" s="173"/>
      <c r="OVP357" s="173"/>
      <c r="OVQ357" s="125"/>
      <c r="OVR357" s="125"/>
      <c r="OVS357" s="134"/>
      <c r="OVT357" s="135"/>
      <c r="OVU357" s="135"/>
      <c r="OVV357" s="135"/>
      <c r="OVW357" s="135"/>
      <c r="OVX357" s="173"/>
      <c r="OVY357" s="173"/>
      <c r="OVZ357" s="173"/>
      <c r="OWA357" s="173"/>
      <c r="OWB357" s="173"/>
      <c r="OWC357" s="173"/>
      <c r="OWD357" s="173"/>
      <c r="OWE357" s="173"/>
      <c r="OWF357" s="173"/>
      <c r="OWG357" s="173"/>
      <c r="OWH357" s="125"/>
      <c r="OWI357" s="125"/>
      <c r="OWJ357" s="134"/>
      <c r="OWK357" s="135"/>
      <c r="OWL357" s="135"/>
      <c r="OWM357" s="135"/>
      <c r="OWN357" s="135"/>
      <c r="OWO357" s="173"/>
      <c r="OWP357" s="173"/>
      <c r="OWQ357" s="173"/>
      <c r="OWR357" s="173"/>
      <c r="OWS357" s="173"/>
      <c r="OWT357" s="173"/>
      <c r="OWU357" s="173"/>
      <c r="OWV357" s="173"/>
      <c r="OWW357" s="173"/>
      <c r="OWX357" s="173"/>
      <c r="OWY357" s="125"/>
      <c r="OWZ357" s="125"/>
      <c r="OXA357" s="134"/>
      <c r="OXB357" s="135"/>
      <c r="OXC357" s="135"/>
      <c r="OXD357" s="135"/>
      <c r="OXE357" s="135"/>
      <c r="OXF357" s="173"/>
      <c r="OXG357" s="173"/>
      <c r="OXH357" s="173"/>
      <c r="OXI357" s="173"/>
      <c r="OXJ357" s="173"/>
      <c r="OXK357" s="173"/>
      <c r="OXL357" s="173"/>
      <c r="OXM357" s="173"/>
      <c r="OXN357" s="173"/>
      <c r="OXO357" s="173"/>
      <c r="OXP357" s="125"/>
      <c r="OXQ357" s="125"/>
      <c r="OXR357" s="134"/>
      <c r="OXS357" s="135"/>
      <c r="OXT357" s="135"/>
      <c r="OXU357" s="135"/>
      <c r="OXV357" s="135"/>
      <c r="OXW357" s="173"/>
      <c r="OXX357" s="173"/>
      <c r="OXY357" s="173"/>
      <c r="OXZ357" s="173"/>
      <c r="OYA357" s="173"/>
      <c r="OYB357" s="173"/>
      <c r="OYC357" s="173"/>
      <c r="OYD357" s="173"/>
      <c r="OYE357" s="173"/>
      <c r="OYF357" s="173"/>
      <c r="OYG357" s="125"/>
      <c r="OYH357" s="125"/>
      <c r="OYI357" s="134"/>
      <c r="OYJ357" s="135"/>
      <c r="OYK357" s="135"/>
      <c r="OYL357" s="135"/>
      <c r="OYM357" s="135"/>
      <c r="OYN357" s="173"/>
      <c r="OYO357" s="173"/>
      <c r="OYP357" s="173"/>
      <c r="OYQ357" s="173"/>
      <c r="OYR357" s="173"/>
      <c r="OYS357" s="173"/>
      <c r="OYT357" s="173"/>
      <c r="OYU357" s="173"/>
      <c r="OYV357" s="173"/>
      <c r="OYW357" s="173"/>
      <c r="OYX357" s="125"/>
      <c r="OYY357" s="125"/>
      <c r="OYZ357" s="134"/>
      <c r="OZA357" s="135"/>
      <c r="OZB357" s="135"/>
      <c r="OZC357" s="135"/>
      <c r="OZD357" s="135"/>
      <c r="OZE357" s="173"/>
      <c r="OZF357" s="173"/>
      <c r="OZG357" s="173"/>
      <c r="OZH357" s="173"/>
      <c r="OZI357" s="173"/>
      <c r="OZJ357" s="173"/>
      <c r="OZK357" s="173"/>
      <c r="OZL357" s="173"/>
      <c r="OZM357" s="173"/>
      <c r="OZN357" s="173"/>
      <c r="OZO357" s="125"/>
      <c r="OZP357" s="125"/>
      <c r="OZQ357" s="134"/>
      <c r="OZR357" s="135"/>
      <c r="OZS357" s="135"/>
      <c r="OZT357" s="135"/>
      <c r="OZU357" s="135"/>
      <c r="OZV357" s="173"/>
      <c r="OZW357" s="173"/>
      <c r="OZX357" s="173"/>
      <c r="OZY357" s="173"/>
      <c r="OZZ357" s="173"/>
      <c r="PAA357" s="173"/>
      <c r="PAB357" s="173"/>
      <c r="PAC357" s="173"/>
      <c r="PAD357" s="173"/>
      <c r="PAE357" s="173"/>
      <c r="PAF357" s="125"/>
      <c r="PAG357" s="125"/>
      <c r="PAH357" s="134"/>
      <c r="PAI357" s="135"/>
      <c r="PAJ357" s="135"/>
      <c r="PAK357" s="135"/>
      <c r="PAL357" s="135"/>
      <c r="PAM357" s="173"/>
      <c r="PAN357" s="173"/>
      <c r="PAO357" s="173"/>
      <c r="PAP357" s="173"/>
      <c r="PAQ357" s="173"/>
      <c r="PAR357" s="173"/>
      <c r="PAS357" s="173"/>
      <c r="PAT357" s="173"/>
      <c r="PAU357" s="173"/>
      <c r="PAV357" s="173"/>
      <c r="PAW357" s="125"/>
      <c r="PAX357" s="125"/>
      <c r="PAY357" s="134"/>
      <c r="PAZ357" s="135"/>
      <c r="PBA357" s="135"/>
      <c r="PBB357" s="135"/>
      <c r="PBC357" s="135"/>
      <c r="PBD357" s="173"/>
      <c r="PBE357" s="173"/>
      <c r="PBF357" s="173"/>
      <c r="PBG357" s="173"/>
      <c r="PBH357" s="173"/>
      <c r="PBI357" s="173"/>
      <c r="PBJ357" s="173"/>
      <c r="PBK357" s="173"/>
      <c r="PBL357" s="173"/>
      <c r="PBM357" s="173"/>
      <c r="PBN357" s="125"/>
      <c r="PBO357" s="125"/>
      <c r="PBP357" s="134"/>
      <c r="PBQ357" s="135"/>
      <c r="PBR357" s="135"/>
      <c r="PBS357" s="135"/>
      <c r="PBT357" s="135"/>
      <c r="PBU357" s="173"/>
      <c r="PBV357" s="173"/>
      <c r="PBW357" s="173"/>
      <c r="PBX357" s="173"/>
      <c r="PBY357" s="173"/>
      <c r="PBZ357" s="173"/>
      <c r="PCA357" s="173"/>
      <c r="PCB357" s="173"/>
      <c r="PCC357" s="173"/>
      <c r="PCD357" s="173"/>
      <c r="PCE357" s="125"/>
      <c r="PCF357" s="125"/>
      <c r="PCG357" s="134"/>
      <c r="PCH357" s="135"/>
      <c r="PCI357" s="135"/>
      <c r="PCJ357" s="135"/>
      <c r="PCK357" s="135"/>
      <c r="PCL357" s="173"/>
      <c r="PCM357" s="173"/>
      <c r="PCN357" s="173"/>
      <c r="PCO357" s="173"/>
      <c r="PCP357" s="173"/>
      <c r="PCQ357" s="173"/>
      <c r="PCR357" s="173"/>
      <c r="PCS357" s="173"/>
      <c r="PCT357" s="173"/>
      <c r="PCU357" s="173"/>
      <c r="PCV357" s="125"/>
      <c r="PCW357" s="125"/>
      <c r="PCX357" s="134"/>
      <c r="PCY357" s="135"/>
      <c r="PCZ357" s="135"/>
      <c r="PDA357" s="135"/>
      <c r="PDB357" s="135"/>
      <c r="PDC357" s="173"/>
      <c r="PDD357" s="173"/>
      <c r="PDE357" s="173"/>
      <c r="PDF357" s="173"/>
      <c r="PDG357" s="173"/>
      <c r="PDH357" s="173"/>
      <c r="PDI357" s="173"/>
      <c r="PDJ357" s="173"/>
      <c r="PDK357" s="173"/>
      <c r="PDL357" s="173"/>
      <c r="PDM357" s="125"/>
      <c r="PDN357" s="125"/>
      <c r="PDO357" s="134"/>
      <c r="PDP357" s="135"/>
      <c r="PDQ357" s="135"/>
      <c r="PDR357" s="135"/>
      <c r="PDS357" s="135"/>
      <c r="PDT357" s="173"/>
      <c r="PDU357" s="173"/>
      <c r="PDV357" s="173"/>
      <c r="PDW357" s="173"/>
      <c r="PDX357" s="173"/>
      <c r="PDY357" s="173"/>
      <c r="PDZ357" s="173"/>
      <c r="PEA357" s="173"/>
      <c r="PEB357" s="173"/>
      <c r="PEC357" s="173"/>
      <c r="PED357" s="125"/>
      <c r="PEE357" s="125"/>
      <c r="PEF357" s="134"/>
      <c r="PEG357" s="135"/>
      <c r="PEH357" s="135"/>
      <c r="PEI357" s="135"/>
      <c r="PEJ357" s="135"/>
      <c r="PEK357" s="173"/>
      <c r="PEL357" s="173"/>
      <c r="PEM357" s="173"/>
      <c r="PEN357" s="173"/>
      <c r="PEO357" s="173"/>
      <c r="PEP357" s="173"/>
      <c r="PEQ357" s="173"/>
      <c r="PER357" s="173"/>
      <c r="PES357" s="173"/>
      <c r="PET357" s="173"/>
      <c r="PEU357" s="125"/>
      <c r="PEV357" s="125"/>
      <c r="PEW357" s="134"/>
      <c r="PEX357" s="135"/>
      <c r="PEY357" s="135"/>
      <c r="PEZ357" s="135"/>
      <c r="PFA357" s="135"/>
      <c r="PFB357" s="173"/>
      <c r="PFC357" s="173"/>
      <c r="PFD357" s="173"/>
      <c r="PFE357" s="173"/>
      <c r="PFF357" s="173"/>
      <c r="PFG357" s="173"/>
      <c r="PFH357" s="173"/>
      <c r="PFI357" s="173"/>
      <c r="PFJ357" s="173"/>
      <c r="PFK357" s="173"/>
      <c r="PFL357" s="125"/>
      <c r="PFM357" s="125"/>
      <c r="PFN357" s="134"/>
      <c r="PFO357" s="135"/>
      <c r="PFP357" s="135"/>
      <c r="PFQ357" s="135"/>
      <c r="PFR357" s="135"/>
      <c r="PFS357" s="173"/>
      <c r="PFT357" s="173"/>
      <c r="PFU357" s="173"/>
      <c r="PFV357" s="173"/>
      <c r="PFW357" s="173"/>
      <c r="PFX357" s="173"/>
      <c r="PFY357" s="173"/>
      <c r="PFZ357" s="173"/>
      <c r="PGA357" s="173"/>
      <c r="PGB357" s="173"/>
      <c r="PGC357" s="125"/>
      <c r="PGD357" s="125"/>
      <c r="PGE357" s="134"/>
      <c r="PGF357" s="135"/>
      <c r="PGG357" s="135"/>
      <c r="PGH357" s="135"/>
      <c r="PGI357" s="135"/>
      <c r="PGJ357" s="173"/>
      <c r="PGK357" s="173"/>
      <c r="PGL357" s="173"/>
      <c r="PGM357" s="173"/>
      <c r="PGN357" s="173"/>
      <c r="PGO357" s="173"/>
      <c r="PGP357" s="173"/>
      <c r="PGQ357" s="173"/>
      <c r="PGR357" s="173"/>
      <c r="PGS357" s="173"/>
      <c r="PGT357" s="125"/>
      <c r="PGU357" s="125"/>
      <c r="PGV357" s="134"/>
      <c r="PGW357" s="135"/>
      <c r="PGX357" s="135"/>
      <c r="PGY357" s="135"/>
      <c r="PGZ357" s="135"/>
      <c r="PHA357" s="173"/>
      <c r="PHB357" s="173"/>
      <c r="PHC357" s="173"/>
      <c r="PHD357" s="173"/>
      <c r="PHE357" s="173"/>
      <c r="PHF357" s="173"/>
      <c r="PHG357" s="173"/>
      <c r="PHH357" s="173"/>
      <c r="PHI357" s="173"/>
      <c r="PHJ357" s="173"/>
      <c r="PHK357" s="125"/>
      <c r="PHL357" s="125"/>
      <c r="PHM357" s="134"/>
      <c r="PHN357" s="135"/>
      <c r="PHO357" s="135"/>
      <c r="PHP357" s="135"/>
      <c r="PHQ357" s="135"/>
      <c r="PHR357" s="173"/>
      <c r="PHS357" s="173"/>
      <c r="PHT357" s="173"/>
      <c r="PHU357" s="173"/>
      <c r="PHV357" s="173"/>
      <c r="PHW357" s="173"/>
      <c r="PHX357" s="173"/>
      <c r="PHY357" s="173"/>
      <c r="PHZ357" s="173"/>
      <c r="PIA357" s="173"/>
      <c r="PIB357" s="125"/>
      <c r="PIC357" s="125"/>
      <c r="PID357" s="134"/>
      <c r="PIE357" s="135"/>
      <c r="PIF357" s="135"/>
      <c r="PIG357" s="135"/>
      <c r="PIH357" s="135"/>
      <c r="PII357" s="173"/>
      <c r="PIJ357" s="173"/>
      <c r="PIK357" s="173"/>
      <c r="PIL357" s="173"/>
      <c r="PIM357" s="173"/>
      <c r="PIN357" s="173"/>
      <c r="PIO357" s="173"/>
      <c r="PIP357" s="173"/>
      <c r="PIQ357" s="173"/>
      <c r="PIR357" s="173"/>
      <c r="PIS357" s="125"/>
      <c r="PIT357" s="125"/>
      <c r="PIU357" s="134"/>
      <c r="PIV357" s="135"/>
      <c r="PIW357" s="135"/>
      <c r="PIX357" s="135"/>
      <c r="PIY357" s="135"/>
      <c r="PIZ357" s="173"/>
      <c r="PJA357" s="173"/>
      <c r="PJB357" s="173"/>
      <c r="PJC357" s="173"/>
      <c r="PJD357" s="173"/>
      <c r="PJE357" s="173"/>
      <c r="PJF357" s="173"/>
      <c r="PJG357" s="173"/>
      <c r="PJH357" s="173"/>
      <c r="PJI357" s="173"/>
      <c r="PJJ357" s="125"/>
      <c r="PJK357" s="125"/>
      <c r="PJL357" s="134"/>
      <c r="PJM357" s="135"/>
      <c r="PJN357" s="135"/>
      <c r="PJO357" s="135"/>
      <c r="PJP357" s="135"/>
      <c r="PJQ357" s="173"/>
      <c r="PJR357" s="173"/>
      <c r="PJS357" s="173"/>
      <c r="PJT357" s="173"/>
      <c r="PJU357" s="173"/>
      <c r="PJV357" s="173"/>
      <c r="PJW357" s="173"/>
      <c r="PJX357" s="173"/>
      <c r="PJY357" s="173"/>
      <c r="PJZ357" s="173"/>
      <c r="PKA357" s="125"/>
      <c r="PKB357" s="125"/>
      <c r="PKC357" s="134"/>
      <c r="PKD357" s="135"/>
      <c r="PKE357" s="135"/>
      <c r="PKF357" s="135"/>
      <c r="PKG357" s="135"/>
      <c r="PKH357" s="173"/>
      <c r="PKI357" s="173"/>
      <c r="PKJ357" s="173"/>
      <c r="PKK357" s="173"/>
      <c r="PKL357" s="173"/>
      <c r="PKM357" s="173"/>
      <c r="PKN357" s="173"/>
      <c r="PKO357" s="173"/>
      <c r="PKP357" s="173"/>
      <c r="PKQ357" s="173"/>
      <c r="PKR357" s="125"/>
      <c r="PKS357" s="125"/>
      <c r="PKT357" s="134"/>
      <c r="PKU357" s="135"/>
      <c r="PKV357" s="135"/>
      <c r="PKW357" s="135"/>
      <c r="PKX357" s="135"/>
      <c r="PKY357" s="173"/>
      <c r="PKZ357" s="173"/>
      <c r="PLA357" s="173"/>
      <c r="PLB357" s="173"/>
      <c r="PLC357" s="173"/>
      <c r="PLD357" s="173"/>
      <c r="PLE357" s="173"/>
      <c r="PLF357" s="173"/>
      <c r="PLG357" s="173"/>
      <c r="PLH357" s="173"/>
      <c r="PLI357" s="125"/>
      <c r="PLJ357" s="125"/>
      <c r="PLK357" s="134"/>
      <c r="PLL357" s="135"/>
      <c r="PLM357" s="135"/>
      <c r="PLN357" s="135"/>
      <c r="PLO357" s="135"/>
      <c r="PLP357" s="173"/>
      <c r="PLQ357" s="173"/>
      <c r="PLR357" s="173"/>
      <c r="PLS357" s="173"/>
      <c r="PLT357" s="173"/>
      <c r="PLU357" s="173"/>
      <c r="PLV357" s="173"/>
      <c r="PLW357" s="173"/>
      <c r="PLX357" s="173"/>
      <c r="PLY357" s="173"/>
      <c r="PLZ357" s="125"/>
      <c r="PMA357" s="125"/>
      <c r="PMB357" s="134"/>
      <c r="PMC357" s="135"/>
      <c r="PMD357" s="135"/>
      <c r="PME357" s="135"/>
      <c r="PMF357" s="135"/>
      <c r="PMG357" s="173"/>
      <c r="PMH357" s="173"/>
      <c r="PMI357" s="173"/>
      <c r="PMJ357" s="173"/>
      <c r="PMK357" s="173"/>
      <c r="PML357" s="173"/>
      <c r="PMM357" s="173"/>
      <c r="PMN357" s="173"/>
      <c r="PMO357" s="173"/>
      <c r="PMP357" s="173"/>
      <c r="PMQ357" s="125"/>
      <c r="PMR357" s="125"/>
      <c r="PMS357" s="134"/>
      <c r="PMT357" s="135"/>
      <c r="PMU357" s="135"/>
      <c r="PMV357" s="135"/>
      <c r="PMW357" s="135"/>
      <c r="PMX357" s="173"/>
      <c r="PMY357" s="173"/>
      <c r="PMZ357" s="173"/>
      <c r="PNA357" s="173"/>
      <c r="PNB357" s="173"/>
      <c r="PNC357" s="173"/>
      <c r="PND357" s="173"/>
      <c r="PNE357" s="173"/>
      <c r="PNF357" s="173"/>
      <c r="PNG357" s="173"/>
      <c r="PNH357" s="125"/>
      <c r="PNI357" s="125"/>
      <c r="PNJ357" s="134"/>
      <c r="PNK357" s="135"/>
      <c r="PNL357" s="135"/>
      <c r="PNM357" s="135"/>
      <c r="PNN357" s="135"/>
      <c r="PNO357" s="173"/>
      <c r="PNP357" s="173"/>
      <c r="PNQ357" s="173"/>
      <c r="PNR357" s="173"/>
      <c r="PNS357" s="173"/>
      <c r="PNT357" s="173"/>
      <c r="PNU357" s="173"/>
      <c r="PNV357" s="173"/>
      <c r="PNW357" s="173"/>
      <c r="PNX357" s="173"/>
      <c r="PNY357" s="125"/>
      <c r="PNZ357" s="125"/>
      <c r="POA357" s="134"/>
      <c r="POB357" s="135"/>
      <c r="POC357" s="135"/>
      <c r="POD357" s="135"/>
      <c r="POE357" s="135"/>
      <c r="POF357" s="173"/>
      <c r="POG357" s="173"/>
      <c r="POH357" s="173"/>
      <c r="POI357" s="173"/>
      <c r="POJ357" s="173"/>
      <c r="POK357" s="173"/>
      <c r="POL357" s="173"/>
      <c r="POM357" s="173"/>
      <c r="PON357" s="173"/>
      <c r="POO357" s="173"/>
      <c r="POP357" s="125"/>
      <c r="POQ357" s="125"/>
      <c r="POR357" s="134"/>
      <c r="POS357" s="135"/>
      <c r="POT357" s="135"/>
      <c r="POU357" s="135"/>
      <c r="POV357" s="135"/>
      <c r="POW357" s="173"/>
      <c r="POX357" s="173"/>
      <c r="POY357" s="173"/>
      <c r="POZ357" s="173"/>
      <c r="PPA357" s="173"/>
      <c r="PPB357" s="173"/>
      <c r="PPC357" s="173"/>
      <c r="PPD357" s="173"/>
      <c r="PPE357" s="173"/>
      <c r="PPF357" s="173"/>
      <c r="PPG357" s="125"/>
      <c r="PPH357" s="125"/>
      <c r="PPI357" s="134"/>
      <c r="PPJ357" s="135"/>
      <c r="PPK357" s="135"/>
      <c r="PPL357" s="135"/>
      <c r="PPM357" s="135"/>
      <c r="PPN357" s="173"/>
      <c r="PPO357" s="173"/>
      <c r="PPP357" s="173"/>
      <c r="PPQ357" s="173"/>
      <c r="PPR357" s="173"/>
      <c r="PPS357" s="173"/>
      <c r="PPT357" s="173"/>
      <c r="PPU357" s="173"/>
      <c r="PPV357" s="173"/>
      <c r="PPW357" s="173"/>
      <c r="PPX357" s="125"/>
      <c r="PPY357" s="125"/>
      <c r="PPZ357" s="134"/>
      <c r="PQA357" s="135"/>
      <c r="PQB357" s="135"/>
      <c r="PQC357" s="135"/>
      <c r="PQD357" s="135"/>
      <c r="PQE357" s="173"/>
      <c r="PQF357" s="173"/>
      <c r="PQG357" s="173"/>
      <c r="PQH357" s="173"/>
      <c r="PQI357" s="173"/>
      <c r="PQJ357" s="173"/>
      <c r="PQK357" s="173"/>
      <c r="PQL357" s="173"/>
      <c r="PQM357" s="173"/>
      <c r="PQN357" s="173"/>
      <c r="PQO357" s="125"/>
      <c r="PQP357" s="125"/>
      <c r="PQQ357" s="134"/>
      <c r="PQR357" s="135"/>
      <c r="PQS357" s="135"/>
      <c r="PQT357" s="135"/>
      <c r="PQU357" s="135"/>
      <c r="PQV357" s="173"/>
      <c r="PQW357" s="173"/>
      <c r="PQX357" s="173"/>
      <c r="PQY357" s="173"/>
      <c r="PQZ357" s="173"/>
      <c r="PRA357" s="173"/>
      <c r="PRB357" s="173"/>
      <c r="PRC357" s="173"/>
      <c r="PRD357" s="173"/>
      <c r="PRE357" s="173"/>
      <c r="PRF357" s="125"/>
      <c r="PRG357" s="125"/>
      <c r="PRH357" s="134"/>
      <c r="PRI357" s="135"/>
      <c r="PRJ357" s="135"/>
      <c r="PRK357" s="135"/>
      <c r="PRL357" s="135"/>
      <c r="PRM357" s="173"/>
      <c r="PRN357" s="173"/>
      <c r="PRO357" s="173"/>
      <c r="PRP357" s="173"/>
      <c r="PRQ357" s="173"/>
      <c r="PRR357" s="173"/>
      <c r="PRS357" s="173"/>
      <c r="PRT357" s="173"/>
      <c r="PRU357" s="173"/>
      <c r="PRV357" s="173"/>
      <c r="PRW357" s="125"/>
      <c r="PRX357" s="125"/>
      <c r="PRY357" s="134"/>
      <c r="PRZ357" s="135"/>
      <c r="PSA357" s="135"/>
      <c r="PSB357" s="135"/>
      <c r="PSC357" s="135"/>
      <c r="PSD357" s="173"/>
      <c r="PSE357" s="173"/>
      <c r="PSF357" s="173"/>
      <c r="PSG357" s="173"/>
      <c r="PSH357" s="173"/>
      <c r="PSI357" s="173"/>
      <c r="PSJ357" s="173"/>
      <c r="PSK357" s="173"/>
      <c r="PSL357" s="173"/>
      <c r="PSM357" s="173"/>
      <c r="PSN357" s="125"/>
      <c r="PSO357" s="125"/>
      <c r="PSP357" s="134"/>
      <c r="PSQ357" s="135"/>
      <c r="PSR357" s="135"/>
      <c r="PSS357" s="135"/>
      <c r="PST357" s="135"/>
      <c r="PSU357" s="173"/>
      <c r="PSV357" s="173"/>
      <c r="PSW357" s="173"/>
      <c r="PSX357" s="173"/>
      <c r="PSY357" s="173"/>
      <c r="PSZ357" s="173"/>
      <c r="PTA357" s="173"/>
      <c r="PTB357" s="173"/>
      <c r="PTC357" s="173"/>
      <c r="PTD357" s="173"/>
      <c r="PTE357" s="125"/>
      <c r="PTF357" s="125"/>
      <c r="PTG357" s="134"/>
      <c r="PTH357" s="135"/>
      <c r="PTI357" s="135"/>
      <c r="PTJ357" s="135"/>
      <c r="PTK357" s="135"/>
      <c r="PTL357" s="173"/>
      <c r="PTM357" s="173"/>
      <c r="PTN357" s="173"/>
      <c r="PTO357" s="173"/>
      <c r="PTP357" s="173"/>
      <c r="PTQ357" s="173"/>
      <c r="PTR357" s="173"/>
      <c r="PTS357" s="173"/>
      <c r="PTT357" s="173"/>
      <c r="PTU357" s="173"/>
      <c r="PTV357" s="125"/>
      <c r="PTW357" s="125"/>
      <c r="PTX357" s="134"/>
      <c r="PTY357" s="135"/>
      <c r="PTZ357" s="135"/>
      <c r="PUA357" s="135"/>
      <c r="PUB357" s="135"/>
      <c r="PUC357" s="173"/>
      <c r="PUD357" s="173"/>
      <c r="PUE357" s="173"/>
      <c r="PUF357" s="173"/>
      <c r="PUG357" s="173"/>
      <c r="PUH357" s="173"/>
      <c r="PUI357" s="173"/>
      <c r="PUJ357" s="173"/>
      <c r="PUK357" s="173"/>
      <c r="PUL357" s="173"/>
      <c r="PUM357" s="125"/>
      <c r="PUN357" s="125"/>
      <c r="PUO357" s="134"/>
      <c r="PUP357" s="135"/>
      <c r="PUQ357" s="135"/>
      <c r="PUR357" s="135"/>
      <c r="PUS357" s="135"/>
      <c r="PUT357" s="173"/>
      <c r="PUU357" s="173"/>
      <c r="PUV357" s="173"/>
      <c r="PUW357" s="173"/>
      <c r="PUX357" s="173"/>
      <c r="PUY357" s="173"/>
      <c r="PUZ357" s="173"/>
      <c r="PVA357" s="173"/>
      <c r="PVB357" s="173"/>
      <c r="PVC357" s="173"/>
      <c r="PVD357" s="125"/>
      <c r="PVE357" s="125"/>
      <c r="PVF357" s="134"/>
      <c r="PVG357" s="135"/>
      <c r="PVH357" s="135"/>
      <c r="PVI357" s="135"/>
      <c r="PVJ357" s="135"/>
      <c r="PVK357" s="173"/>
      <c r="PVL357" s="173"/>
      <c r="PVM357" s="173"/>
      <c r="PVN357" s="173"/>
      <c r="PVO357" s="173"/>
      <c r="PVP357" s="173"/>
      <c r="PVQ357" s="173"/>
      <c r="PVR357" s="173"/>
      <c r="PVS357" s="173"/>
      <c r="PVT357" s="173"/>
      <c r="PVU357" s="125"/>
      <c r="PVV357" s="125"/>
      <c r="PVW357" s="134"/>
      <c r="PVX357" s="135"/>
      <c r="PVY357" s="135"/>
      <c r="PVZ357" s="135"/>
      <c r="PWA357" s="135"/>
      <c r="PWB357" s="173"/>
      <c r="PWC357" s="173"/>
      <c r="PWD357" s="173"/>
      <c r="PWE357" s="173"/>
      <c r="PWF357" s="173"/>
      <c r="PWG357" s="173"/>
      <c r="PWH357" s="173"/>
      <c r="PWI357" s="173"/>
      <c r="PWJ357" s="173"/>
      <c r="PWK357" s="173"/>
      <c r="PWL357" s="125"/>
      <c r="PWM357" s="125"/>
      <c r="PWN357" s="134"/>
      <c r="PWO357" s="135"/>
      <c r="PWP357" s="135"/>
      <c r="PWQ357" s="135"/>
      <c r="PWR357" s="135"/>
      <c r="PWS357" s="173"/>
      <c r="PWT357" s="173"/>
      <c r="PWU357" s="173"/>
      <c r="PWV357" s="173"/>
      <c r="PWW357" s="173"/>
      <c r="PWX357" s="173"/>
      <c r="PWY357" s="173"/>
      <c r="PWZ357" s="173"/>
      <c r="PXA357" s="173"/>
      <c r="PXB357" s="173"/>
      <c r="PXC357" s="125"/>
      <c r="PXD357" s="125"/>
      <c r="PXE357" s="134"/>
      <c r="PXF357" s="135"/>
      <c r="PXG357" s="135"/>
      <c r="PXH357" s="135"/>
      <c r="PXI357" s="135"/>
      <c r="PXJ357" s="173"/>
      <c r="PXK357" s="173"/>
      <c r="PXL357" s="173"/>
      <c r="PXM357" s="173"/>
      <c r="PXN357" s="173"/>
      <c r="PXO357" s="173"/>
      <c r="PXP357" s="173"/>
      <c r="PXQ357" s="173"/>
      <c r="PXR357" s="173"/>
      <c r="PXS357" s="173"/>
      <c r="PXT357" s="125"/>
      <c r="PXU357" s="125"/>
      <c r="PXV357" s="134"/>
      <c r="PXW357" s="135"/>
      <c r="PXX357" s="135"/>
      <c r="PXY357" s="135"/>
      <c r="PXZ357" s="135"/>
      <c r="PYA357" s="173"/>
      <c r="PYB357" s="173"/>
      <c r="PYC357" s="173"/>
      <c r="PYD357" s="173"/>
      <c r="PYE357" s="173"/>
      <c r="PYF357" s="173"/>
      <c r="PYG357" s="173"/>
      <c r="PYH357" s="173"/>
      <c r="PYI357" s="173"/>
      <c r="PYJ357" s="173"/>
      <c r="PYK357" s="125"/>
      <c r="PYL357" s="125"/>
      <c r="PYM357" s="134"/>
      <c r="PYN357" s="135"/>
      <c r="PYO357" s="135"/>
      <c r="PYP357" s="135"/>
      <c r="PYQ357" s="135"/>
      <c r="PYR357" s="173"/>
      <c r="PYS357" s="173"/>
      <c r="PYT357" s="173"/>
      <c r="PYU357" s="173"/>
      <c r="PYV357" s="173"/>
      <c r="PYW357" s="173"/>
      <c r="PYX357" s="173"/>
      <c r="PYY357" s="173"/>
      <c r="PYZ357" s="173"/>
      <c r="PZA357" s="173"/>
      <c r="PZB357" s="125"/>
      <c r="PZC357" s="125"/>
      <c r="PZD357" s="134"/>
      <c r="PZE357" s="135"/>
      <c r="PZF357" s="135"/>
      <c r="PZG357" s="135"/>
      <c r="PZH357" s="135"/>
      <c r="PZI357" s="173"/>
      <c r="PZJ357" s="173"/>
      <c r="PZK357" s="173"/>
      <c r="PZL357" s="173"/>
      <c r="PZM357" s="173"/>
      <c r="PZN357" s="173"/>
      <c r="PZO357" s="173"/>
      <c r="PZP357" s="173"/>
      <c r="PZQ357" s="173"/>
      <c r="PZR357" s="173"/>
      <c r="PZS357" s="125"/>
      <c r="PZT357" s="125"/>
      <c r="PZU357" s="134"/>
      <c r="PZV357" s="135"/>
      <c r="PZW357" s="135"/>
      <c r="PZX357" s="135"/>
      <c r="PZY357" s="135"/>
      <c r="PZZ357" s="173"/>
      <c r="QAA357" s="173"/>
      <c r="QAB357" s="173"/>
      <c r="QAC357" s="173"/>
      <c r="QAD357" s="173"/>
      <c r="QAE357" s="173"/>
      <c r="QAF357" s="173"/>
      <c r="QAG357" s="173"/>
      <c r="QAH357" s="173"/>
      <c r="QAI357" s="173"/>
      <c r="QAJ357" s="125"/>
      <c r="QAK357" s="125"/>
      <c r="QAL357" s="134"/>
      <c r="QAM357" s="135"/>
      <c r="QAN357" s="135"/>
      <c r="QAO357" s="135"/>
      <c r="QAP357" s="135"/>
      <c r="QAQ357" s="173"/>
      <c r="QAR357" s="173"/>
      <c r="QAS357" s="173"/>
      <c r="QAT357" s="173"/>
      <c r="QAU357" s="173"/>
      <c r="QAV357" s="173"/>
      <c r="QAW357" s="173"/>
      <c r="QAX357" s="173"/>
      <c r="QAY357" s="173"/>
      <c r="QAZ357" s="173"/>
      <c r="QBA357" s="125"/>
      <c r="QBB357" s="125"/>
      <c r="QBC357" s="134"/>
      <c r="QBD357" s="135"/>
      <c r="QBE357" s="135"/>
      <c r="QBF357" s="135"/>
      <c r="QBG357" s="135"/>
      <c r="QBH357" s="173"/>
      <c r="QBI357" s="173"/>
      <c r="QBJ357" s="173"/>
      <c r="QBK357" s="173"/>
      <c r="QBL357" s="173"/>
      <c r="QBM357" s="173"/>
      <c r="QBN357" s="173"/>
      <c r="QBO357" s="173"/>
      <c r="QBP357" s="173"/>
      <c r="QBQ357" s="173"/>
      <c r="QBR357" s="125"/>
      <c r="QBS357" s="125"/>
      <c r="QBT357" s="134"/>
      <c r="QBU357" s="135"/>
      <c r="QBV357" s="135"/>
      <c r="QBW357" s="135"/>
      <c r="QBX357" s="135"/>
      <c r="QBY357" s="173"/>
      <c r="QBZ357" s="173"/>
      <c r="QCA357" s="173"/>
      <c r="QCB357" s="173"/>
      <c r="QCC357" s="173"/>
      <c r="QCD357" s="173"/>
      <c r="QCE357" s="173"/>
      <c r="QCF357" s="173"/>
      <c r="QCG357" s="173"/>
      <c r="QCH357" s="173"/>
      <c r="QCI357" s="125"/>
      <c r="QCJ357" s="125"/>
      <c r="QCK357" s="134"/>
      <c r="QCL357" s="135"/>
      <c r="QCM357" s="135"/>
      <c r="QCN357" s="135"/>
      <c r="QCO357" s="135"/>
      <c r="QCP357" s="173"/>
      <c r="QCQ357" s="173"/>
      <c r="QCR357" s="173"/>
      <c r="QCS357" s="173"/>
      <c r="QCT357" s="173"/>
      <c r="QCU357" s="173"/>
      <c r="QCV357" s="173"/>
      <c r="QCW357" s="173"/>
      <c r="QCX357" s="173"/>
      <c r="QCY357" s="173"/>
      <c r="QCZ357" s="125"/>
      <c r="QDA357" s="125"/>
      <c r="QDB357" s="134"/>
      <c r="QDC357" s="135"/>
      <c r="QDD357" s="135"/>
      <c r="QDE357" s="135"/>
      <c r="QDF357" s="135"/>
      <c r="QDG357" s="173"/>
      <c r="QDH357" s="173"/>
      <c r="QDI357" s="173"/>
      <c r="QDJ357" s="173"/>
      <c r="QDK357" s="173"/>
      <c r="QDL357" s="173"/>
      <c r="QDM357" s="173"/>
      <c r="QDN357" s="173"/>
      <c r="QDO357" s="173"/>
      <c r="QDP357" s="173"/>
      <c r="QDQ357" s="125"/>
      <c r="QDR357" s="125"/>
      <c r="QDS357" s="134"/>
      <c r="QDT357" s="135"/>
      <c r="QDU357" s="135"/>
      <c r="QDV357" s="135"/>
      <c r="QDW357" s="135"/>
      <c r="QDX357" s="173"/>
      <c r="QDY357" s="173"/>
      <c r="QDZ357" s="173"/>
      <c r="QEA357" s="173"/>
      <c r="QEB357" s="173"/>
      <c r="QEC357" s="173"/>
      <c r="QED357" s="173"/>
      <c r="QEE357" s="173"/>
      <c r="QEF357" s="173"/>
      <c r="QEG357" s="173"/>
      <c r="QEH357" s="125"/>
      <c r="QEI357" s="125"/>
      <c r="QEJ357" s="134"/>
      <c r="QEK357" s="135"/>
      <c r="QEL357" s="135"/>
      <c r="QEM357" s="135"/>
      <c r="QEN357" s="135"/>
      <c r="QEO357" s="173"/>
      <c r="QEP357" s="173"/>
      <c r="QEQ357" s="173"/>
      <c r="QER357" s="173"/>
      <c r="QES357" s="173"/>
      <c r="QET357" s="173"/>
      <c r="QEU357" s="173"/>
      <c r="QEV357" s="173"/>
      <c r="QEW357" s="173"/>
      <c r="QEX357" s="173"/>
      <c r="QEY357" s="125"/>
      <c r="QEZ357" s="125"/>
      <c r="QFA357" s="134"/>
      <c r="QFB357" s="135"/>
      <c r="QFC357" s="135"/>
      <c r="QFD357" s="135"/>
      <c r="QFE357" s="135"/>
      <c r="QFF357" s="173"/>
      <c r="QFG357" s="173"/>
      <c r="QFH357" s="173"/>
      <c r="QFI357" s="173"/>
      <c r="QFJ357" s="173"/>
      <c r="QFK357" s="173"/>
      <c r="QFL357" s="173"/>
      <c r="QFM357" s="173"/>
      <c r="QFN357" s="173"/>
      <c r="QFO357" s="173"/>
      <c r="QFP357" s="125"/>
      <c r="QFQ357" s="125"/>
      <c r="QFR357" s="134"/>
      <c r="QFS357" s="135"/>
      <c r="QFT357" s="135"/>
      <c r="QFU357" s="135"/>
      <c r="QFV357" s="135"/>
      <c r="QFW357" s="173"/>
      <c r="QFX357" s="173"/>
      <c r="QFY357" s="173"/>
      <c r="QFZ357" s="173"/>
      <c r="QGA357" s="173"/>
      <c r="QGB357" s="173"/>
      <c r="QGC357" s="173"/>
      <c r="QGD357" s="173"/>
      <c r="QGE357" s="173"/>
      <c r="QGF357" s="173"/>
      <c r="QGG357" s="125"/>
      <c r="QGH357" s="125"/>
      <c r="QGI357" s="134"/>
      <c r="QGJ357" s="135"/>
      <c r="QGK357" s="135"/>
      <c r="QGL357" s="135"/>
      <c r="QGM357" s="135"/>
      <c r="QGN357" s="173"/>
      <c r="QGO357" s="173"/>
      <c r="QGP357" s="173"/>
      <c r="QGQ357" s="173"/>
      <c r="QGR357" s="173"/>
      <c r="QGS357" s="173"/>
      <c r="QGT357" s="173"/>
      <c r="QGU357" s="173"/>
      <c r="QGV357" s="173"/>
      <c r="QGW357" s="173"/>
      <c r="QGX357" s="125"/>
      <c r="QGY357" s="125"/>
      <c r="QGZ357" s="134"/>
      <c r="QHA357" s="135"/>
      <c r="QHB357" s="135"/>
      <c r="QHC357" s="135"/>
      <c r="QHD357" s="135"/>
      <c r="QHE357" s="173"/>
      <c r="QHF357" s="173"/>
      <c r="QHG357" s="173"/>
      <c r="QHH357" s="173"/>
      <c r="QHI357" s="173"/>
      <c r="QHJ357" s="173"/>
      <c r="QHK357" s="173"/>
      <c r="QHL357" s="173"/>
      <c r="QHM357" s="173"/>
      <c r="QHN357" s="173"/>
      <c r="QHO357" s="125"/>
      <c r="QHP357" s="125"/>
      <c r="QHQ357" s="134"/>
      <c r="QHR357" s="135"/>
      <c r="QHS357" s="135"/>
      <c r="QHT357" s="135"/>
      <c r="QHU357" s="135"/>
      <c r="QHV357" s="173"/>
      <c r="QHW357" s="173"/>
      <c r="QHX357" s="173"/>
      <c r="QHY357" s="173"/>
      <c r="QHZ357" s="173"/>
      <c r="QIA357" s="173"/>
      <c r="QIB357" s="173"/>
      <c r="QIC357" s="173"/>
      <c r="QID357" s="173"/>
      <c r="QIE357" s="173"/>
      <c r="QIF357" s="125"/>
      <c r="QIG357" s="125"/>
      <c r="QIH357" s="134"/>
      <c r="QII357" s="135"/>
      <c r="QIJ357" s="135"/>
      <c r="QIK357" s="135"/>
      <c r="QIL357" s="135"/>
      <c r="QIM357" s="173"/>
      <c r="QIN357" s="173"/>
      <c r="QIO357" s="173"/>
      <c r="QIP357" s="173"/>
      <c r="QIQ357" s="173"/>
      <c r="QIR357" s="173"/>
      <c r="QIS357" s="173"/>
      <c r="QIT357" s="173"/>
      <c r="QIU357" s="173"/>
      <c r="QIV357" s="173"/>
      <c r="QIW357" s="125"/>
      <c r="QIX357" s="125"/>
      <c r="QIY357" s="134"/>
      <c r="QIZ357" s="135"/>
      <c r="QJA357" s="135"/>
      <c r="QJB357" s="135"/>
      <c r="QJC357" s="135"/>
      <c r="QJD357" s="173"/>
      <c r="QJE357" s="173"/>
      <c r="QJF357" s="173"/>
      <c r="QJG357" s="173"/>
      <c r="QJH357" s="173"/>
      <c r="QJI357" s="173"/>
      <c r="QJJ357" s="173"/>
      <c r="QJK357" s="173"/>
      <c r="QJL357" s="173"/>
      <c r="QJM357" s="173"/>
      <c r="QJN357" s="125"/>
      <c r="QJO357" s="125"/>
      <c r="QJP357" s="134"/>
      <c r="QJQ357" s="135"/>
      <c r="QJR357" s="135"/>
      <c r="QJS357" s="135"/>
      <c r="QJT357" s="135"/>
      <c r="QJU357" s="173"/>
      <c r="QJV357" s="173"/>
      <c r="QJW357" s="173"/>
      <c r="QJX357" s="173"/>
      <c r="QJY357" s="173"/>
      <c r="QJZ357" s="173"/>
      <c r="QKA357" s="173"/>
      <c r="QKB357" s="173"/>
      <c r="QKC357" s="173"/>
      <c r="QKD357" s="173"/>
      <c r="QKE357" s="125"/>
      <c r="QKF357" s="125"/>
      <c r="QKG357" s="134"/>
      <c r="QKH357" s="135"/>
      <c r="QKI357" s="135"/>
      <c r="QKJ357" s="135"/>
      <c r="QKK357" s="135"/>
      <c r="QKL357" s="173"/>
      <c r="QKM357" s="173"/>
      <c r="QKN357" s="173"/>
      <c r="QKO357" s="173"/>
      <c r="QKP357" s="173"/>
      <c r="QKQ357" s="173"/>
      <c r="QKR357" s="173"/>
      <c r="QKS357" s="173"/>
      <c r="QKT357" s="173"/>
      <c r="QKU357" s="173"/>
      <c r="QKV357" s="125"/>
      <c r="QKW357" s="125"/>
      <c r="QKX357" s="134"/>
      <c r="QKY357" s="135"/>
      <c r="QKZ357" s="135"/>
      <c r="QLA357" s="135"/>
      <c r="QLB357" s="135"/>
      <c r="QLC357" s="173"/>
      <c r="QLD357" s="173"/>
      <c r="QLE357" s="173"/>
      <c r="QLF357" s="173"/>
      <c r="QLG357" s="173"/>
      <c r="QLH357" s="173"/>
      <c r="QLI357" s="173"/>
      <c r="QLJ357" s="173"/>
      <c r="QLK357" s="173"/>
      <c r="QLL357" s="173"/>
      <c r="QLM357" s="125"/>
      <c r="QLN357" s="125"/>
      <c r="QLO357" s="134"/>
      <c r="QLP357" s="135"/>
      <c r="QLQ357" s="135"/>
      <c r="QLR357" s="135"/>
      <c r="QLS357" s="135"/>
      <c r="QLT357" s="173"/>
      <c r="QLU357" s="173"/>
      <c r="QLV357" s="173"/>
      <c r="QLW357" s="173"/>
      <c r="QLX357" s="173"/>
      <c r="QLY357" s="173"/>
      <c r="QLZ357" s="173"/>
      <c r="QMA357" s="173"/>
      <c r="QMB357" s="173"/>
      <c r="QMC357" s="173"/>
      <c r="QMD357" s="125"/>
      <c r="QME357" s="125"/>
      <c r="QMF357" s="134"/>
      <c r="QMG357" s="135"/>
      <c r="QMH357" s="135"/>
      <c r="QMI357" s="135"/>
      <c r="QMJ357" s="135"/>
      <c r="QMK357" s="173"/>
      <c r="QML357" s="173"/>
      <c r="QMM357" s="173"/>
      <c r="QMN357" s="173"/>
      <c r="QMO357" s="173"/>
      <c r="QMP357" s="173"/>
      <c r="QMQ357" s="173"/>
      <c r="QMR357" s="173"/>
      <c r="QMS357" s="173"/>
      <c r="QMT357" s="173"/>
      <c r="QMU357" s="125"/>
      <c r="QMV357" s="125"/>
      <c r="QMW357" s="134"/>
      <c r="QMX357" s="135"/>
      <c r="QMY357" s="135"/>
      <c r="QMZ357" s="135"/>
      <c r="QNA357" s="135"/>
      <c r="QNB357" s="173"/>
      <c r="QNC357" s="173"/>
      <c r="QND357" s="173"/>
      <c r="QNE357" s="173"/>
      <c r="QNF357" s="173"/>
      <c r="QNG357" s="173"/>
      <c r="QNH357" s="173"/>
      <c r="QNI357" s="173"/>
      <c r="QNJ357" s="173"/>
      <c r="QNK357" s="173"/>
      <c r="QNL357" s="125"/>
      <c r="QNM357" s="125"/>
      <c r="QNN357" s="134"/>
      <c r="QNO357" s="135"/>
      <c r="QNP357" s="135"/>
      <c r="QNQ357" s="135"/>
      <c r="QNR357" s="135"/>
      <c r="QNS357" s="173"/>
      <c r="QNT357" s="173"/>
      <c r="QNU357" s="173"/>
      <c r="QNV357" s="173"/>
      <c r="QNW357" s="173"/>
      <c r="QNX357" s="173"/>
      <c r="QNY357" s="173"/>
      <c r="QNZ357" s="173"/>
      <c r="QOA357" s="173"/>
      <c r="QOB357" s="173"/>
      <c r="QOC357" s="125"/>
      <c r="QOD357" s="125"/>
      <c r="QOE357" s="134"/>
      <c r="QOF357" s="135"/>
      <c r="QOG357" s="135"/>
      <c r="QOH357" s="135"/>
      <c r="QOI357" s="135"/>
      <c r="QOJ357" s="173"/>
      <c r="QOK357" s="173"/>
      <c r="QOL357" s="173"/>
      <c r="QOM357" s="173"/>
      <c r="QON357" s="173"/>
      <c r="QOO357" s="173"/>
      <c r="QOP357" s="173"/>
      <c r="QOQ357" s="173"/>
      <c r="QOR357" s="173"/>
      <c r="QOS357" s="173"/>
      <c r="QOT357" s="125"/>
      <c r="QOU357" s="125"/>
      <c r="QOV357" s="134"/>
      <c r="QOW357" s="135"/>
      <c r="QOX357" s="135"/>
      <c r="QOY357" s="135"/>
      <c r="QOZ357" s="135"/>
      <c r="QPA357" s="173"/>
      <c r="QPB357" s="173"/>
      <c r="QPC357" s="173"/>
      <c r="QPD357" s="173"/>
      <c r="QPE357" s="173"/>
      <c r="QPF357" s="173"/>
      <c r="QPG357" s="173"/>
      <c r="QPH357" s="173"/>
      <c r="QPI357" s="173"/>
      <c r="QPJ357" s="173"/>
      <c r="QPK357" s="125"/>
      <c r="QPL357" s="125"/>
      <c r="QPM357" s="134"/>
      <c r="QPN357" s="135"/>
      <c r="QPO357" s="135"/>
      <c r="QPP357" s="135"/>
      <c r="QPQ357" s="135"/>
      <c r="QPR357" s="173"/>
      <c r="QPS357" s="173"/>
      <c r="QPT357" s="173"/>
      <c r="QPU357" s="173"/>
      <c r="QPV357" s="173"/>
      <c r="QPW357" s="173"/>
      <c r="QPX357" s="173"/>
      <c r="QPY357" s="173"/>
      <c r="QPZ357" s="173"/>
      <c r="QQA357" s="173"/>
      <c r="QQB357" s="125"/>
      <c r="QQC357" s="125"/>
      <c r="QQD357" s="134"/>
      <c r="QQE357" s="135"/>
      <c r="QQF357" s="135"/>
      <c r="QQG357" s="135"/>
      <c r="QQH357" s="135"/>
      <c r="QQI357" s="173"/>
      <c r="QQJ357" s="173"/>
      <c r="QQK357" s="173"/>
      <c r="QQL357" s="173"/>
      <c r="QQM357" s="173"/>
      <c r="QQN357" s="173"/>
      <c r="QQO357" s="173"/>
      <c r="QQP357" s="173"/>
      <c r="QQQ357" s="173"/>
      <c r="QQR357" s="173"/>
      <c r="QQS357" s="125"/>
      <c r="QQT357" s="125"/>
      <c r="QQU357" s="134"/>
      <c r="QQV357" s="135"/>
      <c r="QQW357" s="135"/>
      <c r="QQX357" s="135"/>
      <c r="QQY357" s="135"/>
      <c r="QQZ357" s="173"/>
      <c r="QRA357" s="173"/>
      <c r="QRB357" s="173"/>
      <c r="QRC357" s="173"/>
      <c r="QRD357" s="173"/>
      <c r="QRE357" s="173"/>
      <c r="QRF357" s="173"/>
      <c r="QRG357" s="173"/>
      <c r="QRH357" s="173"/>
      <c r="QRI357" s="173"/>
      <c r="QRJ357" s="125"/>
      <c r="QRK357" s="125"/>
      <c r="QRL357" s="134"/>
      <c r="QRM357" s="135"/>
      <c r="QRN357" s="135"/>
      <c r="QRO357" s="135"/>
      <c r="QRP357" s="135"/>
      <c r="QRQ357" s="173"/>
      <c r="QRR357" s="173"/>
      <c r="QRS357" s="173"/>
      <c r="QRT357" s="173"/>
      <c r="QRU357" s="173"/>
      <c r="QRV357" s="173"/>
      <c r="QRW357" s="173"/>
      <c r="QRX357" s="173"/>
      <c r="QRY357" s="173"/>
      <c r="QRZ357" s="173"/>
      <c r="QSA357" s="125"/>
      <c r="QSB357" s="125"/>
      <c r="QSC357" s="134"/>
      <c r="QSD357" s="135"/>
      <c r="QSE357" s="135"/>
      <c r="QSF357" s="135"/>
      <c r="QSG357" s="135"/>
      <c r="QSH357" s="173"/>
      <c r="QSI357" s="173"/>
      <c r="QSJ357" s="173"/>
      <c r="QSK357" s="173"/>
      <c r="QSL357" s="173"/>
      <c r="QSM357" s="173"/>
      <c r="QSN357" s="173"/>
      <c r="QSO357" s="173"/>
      <c r="QSP357" s="173"/>
      <c r="QSQ357" s="173"/>
      <c r="QSR357" s="125"/>
      <c r="QSS357" s="125"/>
      <c r="QST357" s="134"/>
      <c r="QSU357" s="135"/>
      <c r="QSV357" s="135"/>
      <c r="QSW357" s="135"/>
      <c r="QSX357" s="135"/>
      <c r="QSY357" s="173"/>
      <c r="QSZ357" s="173"/>
      <c r="QTA357" s="173"/>
      <c r="QTB357" s="173"/>
      <c r="QTC357" s="173"/>
      <c r="QTD357" s="173"/>
      <c r="QTE357" s="173"/>
      <c r="QTF357" s="173"/>
      <c r="QTG357" s="173"/>
      <c r="QTH357" s="173"/>
      <c r="QTI357" s="125"/>
      <c r="QTJ357" s="125"/>
      <c r="QTK357" s="134"/>
      <c r="QTL357" s="135"/>
      <c r="QTM357" s="135"/>
      <c r="QTN357" s="135"/>
      <c r="QTO357" s="135"/>
      <c r="QTP357" s="173"/>
      <c r="QTQ357" s="173"/>
      <c r="QTR357" s="173"/>
      <c r="QTS357" s="173"/>
      <c r="QTT357" s="173"/>
      <c r="QTU357" s="173"/>
      <c r="QTV357" s="173"/>
      <c r="QTW357" s="173"/>
      <c r="QTX357" s="173"/>
      <c r="QTY357" s="173"/>
      <c r="QTZ357" s="125"/>
      <c r="QUA357" s="125"/>
      <c r="QUB357" s="134"/>
      <c r="QUC357" s="135"/>
      <c r="QUD357" s="135"/>
      <c r="QUE357" s="135"/>
      <c r="QUF357" s="135"/>
      <c r="QUG357" s="173"/>
      <c r="QUH357" s="173"/>
      <c r="QUI357" s="173"/>
      <c r="QUJ357" s="173"/>
      <c r="QUK357" s="173"/>
      <c r="QUL357" s="173"/>
      <c r="QUM357" s="173"/>
      <c r="QUN357" s="173"/>
      <c r="QUO357" s="173"/>
      <c r="QUP357" s="173"/>
      <c r="QUQ357" s="125"/>
      <c r="QUR357" s="125"/>
      <c r="QUS357" s="134"/>
      <c r="QUT357" s="135"/>
      <c r="QUU357" s="135"/>
      <c r="QUV357" s="135"/>
      <c r="QUW357" s="135"/>
      <c r="QUX357" s="173"/>
      <c r="QUY357" s="173"/>
      <c r="QUZ357" s="173"/>
      <c r="QVA357" s="173"/>
      <c r="QVB357" s="173"/>
      <c r="QVC357" s="173"/>
      <c r="QVD357" s="173"/>
      <c r="QVE357" s="173"/>
      <c r="QVF357" s="173"/>
      <c r="QVG357" s="173"/>
      <c r="QVH357" s="125"/>
      <c r="QVI357" s="125"/>
      <c r="QVJ357" s="134"/>
      <c r="QVK357" s="135"/>
      <c r="QVL357" s="135"/>
      <c r="QVM357" s="135"/>
      <c r="QVN357" s="135"/>
      <c r="QVO357" s="173"/>
      <c r="QVP357" s="173"/>
      <c r="QVQ357" s="173"/>
      <c r="QVR357" s="173"/>
      <c r="QVS357" s="173"/>
      <c r="QVT357" s="173"/>
      <c r="QVU357" s="173"/>
      <c r="QVV357" s="173"/>
      <c r="QVW357" s="173"/>
      <c r="QVX357" s="173"/>
      <c r="QVY357" s="125"/>
      <c r="QVZ357" s="125"/>
      <c r="QWA357" s="134"/>
      <c r="QWB357" s="135"/>
      <c r="QWC357" s="135"/>
      <c r="QWD357" s="135"/>
      <c r="QWE357" s="135"/>
      <c r="QWF357" s="173"/>
      <c r="QWG357" s="173"/>
      <c r="QWH357" s="173"/>
      <c r="QWI357" s="173"/>
      <c r="QWJ357" s="173"/>
      <c r="QWK357" s="173"/>
      <c r="QWL357" s="173"/>
      <c r="QWM357" s="173"/>
      <c r="QWN357" s="173"/>
      <c r="QWO357" s="173"/>
      <c r="QWP357" s="125"/>
      <c r="QWQ357" s="125"/>
      <c r="QWR357" s="134"/>
      <c r="QWS357" s="135"/>
      <c r="QWT357" s="135"/>
      <c r="QWU357" s="135"/>
      <c r="QWV357" s="135"/>
      <c r="QWW357" s="173"/>
      <c r="QWX357" s="173"/>
      <c r="QWY357" s="173"/>
      <c r="QWZ357" s="173"/>
      <c r="QXA357" s="173"/>
      <c r="QXB357" s="173"/>
      <c r="QXC357" s="173"/>
      <c r="QXD357" s="173"/>
      <c r="QXE357" s="173"/>
      <c r="QXF357" s="173"/>
      <c r="QXG357" s="125"/>
      <c r="QXH357" s="125"/>
      <c r="QXI357" s="134"/>
      <c r="QXJ357" s="135"/>
      <c r="QXK357" s="135"/>
      <c r="QXL357" s="135"/>
      <c r="QXM357" s="135"/>
      <c r="QXN357" s="173"/>
      <c r="QXO357" s="173"/>
      <c r="QXP357" s="173"/>
      <c r="QXQ357" s="173"/>
      <c r="QXR357" s="173"/>
      <c r="QXS357" s="173"/>
      <c r="QXT357" s="173"/>
      <c r="QXU357" s="173"/>
      <c r="QXV357" s="173"/>
      <c r="QXW357" s="173"/>
      <c r="QXX357" s="125"/>
      <c r="QXY357" s="125"/>
      <c r="QXZ357" s="134"/>
      <c r="QYA357" s="135"/>
      <c r="QYB357" s="135"/>
      <c r="QYC357" s="135"/>
      <c r="QYD357" s="135"/>
      <c r="QYE357" s="173"/>
      <c r="QYF357" s="173"/>
      <c r="QYG357" s="173"/>
      <c r="QYH357" s="173"/>
      <c r="QYI357" s="173"/>
      <c r="QYJ357" s="173"/>
      <c r="QYK357" s="173"/>
      <c r="QYL357" s="173"/>
      <c r="QYM357" s="173"/>
      <c r="QYN357" s="173"/>
      <c r="QYO357" s="125"/>
      <c r="QYP357" s="125"/>
      <c r="QYQ357" s="134"/>
      <c r="QYR357" s="135"/>
      <c r="QYS357" s="135"/>
      <c r="QYT357" s="135"/>
      <c r="QYU357" s="135"/>
      <c r="QYV357" s="173"/>
      <c r="QYW357" s="173"/>
      <c r="QYX357" s="173"/>
      <c r="QYY357" s="173"/>
      <c r="QYZ357" s="173"/>
      <c r="QZA357" s="173"/>
      <c r="QZB357" s="173"/>
      <c r="QZC357" s="173"/>
      <c r="QZD357" s="173"/>
      <c r="QZE357" s="173"/>
      <c r="QZF357" s="125"/>
      <c r="QZG357" s="125"/>
      <c r="QZH357" s="134"/>
      <c r="QZI357" s="135"/>
      <c r="QZJ357" s="135"/>
      <c r="QZK357" s="135"/>
      <c r="QZL357" s="135"/>
      <c r="QZM357" s="173"/>
      <c r="QZN357" s="173"/>
      <c r="QZO357" s="173"/>
      <c r="QZP357" s="173"/>
      <c r="QZQ357" s="173"/>
      <c r="QZR357" s="173"/>
      <c r="QZS357" s="173"/>
      <c r="QZT357" s="173"/>
      <c r="QZU357" s="173"/>
      <c r="QZV357" s="173"/>
      <c r="QZW357" s="125"/>
      <c r="QZX357" s="125"/>
      <c r="QZY357" s="134"/>
      <c r="QZZ357" s="135"/>
      <c r="RAA357" s="135"/>
      <c r="RAB357" s="135"/>
      <c r="RAC357" s="135"/>
      <c r="RAD357" s="173"/>
      <c r="RAE357" s="173"/>
      <c r="RAF357" s="173"/>
      <c r="RAG357" s="173"/>
      <c r="RAH357" s="173"/>
      <c r="RAI357" s="173"/>
      <c r="RAJ357" s="173"/>
      <c r="RAK357" s="173"/>
      <c r="RAL357" s="173"/>
      <c r="RAM357" s="173"/>
      <c r="RAN357" s="125"/>
      <c r="RAO357" s="125"/>
      <c r="RAP357" s="134"/>
      <c r="RAQ357" s="135"/>
      <c r="RAR357" s="135"/>
      <c r="RAS357" s="135"/>
      <c r="RAT357" s="135"/>
      <c r="RAU357" s="173"/>
      <c r="RAV357" s="173"/>
      <c r="RAW357" s="173"/>
      <c r="RAX357" s="173"/>
      <c r="RAY357" s="173"/>
      <c r="RAZ357" s="173"/>
      <c r="RBA357" s="173"/>
      <c r="RBB357" s="173"/>
      <c r="RBC357" s="173"/>
      <c r="RBD357" s="173"/>
      <c r="RBE357" s="125"/>
      <c r="RBF357" s="125"/>
      <c r="RBG357" s="134"/>
      <c r="RBH357" s="135"/>
      <c r="RBI357" s="135"/>
      <c r="RBJ357" s="135"/>
      <c r="RBK357" s="135"/>
      <c r="RBL357" s="173"/>
      <c r="RBM357" s="173"/>
      <c r="RBN357" s="173"/>
      <c r="RBO357" s="173"/>
      <c r="RBP357" s="173"/>
      <c r="RBQ357" s="173"/>
      <c r="RBR357" s="173"/>
      <c r="RBS357" s="173"/>
      <c r="RBT357" s="173"/>
      <c r="RBU357" s="173"/>
      <c r="RBV357" s="125"/>
      <c r="RBW357" s="125"/>
      <c r="RBX357" s="134"/>
      <c r="RBY357" s="135"/>
      <c r="RBZ357" s="135"/>
      <c r="RCA357" s="135"/>
      <c r="RCB357" s="135"/>
      <c r="RCC357" s="173"/>
      <c r="RCD357" s="173"/>
      <c r="RCE357" s="173"/>
      <c r="RCF357" s="173"/>
      <c r="RCG357" s="173"/>
      <c r="RCH357" s="173"/>
      <c r="RCI357" s="173"/>
      <c r="RCJ357" s="173"/>
      <c r="RCK357" s="173"/>
      <c r="RCL357" s="173"/>
      <c r="RCM357" s="125"/>
      <c r="RCN357" s="125"/>
      <c r="RCO357" s="134"/>
      <c r="RCP357" s="135"/>
      <c r="RCQ357" s="135"/>
      <c r="RCR357" s="135"/>
      <c r="RCS357" s="135"/>
      <c r="RCT357" s="173"/>
      <c r="RCU357" s="173"/>
      <c r="RCV357" s="173"/>
      <c r="RCW357" s="173"/>
      <c r="RCX357" s="173"/>
      <c r="RCY357" s="173"/>
      <c r="RCZ357" s="173"/>
      <c r="RDA357" s="173"/>
      <c r="RDB357" s="173"/>
      <c r="RDC357" s="173"/>
      <c r="RDD357" s="125"/>
      <c r="RDE357" s="125"/>
      <c r="RDF357" s="134"/>
      <c r="RDG357" s="135"/>
      <c r="RDH357" s="135"/>
      <c r="RDI357" s="135"/>
      <c r="RDJ357" s="135"/>
      <c r="RDK357" s="173"/>
      <c r="RDL357" s="173"/>
      <c r="RDM357" s="173"/>
      <c r="RDN357" s="173"/>
      <c r="RDO357" s="173"/>
      <c r="RDP357" s="173"/>
      <c r="RDQ357" s="173"/>
      <c r="RDR357" s="173"/>
      <c r="RDS357" s="173"/>
      <c r="RDT357" s="173"/>
      <c r="RDU357" s="125"/>
      <c r="RDV357" s="125"/>
      <c r="RDW357" s="134"/>
      <c r="RDX357" s="135"/>
      <c r="RDY357" s="135"/>
      <c r="RDZ357" s="135"/>
      <c r="REA357" s="135"/>
      <c r="REB357" s="173"/>
      <c r="REC357" s="173"/>
      <c r="RED357" s="173"/>
      <c r="REE357" s="173"/>
      <c r="REF357" s="173"/>
      <c r="REG357" s="173"/>
      <c r="REH357" s="173"/>
      <c r="REI357" s="173"/>
      <c r="REJ357" s="173"/>
      <c r="REK357" s="173"/>
      <c r="REL357" s="125"/>
      <c r="REM357" s="125"/>
      <c r="REN357" s="134"/>
      <c r="REO357" s="135"/>
      <c r="REP357" s="135"/>
      <c r="REQ357" s="135"/>
      <c r="RER357" s="135"/>
      <c r="RES357" s="173"/>
      <c r="RET357" s="173"/>
      <c r="REU357" s="173"/>
      <c r="REV357" s="173"/>
      <c r="REW357" s="173"/>
      <c r="REX357" s="173"/>
      <c r="REY357" s="173"/>
      <c r="REZ357" s="173"/>
      <c r="RFA357" s="173"/>
      <c r="RFB357" s="173"/>
      <c r="RFC357" s="125"/>
      <c r="RFD357" s="125"/>
      <c r="RFE357" s="134"/>
      <c r="RFF357" s="135"/>
      <c r="RFG357" s="135"/>
      <c r="RFH357" s="135"/>
      <c r="RFI357" s="135"/>
      <c r="RFJ357" s="173"/>
      <c r="RFK357" s="173"/>
      <c r="RFL357" s="173"/>
      <c r="RFM357" s="173"/>
      <c r="RFN357" s="173"/>
      <c r="RFO357" s="173"/>
      <c r="RFP357" s="173"/>
      <c r="RFQ357" s="173"/>
      <c r="RFR357" s="173"/>
      <c r="RFS357" s="173"/>
      <c r="RFT357" s="125"/>
      <c r="RFU357" s="125"/>
      <c r="RFV357" s="134"/>
      <c r="RFW357" s="135"/>
      <c r="RFX357" s="135"/>
      <c r="RFY357" s="135"/>
      <c r="RFZ357" s="135"/>
      <c r="RGA357" s="173"/>
      <c r="RGB357" s="173"/>
      <c r="RGC357" s="173"/>
      <c r="RGD357" s="173"/>
      <c r="RGE357" s="173"/>
      <c r="RGF357" s="173"/>
      <c r="RGG357" s="173"/>
      <c r="RGH357" s="173"/>
      <c r="RGI357" s="173"/>
      <c r="RGJ357" s="173"/>
      <c r="RGK357" s="125"/>
      <c r="RGL357" s="125"/>
      <c r="RGM357" s="134"/>
      <c r="RGN357" s="135"/>
      <c r="RGO357" s="135"/>
      <c r="RGP357" s="135"/>
      <c r="RGQ357" s="135"/>
      <c r="RGR357" s="173"/>
      <c r="RGS357" s="173"/>
      <c r="RGT357" s="173"/>
      <c r="RGU357" s="173"/>
      <c r="RGV357" s="173"/>
      <c r="RGW357" s="173"/>
      <c r="RGX357" s="173"/>
      <c r="RGY357" s="173"/>
      <c r="RGZ357" s="173"/>
      <c r="RHA357" s="173"/>
      <c r="RHB357" s="125"/>
      <c r="RHC357" s="125"/>
      <c r="RHD357" s="134"/>
      <c r="RHE357" s="135"/>
      <c r="RHF357" s="135"/>
      <c r="RHG357" s="135"/>
      <c r="RHH357" s="135"/>
      <c r="RHI357" s="173"/>
      <c r="RHJ357" s="173"/>
      <c r="RHK357" s="173"/>
      <c r="RHL357" s="173"/>
      <c r="RHM357" s="173"/>
      <c r="RHN357" s="173"/>
      <c r="RHO357" s="173"/>
      <c r="RHP357" s="173"/>
      <c r="RHQ357" s="173"/>
      <c r="RHR357" s="173"/>
      <c r="RHS357" s="125"/>
      <c r="RHT357" s="125"/>
      <c r="RHU357" s="134"/>
      <c r="RHV357" s="135"/>
      <c r="RHW357" s="135"/>
      <c r="RHX357" s="135"/>
      <c r="RHY357" s="135"/>
      <c r="RHZ357" s="173"/>
      <c r="RIA357" s="173"/>
      <c r="RIB357" s="173"/>
      <c r="RIC357" s="173"/>
      <c r="RID357" s="173"/>
      <c r="RIE357" s="173"/>
      <c r="RIF357" s="173"/>
      <c r="RIG357" s="173"/>
      <c r="RIH357" s="173"/>
      <c r="RII357" s="173"/>
      <c r="RIJ357" s="125"/>
      <c r="RIK357" s="125"/>
      <c r="RIL357" s="134"/>
      <c r="RIM357" s="135"/>
      <c r="RIN357" s="135"/>
      <c r="RIO357" s="135"/>
      <c r="RIP357" s="135"/>
      <c r="RIQ357" s="173"/>
      <c r="RIR357" s="173"/>
      <c r="RIS357" s="173"/>
      <c r="RIT357" s="173"/>
      <c r="RIU357" s="173"/>
      <c r="RIV357" s="173"/>
      <c r="RIW357" s="173"/>
      <c r="RIX357" s="173"/>
      <c r="RIY357" s="173"/>
      <c r="RIZ357" s="173"/>
      <c r="RJA357" s="125"/>
      <c r="RJB357" s="125"/>
      <c r="RJC357" s="134"/>
      <c r="RJD357" s="135"/>
      <c r="RJE357" s="135"/>
      <c r="RJF357" s="135"/>
      <c r="RJG357" s="135"/>
      <c r="RJH357" s="173"/>
      <c r="RJI357" s="173"/>
      <c r="RJJ357" s="173"/>
      <c r="RJK357" s="173"/>
      <c r="RJL357" s="173"/>
      <c r="RJM357" s="173"/>
      <c r="RJN357" s="173"/>
      <c r="RJO357" s="173"/>
      <c r="RJP357" s="173"/>
      <c r="RJQ357" s="173"/>
      <c r="RJR357" s="125"/>
      <c r="RJS357" s="125"/>
      <c r="RJT357" s="134"/>
      <c r="RJU357" s="135"/>
      <c r="RJV357" s="135"/>
      <c r="RJW357" s="135"/>
      <c r="RJX357" s="135"/>
      <c r="RJY357" s="173"/>
      <c r="RJZ357" s="173"/>
      <c r="RKA357" s="173"/>
      <c r="RKB357" s="173"/>
      <c r="RKC357" s="173"/>
      <c r="RKD357" s="173"/>
      <c r="RKE357" s="173"/>
      <c r="RKF357" s="173"/>
      <c r="RKG357" s="173"/>
      <c r="RKH357" s="173"/>
      <c r="RKI357" s="125"/>
      <c r="RKJ357" s="125"/>
      <c r="RKK357" s="134"/>
      <c r="RKL357" s="135"/>
      <c r="RKM357" s="135"/>
      <c r="RKN357" s="135"/>
      <c r="RKO357" s="135"/>
      <c r="RKP357" s="173"/>
      <c r="RKQ357" s="173"/>
      <c r="RKR357" s="173"/>
      <c r="RKS357" s="173"/>
      <c r="RKT357" s="173"/>
      <c r="RKU357" s="173"/>
      <c r="RKV357" s="173"/>
      <c r="RKW357" s="173"/>
      <c r="RKX357" s="173"/>
      <c r="RKY357" s="173"/>
      <c r="RKZ357" s="125"/>
      <c r="RLA357" s="125"/>
      <c r="RLB357" s="134"/>
      <c r="RLC357" s="135"/>
      <c r="RLD357" s="135"/>
      <c r="RLE357" s="135"/>
      <c r="RLF357" s="135"/>
      <c r="RLG357" s="173"/>
      <c r="RLH357" s="173"/>
      <c r="RLI357" s="173"/>
      <c r="RLJ357" s="173"/>
      <c r="RLK357" s="173"/>
      <c r="RLL357" s="173"/>
      <c r="RLM357" s="173"/>
      <c r="RLN357" s="173"/>
      <c r="RLO357" s="173"/>
      <c r="RLP357" s="173"/>
      <c r="RLQ357" s="125"/>
      <c r="RLR357" s="125"/>
      <c r="RLS357" s="134"/>
      <c r="RLT357" s="135"/>
      <c r="RLU357" s="135"/>
      <c r="RLV357" s="135"/>
      <c r="RLW357" s="135"/>
      <c r="RLX357" s="173"/>
      <c r="RLY357" s="173"/>
      <c r="RLZ357" s="173"/>
      <c r="RMA357" s="173"/>
      <c r="RMB357" s="173"/>
      <c r="RMC357" s="173"/>
      <c r="RMD357" s="173"/>
      <c r="RME357" s="173"/>
      <c r="RMF357" s="173"/>
      <c r="RMG357" s="173"/>
      <c r="RMH357" s="125"/>
      <c r="RMI357" s="125"/>
      <c r="RMJ357" s="134"/>
      <c r="RMK357" s="135"/>
      <c r="RML357" s="135"/>
      <c r="RMM357" s="135"/>
      <c r="RMN357" s="135"/>
      <c r="RMO357" s="173"/>
      <c r="RMP357" s="173"/>
      <c r="RMQ357" s="173"/>
      <c r="RMR357" s="173"/>
      <c r="RMS357" s="173"/>
      <c r="RMT357" s="173"/>
      <c r="RMU357" s="173"/>
      <c r="RMV357" s="173"/>
      <c r="RMW357" s="173"/>
      <c r="RMX357" s="173"/>
      <c r="RMY357" s="125"/>
      <c r="RMZ357" s="125"/>
      <c r="RNA357" s="134"/>
      <c r="RNB357" s="135"/>
      <c r="RNC357" s="135"/>
      <c r="RND357" s="135"/>
      <c r="RNE357" s="135"/>
      <c r="RNF357" s="173"/>
      <c r="RNG357" s="173"/>
      <c r="RNH357" s="173"/>
      <c r="RNI357" s="173"/>
      <c r="RNJ357" s="173"/>
      <c r="RNK357" s="173"/>
      <c r="RNL357" s="173"/>
      <c r="RNM357" s="173"/>
      <c r="RNN357" s="173"/>
      <c r="RNO357" s="173"/>
      <c r="RNP357" s="125"/>
      <c r="RNQ357" s="125"/>
      <c r="RNR357" s="134"/>
      <c r="RNS357" s="135"/>
      <c r="RNT357" s="135"/>
      <c r="RNU357" s="135"/>
      <c r="RNV357" s="135"/>
      <c r="RNW357" s="173"/>
      <c r="RNX357" s="173"/>
      <c r="RNY357" s="173"/>
      <c r="RNZ357" s="173"/>
      <c r="ROA357" s="173"/>
      <c r="ROB357" s="173"/>
      <c r="ROC357" s="173"/>
      <c r="ROD357" s="173"/>
      <c r="ROE357" s="173"/>
      <c r="ROF357" s="173"/>
      <c r="ROG357" s="125"/>
      <c r="ROH357" s="125"/>
      <c r="ROI357" s="134"/>
      <c r="ROJ357" s="135"/>
      <c r="ROK357" s="135"/>
      <c r="ROL357" s="135"/>
      <c r="ROM357" s="135"/>
      <c r="RON357" s="173"/>
      <c r="ROO357" s="173"/>
      <c r="ROP357" s="173"/>
      <c r="ROQ357" s="173"/>
      <c r="ROR357" s="173"/>
      <c r="ROS357" s="173"/>
      <c r="ROT357" s="173"/>
      <c r="ROU357" s="173"/>
      <c r="ROV357" s="173"/>
      <c r="ROW357" s="173"/>
      <c r="ROX357" s="125"/>
      <c r="ROY357" s="125"/>
      <c r="ROZ357" s="134"/>
      <c r="RPA357" s="135"/>
      <c r="RPB357" s="135"/>
      <c r="RPC357" s="135"/>
      <c r="RPD357" s="135"/>
      <c r="RPE357" s="173"/>
      <c r="RPF357" s="173"/>
      <c r="RPG357" s="173"/>
      <c r="RPH357" s="173"/>
      <c r="RPI357" s="173"/>
      <c r="RPJ357" s="173"/>
      <c r="RPK357" s="173"/>
      <c r="RPL357" s="173"/>
      <c r="RPM357" s="173"/>
      <c r="RPN357" s="173"/>
      <c r="RPO357" s="125"/>
      <c r="RPP357" s="125"/>
      <c r="RPQ357" s="134"/>
      <c r="RPR357" s="135"/>
      <c r="RPS357" s="135"/>
      <c r="RPT357" s="135"/>
      <c r="RPU357" s="135"/>
      <c r="RPV357" s="173"/>
      <c r="RPW357" s="173"/>
      <c r="RPX357" s="173"/>
      <c r="RPY357" s="173"/>
      <c r="RPZ357" s="173"/>
      <c r="RQA357" s="173"/>
      <c r="RQB357" s="173"/>
      <c r="RQC357" s="173"/>
      <c r="RQD357" s="173"/>
      <c r="RQE357" s="173"/>
      <c r="RQF357" s="125"/>
      <c r="RQG357" s="125"/>
      <c r="RQH357" s="134"/>
      <c r="RQI357" s="135"/>
      <c r="RQJ357" s="135"/>
      <c r="RQK357" s="135"/>
      <c r="RQL357" s="135"/>
      <c r="RQM357" s="173"/>
      <c r="RQN357" s="173"/>
      <c r="RQO357" s="173"/>
      <c r="RQP357" s="173"/>
      <c r="RQQ357" s="173"/>
      <c r="RQR357" s="173"/>
      <c r="RQS357" s="173"/>
      <c r="RQT357" s="173"/>
      <c r="RQU357" s="173"/>
      <c r="RQV357" s="173"/>
      <c r="RQW357" s="125"/>
      <c r="RQX357" s="125"/>
      <c r="RQY357" s="134"/>
      <c r="RQZ357" s="135"/>
      <c r="RRA357" s="135"/>
      <c r="RRB357" s="135"/>
      <c r="RRC357" s="135"/>
      <c r="RRD357" s="173"/>
      <c r="RRE357" s="173"/>
      <c r="RRF357" s="173"/>
      <c r="RRG357" s="173"/>
      <c r="RRH357" s="173"/>
      <c r="RRI357" s="173"/>
      <c r="RRJ357" s="173"/>
      <c r="RRK357" s="173"/>
      <c r="RRL357" s="173"/>
      <c r="RRM357" s="173"/>
      <c r="RRN357" s="125"/>
      <c r="RRO357" s="125"/>
      <c r="RRP357" s="134"/>
      <c r="RRQ357" s="135"/>
      <c r="RRR357" s="135"/>
      <c r="RRS357" s="135"/>
      <c r="RRT357" s="135"/>
      <c r="RRU357" s="173"/>
      <c r="RRV357" s="173"/>
      <c r="RRW357" s="173"/>
      <c r="RRX357" s="173"/>
      <c r="RRY357" s="173"/>
      <c r="RRZ357" s="173"/>
      <c r="RSA357" s="173"/>
      <c r="RSB357" s="173"/>
      <c r="RSC357" s="173"/>
      <c r="RSD357" s="173"/>
      <c r="RSE357" s="125"/>
      <c r="RSF357" s="125"/>
      <c r="RSG357" s="134"/>
      <c r="RSH357" s="135"/>
      <c r="RSI357" s="135"/>
      <c r="RSJ357" s="135"/>
      <c r="RSK357" s="135"/>
      <c r="RSL357" s="173"/>
      <c r="RSM357" s="173"/>
      <c r="RSN357" s="173"/>
      <c r="RSO357" s="173"/>
      <c r="RSP357" s="173"/>
      <c r="RSQ357" s="173"/>
      <c r="RSR357" s="173"/>
      <c r="RSS357" s="173"/>
      <c r="RST357" s="173"/>
      <c r="RSU357" s="173"/>
      <c r="RSV357" s="125"/>
      <c r="RSW357" s="125"/>
      <c r="RSX357" s="134"/>
      <c r="RSY357" s="135"/>
      <c r="RSZ357" s="135"/>
      <c r="RTA357" s="135"/>
      <c r="RTB357" s="135"/>
      <c r="RTC357" s="173"/>
      <c r="RTD357" s="173"/>
      <c r="RTE357" s="173"/>
      <c r="RTF357" s="173"/>
      <c r="RTG357" s="173"/>
      <c r="RTH357" s="173"/>
      <c r="RTI357" s="173"/>
      <c r="RTJ357" s="173"/>
      <c r="RTK357" s="173"/>
      <c r="RTL357" s="173"/>
      <c r="RTM357" s="125"/>
      <c r="RTN357" s="125"/>
      <c r="RTO357" s="134"/>
      <c r="RTP357" s="135"/>
      <c r="RTQ357" s="135"/>
      <c r="RTR357" s="135"/>
      <c r="RTS357" s="135"/>
      <c r="RTT357" s="173"/>
      <c r="RTU357" s="173"/>
      <c r="RTV357" s="173"/>
      <c r="RTW357" s="173"/>
      <c r="RTX357" s="173"/>
      <c r="RTY357" s="173"/>
      <c r="RTZ357" s="173"/>
      <c r="RUA357" s="173"/>
      <c r="RUB357" s="173"/>
      <c r="RUC357" s="173"/>
      <c r="RUD357" s="125"/>
      <c r="RUE357" s="125"/>
      <c r="RUF357" s="134"/>
      <c r="RUG357" s="135"/>
      <c r="RUH357" s="135"/>
      <c r="RUI357" s="135"/>
      <c r="RUJ357" s="135"/>
      <c r="RUK357" s="173"/>
      <c r="RUL357" s="173"/>
      <c r="RUM357" s="173"/>
      <c r="RUN357" s="173"/>
      <c r="RUO357" s="173"/>
      <c r="RUP357" s="173"/>
      <c r="RUQ357" s="173"/>
      <c r="RUR357" s="173"/>
      <c r="RUS357" s="173"/>
      <c r="RUT357" s="173"/>
      <c r="RUU357" s="125"/>
      <c r="RUV357" s="125"/>
      <c r="RUW357" s="134"/>
      <c r="RUX357" s="135"/>
      <c r="RUY357" s="135"/>
      <c r="RUZ357" s="135"/>
      <c r="RVA357" s="135"/>
      <c r="RVB357" s="173"/>
      <c r="RVC357" s="173"/>
      <c r="RVD357" s="173"/>
      <c r="RVE357" s="173"/>
      <c r="RVF357" s="173"/>
      <c r="RVG357" s="173"/>
      <c r="RVH357" s="173"/>
      <c r="RVI357" s="173"/>
      <c r="RVJ357" s="173"/>
      <c r="RVK357" s="173"/>
      <c r="RVL357" s="125"/>
      <c r="RVM357" s="125"/>
      <c r="RVN357" s="134"/>
      <c r="RVO357" s="135"/>
      <c r="RVP357" s="135"/>
      <c r="RVQ357" s="135"/>
      <c r="RVR357" s="135"/>
      <c r="RVS357" s="173"/>
      <c r="RVT357" s="173"/>
      <c r="RVU357" s="173"/>
      <c r="RVV357" s="173"/>
      <c r="RVW357" s="173"/>
      <c r="RVX357" s="173"/>
      <c r="RVY357" s="173"/>
      <c r="RVZ357" s="173"/>
      <c r="RWA357" s="173"/>
      <c r="RWB357" s="173"/>
      <c r="RWC357" s="125"/>
      <c r="RWD357" s="125"/>
      <c r="RWE357" s="134"/>
      <c r="RWF357" s="135"/>
      <c r="RWG357" s="135"/>
      <c r="RWH357" s="135"/>
      <c r="RWI357" s="135"/>
      <c r="RWJ357" s="173"/>
      <c r="RWK357" s="173"/>
      <c r="RWL357" s="173"/>
      <c r="RWM357" s="173"/>
      <c r="RWN357" s="173"/>
      <c r="RWO357" s="173"/>
      <c r="RWP357" s="173"/>
      <c r="RWQ357" s="173"/>
      <c r="RWR357" s="173"/>
      <c r="RWS357" s="173"/>
      <c r="RWT357" s="125"/>
      <c r="RWU357" s="125"/>
      <c r="RWV357" s="134"/>
      <c r="RWW357" s="135"/>
      <c r="RWX357" s="135"/>
      <c r="RWY357" s="135"/>
      <c r="RWZ357" s="135"/>
      <c r="RXA357" s="173"/>
      <c r="RXB357" s="173"/>
      <c r="RXC357" s="173"/>
      <c r="RXD357" s="173"/>
      <c r="RXE357" s="173"/>
      <c r="RXF357" s="173"/>
      <c r="RXG357" s="173"/>
      <c r="RXH357" s="173"/>
      <c r="RXI357" s="173"/>
      <c r="RXJ357" s="173"/>
      <c r="RXK357" s="125"/>
      <c r="RXL357" s="125"/>
      <c r="RXM357" s="134"/>
      <c r="RXN357" s="135"/>
      <c r="RXO357" s="135"/>
      <c r="RXP357" s="135"/>
      <c r="RXQ357" s="135"/>
      <c r="RXR357" s="173"/>
      <c r="RXS357" s="173"/>
      <c r="RXT357" s="173"/>
      <c r="RXU357" s="173"/>
      <c r="RXV357" s="173"/>
      <c r="RXW357" s="173"/>
      <c r="RXX357" s="173"/>
      <c r="RXY357" s="173"/>
      <c r="RXZ357" s="173"/>
      <c r="RYA357" s="173"/>
      <c r="RYB357" s="125"/>
      <c r="RYC357" s="125"/>
      <c r="RYD357" s="134"/>
      <c r="RYE357" s="135"/>
      <c r="RYF357" s="135"/>
      <c r="RYG357" s="135"/>
      <c r="RYH357" s="135"/>
      <c r="RYI357" s="173"/>
      <c r="RYJ357" s="173"/>
      <c r="RYK357" s="173"/>
      <c r="RYL357" s="173"/>
      <c r="RYM357" s="173"/>
      <c r="RYN357" s="173"/>
      <c r="RYO357" s="173"/>
      <c r="RYP357" s="173"/>
      <c r="RYQ357" s="173"/>
      <c r="RYR357" s="173"/>
      <c r="RYS357" s="125"/>
      <c r="RYT357" s="125"/>
      <c r="RYU357" s="134"/>
      <c r="RYV357" s="135"/>
      <c r="RYW357" s="135"/>
      <c r="RYX357" s="135"/>
      <c r="RYY357" s="135"/>
      <c r="RYZ357" s="173"/>
      <c r="RZA357" s="173"/>
      <c r="RZB357" s="173"/>
      <c r="RZC357" s="173"/>
      <c r="RZD357" s="173"/>
      <c r="RZE357" s="173"/>
      <c r="RZF357" s="173"/>
      <c r="RZG357" s="173"/>
      <c r="RZH357" s="173"/>
      <c r="RZI357" s="173"/>
      <c r="RZJ357" s="125"/>
      <c r="RZK357" s="125"/>
      <c r="RZL357" s="134"/>
      <c r="RZM357" s="135"/>
      <c r="RZN357" s="135"/>
      <c r="RZO357" s="135"/>
      <c r="RZP357" s="135"/>
      <c r="RZQ357" s="173"/>
      <c r="RZR357" s="173"/>
      <c r="RZS357" s="173"/>
      <c r="RZT357" s="173"/>
      <c r="RZU357" s="173"/>
      <c r="RZV357" s="173"/>
      <c r="RZW357" s="173"/>
      <c r="RZX357" s="173"/>
      <c r="RZY357" s="173"/>
      <c r="RZZ357" s="173"/>
      <c r="SAA357" s="125"/>
      <c r="SAB357" s="125"/>
      <c r="SAC357" s="134"/>
      <c r="SAD357" s="135"/>
      <c r="SAE357" s="135"/>
      <c r="SAF357" s="135"/>
      <c r="SAG357" s="135"/>
      <c r="SAH357" s="173"/>
      <c r="SAI357" s="173"/>
      <c r="SAJ357" s="173"/>
      <c r="SAK357" s="173"/>
      <c r="SAL357" s="173"/>
      <c r="SAM357" s="173"/>
      <c r="SAN357" s="173"/>
      <c r="SAO357" s="173"/>
      <c r="SAP357" s="173"/>
      <c r="SAQ357" s="173"/>
      <c r="SAR357" s="125"/>
      <c r="SAS357" s="125"/>
      <c r="SAT357" s="134"/>
      <c r="SAU357" s="135"/>
      <c r="SAV357" s="135"/>
      <c r="SAW357" s="135"/>
      <c r="SAX357" s="135"/>
      <c r="SAY357" s="173"/>
      <c r="SAZ357" s="173"/>
      <c r="SBA357" s="173"/>
      <c r="SBB357" s="173"/>
      <c r="SBC357" s="173"/>
      <c r="SBD357" s="173"/>
      <c r="SBE357" s="173"/>
      <c r="SBF357" s="173"/>
      <c r="SBG357" s="173"/>
      <c r="SBH357" s="173"/>
      <c r="SBI357" s="125"/>
      <c r="SBJ357" s="125"/>
      <c r="SBK357" s="134"/>
      <c r="SBL357" s="135"/>
      <c r="SBM357" s="135"/>
      <c r="SBN357" s="135"/>
      <c r="SBO357" s="135"/>
      <c r="SBP357" s="173"/>
      <c r="SBQ357" s="173"/>
      <c r="SBR357" s="173"/>
      <c r="SBS357" s="173"/>
      <c r="SBT357" s="173"/>
      <c r="SBU357" s="173"/>
      <c r="SBV357" s="173"/>
      <c r="SBW357" s="173"/>
      <c r="SBX357" s="173"/>
      <c r="SBY357" s="173"/>
      <c r="SBZ357" s="125"/>
      <c r="SCA357" s="125"/>
      <c r="SCB357" s="134"/>
      <c r="SCC357" s="135"/>
      <c r="SCD357" s="135"/>
      <c r="SCE357" s="135"/>
      <c r="SCF357" s="135"/>
      <c r="SCG357" s="173"/>
      <c r="SCH357" s="173"/>
      <c r="SCI357" s="173"/>
      <c r="SCJ357" s="173"/>
      <c r="SCK357" s="173"/>
      <c r="SCL357" s="173"/>
      <c r="SCM357" s="173"/>
      <c r="SCN357" s="173"/>
      <c r="SCO357" s="173"/>
      <c r="SCP357" s="173"/>
      <c r="SCQ357" s="125"/>
      <c r="SCR357" s="125"/>
      <c r="SCS357" s="134"/>
      <c r="SCT357" s="135"/>
      <c r="SCU357" s="135"/>
      <c r="SCV357" s="135"/>
      <c r="SCW357" s="135"/>
      <c r="SCX357" s="173"/>
      <c r="SCY357" s="173"/>
      <c r="SCZ357" s="173"/>
      <c r="SDA357" s="173"/>
      <c r="SDB357" s="173"/>
      <c r="SDC357" s="173"/>
      <c r="SDD357" s="173"/>
      <c r="SDE357" s="173"/>
      <c r="SDF357" s="173"/>
      <c r="SDG357" s="173"/>
      <c r="SDH357" s="125"/>
      <c r="SDI357" s="125"/>
      <c r="SDJ357" s="134"/>
      <c r="SDK357" s="135"/>
      <c r="SDL357" s="135"/>
      <c r="SDM357" s="135"/>
      <c r="SDN357" s="135"/>
      <c r="SDO357" s="173"/>
      <c r="SDP357" s="173"/>
      <c r="SDQ357" s="173"/>
      <c r="SDR357" s="173"/>
      <c r="SDS357" s="173"/>
      <c r="SDT357" s="173"/>
      <c r="SDU357" s="173"/>
      <c r="SDV357" s="173"/>
      <c r="SDW357" s="173"/>
      <c r="SDX357" s="173"/>
      <c r="SDY357" s="125"/>
      <c r="SDZ357" s="125"/>
      <c r="SEA357" s="134"/>
      <c r="SEB357" s="135"/>
      <c r="SEC357" s="135"/>
      <c r="SED357" s="135"/>
      <c r="SEE357" s="135"/>
      <c r="SEF357" s="173"/>
      <c r="SEG357" s="173"/>
      <c r="SEH357" s="173"/>
      <c r="SEI357" s="173"/>
      <c r="SEJ357" s="173"/>
      <c r="SEK357" s="173"/>
      <c r="SEL357" s="173"/>
      <c r="SEM357" s="173"/>
      <c r="SEN357" s="173"/>
      <c r="SEO357" s="173"/>
      <c r="SEP357" s="125"/>
      <c r="SEQ357" s="125"/>
      <c r="SER357" s="134"/>
      <c r="SES357" s="135"/>
      <c r="SET357" s="135"/>
      <c r="SEU357" s="135"/>
      <c r="SEV357" s="135"/>
      <c r="SEW357" s="173"/>
      <c r="SEX357" s="173"/>
      <c r="SEY357" s="173"/>
      <c r="SEZ357" s="173"/>
      <c r="SFA357" s="173"/>
      <c r="SFB357" s="173"/>
      <c r="SFC357" s="173"/>
      <c r="SFD357" s="173"/>
      <c r="SFE357" s="173"/>
      <c r="SFF357" s="173"/>
      <c r="SFG357" s="125"/>
      <c r="SFH357" s="125"/>
      <c r="SFI357" s="134"/>
      <c r="SFJ357" s="135"/>
      <c r="SFK357" s="135"/>
      <c r="SFL357" s="135"/>
      <c r="SFM357" s="135"/>
      <c r="SFN357" s="173"/>
      <c r="SFO357" s="173"/>
      <c r="SFP357" s="173"/>
      <c r="SFQ357" s="173"/>
      <c r="SFR357" s="173"/>
      <c r="SFS357" s="173"/>
      <c r="SFT357" s="173"/>
      <c r="SFU357" s="173"/>
      <c r="SFV357" s="173"/>
      <c r="SFW357" s="173"/>
      <c r="SFX357" s="125"/>
      <c r="SFY357" s="125"/>
      <c r="SFZ357" s="134"/>
      <c r="SGA357" s="135"/>
      <c r="SGB357" s="135"/>
      <c r="SGC357" s="135"/>
      <c r="SGD357" s="135"/>
      <c r="SGE357" s="173"/>
      <c r="SGF357" s="173"/>
      <c r="SGG357" s="173"/>
      <c r="SGH357" s="173"/>
      <c r="SGI357" s="173"/>
      <c r="SGJ357" s="173"/>
      <c r="SGK357" s="173"/>
      <c r="SGL357" s="173"/>
      <c r="SGM357" s="173"/>
      <c r="SGN357" s="173"/>
      <c r="SGO357" s="125"/>
      <c r="SGP357" s="125"/>
      <c r="SGQ357" s="134"/>
      <c r="SGR357" s="135"/>
      <c r="SGS357" s="135"/>
      <c r="SGT357" s="135"/>
      <c r="SGU357" s="135"/>
      <c r="SGV357" s="173"/>
      <c r="SGW357" s="173"/>
      <c r="SGX357" s="173"/>
      <c r="SGY357" s="173"/>
      <c r="SGZ357" s="173"/>
      <c r="SHA357" s="173"/>
      <c r="SHB357" s="173"/>
      <c r="SHC357" s="173"/>
      <c r="SHD357" s="173"/>
      <c r="SHE357" s="173"/>
      <c r="SHF357" s="125"/>
      <c r="SHG357" s="125"/>
      <c r="SHH357" s="134"/>
      <c r="SHI357" s="135"/>
      <c r="SHJ357" s="135"/>
      <c r="SHK357" s="135"/>
      <c r="SHL357" s="135"/>
      <c r="SHM357" s="173"/>
      <c r="SHN357" s="173"/>
      <c r="SHO357" s="173"/>
      <c r="SHP357" s="173"/>
      <c r="SHQ357" s="173"/>
      <c r="SHR357" s="173"/>
      <c r="SHS357" s="173"/>
      <c r="SHT357" s="173"/>
      <c r="SHU357" s="173"/>
      <c r="SHV357" s="173"/>
      <c r="SHW357" s="125"/>
      <c r="SHX357" s="125"/>
      <c r="SHY357" s="134"/>
      <c r="SHZ357" s="135"/>
      <c r="SIA357" s="135"/>
      <c r="SIB357" s="135"/>
      <c r="SIC357" s="135"/>
      <c r="SID357" s="173"/>
      <c r="SIE357" s="173"/>
      <c r="SIF357" s="173"/>
      <c r="SIG357" s="173"/>
      <c r="SIH357" s="173"/>
      <c r="SII357" s="173"/>
      <c r="SIJ357" s="173"/>
      <c r="SIK357" s="173"/>
      <c r="SIL357" s="173"/>
      <c r="SIM357" s="173"/>
      <c r="SIN357" s="125"/>
      <c r="SIO357" s="125"/>
      <c r="SIP357" s="134"/>
      <c r="SIQ357" s="135"/>
      <c r="SIR357" s="135"/>
      <c r="SIS357" s="135"/>
      <c r="SIT357" s="135"/>
      <c r="SIU357" s="173"/>
      <c r="SIV357" s="173"/>
      <c r="SIW357" s="173"/>
      <c r="SIX357" s="173"/>
      <c r="SIY357" s="173"/>
      <c r="SIZ357" s="173"/>
      <c r="SJA357" s="173"/>
      <c r="SJB357" s="173"/>
      <c r="SJC357" s="173"/>
      <c r="SJD357" s="173"/>
      <c r="SJE357" s="125"/>
      <c r="SJF357" s="125"/>
      <c r="SJG357" s="134"/>
      <c r="SJH357" s="135"/>
      <c r="SJI357" s="135"/>
      <c r="SJJ357" s="135"/>
      <c r="SJK357" s="135"/>
      <c r="SJL357" s="173"/>
      <c r="SJM357" s="173"/>
      <c r="SJN357" s="173"/>
      <c r="SJO357" s="173"/>
      <c r="SJP357" s="173"/>
      <c r="SJQ357" s="173"/>
      <c r="SJR357" s="173"/>
      <c r="SJS357" s="173"/>
      <c r="SJT357" s="173"/>
      <c r="SJU357" s="173"/>
      <c r="SJV357" s="125"/>
      <c r="SJW357" s="125"/>
      <c r="SJX357" s="134"/>
      <c r="SJY357" s="135"/>
      <c r="SJZ357" s="135"/>
      <c r="SKA357" s="135"/>
      <c r="SKB357" s="135"/>
      <c r="SKC357" s="173"/>
      <c r="SKD357" s="173"/>
      <c r="SKE357" s="173"/>
      <c r="SKF357" s="173"/>
      <c r="SKG357" s="173"/>
      <c r="SKH357" s="173"/>
      <c r="SKI357" s="173"/>
      <c r="SKJ357" s="173"/>
      <c r="SKK357" s="173"/>
      <c r="SKL357" s="173"/>
      <c r="SKM357" s="125"/>
      <c r="SKN357" s="125"/>
      <c r="SKO357" s="134"/>
      <c r="SKP357" s="135"/>
      <c r="SKQ357" s="135"/>
      <c r="SKR357" s="135"/>
      <c r="SKS357" s="135"/>
      <c r="SKT357" s="173"/>
      <c r="SKU357" s="173"/>
      <c r="SKV357" s="173"/>
      <c r="SKW357" s="173"/>
      <c r="SKX357" s="173"/>
      <c r="SKY357" s="173"/>
      <c r="SKZ357" s="173"/>
      <c r="SLA357" s="173"/>
      <c r="SLB357" s="173"/>
      <c r="SLC357" s="173"/>
      <c r="SLD357" s="125"/>
      <c r="SLE357" s="125"/>
      <c r="SLF357" s="134"/>
      <c r="SLG357" s="135"/>
      <c r="SLH357" s="135"/>
      <c r="SLI357" s="135"/>
      <c r="SLJ357" s="135"/>
      <c r="SLK357" s="173"/>
      <c r="SLL357" s="173"/>
      <c r="SLM357" s="173"/>
      <c r="SLN357" s="173"/>
      <c r="SLO357" s="173"/>
      <c r="SLP357" s="173"/>
      <c r="SLQ357" s="173"/>
      <c r="SLR357" s="173"/>
      <c r="SLS357" s="173"/>
      <c r="SLT357" s="173"/>
      <c r="SLU357" s="125"/>
      <c r="SLV357" s="125"/>
      <c r="SLW357" s="134"/>
      <c r="SLX357" s="135"/>
      <c r="SLY357" s="135"/>
      <c r="SLZ357" s="135"/>
      <c r="SMA357" s="135"/>
      <c r="SMB357" s="173"/>
      <c r="SMC357" s="173"/>
      <c r="SMD357" s="173"/>
      <c r="SME357" s="173"/>
      <c r="SMF357" s="173"/>
      <c r="SMG357" s="173"/>
      <c r="SMH357" s="173"/>
      <c r="SMI357" s="173"/>
      <c r="SMJ357" s="173"/>
      <c r="SMK357" s="173"/>
      <c r="SML357" s="125"/>
      <c r="SMM357" s="125"/>
      <c r="SMN357" s="134"/>
      <c r="SMO357" s="135"/>
      <c r="SMP357" s="135"/>
      <c r="SMQ357" s="135"/>
      <c r="SMR357" s="135"/>
      <c r="SMS357" s="173"/>
      <c r="SMT357" s="173"/>
      <c r="SMU357" s="173"/>
      <c r="SMV357" s="173"/>
      <c r="SMW357" s="173"/>
      <c r="SMX357" s="173"/>
      <c r="SMY357" s="173"/>
      <c r="SMZ357" s="173"/>
      <c r="SNA357" s="173"/>
      <c r="SNB357" s="173"/>
      <c r="SNC357" s="125"/>
      <c r="SND357" s="125"/>
      <c r="SNE357" s="134"/>
      <c r="SNF357" s="135"/>
      <c r="SNG357" s="135"/>
      <c r="SNH357" s="135"/>
      <c r="SNI357" s="135"/>
      <c r="SNJ357" s="173"/>
      <c r="SNK357" s="173"/>
      <c r="SNL357" s="173"/>
      <c r="SNM357" s="173"/>
      <c r="SNN357" s="173"/>
      <c r="SNO357" s="173"/>
      <c r="SNP357" s="173"/>
      <c r="SNQ357" s="173"/>
      <c r="SNR357" s="173"/>
      <c r="SNS357" s="173"/>
      <c r="SNT357" s="125"/>
      <c r="SNU357" s="125"/>
      <c r="SNV357" s="134"/>
      <c r="SNW357" s="135"/>
      <c r="SNX357" s="135"/>
      <c r="SNY357" s="135"/>
      <c r="SNZ357" s="135"/>
      <c r="SOA357" s="173"/>
      <c r="SOB357" s="173"/>
      <c r="SOC357" s="173"/>
      <c r="SOD357" s="173"/>
      <c r="SOE357" s="173"/>
      <c r="SOF357" s="173"/>
      <c r="SOG357" s="173"/>
      <c r="SOH357" s="173"/>
      <c r="SOI357" s="173"/>
      <c r="SOJ357" s="173"/>
      <c r="SOK357" s="125"/>
      <c r="SOL357" s="125"/>
      <c r="SOM357" s="134"/>
      <c r="SON357" s="135"/>
      <c r="SOO357" s="135"/>
      <c r="SOP357" s="135"/>
      <c r="SOQ357" s="135"/>
      <c r="SOR357" s="173"/>
      <c r="SOS357" s="173"/>
      <c r="SOT357" s="173"/>
      <c r="SOU357" s="173"/>
      <c r="SOV357" s="173"/>
      <c r="SOW357" s="173"/>
      <c r="SOX357" s="173"/>
      <c r="SOY357" s="173"/>
      <c r="SOZ357" s="173"/>
      <c r="SPA357" s="173"/>
      <c r="SPB357" s="125"/>
      <c r="SPC357" s="125"/>
      <c r="SPD357" s="134"/>
      <c r="SPE357" s="135"/>
      <c r="SPF357" s="135"/>
      <c r="SPG357" s="135"/>
      <c r="SPH357" s="135"/>
      <c r="SPI357" s="173"/>
      <c r="SPJ357" s="173"/>
      <c r="SPK357" s="173"/>
      <c r="SPL357" s="173"/>
      <c r="SPM357" s="173"/>
      <c r="SPN357" s="173"/>
      <c r="SPO357" s="173"/>
      <c r="SPP357" s="173"/>
      <c r="SPQ357" s="173"/>
      <c r="SPR357" s="173"/>
      <c r="SPS357" s="125"/>
      <c r="SPT357" s="125"/>
      <c r="SPU357" s="134"/>
      <c r="SPV357" s="135"/>
      <c r="SPW357" s="135"/>
      <c r="SPX357" s="135"/>
      <c r="SPY357" s="135"/>
      <c r="SPZ357" s="173"/>
      <c r="SQA357" s="173"/>
      <c r="SQB357" s="173"/>
      <c r="SQC357" s="173"/>
      <c r="SQD357" s="173"/>
      <c r="SQE357" s="173"/>
      <c r="SQF357" s="173"/>
      <c r="SQG357" s="173"/>
      <c r="SQH357" s="173"/>
      <c r="SQI357" s="173"/>
      <c r="SQJ357" s="125"/>
      <c r="SQK357" s="125"/>
      <c r="SQL357" s="134"/>
      <c r="SQM357" s="135"/>
      <c r="SQN357" s="135"/>
      <c r="SQO357" s="135"/>
      <c r="SQP357" s="135"/>
      <c r="SQQ357" s="173"/>
      <c r="SQR357" s="173"/>
      <c r="SQS357" s="173"/>
      <c r="SQT357" s="173"/>
      <c r="SQU357" s="173"/>
      <c r="SQV357" s="173"/>
      <c r="SQW357" s="173"/>
      <c r="SQX357" s="173"/>
      <c r="SQY357" s="173"/>
      <c r="SQZ357" s="173"/>
      <c r="SRA357" s="125"/>
      <c r="SRB357" s="125"/>
      <c r="SRC357" s="134"/>
      <c r="SRD357" s="135"/>
      <c r="SRE357" s="135"/>
      <c r="SRF357" s="135"/>
      <c r="SRG357" s="135"/>
      <c r="SRH357" s="173"/>
      <c r="SRI357" s="173"/>
      <c r="SRJ357" s="173"/>
      <c r="SRK357" s="173"/>
      <c r="SRL357" s="173"/>
      <c r="SRM357" s="173"/>
      <c r="SRN357" s="173"/>
      <c r="SRO357" s="173"/>
      <c r="SRP357" s="173"/>
      <c r="SRQ357" s="173"/>
      <c r="SRR357" s="125"/>
      <c r="SRS357" s="125"/>
      <c r="SRT357" s="134"/>
      <c r="SRU357" s="135"/>
      <c r="SRV357" s="135"/>
      <c r="SRW357" s="135"/>
      <c r="SRX357" s="135"/>
      <c r="SRY357" s="173"/>
      <c r="SRZ357" s="173"/>
      <c r="SSA357" s="173"/>
      <c r="SSB357" s="173"/>
      <c r="SSC357" s="173"/>
      <c r="SSD357" s="173"/>
      <c r="SSE357" s="173"/>
      <c r="SSF357" s="173"/>
      <c r="SSG357" s="173"/>
      <c r="SSH357" s="173"/>
      <c r="SSI357" s="125"/>
      <c r="SSJ357" s="125"/>
      <c r="SSK357" s="134"/>
      <c r="SSL357" s="135"/>
      <c r="SSM357" s="135"/>
      <c r="SSN357" s="135"/>
      <c r="SSO357" s="135"/>
      <c r="SSP357" s="173"/>
      <c r="SSQ357" s="173"/>
      <c r="SSR357" s="173"/>
      <c r="SSS357" s="173"/>
      <c r="SST357" s="173"/>
      <c r="SSU357" s="173"/>
      <c r="SSV357" s="173"/>
      <c r="SSW357" s="173"/>
      <c r="SSX357" s="173"/>
      <c r="SSY357" s="173"/>
      <c r="SSZ357" s="125"/>
      <c r="STA357" s="125"/>
      <c r="STB357" s="134"/>
      <c r="STC357" s="135"/>
      <c r="STD357" s="135"/>
      <c r="STE357" s="135"/>
      <c r="STF357" s="135"/>
      <c r="STG357" s="173"/>
      <c r="STH357" s="173"/>
      <c r="STI357" s="173"/>
      <c r="STJ357" s="173"/>
      <c r="STK357" s="173"/>
      <c r="STL357" s="173"/>
      <c r="STM357" s="173"/>
      <c r="STN357" s="173"/>
      <c r="STO357" s="173"/>
      <c r="STP357" s="173"/>
      <c r="STQ357" s="125"/>
      <c r="STR357" s="125"/>
      <c r="STS357" s="134"/>
      <c r="STT357" s="135"/>
      <c r="STU357" s="135"/>
      <c r="STV357" s="135"/>
      <c r="STW357" s="135"/>
      <c r="STX357" s="173"/>
      <c r="STY357" s="173"/>
      <c r="STZ357" s="173"/>
      <c r="SUA357" s="173"/>
      <c r="SUB357" s="173"/>
      <c r="SUC357" s="173"/>
      <c r="SUD357" s="173"/>
      <c r="SUE357" s="173"/>
      <c r="SUF357" s="173"/>
      <c r="SUG357" s="173"/>
      <c r="SUH357" s="125"/>
      <c r="SUI357" s="125"/>
      <c r="SUJ357" s="134"/>
      <c r="SUK357" s="135"/>
      <c r="SUL357" s="135"/>
      <c r="SUM357" s="135"/>
      <c r="SUN357" s="135"/>
      <c r="SUO357" s="173"/>
      <c r="SUP357" s="173"/>
      <c r="SUQ357" s="173"/>
      <c r="SUR357" s="173"/>
      <c r="SUS357" s="173"/>
      <c r="SUT357" s="173"/>
      <c r="SUU357" s="173"/>
      <c r="SUV357" s="173"/>
      <c r="SUW357" s="173"/>
      <c r="SUX357" s="173"/>
      <c r="SUY357" s="125"/>
      <c r="SUZ357" s="125"/>
      <c r="SVA357" s="134"/>
      <c r="SVB357" s="135"/>
      <c r="SVC357" s="135"/>
      <c r="SVD357" s="135"/>
      <c r="SVE357" s="135"/>
      <c r="SVF357" s="173"/>
      <c r="SVG357" s="173"/>
      <c r="SVH357" s="173"/>
      <c r="SVI357" s="173"/>
      <c r="SVJ357" s="173"/>
      <c r="SVK357" s="173"/>
      <c r="SVL357" s="173"/>
      <c r="SVM357" s="173"/>
      <c r="SVN357" s="173"/>
      <c r="SVO357" s="173"/>
      <c r="SVP357" s="125"/>
      <c r="SVQ357" s="125"/>
      <c r="SVR357" s="134"/>
      <c r="SVS357" s="135"/>
      <c r="SVT357" s="135"/>
      <c r="SVU357" s="135"/>
      <c r="SVV357" s="135"/>
      <c r="SVW357" s="173"/>
      <c r="SVX357" s="173"/>
      <c r="SVY357" s="173"/>
      <c r="SVZ357" s="173"/>
      <c r="SWA357" s="173"/>
      <c r="SWB357" s="173"/>
      <c r="SWC357" s="173"/>
      <c r="SWD357" s="173"/>
      <c r="SWE357" s="173"/>
      <c r="SWF357" s="173"/>
      <c r="SWG357" s="125"/>
      <c r="SWH357" s="125"/>
      <c r="SWI357" s="134"/>
      <c r="SWJ357" s="135"/>
      <c r="SWK357" s="135"/>
      <c r="SWL357" s="135"/>
      <c r="SWM357" s="135"/>
      <c r="SWN357" s="173"/>
      <c r="SWO357" s="173"/>
      <c r="SWP357" s="173"/>
      <c r="SWQ357" s="173"/>
      <c r="SWR357" s="173"/>
      <c r="SWS357" s="173"/>
      <c r="SWT357" s="173"/>
      <c r="SWU357" s="173"/>
      <c r="SWV357" s="173"/>
      <c r="SWW357" s="173"/>
      <c r="SWX357" s="125"/>
      <c r="SWY357" s="125"/>
      <c r="SWZ357" s="134"/>
      <c r="SXA357" s="135"/>
      <c r="SXB357" s="135"/>
      <c r="SXC357" s="135"/>
      <c r="SXD357" s="135"/>
      <c r="SXE357" s="173"/>
      <c r="SXF357" s="173"/>
      <c r="SXG357" s="173"/>
      <c r="SXH357" s="173"/>
      <c r="SXI357" s="173"/>
      <c r="SXJ357" s="173"/>
      <c r="SXK357" s="173"/>
      <c r="SXL357" s="173"/>
      <c r="SXM357" s="173"/>
      <c r="SXN357" s="173"/>
      <c r="SXO357" s="125"/>
      <c r="SXP357" s="125"/>
      <c r="SXQ357" s="134"/>
      <c r="SXR357" s="135"/>
      <c r="SXS357" s="135"/>
      <c r="SXT357" s="135"/>
      <c r="SXU357" s="135"/>
      <c r="SXV357" s="173"/>
      <c r="SXW357" s="173"/>
      <c r="SXX357" s="173"/>
      <c r="SXY357" s="173"/>
      <c r="SXZ357" s="173"/>
      <c r="SYA357" s="173"/>
      <c r="SYB357" s="173"/>
      <c r="SYC357" s="173"/>
      <c r="SYD357" s="173"/>
      <c r="SYE357" s="173"/>
      <c r="SYF357" s="125"/>
      <c r="SYG357" s="125"/>
      <c r="SYH357" s="134"/>
      <c r="SYI357" s="135"/>
      <c r="SYJ357" s="135"/>
      <c r="SYK357" s="135"/>
      <c r="SYL357" s="135"/>
      <c r="SYM357" s="173"/>
      <c r="SYN357" s="173"/>
      <c r="SYO357" s="173"/>
      <c r="SYP357" s="173"/>
      <c r="SYQ357" s="173"/>
      <c r="SYR357" s="173"/>
      <c r="SYS357" s="173"/>
      <c r="SYT357" s="173"/>
      <c r="SYU357" s="173"/>
      <c r="SYV357" s="173"/>
      <c r="SYW357" s="125"/>
      <c r="SYX357" s="125"/>
      <c r="SYY357" s="134"/>
      <c r="SYZ357" s="135"/>
      <c r="SZA357" s="135"/>
      <c r="SZB357" s="135"/>
      <c r="SZC357" s="135"/>
      <c r="SZD357" s="173"/>
      <c r="SZE357" s="173"/>
      <c r="SZF357" s="173"/>
      <c r="SZG357" s="173"/>
      <c r="SZH357" s="173"/>
      <c r="SZI357" s="173"/>
      <c r="SZJ357" s="173"/>
      <c r="SZK357" s="173"/>
      <c r="SZL357" s="173"/>
      <c r="SZM357" s="173"/>
      <c r="SZN357" s="125"/>
      <c r="SZO357" s="125"/>
      <c r="SZP357" s="134"/>
      <c r="SZQ357" s="135"/>
      <c r="SZR357" s="135"/>
      <c r="SZS357" s="135"/>
      <c r="SZT357" s="135"/>
      <c r="SZU357" s="173"/>
      <c r="SZV357" s="173"/>
      <c r="SZW357" s="173"/>
      <c r="SZX357" s="173"/>
      <c r="SZY357" s="173"/>
      <c r="SZZ357" s="173"/>
      <c r="TAA357" s="173"/>
      <c r="TAB357" s="173"/>
      <c r="TAC357" s="173"/>
      <c r="TAD357" s="173"/>
      <c r="TAE357" s="125"/>
      <c r="TAF357" s="125"/>
      <c r="TAG357" s="134"/>
      <c r="TAH357" s="135"/>
      <c r="TAI357" s="135"/>
      <c r="TAJ357" s="135"/>
      <c r="TAK357" s="135"/>
      <c r="TAL357" s="173"/>
      <c r="TAM357" s="173"/>
      <c r="TAN357" s="173"/>
      <c r="TAO357" s="173"/>
      <c r="TAP357" s="173"/>
      <c r="TAQ357" s="173"/>
      <c r="TAR357" s="173"/>
      <c r="TAS357" s="173"/>
      <c r="TAT357" s="173"/>
      <c r="TAU357" s="173"/>
      <c r="TAV357" s="125"/>
      <c r="TAW357" s="125"/>
      <c r="TAX357" s="134"/>
      <c r="TAY357" s="135"/>
      <c r="TAZ357" s="135"/>
      <c r="TBA357" s="135"/>
      <c r="TBB357" s="135"/>
      <c r="TBC357" s="173"/>
      <c r="TBD357" s="173"/>
      <c r="TBE357" s="173"/>
      <c r="TBF357" s="173"/>
      <c r="TBG357" s="173"/>
      <c r="TBH357" s="173"/>
      <c r="TBI357" s="173"/>
      <c r="TBJ357" s="173"/>
      <c r="TBK357" s="173"/>
      <c r="TBL357" s="173"/>
      <c r="TBM357" s="125"/>
      <c r="TBN357" s="125"/>
      <c r="TBO357" s="134"/>
      <c r="TBP357" s="135"/>
      <c r="TBQ357" s="135"/>
      <c r="TBR357" s="135"/>
      <c r="TBS357" s="135"/>
      <c r="TBT357" s="173"/>
      <c r="TBU357" s="173"/>
      <c r="TBV357" s="173"/>
      <c r="TBW357" s="173"/>
      <c r="TBX357" s="173"/>
      <c r="TBY357" s="173"/>
      <c r="TBZ357" s="173"/>
      <c r="TCA357" s="173"/>
      <c r="TCB357" s="173"/>
      <c r="TCC357" s="173"/>
      <c r="TCD357" s="125"/>
      <c r="TCE357" s="125"/>
      <c r="TCF357" s="134"/>
      <c r="TCG357" s="135"/>
      <c r="TCH357" s="135"/>
      <c r="TCI357" s="135"/>
      <c r="TCJ357" s="135"/>
      <c r="TCK357" s="173"/>
      <c r="TCL357" s="173"/>
      <c r="TCM357" s="173"/>
      <c r="TCN357" s="173"/>
      <c r="TCO357" s="173"/>
      <c r="TCP357" s="173"/>
      <c r="TCQ357" s="173"/>
      <c r="TCR357" s="173"/>
      <c r="TCS357" s="173"/>
      <c r="TCT357" s="173"/>
      <c r="TCU357" s="125"/>
      <c r="TCV357" s="125"/>
      <c r="TCW357" s="134"/>
      <c r="TCX357" s="135"/>
      <c r="TCY357" s="135"/>
      <c r="TCZ357" s="135"/>
      <c r="TDA357" s="135"/>
      <c r="TDB357" s="173"/>
      <c r="TDC357" s="173"/>
      <c r="TDD357" s="173"/>
      <c r="TDE357" s="173"/>
      <c r="TDF357" s="173"/>
      <c r="TDG357" s="173"/>
      <c r="TDH357" s="173"/>
      <c r="TDI357" s="173"/>
      <c r="TDJ357" s="173"/>
      <c r="TDK357" s="173"/>
      <c r="TDL357" s="125"/>
      <c r="TDM357" s="125"/>
      <c r="TDN357" s="134"/>
      <c r="TDO357" s="135"/>
      <c r="TDP357" s="135"/>
      <c r="TDQ357" s="135"/>
      <c r="TDR357" s="135"/>
      <c r="TDS357" s="173"/>
      <c r="TDT357" s="173"/>
      <c r="TDU357" s="173"/>
      <c r="TDV357" s="173"/>
      <c r="TDW357" s="173"/>
      <c r="TDX357" s="173"/>
      <c r="TDY357" s="173"/>
      <c r="TDZ357" s="173"/>
      <c r="TEA357" s="173"/>
      <c r="TEB357" s="173"/>
      <c r="TEC357" s="125"/>
      <c r="TED357" s="125"/>
      <c r="TEE357" s="134"/>
      <c r="TEF357" s="135"/>
      <c r="TEG357" s="135"/>
      <c r="TEH357" s="135"/>
      <c r="TEI357" s="135"/>
      <c r="TEJ357" s="173"/>
      <c r="TEK357" s="173"/>
      <c r="TEL357" s="173"/>
      <c r="TEM357" s="173"/>
      <c r="TEN357" s="173"/>
      <c r="TEO357" s="173"/>
      <c r="TEP357" s="173"/>
      <c r="TEQ357" s="173"/>
      <c r="TER357" s="173"/>
      <c r="TES357" s="173"/>
      <c r="TET357" s="125"/>
      <c r="TEU357" s="125"/>
      <c r="TEV357" s="134"/>
      <c r="TEW357" s="135"/>
      <c r="TEX357" s="135"/>
      <c r="TEY357" s="135"/>
      <c r="TEZ357" s="135"/>
      <c r="TFA357" s="173"/>
      <c r="TFB357" s="173"/>
      <c r="TFC357" s="173"/>
      <c r="TFD357" s="173"/>
      <c r="TFE357" s="173"/>
      <c r="TFF357" s="173"/>
      <c r="TFG357" s="173"/>
      <c r="TFH357" s="173"/>
      <c r="TFI357" s="173"/>
      <c r="TFJ357" s="173"/>
      <c r="TFK357" s="125"/>
      <c r="TFL357" s="125"/>
      <c r="TFM357" s="134"/>
      <c r="TFN357" s="135"/>
      <c r="TFO357" s="135"/>
      <c r="TFP357" s="135"/>
      <c r="TFQ357" s="135"/>
      <c r="TFR357" s="173"/>
      <c r="TFS357" s="173"/>
      <c r="TFT357" s="173"/>
      <c r="TFU357" s="173"/>
      <c r="TFV357" s="173"/>
      <c r="TFW357" s="173"/>
      <c r="TFX357" s="173"/>
      <c r="TFY357" s="173"/>
      <c r="TFZ357" s="173"/>
      <c r="TGA357" s="173"/>
      <c r="TGB357" s="125"/>
      <c r="TGC357" s="125"/>
      <c r="TGD357" s="134"/>
      <c r="TGE357" s="135"/>
      <c r="TGF357" s="135"/>
      <c r="TGG357" s="135"/>
      <c r="TGH357" s="135"/>
      <c r="TGI357" s="173"/>
      <c r="TGJ357" s="173"/>
      <c r="TGK357" s="173"/>
      <c r="TGL357" s="173"/>
      <c r="TGM357" s="173"/>
      <c r="TGN357" s="173"/>
      <c r="TGO357" s="173"/>
      <c r="TGP357" s="173"/>
      <c r="TGQ357" s="173"/>
      <c r="TGR357" s="173"/>
      <c r="TGS357" s="125"/>
      <c r="TGT357" s="125"/>
      <c r="TGU357" s="134"/>
      <c r="TGV357" s="135"/>
      <c r="TGW357" s="135"/>
      <c r="TGX357" s="135"/>
      <c r="TGY357" s="135"/>
      <c r="TGZ357" s="173"/>
      <c r="THA357" s="173"/>
      <c r="THB357" s="173"/>
      <c r="THC357" s="173"/>
      <c r="THD357" s="173"/>
      <c r="THE357" s="173"/>
      <c r="THF357" s="173"/>
      <c r="THG357" s="173"/>
      <c r="THH357" s="173"/>
      <c r="THI357" s="173"/>
      <c r="THJ357" s="125"/>
      <c r="THK357" s="125"/>
      <c r="THL357" s="134"/>
      <c r="THM357" s="135"/>
      <c r="THN357" s="135"/>
      <c r="THO357" s="135"/>
      <c r="THP357" s="135"/>
      <c r="THQ357" s="173"/>
      <c r="THR357" s="173"/>
      <c r="THS357" s="173"/>
      <c r="THT357" s="173"/>
      <c r="THU357" s="173"/>
      <c r="THV357" s="173"/>
      <c r="THW357" s="173"/>
      <c r="THX357" s="173"/>
      <c r="THY357" s="173"/>
      <c r="THZ357" s="173"/>
      <c r="TIA357" s="125"/>
      <c r="TIB357" s="125"/>
      <c r="TIC357" s="134"/>
      <c r="TID357" s="135"/>
      <c r="TIE357" s="135"/>
      <c r="TIF357" s="135"/>
      <c r="TIG357" s="135"/>
      <c r="TIH357" s="173"/>
      <c r="TII357" s="173"/>
      <c r="TIJ357" s="173"/>
      <c r="TIK357" s="173"/>
      <c r="TIL357" s="173"/>
      <c r="TIM357" s="173"/>
      <c r="TIN357" s="173"/>
      <c r="TIO357" s="173"/>
      <c r="TIP357" s="173"/>
      <c r="TIQ357" s="173"/>
      <c r="TIR357" s="125"/>
      <c r="TIS357" s="125"/>
      <c r="TIT357" s="134"/>
      <c r="TIU357" s="135"/>
      <c r="TIV357" s="135"/>
      <c r="TIW357" s="135"/>
      <c r="TIX357" s="135"/>
      <c r="TIY357" s="173"/>
      <c r="TIZ357" s="173"/>
      <c r="TJA357" s="173"/>
      <c r="TJB357" s="173"/>
      <c r="TJC357" s="173"/>
      <c r="TJD357" s="173"/>
      <c r="TJE357" s="173"/>
      <c r="TJF357" s="173"/>
      <c r="TJG357" s="173"/>
      <c r="TJH357" s="173"/>
      <c r="TJI357" s="125"/>
      <c r="TJJ357" s="125"/>
      <c r="TJK357" s="134"/>
      <c r="TJL357" s="135"/>
      <c r="TJM357" s="135"/>
      <c r="TJN357" s="135"/>
      <c r="TJO357" s="135"/>
      <c r="TJP357" s="173"/>
      <c r="TJQ357" s="173"/>
      <c r="TJR357" s="173"/>
      <c r="TJS357" s="173"/>
      <c r="TJT357" s="173"/>
      <c r="TJU357" s="173"/>
      <c r="TJV357" s="173"/>
      <c r="TJW357" s="173"/>
      <c r="TJX357" s="173"/>
      <c r="TJY357" s="173"/>
      <c r="TJZ357" s="125"/>
      <c r="TKA357" s="125"/>
      <c r="TKB357" s="134"/>
      <c r="TKC357" s="135"/>
      <c r="TKD357" s="135"/>
      <c r="TKE357" s="135"/>
      <c r="TKF357" s="135"/>
      <c r="TKG357" s="173"/>
      <c r="TKH357" s="173"/>
      <c r="TKI357" s="173"/>
      <c r="TKJ357" s="173"/>
      <c r="TKK357" s="173"/>
      <c r="TKL357" s="173"/>
      <c r="TKM357" s="173"/>
      <c r="TKN357" s="173"/>
      <c r="TKO357" s="173"/>
      <c r="TKP357" s="173"/>
      <c r="TKQ357" s="125"/>
      <c r="TKR357" s="125"/>
      <c r="TKS357" s="134"/>
      <c r="TKT357" s="135"/>
      <c r="TKU357" s="135"/>
      <c r="TKV357" s="135"/>
      <c r="TKW357" s="135"/>
      <c r="TKX357" s="173"/>
      <c r="TKY357" s="173"/>
      <c r="TKZ357" s="173"/>
      <c r="TLA357" s="173"/>
      <c r="TLB357" s="173"/>
      <c r="TLC357" s="173"/>
      <c r="TLD357" s="173"/>
      <c r="TLE357" s="173"/>
      <c r="TLF357" s="173"/>
      <c r="TLG357" s="173"/>
      <c r="TLH357" s="125"/>
      <c r="TLI357" s="125"/>
      <c r="TLJ357" s="134"/>
      <c r="TLK357" s="135"/>
      <c r="TLL357" s="135"/>
      <c r="TLM357" s="135"/>
      <c r="TLN357" s="135"/>
      <c r="TLO357" s="173"/>
      <c r="TLP357" s="173"/>
      <c r="TLQ357" s="173"/>
      <c r="TLR357" s="173"/>
      <c r="TLS357" s="173"/>
      <c r="TLT357" s="173"/>
      <c r="TLU357" s="173"/>
      <c r="TLV357" s="173"/>
      <c r="TLW357" s="173"/>
      <c r="TLX357" s="173"/>
      <c r="TLY357" s="125"/>
      <c r="TLZ357" s="125"/>
      <c r="TMA357" s="134"/>
      <c r="TMB357" s="135"/>
      <c r="TMC357" s="135"/>
      <c r="TMD357" s="135"/>
      <c r="TME357" s="135"/>
      <c r="TMF357" s="173"/>
      <c r="TMG357" s="173"/>
      <c r="TMH357" s="173"/>
      <c r="TMI357" s="173"/>
      <c r="TMJ357" s="173"/>
      <c r="TMK357" s="173"/>
      <c r="TML357" s="173"/>
      <c r="TMM357" s="173"/>
      <c r="TMN357" s="173"/>
      <c r="TMO357" s="173"/>
      <c r="TMP357" s="125"/>
      <c r="TMQ357" s="125"/>
      <c r="TMR357" s="134"/>
      <c r="TMS357" s="135"/>
      <c r="TMT357" s="135"/>
      <c r="TMU357" s="135"/>
      <c r="TMV357" s="135"/>
      <c r="TMW357" s="173"/>
      <c r="TMX357" s="173"/>
      <c r="TMY357" s="173"/>
      <c r="TMZ357" s="173"/>
      <c r="TNA357" s="173"/>
      <c r="TNB357" s="173"/>
      <c r="TNC357" s="173"/>
      <c r="TND357" s="173"/>
      <c r="TNE357" s="173"/>
      <c r="TNF357" s="173"/>
      <c r="TNG357" s="125"/>
      <c r="TNH357" s="125"/>
      <c r="TNI357" s="134"/>
      <c r="TNJ357" s="135"/>
      <c r="TNK357" s="135"/>
      <c r="TNL357" s="135"/>
      <c r="TNM357" s="135"/>
      <c r="TNN357" s="173"/>
      <c r="TNO357" s="173"/>
      <c r="TNP357" s="173"/>
      <c r="TNQ357" s="173"/>
      <c r="TNR357" s="173"/>
      <c r="TNS357" s="173"/>
      <c r="TNT357" s="173"/>
      <c r="TNU357" s="173"/>
      <c r="TNV357" s="173"/>
      <c r="TNW357" s="173"/>
      <c r="TNX357" s="125"/>
      <c r="TNY357" s="125"/>
      <c r="TNZ357" s="134"/>
      <c r="TOA357" s="135"/>
      <c r="TOB357" s="135"/>
      <c r="TOC357" s="135"/>
      <c r="TOD357" s="135"/>
      <c r="TOE357" s="173"/>
      <c r="TOF357" s="173"/>
      <c r="TOG357" s="173"/>
      <c r="TOH357" s="173"/>
      <c r="TOI357" s="173"/>
      <c r="TOJ357" s="173"/>
      <c r="TOK357" s="173"/>
      <c r="TOL357" s="173"/>
      <c r="TOM357" s="173"/>
      <c r="TON357" s="173"/>
      <c r="TOO357" s="125"/>
      <c r="TOP357" s="125"/>
      <c r="TOQ357" s="134"/>
      <c r="TOR357" s="135"/>
      <c r="TOS357" s="135"/>
      <c r="TOT357" s="135"/>
      <c r="TOU357" s="135"/>
      <c r="TOV357" s="173"/>
      <c r="TOW357" s="173"/>
      <c r="TOX357" s="173"/>
      <c r="TOY357" s="173"/>
      <c r="TOZ357" s="173"/>
      <c r="TPA357" s="173"/>
      <c r="TPB357" s="173"/>
      <c r="TPC357" s="173"/>
      <c r="TPD357" s="173"/>
      <c r="TPE357" s="173"/>
      <c r="TPF357" s="125"/>
      <c r="TPG357" s="125"/>
      <c r="TPH357" s="134"/>
      <c r="TPI357" s="135"/>
      <c r="TPJ357" s="135"/>
      <c r="TPK357" s="135"/>
      <c r="TPL357" s="135"/>
      <c r="TPM357" s="173"/>
      <c r="TPN357" s="173"/>
      <c r="TPO357" s="173"/>
      <c r="TPP357" s="173"/>
      <c r="TPQ357" s="173"/>
      <c r="TPR357" s="173"/>
      <c r="TPS357" s="173"/>
      <c r="TPT357" s="173"/>
      <c r="TPU357" s="173"/>
      <c r="TPV357" s="173"/>
      <c r="TPW357" s="125"/>
      <c r="TPX357" s="125"/>
      <c r="TPY357" s="134"/>
      <c r="TPZ357" s="135"/>
      <c r="TQA357" s="135"/>
      <c r="TQB357" s="135"/>
      <c r="TQC357" s="135"/>
      <c r="TQD357" s="173"/>
      <c r="TQE357" s="173"/>
      <c r="TQF357" s="173"/>
      <c r="TQG357" s="173"/>
      <c r="TQH357" s="173"/>
      <c r="TQI357" s="173"/>
      <c r="TQJ357" s="173"/>
      <c r="TQK357" s="173"/>
      <c r="TQL357" s="173"/>
      <c r="TQM357" s="173"/>
      <c r="TQN357" s="125"/>
      <c r="TQO357" s="125"/>
      <c r="TQP357" s="134"/>
      <c r="TQQ357" s="135"/>
      <c r="TQR357" s="135"/>
      <c r="TQS357" s="135"/>
      <c r="TQT357" s="135"/>
      <c r="TQU357" s="173"/>
      <c r="TQV357" s="173"/>
      <c r="TQW357" s="173"/>
      <c r="TQX357" s="173"/>
      <c r="TQY357" s="173"/>
      <c r="TQZ357" s="173"/>
      <c r="TRA357" s="173"/>
      <c r="TRB357" s="173"/>
      <c r="TRC357" s="173"/>
      <c r="TRD357" s="173"/>
      <c r="TRE357" s="125"/>
      <c r="TRF357" s="125"/>
      <c r="TRG357" s="134"/>
      <c r="TRH357" s="135"/>
      <c r="TRI357" s="135"/>
      <c r="TRJ357" s="135"/>
      <c r="TRK357" s="135"/>
      <c r="TRL357" s="173"/>
      <c r="TRM357" s="173"/>
      <c r="TRN357" s="173"/>
      <c r="TRO357" s="173"/>
      <c r="TRP357" s="173"/>
      <c r="TRQ357" s="173"/>
      <c r="TRR357" s="173"/>
      <c r="TRS357" s="173"/>
      <c r="TRT357" s="173"/>
      <c r="TRU357" s="173"/>
      <c r="TRV357" s="125"/>
      <c r="TRW357" s="125"/>
      <c r="TRX357" s="134"/>
      <c r="TRY357" s="135"/>
      <c r="TRZ357" s="135"/>
      <c r="TSA357" s="135"/>
      <c r="TSB357" s="135"/>
      <c r="TSC357" s="173"/>
      <c r="TSD357" s="173"/>
      <c r="TSE357" s="173"/>
      <c r="TSF357" s="173"/>
      <c r="TSG357" s="173"/>
      <c r="TSH357" s="173"/>
      <c r="TSI357" s="173"/>
      <c r="TSJ357" s="173"/>
      <c r="TSK357" s="173"/>
      <c r="TSL357" s="173"/>
      <c r="TSM357" s="125"/>
      <c r="TSN357" s="125"/>
      <c r="TSO357" s="134"/>
      <c r="TSP357" s="135"/>
      <c r="TSQ357" s="135"/>
      <c r="TSR357" s="135"/>
      <c r="TSS357" s="135"/>
      <c r="TST357" s="173"/>
      <c r="TSU357" s="173"/>
      <c r="TSV357" s="173"/>
      <c r="TSW357" s="173"/>
      <c r="TSX357" s="173"/>
      <c r="TSY357" s="173"/>
      <c r="TSZ357" s="173"/>
      <c r="TTA357" s="173"/>
      <c r="TTB357" s="173"/>
      <c r="TTC357" s="173"/>
      <c r="TTD357" s="125"/>
      <c r="TTE357" s="125"/>
      <c r="TTF357" s="134"/>
      <c r="TTG357" s="135"/>
      <c r="TTH357" s="135"/>
      <c r="TTI357" s="135"/>
      <c r="TTJ357" s="135"/>
      <c r="TTK357" s="173"/>
      <c r="TTL357" s="173"/>
      <c r="TTM357" s="173"/>
      <c r="TTN357" s="173"/>
      <c r="TTO357" s="173"/>
      <c r="TTP357" s="173"/>
      <c r="TTQ357" s="173"/>
      <c r="TTR357" s="173"/>
      <c r="TTS357" s="173"/>
      <c r="TTT357" s="173"/>
      <c r="TTU357" s="125"/>
      <c r="TTV357" s="125"/>
      <c r="TTW357" s="134"/>
      <c r="TTX357" s="135"/>
      <c r="TTY357" s="135"/>
      <c r="TTZ357" s="135"/>
      <c r="TUA357" s="135"/>
      <c r="TUB357" s="173"/>
      <c r="TUC357" s="173"/>
      <c r="TUD357" s="173"/>
      <c r="TUE357" s="173"/>
      <c r="TUF357" s="173"/>
      <c r="TUG357" s="173"/>
      <c r="TUH357" s="173"/>
      <c r="TUI357" s="173"/>
      <c r="TUJ357" s="173"/>
      <c r="TUK357" s="173"/>
      <c r="TUL357" s="125"/>
      <c r="TUM357" s="125"/>
      <c r="TUN357" s="134"/>
      <c r="TUO357" s="135"/>
      <c r="TUP357" s="135"/>
      <c r="TUQ357" s="135"/>
      <c r="TUR357" s="135"/>
      <c r="TUS357" s="173"/>
      <c r="TUT357" s="173"/>
      <c r="TUU357" s="173"/>
      <c r="TUV357" s="173"/>
      <c r="TUW357" s="173"/>
      <c r="TUX357" s="173"/>
      <c r="TUY357" s="173"/>
      <c r="TUZ357" s="173"/>
      <c r="TVA357" s="173"/>
      <c r="TVB357" s="173"/>
      <c r="TVC357" s="125"/>
      <c r="TVD357" s="125"/>
      <c r="TVE357" s="134"/>
      <c r="TVF357" s="135"/>
      <c r="TVG357" s="135"/>
      <c r="TVH357" s="135"/>
      <c r="TVI357" s="135"/>
      <c r="TVJ357" s="173"/>
      <c r="TVK357" s="173"/>
      <c r="TVL357" s="173"/>
      <c r="TVM357" s="173"/>
      <c r="TVN357" s="173"/>
      <c r="TVO357" s="173"/>
      <c r="TVP357" s="173"/>
      <c r="TVQ357" s="173"/>
      <c r="TVR357" s="173"/>
      <c r="TVS357" s="173"/>
      <c r="TVT357" s="125"/>
      <c r="TVU357" s="125"/>
      <c r="TVV357" s="134"/>
      <c r="TVW357" s="135"/>
      <c r="TVX357" s="135"/>
      <c r="TVY357" s="135"/>
      <c r="TVZ357" s="135"/>
      <c r="TWA357" s="173"/>
      <c r="TWB357" s="173"/>
      <c r="TWC357" s="173"/>
      <c r="TWD357" s="173"/>
      <c r="TWE357" s="173"/>
      <c r="TWF357" s="173"/>
      <c r="TWG357" s="173"/>
      <c r="TWH357" s="173"/>
      <c r="TWI357" s="173"/>
      <c r="TWJ357" s="173"/>
      <c r="TWK357" s="125"/>
      <c r="TWL357" s="125"/>
      <c r="TWM357" s="134"/>
      <c r="TWN357" s="135"/>
      <c r="TWO357" s="135"/>
      <c r="TWP357" s="135"/>
      <c r="TWQ357" s="135"/>
      <c r="TWR357" s="173"/>
      <c r="TWS357" s="173"/>
      <c r="TWT357" s="173"/>
      <c r="TWU357" s="173"/>
      <c r="TWV357" s="173"/>
      <c r="TWW357" s="173"/>
      <c r="TWX357" s="173"/>
      <c r="TWY357" s="173"/>
      <c r="TWZ357" s="173"/>
      <c r="TXA357" s="173"/>
      <c r="TXB357" s="125"/>
      <c r="TXC357" s="125"/>
      <c r="TXD357" s="134"/>
      <c r="TXE357" s="135"/>
      <c r="TXF357" s="135"/>
      <c r="TXG357" s="135"/>
      <c r="TXH357" s="135"/>
      <c r="TXI357" s="173"/>
      <c r="TXJ357" s="173"/>
      <c r="TXK357" s="173"/>
      <c r="TXL357" s="173"/>
      <c r="TXM357" s="173"/>
      <c r="TXN357" s="173"/>
      <c r="TXO357" s="173"/>
      <c r="TXP357" s="173"/>
      <c r="TXQ357" s="173"/>
      <c r="TXR357" s="173"/>
      <c r="TXS357" s="125"/>
      <c r="TXT357" s="125"/>
      <c r="TXU357" s="134"/>
      <c r="TXV357" s="135"/>
      <c r="TXW357" s="135"/>
      <c r="TXX357" s="135"/>
      <c r="TXY357" s="135"/>
      <c r="TXZ357" s="173"/>
      <c r="TYA357" s="173"/>
      <c r="TYB357" s="173"/>
      <c r="TYC357" s="173"/>
      <c r="TYD357" s="173"/>
      <c r="TYE357" s="173"/>
      <c r="TYF357" s="173"/>
      <c r="TYG357" s="173"/>
      <c r="TYH357" s="173"/>
      <c r="TYI357" s="173"/>
      <c r="TYJ357" s="125"/>
      <c r="TYK357" s="125"/>
      <c r="TYL357" s="134"/>
      <c r="TYM357" s="135"/>
      <c r="TYN357" s="135"/>
      <c r="TYO357" s="135"/>
      <c r="TYP357" s="135"/>
      <c r="TYQ357" s="173"/>
      <c r="TYR357" s="173"/>
      <c r="TYS357" s="173"/>
      <c r="TYT357" s="173"/>
      <c r="TYU357" s="173"/>
      <c r="TYV357" s="173"/>
      <c r="TYW357" s="173"/>
      <c r="TYX357" s="173"/>
      <c r="TYY357" s="173"/>
      <c r="TYZ357" s="173"/>
      <c r="TZA357" s="125"/>
      <c r="TZB357" s="125"/>
      <c r="TZC357" s="134"/>
      <c r="TZD357" s="135"/>
      <c r="TZE357" s="135"/>
      <c r="TZF357" s="135"/>
      <c r="TZG357" s="135"/>
      <c r="TZH357" s="173"/>
      <c r="TZI357" s="173"/>
      <c r="TZJ357" s="173"/>
      <c r="TZK357" s="173"/>
      <c r="TZL357" s="173"/>
      <c r="TZM357" s="173"/>
      <c r="TZN357" s="173"/>
      <c r="TZO357" s="173"/>
      <c r="TZP357" s="173"/>
      <c r="TZQ357" s="173"/>
      <c r="TZR357" s="125"/>
      <c r="TZS357" s="125"/>
      <c r="TZT357" s="134"/>
      <c r="TZU357" s="135"/>
      <c r="TZV357" s="135"/>
      <c r="TZW357" s="135"/>
      <c r="TZX357" s="135"/>
      <c r="TZY357" s="173"/>
      <c r="TZZ357" s="173"/>
      <c r="UAA357" s="173"/>
      <c r="UAB357" s="173"/>
      <c r="UAC357" s="173"/>
      <c r="UAD357" s="173"/>
      <c r="UAE357" s="173"/>
      <c r="UAF357" s="173"/>
      <c r="UAG357" s="173"/>
      <c r="UAH357" s="173"/>
      <c r="UAI357" s="125"/>
      <c r="UAJ357" s="125"/>
      <c r="UAK357" s="134"/>
      <c r="UAL357" s="135"/>
      <c r="UAM357" s="135"/>
      <c r="UAN357" s="135"/>
      <c r="UAO357" s="135"/>
      <c r="UAP357" s="173"/>
      <c r="UAQ357" s="173"/>
      <c r="UAR357" s="173"/>
      <c r="UAS357" s="173"/>
      <c r="UAT357" s="173"/>
      <c r="UAU357" s="173"/>
      <c r="UAV357" s="173"/>
      <c r="UAW357" s="173"/>
      <c r="UAX357" s="173"/>
      <c r="UAY357" s="173"/>
      <c r="UAZ357" s="125"/>
      <c r="UBA357" s="125"/>
      <c r="UBB357" s="134"/>
      <c r="UBC357" s="135"/>
      <c r="UBD357" s="135"/>
      <c r="UBE357" s="135"/>
      <c r="UBF357" s="135"/>
      <c r="UBG357" s="173"/>
      <c r="UBH357" s="173"/>
      <c r="UBI357" s="173"/>
      <c r="UBJ357" s="173"/>
      <c r="UBK357" s="173"/>
      <c r="UBL357" s="173"/>
      <c r="UBM357" s="173"/>
      <c r="UBN357" s="173"/>
      <c r="UBO357" s="173"/>
      <c r="UBP357" s="173"/>
      <c r="UBQ357" s="125"/>
      <c r="UBR357" s="125"/>
      <c r="UBS357" s="134"/>
      <c r="UBT357" s="135"/>
      <c r="UBU357" s="135"/>
      <c r="UBV357" s="135"/>
      <c r="UBW357" s="135"/>
      <c r="UBX357" s="173"/>
      <c r="UBY357" s="173"/>
      <c r="UBZ357" s="173"/>
      <c r="UCA357" s="173"/>
      <c r="UCB357" s="173"/>
      <c r="UCC357" s="173"/>
      <c r="UCD357" s="173"/>
      <c r="UCE357" s="173"/>
      <c r="UCF357" s="173"/>
      <c r="UCG357" s="173"/>
      <c r="UCH357" s="125"/>
      <c r="UCI357" s="125"/>
      <c r="UCJ357" s="134"/>
      <c r="UCK357" s="135"/>
      <c r="UCL357" s="135"/>
      <c r="UCM357" s="135"/>
      <c r="UCN357" s="135"/>
      <c r="UCO357" s="173"/>
      <c r="UCP357" s="173"/>
      <c r="UCQ357" s="173"/>
      <c r="UCR357" s="173"/>
      <c r="UCS357" s="173"/>
      <c r="UCT357" s="173"/>
      <c r="UCU357" s="173"/>
      <c r="UCV357" s="173"/>
      <c r="UCW357" s="173"/>
      <c r="UCX357" s="173"/>
      <c r="UCY357" s="125"/>
      <c r="UCZ357" s="125"/>
      <c r="UDA357" s="134"/>
      <c r="UDB357" s="135"/>
      <c r="UDC357" s="135"/>
      <c r="UDD357" s="135"/>
      <c r="UDE357" s="135"/>
      <c r="UDF357" s="173"/>
      <c r="UDG357" s="173"/>
      <c r="UDH357" s="173"/>
      <c r="UDI357" s="173"/>
      <c r="UDJ357" s="173"/>
      <c r="UDK357" s="173"/>
      <c r="UDL357" s="173"/>
      <c r="UDM357" s="173"/>
      <c r="UDN357" s="173"/>
      <c r="UDO357" s="173"/>
      <c r="UDP357" s="125"/>
      <c r="UDQ357" s="125"/>
      <c r="UDR357" s="134"/>
      <c r="UDS357" s="135"/>
      <c r="UDT357" s="135"/>
      <c r="UDU357" s="135"/>
      <c r="UDV357" s="135"/>
      <c r="UDW357" s="173"/>
      <c r="UDX357" s="173"/>
      <c r="UDY357" s="173"/>
      <c r="UDZ357" s="173"/>
      <c r="UEA357" s="173"/>
      <c r="UEB357" s="173"/>
      <c r="UEC357" s="173"/>
      <c r="UED357" s="173"/>
      <c r="UEE357" s="173"/>
      <c r="UEF357" s="173"/>
      <c r="UEG357" s="125"/>
      <c r="UEH357" s="125"/>
      <c r="UEI357" s="134"/>
      <c r="UEJ357" s="135"/>
      <c r="UEK357" s="135"/>
      <c r="UEL357" s="135"/>
      <c r="UEM357" s="135"/>
      <c r="UEN357" s="173"/>
      <c r="UEO357" s="173"/>
      <c r="UEP357" s="173"/>
      <c r="UEQ357" s="173"/>
      <c r="UER357" s="173"/>
      <c r="UES357" s="173"/>
      <c r="UET357" s="173"/>
      <c r="UEU357" s="173"/>
      <c r="UEV357" s="173"/>
      <c r="UEW357" s="173"/>
      <c r="UEX357" s="125"/>
      <c r="UEY357" s="125"/>
      <c r="UEZ357" s="134"/>
      <c r="UFA357" s="135"/>
      <c r="UFB357" s="135"/>
      <c r="UFC357" s="135"/>
      <c r="UFD357" s="135"/>
      <c r="UFE357" s="173"/>
      <c r="UFF357" s="173"/>
      <c r="UFG357" s="173"/>
      <c r="UFH357" s="173"/>
      <c r="UFI357" s="173"/>
      <c r="UFJ357" s="173"/>
      <c r="UFK357" s="173"/>
      <c r="UFL357" s="173"/>
      <c r="UFM357" s="173"/>
      <c r="UFN357" s="173"/>
      <c r="UFO357" s="125"/>
      <c r="UFP357" s="125"/>
      <c r="UFQ357" s="134"/>
      <c r="UFR357" s="135"/>
      <c r="UFS357" s="135"/>
      <c r="UFT357" s="135"/>
      <c r="UFU357" s="135"/>
      <c r="UFV357" s="173"/>
      <c r="UFW357" s="173"/>
      <c r="UFX357" s="173"/>
      <c r="UFY357" s="173"/>
      <c r="UFZ357" s="173"/>
      <c r="UGA357" s="173"/>
      <c r="UGB357" s="173"/>
      <c r="UGC357" s="173"/>
      <c r="UGD357" s="173"/>
      <c r="UGE357" s="173"/>
      <c r="UGF357" s="125"/>
      <c r="UGG357" s="125"/>
      <c r="UGH357" s="134"/>
      <c r="UGI357" s="135"/>
      <c r="UGJ357" s="135"/>
      <c r="UGK357" s="135"/>
      <c r="UGL357" s="135"/>
      <c r="UGM357" s="173"/>
      <c r="UGN357" s="173"/>
      <c r="UGO357" s="173"/>
      <c r="UGP357" s="173"/>
      <c r="UGQ357" s="173"/>
      <c r="UGR357" s="173"/>
      <c r="UGS357" s="173"/>
      <c r="UGT357" s="173"/>
      <c r="UGU357" s="173"/>
      <c r="UGV357" s="173"/>
      <c r="UGW357" s="125"/>
      <c r="UGX357" s="125"/>
      <c r="UGY357" s="134"/>
      <c r="UGZ357" s="135"/>
      <c r="UHA357" s="135"/>
      <c r="UHB357" s="135"/>
      <c r="UHC357" s="135"/>
      <c r="UHD357" s="173"/>
      <c r="UHE357" s="173"/>
      <c r="UHF357" s="173"/>
      <c r="UHG357" s="173"/>
      <c r="UHH357" s="173"/>
      <c r="UHI357" s="173"/>
      <c r="UHJ357" s="173"/>
      <c r="UHK357" s="173"/>
      <c r="UHL357" s="173"/>
      <c r="UHM357" s="173"/>
      <c r="UHN357" s="125"/>
      <c r="UHO357" s="125"/>
      <c r="UHP357" s="134"/>
      <c r="UHQ357" s="135"/>
      <c r="UHR357" s="135"/>
      <c r="UHS357" s="135"/>
      <c r="UHT357" s="135"/>
      <c r="UHU357" s="173"/>
      <c r="UHV357" s="173"/>
      <c r="UHW357" s="173"/>
      <c r="UHX357" s="173"/>
      <c r="UHY357" s="173"/>
      <c r="UHZ357" s="173"/>
      <c r="UIA357" s="173"/>
      <c r="UIB357" s="173"/>
      <c r="UIC357" s="173"/>
      <c r="UID357" s="173"/>
      <c r="UIE357" s="125"/>
      <c r="UIF357" s="125"/>
      <c r="UIG357" s="134"/>
      <c r="UIH357" s="135"/>
      <c r="UII357" s="135"/>
      <c r="UIJ357" s="135"/>
      <c r="UIK357" s="135"/>
      <c r="UIL357" s="173"/>
      <c r="UIM357" s="173"/>
      <c r="UIN357" s="173"/>
      <c r="UIO357" s="173"/>
      <c r="UIP357" s="173"/>
      <c r="UIQ357" s="173"/>
      <c r="UIR357" s="173"/>
      <c r="UIS357" s="173"/>
      <c r="UIT357" s="173"/>
      <c r="UIU357" s="173"/>
      <c r="UIV357" s="125"/>
      <c r="UIW357" s="125"/>
      <c r="UIX357" s="134"/>
      <c r="UIY357" s="135"/>
      <c r="UIZ357" s="135"/>
      <c r="UJA357" s="135"/>
      <c r="UJB357" s="135"/>
      <c r="UJC357" s="173"/>
      <c r="UJD357" s="173"/>
      <c r="UJE357" s="173"/>
      <c r="UJF357" s="173"/>
      <c r="UJG357" s="173"/>
      <c r="UJH357" s="173"/>
      <c r="UJI357" s="173"/>
      <c r="UJJ357" s="173"/>
      <c r="UJK357" s="173"/>
      <c r="UJL357" s="173"/>
      <c r="UJM357" s="125"/>
      <c r="UJN357" s="125"/>
      <c r="UJO357" s="134"/>
      <c r="UJP357" s="135"/>
      <c r="UJQ357" s="135"/>
      <c r="UJR357" s="135"/>
      <c r="UJS357" s="135"/>
      <c r="UJT357" s="173"/>
      <c r="UJU357" s="173"/>
      <c r="UJV357" s="173"/>
      <c r="UJW357" s="173"/>
      <c r="UJX357" s="173"/>
      <c r="UJY357" s="173"/>
      <c r="UJZ357" s="173"/>
      <c r="UKA357" s="173"/>
      <c r="UKB357" s="173"/>
      <c r="UKC357" s="173"/>
      <c r="UKD357" s="125"/>
      <c r="UKE357" s="125"/>
      <c r="UKF357" s="134"/>
      <c r="UKG357" s="135"/>
      <c r="UKH357" s="135"/>
      <c r="UKI357" s="135"/>
      <c r="UKJ357" s="135"/>
      <c r="UKK357" s="173"/>
      <c r="UKL357" s="173"/>
      <c r="UKM357" s="173"/>
      <c r="UKN357" s="173"/>
      <c r="UKO357" s="173"/>
      <c r="UKP357" s="173"/>
      <c r="UKQ357" s="173"/>
      <c r="UKR357" s="173"/>
      <c r="UKS357" s="173"/>
      <c r="UKT357" s="173"/>
      <c r="UKU357" s="125"/>
      <c r="UKV357" s="125"/>
      <c r="UKW357" s="134"/>
      <c r="UKX357" s="135"/>
      <c r="UKY357" s="135"/>
      <c r="UKZ357" s="135"/>
      <c r="ULA357" s="135"/>
      <c r="ULB357" s="173"/>
      <c r="ULC357" s="173"/>
      <c r="ULD357" s="173"/>
      <c r="ULE357" s="173"/>
      <c r="ULF357" s="173"/>
      <c r="ULG357" s="173"/>
      <c r="ULH357" s="173"/>
      <c r="ULI357" s="173"/>
      <c r="ULJ357" s="173"/>
      <c r="ULK357" s="173"/>
      <c r="ULL357" s="125"/>
      <c r="ULM357" s="125"/>
      <c r="ULN357" s="134"/>
      <c r="ULO357" s="135"/>
      <c r="ULP357" s="135"/>
      <c r="ULQ357" s="135"/>
      <c r="ULR357" s="135"/>
      <c r="ULS357" s="173"/>
      <c r="ULT357" s="173"/>
      <c r="ULU357" s="173"/>
      <c r="ULV357" s="173"/>
      <c r="ULW357" s="173"/>
      <c r="ULX357" s="173"/>
      <c r="ULY357" s="173"/>
      <c r="ULZ357" s="173"/>
      <c r="UMA357" s="173"/>
      <c r="UMB357" s="173"/>
      <c r="UMC357" s="125"/>
      <c r="UMD357" s="125"/>
      <c r="UME357" s="134"/>
      <c r="UMF357" s="135"/>
      <c r="UMG357" s="135"/>
      <c r="UMH357" s="135"/>
      <c r="UMI357" s="135"/>
      <c r="UMJ357" s="173"/>
      <c r="UMK357" s="173"/>
      <c r="UML357" s="173"/>
      <c r="UMM357" s="173"/>
      <c r="UMN357" s="173"/>
      <c r="UMO357" s="173"/>
      <c r="UMP357" s="173"/>
      <c r="UMQ357" s="173"/>
      <c r="UMR357" s="173"/>
      <c r="UMS357" s="173"/>
      <c r="UMT357" s="125"/>
      <c r="UMU357" s="125"/>
      <c r="UMV357" s="134"/>
      <c r="UMW357" s="135"/>
      <c r="UMX357" s="135"/>
      <c r="UMY357" s="135"/>
      <c r="UMZ357" s="135"/>
      <c r="UNA357" s="173"/>
      <c r="UNB357" s="173"/>
      <c r="UNC357" s="173"/>
      <c r="UND357" s="173"/>
      <c r="UNE357" s="173"/>
      <c r="UNF357" s="173"/>
      <c r="UNG357" s="173"/>
      <c r="UNH357" s="173"/>
      <c r="UNI357" s="173"/>
      <c r="UNJ357" s="173"/>
      <c r="UNK357" s="125"/>
      <c r="UNL357" s="125"/>
      <c r="UNM357" s="134"/>
      <c r="UNN357" s="135"/>
      <c r="UNO357" s="135"/>
      <c r="UNP357" s="135"/>
      <c r="UNQ357" s="135"/>
      <c r="UNR357" s="173"/>
      <c r="UNS357" s="173"/>
      <c r="UNT357" s="173"/>
      <c r="UNU357" s="173"/>
      <c r="UNV357" s="173"/>
      <c r="UNW357" s="173"/>
      <c r="UNX357" s="173"/>
      <c r="UNY357" s="173"/>
      <c r="UNZ357" s="173"/>
      <c r="UOA357" s="173"/>
      <c r="UOB357" s="125"/>
      <c r="UOC357" s="125"/>
      <c r="UOD357" s="134"/>
      <c r="UOE357" s="135"/>
      <c r="UOF357" s="135"/>
      <c r="UOG357" s="135"/>
      <c r="UOH357" s="135"/>
      <c r="UOI357" s="173"/>
      <c r="UOJ357" s="173"/>
      <c r="UOK357" s="173"/>
      <c r="UOL357" s="173"/>
      <c r="UOM357" s="173"/>
      <c r="UON357" s="173"/>
      <c r="UOO357" s="173"/>
      <c r="UOP357" s="173"/>
      <c r="UOQ357" s="173"/>
      <c r="UOR357" s="173"/>
      <c r="UOS357" s="125"/>
      <c r="UOT357" s="125"/>
      <c r="UOU357" s="134"/>
      <c r="UOV357" s="135"/>
      <c r="UOW357" s="135"/>
      <c r="UOX357" s="135"/>
      <c r="UOY357" s="135"/>
      <c r="UOZ357" s="173"/>
      <c r="UPA357" s="173"/>
      <c r="UPB357" s="173"/>
      <c r="UPC357" s="173"/>
      <c r="UPD357" s="173"/>
      <c r="UPE357" s="173"/>
      <c r="UPF357" s="173"/>
      <c r="UPG357" s="173"/>
      <c r="UPH357" s="173"/>
      <c r="UPI357" s="173"/>
      <c r="UPJ357" s="125"/>
      <c r="UPK357" s="125"/>
      <c r="UPL357" s="134"/>
      <c r="UPM357" s="135"/>
      <c r="UPN357" s="135"/>
      <c r="UPO357" s="135"/>
      <c r="UPP357" s="135"/>
      <c r="UPQ357" s="173"/>
      <c r="UPR357" s="173"/>
      <c r="UPS357" s="173"/>
      <c r="UPT357" s="173"/>
      <c r="UPU357" s="173"/>
      <c r="UPV357" s="173"/>
      <c r="UPW357" s="173"/>
      <c r="UPX357" s="173"/>
      <c r="UPY357" s="173"/>
      <c r="UPZ357" s="173"/>
      <c r="UQA357" s="125"/>
      <c r="UQB357" s="125"/>
      <c r="UQC357" s="134"/>
      <c r="UQD357" s="135"/>
      <c r="UQE357" s="135"/>
      <c r="UQF357" s="135"/>
      <c r="UQG357" s="135"/>
      <c r="UQH357" s="173"/>
      <c r="UQI357" s="173"/>
      <c r="UQJ357" s="173"/>
      <c r="UQK357" s="173"/>
      <c r="UQL357" s="173"/>
      <c r="UQM357" s="173"/>
      <c r="UQN357" s="173"/>
      <c r="UQO357" s="173"/>
      <c r="UQP357" s="173"/>
      <c r="UQQ357" s="173"/>
      <c r="UQR357" s="125"/>
      <c r="UQS357" s="125"/>
      <c r="UQT357" s="134"/>
      <c r="UQU357" s="135"/>
      <c r="UQV357" s="135"/>
      <c r="UQW357" s="135"/>
      <c r="UQX357" s="135"/>
      <c r="UQY357" s="173"/>
      <c r="UQZ357" s="173"/>
      <c r="URA357" s="173"/>
      <c r="URB357" s="173"/>
      <c r="URC357" s="173"/>
      <c r="URD357" s="173"/>
      <c r="URE357" s="173"/>
      <c r="URF357" s="173"/>
      <c r="URG357" s="173"/>
      <c r="URH357" s="173"/>
      <c r="URI357" s="125"/>
      <c r="URJ357" s="125"/>
      <c r="URK357" s="134"/>
      <c r="URL357" s="135"/>
      <c r="URM357" s="135"/>
      <c r="URN357" s="135"/>
      <c r="URO357" s="135"/>
      <c r="URP357" s="173"/>
      <c r="URQ357" s="173"/>
      <c r="URR357" s="173"/>
      <c r="URS357" s="173"/>
      <c r="URT357" s="173"/>
      <c r="URU357" s="173"/>
      <c r="URV357" s="173"/>
      <c r="URW357" s="173"/>
      <c r="URX357" s="173"/>
      <c r="URY357" s="173"/>
      <c r="URZ357" s="125"/>
      <c r="USA357" s="125"/>
      <c r="USB357" s="134"/>
      <c r="USC357" s="135"/>
      <c r="USD357" s="135"/>
      <c r="USE357" s="135"/>
      <c r="USF357" s="135"/>
      <c r="USG357" s="173"/>
      <c r="USH357" s="173"/>
      <c r="USI357" s="173"/>
      <c r="USJ357" s="173"/>
      <c r="USK357" s="173"/>
      <c r="USL357" s="173"/>
      <c r="USM357" s="173"/>
      <c r="USN357" s="173"/>
      <c r="USO357" s="173"/>
      <c r="USP357" s="173"/>
      <c r="USQ357" s="125"/>
      <c r="USR357" s="125"/>
      <c r="USS357" s="134"/>
      <c r="UST357" s="135"/>
      <c r="USU357" s="135"/>
      <c r="USV357" s="135"/>
      <c r="USW357" s="135"/>
      <c r="USX357" s="173"/>
      <c r="USY357" s="173"/>
      <c r="USZ357" s="173"/>
      <c r="UTA357" s="173"/>
      <c r="UTB357" s="173"/>
      <c r="UTC357" s="173"/>
      <c r="UTD357" s="173"/>
      <c r="UTE357" s="173"/>
      <c r="UTF357" s="173"/>
      <c r="UTG357" s="173"/>
      <c r="UTH357" s="125"/>
      <c r="UTI357" s="125"/>
      <c r="UTJ357" s="134"/>
      <c r="UTK357" s="135"/>
      <c r="UTL357" s="135"/>
      <c r="UTM357" s="135"/>
      <c r="UTN357" s="135"/>
      <c r="UTO357" s="173"/>
      <c r="UTP357" s="173"/>
      <c r="UTQ357" s="173"/>
      <c r="UTR357" s="173"/>
      <c r="UTS357" s="173"/>
      <c r="UTT357" s="173"/>
      <c r="UTU357" s="173"/>
      <c r="UTV357" s="173"/>
      <c r="UTW357" s="173"/>
      <c r="UTX357" s="173"/>
      <c r="UTY357" s="125"/>
      <c r="UTZ357" s="125"/>
      <c r="UUA357" s="134"/>
      <c r="UUB357" s="135"/>
      <c r="UUC357" s="135"/>
      <c r="UUD357" s="135"/>
      <c r="UUE357" s="135"/>
      <c r="UUF357" s="173"/>
      <c r="UUG357" s="173"/>
      <c r="UUH357" s="173"/>
      <c r="UUI357" s="173"/>
      <c r="UUJ357" s="173"/>
      <c r="UUK357" s="173"/>
      <c r="UUL357" s="173"/>
      <c r="UUM357" s="173"/>
      <c r="UUN357" s="173"/>
      <c r="UUO357" s="173"/>
      <c r="UUP357" s="125"/>
      <c r="UUQ357" s="125"/>
      <c r="UUR357" s="134"/>
      <c r="UUS357" s="135"/>
      <c r="UUT357" s="135"/>
      <c r="UUU357" s="135"/>
      <c r="UUV357" s="135"/>
      <c r="UUW357" s="173"/>
      <c r="UUX357" s="173"/>
      <c r="UUY357" s="173"/>
      <c r="UUZ357" s="173"/>
      <c r="UVA357" s="173"/>
      <c r="UVB357" s="173"/>
      <c r="UVC357" s="173"/>
      <c r="UVD357" s="173"/>
      <c r="UVE357" s="173"/>
      <c r="UVF357" s="173"/>
      <c r="UVG357" s="125"/>
      <c r="UVH357" s="125"/>
      <c r="UVI357" s="134"/>
      <c r="UVJ357" s="135"/>
      <c r="UVK357" s="135"/>
      <c r="UVL357" s="135"/>
      <c r="UVM357" s="135"/>
      <c r="UVN357" s="173"/>
      <c r="UVO357" s="173"/>
      <c r="UVP357" s="173"/>
      <c r="UVQ357" s="173"/>
      <c r="UVR357" s="173"/>
      <c r="UVS357" s="173"/>
      <c r="UVT357" s="173"/>
      <c r="UVU357" s="173"/>
      <c r="UVV357" s="173"/>
      <c r="UVW357" s="173"/>
      <c r="UVX357" s="125"/>
      <c r="UVY357" s="125"/>
      <c r="UVZ357" s="134"/>
      <c r="UWA357" s="135"/>
      <c r="UWB357" s="135"/>
      <c r="UWC357" s="135"/>
      <c r="UWD357" s="135"/>
      <c r="UWE357" s="173"/>
      <c r="UWF357" s="173"/>
      <c r="UWG357" s="173"/>
      <c r="UWH357" s="173"/>
      <c r="UWI357" s="173"/>
      <c r="UWJ357" s="173"/>
      <c r="UWK357" s="173"/>
      <c r="UWL357" s="173"/>
      <c r="UWM357" s="173"/>
      <c r="UWN357" s="173"/>
      <c r="UWO357" s="125"/>
      <c r="UWP357" s="125"/>
      <c r="UWQ357" s="134"/>
      <c r="UWR357" s="135"/>
      <c r="UWS357" s="135"/>
      <c r="UWT357" s="135"/>
      <c r="UWU357" s="135"/>
      <c r="UWV357" s="173"/>
      <c r="UWW357" s="173"/>
      <c r="UWX357" s="173"/>
      <c r="UWY357" s="173"/>
      <c r="UWZ357" s="173"/>
      <c r="UXA357" s="173"/>
      <c r="UXB357" s="173"/>
      <c r="UXC357" s="173"/>
      <c r="UXD357" s="173"/>
      <c r="UXE357" s="173"/>
      <c r="UXF357" s="125"/>
      <c r="UXG357" s="125"/>
      <c r="UXH357" s="134"/>
      <c r="UXI357" s="135"/>
      <c r="UXJ357" s="135"/>
      <c r="UXK357" s="135"/>
      <c r="UXL357" s="135"/>
      <c r="UXM357" s="173"/>
      <c r="UXN357" s="173"/>
      <c r="UXO357" s="173"/>
      <c r="UXP357" s="173"/>
      <c r="UXQ357" s="173"/>
      <c r="UXR357" s="173"/>
      <c r="UXS357" s="173"/>
      <c r="UXT357" s="173"/>
      <c r="UXU357" s="173"/>
      <c r="UXV357" s="173"/>
      <c r="UXW357" s="125"/>
      <c r="UXX357" s="125"/>
      <c r="UXY357" s="134"/>
      <c r="UXZ357" s="135"/>
      <c r="UYA357" s="135"/>
      <c r="UYB357" s="135"/>
      <c r="UYC357" s="135"/>
      <c r="UYD357" s="173"/>
      <c r="UYE357" s="173"/>
      <c r="UYF357" s="173"/>
      <c r="UYG357" s="173"/>
      <c r="UYH357" s="173"/>
      <c r="UYI357" s="173"/>
      <c r="UYJ357" s="173"/>
      <c r="UYK357" s="173"/>
      <c r="UYL357" s="173"/>
      <c r="UYM357" s="173"/>
      <c r="UYN357" s="125"/>
      <c r="UYO357" s="125"/>
      <c r="UYP357" s="134"/>
      <c r="UYQ357" s="135"/>
      <c r="UYR357" s="135"/>
      <c r="UYS357" s="135"/>
      <c r="UYT357" s="135"/>
      <c r="UYU357" s="173"/>
      <c r="UYV357" s="173"/>
      <c r="UYW357" s="173"/>
      <c r="UYX357" s="173"/>
      <c r="UYY357" s="173"/>
      <c r="UYZ357" s="173"/>
      <c r="UZA357" s="173"/>
      <c r="UZB357" s="173"/>
      <c r="UZC357" s="173"/>
      <c r="UZD357" s="173"/>
      <c r="UZE357" s="125"/>
      <c r="UZF357" s="125"/>
      <c r="UZG357" s="134"/>
      <c r="UZH357" s="135"/>
      <c r="UZI357" s="135"/>
      <c r="UZJ357" s="135"/>
      <c r="UZK357" s="135"/>
      <c r="UZL357" s="173"/>
      <c r="UZM357" s="173"/>
      <c r="UZN357" s="173"/>
      <c r="UZO357" s="173"/>
      <c r="UZP357" s="173"/>
      <c r="UZQ357" s="173"/>
      <c r="UZR357" s="173"/>
      <c r="UZS357" s="173"/>
      <c r="UZT357" s="173"/>
      <c r="UZU357" s="173"/>
      <c r="UZV357" s="125"/>
      <c r="UZW357" s="125"/>
      <c r="UZX357" s="134"/>
      <c r="UZY357" s="135"/>
      <c r="UZZ357" s="135"/>
      <c r="VAA357" s="135"/>
      <c r="VAB357" s="135"/>
      <c r="VAC357" s="173"/>
      <c r="VAD357" s="173"/>
      <c r="VAE357" s="173"/>
      <c r="VAF357" s="173"/>
      <c r="VAG357" s="173"/>
      <c r="VAH357" s="173"/>
      <c r="VAI357" s="173"/>
      <c r="VAJ357" s="173"/>
      <c r="VAK357" s="173"/>
      <c r="VAL357" s="173"/>
      <c r="VAM357" s="125"/>
      <c r="VAN357" s="125"/>
      <c r="VAO357" s="134"/>
      <c r="VAP357" s="135"/>
      <c r="VAQ357" s="135"/>
      <c r="VAR357" s="135"/>
      <c r="VAS357" s="135"/>
      <c r="VAT357" s="173"/>
      <c r="VAU357" s="173"/>
      <c r="VAV357" s="173"/>
      <c r="VAW357" s="173"/>
      <c r="VAX357" s="173"/>
      <c r="VAY357" s="173"/>
      <c r="VAZ357" s="173"/>
      <c r="VBA357" s="173"/>
      <c r="VBB357" s="173"/>
      <c r="VBC357" s="173"/>
      <c r="VBD357" s="125"/>
      <c r="VBE357" s="125"/>
      <c r="VBF357" s="134"/>
      <c r="VBG357" s="135"/>
      <c r="VBH357" s="135"/>
      <c r="VBI357" s="135"/>
      <c r="VBJ357" s="135"/>
      <c r="VBK357" s="173"/>
      <c r="VBL357" s="173"/>
      <c r="VBM357" s="173"/>
      <c r="VBN357" s="173"/>
      <c r="VBO357" s="173"/>
      <c r="VBP357" s="173"/>
      <c r="VBQ357" s="173"/>
      <c r="VBR357" s="173"/>
      <c r="VBS357" s="173"/>
      <c r="VBT357" s="173"/>
      <c r="VBU357" s="125"/>
      <c r="VBV357" s="125"/>
      <c r="VBW357" s="134"/>
      <c r="VBX357" s="135"/>
      <c r="VBY357" s="135"/>
      <c r="VBZ357" s="135"/>
      <c r="VCA357" s="135"/>
      <c r="VCB357" s="173"/>
      <c r="VCC357" s="173"/>
      <c r="VCD357" s="173"/>
      <c r="VCE357" s="173"/>
      <c r="VCF357" s="173"/>
      <c r="VCG357" s="173"/>
      <c r="VCH357" s="173"/>
      <c r="VCI357" s="173"/>
      <c r="VCJ357" s="173"/>
      <c r="VCK357" s="173"/>
      <c r="VCL357" s="125"/>
      <c r="VCM357" s="125"/>
      <c r="VCN357" s="134"/>
      <c r="VCO357" s="135"/>
      <c r="VCP357" s="135"/>
      <c r="VCQ357" s="135"/>
      <c r="VCR357" s="135"/>
      <c r="VCS357" s="173"/>
      <c r="VCT357" s="173"/>
      <c r="VCU357" s="173"/>
      <c r="VCV357" s="173"/>
      <c r="VCW357" s="173"/>
      <c r="VCX357" s="173"/>
      <c r="VCY357" s="173"/>
      <c r="VCZ357" s="173"/>
      <c r="VDA357" s="173"/>
      <c r="VDB357" s="173"/>
      <c r="VDC357" s="125"/>
      <c r="VDD357" s="125"/>
      <c r="VDE357" s="134"/>
      <c r="VDF357" s="135"/>
      <c r="VDG357" s="135"/>
      <c r="VDH357" s="135"/>
      <c r="VDI357" s="135"/>
      <c r="VDJ357" s="173"/>
      <c r="VDK357" s="173"/>
      <c r="VDL357" s="173"/>
      <c r="VDM357" s="173"/>
      <c r="VDN357" s="173"/>
      <c r="VDO357" s="173"/>
      <c r="VDP357" s="173"/>
      <c r="VDQ357" s="173"/>
      <c r="VDR357" s="173"/>
      <c r="VDS357" s="173"/>
      <c r="VDT357" s="125"/>
      <c r="VDU357" s="125"/>
      <c r="VDV357" s="134"/>
      <c r="VDW357" s="135"/>
      <c r="VDX357" s="135"/>
      <c r="VDY357" s="135"/>
      <c r="VDZ357" s="135"/>
      <c r="VEA357" s="173"/>
      <c r="VEB357" s="173"/>
      <c r="VEC357" s="173"/>
      <c r="VED357" s="173"/>
      <c r="VEE357" s="173"/>
      <c r="VEF357" s="173"/>
      <c r="VEG357" s="173"/>
      <c r="VEH357" s="173"/>
      <c r="VEI357" s="173"/>
      <c r="VEJ357" s="173"/>
      <c r="VEK357" s="125"/>
      <c r="VEL357" s="125"/>
      <c r="VEM357" s="134"/>
      <c r="VEN357" s="135"/>
      <c r="VEO357" s="135"/>
      <c r="VEP357" s="135"/>
      <c r="VEQ357" s="135"/>
      <c r="VER357" s="173"/>
      <c r="VES357" s="173"/>
      <c r="VET357" s="173"/>
      <c r="VEU357" s="173"/>
      <c r="VEV357" s="173"/>
      <c r="VEW357" s="173"/>
      <c r="VEX357" s="173"/>
      <c r="VEY357" s="173"/>
      <c r="VEZ357" s="173"/>
      <c r="VFA357" s="173"/>
      <c r="VFB357" s="125"/>
      <c r="VFC357" s="125"/>
      <c r="VFD357" s="134"/>
      <c r="VFE357" s="135"/>
      <c r="VFF357" s="135"/>
      <c r="VFG357" s="135"/>
      <c r="VFH357" s="135"/>
      <c r="VFI357" s="173"/>
      <c r="VFJ357" s="173"/>
      <c r="VFK357" s="173"/>
      <c r="VFL357" s="173"/>
      <c r="VFM357" s="173"/>
      <c r="VFN357" s="173"/>
      <c r="VFO357" s="173"/>
      <c r="VFP357" s="173"/>
      <c r="VFQ357" s="173"/>
      <c r="VFR357" s="173"/>
      <c r="VFS357" s="125"/>
      <c r="VFT357" s="125"/>
      <c r="VFU357" s="134"/>
      <c r="VFV357" s="135"/>
      <c r="VFW357" s="135"/>
      <c r="VFX357" s="135"/>
      <c r="VFY357" s="135"/>
      <c r="VFZ357" s="173"/>
      <c r="VGA357" s="173"/>
      <c r="VGB357" s="173"/>
      <c r="VGC357" s="173"/>
      <c r="VGD357" s="173"/>
      <c r="VGE357" s="173"/>
      <c r="VGF357" s="173"/>
      <c r="VGG357" s="173"/>
      <c r="VGH357" s="173"/>
      <c r="VGI357" s="173"/>
      <c r="VGJ357" s="125"/>
      <c r="VGK357" s="125"/>
      <c r="VGL357" s="134"/>
      <c r="VGM357" s="135"/>
      <c r="VGN357" s="135"/>
      <c r="VGO357" s="135"/>
      <c r="VGP357" s="135"/>
      <c r="VGQ357" s="173"/>
      <c r="VGR357" s="173"/>
      <c r="VGS357" s="173"/>
      <c r="VGT357" s="173"/>
      <c r="VGU357" s="173"/>
      <c r="VGV357" s="173"/>
      <c r="VGW357" s="173"/>
      <c r="VGX357" s="173"/>
      <c r="VGY357" s="173"/>
      <c r="VGZ357" s="173"/>
      <c r="VHA357" s="125"/>
      <c r="VHB357" s="125"/>
      <c r="VHC357" s="134"/>
      <c r="VHD357" s="135"/>
      <c r="VHE357" s="135"/>
      <c r="VHF357" s="135"/>
      <c r="VHG357" s="135"/>
      <c r="VHH357" s="173"/>
      <c r="VHI357" s="173"/>
      <c r="VHJ357" s="173"/>
      <c r="VHK357" s="173"/>
      <c r="VHL357" s="173"/>
      <c r="VHM357" s="173"/>
      <c r="VHN357" s="173"/>
      <c r="VHO357" s="173"/>
      <c r="VHP357" s="173"/>
      <c r="VHQ357" s="173"/>
      <c r="VHR357" s="125"/>
      <c r="VHS357" s="125"/>
      <c r="VHT357" s="134"/>
      <c r="VHU357" s="135"/>
      <c r="VHV357" s="135"/>
      <c r="VHW357" s="135"/>
      <c r="VHX357" s="135"/>
      <c r="VHY357" s="173"/>
      <c r="VHZ357" s="173"/>
      <c r="VIA357" s="173"/>
      <c r="VIB357" s="173"/>
      <c r="VIC357" s="173"/>
      <c r="VID357" s="173"/>
      <c r="VIE357" s="173"/>
      <c r="VIF357" s="173"/>
      <c r="VIG357" s="173"/>
      <c r="VIH357" s="173"/>
      <c r="VII357" s="125"/>
      <c r="VIJ357" s="125"/>
      <c r="VIK357" s="134"/>
      <c r="VIL357" s="135"/>
      <c r="VIM357" s="135"/>
      <c r="VIN357" s="135"/>
      <c r="VIO357" s="135"/>
      <c r="VIP357" s="173"/>
      <c r="VIQ357" s="173"/>
      <c r="VIR357" s="173"/>
      <c r="VIS357" s="173"/>
      <c r="VIT357" s="173"/>
      <c r="VIU357" s="173"/>
      <c r="VIV357" s="173"/>
      <c r="VIW357" s="173"/>
      <c r="VIX357" s="173"/>
      <c r="VIY357" s="173"/>
      <c r="VIZ357" s="125"/>
      <c r="VJA357" s="125"/>
      <c r="VJB357" s="134"/>
      <c r="VJC357" s="135"/>
      <c r="VJD357" s="135"/>
      <c r="VJE357" s="135"/>
      <c r="VJF357" s="135"/>
      <c r="VJG357" s="173"/>
      <c r="VJH357" s="173"/>
      <c r="VJI357" s="173"/>
      <c r="VJJ357" s="173"/>
      <c r="VJK357" s="173"/>
      <c r="VJL357" s="173"/>
      <c r="VJM357" s="173"/>
      <c r="VJN357" s="173"/>
      <c r="VJO357" s="173"/>
      <c r="VJP357" s="173"/>
      <c r="VJQ357" s="125"/>
      <c r="VJR357" s="125"/>
      <c r="VJS357" s="134"/>
      <c r="VJT357" s="135"/>
      <c r="VJU357" s="135"/>
      <c r="VJV357" s="135"/>
      <c r="VJW357" s="135"/>
      <c r="VJX357" s="173"/>
      <c r="VJY357" s="173"/>
      <c r="VJZ357" s="173"/>
      <c r="VKA357" s="173"/>
      <c r="VKB357" s="173"/>
      <c r="VKC357" s="173"/>
      <c r="VKD357" s="173"/>
      <c r="VKE357" s="173"/>
      <c r="VKF357" s="173"/>
      <c r="VKG357" s="173"/>
      <c r="VKH357" s="125"/>
      <c r="VKI357" s="125"/>
      <c r="VKJ357" s="134"/>
      <c r="VKK357" s="135"/>
      <c r="VKL357" s="135"/>
      <c r="VKM357" s="135"/>
      <c r="VKN357" s="135"/>
      <c r="VKO357" s="173"/>
      <c r="VKP357" s="173"/>
      <c r="VKQ357" s="173"/>
      <c r="VKR357" s="173"/>
      <c r="VKS357" s="173"/>
      <c r="VKT357" s="173"/>
      <c r="VKU357" s="173"/>
      <c r="VKV357" s="173"/>
      <c r="VKW357" s="173"/>
      <c r="VKX357" s="173"/>
      <c r="VKY357" s="125"/>
      <c r="VKZ357" s="125"/>
      <c r="VLA357" s="134"/>
      <c r="VLB357" s="135"/>
      <c r="VLC357" s="135"/>
      <c r="VLD357" s="135"/>
      <c r="VLE357" s="135"/>
      <c r="VLF357" s="173"/>
      <c r="VLG357" s="173"/>
      <c r="VLH357" s="173"/>
      <c r="VLI357" s="173"/>
      <c r="VLJ357" s="173"/>
      <c r="VLK357" s="173"/>
      <c r="VLL357" s="173"/>
      <c r="VLM357" s="173"/>
      <c r="VLN357" s="173"/>
      <c r="VLO357" s="173"/>
      <c r="VLP357" s="125"/>
      <c r="VLQ357" s="125"/>
      <c r="VLR357" s="134"/>
      <c r="VLS357" s="135"/>
      <c r="VLT357" s="135"/>
      <c r="VLU357" s="135"/>
      <c r="VLV357" s="135"/>
      <c r="VLW357" s="173"/>
      <c r="VLX357" s="173"/>
      <c r="VLY357" s="173"/>
      <c r="VLZ357" s="173"/>
      <c r="VMA357" s="173"/>
      <c r="VMB357" s="173"/>
      <c r="VMC357" s="173"/>
      <c r="VMD357" s="173"/>
      <c r="VME357" s="173"/>
      <c r="VMF357" s="173"/>
      <c r="VMG357" s="125"/>
      <c r="VMH357" s="125"/>
      <c r="VMI357" s="134"/>
      <c r="VMJ357" s="135"/>
      <c r="VMK357" s="135"/>
      <c r="VML357" s="135"/>
      <c r="VMM357" s="135"/>
      <c r="VMN357" s="173"/>
      <c r="VMO357" s="173"/>
      <c r="VMP357" s="173"/>
      <c r="VMQ357" s="173"/>
      <c r="VMR357" s="173"/>
      <c r="VMS357" s="173"/>
      <c r="VMT357" s="173"/>
      <c r="VMU357" s="173"/>
      <c r="VMV357" s="173"/>
      <c r="VMW357" s="173"/>
      <c r="VMX357" s="125"/>
      <c r="VMY357" s="125"/>
      <c r="VMZ357" s="134"/>
      <c r="VNA357" s="135"/>
      <c r="VNB357" s="135"/>
      <c r="VNC357" s="135"/>
      <c r="VND357" s="135"/>
      <c r="VNE357" s="173"/>
      <c r="VNF357" s="173"/>
      <c r="VNG357" s="173"/>
      <c r="VNH357" s="173"/>
      <c r="VNI357" s="173"/>
      <c r="VNJ357" s="173"/>
      <c r="VNK357" s="173"/>
      <c r="VNL357" s="173"/>
      <c r="VNM357" s="173"/>
      <c r="VNN357" s="173"/>
      <c r="VNO357" s="125"/>
      <c r="VNP357" s="125"/>
      <c r="VNQ357" s="134"/>
      <c r="VNR357" s="135"/>
      <c r="VNS357" s="135"/>
      <c r="VNT357" s="135"/>
      <c r="VNU357" s="135"/>
      <c r="VNV357" s="173"/>
      <c r="VNW357" s="173"/>
      <c r="VNX357" s="173"/>
      <c r="VNY357" s="173"/>
      <c r="VNZ357" s="173"/>
      <c r="VOA357" s="173"/>
      <c r="VOB357" s="173"/>
      <c r="VOC357" s="173"/>
      <c r="VOD357" s="173"/>
      <c r="VOE357" s="173"/>
      <c r="VOF357" s="125"/>
      <c r="VOG357" s="125"/>
      <c r="VOH357" s="134"/>
      <c r="VOI357" s="135"/>
      <c r="VOJ357" s="135"/>
      <c r="VOK357" s="135"/>
      <c r="VOL357" s="135"/>
      <c r="VOM357" s="173"/>
      <c r="VON357" s="173"/>
      <c r="VOO357" s="173"/>
      <c r="VOP357" s="173"/>
      <c r="VOQ357" s="173"/>
      <c r="VOR357" s="173"/>
      <c r="VOS357" s="173"/>
      <c r="VOT357" s="173"/>
      <c r="VOU357" s="173"/>
      <c r="VOV357" s="173"/>
      <c r="VOW357" s="125"/>
      <c r="VOX357" s="125"/>
      <c r="VOY357" s="134"/>
      <c r="VOZ357" s="135"/>
      <c r="VPA357" s="135"/>
      <c r="VPB357" s="135"/>
      <c r="VPC357" s="135"/>
      <c r="VPD357" s="173"/>
      <c r="VPE357" s="173"/>
      <c r="VPF357" s="173"/>
      <c r="VPG357" s="173"/>
      <c r="VPH357" s="173"/>
      <c r="VPI357" s="173"/>
      <c r="VPJ357" s="173"/>
      <c r="VPK357" s="173"/>
      <c r="VPL357" s="173"/>
      <c r="VPM357" s="173"/>
      <c r="VPN357" s="125"/>
      <c r="VPO357" s="125"/>
      <c r="VPP357" s="134"/>
      <c r="VPQ357" s="135"/>
      <c r="VPR357" s="135"/>
      <c r="VPS357" s="135"/>
      <c r="VPT357" s="135"/>
      <c r="VPU357" s="173"/>
      <c r="VPV357" s="173"/>
      <c r="VPW357" s="173"/>
      <c r="VPX357" s="173"/>
      <c r="VPY357" s="173"/>
      <c r="VPZ357" s="173"/>
      <c r="VQA357" s="173"/>
      <c r="VQB357" s="173"/>
      <c r="VQC357" s="173"/>
      <c r="VQD357" s="173"/>
      <c r="VQE357" s="125"/>
      <c r="VQF357" s="125"/>
      <c r="VQG357" s="134"/>
      <c r="VQH357" s="135"/>
      <c r="VQI357" s="135"/>
      <c r="VQJ357" s="135"/>
      <c r="VQK357" s="135"/>
      <c r="VQL357" s="173"/>
      <c r="VQM357" s="173"/>
      <c r="VQN357" s="173"/>
      <c r="VQO357" s="173"/>
      <c r="VQP357" s="173"/>
      <c r="VQQ357" s="173"/>
      <c r="VQR357" s="173"/>
      <c r="VQS357" s="173"/>
      <c r="VQT357" s="173"/>
      <c r="VQU357" s="173"/>
      <c r="VQV357" s="125"/>
      <c r="VQW357" s="125"/>
      <c r="VQX357" s="134"/>
      <c r="VQY357" s="135"/>
      <c r="VQZ357" s="135"/>
      <c r="VRA357" s="135"/>
      <c r="VRB357" s="135"/>
      <c r="VRC357" s="173"/>
      <c r="VRD357" s="173"/>
      <c r="VRE357" s="173"/>
      <c r="VRF357" s="173"/>
      <c r="VRG357" s="173"/>
      <c r="VRH357" s="173"/>
      <c r="VRI357" s="173"/>
      <c r="VRJ357" s="173"/>
      <c r="VRK357" s="173"/>
      <c r="VRL357" s="173"/>
      <c r="VRM357" s="125"/>
      <c r="VRN357" s="125"/>
      <c r="VRO357" s="134"/>
      <c r="VRP357" s="135"/>
      <c r="VRQ357" s="135"/>
      <c r="VRR357" s="135"/>
      <c r="VRS357" s="135"/>
      <c r="VRT357" s="173"/>
      <c r="VRU357" s="173"/>
      <c r="VRV357" s="173"/>
      <c r="VRW357" s="173"/>
      <c r="VRX357" s="173"/>
      <c r="VRY357" s="173"/>
      <c r="VRZ357" s="173"/>
      <c r="VSA357" s="173"/>
      <c r="VSB357" s="173"/>
      <c r="VSC357" s="173"/>
      <c r="VSD357" s="125"/>
      <c r="VSE357" s="125"/>
      <c r="VSF357" s="134"/>
      <c r="VSG357" s="135"/>
      <c r="VSH357" s="135"/>
      <c r="VSI357" s="135"/>
      <c r="VSJ357" s="135"/>
      <c r="VSK357" s="173"/>
      <c r="VSL357" s="173"/>
      <c r="VSM357" s="173"/>
      <c r="VSN357" s="173"/>
      <c r="VSO357" s="173"/>
      <c r="VSP357" s="173"/>
      <c r="VSQ357" s="173"/>
      <c r="VSR357" s="173"/>
      <c r="VSS357" s="173"/>
      <c r="VST357" s="173"/>
      <c r="VSU357" s="125"/>
      <c r="VSV357" s="125"/>
      <c r="VSW357" s="134"/>
      <c r="VSX357" s="135"/>
      <c r="VSY357" s="135"/>
      <c r="VSZ357" s="135"/>
      <c r="VTA357" s="135"/>
      <c r="VTB357" s="173"/>
      <c r="VTC357" s="173"/>
      <c r="VTD357" s="173"/>
      <c r="VTE357" s="173"/>
      <c r="VTF357" s="173"/>
      <c r="VTG357" s="173"/>
      <c r="VTH357" s="173"/>
      <c r="VTI357" s="173"/>
      <c r="VTJ357" s="173"/>
      <c r="VTK357" s="173"/>
      <c r="VTL357" s="125"/>
      <c r="VTM357" s="125"/>
      <c r="VTN357" s="134"/>
      <c r="VTO357" s="135"/>
      <c r="VTP357" s="135"/>
      <c r="VTQ357" s="135"/>
      <c r="VTR357" s="135"/>
      <c r="VTS357" s="173"/>
      <c r="VTT357" s="173"/>
      <c r="VTU357" s="173"/>
      <c r="VTV357" s="173"/>
      <c r="VTW357" s="173"/>
      <c r="VTX357" s="173"/>
      <c r="VTY357" s="173"/>
      <c r="VTZ357" s="173"/>
      <c r="VUA357" s="173"/>
      <c r="VUB357" s="173"/>
      <c r="VUC357" s="125"/>
      <c r="VUD357" s="125"/>
      <c r="VUE357" s="134"/>
      <c r="VUF357" s="135"/>
      <c r="VUG357" s="135"/>
      <c r="VUH357" s="135"/>
      <c r="VUI357" s="135"/>
      <c r="VUJ357" s="173"/>
      <c r="VUK357" s="173"/>
      <c r="VUL357" s="173"/>
      <c r="VUM357" s="173"/>
      <c r="VUN357" s="173"/>
      <c r="VUO357" s="173"/>
      <c r="VUP357" s="173"/>
      <c r="VUQ357" s="173"/>
      <c r="VUR357" s="173"/>
      <c r="VUS357" s="173"/>
      <c r="VUT357" s="125"/>
      <c r="VUU357" s="125"/>
      <c r="VUV357" s="134"/>
      <c r="VUW357" s="135"/>
      <c r="VUX357" s="135"/>
      <c r="VUY357" s="135"/>
      <c r="VUZ357" s="135"/>
      <c r="VVA357" s="173"/>
      <c r="VVB357" s="173"/>
      <c r="VVC357" s="173"/>
      <c r="VVD357" s="173"/>
      <c r="VVE357" s="173"/>
      <c r="VVF357" s="173"/>
      <c r="VVG357" s="173"/>
      <c r="VVH357" s="173"/>
      <c r="VVI357" s="173"/>
      <c r="VVJ357" s="173"/>
      <c r="VVK357" s="125"/>
      <c r="VVL357" s="125"/>
      <c r="VVM357" s="134"/>
      <c r="VVN357" s="135"/>
      <c r="VVO357" s="135"/>
      <c r="VVP357" s="135"/>
      <c r="VVQ357" s="135"/>
      <c r="VVR357" s="173"/>
      <c r="VVS357" s="173"/>
      <c r="VVT357" s="173"/>
      <c r="VVU357" s="173"/>
      <c r="VVV357" s="173"/>
      <c r="VVW357" s="173"/>
      <c r="VVX357" s="173"/>
      <c r="VVY357" s="173"/>
      <c r="VVZ357" s="173"/>
      <c r="VWA357" s="173"/>
      <c r="VWB357" s="125"/>
      <c r="VWC357" s="125"/>
      <c r="VWD357" s="134"/>
      <c r="VWE357" s="135"/>
      <c r="VWF357" s="135"/>
      <c r="VWG357" s="135"/>
      <c r="VWH357" s="135"/>
      <c r="VWI357" s="173"/>
      <c r="VWJ357" s="173"/>
      <c r="VWK357" s="173"/>
      <c r="VWL357" s="173"/>
      <c r="VWM357" s="173"/>
      <c r="VWN357" s="173"/>
      <c r="VWO357" s="173"/>
      <c r="VWP357" s="173"/>
      <c r="VWQ357" s="173"/>
      <c r="VWR357" s="173"/>
      <c r="VWS357" s="125"/>
      <c r="VWT357" s="125"/>
      <c r="VWU357" s="134"/>
      <c r="VWV357" s="135"/>
      <c r="VWW357" s="135"/>
      <c r="VWX357" s="135"/>
      <c r="VWY357" s="135"/>
      <c r="VWZ357" s="173"/>
      <c r="VXA357" s="173"/>
      <c r="VXB357" s="173"/>
      <c r="VXC357" s="173"/>
      <c r="VXD357" s="173"/>
      <c r="VXE357" s="173"/>
      <c r="VXF357" s="173"/>
      <c r="VXG357" s="173"/>
      <c r="VXH357" s="173"/>
      <c r="VXI357" s="173"/>
      <c r="VXJ357" s="125"/>
      <c r="VXK357" s="125"/>
      <c r="VXL357" s="134"/>
      <c r="VXM357" s="135"/>
      <c r="VXN357" s="135"/>
      <c r="VXO357" s="135"/>
      <c r="VXP357" s="135"/>
      <c r="VXQ357" s="173"/>
      <c r="VXR357" s="173"/>
      <c r="VXS357" s="173"/>
      <c r="VXT357" s="173"/>
      <c r="VXU357" s="173"/>
      <c r="VXV357" s="173"/>
      <c r="VXW357" s="173"/>
      <c r="VXX357" s="173"/>
      <c r="VXY357" s="173"/>
      <c r="VXZ357" s="173"/>
      <c r="VYA357" s="125"/>
      <c r="VYB357" s="125"/>
      <c r="VYC357" s="134"/>
      <c r="VYD357" s="135"/>
      <c r="VYE357" s="135"/>
      <c r="VYF357" s="135"/>
      <c r="VYG357" s="135"/>
      <c r="VYH357" s="173"/>
      <c r="VYI357" s="173"/>
      <c r="VYJ357" s="173"/>
      <c r="VYK357" s="173"/>
      <c r="VYL357" s="173"/>
      <c r="VYM357" s="173"/>
      <c r="VYN357" s="173"/>
      <c r="VYO357" s="173"/>
      <c r="VYP357" s="173"/>
      <c r="VYQ357" s="173"/>
      <c r="VYR357" s="125"/>
      <c r="VYS357" s="125"/>
      <c r="VYT357" s="134"/>
      <c r="VYU357" s="135"/>
      <c r="VYV357" s="135"/>
      <c r="VYW357" s="135"/>
      <c r="VYX357" s="135"/>
      <c r="VYY357" s="173"/>
      <c r="VYZ357" s="173"/>
      <c r="VZA357" s="173"/>
      <c r="VZB357" s="173"/>
      <c r="VZC357" s="173"/>
      <c r="VZD357" s="173"/>
      <c r="VZE357" s="173"/>
      <c r="VZF357" s="173"/>
      <c r="VZG357" s="173"/>
      <c r="VZH357" s="173"/>
      <c r="VZI357" s="125"/>
      <c r="VZJ357" s="125"/>
      <c r="VZK357" s="134"/>
      <c r="VZL357" s="135"/>
      <c r="VZM357" s="135"/>
      <c r="VZN357" s="135"/>
      <c r="VZO357" s="135"/>
      <c r="VZP357" s="173"/>
      <c r="VZQ357" s="173"/>
      <c r="VZR357" s="173"/>
      <c r="VZS357" s="173"/>
      <c r="VZT357" s="173"/>
      <c r="VZU357" s="173"/>
      <c r="VZV357" s="173"/>
      <c r="VZW357" s="173"/>
      <c r="VZX357" s="173"/>
      <c r="VZY357" s="173"/>
      <c r="VZZ357" s="125"/>
      <c r="WAA357" s="125"/>
      <c r="WAB357" s="134"/>
      <c r="WAC357" s="135"/>
      <c r="WAD357" s="135"/>
      <c r="WAE357" s="135"/>
      <c r="WAF357" s="135"/>
      <c r="WAG357" s="173"/>
      <c r="WAH357" s="173"/>
      <c r="WAI357" s="173"/>
      <c r="WAJ357" s="173"/>
      <c r="WAK357" s="173"/>
      <c r="WAL357" s="173"/>
      <c r="WAM357" s="173"/>
      <c r="WAN357" s="173"/>
      <c r="WAO357" s="173"/>
      <c r="WAP357" s="173"/>
      <c r="WAQ357" s="125"/>
      <c r="WAR357" s="125"/>
      <c r="WAS357" s="134"/>
      <c r="WAT357" s="135"/>
      <c r="WAU357" s="135"/>
      <c r="WAV357" s="135"/>
      <c r="WAW357" s="135"/>
      <c r="WAX357" s="173"/>
      <c r="WAY357" s="173"/>
      <c r="WAZ357" s="173"/>
      <c r="WBA357" s="173"/>
      <c r="WBB357" s="173"/>
      <c r="WBC357" s="173"/>
      <c r="WBD357" s="173"/>
      <c r="WBE357" s="173"/>
      <c r="WBF357" s="173"/>
      <c r="WBG357" s="173"/>
      <c r="WBH357" s="125"/>
      <c r="WBI357" s="125"/>
      <c r="WBJ357" s="134"/>
      <c r="WBK357" s="135"/>
      <c r="WBL357" s="135"/>
      <c r="WBM357" s="135"/>
      <c r="WBN357" s="135"/>
      <c r="WBO357" s="173"/>
      <c r="WBP357" s="173"/>
      <c r="WBQ357" s="173"/>
      <c r="WBR357" s="173"/>
      <c r="WBS357" s="173"/>
      <c r="WBT357" s="173"/>
      <c r="WBU357" s="173"/>
      <c r="WBV357" s="173"/>
      <c r="WBW357" s="173"/>
      <c r="WBX357" s="173"/>
      <c r="WBY357" s="125"/>
      <c r="WBZ357" s="125"/>
      <c r="WCA357" s="134"/>
      <c r="WCB357" s="135"/>
      <c r="WCC357" s="135"/>
      <c r="WCD357" s="135"/>
      <c r="WCE357" s="135"/>
      <c r="WCF357" s="173"/>
      <c r="WCG357" s="173"/>
      <c r="WCH357" s="173"/>
      <c r="WCI357" s="173"/>
      <c r="WCJ357" s="173"/>
      <c r="WCK357" s="173"/>
      <c r="WCL357" s="173"/>
      <c r="WCM357" s="173"/>
      <c r="WCN357" s="173"/>
      <c r="WCO357" s="173"/>
      <c r="WCP357" s="125"/>
      <c r="WCQ357" s="125"/>
      <c r="WCR357" s="134"/>
      <c r="WCS357" s="135"/>
      <c r="WCT357" s="135"/>
      <c r="WCU357" s="135"/>
      <c r="WCV357" s="135"/>
      <c r="WCW357" s="173"/>
      <c r="WCX357" s="173"/>
      <c r="WCY357" s="173"/>
      <c r="WCZ357" s="173"/>
      <c r="WDA357" s="173"/>
      <c r="WDB357" s="173"/>
      <c r="WDC357" s="173"/>
      <c r="WDD357" s="173"/>
      <c r="WDE357" s="173"/>
      <c r="WDF357" s="173"/>
      <c r="WDG357" s="125"/>
      <c r="WDH357" s="125"/>
      <c r="WDI357" s="134"/>
      <c r="WDJ357" s="135"/>
      <c r="WDK357" s="135"/>
      <c r="WDL357" s="135"/>
      <c r="WDM357" s="135"/>
      <c r="WDN357" s="173"/>
      <c r="WDO357" s="173"/>
      <c r="WDP357" s="173"/>
      <c r="WDQ357" s="173"/>
      <c r="WDR357" s="173"/>
      <c r="WDS357" s="173"/>
      <c r="WDT357" s="173"/>
      <c r="WDU357" s="173"/>
      <c r="WDV357" s="173"/>
      <c r="WDW357" s="173"/>
      <c r="WDX357" s="125"/>
      <c r="WDY357" s="125"/>
      <c r="WDZ357" s="134"/>
      <c r="WEA357" s="135"/>
      <c r="WEB357" s="135"/>
      <c r="WEC357" s="135"/>
      <c r="WED357" s="135"/>
      <c r="WEE357" s="173"/>
      <c r="WEF357" s="173"/>
      <c r="WEG357" s="173"/>
      <c r="WEH357" s="173"/>
      <c r="WEI357" s="173"/>
      <c r="WEJ357" s="173"/>
      <c r="WEK357" s="173"/>
      <c r="WEL357" s="173"/>
      <c r="WEM357" s="173"/>
      <c r="WEN357" s="173"/>
      <c r="WEO357" s="125"/>
      <c r="WEP357" s="125"/>
      <c r="WEQ357" s="134"/>
      <c r="WER357" s="135"/>
      <c r="WES357" s="135"/>
      <c r="WET357" s="135"/>
      <c r="WEU357" s="135"/>
      <c r="WEV357" s="173"/>
      <c r="WEW357" s="173"/>
      <c r="WEX357" s="173"/>
      <c r="WEY357" s="173"/>
      <c r="WEZ357" s="173"/>
      <c r="WFA357" s="173"/>
      <c r="WFB357" s="173"/>
      <c r="WFC357" s="173"/>
      <c r="WFD357" s="173"/>
      <c r="WFE357" s="173"/>
      <c r="WFF357" s="125"/>
      <c r="WFG357" s="125"/>
      <c r="WFH357" s="134"/>
      <c r="WFI357" s="135"/>
      <c r="WFJ357" s="135"/>
      <c r="WFK357" s="135"/>
      <c r="WFL357" s="135"/>
      <c r="WFM357" s="173"/>
      <c r="WFN357" s="173"/>
      <c r="WFO357" s="173"/>
      <c r="WFP357" s="173"/>
      <c r="WFQ357" s="173"/>
      <c r="WFR357" s="173"/>
      <c r="WFS357" s="173"/>
      <c r="WFT357" s="173"/>
      <c r="WFU357" s="173"/>
      <c r="WFV357" s="173"/>
      <c r="WFW357" s="125"/>
      <c r="WFX357" s="125"/>
      <c r="WFY357" s="134"/>
      <c r="WFZ357" s="135"/>
      <c r="WGA357" s="135"/>
      <c r="WGB357" s="135"/>
      <c r="WGC357" s="135"/>
      <c r="WGD357" s="173"/>
      <c r="WGE357" s="173"/>
      <c r="WGF357" s="173"/>
      <c r="WGG357" s="173"/>
      <c r="WGH357" s="173"/>
      <c r="WGI357" s="173"/>
      <c r="WGJ357" s="173"/>
      <c r="WGK357" s="173"/>
      <c r="WGL357" s="173"/>
      <c r="WGM357" s="173"/>
      <c r="WGN357" s="125"/>
      <c r="WGO357" s="125"/>
      <c r="WGP357" s="134"/>
      <c r="WGQ357" s="135"/>
      <c r="WGR357" s="135"/>
      <c r="WGS357" s="135"/>
      <c r="WGT357" s="135"/>
      <c r="WGU357" s="173"/>
      <c r="WGV357" s="173"/>
      <c r="WGW357" s="173"/>
      <c r="WGX357" s="173"/>
      <c r="WGY357" s="173"/>
      <c r="WGZ357" s="173"/>
      <c r="WHA357" s="173"/>
      <c r="WHB357" s="173"/>
      <c r="WHC357" s="173"/>
      <c r="WHD357" s="173"/>
      <c r="WHE357" s="125"/>
      <c r="WHF357" s="125"/>
      <c r="WHG357" s="134"/>
      <c r="WHH357" s="135"/>
      <c r="WHI357" s="135"/>
      <c r="WHJ357" s="135"/>
      <c r="WHK357" s="135"/>
      <c r="WHL357" s="173"/>
      <c r="WHM357" s="173"/>
      <c r="WHN357" s="173"/>
      <c r="WHO357" s="173"/>
      <c r="WHP357" s="173"/>
      <c r="WHQ357" s="173"/>
      <c r="WHR357" s="173"/>
      <c r="WHS357" s="173"/>
      <c r="WHT357" s="173"/>
      <c r="WHU357" s="173"/>
      <c r="WHV357" s="125"/>
      <c r="WHW357" s="125"/>
      <c r="WHX357" s="134"/>
      <c r="WHY357" s="135"/>
      <c r="WHZ357" s="135"/>
      <c r="WIA357" s="135"/>
      <c r="WIB357" s="135"/>
      <c r="WIC357" s="173"/>
      <c r="WID357" s="173"/>
      <c r="WIE357" s="173"/>
      <c r="WIF357" s="173"/>
      <c r="WIG357" s="173"/>
      <c r="WIH357" s="173"/>
      <c r="WII357" s="173"/>
      <c r="WIJ357" s="173"/>
      <c r="WIK357" s="173"/>
      <c r="WIL357" s="173"/>
      <c r="WIM357" s="125"/>
      <c r="WIN357" s="125"/>
      <c r="WIO357" s="134"/>
      <c r="WIP357" s="135"/>
      <c r="WIQ357" s="135"/>
      <c r="WIR357" s="135"/>
      <c r="WIS357" s="135"/>
      <c r="WIT357" s="173"/>
      <c r="WIU357" s="173"/>
      <c r="WIV357" s="173"/>
      <c r="WIW357" s="173"/>
      <c r="WIX357" s="173"/>
      <c r="WIY357" s="173"/>
      <c r="WIZ357" s="173"/>
      <c r="WJA357" s="173"/>
      <c r="WJB357" s="173"/>
      <c r="WJC357" s="173"/>
      <c r="WJD357" s="125"/>
      <c r="WJE357" s="125"/>
      <c r="WJF357" s="134"/>
      <c r="WJG357" s="135"/>
      <c r="WJH357" s="135"/>
      <c r="WJI357" s="135"/>
      <c r="WJJ357" s="135"/>
      <c r="WJK357" s="173"/>
      <c r="WJL357" s="173"/>
      <c r="WJM357" s="173"/>
      <c r="WJN357" s="173"/>
      <c r="WJO357" s="173"/>
      <c r="WJP357" s="173"/>
      <c r="WJQ357" s="173"/>
      <c r="WJR357" s="173"/>
      <c r="WJS357" s="173"/>
      <c r="WJT357" s="173"/>
      <c r="WJU357" s="125"/>
      <c r="WJV357" s="125"/>
      <c r="WJW357" s="134"/>
      <c r="WJX357" s="135"/>
      <c r="WJY357" s="135"/>
      <c r="WJZ357" s="135"/>
      <c r="WKA357" s="135"/>
      <c r="WKB357" s="173"/>
      <c r="WKC357" s="173"/>
      <c r="WKD357" s="173"/>
      <c r="WKE357" s="173"/>
      <c r="WKF357" s="173"/>
      <c r="WKG357" s="173"/>
      <c r="WKH357" s="173"/>
      <c r="WKI357" s="173"/>
      <c r="WKJ357" s="173"/>
      <c r="WKK357" s="173"/>
      <c r="WKL357" s="125"/>
      <c r="WKM357" s="125"/>
      <c r="WKN357" s="134"/>
      <c r="WKO357" s="135"/>
      <c r="WKP357" s="135"/>
      <c r="WKQ357" s="135"/>
      <c r="WKR357" s="135"/>
      <c r="WKS357" s="173"/>
      <c r="WKT357" s="173"/>
      <c r="WKU357" s="173"/>
      <c r="WKV357" s="173"/>
      <c r="WKW357" s="173"/>
      <c r="WKX357" s="173"/>
      <c r="WKY357" s="173"/>
      <c r="WKZ357" s="173"/>
      <c r="WLA357" s="173"/>
      <c r="WLB357" s="173"/>
      <c r="WLC357" s="125"/>
      <c r="WLD357" s="125"/>
      <c r="WLE357" s="134"/>
      <c r="WLF357" s="135"/>
      <c r="WLG357" s="135"/>
      <c r="WLH357" s="135"/>
      <c r="WLI357" s="135"/>
      <c r="WLJ357" s="173"/>
      <c r="WLK357" s="173"/>
      <c r="WLL357" s="173"/>
      <c r="WLM357" s="173"/>
      <c r="WLN357" s="173"/>
      <c r="WLO357" s="173"/>
      <c r="WLP357" s="173"/>
      <c r="WLQ357" s="173"/>
      <c r="WLR357" s="173"/>
      <c r="WLS357" s="173"/>
      <c r="WLT357" s="125"/>
      <c r="WLU357" s="125"/>
      <c r="WLV357" s="134"/>
      <c r="WLW357" s="135"/>
      <c r="WLX357" s="135"/>
      <c r="WLY357" s="135"/>
      <c r="WLZ357" s="135"/>
      <c r="WMA357" s="173"/>
      <c r="WMB357" s="173"/>
      <c r="WMC357" s="173"/>
      <c r="WMD357" s="173"/>
      <c r="WME357" s="173"/>
      <c r="WMF357" s="173"/>
      <c r="WMG357" s="173"/>
      <c r="WMH357" s="173"/>
      <c r="WMI357" s="173"/>
      <c r="WMJ357" s="173"/>
      <c r="WMK357" s="125"/>
      <c r="WML357" s="125"/>
      <c r="WMM357" s="134"/>
      <c r="WMN357" s="135"/>
      <c r="WMO357" s="135"/>
      <c r="WMP357" s="135"/>
      <c r="WMQ357" s="135"/>
      <c r="WMR357" s="173"/>
      <c r="WMS357" s="173"/>
      <c r="WMT357" s="173"/>
      <c r="WMU357" s="173"/>
      <c r="WMV357" s="173"/>
      <c r="WMW357" s="173"/>
      <c r="WMX357" s="173"/>
      <c r="WMY357" s="173"/>
      <c r="WMZ357" s="173"/>
      <c r="WNA357" s="173"/>
      <c r="WNB357" s="125"/>
      <c r="WNC357" s="125"/>
      <c r="WND357" s="134"/>
      <c r="WNE357" s="135"/>
      <c r="WNF357" s="135"/>
      <c r="WNG357" s="135"/>
      <c r="WNH357" s="135"/>
      <c r="WNI357" s="173"/>
      <c r="WNJ357" s="173"/>
      <c r="WNK357" s="173"/>
      <c r="WNL357" s="173"/>
      <c r="WNM357" s="173"/>
      <c r="WNN357" s="173"/>
      <c r="WNO357" s="173"/>
      <c r="WNP357" s="173"/>
      <c r="WNQ357" s="173"/>
      <c r="WNR357" s="173"/>
      <c r="WNS357" s="125"/>
      <c r="WNT357" s="125"/>
      <c r="WNU357" s="134"/>
      <c r="WNV357" s="135"/>
      <c r="WNW357" s="135"/>
      <c r="WNX357" s="135"/>
      <c r="WNY357" s="135"/>
      <c r="WNZ357" s="173"/>
      <c r="WOA357" s="173"/>
      <c r="WOB357" s="173"/>
      <c r="WOC357" s="173"/>
      <c r="WOD357" s="173"/>
      <c r="WOE357" s="173"/>
      <c r="WOF357" s="173"/>
      <c r="WOG357" s="173"/>
      <c r="WOH357" s="173"/>
      <c r="WOI357" s="173"/>
      <c r="WOJ357" s="125"/>
      <c r="WOK357" s="125"/>
      <c r="WOL357" s="134"/>
      <c r="WOM357" s="135"/>
      <c r="WON357" s="135"/>
      <c r="WOO357" s="135"/>
      <c r="WOP357" s="135"/>
      <c r="WOQ357" s="173"/>
      <c r="WOR357" s="173"/>
      <c r="WOS357" s="173"/>
      <c r="WOT357" s="173"/>
      <c r="WOU357" s="173"/>
      <c r="WOV357" s="173"/>
      <c r="WOW357" s="173"/>
      <c r="WOX357" s="173"/>
      <c r="WOY357" s="173"/>
      <c r="WOZ357" s="173"/>
      <c r="WPA357" s="125"/>
      <c r="WPB357" s="125"/>
      <c r="WPC357" s="134"/>
      <c r="WPD357" s="135"/>
      <c r="WPE357" s="135"/>
      <c r="WPF357" s="135"/>
      <c r="WPG357" s="135"/>
      <c r="WPH357" s="173"/>
      <c r="WPI357" s="173"/>
      <c r="WPJ357" s="173"/>
      <c r="WPK357" s="173"/>
      <c r="WPL357" s="173"/>
      <c r="WPM357" s="173"/>
      <c r="WPN357" s="173"/>
      <c r="WPO357" s="173"/>
      <c r="WPP357" s="173"/>
      <c r="WPQ357" s="173"/>
      <c r="WPR357" s="125"/>
      <c r="WPS357" s="125"/>
      <c r="WPT357" s="134"/>
      <c r="WPU357" s="135"/>
      <c r="WPV357" s="135"/>
      <c r="WPW357" s="135"/>
      <c r="WPX357" s="135"/>
      <c r="WPY357" s="173"/>
      <c r="WPZ357" s="173"/>
      <c r="WQA357" s="173"/>
      <c r="WQB357" s="173"/>
      <c r="WQC357" s="173"/>
      <c r="WQD357" s="173"/>
      <c r="WQE357" s="173"/>
      <c r="WQF357" s="173"/>
      <c r="WQG357" s="173"/>
      <c r="WQH357" s="173"/>
      <c r="WQI357" s="125"/>
      <c r="WQJ357" s="125"/>
      <c r="WQK357" s="134"/>
      <c r="WQL357" s="135"/>
      <c r="WQM357" s="135"/>
      <c r="WQN357" s="135"/>
      <c r="WQO357" s="135"/>
      <c r="WQP357" s="173"/>
      <c r="WQQ357" s="173"/>
      <c r="WQR357" s="173"/>
      <c r="WQS357" s="173"/>
      <c r="WQT357" s="173"/>
      <c r="WQU357" s="173"/>
      <c r="WQV357" s="173"/>
      <c r="WQW357" s="173"/>
      <c r="WQX357" s="173"/>
      <c r="WQY357" s="173"/>
      <c r="WQZ357" s="125"/>
      <c r="WRA357" s="125"/>
      <c r="WRB357" s="134"/>
      <c r="WRC357" s="135"/>
      <c r="WRD357" s="135"/>
      <c r="WRE357" s="135"/>
      <c r="WRF357" s="135"/>
      <c r="WRG357" s="173"/>
      <c r="WRH357" s="173"/>
      <c r="WRI357" s="173"/>
      <c r="WRJ357" s="173"/>
      <c r="WRK357" s="173"/>
      <c r="WRL357" s="173"/>
      <c r="WRM357" s="173"/>
      <c r="WRN357" s="173"/>
      <c r="WRO357" s="173"/>
      <c r="WRP357" s="173"/>
      <c r="WRQ357" s="125"/>
      <c r="WRR357" s="125"/>
      <c r="WRS357" s="134"/>
      <c r="WRT357" s="135"/>
      <c r="WRU357" s="135"/>
      <c r="WRV357" s="135"/>
      <c r="WRW357" s="135"/>
      <c r="WRX357" s="173"/>
      <c r="WRY357" s="173"/>
      <c r="WRZ357" s="173"/>
      <c r="WSA357" s="173"/>
      <c r="WSB357" s="173"/>
      <c r="WSC357" s="173"/>
      <c r="WSD357" s="173"/>
      <c r="WSE357" s="173"/>
      <c r="WSF357" s="173"/>
      <c r="WSG357" s="173"/>
      <c r="WSH357" s="125"/>
      <c r="WSI357" s="125"/>
      <c r="WSJ357" s="134"/>
      <c r="WSK357" s="135"/>
      <c r="WSL357" s="135"/>
      <c r="WSM357" s="135"/>
      <c r="WSN357" s="135"/>
      <c r="WSO357" s="173"/>
      <c r="WSP357" s="173"/>
      <c r="WSQ357" s="173"/>
      <c r="WSR357" s="173"/>
      <c r="WSS357" s="173"/>
      <c r="WST357" s="173"/>
      <c r="WSU357" s="173"/>
      <c r="WSV357" s="173"/>
      <c r="WSW357" s="173"/>
      <c r="WSX357" s="173"/>
      <c r="WSY357" s="125"/>
      <c r="WSZ357" s="125"/>
      <c r="WTA357" s="134"/>
      <c r="WTB357" s="135"/>
      <c r="WTC357" s="135"/>
      <c r="WTD357" s="135"/>
      <c r="WTE357" s="135"/>
      <c r="WTF357" s="173"/>
      <c r="WTG357" s="173"/>
      <c r="WTH357" s="173"/>
      <c r="WTI357" s="173"/>
      <c r="WTJ357" s="173"/>
      <c r="WTK357" s="173"/>
      <c r="WTL357" s="173"/>
      <c r="WTM357" s="173"/>
      <c r="WTN357" s="173"/>
      <c r="WTO357" s="173"/>
      <c r="WTP357" s="125"/>
      <c r="WTQ357" s="125"/>
      <c r="WTR357" s="134"/>
      <c r="WTS357" s="135"/>
      <c r="WTT357" s="135"/>
      <c r="WTU357" s="135"/>
      <c r="WTV357" s="135"/>
      <c r="WTW357" s="173"/>
      <c r="WTX357" s="173"/>
      <c r="WTY357" s="173"/>
      <c r="WTZ357" s="173"/>
      <c r="WUA357" s="173"/>
      <c r="WUB357" s="173"/>
      <c r="WUC357" s="173"/>
      <c r="WUD357" s="173"/>
      <c r="WUE357" s="173"/>
      <c r="WUF357" s="173"/>
      <c r="WUG357" s="125"/>
      <c r="WUH357" s="125"/>
      <c r="WUI357" s="134"/>
      <c r="WUJ357" s="135"/>
      <c r="WUK357" s="135"/>
      <c r="WUL357" s="135"/>
      <c r="WUM357" s="135"/>
      <c r="WUN357" s="173"/>
      <c r="WUO357" s="173"/>
      <c r="WUP357" s="173"/>
      <c r="WUQ357" s="173"/>
      <c r="WUR357" s="173"/>
      <c r="WUS357" s="173"/>
      <c r="WUT357" s="173"/>
      <c r="WUU357" s="173"/>
      <c r="WUV357" s="173"/>
      <c r="WUW357" s="173"/>
      <c r="WUX357" s="125"/>
      <c r="WUY357" s="125"/>
      <c r="WUZ357" s="134"/>
      <c r="WVA357" s="135"/>
      <c r="WVB357" s="135"/>
      <c r="WVC357" s="135"/>
      <c r="WVD357" s="135"/>
      <c r="WVE357" s="173"/>
      <c r="WVF357" s="173"/>
      <c r="WVG357" s="173"/>
      <c r="WVH357" s="173"/>
      <c r="WVI357" s="173"/>
      <c r="WVJ357" s="173"/>
      <c r="WVK357" s="173"/>
      <c r="WVL357" s="173"/>
      <c r="WVM357" s="173"/>
      <c r="WVN357" s="173"/>
      <c r="WVO357" s="125"/>
      <c r="WVP357" s="125"/>
      <c r="WVQ357" s="134"/>
      <c r="WVR357" s="135"/>
      <c r="WVS357" s="135"/>
      <c r="WVT357" s="135"/>
      <c r="WVU357" s="135"/>
      <c r="WVV357" s="173"/>
      <c r="WVW357" s="173"/>
      <c r="WVX357" s="173"/>
      <c r="WVY357" s="173"/>
      <c r="WVZ357" s="173"/>
      <c r="WWA357" s="173"/>
      <c r="WWB357" s="173"/>
      <c r="WWC357" s="173"/>
      <c r="WWD357" s="173"/>
      <c r="WWE357" s="173"/>
      <c r="WWF357" s="125"/>
      <c r="WWG357" s="125"/>
      <c r="WWH357" s="134"/>
      <c r="WWI357" s="135"/>
      <c r="WWJ357" s="135"/>
      <c r="WWK357" s="135"/>
      <c r="WWL357" s="135"/>
      <c r="WWM357" s="173"/>
      <c r="WWN357" s="173"/>
      <c r="WWO357" s="173"/>
      <c r="WWP357" s="173"/>
      <c r="WWQ357" s="173"/>
      <c r="WWR357" s="173"/>
      <c r="WWS357" s="173"/>
      <c r="WWT357" s="173"/>
      <c r="WWU357" s="173"/>
      <c r="WWV357" s="173"/>
      <c r="WWW357" s="125"/>
      <c r="WWX357" s="125"/>
      <c r="WWY357" s="134"/>
      <c r="WWZ357" s="135"/>
      <c r="WXA357" s="135"/>
      <c r="WXB357" s="135"/>
      <c r="WXC357" s="135"/>
      <c r="WXD357" s="173"/>
      <c r="WXE357" s="173"/>
      <c r="WXF357" s="173"/>
      <c r="WXG357" s="173"/>
      <c r="WXH357" s="173"/>
      <c r="WXI357" s="173"/>
      <c r="WXJ357" s="173"/>
      <c r="WXK357" s="173"/>
      <c r="WXL357" s="173"/>
      <c r="WXM357" s="173"/>
      <c r="WXN357" s="125"/>
      <c r="WXO357" s="125"/>
      <c r="WXP357" s="134"/>
      <c r="WXQ357" s="135"/>
      <c r="WXR357" s="135"/>
      <c r="WXS357" s="135"/>
      <c r="WXT357" s="135"/>
      <c r="WXU357" s="173"/>
      <c r="WXV357" s="173"/>
      <c r="WXW357" s="173"/>
      <c r="WXX357" s="173"/>
      <c r="WXY357" s="173"/>
      <c r="WXZ357" s="173"/>
      <c r="WYA357" s="173"/>
      <c r="WYB357" s="173"/>
      <c r="WYC357" s="173"/>
      <c r="WYD357" s="173"/>
      <c r="WYE357" s="125"/>
      <c r="WYF357" s="125"/>
      <c r="WYG357" s="134"/>
      <c r="WYH357" s="135"/>
      <c r="WYI357" s="135"/>
      <c r="WYJ357" s="135"/>
      <c r="WYK357" s="135"/>
      <c r="WYL357" s="173"/>
      <c r="WYM357" s="173"/>
      <c r="WYN357" s="173"/>
      <c r="WYO357" s="173"/>
      <c r="WYP357" s="173"/>
      <c r="WYQ357" s="173"/>
      <c r="WYR357" s="173"/>
      <c r="WYS357" s="173"/>
      <c r="WYT357" s="173"/>
      <c r="WYU357" s="173"/>
      <c r="WYV357" s="125"/>
      <c r="WYW357" s="125"/>
      <c r="WYX357" s="134"/>
      <c r="WYY357" s="135"/>
      <c r="WYZ357" s="135"/>
      <c r="WZA357" s="135"/>
      <c r="WZB357" s="135"/>
      <c r="WZC357" s="173"/>
      <c r="WZD357" s="173"/>
      <c r="WZE357" s="173"/>
      <c r="WZF357" s="173"/>
      <c r="WZG357" s="173"/>
      <c r="WZH357" s="173"/>
      <c r="WZI357" s="173"/>
      <c r="WZJ357" s="173"/>
      <c r="WZK357" s="173"/>
      <c r="WZL357" s="173"/>
      <c r="WZM357" s="125"/>
      <c r="WZN357" s="125"/>
      <c r="WZO357" s="134"/>
      <c r="WZP357" s="135"/>
      <c r="WZQ357" s="135"/>
      <c r="WZR357" s="135"/>
      <c r="WZS357" s="135"/>
      <c r="WZT357" s="173"/>
      <c r="WZU357" s="173"/>
      <c r="WZV357" s="173"/>
      <c r="WZW357" s="173"/>
      <c r="WZX357" s="173"/>
      <c r="WZY357" s="173"/>
      <c r="WZZ357" s="173"/>
      <c r="XAA357" s="173"/>
      <c r="XAB357" s="173"/>
      <c r="XAC357" s="173"/>
      <c r="XAD357" s="125"/>
      <c r="XAE357" s="125"/>
      <c r="XAF357" s="134"/>
      <c r="XAG357" s="135"/>
      <c r="XAH357" s="135"/>
      <c r="XAI357" s="135"/>
      <c r="XAJ357" s="135"/>
      <c r="XAK357" s="173"/>
      <c r="XAL357" s="173"/>
      <c r="XAM357" s="173"/>
      <c r="XAN357" s="173"/>
      <c r="XAO357" s="173"/>
      <c r="XAP357" s="173"/>
      <c r="XAQ357" s="173"/>
      <c r="XAR357" s="173"/>
      <c r="XAS357" s="173"/>
      <c r="XAT357" s="173"/>
      <c r="XAU357" s="125"/>
      <c r="XAV357" s="125"/>
      <c r="XAW357" s="134"/>
      <c r="XAX357" s="135"/>
      <c r="XAY357" s="135"/>
      <c r="XAZ357" s="135"/>
      <c r="XBA357" s="135"/>
      <c r="XBB357" s="173"/>
      <c r="XBC357" s="173"/>
      <c r="XBD357" s="173"/>
      <c r="XBE357" s="173"/>
      <c r="XBF357" s="173"/>
      <c r="XBG357" s="173"/>
      <c r="XBH357" s="173"/>
      <c r="XBI357" s="173"/>
      <c r="XBJ357" s="173"/>
      <c r="XBK357" s="173"/>
      <c r="XBL357" s="125"/>
      <c r="XBM357" s="125"/>
      <c r="XBN357" s="134"/>
      <c r="XBO357" s="135"/>
      <c r="XBP357" s="135"/>
      <c r="XBQ357" s="135"/>
      <c r="XBR357" s="135"/>
      <c r="XBS357" s="173"/>
      <c r="XBT357" s="173"/>
      <c r="XBU357" s="173"/>
      <c r="XBV357" s="173"/>
      <c r="XBW357" s="173"/>
      <c r="XBX357" s="173"/>
      <c r="XBY357" s="173"/>
      <c r="XBZ357" s="173"/>
      <c r="XCA357" s="173"/>
      <c r="XCB357" s="173"/>
      <c r="XCC357" s="125"/>
      <c r="XCD357" s="125"/>
      <c r="XCE357" s="134"/>
      <c r="XCF357" s="135"/>
      <c r="XCG357" s="135"/>
      <c r="XCH357" s="135"/>
      <c r="XCI357" s="135"/>
      <c r="XCJ357" s="173"/>
      <c r="XCK357" s="173"/>
      <c r="XCL357" s="173"/>
      <c r="XCM357" s="173"/>
      <c r="XCN357" s="173"/>
      <c r="XCO357" s="173"/>
      <c r="XCP357" s="173"/>
      <c r="XCQ357" s="173"/>
      <c r="XCR357" s="173"/>
      <c r="XCS357" s="173"/>
      <c r="XCT357" s="125"/>
      <c r="XCU357" s="125"/>
      <c r="XCV357" s="134"/>
      <c r="XCW357" s="135"/>
      <c r="XCX357" s="135"/>
      <c r="XCY357" s="135"/>
      <c r="XCZ357" s="135"/>
      <c r="XDA357" s="173"/>
      <c r="XDB357" s="173"/>
      <c r="XDC357" s="173"/>
      <c r="XDD357" s="173"/>
      <c r="XDE357" s="173"/>
      <c r="XDF357" s="173"/>
      <c r="XDG357" s="173"/>
      <c r="XDH357" s="173"/>
      <c r="XDI357" s="173"/>
      <c r="XDJ357" s="173"/>
      <c r="XDK357" s="125"/>
      <c r="XDL357" s="125"/>
      <c r="XDM357" s="134"/>
      <c r="XDN357" s="135"/>
      <c r="XDO357" s="135"/>
      <c r="XDP357" s="135"/>
      <c r="XDQ357" s="135"/>
      <c r="XDR357" s="173"/>
      <c r="XDS357" s="173"/>
      <c r="XDT357" s="173"/>
      <c r="XDU357" s="173"/>
      <c r="XDV357" s="173"/>
      <c r="XDW357" s="173"/>
      <c r="XDX357" s="173"/>
      <c r="XDY357" s="173"/>
      <c r="XDZ357" s="173"/>
      <c r="XEA357" s="173"/>
      <c r="XEB357" s="125"/>
      <c r="XEC357" s="125"/>
      <c r="XED357" s="134"/>
      <c r="XEE357" s="135"/>
      <c r="XEF357" s="135"/>
      <c r="XEG357" s="135"/>
      <c r="XEH357" s="135"/>
      <c r="XEI357" s="173"/>
      <c r="XEJ357" s="173"/>
      <c r="XEK357" s="173"/>
      <c r="XEL357" s="173"/>
      <c r="XEM357" s="173"/>
      <c r="XEN357" s="173"/>
      <c r="XEO357" s="173"/>
      <c r="XEP357" s="173"/>
      <c r="XEQ357" s="173"/>
      <c r="XER357" s="173"/>
      <c r="XES357" s="125"/>
      <c r="XET357" s="125"/>
      <c r="XEU357" s="134"/>
      <c r="XEV357" s="135"/>
      <c r="XEW357" s="135"/>
      <c r="XEX357" s="135"/>
      <c r="XEY357" s="135"/>
      <c r="XEZ357" s="173"/>
      <c r="XFA357" s="173"/>
      <c r="XFB357" s="173"/>
    </row>
    <row r="358" spans="1:16382" ht="11.25">
      <c r="C358" s="164" t="s">
        <v>184</v>
      </c>
      <c r="G358" s="164" t="s">
        <v>176</v>
      </c>
      <c r="I358" s="170">
        <f>I357/H357-1</f>
        <v>0.83358790666956017</v>
      </c>
      <c r="J358" s="170">
        <f>J357/I357-1</f>
        <v>0.28955950702881839</v>
      </c>
      <c r="K358" s="170">
        <f>K357/J357-1</f>
        <v>-2.892190569327957E-2</v>
      </c>
      <c r="L358" s="170">
        <f>L357/K357-1</f>
        <v>-1.4809792049284232E-2</v>
      </c>
      <c r="M358" s="170">
        <f>M357/L357-1</f>
        <v>0.11276770237366684</v>
      </c>
      <c r="N358" s="21">
        <f>(0.67*((M357/I357)^(1/4)-1)+0.33*($E381*N382+$E383*N384+$E385*N386+$E391*N392+N390*E389))</f>
        <v>8.1760943201722752E-2</v>
      </c>
      <c r="O358" s="21">
        <f>(0.25*((N357/J357)^(1/4)-1)+0.75*($E381*O382+$E383*O384+$E385*O386+$E391*O392+O390*F389))</f>
        <v>-6.6538815694736422E-3</v>
      </c>
      <c r="P358" s="21">
        <f>(0.3*((O357/K357)^(1/4)-1)+0.7*($E381*P382+$E383*P384+$E385*P386+$E391*P392+P390*G389))</f>
        <v>1.2081517861896015E-2</v>
      </c>
      <c r="Q358" s="21">
        <f>(0.75*((P357/L357)^(1/4)-1)+0.25*($E381*Q382+$E383*Q384+$E385*Q386+$E391*Q392+Q390*H389))</f>
        <v>3.8373224807725273E-2</v>
      </c>
      <c r="R358" s="21">
        <f>(0.99*((Q357/M357)^(1/4)-1)+0.01*($E381*R382+$E383*R384+$E385*R386+$E391*R392+R390*I389))*0.9</f>
        <v>2.7665374631776072E-2</v>
      </c>
      <c r="Y358" s="32">
        <v>-8.6844807396801969E-3</v>
      </c>
      <c r="Z358" s="32">
        <v>1.6199860452191538E-2</v>
      </c>
      <c r="AA358" s="32">
        <v>2.0877947586017007E-2</v>
      </c>
      <c r="AB358" s="32">
        <v>1.1091108196535636E-2</v>
      </c>
      <c r="AC358" s="32">
        <v>3.0287767818991196E-3</v>
      </c>
    </row>
    <row r="359" spans="1:16382">
      <c r="A359" s="129" t="str">
        <f>'[7]Input sheet'!A146</f>
        <v>Turkey</v>
      </c>
      <c r="B359" s="129" t="str">
        <f>'[7]Input sheet'!B146</f>
        <v>Tourism Spend Factors</v>
      </c>
      <c r="C359" s="129" t="str">
        <f>'[7]Input sheet'!C146</f>
        <v>Average Expenditure per Domestic Tourist by Sector</v>
      </c>
      <c r="D359" s="2" t="str">
        <f>'[7]Input sheet'!D146</f>
        <v>Accommodation</v>
      </c>
      <c r="E359"/>
      <c r="F359"/>
      <c r="G359" s="1" t="str">
        <f>Home!$B$2</f>
        <v>Foriant</v>
      </c>
      <c r="H359" s="203">
        <f t="shared" ref="H359:M359" si="246">(H7*1000)/H$496</f>
        <v>384.1618815243703</v>
      </c>
      <c r="I359" s="203">
        <f t="shared" si="246"/>
        <v>702.090126135476</v>
      </c>
      <c r="J359" s="203">
        <f t="shared" si="246"/>
        <v>901.11479879217029</v>
      </c>
      <c r="K359" s="203">
        <f t="shared" si="246"/>
        <v>869.85109037963878</v>
      </c>
      <c r="L359" s="203">
        <f t="shared" si="246"/>
        <v>854.40300183698184</v>
      </c>
      <c r="M359" s="203">
        <f t="shared" si="246"/>
        <v>945.04755286377042</v>
      </c>
      <c r="N359" s="205">
        <f>N357*N373</f>
        <v>1010.7406145758461</v>
      </c>
      <c r="O359" s="205">
        <f>O357*O373</f>
        <v>1001.6581677008004</v>
      </c>
      <c r="P359" s="205">
        <f>P357*P373</f>
        <v>1015.7609596705602</v>
      </c>
      <c r="Q359" s="205">
        <f>Q357*Q373</f>
        <v>1049.542423697344</v>
      </c>
      <c r="R359" s="205">
        <f>R357*R373</f>
        <v>1072.8723708001482</v>
      </c>
      <c r="S359" s="6"/>
      <c r="V359"/>
      <c r="Z359" s="1"/>
    </row>
    <row r="360" spans="1:16382" ht="11.25">
      <c r="C360" s="164" t="s">
        <v>184</v>
      </c>
      <c r="G360" s="164" t="s">
        <v>176</v>
      </c>
      <c r="I360" s="170">
        <f t="shared" ref="I360:R360" si="247">I359/H359-1</f>
        <v>0.82758925312827292</v>
      </c>
      <c r="J360" s="170">
        <f t="shared" si="247"/>
        <v>0.28347453588642302</v>
      </c>
      <c r="K360" s="170">
        <f t="shared" si="247"/>
        <v>-3.4694478943677942E-2</v>
      </c>
      <c r="L360" s="170">
        <f t="shared" si="247"/>
        <v>-1.7759463330573877E-2</v>
      </c>
      <c r="M360" s="170">
        <f t="shared" si="247"/>
        <v>0.10609109615942502</v>
      </c>
      <c r="N360" s="170">
        <f t="shared" si="247"/>
        <v>6.9512969493446652E-2</v>
      </c>
      <c r="O360" s="170">
        <f t="shared" si="247"/>
        <v>-8.9859324381231787E-3</v>
      </c>
      <c r="P360" s="170">
        <f t="shared" si="247"/>
        <v>1.4079445887344111E-2</v>
      </c>
      <c r="Q360" s="170">
        <f t="shared" si="247"/>
        <v>3.3257297108308048E-2</v>
      </c>
      <c r="R360" s="170">
        <f t="shared" si="247"/>
        <v>2.2228684211370142E-2</v>
      </c>
      <c r="Y360" s="125"/>
      <c r="Z360" s="125"/>
      <c r="AA360" s="134"/>
      <c r="AB360" s="135"/>
      <c r="AC360" s="135"/>
    </row>
    <row r="361" spans="1:16382">
      <c r="A361" s="129" t="str">
        <f>'[7]Input sheet'!A147</f>
        <v>Turkey</v>
      </c>
      <c r="B361" s="129" t="str">
        <f>'[7]Input sheet'!B147</f>
        <v>Tourism Spend Factors</v>
      </c>
      <c r="C361" s="129" t="str">
        <f>'[7]Input sheet'!C147</f>
        <v>Average Expenditure per Domestic Tourist by Sector</v>
      </c>
      <c r="D361" s="2" t="str">
        <f>'[7]Input sheet'!D147</f>
        <v>Entertainment &amp; Sightseeing</v>
      </c>
      <c r="E361"/>
      <c r="F361"/>
      <c r="G361" s="1" t="str">
        <f>Home!$B$2</f>
        <v>Foriant</v>
      </c>
      <c r="H361" s="203">
        <f t="shared" ref="H361:M361" si="248">(H9*1000)/H$496</f>
        <v>195.50484344956809</v>
      </c>
      <c r="I361" s="203">
        <f t="shared" si="248"/>
        <v>359.3370978932993</v>
      </c>
      <c r="J361" s="203">
        <f t="shared" si="248"/>
        <v>464.22163206808472</v>
      </c>
      <c r="K361" s="203">
        <f t="shared" si="248"/>
        <v>449.64978979032105</v>
      </c>
      <c r="L361" s="203">
        <f t="shared" si="248"/>
        <v>444.2466942800848</v>
      </c>
      <c r="M361" s="203">
        <f t="shared" si="248"/>
        <v>495.82640340099027</v>
      </c>
      <c r="N361" s="205">
        <f>N357*N374</f>
        <v>537.05883959747553</v>
      </c>
      <c r="O361" s="205">
        <f>O357*O374</f>
        <v>533.03171221261744</v>
      </c>
      <c r="P361" s="205">
        <f>P357*P374</f>
        <v>536.22268995557602</v>
      </c>
      <c r="Q361" s="205">
        <f>Q357*Q374</f>
        <v>557.24121932825665</v>
      </c>
      <c r="R361" s="205">
        <f>R357*R374</f>
        <v>573.16362169760248</v>
      </c>
      <c r="S361" s="6"/>
      <c r="V361"/>
      <c r="Z361" s="1"/>
    </row>
    <row r="362" spans="1:16382">
      <c r="C362" s="164" t="s">
        <v>184</v>
      </c>
      <c r="G362" s="164" t="s">
        <v>176</v>
      </c>
      <c r="I362" s="170">
        <f t="shared" ref="I362:R362" si="249">I361/H361-1</f>
        <v>0.83799588569268857</v>
      </c>
      <c r="J362" s="170">
        <f t="shared" si="249"/>
        <v>0.29188340082250441</v>
      </c>
      <c r="K362" s="170">
        <f t="shared" si="249"/>
        <v>-3.1389838971628281E-2</v>
      </c>
      <c r="L362" s="170">
        <f t="shared" si="249"/>
        <v>-1.2016230481850743E-2</v>
      </c>
      <c r="M362" s="170">
        <f t="shared" si="249"/>
        <v>0.11610600548078809</v>
      </c>
      <c r="N362" s="170">
        <f t="shared" si="249"/>
        <v>8.3159016772124783E-2</v>
      </c>
      <c r="O362" s="170">
        <f t="shared" si="249"/>
        <v>-7.4984845010211965E-3</v>
      </c>
      <c r="P362" s="170">
        <f t="shared" si="249"/>
        <v>5.9864688532560439E-3</v>
      </c>
      <c r="Q362" s="170">
        <f t="shared" si="249"/>
        <v>3.9197389007208816E-2</v>
      </c>
      <c r="R362" s="170">
        <f t="shared" si="249"/>
        <v>2.8573626316696243E-2</v>
      </c>
      <c r="Y362" s="6"/>
      <c r="Z362" s="1"/>
      <c r="AB362"/>
    </row>
    <row r="363" spans="1:16382">
      <c r="A363" s="129" t="str">
        <f>'[7]Input sheet'!A148</f>
        <v>Turkey</v>
      </c>
      <c r="B363" s="129" t="str">
        <f>'[7]Input sheet'!B148</f>
        <v>Tourism Spend Factors</v>
      </c>
      <c r="C363" s="129" t="str">
        <f>'[7]Input sheet'!C148</f>
        <v>Average Expenditure per Domestic Tourist by Sector</v>
      </c>
      <c r="D363" s="2" t="str">
        <f>'[7]Input sheet'!D148</f>
        <v>Foodservice</v>
      </c>
      <c r="E363"/>
      <c r="F363"/>
      <c r="G363" s="1" t="str">
        <f>Home!$B$2</f>
        <v>Foriant</v>
      </c>
      <c r="H363" s="203">
        <f t="shared" ref="H363:M363" si="250">(H11*1000)/H$496</f>
        <v>642.21001406346738</v>
      </c>
      <c r="I363" s="203">
        <f t="shared" si="250"/>
        <v>1174.1245511402576</v>
      </c>
      <c r="J363" s="203">
        <f t="shared" si="250"/>
        <v>1519.027785622653</v>
      </c>
      <c r="K363" s="203">
        <f t="shared" si="250"/>
        <v>1477.9086338967941</v>
      </c>
      <c r="L363" s="203">
        <f t="shared" si="250"/>
        <v>1449.813551091484</v>
      </c>
      <c r="M363" s="203">
        <f t="shared" si="250"/>
        <v>1629.4387510594604</v>
      </c>
      <c r="N363" s="205">
        <f>N357*N375</f>
        <v>1759.7428042126428</v>
      </c>
      <c r="O363" s="205">
        <f>O357*O375</f>
        <v>1741.7731532133978</v>
      </c>
      <c r="P363" s="205">
        <f>P357*P375</f>
        <v>1777.5735336627697</v>
      </c>
      <c r="Q363" s="205">
        <f>Q357*Q375</f>
        <v>1857.8826187640175</v>
      </c>
      <c r="R363" s="205">
        <f>R357*R375</f>
        <v>1907.3356128439987</v>
      </c>
      <c r="S363" s="6"/>
      <c r="V363"/>
      <c r="Z363" s="1"/>
    </row>
    <row r="364" spans="1:16382">
      <c r="C364" s="164" t="s">
        <v>184</v>
      </c>
      <c r="G364" s="164" t="s">
        <v>176</v>
      </c>
      <c r="I364" s="170">
        <f t="shared" ref="I364:R364" si="251">I363/H363-1</f>
        <v>0.82825637319355616</v>
      </c>
      <c r="J364" s="170">
        <f t="shared" si="251"/>
        <v>0.29375353249145553</v>
      </c>
      <c r="K364" s="170">
        <f t="shared" si="251"/>
        <v>-2.7069387482602347E-2</v>
      </c>
      <c r="L364" s="170">
        <f t="shared" si="251"/>
        <v>-1.9010026845321271E-2</v>
      </c>
      <c r="M364" s="170">
        <f t="shared" si="251"/>
        <v>0.12389537939740358</v>
      </c>
      <c r="N364" s="170">
        <f t="shared" si="251"/>
        <v>7.996867207709335E-2</v>
      </c>
      <c r="O364" s="170">
        <f t="shared" si="251"/>
        <v>-1.0211521226981324E-2</v>
      </c>
      <c r="P364" s="170">
        <f t="shared" si="251"/>
        <v>2.0553985680238362E-2</v>
      </c>
      <c r="Q364" s="170">
        <f t="shared" si="251"/>
        <v>4.5179050869286641E-2</v>
      </c>
      <c r="R364" s="170">
        <f t="shared" si="251"/>
        <v>2.6617932468134375E-2</v>
      </c>
      <c r="Y364" s="6"/>
      <c r="Z364" s="1"/>
      <c r="AB364"/>
    </row>
    <row r="365" spans="1:16382">
      <c r="A365" s="129" t="str">
        <f>'[7]Input sheet'!A149</f>
        <v>Turkey</v>
      </c>
      <c r="B365" s="129" t="str">
        <f>'[7]Input sheet'!B149</f>
        <v>Tourism Spend Factors</v>
      </c>
      <c r="C365" s="129" t="str">
        <f>'[7]Input sheet'!C149</f>
        <v>Average Expenditure per Domestic Tourist by Sector</v>
      </c>
      <c r="D365" s="2" t="str">
        <f>'[7]Input sheet'!D149</f>
        <v>Retail</v>
      </c>
      <c r="E365"/>
      <c r="F365"/>
      <c r="G365" s="1" t="str">
        <f>Home!$B$2</f>
        <v>Foriant</v>
      </c>
      <c r="H365" s="203">
        <f t="shared" ref="H365:M365" si="252">(H13*1000)/H$496</f>
        <v>683.5401561400472</v>
      </c>
      <c r="I365" s="203">
        <f t="shared" si="252"/>
        <v>1245.4656401472409</v>
      </c>
      <c r="J365" s="203">
        <f t="shared" si="252"/>
        <v>1599.057476844742</v>
      </c>
      <c r="K365" s="203">
        <f t="shared" si="252"/>
        <v>1551.2537719946283</v>
      </c>
      <c r="L365" s="203">
        <f t="shared" si="252"/>
        <v>1519.1195065780632</v>
      </c>
      <c r="M365" s="203">
        <f t="shared" si="252"/>
        <v>1685.3558415969924</v>
      </c>
      <c r="N365" s="205">
        <f>N357*N376</f>
        <v>1821.3792001811034</v>
      </c>
      <c r="O365" s="205">
        <f>O357*O376</f>
        <v>1816.6079108219149</v>
      </c>
      <c r="P365" s="205">
        <f>P357*P376</f>
        <v>1840.5067990931161</v>
      </c>
      <c r="Q365" s="205">
        <f>Q357*Q376</f>
        <v>1902.5445518831345</v>
      </c>
      <c r="R365" s="205">
        <f>R357*R376</f>
        <v>1960.6650738560434</v>
      </c>
      <c r="S365" s="6"/>
      <c r="V365"/>
      <c r="Z365" s="1"/>
    </row>
    <row r="366" spans="1:16382">
      <c r="C366" s="164" t="s">
        <v>184</v>
      </c>
      <c r="G366" s="164" t="s">
        <v>176</v>
      </c>
      <c r="I366" s="170">
        <f t="shared" ref="I366:R366" si="253">I365/H365-1</f>
        <v>0.82208115932849979</v>
      </c>
      <c r="J366" s="170">
        <f t="shared" si="253"/>
        <v>0.28390332522999095</v>
      </c>
      <c r="K366" s="170">
        <f t="shared" si="253"/>
        <v>-2.9894925943775297E-2</v>
      </c>
      <c r="L366" s="170">
        <f t="shared" si="253"/>
        <v>-2.0715028060976914E-2</v>
      </c>
      <c r="M366" s="170">
        <f t="shared" si="253"/>
        <v>0.10942939926654605</v>
      </c>
      <c r="N366" s="170">
        <f t="shared" si="253"/>
        <v>8.070898455202169E-2</v>
      </c>
      <c r="O366" s="170">
        <f t="shared" si="253"/>
        <v>-2.6196024192624012E-3</v>
      </c>
      <c r="P366" s="170">
        <f t="shared" si="253"/>
        <v>1.3155776834852695E-2</v>
      </c>
      <c r="Q366" s="170">
        <f t="shared" si="253"/>
        <v>3.3706885962381028E-2</v>
      </c>
      <c r="R366" s="170">
        <f t="shared" si="253"/>
        <v>3.0548836249527644E-2</v>
      </c>
      <c r="Y366" s="6"/>
      <c r="Z366" s="1"/>
      <c r="AB366"/>
    </row>
    <row r="367" spans="1:16382">
      <c r="A367" s="129" t="str">
        <f>'[7]Input sheet'!A150</f>
        <v>Turkey</v>
      </c>
      <c r="B367" s="129" t="str">
        <f>'[7]Input sheet'!B150</f>
        <v>Tourism Spend Factors</v>
      </c>
      <c r="C367" s="129" t="str">
        <f>'[7]Input sheet'!C150</f>
        <v>Average Expenditure per Domestic Tourist by Sector</v>
      </c>
      <c r="D367" s="2" t="str">
        <f>'[7]Input sheet'!D150</f>
        <v>Transportation</v>
      </c>
      <c r="E367"/>
      <c r="F367"/>
      <c r="G367" s="1" t="str">
        <f>Home!$B$2</f>
        <v>Foriant</v>
      </c>
      <c r="H367" s="203">
        <f t="shared" ref="H367:M367" si="254">(H15*1000)/H$496</f>
        <v>1258.1701075236654</v>
      </c>
      <c r="I367" s="203">
        <f t="shared" si="254"/>
        <v>2325.7269044361633</v>
      </c>
      <c r="J367" s="203">
        <f t="shared" si="254"/>
        <v>2993.6184204102797</v>
      </c>
      <c r="K367" s="203">
        <f t="shared" si="254"/>
        <v>2909.357363376278</v>
      </c>
      <c r="L367" s="203">
        <f t="shared" si="254"/>
        <v>2874.727787060945</v>
      </c>
      <c r="M367" s="203">
        <f t="shared" si="254"/>
        <v>3179.7108091501987</v>
      </c>
      <c r="N367" s="205">
        <f>N357*N377</f>
        <v>3438.7573926673667</v>
      </c>
      <c r="O367" s="205">
        <f>O357*O377</f>
        <v>3403.2742690938712</v>
      </c>
      <c r="P367" s="205">
        <f>P357*P377</f>
        <v>3445.3529917618835</v>
      </c>
      <c r="Q367" s="205">
        <f>Q357*Q377</f>
        <v>3569.2636436731827</v>
      </c>
      <c r="R367" s="205">
        <f>R357*R377</f>
        <v>3662.5872989207073</v>
      </c>
      <c r="S367" s="6"/>
      <c r="V367"/>
      <c r="Z367" s="1"/>
    </row>
    <row r="368" spans="1:16382">
      <c r="C368" s="164" t="s">
        <v>184</v>
      </c>
      <c r="G368" s="164" t="s">
        <v>176</v>
      </c>
      <c r="I368" s="170">
        <f t="shared" ref="I368:R368" si="255">I367/H367-1</f>
        <v>0.84849957134466236</v>
      </c>
      <c r="J368" s="170">
        <f t="shared" si="255"/>
        <v>0.28717538361884176</v>
      </c>
      <c r="K368" s="170">
        <f t="shared" si="255"/>
        <v>-2.8146892890394959E-2</v>
      </c>
      <c r="L368" s="170">
        <f t="shared" si="255"/>
        <v>-1.1902826634932806E-2</v>
      </c>
      <c r="M368" s="170">
        <f t="shared" si="255"/>
        <v>0.10609109615942502</v>
      </c>
      <c r="N368" s="170">
        <f t="shared" si="255"/>
        <v>8.1468598581894369E-2</v>
      </c>
      <c r="O368" s="170">
        <f t="shared" si="255"/>
        <v>-1.0318588816168872E-2</v>
      </c>
      <c r="P368" s="170">
        <f t="shared" si="255"/>
        <v>1.2364187938110449E-2</v>
      </c>
      <c r="Q368" s="170">
        <f t="shared" si="255"/>
        <v>3.5964573791881227E-2</v>
      </c>
      <c r="R368" s="170">
        <f t="shared" si="255"/>
        <v>2.6146472932294662E-2</v>
      </c>
      <c r="Y368" s="6"/>
      <c r="Z368" s="1"/>
      <c r="AB368"/>
    </row>
    <row r="369" spans="1:28">
      <c r="A369" s="129" t="str">
        <f>'[7]Input sheet'!A151</f>
        <v>Turkey</v>
      </c>
      <c r="B369" s="129" t="str">
        <f>'[7]Input sheet'!B151</f>
        <v>Tourism Spend Factors</v>
      </c>
      <c r="C369" s="129" t="str">
        <f>'[7]Input sheet'!C151</f>
        <v>Average Expenditure per Domestic Tourist by Sector</v>
      </c>
      <c r="D369" s="2" t="str">
        <f>'[7]Input sheet'!D151</f>
        <v>Travel Intermediation</v>
      </c>
      <c r="E369"/>
      <c r="F369"/>
      <c r="G369" s="1" t="str">
        <f>Home!$B$2</f>
        <v>Foriant</v>
      </c>
      <c r="H369" s="203">
        <f t="shared" ref="H369:M369" si="256">(H17*1000)/H$496</f>
        <v>127.14696992104999</v>
      </c>
      <c r="I369" s="203">
        <f t="shared" si="256"/>
        <v>230.77214639999349</v>
      </c>
      <c r="J369" s="203">
        <f t="shared" si="256"/>
        <v>295.83489950133276</v>
      </c>
      <c r="K369" s="203">
        <f t="shared" si="256"/>
        <v>285.73444203346713</v>
      </c>
      <c r="L369" s="203">
        <f t="shared" si="256"/>
        <v>283.7547965605583</v>
      </c>
      <c r="M369" s="203">
        <f t="shared" si="256"/>
        <v>319.54221108227409</v>
      </c>
      <c r="N369" s="205">
        <f>N357*N378</f>
        <v>345.33296475966205</v>
      </c>
      <c r="O369" s="205">
        <f>O357*O378</f>
        <v>347.78556940979598</v>
      </c>
      <c r="P369" s="205">
        <f>P357*P378</f>
        <v>348.41238793033227</v>
      </c>
      <c r="Q369" s="205">
        <f>Q357*Q378</f>
        <v>365.60613096027379</v>
      </c>
      <c r="R369" s="205">
        <f>R357*R378</f>
        <v>377.09434199731129</v>
      </c>
      <c r="S369" s="6"/>
      <c r="V369"/>
      <c r="Z369" s="1"/>
    </row>
    <row r="370" spans="1:28">
      <c r="C370" s="164" t="s">
        <v>184</v>
      </c>
      <c r="G370" s="164" t="s">
        <v>176</v>
      </c>
      <c r="I370" s="170">
        <f t="shared" ref="I370:R370" si="257">I369/H369-1</f>
        <v>0.81500311445320328</v>
      </c>
      <c r="J370" s="170">
        <f t="shared" si="257"/>
        <v>0.28193503469247583</v>
      </c>
      <c r="K370" s="170">
        <f t="shared" si="257"/>
        <v>-3.4142210688770103E-2</v>
      </c>
      <c r="L370" s="170">
        <f t="shared" si="257"/>
        <v>-6.9282703856784478E-3</v>
      </c>
      <c r="M370" s="170">
        <f t="shared" si="257"/>
        <v>0.12612091480215071</v>
      </c>
      <c r="N370" s="170">
        <f t="shared" si="257"/>
        <v>8.0711570437082214E-2</v>
      </c>
      <c r="O370" s="170">
        <f t="shared" si="257"/>
        <v>7.1021445978689535E-3</v>
      </c>
      <c r="P370" s="170">
        <f t="shared" si="257"/>
        <v>1.8023131943054604E-3</v>
      </c>
      <c r="Q370" s="170">
        <f t="shared" si="257"/>
        <v>4.9348828071462014E-2</v>
      </c>
      <c r="R370" s="170">
        <f t="shared" si="257"/>
        <v>3.1422369769520619E-2</v>
      </c>
      <c r="Y370" s="6"/>
      <c r="Z370" s="1"/>
      <c r="AB370"/>
    </row>
    <row r="371" spans="1:28">
      <c r="A371" s="129" t="str">
        <f>'[7]Input sheet'!A152</f>
        <v>Turkey</v>
      </c>
      <c r="B371" s="129" t="str">
        <f>'[7]Input sheet'!B152</f>
        <v>Tourism Spend Factors</v>
      </c>
      <c r="C371" s="129" t="str">
        <f>'[7]Input sheet'!C152</f>
        <v>Average Expenditure per Domestic Tourist by Sector</v>
      </c>
      <c r="D371" s="2" t="str">
        <f>'[7]Input sheet'!D152</f>
        <v>Other Sectors</v>
      </c>
      <c r="E371"/>
      <c r="F371"/>
      <c r="G371" s="1" t="str">
        <f>Home!$B$2</f>
        <v>Foriant</v>
      </c>
      <c r="H371" s="203">
        <f t="shared" ref="H371:M371" si="258">(H19*1000)/H$496</f>
        <v>716.80588706010178</v>
      </c>
      <c r="I371" s="203">
        <f t="shared" si="258"/>
        <v>1310.6601560572051</v>
      </c>
      <c r="J371" s="203">
        <f t="shared" si="258"/>
        <v>1703.0360092580852</v>
      </c>
      <c r="K371" s="203">
        <f t="shared" si="258"/>
        <v>1658.0945260756428</v>
      </c>
      <c r="L371" s="203">
        <f t="shared" si="258"/>
        <v>1639.5068008339974</v>
      </c>
      <c r="M371" s="203">
        <f t="shared" si="258"/>
        <v>1832.9543098207241</v>
      </c>
      <c r="N371" s="205">
        <f>N357*N379</f>
        <v>1999.6583097471703</v>
      </c>
      <c r="O371" s="205">
        <f>O357*O379</f>
        <v>1995.927728665454</v>
      </c>
      <c r="P371" s="205">
        <f>P357*P379</f>
        <v>2007.1935095696806</v>
      </c>
      <c r="Q371" s="205">
        <f>Q357*Q379</f>
        <v>2089.9358103619957</v>
      </c>
      <c r="R371" s="205">
        <f>R357*R379</f>
        <v>2153.462480032887</v>
      </c>
      <c r="S371" s="6"/>
      <c r="V371"/>
      <c r="Z371" s="1"/>
    </row>
    <row r="372" spans="1:28">
      <c r="C372" s="164" t="s">
        <v>184</v>
      </c>
      <c r="G372" s="164" t="s">
        <v>176</v>
      </c>
      <c r="I372" s="170">
        <f t="shared" ref="I372:R372" si="259">I371/H371-1</f>
        <v>0.82847292372657444</v>
      </c>
      <c r="J372" s="170">
        <f t="shared" si="259"/>
        <v>0.29937268741062906</v>
      </c>
      <c r="K372" s="170">
        <f t="shared" si="259"/>
        <v>-2.6389038715641022E-2</v>
      </c>
      <c r="L372" s="170">
        <f t="shared" si="259"/>
        <v>-1.121029286891051E-2</v>
      </c>
      <c r="M372" s="170">
        <f t="shared" si="259"/>
        <v>0.11799128182226637</v>
      </c>
      <c r="N372" s="170">
        <f t="shared" si="259"/>
        <v>9.094825715691246E-2</v>
      </c>
      <c r="O372" s="170">
        <f t="shared" si="259"/>
        <v>-1.8656092711099026E-3</v>
      </c>
      <c r="P372" s="170">
        <f t="shared" si="259"/>
        <v>5.6443831820300883E-3</v>
      </c>
      <c r="Q372" s="170">
        <f t="shared" si="259"/>
        <v>4.1222881798802735E-2</v>
      </c>
      <c r="R372" s="170">
        <f t="shared" si="259"/>
        <v>3.0396469286723127E-2</v>
      </c>
      <c r="Y372" s="6"/>
      <c r="Z372" s="1"/>
      <c r="AB372"/>
    </row>
    <row r="373" spans="1:28">
      <c r="A373" s="215"/>
      <c r="B373" s="215"/>
      <c r="C373" s="208" t="s">
        <v>362</v>
      </c>
      <c r="D373" s="175" t="s">
        <v>36</v>
      </c>
      <c r="E373" s="215"/>
      <c r="F373" s="215"/>
      <c r="G373" s="34"/>
      <c r="H373" s="56">
        <f>H359/H$357</f>
        <v>9.5859778062152026E-2</v>
      </c>
      <c r="I373" s="56">
        <f>I359/I$357</f>
        <v>9.5546169101791908E-2</v>
      </c>
      <c r="J373" s="56">
        <f t="shared" ref="J373:M373" si="260">J359/J$357</f>
        <v>9.509532082485557E-2</v>
      </c>
      <c r="K373" s="56">
        <f t="shared" si="260"/>
        <v>9.4530026737335737E-2</v>
      </c>
      <c r="L373" s="56">
        <f t="shared" si="260"/>
        <v>9.4247002705188015E-2</v>
      </c>
      <c r="M373" s="56">
        <f t="shared" si="260"/>
        <v>9.3681520688956896E-2</v>
      </c>
      <c r="N373" s="56">
        <f>FORECAST(N$357,I373:M373,I$357:M$357)*0.99</f>
        <v>9.2620834583065831E-2</v>
      </c>
      <c r="O373" s="56">
        <f>FORECAST(O$357,J373:N373,J$357:N$357)*0.995</f>
        <v>9.2403391243089078E-2</v>
      </c>
      <c r="P373" s="56">
        <f>FORECAST(P$357,K373:O373,K$357:O$357)*1.001</f>
        <v>9.2585802760099131E-2</v>
      </c>
      <c r="Q373" s="56">
        <f t="shared" ref="Q373:R373" si="261">FORECAST(Q$357,L373:P373,L$357:P$357)*1</f>
        <v>9.212964474138588E-2</v>
      </c>
      <c r="R373" s="56">
        <f t="shared" si="261"/>
        <v>9.1642248387119915E-2</v>
      </c>
      <c r="Z373" s="1"/>
    </row>
    <row r="374" spans="1:28">
      <c r="A374" s="215"/>
      <c r="B374" s="215"/>
      <c r="C374" s="215"/>
      <c r="D374" s="175" t="s">
        <v>37</v>
      </c>
      <c r="E374" s="215"/>
      <c r="F374" s="215"/>
      <c r="G374" s="34"/>
      <c r="H374" s="56">
        <f>H361/H$357</f>
        <v>4.8784254254446345E-2</v>
      </c>
      <c r="I374" s="56">
        <f>I361/I$357</f>
        <v>4.8901532498172952E-2</v>
      </c>
      <c r="J374" s="56">
        <f t="shared" ref="J374:M374" si="262">J361/J$357</f>
        <v>4.8989657138606243E-2</v>
      </c>
      <c r="K374" s="56">
        <f t="shared" si="262"/>
        <v>4.8865153037590994E-2</v>
      </c>
      <c r="L374" s="56">
        <f t="shared" si="262"/>
        <v>4.90037128937598E-2</v>
      </c>
      <c r="M374" s="56">
        <f t="shared" si="262"/>
        <v>4.9150724032441084E-2</v>
      </c>
      <c r="N374" s="56">
        <f>FORECAST(N$357,I374:M374,I$357:M$357)*1.002</f>
        <v>4.9214246688410242E-2</v>
      </c>
      <c r="O374" s="56">
        <f>FORECAST(O$357,J374:N374,J$357:N$357)*0.999</f>
        <v>4.9172401760186633E-2</v>
      </c>
      <c r="P374" s="56">
        <f>FORECAST(P$357,K374:O374,K$357:O$357)*0.993</f>
        <v>4.8876271267423534E-2</v>
      </c>
      <c r="Q374" s="56">
        <f>FORECAST(Q$357,L374:P374,L$357:P$357)*0.996</f>
        <v>4.8915064710879586E-2</v>
      </c>
      <c r="R374" s="56">
        <f>FORECAST(R$357,M374:Q374,M$357:Q$357)*1.001</f>
        <v>4.8958295893945916E-2</v>
      </c>
      <c r="Y374" s="6"/>
      <c r="Z374" s="1"/>
      <c r="AB374"/>
    </row>
    <row r="375" spans="1:28">
      <c r="A375" s="215"/>
      <c r="B375" s="215"/>
      <c r="C375" s="215"/>
      <c r="D375" s="175" t="s">
        <v>38</v>
      </c>
      <c r="E375" s="215"/>
      <c r="F375" s="215"/>
      <c r="G375" s="34"/>
      <c r="H375" s="56">
        <f>H363/H$357</f>
        <v>0.16025043706349654</v>
      </c>
      <c r="I375" s="56">
        <f>I363/I$357</f>
        <v>0.15978447600068599</v>
      </c>
      <c r="J375" s="56">
        <f t="shared" ref="J375:M375" si="263">J363/J$357</f>
        <v>0.16030414194648251</v>
      </c>
      <c r="K375" s="56">
        <f t="shared" si="263"/>
        <v>0.16060995292496502</v>
      </c>
      <c r="L375" s="56">
        <f t="shared" si="263"/>
        <v>0.15992521254953182</v>
      </c>
      <c r="M375" s="56">
        <f t="shared" si="263"/>
        <v>0.16152446467502715</v>
      </c>
      <c r="N375" s="56">
        <f>FORECAST(N$357,I375:M375,I$357:M$357)*0.999</f>
        <v>0.16125684950942368</v>
      </c>
      <c r="O375" s="56">
        <f>FORECAST(O$357,J375:N375,J$357:N$357)*0.995</f>
        <v>0.16067931288627171</v>
      </c>
      <c r="P375" s="56">
        <f>FORECAST(P$357,K375:O375,K$357:O$357)*1.005</f>
        <v>0.16202441235057008</v>
      </c>
      <c r="Q375" s="56">
        <f>FORECAST(Q$357,L375:P375,L$357:P$357)*1.008</f>
        <v>0.16308637152077968</v>
      </c>
      <c r="R375" s="56">
        <f>FORECAST(R$357,M375:Q375,M$357:Q$357)*1.002</f>
        <v>0.16292014665219595</v>
      </c>
      <c r="Z375" s="1"/>
    </row>
    <row r="376" spans="1:28">
      <c r="A376" s="215"/>
      <c r="B376" s="215"/>
      <c r="C376" s="215"/>
      <c r="D376" s="175" t="s">
        <v>39</v>
      </c>
      <c r="E376" s="215"/>
      <c r="F376" s="215"/>
      <c r="G376" s="34"/>
      <c r="H376" s="56">
        <f>H365/H$357</f>
        <v>0.17056353275903294</v>
      </c>
      <c r="I376" s="56">
        <f>I365/I$357</f>
        <v>0.1694931551295133</v>
      </c>
      <c r="J376" s="56">
        <f t="shared" ref="J376:M376" si="264">J365/J$357</f>
        <v>0.16874973530759427</v>
      </c>
      <c r="K376" s="56">
        <f t="shared" si="264"/>
        <v>0.16858064807281598</v>
      </c>
      <c r="L376" s="56">
        <f t="shared" si="264"/>
        <v>0.16757017465779409</v>
      </c>
      <c r="M376" s="56">
        <f t="shared" si="264"/>
        <v>0.16706746413382073</v>
      </c>
      <c r="N376" s="56">
        <f>FORECAST(N$357,I376:M376,I$357:M$357)*1</f>
        <v>0.16690499934427208</v>
      </c>
      <c r="O376" s="56">
        <f>FORECAST(O$357,J376:N376,J$357:N$357)*1.004</f>
        <v>0.16758285104815199</v>
      </c>
      <c r="P376" s="56">
        <f>FORECAST(P$357,K376:O376,K$357:O$357)*1.004</f>
        <v>0.16776072938924894</v>
      </c>
      <c r="Q376" s="56">
        <f>FORECAST(Q$357,L376:P376,L$357:P$357)*0.998</f>
        <v>0.16700683051207277</v>
      </c>
      <c r="R376" s="56">
        <f>FORECAST(R$357,M376:Q376,M$357:Q$357)*1.001</f>
        <v>0.16747542447035071</v>
      </c>
      <c r="Z376" s="1"/>
    </row>
    <row r="377" spans="1:28">
      <c r="A377" s="215"/>
      <c r="B377" s="215"/>
      <c r="C377" s="215"/>
      <c r="D377" s="175" t="s">
        <v>40</v>
      </c>
      <c r="E377" s="215"/>
      <c r="F377" s="215"/>
      <c r="G377" s="34"/>
      <c r="H377" s="56">
        <f>H367/H$357</f>
        <v>0.31395074074782048</v>
      </c>
      <c r="I377" s="56">
        <f>I367/I$357</f>
        <v>0.31650394703452361</v>
      </c>
      <c r="J377" s="56">
        <f t="shared" ref="J377:M377" si="265">J367/J$357</f>
        <v>0.31591879802405753</v>
      </c>
      <c r="K377" s="56">
        <f t="shared" si="265"/>
        <v>0.31617093131238522</v>
      </c>
      <c r="L377" s="56">
        <f t="shared" si="265"/>
        <v>0.31710384554045112</v>
      </c>
      <c r="M377" s="56">
        <f t="shared" si="265"/>
        <v>0.31520122246720844</v>
      </c>
      <c r="N377" s="56">
        <f>FORECAST(N$357,I377:M377,I$357:M$357)*0.999</f>
        <v>0.31511603970836438</v>
      </c>
      <c r="O377" s="56">
        <f>FORECAST(O$357,J377:N377,J$357:N$357)*0.997</f>
        <v>0.31395349624758789</v>
      </c>
      <c r="P377" s="56">
        <f>FORECAST(P$357,K377:O377,K$357:O$357)*0.999</f>
        <v>0.31404118212777232</v>
      </c>
      <c r="Q377" s="56">
        <f>FORECAST(Q$357,L377:P377,L$357:P$357)*0.999</f>
        <v>0.31331271995802701</v>
      </c>
      <c r="R377" s="56">
        <f>FORECAST(R$357,M377:Q377,M$357:Q$357)*0.999</f>
        <v>0.31284964001531324</v>
      </c>
      <c r="Z377" s="1"/>
    </row>
    <row r="378" spans="1:28">
      <c r="A378" s="215"/>
      <c r="B378" s="215"/>
      <c r="C378" s="215"/>
      <c r="D378" s="175" t="s">
        <v>41</v>
      </c>
      <c r="E378" s="215"/>
      <c r="F378" s="215"/>
      <c r="G378" s="34"/>
      <c r="H378" s="56">
        <f>H369/H$357</f>
        <v>3.1726938314502649E-2</v>
      </c>
      <c r="I378" s="56">
        <f>I369/I$357</f>
        <v>3.1405361937339914E-2</v>
      </c>
      <c r="J378" s="56">
        <f t="shared" ref="J378:M378" si="266">J369/J$357</f>
        <v>3.1219678909919356E-2</v>
      </c>
      <c r="K378" s="56">
        <f t="shared" si="266"/>
        <v>3.1051848694485018E-2</v>
      </c>
      <c r="L378" s="56">
        <f t="shared" si="266"/>
        <v>3.1300263484040899E-2</v>
      </c>
      <c r="M378" s="56">
        <f t="shared" si="266"/>
        <v>3.1675866645849392E-2</v>
      </c>
      <c r="N378" s="56">
        <f>FORECAST(N$357,I378:M378,I$357:M$357)*1.008</f>
        <v>3.1645139162144752E-2</v>
      </c>
      <c r="O378" s="56">
        <f>FORECAST(O$357,J378:N378,J$357:N$357)*1.012</f>
        <v>3.2083366436915256E-2</v>
      </c>
      <c r="P378" s="56">
        <f t="shared" ref="P378" si="267">FORECAST(P$357,K378:O378,K$357:O$357)*0.995</f>
        <v>3.1757511765912995E-2</v>
      </c>
      <c r="Q378" s="56">
        <f>FORECAST(Q$357,L378:P378,L$357:P$357)*1.004</f>
        <v>3.2093188612598494E-2</v>
      </c>
      <c r="R378" s="56">
        <f>FORECAST(R$357,M378:Q378,M$357:Q$357)*1.004</f>
        <v>3.2210516642274936E-2</v>
      </c>
      <c r="Z378" s="1"/>
    </row>
    <row r="379" spans="1:28">
      <c r="A379" s="215"/>
      <c r="B379" s="215"/>
      <c r="C379" s="215"/>
      <c r="D379" s="175" t="s">
        <v>42</v>
      </c>
      <c r="E379" s="215"/>
      <c r="F379" s="215"/>
      <c r="G379" s="34"/>
      <c r="H379" s="56">
        <f>H371/H$357</f>
        <v>0.17886431879854897</v>
      </c>
      <c r="I379" s="56">
        <f>I371/I$357</f>
        <v>0.17836535829797223</v>
      </c>
      <c r="J379" s="56">
        <f t="shared" ref="J379:M379" si="268">J371/J$357</f>
        <v>0.17972266784848465</v>
      </c>
      <c r="K379" s="56">
        <f t="shared" si="268"/>
        <v>0.18019143922042205</v>
      </c>
      <c r="L379" s="56">
        <f t="shared" si="268"/>
        <v>0.18084978816923411</v>
      </c>
      <c r="M379" s="56">
        <f t="shared" si="268"/>
        <v>0.18169873735669639</v>
      </c>
      <c r="N379" s="56">
        <f>1-SUM(N373:N378)</f>
        <v>0.18324189100431909</v>
      </c>
      <c r="O379" s="56">
        <f t="shared" ref="O379:R379" si="269">1-SUM(O373:O378)</f>
        <v>0.18412518037779757</v>
      </c>
      <c r="P379" s="56">
        <f t="shared" si="269"/>
        <v>0.18295409033897303</v>
      </c>
      <c r="Q379" s="56">
        <f t="shared" si="269"/>
        <v>0.18345617994425656</v>
      </c>
      <c r="R379" s="56">
        <f t="shared" si="269"/>
        <v>0.18394372793879932</v>
      </c>
      <c r="Z379" s="1"/>
    </row>
    <row r="380" spans="1:28">
      <c r="A380" s="195"/>
      <c r="B380" s="195"/>
      <c r="C380" s="195"/>
      <c r="D380" s="196" t="s">
        <v>351</v>
      </c>
      <c r="E380" s="197" t="s">
        <v>352</v>
      </c>
      <c r="F380" s="197"/>
      <c r="G380" s="197"/>
      <c r="H380" s="197"/>
      <c r="I380" s="197"/>
      <c r="J380" s="197"/>
      <c r="K380" s="197"/>
      <c r="L380" s="198"/>
      <c r="M380" s="199"/>
      <c r="N380" s="200"/>
      <c r="O380" s="200"/>
      <c r="P380" s="200"/>
      <c r="Q380" s="200"/>
      <c r="R380" s="200"/>
      <c r="S380" s="200"/>
      <c r="Z380" s="1"/>
    </row>
    <row r="381" spans="1:28">
      <c r="A381" s="23"/>
      <c r="B381" s="23"/>
      <c r="C381" s="23"/>
      <c r="D381" s="23" t="s">
        <v>363</v>
      </c>
      <c r="E381" s="24">
        <f>S382/$S$393</f>
        <v>0.32075012262295344</v>
      </c>
      <c r="F381" s="25"/>
      <c r="G381" s="25"/>
      <c r="H381" s="26">
        <f t="shared" ref="H381" si="270">H472</f>
        <v>463.625</v>
      </c>
      <c r="I381" s="26">
        <f t="shared" ref="I381:R381" si="271">I472</f>
        <v>486.61200000000002</v>
      </c>
      <c r="J381" s="26">
        <f t="shared" si="271"/>
        <v>406.41199999999998</v>
      </c>
      <c r="K381" s="26">
        <f t="shared" si="271"/>
        <v>462.46</v>
      </c>
      <c r="L381" s="26">
        <f t="shared" si="271"/>
        <v>538.62400000000002</v>
      </c>
      <c r="M381" s="26">
        <f t="shared" si="271"/>
        <v>526.19200000000001</v>
      </c>
      <c r="N381" s="26">
        <f t="shared" si="271"/>
        <v>576.01099999999997</v>
      </c>
      <c r="O381" s="26">
        <f t="shared" si="271"/>
        <v>602.94500000000005</v>
      </c>
      <c r="P381" s="26">
        <f t="shared" si="271"/>
        <v>632.94399999999996</v>
      </c>
      <c r="Q381" s="26">
        <f t="shared" si="271"/>
        <v>663.83399999999995</v>
      </c>
      <c r="R381" s="26">
        <f t="shared" si="271"/>
        <v>696.45500000000004</v>
      </c>
      <c r="S381" s="22" t="s">
        <v>182</v>
      </c>
      <c r="Z381" s="1"/>
    </row>
    <row r="382" spans="1:28" ht="12.75">
      <c r="A382" s="28"/>
      <c r="B382" s="28"/>
      <c r="C382" s="28"/>
      <c r="D382" s="28" t="s">
        <v>184</v>
      </c>
      <c r="E382" s="29"/>
      <c r="F382" s="28"/>
      <c r="G382" s="28"/>
      <c r="H382" s="28"/>
      <c r="I382" s="30">
        <f t="shared" ref="I382:R382" si="272">I381/H381-1</f>
        <v>4.9581019142626026E-2</v>
      </c>
      <c r="J382" s="30">
        <f t="shared" si="272"/>
        <v>-0.16481303379283707</v>
      </c>
      <c r="K382" s="30">
        <f t="shared" si="272"/>
        <v>0.13790931370136716</v>
      </c>
      <c r="L382" s="30">
        <f t="shared" si="272"/>
        <v>0.16469316265190503</v>
      </c>
      <c r="M382" s="30">
        <f t="shared" si="272"/>
        <v>-2.3081036121673004E-2</v>
      </c>
      <c r="N382" s="30">
        <f t="shared" si="272"/>
        <v>9.4678368352236308E-2</v>
      </c>
      <c r="O382" s="30">
        <f t="shared" si="272"/>
        <v>4.6759523689651861E-2</v>
      </c>
      <c r="P382" s="30">
        <f t="shared" si="272"/>
        <v>4.9754123510436177E-2</v>
      </c>
      <c r="Q382" s="30">
        <f t="shared" si="272"/>
        <v>4.8803685634116079E-2</v>
      </c>
      <c r="R382" s="30">
        <f t="shared" si="272"/>
        <v>4.9140297122473475E-2</v>
      </c>
      <c r="S382" s="27">
        <f>CORREL(I381:L381,I$358:L$358)</f>
        <v>-0.13803061010189446</v>
      </c>
      <c r="Z382" s="1"/>
    </row>
    <row r="383" spans="1:28" ht="30">
      <c r="A383" s="25"/>
      <c r="B383" s="25"/>
      <c r="C383" s="25"/>
      <c r="D383" s="25" t="s">
        <v>364</v>
      </c>
      <c r="E383" s="24">
        <f>S384/$S$393</f>
        <v>0.27715540712846343</v>
      </c>
      <c r="F383" s="25"/>
      <c r="G383" s="25"/>
      <c r="H383" s="26">
        <f>H474</f>
        <v>232432.95794830221</v>
      </c>
      <c r="I383" s="26">
        <f>I474</f>
        <v>243265.6213799479</v>
      </c>
      <c r="J383" s="26">
        <f t="shared" ref="J383:R383" si="273">J474</f>
        <v>209746.7</v>
      </c>
      <c r="K383" s="26">
        <f t="shared" si="273"/>
        <v>229862.9</v>
      </c>
      <c r="L383" s="26">
        <f t="shared" si="273"/>
        <v>267252.2</v>
      </c>
      <c r="M383" s="26">
        <f t="shared" si="273"/>
        <v>265907.5</v>
      </c>
      <c r="N383" s="26">
        <f t="shared" si="273"/>
        <v>272054.09999999998</v>
      </c>
      <c r="O383" s="26">
        <f t="shared" si="273"/>
        <v>275379.65496027685</v>
      </c>
      <c r="P383" s="26">
        <f t="shared" si="273"/>
        <v>279081.0614839106</v>
      </c>
      <c r="Q383" s="26">
        <f t="shared" si="273"/>
        <v>282894.02457884245</v>
      </c>
      <c r="R383" s="26">
        <f t="shared" si="273"/>
        <v>286919.55518451671</v>
      </c>
      <c r="S383" s="27"/>
      <c r="Y383" s="200"/>
      <c r="Z383" s="1"/>
    </row>
    <row r="384" spans="1:28" ht="12.75">
      <c r="A384" s="28"/>
      <c r="B384" s="28"/>
      <c r="C384" s="28"/>
      <c r="D384" s="28" t="s">
        <v>184</v>
      </c>
      <c r="E384" s="29"/>
      <c r="F384" s="28"/>
      <c r="G384" s="28"/>
      <c r="H384" s="28"/>
      <c r="I384" s="29">
        <f t="shared" ref="I384:R384" si="274">I383/H383-1</f>
        <v>4.6605539624269277E-2</v>
      </c>
      <c r="J384" s="29">
        <f t="shared" si="274"/>
        <v>-0.13778733381975039</v>
      </c>
      <c r="K384" s="29">
        <f t="shared" si="274"/>
        <v>9.5907110815092622E-2</v>
      </c>
      <c r="L384" s="29">
        <f t="shared" si="274"/>
        <v>0.16265913290052469</v>
      </c>
      <c r="M384" s="29">
        <f t="shared" si="274"/>
        <v>-5.0315769149890111E-3</v>
      </c>
      <c r="N384" s="29">
        <f t="shared" si="274"/>
        <v>2.3115557101623496E-2</v>
      </c>
      <c r="O384" s="29">
        <f t="shared" si="274"/>
        <v>1.2223873708489874E-2</v>
      </c>
      <c r="P384" s="29">
        <f t="shared" si="274"/>
        <v>1.3441103788759179E-2</v>
      </c>
      <c r="Q384" s="29">
        <f t="shared" si="274"/>
        <v>1.3662564828504697E-2</v>
      </c>
      <c r="R384" s="29">
        <f t="shared" si="274"/>
        <v>1.4229818433483254E-2</v>
      </c>
      <c r="S384" s="27">
        <f>CORREL(I383:L383,I$358:L$358)</f>
        <v>-0.11927019583388025</v>
      </c>
      <c r="Y384" s="22"/>
      <c r="Z384" s="1"/>
    </row>
    <row r="385" spans="1:16382" ht="30">
      <c r="A385" s="25"/>
      <c r="B385" s="25"/>
      <c r="C385" s="25"/>
      <c r="D385" s="25" t="s">
        <v>365</v>
      </c>
      <c r="E385" s="24">
        <f>S386/$S$393</f>
        <v>0.53441449328192625</v>
      </c>
      <c r="F385" s="25"/>
      <c r="G385" s="25"/>
      <c r="H385" s="26">
        <f>H482</f>
        <v>8849.1054436302129</v>
      </c>
      <c r="I385" s="26">
        <f>I482</f>
        <v>9349.6370060136778</v>
      </c>
      <c r="J385" s="26">
        <f t="shared" ref="J385:R385" si="275">J482</f>
        <v>7649.8597753853364</v>
      </c>
      <c r="K385" s="26">
        <f t="shared" si="275"/>
        <v>8895.3286634336091</v>
      </c>
      <c r="L385" s="26">
        <f t="shared" si="275"/>
        <v>11109.561702077232</v>
      </c>
      <c r="M385" s="26">
        <f t="shared" si="275"/>
        <v>11339.114735023979</v>
      </c>
      <c r="N385" s="26">
        <f t="shared" si="275"/>
        <v>11657.730903708954</v>
      </c>
      <c r="O385" s="26">
        <f t="shared" si="275"/>
        <v>11966.673770309319</v>
      </c>
      <c r="P385" s="26">
        <f t="shared" si="275"/>
        <v>12352.199082855839</v>
      </c>
      <c r="Q385" s="26">
        <f t="shared" si="275"/>
        <v>12861.847059563708</v>
      </c>
      <c r="R385" s="26">
        <f t="shared" si="275"/>
        <v>13295.657318777718</v>
      </c>
      <c r="S385" s="25"/>
      <c r="Y385" s="27"/>
      <c r="Z385" s="1"/>
    </row>
    <row r="386" spans="1:16382" ht="12.75">
      <c r="A386" s="28"/>
      <c r="B386" s="28"/>
      <c r="C386" s="28"/>
      <c r="D386" s="28" t="s">
        <v>184</v>
      </c>
      <c r="E386" s="29"/>
      <c r="F386" s="28"/>
      <c r="G386" s="28"/>
      <c r="H386" s="29"/>
      <c r="I386" s="29">
        <f t="shared" ref="I386:R386" si="276">I385/H385-1</f>
        <v>5.6562956060576708E-2</v>
      </c>
      <c r="J386" s="29">
        <f t="shared" si="276"/>
        <v>-0.18180141427255903</v>
      </c>
      <c r="K386" s="29">
        <f t="shared" si="276"/>
        <v>0.16280937489282743</v>
      </c>
      <c r="L386" s="29">
        <f t="shared" si="276"/>
        <v>0.24892087998341883</v>
      </c>
      <c r="M386" s="29">
        <f t="shared" si="276"/>
        <v>2.0662654306499384E-2</v>
      </c>
      <c r="N386" s="29">
        <f t="shared" si="276"/>
        <v>2.8098857462024007E-2</v>
      </c>
      <c r="O386" s="29">
        <f t="shared" si="276"/>
        <v>2.6501114938420223E-2</v>
      </c>
      <c r="P386" s="29">
        <f t="shared" si="276"/>
        <v>3.2216580809869999E-2</v>
      </c>
      <c r="Q386" s="29">
        <f t="shared" si="276"/>
        <v>4.1259695807140284E-2</v>
      </c>
      <c r="R386" s="29">
        <f t="shared" si="276"/>
        <v>3.3728457289611491E-2</v>
      </c>
      <c r="S386" s="27">
        <f>CORREL(I385:L385,I$358:L$358)</f>
        <v>-0.22997827078529781</v>
      </c>
      <c r="Y386" s="27"/>
      <c r="Z386" s="1"/>
    </row>
    <row r="387" spans="1:16382" ht="30">
      <c r="A387" s="216"/>
      <c r="B387" s="216"/>
      <c r="C387" s="216"/>
      <c r="D387" s="25" t="s">
        <v>366</v>
      </c>
      <c r="E387" s="24" t="e">
        <f>S388/$S$393</f>
        <v>#REF!</v>
      </c>
      <c r="F387" s="25"/>
      <c r="G387" s="25"/>
      <c r="H387" s="26" t="e">
        <f>H425</f>
        <v>#REF!</v>
      </c>
      <c r="I387" s="26" t="e">
        <f>I425</f>
        <v>#REF!</v>
      </c>
      <c r="J387" s="26" t="e">
        <f t="shared" ref="J387:R387" si="277">J425</f>
        <v>#REF!</v>
      </c>
      <c r="K387" s="26" t="e">
        <f t="shared" si="277"/>
        <v>#REF!</v>
      </c>
      <c r="L387" s="26" t="e">
        <f t="shared" si="277"/>
        <v>#REF!</v>
      </c>
      <c r="M387" s="26" t="e">
        <f t="shared" si="277"/>
        <v>#REF!</v>
      </c>
      <c r="N387" s="26" t="e">
        <f t="shared" si="277"/>
        <v>#REF!</v>
      </c>
      <c r="O387" s="26" t="e">
        <f t="shared" si="277"/>
        <v>#REF!</v>
      </c>
      <c r="P387" s="26" t="e">
        <f t="shared" si="277"/>
        <v>#REF!</v>
      </c>
      <c r="Q387" s="26" t="e">
        <f t="shared" si="277"/>
        <v>#REF!</v>
      </c>
      <c r="R387" s="26" t="e">
        <f t="shared" si="277"/>
        <v>#REF!</v>
      </c>
      <c r="S387" s="27"/>
      <c r="Y387" s="27"/>
      <c r="Z387" s="1"/>
    </row>
    <row r="388" spans="1:16382">
      <c r="A388" s="28"/>
      <c r="B388" s="28"/>
      <c r="C388" s="28"/>
      <c r="D388" s="28" t="s">
        <v>184</v>
      </c>
      <c r="E388" s="29"/>
      <c r="F388" s="28"/>
      <c r="G388" s="28"/>
      <c r="H388" s="29"/>
      <c r="I388" s="29"/>
      <c r="J388" s="29" t="e">
        <f t="shared" ref="J388:R388" si="278">J387/I387-1</f>
        <v>#REF!</v>
      </c>
      <c r="K388" s="29" t="e">
        <f t="shared" si="278"/>
        <v>#REF!</v>
      </c>
      <c r="L388" s="29" t="e">
        <f t="shared" si="278"/>
        <v>#REF!</v>
      </c>
      <c r="M388" s="29" t="e">
        <f t="shared" si="278"/>
        <v>#REF!</v>
      </c>
      <c r="N388" s="29" t="e">
        <f t="shared" si="278"/>
        <v>#REF!</v>
      </c>
      <c r="O388" s="29" t="e">
        <f t="shared" si="278"/>
        <v>#REF!</v>
      </c>
      <c r="P388" s="29" t="e">
        <f t="shared" si="278"/>
        <v>#REF!</v>
      </c>
      <c r="Q388" s="29" t="e">
        <f t="shared" si="278"/>
        <v>#REF!</v>
      </c>
      <c r="R388" s="29" t="e">
        <f t="shared" si="278"/>
        <v>#REF!</v>
      </c>
      <c r="S388" s="217" t="e">
        <f>CORREL(J388:M388,J$358:M$358)</f>
        <v>#REF!</v>
      </c>
      <c r="Y388" s="25"/>
      <c r="Z388" s="1"/>
    </row>
    <row r="389" spans="1:16382" ht="30">
      <c r="A389" s="216"/>
      <c r="B389" s="216"/>
      <c r="C389" s="216"/>
      <c r="D389" s="25" t="s">
        <v>367</v>
      </c>
      <c r="E389" s="24">
        <f>S390/$S$393</f>
        <v>0.63464733286328123</v>
      </c>
      <c r="F389" s="25"/>
      <c r="G389" s="25"/>
      <c r="H389" s="26">
        <f>H476</f>
        <v>0.33600000000000002</v>
      </c>
      <c r="I389" s="26">
        <f>I476</f>
        <v>0.35599999999999998</v>
      </c>
      <c r="J389" s="26">
        <f t="shared" ref="J389:R389" si="279">J476</f>
        <v>0.317</v>
      </c>
      <c r="K389" s="26">
        <f t="shared" si="279"/>
        <v>0.34799999999999998</v>
      </c>
      <c r="L389" s="26">
        <f t="shared" si="279"/>
        <v>0.40300000000000002</v>
      </c>
      <c r="M389" s="26">
        <f t="shared" si="279"/>
        <v>0.39500000000000002</v>
      </c>
      <c r="N389" s="26">
        <f t="shared" si="279"/>
        <v>0.40799999999999997</v>
      </c>
      <c r="O389" s="26">
        <f t="shared" si="279"/>
        <v>0.42299999999999999</v>
      </c>
      <c r="P389" s="26">
        <f t="shared" si="279"/>
        <v>0.435</v>
      </c>
      <c r="Q389" s="26">
        <f t="shared" si="279"/>
        <v>0.44800000000000001</v>
      </c>
      <c r="R389" s="26">
        <f t="shared" si="279"/>
        <v>0.46</v>
      </c>
      <c r="S389" s="217"/>
      <c r="Y389" s="27"/>
      <c r="Z389" s="1"/>
    </row>
    <row r="390" spans="1:16382" ht="12.75">
      <c r="A390" s="28"/>
      <c r="B390" s="28"/>
      <c r="C390" s="28"/>
      <c r="D390" s="28" t="s">
        <v>184</v>
      </c>
      <c r="E390" s="29"/>
      <c r="F390" s="28"/>
      <c r="G390" s="28"/>
      <c r="H390" s="29"/>
      <c r="I390" s="29">
        <f t="shared" ref="I390:R390" si="280">I389/H389-1</f>
        <v>5.9523809523809312E-2</v>
      </c>
      <c r="J390" s="29">
        <f t="shared" si="280"/>
        <v>-0.1095505617977528</v>
      </c>
      <c r="K390" s="29">
        <f t="shared" si="280"/>
        <v>9.7791798107255357E-2</v>
      </c>
      <c r="L390" s="29">
        <f t="shared" si="280"/>
        <v>0.15804597701149437</v>
      </c>
      <c r="M390" s="29">
        <f t="shared" si="280"/>
        <v>-1.9851116625310139E-2</v>
      </c>
      <c r="N390" s="29">
        <f t="shared" si="280"/>
        <v>3.2911392405063244E-2</v>
      </c>
      <c r="O390" s="29">
        <f t="shared" si="280"/>
        <v>3.6764705882353033E-2</v>
      </c>
      <c r="P390" s="29">
        <f t="shared" si="280"/>
        <v>2.8368794326241176E-2</v>
      </c>
      <c r="Q390" s="29">
        <f t="shared" si="280"/>
        <v>2.9885057471264354E-2</v>
      </c>
      <c r="R390" s="29">
        <f t="shared" si="280"/>
        <v>2.6785714285714413E-2</v>
      </c>
      <c r="S390" s="27">
        <f>CORREL(I389:L389,I$358:L$358)</f>
        <v>-0.27311215920448706</v>
      </c>
      <c r="Y390" s="27"/>
      <c r="Z390" s="1"/>
    </row>
    <row r="391" spans="1:16382" ht="30">
      <c r="A391" s="216"/>
      <c r="B391" s="216"/>
      <c r="C391" s="216"/>
      <c r="D391" s="25" t="s">
        <v>368</v>
      </c>
      <c r="E391" s="24">
        <f>S392/$S$393</f>
        <v>-0.76696735589662424</v>
      </c>
      <c r="F391" s="25"/>
      <c r="G391" s="25"/>
      <c r="H391" s="26">
        <f t="shared" ref="H391" si="281">H480</f>
        <v>2.5579999999999998</v>
      </c>
      <c r="I391" s="26">
        <f t="shared" ref="I391:R391" si="282">I480</f>
        <v>2.9830000000000001</v>
      </c>
      <c r="J391" s="26">
        <f t="shared" si="282"/>
        <v>2.0310000000000001</v>
      </c>
      <c r="K391" s="26">
        <f t="shared" si="282"/>
        <v>2.5499999999999998</v>
      </c>
      <c r="L391" s="26">
        <f t="shared" si="282"/>
        <v>2.7930000000000001</v>
      </c>
      <c r="M391" s="26">
        <f t="shared" si="282"/>
        <v>2.9889999999999999</v>
      </c>
      <c r="N391" s="26">
        <f t="shared" si="282"/>
        <v>2.9590000000000001</v>
      </c>
      <c r="O391" s="26">
        <f t="shared" si="282"/>
        <v>3.165</v>
      </c>
      <c r="P391" s="26">
        <f t="shared" si="282"/>
        <v>3.32</v>
      </c>
      <c r="Q391" s="26">
        <f t="shared" si="282"/>
        <v>3.5129999999999999</v>
      </c>
      <c r="R391" s="26">
        <f t="shared" si="282"/>
        <v>3.6440000000000001</v>
      </c>
      <c r="S391" s="217"/>
      <c r="Y391" s="217"/>
      <c r="Z391" s="1"/>
    </row>
    <row r="392" spans="1:16382" ht="12.75">
      <c r="A392" s="28"/>
      <c r="B392" s="28"/>
      <c r="C392" s="28"/>
      <c r="D392" s="28" t="s">
        <v>184</v>
      </c>
      <c r="E392" s="28"/>
      <c r="F392" s="28"/>
      <c r="G392" s="28"/>
      <c r="H392" s="29"/>
      <c r="I392" s="29">
        <f t="shared" ref="I392:R392" si="283">I391/H391-1</f>
        <v>0.16614542611415173</v>
      </c>
      <c r="J392" s="29">
        <f t="shared" si="283"/>
        <v>-0.31914180355346966</v>
      </c>
      <c r="K392" s="29">
        <f t="shared" si="283"/>
        <v>0.25553914327917271</v>
      </c>
      <c r="L392" s="29">
        <f t="shared" si="283"/>
        <v>9.5294117647058973E-2</v>
      </c>
      <c r="M392" s="29">
        <f t="shared" si="283"/>
        <v>7.0175438596491224E-2</v>
      </c>
      <c r="N392" s="29">
        <f t="shared" si="283"/>
        <v>-1.0036801605888157E-2</v>
      </c>
      <c r="O392" s="29">
        <f t="shared" si="283"/>
        <v>6.9618114227779637E-2</v>
      </c>
      <c r="P392" s="29">
        <f t="shared" si="283"/>
        <v>4.8973143759873494E-2</v>
      </c>
      <c r="Q392" s="29">
        <f t="shared" si="283"/>
        <v>5.8132530120482029E-2</v>
      </c>
      <c r="R392" s="29">
        <f t="shared" si="283"/>
        <v>3.729006547110747E-2</v>
      </c>
      <c r="S392" s="27">
        <f>CORREL(I391:L391,I$358:L$358)</f>
        <v>0.33005434634578062</v>
      </c>
      <c r="Y392" s="217"/>
      <c r="Z392" s="1"/>
    </row>
    <row r="393" spans="1:16382" ht="12">
      <c r="D393" s="218" t="s">
        <v>188</v>
      </c>
      <c r="E393" s="32" t="e">
        <f>E391+E389+E387+E385+E383+E381</f>
        <v>#REF!</v>
      </c>
      <c r="S393" s="378">
        <f>SUM(S382:S386,S390:S392)</f>
        <v>-0.43033688957977895</v>
      </c>
      <c r="Y393" s="217"/>
      <c r="Z393" s="1"/>
    </row>
    <row r="394" spans="1:16382" ht="11.25">
      <c r="C394" s="164"/>
      <c r="G394" s="164"/>
      <c r="J394" s="182"/>
      <c r="K394" s="182"/>
      <c r="L394" s="182"/>
      <c r="M394" s="182"/>
      <c r="Y394" s="217"/>
      <c r="Z394" s="1"/>
    </row>
    <row r="395" spans="1:16382" customFormat="1">
      <c r="A395" s="125" t="str">
        <f>'[7]Input sheet'!A153</f>
        <v>Turkey</v>
      </c>
      <c r="B395" s="125" t="str">
        <f>'[7]Input sheet'!B153</f>
        <v>Tourism Spend Factors</v>
      </c>
      <c r="C395" s="134" t="str">
        <f>'[7]Input sheet'!C153</f>
        <v>Average Expenditure per International Tourist by Sector</v>
      </c>
      <c r="D395" s="135"/>
      <c r="E395" s="135"/>
      <c r="F395" s="135"/>
      <c r="G395" s="263" t="str">
        <f>Home!$B$2</f>
        <v>Foriant</v>
      </c>
      <c r="H395" s="173">
        <f t="shared" ref="H395:M395" si="284">(H21*1000)/H$500</f>
        <v>8928.5071229177029</v>
      </c>
      <c r="I395" s="173">
        <f t="shared" si="284"/>
        <v>9353.4418341480578</v>
      </c>
      <c r="J395" s="173">
        <f t="shared" si="284"/>
        <v>9612.4628450951059</v>
      </c>
      <c r="K395" s="173">
        <f t="shared" si="284"/>
        <v>9662.6243245449223</v>
      </c>
      <c r="L395" s="173">
        <f t="shared" si="284"/>
        <v>9920.254994442781</v>
      </c>
      <c r="M395" s="173">
        <f t="shared" si="284"/>
        <v>10268.458017515944</v>
      </c>
      <c r="N395" s="167">
        <f>M395*(1+N396)</f>
        <v>10513.145832449183</v>
      </c>
      <c r="O395" s="167">
        <f>N395*(1+O396)</f>
        <v>10727.4669633623</v>
      </c>
      <c r="P395" s="167">
        <f>O395*(1+P396)</f>
        <v>10962.612992971724</v>
      </c>
      <c r="Q395" s="167">
        <f>P395*(1+Q396)</f>
        <v>11152.579424661273</v>
      </c>
      <c r="R395" s="167">
        <f>Q395*(1+R396)</f>
        <v>11315.587457941281</v>
      </c>
      <c r="S395" s="125" t="str">
        <f>'[7]Input sheet'!R153</f>
        <v>The average value of expenditure on travel and tourism activities by an international tourist to a country, segmented by the type of tourism product that the money was spent on.</v>
      </c>
      <c r="T395" s="125" t="str">
        <f>'[7]Input sheet'!S153</f>
        <v>New</v>
      </c>
      <c r="U395" s="134" t="str">
        <f>'[7]Input sheet'!T153</f>
        <v>Need to divide inbound tourism expenditure by the number of inbound tourists</v>
      </c>
      <c r="V395" s="135">
        <f>'[7]Input sheet'!U153</f>
        <v>0</v>
      </c>
      <c r="W395" s="135">
        <f>'[7]Input sheet'!W153</f>
        <v>0</v>
      </c>
      <c r="X395" s="135">
        <f>'[7]Input sheet'!X153</f>
        <v>0</v>
      </c>
      <c r="Y395" s="217"/>
      <c r="Z395" s="1"/>
      <c r="AA395" s="1"/>
      <c r="AB395" s="1"/>
      <c r="AC395" s="1"/>
      <c r="AD395" s="173"/>
      <c r="AE395" s="173"/>
      <c r="AF395" s="173"/>
      <c r="AG395" s="173"/>
      <c r="AH395" s="173"/>
      <c r="AI395" s="173"/>
      <c r="AJ395" s="125"/>
      <c r="AK395" s="125"/>
      <c r="AL395" s="134"/>
      <c r="AM395" s="135"/>
      <c r="AN395" s="135"/>
      <c r="AO395" s="135"/>
      <c r="AP395" s="135"/>
      <c r="AQ395" s="173"/>
      <c r="AR395" s="173"/>
      <c r="AS395" s="173"/>
      <c r="AT395" s="173"/>
      <c r="AU395" s="173"/>
      <c r="AV395" s="173"/>
      <c r="AW395" s="173"/>
      <c r="AX395" s="173"/>
      <c r="AY395" s="173"/>
      <c r="AZ395" s="173"/>
      <c r="BA395" s="125"/>
      <c r="BB395" s="125"/>
      <c r="BC395" s="134"/>
      <c r="BD395" s="135"/>
      <c r="BE395" s="135"/>
      <c r="BF395" s="135"/>
      <c r="BG395" s="135"/>
      <c r="BH395" s="173"/>
      <c r="BI395" s="173"/>
      <c r="BJ395" s="173"/>
      <c r="BK395" s="173"/>
      <c r="BL395" s="173"/>
      <c r="BM395" s="173"/>
      <c r="BN395" s="173"/>
      <c r="BO395" s="173"/>
      <c r="BP395" s="173"/>
      <c r="BQ395" s="173"/>
      <c r="BR395" s="125"/>
      <c r="BS395" s="125"/>
      <c r="BT395" s="134"/>
      <c r="BU395" s="135"/>
      <c r="BV395" s="135"/>
      <c r="BW395" s="135"/>
      <c r="BX395" s="135"/>
      <c r="BY395" s="173"/>
      <c r="BZ395" s="173"/>
      <c r="CA395" s="173"/>
      <c r="CB395" s="173"/>
      <c r="CC395" s="173"/>
      <c r="CD395" s="173"/>
      <c r="CE395" s="173"/>
      <c r="CF395" s="173"/>
      <c r="CG395" s="173"/>
      <c r="CH395" s="173"/>
      <c r="CI395" s="125"/>
      <c r="CJ395" s="125"/>
      <c r="CK395" s="134"/>
      <c r="CL395" s="135"/>
      <c r="CM395" s="135"/>
      <c r="CN395" s="135"/>
      <c r="CO395" s="135"/>
      <c r="CP395" s="173"/>
      <c r="CQ395" s="173"/>
      <c r="CR395" s="173"/>
      <c r="CS395" s="173"/>
      <c r="CT395" s="173"/>
      <c r="CU395" s="173"/>
      <c r="CV395" s="173"/>
      <c r="CW395" s="173"/>
      <c r="CX395" s="173"/>
      <c r="CY395" s="173"/>
      <c r="CZ395" s="125"/>
      <c r="DA395" s="125"/>
      <c r="DB395" s="134"/>
      <c r="DC395" s="135"/>
      <c r="DD395" s="135"/>
      <c r="DE395" s="135"/>
      <c r="DF395" s="135"/>
      <c r="DG395" s="173"/>
      <c r="DH395" s="173"/>
      <c r="DI395" s="173"/>
      <c r="DJ395" s="173"/>
      <c r="DK395" s="173"/>
      <c r="DL395" s="173"/>
      <c r="DM395" s="173"/>
      <c r="DN395" s="173"/>
      <c r="DO395" s="173"/>
      <c r="DP395" s="173"/>
      <c r="DQ395" s="125"/>
      <c r="DR395" s="125"/>
      <c r="DS395" s="134"/>
      <c r="DT395" s="135"/>
      <c r="DU395" s="135"/>
      <c r="DV395" s="135"/>
      <c r="DW395" s="135"/>
      <c r="DX395" s="173"/>
      <c r="DY395" s="173"/>
      <c r="DZ395" s="173"/>
      <c r="EA395" s="173"/>
      <c r="EB395" s="173"/>
      <c r="EC395" s="173"/>
      <c r="ED395" s="173"/>
      <c r="EE395" s="173"/>
      <c r="EF395" s="173"/>
      <c r="EG395" s="173"/>
      <c r="EH395" s="125"/>
      <c r="EI395" s="125"/>
      <c r="EJ395" s="134"/>
      <c r="EK395" s="135"/>
      <c r="EL395" s="135"/>
      <c r="EM395" s="135"/>
      <c r="EN395" s="135"/>
      <c r="EO395" s="173"/>
      <c r="EP395" s="173"/>
      <c r="EQ395" s="173"/>
      <c r="ER395" s="173"/>
      <c r="ES395" s="173"/>
      <c r="ET395" s="173"/>
      <c r="EU395" s="173"/>
      <c r="EV395" s="173"/>
      <c r="EW395" s="173"/>
      <c r="EX395" s="173"/>
      <c r="EY395" s="125"/>
      <c r="EZ395" s="125"/>
      <c r="FA395" s="134"/>
      <c r="FB395" s="135"/>
      <c r="FC395" s="135"/>
      <c r="FD395" s="135"/>
      <c r="FE395" s="135"/>
      <c r="FF395" s="173"/>
      <c r="FG395" s="173"/>
      <c r="FH395" s="173"/>
      <c r="FI395" s="173"/>
      <c r="FJ395" s="173"/>
      <c r="FK395" s="173"/>
      <c r="FL395" s="173"/>
      <c r="FM395" s="173"/>
      <c r="FN395" s="173"/>
      <c r="FO395" s="173"/>
      <c r="FP395" s="125"/>
      <c r="FQ395" s="125"/>
      <c r="FR395" s="134"/>
      <c r="FS395" s="135"/>
      <c r="FT395" s="135"/>
      <c r="FU395" s="135"/>
      <c r="FV395" s="135"/>
      <c r="FW395" s="173"/>
      <c r="FX395" s="173"/>
      <c r="FY395" s="173"/>
      <c r="FZ395" s="173"/>
      <c r="GA395" s="173"/>
      <c r="GB395" s="173"/>
      <c r="GC395" s="173"/>
      <c r="GD395" s="173"/>
      <c r="GE395" s="173"/>
      <c r="GF395" s="173"/>
      <c r="GG395" s="125"/>
      <c r="GH395" s="125"/>
      <c r="GI395" s="134"/>
      <c r="GJ395" s="135"/>
      <c r="GK395" s="135"/>
      <c r="GL395" s="135"/>
      <c r="GM395" s="135"/>
      <c r="GN395" s="173"/>
      <c r="GO395" s="173"/>
      <c r="GP395" s="173"/>
      <c r="GQ395" s="173"/>
      <c r="GR395" s="173"/>
      <c r="GS395" s="173"/>
      <c r="GT395" s="173"/>
      <c r="GU395" s="173"/>
      <c r="GV395" s="173"/>
      <c r="GW395" s="173"/>
      <c r="GX395" s="125"/>
      <c r="GY395" s="125"/>
      <c r="GZ395" s="134"/>
      <c r="HA395" s="135"/>
      <c r="HB395" s="135"/>
      <c r="HC395" s="135"/>
      <c r="HD395" s="135"/>
      <c r="HE395" s="173"/>
      <c r="HF395" s="173"/>
      <c r="HG395" s="173"/>
      <c r="HH395" s="173"/>
      <c r="HI395" s="173"/>
      <c r="HJ395" s="173"/>
      <c r="HK395" s="173"/>
      <c r="HL395" s="173"/>
      <c r="HM395" s="173"/>
      <c r="HN395" s="173"/>
      <c r="HO395" s="125"/>
      <c r="HP395" s="125"/>
      <c r="HQ395" s="134"/>
      <c r="HR395" s="135"/>
      <c r="HS395" s="135"/>
      <c r="HT395" s="135"/>
      <c r="HU395" s="135"/>
      <c r="HV395" s="173"/>
      <c r="HW395" s="173"/>
      <c r="HX395" s="173"/>
      <c r="HY395" s="173"/>
      <c r="HZ395" s="173"/>
      <c r="IA395" s="173"/>
      <c r="IB395" s="173"/>
      <c r="IC395" s="173"/>
      <c r="ID395" s="173"/>
      <c r="IE395" s="173"/>
      <c r="IF395" s="125"/>
      <c r="IG395" s="125"/>
      <c r="IH395" s="134"/>
      <c r="II395" s="135"/>
      <c r="IJ395" s="135"/>
      <c r="IK395" s="135"/>
      <c r="IL395" s="135"/>
      <c r="IM395" s="173"/>
      <c r="IN395" s="173"/>
      <c r="IO395" s="173"/>
      <c r="IP395" s="173"/>
      <c r="IQ395" s="173"/>
      <c r="IR395" s="173"/>
      <c r="IS395" s="173"/>
      <c r="IT395" s="173"/>
      <c r="IU395" s="173"/>
      <c r="IV395" s="173"/>
      <c r="IW395" s="125"/>
      <c r="IX395" s="125"/>
      <c r="IY395" s="134"/>
      <c r="IZ395" s="135"/>
      <c r="JA395" s="135"/>
      <c r="JB395" s="135"/>
      <c r="JC395" s="135"/>
      <c r="JD395" s="173"/>
      <c r="JE395" s="173"/>
      <c r="JF395" s="173"/>
      <c r="JG395" s="173"/>
      <c r="JH395" s="173"/>
      <c r="JI395" s="173"/>
      <c r="JJ395" s="173"/>
      <c r="JK395" s="173"/>
      <c r="JL395" s="173"/>
      <c r="JM395" s="173"/>
      <c r="JN395" s="125"/>
      <c r="JO395" s="125"/>
      <c r="JP395" s="134"/>
      <c r="JQ395" s="135"/>
      <c r="JR395" s="135"/>
      <c r="JS395" s="135"/>
      <c r="JT395" s="135"/>
      <c r="JU395" s="173"/>
      <c r="JV395" s="173"/>
      <c r="JW395" s="173"/>
      <c r="JX395" s="173"/>
      <c r="JY395" s="173"/>
      <c r="JZ395" s="173"/>
      <c r="KA395" s="173"/>
      <c r="KB395" s="173"/>
      <c r="KC395" s="173"/>
      <c r="KD395" s="173"/>
      <c r="KE395" s="125"/>
      <c r="KF395" s="125"/>
      <c r="KG395" s="134"/>
      <c r="KH395" s="135"/>
      <c r="KI395" s="135"/>
      <c r="KJ395" s="135"/>
      <c r="KK395" s="135"/>
      <c r="KL395" s="173"/>
      <c r="KM395" s="173"/>
      <c r="KN395" s="173"/>
      <c r="KO395" s="173"/>
      <c r="KP395" s="173"/>
      <c r="KQ395" s="173"/>
      <c r="KR395" s="173"/>
      <c r="KS395" s="173"/>
      <c r="KT395" s="173"/>
      <c r="KU395" s="173"/>
      <c r="KV395" s="125"/>
      <c r="KW395" s="125"/>
      <c r="KX395" s="134"/>
      <c r="KY395" s="135"/>
      <c r="KZ395" s="135"/>
      <c r="LA395" s="135"/>
      <c r="LB395" s="135"/>
      <c r="LC395" s="173"/>
      <c r="LD395" s="173"/>
      <c r="LE395" s="173"/>
      <c r="LF395" s="173"/>
      <c r="LG395" s="173"/>
      <c r="LH395" s="173"/>
      <c r="LI395" s="173"/>
      <c r="LJ395" s="173"/>
      <c r="LK395" s="173"/>
      <c r="LL395" s="173"/>
      <c r="LM395" s="125"/>
      <c r="LN395" s="125"/>
      <c r="LO395" s="134"/>
      <c r="LP395" s="135"/>
      <c r="LQ395" s="135"/>
      <c r="LR395" s="135"/>
      <c r="LS395" s="135"/>
      <c r="LT395" s="173"/>
      <c r="LU395" s="173"/>
      <c r="LV395" s="173"/>
      <c r="LW395" s="173"/>
      <c r="LX395" s="173"/>
      <c r="LY395" s="173"/>
      <c r="LZ395" s="173"/>
      <c r="MA395" s="173"/>
      <c r="MB395" s="173"/>
      <c r="MC395" s="173"/>
      <c r="MD395" s="125"/>
      <c r="ME395" s="125"/>
      <c r="MF395" s="134"/>
      <c r="MG395" s="135"/>
      <c r="MH395" s="135"/>
      <c r="MI395" s="135"/>
      <c r="MJ395" s="135"/>
      <c r="MK395" s="173"/>
      <c r="ML395" s="173"/>
      <c r="MM395" s="173"/>
      <c r="MN395" s="173"/>
      <c r="MO395" s="173"/>
      <c r="MP395" s="173"/>
      <c r="MQ395" s="173"/>
      <c r="MR395" s="173"/>
      <c r="MS395" s="173"/>
      <c r="MT395" s="173"/>
      <c r="MU395" s="125"/>
      <c r="MV395" s="125"/>
      <c r="MW395" s="134"/>
      <c r="MX395" s="135"/>
      <c r="MY395" s="135"/>
      <c r="MZ395" s="135"/>
      <c r="NA395" s="135"/>
      <c r="NB395" s="173"/>
      <c r="NC395" s="173"/>
      <c r="ND395" s="173"/>
      <c r="NE395" s="173"/>
      <c r="NF395" s="173"/>
      <c r="NG395" s="173"/>
      <c r="NH395" s="173"/>
      <c r="NI395" s="173"/>
      <c r="NJ395" s="173"/>
      <c r="NK395" s="173"/>
      <c r="NL395" s="125"/>
      <c r="NM395" s="125"/>
      <c r="NN395" s="134"/>
      <c r="NO395" s="135"/>
      <c r="NP395" s="135"/>
      <c r="NQ395" s="135"/>
      <c r="NR395" s="135"/>
      <c r="NS395" s="173"/>
      <c r="NT395" s="173"/>
      <c r="NU395" s="173"/>
      <c r="NV395" s="173"/>
      <c r="NW395" s="173"/>
      <c r="NX395" s="173"/>
      <c r="NY395" s="173"/>
      <c r="NZ395" s="173"/>
      <c r="OA395" s="173"/>
      <c r="OB395" s="173"/>
      <c r="OC395" s="125"/>
      <c r="OD395" s="125"/>
      <c r="OE395" s="134"/>
      <c r="OF395" s="135"/>
      <c r="OG395" s="135"/>
      <c r="OH395" s="135"/>
      <c r="OI395" s="135"/>
      <c r="OJ395" s="173"/>
      <c r="OK395" s="173"/>
      <c r="OL395" s="173"/>
      <c r="OM395" s="173"/>
      <c r="ON395" s="173"/>
      <c r="OO395" s="173"/>
      <c r="OP395" s="173"/>
      <c r="OQ395" s="173"/>
      <c r="OR395" s="173"/>
      <c r="OS395" s="173"/>
      <c r="OT395" s="125"/>
      <c r="OU395" s="125"/>
      <c r="OV395" s="134"/>
      <c r="OW395" s="135"/>
      <c r="OX395" s="135"/>
      <c r="OY395" s="135"/>
      <c r="OZ395" s="135"/>
      <c r="PA395" s="173"/>
      <c r="PB395" s="173"/>
      <c r="PC395" s="173"/>
      <c r="PD395" s="173"/>
      <c r="PE395" s="173"/>
      <c r="PF395" s="173"/>
      <c r="PG395" s="173"/>
      <c r="PH395" s="173"/>
      <c r="PI395" s="173"/>
      <c r="PJ395" s="173"/>
      <c r="PK395" s="125"/>
      <c r="PL395" s="125"/>
      <c r="PM395" s="134"/>
      <c r="PN395" s="135"/>
      <c r="PO395" s="135"/>
      <c r="PP395" s="135"/>
      <c r="PQ395" s="135"/>
      <c r="PR395" s="173"/>
      <c r="PS395" s="173"/>
      <c r="PT395" s="173"/>
      <c r="PU395" s="173"/>
      <c r="PV395" s="173"/>
      <c r="PW395" s="173"/>
      <c r="PX395" s="173"/>
      <c r="PY395" s="173"/>
      <c r="PZ395" s="173"/>
      <c r="QA395" s="173"/>
      <c r="QB395" s="125"/>
      <c r="QC395" s="125"/>
      <c r="QD395" s="134"/>
      <c r="QE395" s="135"/>
      <c r="QF395" s="135"/>
      <c r="QG395" s="135"/>
      <c r="QH395" s="135"/>
      <c r="QI395" s="173"/>
      <c r="QJ395" s="173"/>
      <c r="QK395" s="173"/>
      <c r="QL395" s="173"/>
      <c r="QM395" s="173"/>
      <c r="QN395" s="173"/>
      <c r="QO395" s="173"/>
      <c r="QP395" s="173"/>
      <c r="QQ395" s="173"/>
      <c r="QR395" s="173"/>
      <c r="QS395" s="125"/>
      <c r="QT395" s="125"/>
      <c r="QU395" s="134"/>
      <c r="QV395" s="135"/>
      <c r="QW395" s="135"/>
      <c r="QX395" s="135"/>
      <c r="QY395" s="135"/>
      <c r="QZ395" s="173"/>
      <c r="RA395" s="173"/>
      <c r="RB395" s="173"/>
      <c r="RC395" s="173"/>
      <c r="RD395" s="173"/>
      <c r="RE395" s="173"/>
      <c r="RF395" s="173"/>
      <c r="RG395" s="173"/>
      <c r="RH395" s="173"/>
      <c r="RI395" s="173"/>
      <c r="RJ395" s="125"/>
      <c r="RK395" s="125"/>
      <c r="RL395" s="134"/>
      <c r="RM395" s="135"/>
      <c r="RN395" s="135"/>
      <c r="RO395" s="135"/>
      <c r="RP395" s="135"/>
      <c r="RQ395" s="173"/>
      <c r="RR395" s="173"/>
      <c r="RS395" s="173"/>
      <c r="RT395" s="173"/>
      <c r="RU395" s="173"/>
      <c r="RV395" s="173"/>
      <c r="RW395" s="173"/>
      <c r="RX395" s="173"/>
      <c r="RY395" s="173"/>
      <c r="RZ395" s="173"/>
      <c r="SA395" s="125"/>
      <c r="SB395" s="125"/>
      <c r="SC395" s="134"/>
      <c r="SD395" s="135"/>
      <c r="SE395" s="135"/>
      <c r="SF395" s="135"/>
      <c r="SG395" s="135"/>
      <c r="SH395" s="173"/>
      <c r="SI395" s="173"/>
      <c r="SJ395" s="173"/>
      <c r="SK395" s="173"/>
      <c r="SL395" s="173"/>
      <c r="SM395" s="173"/>
      <c r="SN395" s="173"/>
      <c r="SO395" s="173"/>
      <c r="SP395" s="173"/>
      <c r="SQ395" s="173"/>
      <c r="SR395" s="125"/>
      <c r="SS395" s="125"/>
      <c r="ST395" s="134"/>
      <c r="SU395" s="135"/>
      <c r="SV395" s="135"/>
      <c r="SW395" s="135"/>
      <c r="SX395" s="135"/>
      <c r="SY395" s="173"/>
      <c r="SZ395" s="173"/>
      <c r="TA395" s="173"/>
      <c r="TB395" s="173"/>
      <c r="TC395" s="173"/>
      <c r="TD395" s="173"/>
      <c r="TE395" s="173"/>
      <c r="TF395" s="173"/>
      <c r="TG395" s="173"/>
      <c r="TH395" s="173"/>
      <c r="TI395" s="125"/>
      <c r="TJ395" s="125"/>
      <c r="TK395" s="134"/>
      <c r="TL395" s="135"/>
      <c r="TM395" s="135"/>
      <c r="TN395" s="135"/>
      <c r="TO395" s="135"/>
      <c r="TP395" s="173"/>
      <c r="TQ395" s="173"/>
      <c r="TR395" s="173"/>
      <c r="TS395" s="173"/>
      <c r="TT395" s="173"/>
      <c r="TU395" s="173"/>
      <c r="TV395" s="173"/>
      <c r="TW395" s="173"/>
      <c r="TX395" s="173"/>
      <c r="TY395" s="173"/>
      <c r="TZ395" s="125"/>
      <c r="UA395" s="125"/>
      <c r="UB395" s="134"/>
      <c r="UC395" s="135"/>
      <c r="UD395" s="135"/>
      <c r="UE395" s="135"/>
      <c r="UF395" s="135"/>
      <c r="UG395" s="173"/>
      <c r="UH395" s="173"/>
      <c r="UI395" s="173"/>
      <c r="UJ395" s="173"/>
      <c r="UK395" s="173"/>
      <c r="UL395" s="173"/>
      <c r="UM395" s="173"/>
      <c r="UN395" s="173"/>
      <c r="UO395" s="173"/>
      <c r="UP395" s="173"/>
      <c r="UQ395" s="125"/>
      <c r="UR395" s="125"/>
      <c r="US395" s="134"/>
      <c r="UT395" s="135"/>
      <c r="UU395" s="135"/>
      <c r="UV395" s="135"/>
      <c r="UW395" s="135"/>
      <c r="UX395" s="173"/>
      <c r="UY395" s="173"/>
      <c r="UZ395" s="173"/>
      <c r="VA395" s="173"/>
      <c r="VB395" s="173"/>
      <c r="VC395" s="173"/>
      <c r="VD395" s="173"/>
      <c r="VE395" s="173"/>
      <c r="VF395" s="173"/>
      <c r="VG395" s="173"/>
      <c r="VH395" s="125"/>
      <c r="VI395" s="125"/>
      <c r="VJ395" s="134"/>
      <c r="VK395" s="135"/>
      <c r="VL395" s="135"/>
      <c r="VM395" s="135"/>
      <c r="VN395" s="135"/>
      <c r="VO395" s="173"/>
      <c r="VP395" s="173"/>
      <c r="VQ395" s="173"/>
      <c r="VR395" s="173"/>
      <c r="VS395" s="173"/>
      <c r="VT395" s="173"/>
      <c r="VU395" s="173"/>
      <c r="VV395" s="173"/>
      <c r="VW395" s="173"/>
      <c r="VX395" s="173"/>
      <c r="VY395" s="125"/>
      <c r="VZ395" s="125"/>
      <c r="WA395" s="134"/>
      <c r="WB395" s="135"/>
      <c r="WC395" s="135"/>
      <c r="WD395" s="135"/>
      <c r="WE395" s="135"/>
      <c r="WF395" s="173"/>
      <c r="WG395" s="173"/>
      <c r="WH395" s="173"/>
      <c r="WI395" s="173"/>
      <c r="WJ395" s="173"/>
      <c r="WK395" s="173"/>
      <c r="WL395" s="173"/>
      <c r="WM395" s="173"/>
      <c r="WN395" s="173"/>
      <c r="WO395" s="173"/>
      <c r="WP395" s="125"/>
      <c r="WQ395" s="125"/>
      <c r="WR395" s="134"/>
      <c r="WS395" s="135"/>
      <c r="WT395" s="135"/>
      <c r="WU395" s="135"/>
      <c r="WV395" s="135"/>
      <c r="WW395" s="173"/>
      <c r="WX395" s="173"/>
      <c r="WY395" s="173"/>
      <c r="WZ395" s="173"/>
      <c r="XA395" s="173"/>
      <c r="XB395" s="173"/>
      <c r="XC395" s="173"/>
      <c r="XD395" s="173"/>
      <c r="XE395" s="173"/>
      <c r="XF395" s="173"/>
      <c r="XG395" s="125"/>
      <c r="XH395" s="125"/>
      <c r="XI395" s="134"/>
      <c r="XJ395" s="135"/>
      <c r="XK395" s="135"/>
      <c r="XL395" s="135"/>
      <c r="XM395" s="135"/>
      <c r="XN395" s="173"/>
      <c r="XO395" s="173"/>
      <c r="XP395" s="173"/>
      <c r="XQ395" s="173"/>
      <c r="XR395" s="173"/>
      <c r="XS395" s="173"/>
      <c r="XT395" s="173"/>
      <c r="XU395" s="173"/>
      <c r="XV395" s="173"/>
      <c r="XW395" s="173"/>
      <c r="XX395" s="125"/>
      <c r="XY395" s="125"/>
      <c r="XZ395" s="134"/>
      <c r="YA395" s="135"/>
      <c r="YB395" s="135"/>
      <c r="YC395" s="135"/>
      <c r="YD395" s="135"/>
      <c r="YE395" s="173"/>
      <c r="YF395" s="173"/>
      <c r="YG395" s="173"/>
      <c r="YH395" s="173"/>
      <c r="YI395" s="173"/>
      <c r="YJ395" s="173"/>
      <c r="YK395" s="173"/>
      <c r="YL395" s="173"/>
      <c r="YM395" s="173"/>
      <c r="YN395" s="173"/>
      <c r="YO395" s="125"/>
      <c r="YP395" s="125"/>
      <c r="YQ395" s="134"/>
      <c r="YR395" s="135"/>
      <c r="YS395" s="135"/>
      <c r="YT395" s="135"/>
      <c r="YU395" s="135"/>
      <c r="YV395" s="173"/>
      <c r="YW395" s="173"/>
      <c r="YX395" s="173"/>
      <c r="YY395" s="173"/>
      <c r="YZ395" s="173"/>
      <c r="ZA395" s="173"/>
      <c r="ZB395" s="173"/>
      <c r="ZC395" s="173"/>
      <c r="ZD395" s="173"/>
      <c r="ZE395" s="173"/>
      <c r="ZF395" s="125"/>
      <c r="ZG395" s="125"/>
      <c r="ZH395" s="134"/>
      <c r="ZI395" s="135"/>
      <c r="ZJ395" s="135"/>
      <c r="ZK395" s="135"/>
      <c r="ZL395" s="135"/>
      <c r="ZM395" s="173"/>
      <c r="ZN395" s="173"/>
      <c r="ZO395" s="173"/>
      <c r="ZP395" s="173"/>
      <c r="ZQ395" s="173"/>
      <c r="ZR395" s="173"/>
      <c r="ZS395" s="173"/>
      <c r="ZT395" s="173"/>
      <c r="ZU395" s="173"/>
      <c r="ZV395" s="173"/>
      <c r="ZW395" s="125"/>
      <c r="ZX395" s="125"/>
      <c r="ZY395" s="134"/>
      <c r="ZZ395" s="135"/>
      <c r="AAA395" s="135"/>
      <c r="AAB395" s="135"/>
      <c r="AAC395" s="135"/>
      <c r="AAD395" s="173"/>
      <c r="AAE395" s="173"/>
      <c r="AAF395" s="173"/>
      <c r="AAG395" s="173"/>
      <c r="AAH395" s="173"/>
      <c r="AAI395" s="173"/>
      <c r="AAJ395" s="173"/>
      <c r="AAK395" s="173"/>
      <c r="AAL395" s="173"/>
      <c r="AAM395" s="173"/>
      <c r="AAN395" s="125"/>
      <c r="AAO395" s="125"/>
      <c r="AAP395" s="134"/>
      <c r="AAQ395" s="135"/>
      <c r="AAR395" s="135"/>
      <c r="AAS395" s="135"/>
      <c r="AAT395" s="135"/>
      <c r="AAU395" s="173"/>
      <c r="AAV395" s="173"/>
      <c r="AAW395" s="173"/>
      <c r="AAX395" s="173"/>
      <c r="AAY395" s="173"/>
      <c r="AAZ395" s="173"/>
      <c r="ABA395" s="173"/>
      <c r="ABB395" s="173"/>
      <c r="ABC395" s="173"/>
      <c r="ABD395" s="173"/>
      <c r="ABE395" s="125"/>
      <c r="ABF395" s="125"/>
      <c r="ABG395" s="134"/>
      <c r="ABH395" s="135"/>
      <c r="ABI395" s="135"/>
      <c r="ABJ395" s="135"/>
      <c r="ABK395" s="135"/>
      <c r="ABL395" s="173"/>
      <c r="ABM395" s="173"/>
      <c r="ABN395" s="173"/>
      <c r="ABO395" s="173"/>
      <c r="ABP395" s="173"/>
      <c r="ABQ395" s="173"/>
      <c r="ABR395" s="173"/>
      <c r="ABS395" s="173"/>
      <c r="ABT395" s="173"/>
      <c r="ABU395" s="173"/>
      <c r="ABV395" s="125"/>
      <c r="ABW395" s="125"/>
      <c r="ABX395" s="134"/>
      <c r="ABY395" s="135"/>
      <c r="ABZ395" s="135"/>
      <c r="ACA395" s="135"/>
      <c r="ACB395" s="135"/>
      <c r="ACC395" s="173"/>
      <c r="ACD395" s="173"/>
      <c r="ACE395" s="173"/>
      <c r="ACF395" s="173"/>
      <c r="ACG395" s="173"/>
      <c r="ACH395" s="173"/>
      <c r="ACI395" s="173"/>
      <c r="ACJ395" s="173"/>
      <c r="ACK395" s="173"/>
      <c r="ACL395" s="173"/>
      <c r="ACM395" s="125"/>
      <c r="ACN395" s="125"/>
      <c r="ACO395" s="134"/>
      <c r="ACP395" s="135"/>
      <c r="ACQ395" s="135"/>
      <c r="ACR395" s="135"/>
      <c r="ACS395" s="135"/>
      <c r="ACT395" s="173"/>
      <c r="ACU395" s="173"/>
      <c r="ACV395" s="173"/>
      <c r="ACW395" s="173"/>
      <c r="ACX395" s="173"/>
      <c r="ACY395" s="173"/>
      <c r="ACZ395" s="173"/>
      <c r="ADA395" s="173"/>
      <c r="ADB395" s="173"/>
      <c r="ADC395" s="173"/>
      <c r="ADD395" s="125"/>
      <c r="ADE395" s="125"/>
      <c r="ADF395" s="134"/>
      <c r="ADG395" s="135"/>
      <c r="ADH395" s="135"/>
      <c r="ADI395" s="135"/>
      <c r="ADJ395" s="135"/>
      <c r="ADK395" s="173"/>
      <c r="ADL395" s="173"/>
      <c r="ADM395" s="173"/>
      <c r="ADN395" s="173"/>
      <c r="ADO395" s="173"/>
      <c r="ADP395" s="173"/>
      <c r="ADQ395" s="173"/>
      <c r="ADR395" s="173"/>
      <c r="ADS395" s="173"/>
      <c r="ADT395" s="173"/>
      <c r="ADU395" s="125"/>
      <c r="ADV395" s="125"/>
      <c r="ADW395" s="134"/>
      <c r="ADX395" s="135"/>
      <c r="ADY395" s="135"/>
      <c r="ADZ395" s="135"/>
      <c r="AEA395" s="135"/>
      <c r="AEB395" s="173"/>
      <c r="AEC395" s="173"/>
      <c r="AED395" s="173"/>
      <c r="AEE395" s="173"/>
      <c r="AEF395" s="173"/>
      <c r="AEG395" s="173"/>
      <c r="AEH395" s="173"/>
      <c r="AEI395" s="173"/>
      <c r="AEJ395" s="173"/>
      <c r="AEK395" s="173"/>
      <c r="AEL395" s="125"/>
      <c r="AEM395" s="125"/>
      <c r="AEN395" s="134"/>
      <c r="AEO395" s="135"/>
      <c r="AEP395" s="135"/>
      <c r="AEQ395" s="135"/>
      <c r="AER395" s="135"/>
      <c r="AES395" s="173"/>
      <c r="AET395" s="173"/>
      <c r="AEU395" s="173"/>
      <c r="AEV395" s="173"/>
      <c r="AEW395" s="173"/>
      <c r="AEX395" s="173"/>
      <c r="AEY395" s="173"/>
      <c r="AEZ395" s="173"/>
      <c r="AFA395" s="173"/>
      <c r="AFB395" s="173"/>
      <c r="AFC395" s="125"/>
      <c r="AFD395" s="125"/>
      <c r="AFE395" s="134"/>
      <c r="AFF395" s="135"/>
      <c r="AFG395" s="135"/>
      <c r="AFH395" s="135"/>
      <c r="AFI395" s="135"/>
      <c r="AFJ395" s="173"/>
      <c r="AFK395" s="173"/>
      <c r="AFL395" s="173"/>
      <c r="AFM395" s="173"/>
      <c r="AFN395" s="173"/>
      <c r="AFO395" s="173"/>
      <c r="AFP395" s="173"/>
      <c r="AFQ395" s="173"/>
      <c r="AFR395" s="173"/>
      <c r="AFS395" s="173"/>
      <c r="AFT395" s="125"/>
      <c r="AFU395" s="125"/>
      <c r="AFV395" s="134"/>
      <c r="AFW395" s="135"/>
      <c r="AFX395" s="135"/>
      <c r="AFY395" s="135"/>
      <c r="AFZ395" s="135"/>
      <c r="AGA395" s="173"/>
      <c r="AGB395" s="173"/>
      <c r="AGC395" s="173"/>
      <c r="AGD395" s="173"/>
      <c r="AGE395" s="173"/>
      <c r="AGF395" s="173"/>
      <c r="AGG395" s="173"/>
      <c r="AGH395" s="173"/>
      <c r="AGI395" s="173"/>
      <c r="AGJ395" s="173"/>
      <c r="AGK395" s="125"/>
      <c r="AGL395" s="125"/>
      <c r="AGM395" s="134"/>
      <c r="AGN395" s="135"/>
      <c r="AGO395" s="135"/>
      <c r="AGP395" s="135"/>
      <c r="AGQ395" s="135"/>
      <c r="AGR395" s="173"/>
      <c r="AGS395" s="173"/>
      <c r="AGT395" s="173"/>
      <c r="AGU395" s="173"/>
      <c r="AGV395" s="173"/>
      <c r="AGW395" s="173"/>
      <c r="AGX395" s="173"/>
      <c r="AGY395" s="173"/>
      <c r="AGZ395" s="173"/>
      <c r="AHA395" s="173"/>
      <c r="AHB395" s="125"/>
      <c r="AHC395" s="125"/>
      <c r="AHD395" s="134"/>
      <c r="AHE395" s="135"/>
      <c r="AHF395" s="135"/>
      <c r="AHG395" s="135"/>
      <c r="AHH395" s="135"/>
      <c r="AHI395" s="173"/>
      <c r="AHJ395" s="173"/>
      <c r="AHK395" s="173"/>
      <c r="AHL395" s="173"/>
      <c r="AHM395" s="173"/>
      <c r="AHN395" s="173"/>
      <c r="AHO395" s="173"/>
      <c r="AHP395" s="173"/>
      <c r="AHQ395" s="173"/>
      <c r="AHR395" s="173"/>
      <c r="AHS395" s="125"/>
      <c r="AHT395" s="125"/>
      <c r="AHU395" s="134"/>
      <c r="AHV395" s="135"/>
      <c r="AHW395" s="135"/>
      <c r="AHX395" s="135"/>
      <c r="AHY395" s="135"/>
      <c r="AHZ395" s="173"/>
      <c r="AIA395" s="173"/>
      <c r="AIB395" s="173"/>
      <c r="AIC395" s="173"/>
      <c r="AID395" s="173"/>
      <c r="AIE395" s="173"/>
      <c r="AIF395" s="173"/>
      <c r="AIG395" s="173"/>
      <c r="AIH395" s="173"/>
      <c r="AII395" s="173"/>
      <c r="AIJ395" s="125"/>
      <c r="AIK395" s="125"/>
      <c r="AIL395" s="134"/>
      <c r="AIM395" s="135"/>
      <c r="AIN395" s="135"/>
      <c r="AIO395" s="135"/>
      <c r="AIP395" s="135"/>
      <c r="AIQ395" s="173"/>
      <c r="AIR395" s="173"/>
      <c r="AIS395" s="173"/>
      <c r="AIT395" s="173"/>
      <c r="AIU395" s="173"/>
      <c r="AIV395" s="173"/>
      <c r="AIW395" s="173"/>
      <c r="AIX395" s="173"/>
      <c r="AIY395" s="173"/>
      <c r="AIZ395" s="173"/>
      <c r="AJA395" s="125"/>
      <c r="AJB395" s="125"/>
      <c r="AJC395" s="134"/>
      <c r="AJD395" s="135"/>
      <c r="AJE395" s="135"/>
      <c r="AJF395" s="135"/>
      <c r="AJG395" s="135"/>
      <c r="AJH395" s="173"/>
      <c r="AJI395" s="173"/>
      <c r="AJJ395" s="173"/>
      <c r="AJK395" s="173"/>
      <c r="AJL395" s="173"/>
      <c r="AJM395" s="173"/>
      <c r="AJN395" s="173"/>
      <c r="AJO395" s="173"/>
      <c r="AJP395" s="173"/>
      <c r="AJQ395" s="173"/>
      <c r="AJR395" s="125"/>
      <c r="AJS395" s="125"/>
      <c r="AJT395" s="134"/>
      <c r="AJU395" s="135"/>
      <c r="AJV395" s="135"/>
      <c r="AJW395" s="135"/>
      <c r="AJX395" s="135"/>
      <c r="AJY395" s="173"/>
      <c r="AJZ395" s="173"/>
      <c r="AKA395" s="173"/>
      <c r="AKB395" s="173"/>
      <c r="AKC395" s="173"/>
      <c r="AKD395" s="173"/>
      <c r="AKE395" s="173"/>
      <c r="AKF395" s="173"/>
      <c r="AKG395" s="173"/>
      <c r="AKH395" s="173"/>
      <c r="AKI395" s="125"/>
      <c r="AKJ395" s="125"/>
      <c r="AKK395" s="134"/>
      <c r="AKL395" s="135"/>
      <c r="AKM395" s="135"/>
      <c r="AKN395" s="135"/>
      <c r="AKO395" s="135"/>
      <c r="AKP395" s="173"/>
      <c r="AKQ395" s="173"/>
      <c r="AKR395" s="173"/>
      <c r="AKS395" s="173"/>
      <c r="AKT395" s="173"/>
      <c r="AKU395" s="173"/>
      <c r="AKV395" s="173"/>
      <c r="AKW395" s="173"/>
      <c r="AKX395" s="173"/>
      <c r="AKY395" s="173"/>
      <c r="AKZ395" s="125"/>
      <c r="ALA395" s="125"/>
      <c r="ALB395" s="134"/>
      <c r="ALC395" s="135"/>
      <c r="ALD395" s="135"/>
      <c r="ALE395" s="135"/>
      <c r="ALF395" s="135"/>
      <c r="ALG395" s="173"/>
      <c r="ALH395" s="173"/>
      <c r="ALI395" s="173"/>
      <c r="ALJ395" s="173"/>
      <c r="ALK395" s="173"/>
      <c r="ALL395" s="173"/>
      <c r="ALM395" s="173"/>
      <c r="ALN395" s="173"/>
      <c r="ALO395" s="173"/>
      <c r="ALP395" s="173"/>
      <c r="ALQ395" s="125"/>
      <c r="ALR395" s="125"/>
      <c r="ALS395" s="134"/>
      <c r="ALT395" s="135"/>
      <c r="ALU395" s="135"/>
      <c r="ALV395" s="135"/>
      <c r="ALW395" s="135"/>
      <c r="ALX395" s="173"/>
      <c r="ALY395" s="173"/>
      <c r="ALZ395" s="173"/>
      <c r="AMA395" s="173"/>
      <c r="AMB395" s="173"/>
      <c r="AMC395" s="173"/>
      <c r="AMD395" s="173"/>
      <c r="AME395" s="173"/>
      <c r="AMF395" s="173"/>
      <c r="AMG395" s="173"/>
      <c r="AMH395" s="125"/>
      <c r="AMI395" s="125"/>
      <c r="AMJ395" s="134"/>
      <c r="AMK395" s="135"/>
      <c r="AML395" s="135"/>
      <c r="AMM395" s="135"/>
      <c r="AMN395" s="135"/>
      <c r="AMO395" s="173"/>
      <c r="AMP395" s="173"/>
      <c r="AMQ395" s="173"/>
      <c r="AMR395" s="173"/>
      <c r="AMS395" s="173"/>
      <c r="AMT395" s="173"/>
      <c r="AMU395" s="173"/>
      <c r="AMV395" s="173"/>
      <c r="AMW395" s="173"/>
      <c r="AMX395" s="173"/>
      <c r="AMY395" s="125"/>
      <c r="AMZ395" s="125"/>
      <c r="ANA395" s="134"/>
      <c r="ANB395" s="135"/>
      <c r="ANC395" s="135"/>
      <c r="AND395" s="135"/>
      <c r="ANE395" s="135"/>
      <c r="ANF395" s="173"/>
      <c r="ANG395" s="173"/>
      <c r="ANH395" s="173"/>
      <c r="ANI395" s="173"/>
      <c r="ANJ395" s="173"/>
      <c r="ANK395" s="173"/>
      <c r="ANL395" s="173"/>
      <c r="ANM395" s="173"/>
      <c r="ANN395" s="173"/>
      <c r="ANO395" s="173"/>
      <c r="ANP395" s="125"/>
      <c r="ANQ395" s="125"/>
      <c r="ANR395" s="134"/>
      <c r="ANS395" s="135"/>
      <c r="ANT395" s="135"/>
      <c r="ANU395" s="135"/>
      <c r="ANV395" s="135"/>
      <c r="ANW395" s="173"/>
      <c r="ANX395" s="173"/>
      <c r="ANY395" s="173"/>
      <c r="ANZ395" s="173"/>
      <c r="AOA395" s="173"/>
      <c r="AOB395" s="173"/>
      <c r="AOC395" s="173"/>
      <c r="AOD395" s="173"/>
      <c r="AOE395" s="173"/>
      <c r="AOF395" s="173"/>
      <c r="AOG395" s="125"/>
      <c r="AOH395" s="125"/>
      <c r="AOI395" s="134"/>
      <c r="AOJ395" s="135"/>
      <c r="AOK395" s="135"/>
      <c r="AOL395" s="135"/>
      <c r="AOM395" s="135"/>
      <c r="AON395" s="173"/>
      <c r="AOO395" s="173"/>
      <c r="AOP395" s="173"/>
      <c r="AOQ395" s="173"/>
      <c r="AOR395" s="173"/>
      <c r="AOS395" s="173"/>
      <c r="AOT395" s="173"/>
      <c r="AOU395" s="173"/>
      <c r="AOV395" s="173"/>
      <c r="AOW395" s="173"/>
      <c r="AOX395" s="125"/>
      <c r="AOY395" s="125"/>
      <c r="AOZ395" s="134"/>
      <c r="APA395" s="135"/>
      <c r="APB395" s="135"/>
      <c r="APC395" s="135"/>
      <c r="APD395" s="135"/>
      <c r="APE395" s="173"/>
      <c r="APF395" s="173"/>
      <c r="APG395" s="173"/>
      <c r="APH395" s="173"/>
      <c r="API395" s="173"/>
      <c r="APJ395" s="173"/>
      <c r="APK395" s="173"/>
      <c r="APL395" s="173"/>
      <c r="APM395" s="173"/>
      <c r="APN395" s="173"/>
      <c r="APO395" s="125"/>
      <c r="APP395" s="125"/>
      <c r="APQ395" s="134"/>
      <c r="APR395" s="135"/>
      <c r="APS395" s="135"/>
      <c r="APT395" s="135"/>
      <c r="APU395" s="135"/>
      <c r="APV395" s="173"/>
      <c r="APW395" s="173"/>
      <c r="APX395" s="173"/>
      <c r="APY395" s="173"/>
      <c r="APZ395" s="173"/>
      <c r="AQA395" s="173"/>
      <c r="AQB395" s="173"/>
      <c r="AQC395" s="173"/>
      <c r="AQD395" s="173"/>
      <c r="AQE395" s="173"/>
      <c r="AQF395" s="125"/>
      <c r="AQG395" s="125"/>
      <c r="AQH395" s="134"/>
      <c r="AQI395" s="135"/>
      <c r="AQJ395" s="135"/>
      <c r="AQK395" s="135"/>
      <c r="AQL395" s="135"/>
      <c r="AQM395" s="173"/>
      <c r="AQN395" s="173"/>
      <c r="AQO395" s="173"/>
      <c r="AQP395" s="173"/>
      <c r="AQQ395" s="173"/>
      <c r="AQR395" s="173"/>
      <c r="AQS395" s="173"/>
      <c r="AQT395" s="173"/>
      <c r="AQU395" s="173"/>
      <c r="AQV395" s="173"/>
      <c r="AQW395" s="125"/>
      <c r="AQX395" s="125"/>
      <c r="AQY395" s="134"/>
      <c r="AQZ395" s="135"/>
      <c r="ARA395" s="135"/>
      <c r="ARB395" s="135"/>
      <c r="ARC395" s="135"/>
      <c r="ARD395" s="173"/>
      <c r="ARE395" s="173"/>
      <c r="ARF395" s="173"/>
      <c r="ARG395" s="173"/>
      <c r="ARH395" s="173"/>
      <c r="ARI395" s="173"/>
      <c r="ARJ395" s="173"/>
      <c r="ARK395" s="173"/>
      <c r="ARL395" s="173"/>
      <c r="ARM395" s="173"/>
      <c r="ARN395" s="125"/>
      <c r="ARO395" s="125"/>
      <c r="ARP395" s="134"/>
      <c r="ARQ395" s="135"/>
      <c r="ARR395" s="135"/>
      <c r="ARS395" s="135"/>
      <c r="ART395" s="135"/>
      <c r="ARU395" s="173"/>
      <c r="ARV395" s="173"/>
      <c r="ARW395" s="173"/>
      <c r="ARX395" s="173"/>
      <c r="ARY395" s="173"/>
      <c r="ARZ395" s="173"/>
      <c r="ASA395" s="173"/>
      <c r="ASB395" s="173"/>
      <c r="ASC395" s="173"/>
      <c r="ASD395" s="173"/>
      <c r="ASE395" s="125"/>
      <c r="ASF395" s="125"/>
      <c r="ASG395" s="134"/>
      <c r="ASH395" s="135"/>
      <c r="ASI395" s="135"/>
      <c r="ASJ395" s="135"/>
      <c r="ASK395" s="135"/>
      <c r="ASL395" s="173"/>
      <c r="ASM395" s="173"/>
      <c r="ASN395" s="173"/>
      <c r="ASO395" s="173"/>
      <c r="ASP395" s="173"/>
      <c r="ASQ395" s="173"/>
      <c r="ASR395" s="173"/>
      <c r="ASS395" s="173"/>
      <c r="AST395" s="173"/>
      <c r="ASU395" s="173"/>
      <c r="ASV395" s="125"/>
      <c r="ASW395" s="125"/>
      <c r="ASX395" s="134"/>
      <c r="ASY395" s="135"/>
      <c r="ASZ395" s="135"/>
      <c r="ATA395" s="135"/>
      <c r="ATB395" s="135"/>
      <c r="ATC395" s="173"/>
      <c r="ATD395" s="173"/>
      <c r="ATE395" s="173"/>
      <c r="ATF395" s="173"/>
      <c r="ATG395" s="173"/>
      <c r="ATH395" s="173"/>
      <c r="ATI395" s="173"/>
      <c r="ATJ395" s="173"/>
      <c r="ATK395" s="173"/>
      <c r="ATL395" s="173"/>
      <c r="ATM395" s="125"/>
      <c r="ATN395" s="125"/>
      <c r="ATO395" s="134"/>
      <c r="ATP395" s="135"/>
      <c r="ATQ395" s="135"/>
      <c r="ATR395" s="135"/>
      <c r="ATS395" s="135"/>
      <c r="ATT395" s="173"/>
      <c r="ATU395" s="173"/>
      <c r="ATV395" s="173"/>
      <c r="ATW395" s="173"/>
      <c r="ATX395" s="173"/>
      <c r="ATY395" s="173"/>
      <c r="ATZ395" s="173"/>
      <c r="AUA395" s="173"/>
      <c r="AUB395" s="173"/>
      <c r="AUC395" s="173"/>
      <c r="AUD395" s="125"/>
      <c r="AUE395" s="125"/>
      <c r="AUF395" s="134"/>
      <c r="AUG395" s="135"/>
      <c r="AUH395" s="135"/>
      <c r="AUI395" s="135"/>
      <c r="AUJ395" s="135"/>
      <c r="AUK395" s="173"/>
      <c r="AUL395" s="173"/>
      <c r="AUM395" s="173"/>
      <c r="AUN395" s="173"/>
      <c r="AUO395" s="173"/>
      <c r="AUP395" s="173"/>
      <c r="AUQ395" s="173"/>
      <c r="AUR395" s="173"/>
      <c r="AUS395" s="173"/>
      <c r="AUT395" s="173"/>
      <c r="AUU395" s="125"/>
      <c r="AUV395" s="125"/>
      <c r="AUW395" s="134"/>
      <c r="AUX395" s="135"/>
      <c r="AUY395" s="135"/>
      <c r="AUZ395" s="135"/>
      <c r="AVA395" s="135"/>
      <c r="AVB395" s="173"/>
      <c r="AVC395" s="173"/>
      <c r="AVD395" s="173"/>
      <c r="AVE395" s="173"/>
      <c r="AVF395" s="173"/>
      <c r="AVG395" s="173"/>
      <c r="AVH395" s="173"/>
      <c r="AVI395" s="173"/>
      <c r="AVJ395" s="173"/>
      <c r="AVK395" s="173"/>
      <c r="AVL395" s="125"/>
      <c r="AVM395" s="125"/>
      <c r="AVN395" s="134"/>
      <c r="AVO395" s="135"/>
      <c r="AVP395" s="135"/>
      <c r="AVQ395" s="135"/>
      <c r="AVR395" s="135"/>
      <c r="AVS395" s="173"/>
      <c r="AVT395" s="173"/>
      <c r="AVU395" s="173"/>
      <c r="AVV395" s="173"/>
      <c r="AVW395" s="173"/>
      <c r="AVX395" s="173"/>
      <c r="AVY395" s="173"/>
      <c r="AVZ395" s="173"/>
      <c r="AWA395" s="173"/>
      <c r="AWB395" s="173"/>
      <c r="AWC395" s="125"/>
      <c r="AWD395" s="125"/>
      <c r="AWE395" s="134"/>
      <c r="AWF395" s="135"/>
      <c r="AWG395" s="135"/>
      <c r="AWH395" s="135"/>
      <c r="AWI395" s="135"/>
      <c r="AWJ395" s="173"/>
      <c r="AWK395" s="173"/>
      <c r="AWL395" s="173"/>
      <c r="AWM395" s="173"/>
      <c r="AWN395" s="173"/>
      <c r="AWO395" s="173"/>
      <c r="AWP395" s="173"/>
      <c r="AWQ395" s="173"/>
      <c r="AWR395" s="173"/>
      <c r="AWS395" s="173"/>
      <c r="AWT395" s="125"/>
      <c r="AWU395" s="125"/>
      <c r="AWV395" s="134"/>
      <c r="AWW395" s="135"/>
      <c r="AWX395" s="135"/>
      <c r="AWY395" s="135"/>
      <c r="AWZ395" s="135"/>
      <c r="AXA395" s="173"/>
      <c r="AXB395" s="173"/>
      <c r="AXC395" s="173"/>
      <c r="AXD395" s="173"/>
      <c r="AXE395" s="173"/>
      <c r="AXF395" s="173"/>
      <c r="AXG395" s="173"/>
      <c r="AXH395" s="173"/>
      <c r="AXI395" s="173"/>
      <c r="AXJ395" s="173"/>
      <c r="AXK395" s="125"/>
      <c r="AXL395" s="125"/>
      <c r="AXM395" s="134"/>
      <c r="AXN395" s="135"/>
      <c r="AXO395" s="135"/>
      <c r="AXP395" s="135"/>
      <c r="AXQ395" s="135"/>
      <c r="AXR395" s="173"/>
      <c r="AXS395" s="173"/>
      <c r="AXT395" s="173"/>
      <c r="AXU395" s="173"/>
      <c r="AXV395" s="173"/>
      <c r="AXW395" s="173"/>
      <c r="AXX395" s="173"/>
      <c r="AXY395" s="173"/>
      <c r="AXZ395" s="173"/>
      <c r="AYA395" s="173"/>
      <c r="AYB395" s="125"/>
      <c r="AYC395" s="125"/>
      <c r="AYD395" s="134"/>
      <c r="AYE395" s="135"/>
      <c r="AYF395" s="135"/>
      <c r="AYG395" s="135"/>
      <c r="AYH395" s="135"/>
      <c r="AYI395" s="173"/>
      <c r="AYJ395" s="173"/>
      <c r="AYK395" s="173"/>
      <c r="AYL395" s="173"/>
      <c r="AYM395" s="173"/>
      <c r="AYN395" s="173"/>
      <c r="AYO395" s="173"/>
      <c r="AYP395" s="173"/>
      <c r="AYQ395" s="173"/>
      <c r="AYR395" s="173"/>
      <c r="AYS395" s="125"/>
      <c r="AYT395" s="125"/>
      <c r="AYU395" s="134"/>
      <c r="AYV395" s="135"/>
      <c r="AYW395" s="135"/>
      <c r="AYX395" s="135"/>
      <c r="AYY395" s="135"/>
      <c r="AYZ395" s="173"/>
      <c r="AZA395" s="173"/>
      <c r="AZB395" s="173"/>
      <c r="AZC395" s="173"/>
      <c r="AZD395" s="173"/>
      <c r="AZE395" s="173"/>
      <c r="AZF395" s="173"/>
      <c r="AZG395" s="173"/>
      <c r="AZH395" s="173"/>
      <c r="AZI395" s="173"/>
      <c r="AZJ395" s="125"/>
      <c r="AZK395" s="125"/>
      <c r="AZL395" s="134"/>
      <c r="AZM395" s="135"/>
      <c r="AZN395" s="135"/>
      <c r="AZO395" s="135"/>
      <c r="AZP395" s="135"/>
      <c r="AZQ395" s="173"/>
      <c r="AZR395" s="173"/>
      <c r="AZS395" s="173"/>
      <c r="AZT395" s="173"/>
      <c r="AZU395" s="173"/>
      <c r="AZV395" s="173"/>
      <c r="AZW395" s="173"/>
      <c r="AZX395" s="173"/>
      <c r="AZY395" s="173"/>
      <c r="AZZ395" s="173"/>
      <c r="BAA395" s="125"/>
      <c r="BAB395" s="125"/>
      <c r="BAC395" s="134"/>
      <c r="BAD395" s="135"/>
      <c r="BAE395" s="135"/>
      <c r="BAF395" s="135"/>
      <c r="BAG395" s="135"/>
      <c r="BAH395" s="173"/>
      <c r="BAI395" s="173"/>
      <c r="BAJ395" s="173"/>
      <c r="BAK395" s="173"/>
      <c r="BAL395" s="173"/>
      <c r="BAM395" s="173"/>
      <c r="BAN395" s="173"/>
      <c r="BAO395" s="173"/>
      <c r="BAP395" s="173"/>
      <c r="BAQ395" s="173"/>
      <c r="BAR395" s="125"/>
      <c r="BAS395" s="125"/>
      <c r="BAT395" s="134"/>
      <c r="BAU395" s="135"/>
      <c r="BAV395" s="135"/>
      <c r="BAW395" s="135"/>
      <c r="BAX395" s="135"/>
      <c r="BAY395" s="173"/>
      <c r="BAZ395" s="173"/>
      <c r="BBA395" s="173"/>
      <c r="BBB395" s="173"/>
      <c r="BBC395" s="173"/>
      <c r="BBD395" s="173"/>
      <c r="BBE395" s="173"/>
      <c r="BBF395" s="173"/>
      <c r="BBG395" s="173"/>
      <c r="BBH395" s="173"/>
      <c r="BBI395" s="125"/>
      <c r="BBJ395" s="125"/>
      <c r="BBK395" s="134"/>
      <c r="BBL395" s="135"/>
      <c r="BBM395" s="135"/>
      <c r="BBN395" s="135"/>
      <c r="BBO395" s="135"/>
      <c r="BBP395" s="173"/>
      <c r="BBQ395" s="173"/>
      <c r="BBR395" s="173"/>
      <c r="BBS395" s="173"/>
      <c r="BBT395" s="173"/>
      <c r="BBU395" s="173"/>
      <c r="BBV395" s="173"/>
      <c r="BBW395" s="173"/>
      <c r="BBX395" s="173"/>
      <c r="BBY395" s="173"/>
      <c r="BBZ395" s="125"/>
      <c r="BCA395" s="125"/>
      <c r="BCB395" s="134"/>
      <c r="BCC395" s="135"/>
      <c r="BCD395" s="135"/>
      <c r="BCE395" s="135"/>
      <c r="BCF395" s="135"/>
      <c r="BCG395" s="173"/>
      <c r="BCH395" s="173"/>
      <c r="BCI395" s="173"/>
      <c r="BCJ395" s="173"/>
      <c r="BCK395" s="173"/>
      <c r="BCL395" s="173"/>
      <c r="BCM395" s="173"/>
      <c r="BCN395" s="173"/>
      <c r="BCO395" s="173"/>
      <c r="BCP395" s="173"/>
      <c r="BCQ395" s="125"/>
      <c r="BCR395" s="125"/>
      <c r="BCS395" s="134"/>
      <c r="BCT395" s="135"/>
      <c r="BCU395" s="135"/>
      <c r="BCV395" s="135"/>
      <c r="BCW395" s="135"/>
      <c r="BCX395" s="173"/>
      <c r="BCY395" s="173"/>
      <c r="BCZ395" s="173"/>
      <c r="BDA395" s="173"/>
      <c r="BDB395" s="173"/>
      <c r="BDC395" s="173"/>
      <c r="BDD395" s="173"/>
      <c r="BDE395" s="173"/>
      <c r="BDF395" s="173"/>
      <c r="BDG395" s="173"/>
      <c r="BDH395" s="125"/>
      <c r="BDI395" s="125"/>
      <c r="BDJ395" s="134"/>
      <c r="BDK395" s="135"/>
      <c r="BDL395" s="135"/>
      <c r="BDM395" s="135"/>
      <c r="BDN395" s="135"/>
      <c r="BDO395" s="173"/>
      <c r="BDP395" s="173"/>
      <c r="BDQ395" s="173"/>
      <c r="BDR395" s="173"/>
      <c r="BDS395" s="173"/>
      <c r="BDT395" s="173"/>
      <c r="BDU395" s="173"/>
      <c r="BDV395" s="173"/>
      <c r="BDW395" s="173"/>
      <c r="BDX395" s="173"/>
      <c r="BDY395" s="125"/>
      <c r="BDZ395" s="125"/>
      <c r="BEA395" s="134"/>
      <c r="BEB395" s="135"/>
      <c r="BEC395" s="135"/>
      <c r="BED395" s="135"/>
      <c r="BEE395" s="135"/>
      <c r="BEF395" s="173"/>
      <c r="BEG395" s="173"/>
      <c r="BEH395" s="173"/>
      <c r="BEI395" s="173"/>
      <c r="BEJ395" s="173"/>
      <c r="BEK395" s="173"/>
      <c r="BEL395" s="173"/>
      <c r="BEM395" s="173"/>
      <c r="BEN395" s="173"/>
      <c r="BEO395" s="173"/>
      <c r="BEP395" s="125"/>
      <c r="BEQ395" s="125"/>
      <c r="BER395" s="134"/>
      <c r="BES395" s="135"/>
      <c r="BET395" s="135"/>
      <c r="BEU395" s="135"/>
      <c r="BEV395" s="135"/>
      <c r="BEW395" s="173"/>
      <c r="BEX395" s="173"/>
      <c r="BEY395" s="173"/>
      <c r="BEZ395" s="173"/>
      <c r="BFA395" s="173"/>
      <c r="BFB395" s="173"/>
      <c r="BFC395" s="173"/>
      <c r="BFD395" s="173"/>
      <c r="BFE395" s="173"/>
      <c r="BFF395" s="173"/>
      <c r="BFG395" s="125"/>
      <c r="BFH395" s="125"/>
      <c r="BFI395" s="134"/>
      <c r="BFJ395" s="135"/>
      <c r="BFK395" s="135"/>
      <c r="BFL395" s="135"/>
      <c r="BFM395" s="135"/>
      <c r="BFN395" s="173"/>
      <c r="BFO395" s="173"/>
      <c r="BFP395" s="173"/>
      <c r="BFQ395" s="173"/>
      <c r="BFR395" s="173"/>
      <c r="BFS395" s="173"/>
      <c r="BFT395" s="173"/>
      <c r="BFU395" s="173"/>
      <c r="BFV395" s="173"/>
      <c r="BFW395" s="173"/>
      <c r="BFX395" s="125"/>
      <c r="BFY395" s="125"/>
      <c r="BFZ395" s="134"/>
      <c r="BGA395" s="135"/>
      <c r="BGB395" s="135"/>
      <c r="BGC395" s="135"/>
      <c r="BGD395" s="135"/>
      <c r="BGE395" s="173"/>
      <c r="BGF395" s="173"/>
      <c r="BGG395" s="173"/>
      <c r="BGH395" s="173"/>
      <c r="BGI395" s="173"/>
      <c r="BGJ395" s="173"/>
      <c r="BGK395" s="173"/>
      <c r="BGL395" s="173"/>
      <c r="BGM395" s="173"/>
      <c r="BGN395" s="173"/>
      <c r="BGO395" s="125"/>
      <c r="BGP395" s="125"/>
      <c r="BGQ395" s="134"/>
      <c r="BGR395" s="135"/>
      <c r="BGS395" s="135"/>
      <c r="BGT395" s="135"/>
      <c r="BGU395" s="135"/>
      <c r="BGV395" s="173"/>
      <c r="BGW395" s="173"/>
      <c r="BGX395" s="173"/>
      <c r="BGY395" s="173"/>
      <c r="BGZ395" s="173"/>
      <c r="BHA395" s="173"/>
      <c r="BHB395" s="173"/>
      <c r="BHC395" s="173"/>
      <c r="BHD395" s="173"/>
      <c r="BHE395" s="173"/>
      <c r="BHF395" s="125"/>
      <c r="BHG395" s="125"/>
      <c r="BHH395" s="134"/>
      <c r="BHI395" s="135"/>
      <c r="BHJ395" s="135"/>
      <c r="BHK395" s="135"/>
      <c r="BHL395" s="135"/>
      <c r="BHM395" s="173"/>
      <c r="BHN395" s="173"/>
      <c r="BHO395" s="173"/>
      <c r="BHP395" s="173"/>
      <c r="BHQ395" s="173"/>
      <c r="BHR395" s="173"/>
      <c r="BHS395" s="173"/>
      <c r="BHT395" s="173"/>
      <c r="BHU395" s="173"/>
      <c r="BHV395" s="173"/>
      <c r="BHW395" s="125"/>
      <c r="BHX395" s="125"/>
      <c r="BHY395" s="134"/>
      <c r="BHZ395" s="135"/>
      <c r="BIA395" s="135"/>
      <c r="BIB395" s="135"/>
      <c r="BIC395" s="135"/>
      <c r="BID395" s="173"/>
      <c r="BIE395" s="173"/>
      <c r="BIF395" s="173"/>
      <c r="BIG395" s="173"/>
      <c r="BIH395" s="173"/>
      <c r="BII395" s="173"/>
      <c r="BIJ395" s="173"/>
      <c r="BIK395" s="173"/>
      <c r="BIL395" s="173"/>
      <c r="BIM395" s="173"/>
      <c r="BIN395" s="125"/>
      <c r="BIO395" s="125"/>
      <c r="BIP395" s="134"/>
      <c r="BIQ395" s="135"/>
      <c r="BIR395" s="135"/>
      <c r="BIS395" s="135"/>
      <c r="BIT395" s="135"/>
      <c r="BIU395" s="173"/>
      <c r="BIV395" s="173"/>
      <c r="BIW395" s="173"/>
      <c r="BIX395" s="173"/>
      <c r="BIY395" s="173"/>
      <c r="BIZ395" s="173"/>
      <c r="BJA395" s="173"/>
      <c r="BJB395" s="173"/>
      <c r="BJC395" s="173"/>
      <c r="BJD395" s="173"/>
      <c r="BJE395" s="125"/>
      <c r="BJF395" s="125"/>
      <c r="BJG395" s="134"/>
      <c r="BJH395" s="135"/>
      <c r="BJI395" s="135"/>
      <c r="BJJ395" s="135"/>
      <c r="BJK395" s="135"/>
      <c r="BJL395" s="173"/>
      <c r="BJM395" s="173"/>
      <c r="BJN395" s="173"/>
      <c r="BJO395" s="173"/>
      <c r="BJP395" s="173"/>
      <c r="BJQ395" s="173"/>
      <c r="BJR395" s="173"/>
      <c r="BJS395" s="173"/>
      <c r="BJT395" s="173"/>
      <c r="BJU395" s="173"/>
      <c r="BJV395" s="125"/>
      <c r="BJW395" s="125"/>
      <c r="BJX395" s="134"/>
      <c r="BJY395" s="135"/>
      <c r="BJZ395" s="135"/>
      <c r="BKA395" s="135"/>
      <c r="BKB395" s="135"/>
      <c r="BKC395" s="173"/>
      <c r="BKD395" s="173"/>
      <c r="BKE395" s="173"/>
      <c r="BKF395" s="173"/>
      <c r="BKG395" s="173"/>
      <c r="BKH395" s="173"/>
      <c r="BKI395" s="173"/>
      <c r="BKJ395" s="173"/>
      <c r="BKK395" s="173"/>
      <c r="BKL395" s="173"/>
      <c r="BKM395" s="125"/>
      <c r="BKN395" s="125"/>
      <c r="BKO395" s="134"/>
      <c r="BKP395" s="135"/>
      <c r="BKQ395" s="135"/>
      <c r="BKR395" s="135"/>
      <c r="BKS395" s="135"/>
      <c r="BKT395" s="173"/>
      <c r="BKU395" s="173"/>
      <c r="BKV395" s="173"/>
      <c r="BKW395" s="173"/>
      <c r="BKX395" s="173"/>
      <c r="BKY395" s="173"/>
      <c r="BKZ395" s="173"/>
      <c r="BLA395" s="173"/>
      <c r="BLB395" s="173"/>
      <c r="BLC395" s="173"/>
      <c r="BLD395" s="125"/>
      <c r="BLE395" s="125"/>
      <c r="BLF395" s="134"/>
      <c r="BLG395" s="135"/>
      <c r="BLH395" s="135"/>
      <c r="BLI395" s="135"/>
      <c r="BLJ395" s="135"/>
      <c r="BLK395" s="173"/>
      <c r="BLL395" s="173"/>
      <c r="BLM395" s="173"/>
      <c r="BLN395" s="173"/>
      <c r="BLO395" s="173"/>
      <c r="BLP395" s="173"/>
      <c r="BLQ395" s="173"/>
      <c r="BLR395" s="173"/>
      <c r="BLS395" s="173"/>
      <c r="BLT395" s="173"/>
      <c r="BLU395" s="125"/>
      <c r="BLV395" s="125"/>
      <c r="BLW395" s="134"/>
      <c r="BLX395" s="135"/>
      <c r="BLY395" s="135"/>
      <c r="BLZ395" s="135"/>
      <c r="BMA395" s="135"/>
      <c r="BMB395" s="173"/>
      <c r="BMC395" s="173"/>
      <c r="BMD395" s="173"/>
      <c r="BME395" s="173"/>
      <c r="BMF395" s="173"/>
      <c r="BMG395" s="173"/>
      <c r="BMH395" s="173"/>
      <c r="BMI395" s="173"/>
      <c r="BMJ395" s="173"/>
      <c r="BMK395" s="173"/>
      <c r="BML395" s="125"/>
      <c r="BMM395" s="125"/>
      <c r="BMN395" s="134"/>
      <c r="BMO395" s="135"/>
      <c r="BMP395" s="135"/>
      <c r="BMQ395" s="135"/>
      <c r="BMR395" s="135"/>
      <c r="BMS395" s="173"/>
      <c r="BMT395" s="173"/>
      <c r="BMU395" s="173"/>
      <c r="BMV395" s="173"/>
      <c r="BMW395" s="173"/>
      <c r="BMX395" s="173"/>
      <c r="BMY395" s="173"/>
      <c r="BMZ395" s="173"/>
      <c r="BNA395" s="173"/>
      <c r="BNB395" s="173"/>
      <c r="BNC395" s="125"/>
      <c r="BND395" s="125"/>
      <c r="BNE395" s="134"/>
      <c r="BNF395" s="135"/>
      <c r="BNG395" s="135"/>
      <c r="BNH395" s="135"/>
      <c r="BNI395" s="135"/>
      <c r="BNJ395" s="173"/>
      <c r="BNK395" s="173"/>
      <c r="BNL395" s="173"/>
      <c r="BNM395" s="173"/>
      <c r="BNN395" s="173"/>
      <c r="BNO395" s="173"/>
      <c r="BNP395" s="173"/>
      <c r="BNQ395" s="173"/>
      <c r="BNR395" s="173"/>
      <c r="BNS395" s="173"/>
      <c r="BNT395" s="125"/>
      <c r="BNU395" s="125"/>
      <c r="BNV395" s="134"/>
      <c r="BNW395" s="135"/>
      <c r="BNX395" s="135"/>
      <c r="BNY395" s="135"/>
      <c r="BNZ395" s="135"/>
      <c r="BOA395" s="173"/>
      <c r="BOB395" s="173"/>
      <c r="BOC395" s="173"/>
      <c r="BOD395" s="173"/>
      <c r="BOE395" s="173"/>
      <c r="BOF395" s="173"/>
      <c r="BOG395" s="173"/>
      <c r="BOH395" s="173"/>
      <c r="BOI395" s="173"/>
      <c r="BOJ395" s="173"/>
      <c r="BOK395" s="125"/>
      <c r="BOL395" s="125"/>
      <c r="BOM395" s="134"/>
      <c r="BON395" s="135"/>
      <c r="BOO395" s="135"/>
      <c r="BOP395" s="135"/>
      <c r="BOQ395" s="135"/>
      <c r="BOR395" s="173"/>
      <c r="BOS395" s="173"/>
      <c r="BOT395" s="173"/>
      <c r="BOU395" s="173"/>
      <c r="BOV395" s="173"/>
      <c r="BOW395" s="173"/>
      <c r="BOX395" s="173"/>
      <c r="BOY395" s="173"/>
      <c r="BOZ395" s="173"/>
      <c r="BPA395" s="173"/>
      <c r="BPB395" s="125"/>
      <c r="BPC395" s="125"/>
      <c r="BPD395" s="134"/>
      <c r="BPE395" s="135"/>
      <c r="BPF395" s="135"/>
      <c r="BPG395" s="135"/>
      <c r="BPH395" s="135"/>
      <c r="BPI395" s="173"/>
      <c r="BPJ395" s="173"/>
      <c r="BPK395" s="173"/>
      <c r="BPL395" s="173"/>
      <c r="BPM395" s="173"/>
      <c r="BPN395" s="173"/>
      <c r="BPO395" s="173"/>
      <c r="BPP395" s="173"/>
      <c r="BPQ395" s="173"/>
      <c r="BPR395" s="173"/>
      <c r="BPS395" s="125"/>
      <c r="BPT395" s="125"/>
      <c r="BPU395" s="134"/>
      <c r="BPV395" s="135"/>
      <c r="BPW395" s="135"/>
      <c r="BPX395" s="135"/>
      <c r="BPY395" s="135"/>
      <c r="BPZ395" s="173"/>
      <c r="BQA395" s="173"/>
      <c r="BQB395" s="173"/>
      <c r="BQC395" s="173"/>
      <c r="BQD395" s="173"/>
      <c r="BQE395" s="173"/>
      <c r="BQF395" s="173"/>
      <c r="BQG395" s="173"/>
      <c r="BQH395" s="173"/>
      <c r="BQI395" s="173"/>
      <c r="BQJ395" s="125"/>
      <c r="BQK395" s="125"/>
      <c r="BQL395" s="134"/>
      <c r="BQM395" s="135"/>
      <c r="BQN395" s="135"/>
      <c r="BQO395" s="135"/>
      <c r="BQP395" s="135"/>
      <c r="BQQ395" s="173"/>
      <c r="BQR395" s="173"/>
      <c r="BQS395" s="173"/>
      <c r="BQT395" s="173"/>
      <c r="BQU395" s="173"/>
      <c r="BQV395" s="173"/>
      <c r="BQW395" s="173"/>
      <c r="BQX395" s="173"/>
      <c r="BQY395" s="173"/>
      <c r="BQZ395" s="173"/>
      <c r="BRA395" s="125"/>
      <c r="BRB395" s="125"/>
      <c r="BRC395" s="134"/>
      <c r="BRD395" s="135"/>
      <c r="BRE395" s="135"/>
      <c r="BRF395" s="135"/>
      <c r="BRG395" s="135"/>
      <c r="BRH395" s="173"/>
      <c r="BRI395" s="173"/>
      <c r="BRJ395" s="173"/>
      <c r="BRK395" s="173"/>
      <c r="BRL395" s="173"/>
      <c r="BRM395" s="173"/>
      <c r="BRN395" s="173"/>
      <c r="BRO395" s="173"/>
      <c r="BRP395" s="173"/>
      <c r="BRQ395" s="173"/>
      <c r="BRR395" s="125"/>
      <c r="BRS395" s="125"/>
      <c r="BRT395" s="134"/>
      <c r="BRU395" s="135"/>
      <c r="BRV395" s="135"/>
      <c r="BRW395" s="135"/>
      <c r="BRX395" s="135"/>
      <c r="BRY395" s="173"/>
      <c r="BRZ395" s="173"/>
      <c r="BSA395" s="173"/>
      <c r="BSB395" s="173"/>
      <c r="BSC395" s="173"/>
      <c r="BSD395" s="173"/>
      <c r="BSE395" s="173"/>
      <c r="BSF395" s="173"/>
      <c r="BSG395" s="173"/>
      <c r="BSH395" s="173"/>
      <c r="BSI395" s="125"/>
      <c r="BSJ395" s="125"/>
      <c r="BSK395" s="134"/>
      <c r="BSL395" s="135"/>
      <c r="BSM395" s="135"/>
      <c r="BSN395" s="135"/>
      <c r="BSO395" s="135"/>
      <c r="BSP395" s="173"/>
      <c r="BSQ395" s="173"/>
      <c r="BSR395" s="173"/>
      <c r="BSS395" s="173"/>
      <c r="BST395" s="173"/>
      <c r="BSU395" s="173"/>
      <c r="BSV395" s="173"/>
      <c r="BSW395" s="173"/>
      <c r="BSX395" s="173"/>
      <c r="BSY395" s="173"/>
      <c r="BSZ395" s="125"/>
      <c r="BTA395" s="125"/>
      <c r="BTB395" s="134"/>
      <c r="BTC395" s="135"/>
      <c r="BTD395" s="135"/>
      <c r="BTE395" s="135"/>
      <c r="BTF395" s="135"/>
      <c r="BTG395" s="173"/>
      <c r="BTH395" s="173"/>
      <c r="BTI395" s="173"/>
      <c r="BTJ395" s="173"/>
      <c r="BTK395" s="173"/>
      <c r="BTL395" s="173"/>
      <c r="BTM395" s="173"/>
      <c r="BTN395" s="173"/>
      <c r="BTO395" s="173"/>
      <c r="BTP395" s="173"/>
      <c r="BTQ395" s="125"/>
      <c r="BTR395" s="125"/>
      <c r="BTS395" s="134"/>
      <c r="BTT395" s="135"/>
      <c r="BTU395" s="135"/>
      <c r="BTV395" s="135"/>
      <c r="BTW395" s="135"/>
      <c r="BTX395" s="173"/>
      <c r="BTY395" s="173"/>
      <c r="BTZ395" s="173"/>
      <c r="BUA395" s="173"/>
      <c r="BUB395" s="173"/>
      <c r="BUC395" s="173"/>
      <c r="BUD395" s="173"/>
      <c r="BUE395" s="173"/>
      <c r="BUF395" s="173"/>
      <c r="BUG395" s="173"/>
      <c r="BUH395" s="125"/>
      <c r="BUI395" s="125"/>
      <c r="BUJ395" s="134"/>
      <c r="BUK395" s="135"/>
      <c r="BUL395" s="135"/>
      <c r="BUM395" s="135"/>
      <c r="BUN395" s="135"/>
      <c r="BUO395" s="173"/>
      <c r="BUP395" s="173"/>
      <c r="BUQ395" s="173"/>
      <c r="BUR395" s="173"/>
      <c r="BUS395" s="173"/>
      <c r="BUT395" s="173"/>
      <c r="BUU395" s="173"/>
      <c r="BUV395" s="173"/>
      <c r="BUW395" s="173"/>
      <c r="BUX395" s="173"/>
      <c r="BUY395" s="125"/>
      <c r="BUZ395" s="125"/>
      <c r="BVA395" s="134"/>
      <c r="BVB395" s="135"/>
      <c r="BVC395" s="135"/>
      <c r="BVD395" s="135"/>
      <c r="BVE395" s="135"/>
      <c r="BVF395" s="173"/>
      <c r="BVG395" s="173"/>
      <c r="BVH395" s="173"/>
      <c r="BVI395" s="173"/>
      <c r="BVJ395" s="173"/>
      <c r="BVK395" s="173"/>
      <c r="BVL395" s="173"/>
      <c r="BVM395" s="173"/>
      <c r="BVN395" s="173"/>
      <c r="BVO395" s="173"/>
      <c r="BVP395" s="125"/>
      <c r="BVQ395" s="125"/>
      <c r="BVR395" s="134"/>
      <c r="BVS395" s="135"/>
      <c r="BVT395" s="135"/>
      <c r="BVU395" s="135"/>
      <c r="BVV395" s="135"/>
      <c r="BVW395" s="173"/>
      <c r="BVX395" s="173"/>
      <c r="BVY395" s="173"/>
      <c r="BVZ395" s="173"/>
      <c r="BWA395" s="173"/>
      <c r="BWB395" s="173"/>
      <c r="BWC395" s="173"/>
      <c r="BWD395" s="173"/>
      <c r="BWE395" s="173"/>
      <c r="BWF395" s="173"/>
      <c r="BWG395" s="125"/>
      <c r="BWH395" s="125"/>
      <c r="BWI395" s="134"/>
      <c r="BWJ395" s="135"/>
      <c r="BWK395" s="135"/>
      <c r="BWL395" s="135"/>
      <c r="BWM395" s="135"/>
      <c r="BWN395" s="173"/>
      <c r="BWO395" s="173"/>
      <c r="BWP395" s="173"/>
      <c r="BWQ395" s="173"/>
      <c r="BWR395" s="173"/>
      <c r="BWS395" s="173"/>
      <c r="BWT395" s="173"/>
      <c r="BWU395" s="173"/>
      <c r="BWV395" s="173"/>
      <c r="BWW395" s="173"/>
      <c r="BWX395" s="125"/>
      <c r="BWY395" s="125"/>
      <c r="BWZ395" s="134"/>
      <c r="BXA395" s="135"/>
      <c r="BXB395" s="135"/>
      <c r="BXC395" s="135"/>
      <c r="BXD395" s="135"/>
      <c r="BXE395" s="173"/>
      <c r="BXF395" s="173"/>
      <c r="BXG395" s="173"/>
      <c r="BXH395" s="173"/>
      <c r="BXI395" s="173"/>
      <c r="BXJ395" s="173"/>
      <c r="BXK395" s="173"/>
      <c r="BXL395" s="173"/>
      <c r="BXM395" s="173"/>
      <c r="BXN395" s="173"/>
      <c r="BXO395" s="125"/>
      <c r="BXP395" s="125"/>
      <c r="BXQ395" s="134"/>
      <c r="BXR395" s="135"/>
      <c r="BXS395" s="135"/>
      <c r="BXT395" s="135"/>
      <c r="BXU395" s="135"/>
      <c r="BXV395" s="173"/>
      <c r="BXW395" s="173"/>
      <c r="BXX395" s="173"/>
      <c r="BXY395" s="173"/>
      <c r="BXZ395" s="173"/>
      <c r="BYA395" s="173"/>
      <c r="BYB395" s="173"/>
      <c r="BYC395" s="173"/>
      <c r="BYD395" s="173"/>
      <c r="BYE395" s="173"/>
      <c r="BYF395" s="125"/>
      <c r="BYG395" s="125"/>
      <c r="BYH395" s="134"/>
      <c r="BYI395" s="135"/>
      <c r="BYJ395" s="135"/>
      <c r="BYK395" s="135"/>
      <c r="BYL395" s="135"/>
      <c r="BYM395" s="173"/>
      <c r="BYN395" s="173"/>
      <c r="BYO395" s="173"/>
      <c r="BYP395" s="173"/>
      <c r="BYQ395" s="173"/>
      <c r="BYR395" s="173"/>
      <c r="BYS395" s="173"/>
      <c r="BYT395" s="173"/>
      <c r="BYU395" s="173"/>
      <c r="BYV395" s="173"/>
      <c r="BYW395" s="125"/>
      <c r="BYX395" s="125"/>
      <c r="BYY395" s="134"/>
      <c r="BYZ395" s="135"/>
      <c r="BZA395" s="135"/>
      <c r="BZB395" s="135"/>
      <c r="BZC395" s="135"/>
      <c r="BZD395" s="173"/>
      <c r="BZE395" s="173"/>
      <c r="BZF395" s="173"/>
      <c r="BZG395" s="173"/>
      <c r="BZH395" s="173"/>
      <c r="BZI395" s="173"/>
      <c r="BZJ395" s="173"/>
      <c r="BZK395" s="173"/>
      <c r="BZL395" s="173"/>
      <c r="BZM395" s="173"/>
      <c r="BZN395" s="125"/>
      <c r="BZO395" s="125"/>
      <c r="BZP395" s="134"/>
      <c r="BZQ395" s="135"/>
      <c r="BZR395" s="135"/>
      <c r="BZS395" s="135"/>
      <c r="BZT395" s="135"/>
      <c r="BZU395" s="173"/>
      <c r="BZV395" s="173"/>
      <c r="BZW395" s="173"/>
      <c r="BZX395" s="173"/>
      <c r="BZY395" s="173"/>
      <c r="BZZ395" s="173"/>
      <c r="CAA395" s="173"/>
      <c r="CAB395" s="173"/>
      <c r="CAC395" s="173"/>
      <c r="CAD395" s="173"/>
      <c r="CAE395" s="125"/>
      <c r="CAF395" s="125"/>
      <c r="CAG395" s="134"/>
      <c r="CAH395" s="135"/>
      <c r="CAI395" s="135"/>
      <c r="CAJ395" s="135"/>
      <c r="CAK395" s="135"/>
      <c r="CAL395" s="173"/>
      <c r="CAM395" s="173"/>
      <c r="CAN395" s="173"/>
      <c r="CAO395" s="173"/>
      <c r="CAP395" s="173"/>
      <c r="CAQ395" s="173"/>
      <c r="CAR395" s="173"/>
      <c r="CAS395" s="173"/>
      <c r="CAT395" s="173"/>
      <c r="CAU395" s="173"/>
      <c r="CAV395" s="125"/>
      <c r="CAW395" s="125"/>
      <c r="CAX395" s="134"/>
      <c r="CAY395" s="135"/>
      <c r="CAZ395" s="135"/>
      <c r="CBA395" s="135"/>
      <c r="CBB395" s="135"/>
      <c r="CBC395" s="173"/>
      <c r="CBD395" s="173"/>
      <c r="CBE395" s="173"/>
      <c r="CBF395" s="173"/>
      <c r="CBG395" s="173"/>
      <c r="CBH395" s="173"/>
      <c r="CBI395" s="173"/>
      <c r="CBJ395" s="173"/>
      <c r="CBK395" s="173"/>
      <c r="CBL395" s="173"/>
      <c r="CBM395" s="125"/>
      <c r="CBN395" s="125"/>
      <c r="CBO395" s="134"/>
      <c r="CBP395" s="135"/>
      <c r="CBQ395" s="135"/>
      <c r="CBR395" s="135"/>
      <c r="CBS395" s="135"/>
      <c r="CBT395" s="173"/>
      <c r="CBU395" s="173"/>
      <c r="CBV395" s="173"/>
      <c r="CBW395" s="173"/>
      <c r="CBX395" s="173"/>
      <c r="CBY395" s="173"/>
      <c r="CBZ395" s="173"/>
      <c r="CCA395" s="173"/>
      <c r="CCB395" s="173"/>
      <c r="CCC395" s="173"/>
      <c r="CCD395" s="125"/>
      <c r="CCE395" s="125"/>
      <c r="CCF395" s="134"/>
      <c r="CCG395" s="135"/>
      <c r="CCH395" s="135"/>
      <c r="CCI395" s="135"/>
      <c r="CCJ395" s="135"/>
      <c r="CCK395" s="173"/>
      <c r="CCL395" s="173"/>
      <c r="CCM395" s="173"/>
      <c r="CCN395" s="173"/>
      <c r="CCO395" s="173"/>
      <c r="CCP395" s="173"/>
      <c r="CCQ395" s="173"/>
      <c r="CCR395" s="173"/>
      <c r="CCS395" s="173"/>
      <c r="CCT395" s="173"/>
      <c r="CCU395" s="125"/>
      <c r="CCV395" s="125"/>
      <c r="CCW395" s="134"/>
      <c r="CCX395" s="135"/>
      <c r="CCY395" s="135"/>
      <c r="CCZ395" s="135"/>
      <c r="CDA395" s="135"/>
      <c r="CDB395" s="173"/>
      <c r="CDC395" s="173"/>
      <c r="CDD395" s="173"/>
      <c r="CDE395" s="173"/>
      <c r="CDF395" s="173"/>
      <c r="CDG395" s="173"/>
      <c r="CDH395" s="173"/>
      <c r="CDI395" s="173"/>
      <c r="CDJ395" s="173"/>
      <c r="CDK395" s="173"/>
      <c r="CDL395" s="125"/>
      <c r="CDM395" s="125"/>
      <c r="CDN395" s="134"/>
      <c r="CDO395" s="135"/>
      <c r="CDP395" s="135"/>
      <c r="CDQ395" s="135"/>
      <c r="CDR395" s="135"/>
      <c r="CDS395" s="173"/>
      <c r="CDT395" s="173"/>
      <c r="CDU395" s="173"/>
      <c r="CDV395" s="173"/>
      <c r="CDW395" s="173"/>
      <c r="CDX395" s="173"/>
      <c r="CDY395" s="173"/>
      <c r="CDZ395" s="173"/>
      <c r="CEA395" s="173"/>
      <c r="CEB395" s="173"/>
      <c r="CEC395" s="125"/>
      <c r="CED395" s="125"/>
      <c r="CEE395" s="134"/>
      <c r="CEF395" s="135"/>
      <c r="CEG395" s="135"/>
      <c r="CEH395" s="135"/>
      <c r="CEI395" s="135"/>
      <c r="CEJ395" s="173"/>
      <c r="CEK395" s="173"/>
      <c r="CEL395" s="173"/>
      <c r="CEM395" s="173"/>
      <c r="CEN395" s="173"/>
      <c r="CEO395" s="173"/>
      <c r="CEP395" s="173"/>
      <c r="CEQ395" s="173"/>
      <c r="CER395" s="173"/>
      <c r="CES395" s="173"/>
      <c r="CET395" s="125"/>
      <c r="CEU395" s="125"/>
      <c r="CEV395" s="134"/>
      <c r="CEW395" s="135"/>
      <c r="CEX395" s="135"/>
      <c r="CEY395" s="135"/>
      <c r="CEZ395" s="135"/>
      <c r="CFA395" s="173"/>
      <c r="CFB395" s="173"/>
      <c r="CFC395" s="173"/>
      <c r="CFD395" s="173"/>
      <c r="CFE395" s="173"/>
      <c r="CFF395" s="173"/>
      <c r="CFG395" s="173"/>
      <c r="CFH395" s="173"/>
      <c r="CFI395" s="173"/>
      <c r="CFJ395" s="173"/>
      <c r="CFK395" s="125"/>
      <c r="CFL395" s="125"/>
      <c r="CFM395" s="134"/>
      <c r="CFN395" s="135"/>
      <c r="CFO395" s="135"/>
      <c r="CFP395" s="135"/>
      <c r="CFQ395" s="135"/>
      <c r="CFR395" s="173"/>
      <c r="CFS395" s="173"/>
      <c r="CFT395" s="173"/>
      <c r="CFU395" s="173"/>
      <c r="CFV395" s="173"/>
      <c r="CFW395" s="173"/>
      <c r="CFX395" s="173"/>
      <c r="CFY395" s="173"/>
      <c r="CFZ395" s="173"/>
      <c r="CGA395" s="173"/>
      <c r="CGB395" s="125"/>
      <c r="CGC395" s="125"/>
      <c r="CGD395" s="134"/>
      <c r="CGE395" s="135"/>
      <c r="CGF395" s="135"/>
      <c r="CGG395" s="135"/>
      <c r="CGH395" s="135"/>
      <c r="CGI395" s="173"/>
      <c r="CGJ395" s="173"/>
      <c r="CGK395" s="173"/>
      <c r="CGL395" s="173"/>
      <c r="CGM395" s="173"/>
      <c r="CGN395" s="173"/>
      <c r="CGO395" s="173"/>
      <c r="CGP395" s="173"/>
      <c r="CGQ395" s="173"/>
      <c r="CGR395" s="173"/>
      <c r="CGS395" s="125"/>
      <c r="CGT395" s="125"/>
      <c r="CGU395" s="134"/>
      <c r="CGV395" s="135"/>
      <c r="CGW395" s="135"/>
      <c r="CGX395" s="135"/>
      <c r="CGY395" s="135"/>
      <c r="CGZ395" s="173"/>
      <c r="CHA395" s="173"/>
      <c r="CHB395" s="173"/>
      <c r="CHC395" s="173"/>
      <c r="CHD395" s="173"/>
      <c r="CHE395" s="173"/>
      <c r="CHF395" s="173"/>
      <c r="CHG395" s="173"/>
      <c r="CHH395" s="173"/>
      <c r="CHI395" s="173"/>
      <c r="CHJ395" s="125"/>
      <c r="CHK395" s="125"/>
      <c r="CHL395" s="134"/>
      <c r="CHM395" s="135"/>
      <c r="CHN395" s="135"/>
      <c r="CHO395" s="135"/>
      <c r="CHP395" s="135"/>
      <c r="CHQ395" s="173"/>
      <c r="CHR395" s="173"/>
      <c r="CHS395" s="173"/>
      <c r="CHT395" s="173"/>
      <c r="CHU395" s="173"/>
      <c r="CHV395" s="173"/>
      <c r="CHW395" s="173"/>
      <c r="CHX395" s="173"/>
      <c r="CHY395" s="173"/>
      <c r="CHZ395" s="173"/>
      <c r="CIA395" s="125"/>
      <c r="CIB395" s="125"/>
      <c r="CIC395" s="134"/>
      <c r="CID395" s="135"/>
      <c r="CIE395" s="135"/>
      <c r="CIF395" s="135"/>
      <c r="CIG395" s="135"/>
      <c r="CIH395" s="173"/>
      <c r="CII395" s="173"/>
      <c r="CIJ395" s="173"/>
      <c r="CIK395" s="173"/>
      <c r="CIL395" s="173"/>
      <c r="CIM395" s="173"/>
      <c r="CIN395" s="173"/>
      <c r="CIO395" s="173"/>
      <c r="CIP395" s="173"/>
      <c r="CIQ395" s="173"/>
      <c r="CIR395" s="125"/>
      <c r="CIS395" s="125"/>
      <c r="CIT395" s="134"/>
      <c r="CIU395" s="135"/>
      <c r="CIV395" s="135"/>
      <c r="CIW395" s="135"/>
      <c r="CIX395" s="135"/>
      <c r="CIY395" s="173"/>
      <c r="CIZ395" s="173"/>
      <c r="CJA395" s="173"/>
      <c r="CJB395" s="173"/>
      <c r="CJC395" s="173"/>
      <c r="CJD395" s="173"/>
      <c r="CJE395" s="173"/>
      <c r="CJF395" s="173"/>
      <c r="CJG395" s="173"/>
      <c r="CJH395" s="173"/>
      <c r="CJI395" s="125"/>
      <c r="CJJ395" s="125"/>
      <c r="CJK395" s="134"/>
      <c r="CJL395" s="135"/>
      <c r="CJM395" s="135"/>
      <c r="CJN395" s="135"/>
      <c r="CJO395" s="135"/>
      <c r="CJP395" s="173"/>
      <c r="CJQ395" s="173"/>
      <c r="CJR395" s="173"/>
      <c r="CJS395" s="173"/>
      <c r="CJT395" s="173"/>
      <c r="CJU395" s="173"/>
      <c r="CJV395" s="173"/>
      <c r="CJW395" s="173"/>
      <c r="CJX395" s="173"/>
      <c r="CJY395" s="173"/>
      <c r="CJZ395" s="125"/>
      <c r="CKA395" s="125"/>
      <c r="CKB395" s="134"/>
      <c r="CKC395" s="135"/>
      <c r="CKD395" s="135"/>
      <c r="CKE395" s="135"/>
      <c r="CKF395" s="135"/>
      <c r="CKG395" s="173"/>
      <c r="CKH395" s="173"/>
      <c r="CKI395" s="173"/>
      <c r="CKJ395" s="173"/>
      <c r="CKK395" s="173"/>
      <c r="CKL395" s="173"/>
      <c r="CKM395" s="173"/>
      <c r="CKN395" s="173"/>
      <c r="CKO395" s="173"/>
      <c r="CKP395" s="173"/>
      <c r="CKQ395" s="125"/>
      <c r="CKR395" s="125"/>
      <c r="CKS395" s="134"/>
      <c r="CKT395" s="135"/>
      <c r="CKU395" s="135"/>
      <c r="CKV395" s="135"/>
      <c r="CKW395" s="135"/>
      <c r="CKX395" s="173"/>
      <c r="CKY395" s="173"/>
      <c r="CKZ395" s="173"/>
      <c r="CLA395" s="173"/>
      <c r="CLB395" s="173"/>
      <c r="CLC395" s="173"/>
      <c r="CLD395" s="173"/>
      <c r="CLE395" s="173"/>
      <c r="CLF395" s="173"/>
      <c r="CLG395" s="173"/>
      <c r="CLH395" s="125"/>
      <c r="CLI395" s="125"/>
      <c r="CLJ395" s="134"/>
      <c r="CLK395" s="135"/>
      <c r="CLL395" s="135"/>
      <c r="CLM395" s="135"/>
      <c r="CLN395" s="135"/>
      <c r="CLO395" s="173"/>
      <c r="CLP395" s="173"/>
      <c r="CLQ395" s="173"/>
      <c r="CLR395" s="173"/>
      <c r="CLS395" s="173"/>
      <c r="CLT395" s="173"/>
      <c r="CLU395" s="173"/>
      <c r="CLV395" s="173"/>
      <c r="CLW395" s="173"/>
      <c r="CLX395" s="173"/>
      <c r="CLY395" s="125"/>
      <c r="CLZ395" s="125"/>
      <c r="CMA395" s="134"/>
      <c r="CMB395" s="135"/>
      <c r="CMC395" s="135"/>
      <c r="CMD395" s="135"/>
      <c r="CME395" s="135"/>
      <c r="CMF395" s="173"/>
      <c r="CMG395" s="173"/>
      <c r="CMH395" s="173"/>
      <c r="CMI395" s="173"/>
      <c r="CMJ395" s="173"/>
      <c r="CMK395" s="173"/>
      <c r="CML395" s="173"/>
      <c r="CMM395" s="173"/>
      <c r="CMN395" s="173"/>
      <c r="CMO395" s="173"/>
      <c r="CMP395" s="125"/>
      <c r="CMQ395" s="125"/>
      <c r="CMR395" s="134"/>
      <c r="CMS395" s="135"/>
      <c r="CMT395" s="135"/>
      <c r="CMU395" s="135"/>
      <c r="CMV395" s="135"/>
      <c r="CMW395" s="173"/>
      <c r="CMX395" s="173"/>
      <c r="CMY395" s="173"/>
      <c r="CMZ395" s="173"/>
      <c r="CNA395" s="173"/>
      <c r="CNB395" s="173"/>
      <c r="CNC395" s="173"/>
      <c r="CND395" s="173"/>
      <c r="CNE395" s="173"/>
      <c r="CNF395" s="173"/>
      <c r="CNG395" s="125"/>
      <c r="CNH395" s="125"/>
      <c r="CNI395" s="134"/>
      <c r="CNJ395" s="135"/>
      <c r="CNK395" s="135"/>
      <c r="CNL395" s="135"/>
      <c r="CNM395" s="135"/>
      <c r="CNN395" s="173"/>
      <c r="CNO395" s="173"/>
      <c r="CNP395" s="173"/>
      <c r="CNQ395" s="173"/>
      <c r="CNR395" s="173"/>
      <c r="CNS395" s="173"/>
      <c r="CNT395" s="173"/>
      <c r="CNU395" s="173"/>
      <c r="CNV395" s="173"/>
      <c r="CNW395" s="173"/>
      <c r="CNX395" s="125"/>
      <c r="CNY395" s="125"/>
      <c r="CNZ395" s="134"/>
      <c r="COA395" s="135"/>
      <c r="COB395" s="135"/>
      <c r="COC395" s="135"/>
      <c r="COD395" s="135"/>
      <c r="COE395" s="173"/>
      <c r="COF395" s="173"/>
      <c r="COG395" s="173"/>
      <c r="COH395" s="173"/>
      <c r="COI395" s="173"/>
      <c r="COJ395" s="173"/>
      <c r="COK395" s="173"/>
      <c r="COL395" s="173"/>
      <c r="COM395" s="173"/>
      <c r="CON395" s="173"/>
      <c r="COO395" s="125"/>
      <c r="COP395" s="125"/>
      <c r="COQ395" s="134"/>
      <c r="COR395" s="135"/>
      <c r="COS395" s="135"/>
      <c r="COT395" s="135"/>
      <c r="COU395" s="135"/>
      <c r="COV395" s="173"/>
      <c r="COW395" s="173"/>
      <c r="COX395" s="173"/>
      <c r="COY395" s="173"/>
      <c r="COZ395" s="173"/>
      <c r="CPA395" s="173"/>
      <c r="CPB395" s="173"/>
      <c r="CPC395" s="173"/>
      <c r="CPD395" s="173"/>
      <c r="CPE395" s="173"/>
      <c r="CPF395" s="125"/>
      <c r="CPG395" s="125"/>
      <c r="CPH395" s="134"/>
      <c r="CPI395" s="135"/>
      <c r="CPJ395" s="135"/>
      <c r="CPK395" s="135"/>
      <c r="CPL395" s="135"/>
      <c r="CPM395" s="173"/>
      <c r="CPN395" s="173"/>
      <c r="CPO395" s="173"/>
      <c r="CPP395" s="173"/>
      <c r="CPQ395" s="173"/>
      <c r="CPR395" s="173"/>
      <c r="CPS395" s="173"/>
      <c r="CPT395" s="173"/>
      <c r="CPU395" s="173"/>
      <c r="CPV395" s="173"/>
      <c r="CPW395" s="125"/>
      <c r="CPX395" s="125"/>
      <c r="CPY395" s="134"/>
      <c r="CPZ395" s="135"/>
      <c r="CQA395" s="135"/>
      <c r="CQB395" s="135"/>
      <c r="CQC395" s="135"/>
      <c r="CQD395" s="173"/>
      <c r="CQE395" s="173"/>
      <c r="CQF395" s="173"/>
      <c r="CQG395" s="173"/>
      <c r="CQH395" s="173"/>
      <c r="CQI395" s="173"/>
      <c r="CQJ395" s="173"/>
      <c r="CQK395" s="173"/>
      <c r="CQL395" s="173"/>
      <c r="CQM395" s="173"/>
      <c r="CQN395" s="125"/>
      <c r="CQO395" s="125"/>
      <c r="CQP395" s="134"/>
      <c r="CQQ395" s="135"/>
      <c r="CQR395" s="135"/>
      <c r="CQS395" s="135"/>
      <c r="CQT395" s="135"/>
      <c r="CQU395" s="173"/>
      <c r="CQV395" s="173"/>
      <c r="CQW395" s="173"/>
      <c r="CQX395" s="173"/>
      <c r="CQY395" s="173"/>
      <c r="CQZ395" s="173"/>
      <c r="CRA395" s="173"/>
      <c r="CRB395" s="173"/>
      <c r="CRC395" s="173"/>
      <c r="CRD395" s="173"/>
      <c r="CRE395" s="125"/>
      <c r="CRF395" s="125"/>
      <c r="CRG395" s="134"/>
      <c r="CRH395" s="135"/>
      <c r="CRI395" s="135"/>
      <c r="CRJ395" s="135"/>
      <c r="CRK395" s="135"/>
      <c r="CRL395" s="173"/>
      <c r="CRM395" s="173"/>
      <c r="CRN395" s="173"/>
      <c r="CRO395" s="173"/>
      <c r="CRP395" s="173"/>
      <c r="CRQ395" s="173"/>
      <c r="CRR395" s="173"/>
      <c r="CRS395" s="173"/>
      <c r="CRT395" s="173"/>
      <c r="CRU395" s="173"/>
      <c r="CRV395" s="125"/>
      <c r="CRW395" s="125"/>
      <c r="CRX395" s="134"/>
      <c r="CRY395" s="135"/>
      <c r="CRZ395" s="135"/>
      <c r="CSA395" s="135"/>
      <c r="CSB395" s="135"/>
      <c r="CSC395" s="173"/>
      <c r="CSD395" s="173"/>
      <c r="CSE395" s="173"/>
      <c r="CSF395" s="173"/>
      <c r="CSG395" s="173"/>
      <c r="CSH395" s="173"/>
      <c r="CSI395" s="173"/>
      <c r="CSJ395" s="173"/>
      <c r="CSK395" s="173"/>
      <c r="CSL395" s="173"/>
      <c r="CSM395" s="125"/>
      <c r="CSN395" s="125"/>
      <c r="CSO395" s="134"/>
      <c r="CSP395" s="135"/>
      <c r="CSQ395" s="135"/>
      <c r="CSR395" s="135"/>
      <c r="CSS395" s="135"/>
      <c r="CST395" s="173"/>
      <c r="CSU395" s="173"/>
      <c r="CSV395" s="173"/>
      <c r="CSW395" s="173"/>
      <c r="CSX395" s="173"/>
      <c r="CSY395" s="173"/>
      <c r="CSZ395" s="173"/>
      <c r="CTA395" s="173"/>
      <c r="CTB395" s="173"/>
      <c r="CTC395" s="173"/>
      <c r="CTD395" s="125"/>
      <c r="CTE395" s="125"/>
      <c r="CTF395" s="134"/>
      <c r="CTG395" s="135"/>
      <c r="CTH395" s="135"/>
      <c r="CTI395" s="135"/>
      <c r="CTJ395" s="135"/>
      <c r="CTK395" s="173"/>
      <c r="CTL395" s="173"/>
      <c r="CTM395" s="173"/>
      <c r="CTN395" s="173"/>
      <c r="CTO395" s="173"/>
      <c r="CTP395" s="173"/>
      <c r="CTQ395" s="173"/>
      <c r="CTR395" s="173"/>
      <c r="CTS395" s="173"/>
      <c r="CTT395" s="173"/>
      <c r="CTU395" s="125"/>
      <c r="CTV395" s="125"/>
      <c r="CTW395" s="134"/>
      <c r="CTX395" s="135"/>
      <c r="CTY395" s="135"/>
      <c r="CTZ395" s="135"/>
      <c r="CUA395" s="135"/>
      <c r="CUB395" s="173"/>
      <c r="CUC395" s="173"/>
      <c r="CUD395" s="173"/>
      <c r="CUE395" s="173"/>
      <c r="CUF395" s="173"/>
      <c r="CUG395" s="173"/>
      <c r="CUH395" s="173"/>
      <c r="CUI395" s="173"/>
      <c r="CUJ395" s="173"/>
      <c r="CUK395" s="173"/>
      <c r="CUL395" s="125"/>
      <c r="CUM395" s="125"/>
      <c r="CUN395" s="134"/>
      <c r="CUO395" s="135"/>
      <c r="CUP395" s="135"/>
      <c r="CUQ395" s="135"/>
      <c r="CUR395" s="135"/>
      <c r="CUS395" s="173"/>
      <c r="CUT395" s="173"/>
      <c r="CUU395" s="173"/>
      <c r="CUV395" s="173"/>
      <c r="CUW395" s="173"/>
      <c r="CUX395" s="173"/>
      <c r="CUY395" s="173"/>
      <c r="CUZ395" s="173"/>
      <c r="CVA395" s="173"/>
      <c r="CVB395" s="173"/>
      <c r="CVC395" s="125"/>
      <c r="CVD395" s="125"/>
      <c r="CVE395" s="134"/>
      <c r="CVF395" s="135"/>
      <c r="CVG395" s="135"/>
      <c r="CVH395" s="135"/>
      <c r="CVI395" s="135"/>
      <c r="CVJ395" s="173"/>
      <c r="CVK395" s="173"/>
      <c r="CVL395" s="173"/>
      <c r="CVM395" s="173"/>
      <c r="CVN395" s="173"/>
      <c r="CVO395" s="173"/>
      <c r="CVP395" s="173"/>
      <c r="CVQ395" s="173"/>
      <c r="CVR395" s="173"/>
      <c r="CVS395" s="173"/>
      <c r="CVT395" s="125"/>
      <c r="CVU395" s="125"/>
      <c r="CVV395" s="134"/>
      <c r="CVW395" s="135"/>
      <c r="CVX395" s="135"/>
      <c r="CVY395" s="135"/>
      <c r="CVZ395" s="135"/>
      <c r="CWA395" s="173"/>
      <c r="CWB395" s="173"/>
      <c r="CWC395" s="173"/>
      <c r="CWD395" s="173"/>
      <c r="CWE395" s="173"/>
      <c r="CWF395" s="173"/>
      <c r="CWG395" s="173"/>
      <c r="CWH395" s="173"/>
      <c r="CWI395" s="173"/>
      <c r="CWJ395" s="173"/>
      <c r="CWK395" s="125"/>
      <c r="CWL395" s="125"/>
      <c r="CWM395" s="134"/>
      <c r="CWN395" s="135"/>
      <c r="CWO395" s="135"/>
      <c r="CWP395" s="135"/>
      <c r="CWQ395" s="135"/>
      <c r="CWR395" s="173"/>
      <c r="CWS395" s="173"/>
      <c r="CWT395" s="173"/>
      <c r="CWU395" s="173"/>
      <c r="CWV395" s="173"/>
      <c r="CWW395" s="173"/>
      <c r="CWX395" s="173"/>
      <c r="CWY395" s="173"/>
      <c r="CWZ395" s="173"/>
      <c r="CXA395" s="173"/>
      <c r="CXB395" s="125"/>
      <c r="CXC395" s="125"/>
      <c r="CXD395" s="134"/>
      <c r="CXE395" s="135"/>
      <c r="CXF395" s="135"/>
      <c r="CXG395" s="135"/>
      <c r="CXH395" s="135"/>
      <c r="CXI395" s="173"/>
      <c r="CXJ395" s="173"/>
      <c r="CXK395" s="173"/>
      <c r="CXL395" s="173"/>
      <c r="CXM395" s="173"/>
      <c r="CXN395" s="173"/>
      <c r="CXO395" s="173"/>
      <c r="CXP395" s="173"/>
      <c r="CXQ395" s="173"/>
      <c r="CXR395" s="173"/>
      <c r="CXS395" s="125"/>
      <c r="CXT395" s="125"/>
      <c r="CXU395" s="134"/>
      <c r="CXV395" s="135"/>
      <c r="CXW395" s="135"/>
      <c r="CXX395" s="135"/>
      <c r="CXY395" s="135"/>
      <c r="CXZ395" s="173"/>
      <c r="CYA395" s="173"/>
      <c r="CYB395" s="173"/>
      <c r="CYC395" s="173"/>
      <c r="CYD395" s="173"/>
      <c r="CYE395" s="173"/>
      <c r="CYF395" s="173"/>
      <c r="CYG395" s="173"/>
      <c r="CYH395" s="173"/>
      <c r="CYI395" s="173"/>
      <c r="CYJ395" s="125"/>
      <c r="CYK395" s="125"/>
      <c r="CYL395" s="134"/>
      <c r="CYM395" s="135"/>
      <c r="CYN395" s="135"/>
      <c r="CYO395" s="135"/>
      <c r="CYP395" s="135"/>
      <c r="CYQ395" s="173"/>
      <c r="CYR395" s="173"/>
      <c r="CYS395" s="173"/>
      <c r="CYT395" s="173"/>
      <c r="CYU395" s="173"/>
      <c r="CYV395" s="173"/>
      <c r="CYW395" s="173"/>
      <c r="CYX395" s="173"/>
      <c r="CYY395" s="173"/>
      <c r="CYZ395" s="173"/>
      <c r="CZA395" s="125"/>
      <c r="CZB395" s="125"/>
      <c r="CZC395" s="134"/>
      <c r="CZD395" s="135"/>
      <c r="CZE395" s="135"/>
      <c r="CZF395" s="135"/>
      <c r="CZG395" s="135"/>
      <c r="CZH395" s="173"/>
      <c r="CZI395" s="173"/>
      <c r="CZJ395" s="173"/>
      <c r="CZK395" s="173"/>
      <c r="CZL395" s="173"/>
      <c r="CZM395" s="173"/>
      <c r="CZN395" s="173"/>
      <c r="CZO395" s="173"/>
      <c r="CZP395" s="173"/>
      <c r="CZQ395" s="173"/>
      <c r="CZR395" s="125"/>
      <c r="CZS395" s="125"/>
      <c r="CZT395" s="134"/>
      <c r="CZU395" s="135"/>
      <c r="CZV395" s="135"/>
      <c r="CZW395" s="135"/>
      <c r="CZX395" s="135"/>
      <c r="CZY395" s="173"/>
      <c r="CZZ395" s="173"/>
      <c r="DAA395" s="173"/>
      <c r="DAB395" s="173"/>
      <c r="DAC395" s="173"/>
      <c r="DAD395" s="173"/>
      <c r="DAE395" s="173"/>
      <c r="DAF395" s="173"/>
      <c r="DAG395" s="173"/>
      <c r="DAH395" s="173"/>
      <c r="DAI395" s="125"/>
      <c r="DAJ395" s="125"/>
      <c r="DAK395" s="134"/>
      <c r="DAL395" s="135"/>
      <c r="DAM395" s="135"/>
      <c r="DAN395" s="135"/>
      <c r="DAO395" s="135"/>
      <c r="DAP395" s="173"/>
      <c r="DAQ395" s="173"/>
      <c r="DAR395" s="173"/>
      <c r="DAS395" s="173"/>
      <c r="DAT395" s="173"/>
      <c r="DAU395" s="173"/>
      <c r="DAV395" s="173"/>
      <c r="DAW395" s="173"/>
      <c r="DAX395" s="173"/>
      <c r="DAY395" s="173"/>
      <c r="DAZ395" s="125"/>
      <c r="DBA395" s="125"/>
      <c r="DBB395" s="134"/>
      <c r="DBC395" s="135"/>
      <c r="DBD395" s="135"/>
      <c r="DBE395" s="135"/>
      <c r="DBF395" s="135"/>
      <c r="DBG395" s="173"/>
      <c r="DBH395" s="173"/>
      <c r="DBI395" s="173"/>
      <c r="DBJ395" s="173"/>
      <c r="DBK395" s="173"/>
      <c r="DBL395" s="173"/>
      <c r="DBM395" s="173"/>
      <c r="DBN395" s="173"/>
      <c r="DBO395" s="173"/>
      <c r="DBP395" s="173"/>
      <c r="DBQ395" s="125"/>
      <c r="DBR395" s="125"/>
      <c r="DBS395" s="134"/>
      <c r="DBT395" s="135"/>
      <c r="DBU395" s="135"/>
      <c r="DBV395" s="135"/>
      <c r="DBW395" s="135"/>
      <c r="DBX395" s="173"/>
      <c r="DBY395" s="173"/>
      <c r="DBZ395" s="173"/>
      <c r="DCA395" s="173"/>
      <c r="DCB395" s="173"/>
      <c r="DCC395" s="173"/>
      <c r="DCD395" s="173"/>
      <c r="DCE395" s="173"/>
      <c r="DCF395" s="173"/>
      <c r="DCG395" s="173"/>
      <c r="DCH395" s="125"/>
      <c r="DCI395" s="125"/>
      <c r="DCJ395" s="134"/>
      <c r="DCK395" s="135"/>
      <c r="DCL395" s="135"/>
      <c r="DCM395" s="135"/>
      <c r="DCN395" s="135"/>
      <c r="DCO395" s="173"/>
      <c r="DCP395" s="173"/>
      <c r="DCQ395" s="173"/>
      <c r="DCR395" s="173"/>
      <c r="DCS395" s="173"/>
      <c r="DCT395" s="173"/>
      <c r="DCU395" s="173"/>
      <c r="DCV395" s="173"/>
      <c r="DCW395" s="173"/>
      <c r="DCX395" s="173"/>
      <c r="DCY395" s="125"/>
      <c r="DCZ395" s="125"/>
      <c r="DDA395" s="134"/>
      <c r="DDB395" s="135"/>
      <c r="DDC395" s="135"/>
      <c r="DDD395" s="135"/>
      <c r="DDE395" s="135"/>
      <c r="DDF395" s="173"/>
      <c r="DDG395" s="173"/>
      <c r="DDH395" s="173"/>
      <c r="DDI395" s="173"/>
      <c r="DDJ395" s="173"/>
      <c r="DDK395" s="173"/>
      <c r="DDL395" s="173"/>
      <c r="DDM395" s="173"/>
      <c r="DDN395" s="173"/>
      <c r="DDO395" s="173"/>
      <c r="DDP395" s="125"/>
      <c r="DDQ395" s="125"/>
      <c r="DDR395" s="134"/>
      <c r="DDS395" s="135"/>
      <c r="DDT395" s="135"/>
      <c r="DDU395" s="135"/>
      <c r="DDV395" s="135"/>
      <c r="DDW395" s="173"/>
      <c r="DDX395" s="173"/>
      <c r="DDY395" s="173"/>
      <c r="DDZ395" s="173"/>
      <c r="DEA395" s="173"/>
      <c r="DEB395" s="173"/>
      <c r="DEC395" s="173"/>
      <c r="DED395" s="173"/>
      <c r="DEE395" s="173"/>
      <c r="DEF395" s="173"/>
      <c r="DEG395" s="125"/>
      <c r="DEH395" s="125"/>
      <c r="DEI395" s="134"/>
      <c r="DEJ395" s="135"/>
      <c r="DEK395" s="135"/>
      <c r="DEL395" s="135"/>
      <c r="DEM395" s="135"/>
      <c r="DEN395" s="173"/>
      <c r="DEO395" s="173"/>
      <c r="DEP395" s="173"/>
      <c r="DEQ395" s="173"/>
      <c r="DER395" s="173"/>
      <c r="DES395" s="173"/>
      <c r="DET395" s="173"/>
      <c r="DEU395" s="173"/>
      <c r="DEV395" s="173"/>
      <c r="DEW395" s="173"/>
      <c r="DEX395" s="125"/>
      <c r="DEY395" s="125"/>
      <c r="DEZ395" s="134"/>
      <c r="DFA395" s="135"/>
      <c r="DFB395" s="135"/>
      <c r="DFC395" s="135"/>
      <c r="DFD395" s="135"/>
      <c r="DFE395" s="173"/>
      <c r="DFF395" s="173"/>
      <c r="DFG395" s="173"/>
      <c r="DFH395" s="173"/>
      <c r="DFI395" s="173"/>
      <c r="DFJ395" s="173"/>
      <c r="DFK395" s="173"/>
      <c r="DFL395" s="173"/>
      <c r="DFM395" s="173"/>
      <c r="DFN395" s="173"/>
      <c r="DFO395" s="125"/>
      <c r="DFP395" s="125"/>
      <c r="DFQ395" s="134"/>
      <c r="DFR395" s="135"/>
      <c r="DFS395" s="135"/>
      <c r="DFT395" s="135"/>
      <c r="DFU395" s="135"/>
      <c r="DFV395" s="173"/>
      <c r="DFW395" s="173"/>
      <c r="DFX395" s="173"/>
      <c r="DFY395" s="173"/>
      <c r="DFZ395" s="173"/>
      <c r="DGA395" s="173"/>
      <c r="DGB395" s="173"/>
      <c r="DGC395" s="173"/>
      <c r="DGD395" s="173"/>
      <c r="DGE395" s="173"/>
      <c r="DGF395" s="125"/>
      <c r="DGG395" s="125"/>
      <c r="DGH395" s="134"/>
      <c r="DGI395" s="135"/>
      <c r="DGJ395" s="135"/>
      <c r="DGK395" s="135"/>
      <c r="DGL395" s="135"/>
      <c r="DGM395" s="173"/>
      <c r="DGN395" s="173"/>
      <c r="DGO395" s="173"/>
      <c r="DGP395" s="173"/>
      <c r="DGQ395" s="173"/>
      <c r="DGR395" s="173"/>
      <c r="DGS395" s="173"/>
      <c r="DGT395" s="173"/>
      <c r="DGU395" s="173"/>
      <c r="DGV395" s="173"/>
      <c r="DGW395" s="125"/>
      <c r="DGX395" s="125"/>
      <c r="DGY395" s="134"/>
      <c r="DGZ395" s="135"/>
      <c r="DHA395" s="135"/>
      <c r="DHB395" s="135"/>
      <c r="DHC395" s="135"/>
      <c r="DHD395" s="173"/>
      <c r="DHE395" s="173"/>
      <c r="DHF395" s="173"/>
      <c r="DHG395" s="173"/>
      <c r="DHH395" s="173"/>
      <c r="DHI395" s="173"/>
      <c r="DHJ395" s="173"/>
      <c r="DHK395" s="173"/>
      <c r="DHL395" s="173"/>
      <c r="DHM395" s="173"/>
      <c r="DHN395" s="125"/>
      <c r="DHO395" s="125"/>
      <c r="DHP395" s="134"/>
      <c r="DHQ395" s="135"/>
      <c r="DHR395" s="135"/>
      <c r="DHS395" s="135"/>
      <c r="DHT395" s="135"/>
      <c r="DHU395" s="173"/>
      <c r="DHV395" s="173"/>
      <c r="DHW395" s="173"/>
      <c r="DHX395" s="173"/>
      <c r="DHY395" s="173"/>
      <c r="DHZ395" s="173"/>
      <c r="DIA395" s="173"/>
      <c r="DIB395" s="173"/>
      <c r="DIC395" s="173"/>
      <c r="DID395" s="173"/>
      <c r="DIE395" s="125"/>
      <c r="DIF395" s="125"/>
      <c r="DIG395" s="134"/>
      <c r="DIH395" s="135"/>
      <c r="DII395" s="135"/>
      <c r="DIJ395" s="135"/>
      <c r="DIK395" s="135"/>
      <c r="DIL395" s="173"/>
      <c r="DIM395" s="173"/>
      <c r="DIN395" s="173"/>
      <c r="DIO395" s="173"/>
      <c r="DIP395" s="173"/>
      <c r="DIQ395" s="173"/>
      <c r="DIR395" s="173"/>
      <c r="DIS395" s="173"/>
      <c r="DIT395" s="173"/>
      <c r="DIU395" s="173"/>
      <c r="DIV395" s="125"/>
      <c r="DIW395" s="125"/>
      <c r="DIX395" s="134"/>
      <c r="DIY395" s="135"/>
      <c r="DIZ395" s="135"/>
      <c r="DJA395" s="135"/>
      <c r="DJB395" s="135"/>
      <c r="DJC395" s="173"/>
      <c r="DJD395" s="173"/>
      <c r="DJE395" s="173"/>
      <c r="DJF395" s="173"/>
      <c r="DJG395" s="173"/>
      <c r="DJH395" s="173"/>
      <c r="DJI395" s="173"/>
      <c r="DJJ395" s="173"/>
      <c r="DJK395" s="173"/>
      <c r="DJL395" s="173"/>
      <c r="DJM395" s="125"/>
      <c r="DJN395" s="125"/>
      <c r="DJO395" s="134"/>
      <c r="DJP395" s="135"/>
      <c r="DJQ395" s="135"/>
      <c r="DJR395" s="135"/>
      <c r="DJS395" s="135"/>
      <c r="DJT395" s="173"/>
      <c r="DJU395" s="173"/>
      <c r="DJV395" s="173"/>
      <c r="DJW395" s="173"/>
      <c r="DJX395" s="173"/>
      <c r="DJY395" s="173"/>
      <c r="DJZ395" s="173"/>
      <c r="DKA395" s="173"/>
      <c r="DKB395" s="173"/>
      <c r="DKC395" s="173"/>
      <c r="DKD395" s="125"/>
      <c r="DKE395" s="125"/>
      <c r="DKF395" s="134"/>
      <c r="DKG395" s="135"/>
      <c r="DKH395" s="135"/>
      <c r="DKI395" s="135"/>
      <c r="DKJ395" s="135"/>
      <c r="DKK395" s="173"/>
      <c r="DKL395" s="173"/>
      <c r="DKM395" s="173"/>
      <c r="DKN395" s="173"/>
      <c r="DKO395" s="173"/>
      <c r="DKP395" s="173"/>
      <c r="DKQ395" s="173"/>
      <c r="DKR395" s="173"/>
      <c r="DKS395" s="173"/>
      <c r="DKT395" s="173"/>
      <c r="DKU395" s="125"/>
      <c r="DKV395" s="125"/>
      <c r="DKW395" s="134"/>
      <c r="DKX395" s="135"/>
      <c r="DKY395" s="135"/>
      <c r="DKZ395" s="135"/>
      <c r="DLA395" s="135"/>
      <c r="DLB395" s="173"/>
      <c r="DLC395" s="173"/>
      <c r="DLD395" s="173"/>
      <c r="DLE395" s="173"/>
      <c r="DLF395" s="173"/>
      <c r="DLG395" s="173"/>
      <c r="DLH395" s="173"/>
      <c r="DLI395" s="173"/>
      <c r="DLJ395" s="173"/>
      <c r="DLK395" s="173"/>
      <c r="DLL395" s="125"/>
      <c r="DLM395" s="125"/>
      <c r="DLN395" s="134"/>
      <c r="DLO395" s="135"/>
      <c r="DLP395" s="135"/>
      <c r="DLQ395" s="135"/>
      <c r="DLR395" s="135"/>
      <c r="DLS395" s="173"/>
      <c r="DLT395" s="173"/>
      <c r="DLU395" s="173"/>
      <c r="DLV395" s="173"/>
      <c r="DLW395" s="173"/>
      <c r="DLX395" s="173"/>
      <c r="DLY395" s="173"/>
      <c r="DLZ395" s="173"/>
      <c r="DMA395" s="173"/>
      <c r="DMB395" s="173"/>
      <c r="DMC395" s="125"/>
      <c r="DMD395" s="125"/>
      <c r="DME395" s="134"/>
      <c r="DMF395" s="135"/>
      <c r="DMG395" s="135"/>
      <c r="DMH395" s="135"/>
      <c r="DMI395" s="135"/>
      <c r="DMJ395" s="173"/>
      <c r="DMK395" s="173"/>
      <c r="DML395" s="173"/>
      <c r="DMM395" s="173"/>
      <c r="DMN395" s="173"/>
      <c r="DMO395" s="173"/>
      <c r="DMP395" s="173"/>
      <c r="DMQ395" s="173"/>
      <c r="DMR395" s="173"/>
      <c r="DMS395" s="173"/>
      <c r="DMT395" s="125"/>
      <c r="DMU395" s="125"/>
      <c r="DMV395" s="134"/>
      <c r="DMW395" s="135"/>
      <c r="DMX395" s="135"/>
      <c r="DMY395" s="135"/>
      <c r="DMZ395" s="135"/>
      <c r="DNA395" s="173"/>
      <c r="DNB395" s="173"/>
      <c r="DNC395" s="173"/>
      <c r="DND395" s="173"/>
      <c r="DNE395" s="173"/>
      <c r="DNF395" s="173"/>
      <c r="DNG395" s="173"/>
      <c r="DNH395" s="173"/>
      <c r="DNI395" s="173"/>
      <c r="DNJ395" s="173"/>
      <c r="DNK395" s="125"/>
      <c r="DNL395" s="125"/>
      <c r="DNM395" s="134"/>
      <c r="DNN395" s="135"/>
      <c r="DNO395" s="135"/>
      <c r="DNP395" s="135"/>
      <c r="DNQ395" s="135"/>
      <c r="DNR395" s="173"/>
      <c r="DNS395" s="173"/>
      <c r="DNT395" s="173"/>
      <c r="DNU395" s="173"/>
      <c r="DNV395" s="173"/>
      <c r="DNW395" s="173"/>
      <c r="DNX395" s="173"/>
      <c r="DNY395" s="173"/>
      <c r="DNZ395" s="173"/>
      <c r="DOA395" s="173"/>
      <c r="DOB395" s="125"/>
      <c r="DOC395" s="125"/>
      <c r="DOD395" s="134"/>
      <c r="DOE395" s="135"/>
      <c r="DOF395" s="135"/>
      <c r="DOG395" s="135"/>
      <c r="DOH395" s="135"/>
      <c r="DOI395" s="173"/>
      <c r="DOJ395" s="173"/>
      <c r="DOK395" s="173"/>
      <c r="DOL395" s="173"/>
      <c r="DOM395" s="173"/>
      <c r="DON395" s="173"/>
      <c r="DOO395" s="173"/>
      <c r="DOP395" s="173"/>
      <c r="DOQ395" s="173"/>
      <c r="DOR395" s="173"/>
      <c r="DOS395" s="125"/>
      <c r="DOT395" s="125"/>
      <c r="DOU395" s="134"/>
      <c r="DOV395" s="135"/>
      <c r="DOW395" s="135"/>
      <c r="DOX395" s="135"/>
      <c r="DOY395" s="135"/>
      <c r="DOZ395" s="173"/>
      <c r="DPA395" s="173"/>
      <c r="DPB395" s="173"/>
      <c r="DPC395" s="173"/>
      <c r="DPD395" s="173"/>
      <c r="DPE395" s="173"/>
      <c r="DPF395" s="173"/>
      <c r="DPG395" s="173"/>
      <c r="DPH395" s="173"/>
      <c r="DPI395" s="173"/>
      <c r="DPJ395" s="125"/>
      <c r="DPK395" s="125"/>
      <c r="DPL395" s="134"/>
      <c r="DPM395" s="135"/>
      <c r="DPN395" s="135"/>
      <c r="DPO395" s="135"/>
      <c r="DPP395" s="135"/>
      <c r="DPQ395" s="173"/>
      <c r="DPR395" s="173"/>
      <c r="DPS395" s="173"/>
      <c r="DPT395" s="173"/>
      <c r="DPU395" s="173"/>
      <c r="DPV395" s="173"/>
      <c r="DPW395" s="173"/>
      <c r="DPX395" s="173"/>
      <c r="DPY395" s="173"/>
      <c r="DPZ395" s="173"/>
      <c r="DQA395" s="125"/>
      <c r="DQB395" s="125"/>
      <c r="DQC395" s="134"/>
      <c r="DQD395" s="135"/>
      <c r="DQE395" s="135"/>
      <c r="DQF395" s="135"/>
      <c r="DQG395" s="135"/>
      <c r="DQH395" s="173"/>
      <c r="DQI395" s="173"/>
      <c r="DQJ395" s="173"/>
      <c r="DQK395" s="173"/>
      <c r="DQL395" s="173"/>
      <c r="DQM395" s="173"/>
      <c r="DQN395" s="173"/>
      <c r="DQO395" s="173"/>
      <c r="DQP395" s="173"/>
      <c r="DQQ395" s="173"/>
      <c r="DQR395" s="125"/>
      <c r="DQS395" s="125"/>
      <c r="DQT395" s="134"/>
      <c r="DQU395" s="135"/>
      <c r="DQV395" s="135"/>
      <c r="DQW395" s="135"/>
      <c r="DQX395" s="135"/>
      <c r="DQY395" s="173"/>
      <c r="DQZ395" s="173"/>
      <c r="DRA395" s="173"/>
      <c r="DRB395" s="173"/>
      <c r="DRC395" s="173"/>
      <c r="DRD395" s="173"/>
      <c r="DRE395" s="173"/>
      <c r="DRF395" s="173"/>
      <c r="DRG395" s="173"/>
      <c r="DRH395" s="173"/>
      <c r="DRI395" s="125"/>
      <c r="DRJ395" s="125"/>
      <c r="DRK395" s="134"/>
      <c r="DRL395" s="135"/>
      <c r="DRM395" s="135"/>
      <c r="DRN395" s="135"/>
      <c r="DRO395" s="135"/>
      <c r="DRP395" s="173"/>
      <c r="DRQ395" s="173"/>
      <c r="DRR395" s="173"/>
      <c r="DRS395" s="173"/>
      <c r="DRT395" s="173"/>
      <c r="DRU395" s="173"/>
      <c r="DRV395" s="173"/>
      <c r="DRW395" s="173"/>
      <c r="DRX395" s="173"/>
      <c r="DRY395" s="173"/>
      <c r="DRZ395" s="125"/>
      <c r="DSA395" s="125"/>
      <c r="DSB395" s="134"/>
      <c r="DSC395" s="135"/>
      <c r="DSD395" s="135"/>
      <c r="DSE395" s="135"/>
      <c r="DSF395" s="135"/>
      <c r="DSG395" s="173"/>
      <c r="DSH395" s="173"/>
      <c r="DSI395" s="173"/>
      <c r="DSJ395" s="173"/>
      <c r="DSK395" s="173"/>
      <c r="DSL395" s="173"/>
      <c r="DSM395" s="173"/>
      <c r="DSN395" s="173"/>
      <c r="DSO395" s="173"/>
      <c r="DSP395" s="173"/>
      <c r="DSQ395" s="125"/>
      <c r="DSR395" s="125"/>
      <c r="DSS395" s="134"/>
      <c r="DST395" s="135"/>
      <c r="DSU395" s="135"/>
      <c r="DSV395" s="135"/>
      <c r="DSW395" s="135"/>
      <c r="DSX395" s="173"/>
      <c r="DSY395" s="173"/>
      <c r="DSZ395" s="173"/>
      <c r="DTA395" s="173"/>
      <c r="DTB395" s="173"/>
      <c r="DTC395" s="173"/>
      <c r="DTD395" s="173"/>
      <c r="DTE395" s="173"/>
      <c r="DTF395" s="173"/>
      <c r="DTG395" s="173"/>
      <c r="DTH395" s="125"/>
      <c r="DTI395" s="125"/>
      <c r="DTJ395" s="134"/>
      <c r="DTK395" s="135"/>
      <c r="DTL395" s="135"/>
      <c r="DTM395" s="135"/>
      <c r="DTN395" s="135"/>
      <c r="DTO395" s="173"/>
      <c r="DTP395" s="173"/>
      <c r="DTQ395" s="173"/>
      <c r="DTR395" s="173"/>
      <c r="DTS395" s="173"/>
      <c r="DTT395" s="173"/>
      <c r="DTU395" s="173"/>
      <c r="DTV395" s="173"/>
      <c r="DTW395" s="173"/>
      <c r="DTX395" s="173"/>
      <c r="DTY395" s="125"/>
      <c r="DTZ395" s="125"/>
      <c r="DUA395" s="134"/>
      <c r="DUB395" s="135"/>
      <c r="DUC395" s="135"/>
      <c r="DUD395" s="135"/>
      <c r="DUE395" s="135"/>
      <c r="DUF395" s="173"/>
      <c r="DUG395" s="173"/>
      <c r="DUH395" s="173"/>
      <c r="DUI395" s="173"/>
      <c r="DUJ395" s="173"/>
      <c r="DUK395" s="173"/>
      <c r="DUL395" s="173"/>
      <c r="DUM395" s="173"/>
      <c r="DUN395" s="173"/>
      <c r="DUO395" s="173"/>
      <c r="DUP395" s="125"/>
      <c r="DUQ395" s="125"/>
      <c r="DUR395" s="134"/>
      <c r="DUS395" s="135"/>
      <c r="DUT395" s="135"/>
      <c r="DUU395" s="135"/>
      <c r="DUV395" s="135"/>
      <c r="DUW395" s="173"/>
      <c r="DUX395" s="173"/>
      <c r="DUY395" s="173"/>
      <c r="DUZ395" s="173"/>
      <c r="DVA395" s="173"/>
      <c r="DVB395" s="173"/>
      <c r="DVC395" s="173"/>
      <c r="DVD395" s="173"/>
      <c r="DVE395" s="173"/>
      <c r="DVF395" s="173"/>
      <c r="DVG395" s="125"/>
      <c r="DVH395" s="125"/>
      <c r="DVI395" s="134"/>
      <c r="DVJ395" s="135"/>
      <c r="DVK395" s="135"/>
      <c r="DVL395" s="135"/>
      <c r="DVM395" s="135"/>
      <c r="DVN395" s="173"/>
      <c r="DVO395" s="173"/>
      <c r="DVP395" s="173"/>
      <c r="DVQ395" s="173"/>
      <c r="DVR395" s="173"/>
      <c r="DVS395" s="173"/>
      <c r="DVT395" s="173"/>
      <c r="DVU395" s="173"/>
      <c r="DVV395" s="173"/>
      <c r="DVW395" s="173"/>
      <c r="DVX395" s="125"/>
      <c r="DVY395" s="125"/>
      <c r="DVZ395" s="134"/>
      <c r="DWA395" s="135"/>
      <c r="DWB395" s="135"/>
      <c r="DWC395" s="135"/>
      <c r="DWD395" s="135"/>
      <c r="DWE395" s="173"/>
      <c r="DWF395" s="173"/>
      <c r="DWG395" s="173"/>
      <c r="DWH395" s="173"/>
      <c r="DWI395" s="173"/>
      <c r="DWJ395" s="173"/>
      <c r="DWK395" s="173"/>
      <c r="DWL395" s="173"/>
      <c r="DWM395" s="173"/>
      <c r="DWN395" s="173"/>
      <c r="DWO395" s="125"/>
      <c r="DWP395" s="125"/>
      <c r="DWQ395" s="134"/>
      <c r="DWR395" s="135"/>
      <c r="DWS395" s="135"/>
      <c r="DWT395" s="135"/>
      <c r="DWU395" s="135"/>
      <c r="DWV395" s="173"/>
      <c r="DWW395" s="173"/>
      <c r="DWX395" s="173"/>
      <c r="DWY395" s="173"/>
      <c r="DWZ395" s="173"/>
      <c r="DXA395" s="173"/>
      <c r="DXB395" s="173"/>
      <c r="DXC395" s="173"/>
      <c r="DXD395" s="173"/>
      <c r="DXE395" s="173"/>
      <c r="DXF395" s="125"/>
      <c r="DXG395" s="125"/>
      <c r="DXH395" s="134"/>
      <c r="DXI395" s="135"/>
      <c r="DXJ395" s="135"/>
      <c r="DXK395" s="135"/>
      <c r="DXL395" s="135"/>
      <c r="DXM395" s="173"/>
      <c r="DXN395" s="173"/>
      <c r="DXO395" s="173"/>
      <c r="DXP395" s="173"/>
      <c r="DXQ395" s="173"/>
      <c r="DXR395" s="173"/>
      <c r="DXS395" s="173"/>
      <c r="DXT395" s="173"/>
      <c r="DXU395" s="173"/>
      <c r="DXV395" s="173"/>
      <c r="DXW395" s="125"/>
      <c r="DXX395" s="125"/>
      <c r="DXY395" s="134"/>
      <c r="DXZ395" s="135"/>
      <c r="DYA395" s="135"/>
      <c r="DYB395" s="135"/>
      <c r="DYC395" s="135"/>
      <c r="DYD395" s="173"/>
      <c r="DYE395" s="173"/>
      <c r="DYF395" s="173"/>
      <c r="DYG395" s="173"/>
      <c r="DYH395" s="173"/>
      <c r="DYI395" s="173"/>
      <c r="DYJ395" s="173"/>
      <c r="DYK395" s="173"/>
      <c r="DYL395" s="173"/>
      <c r="DYM395" s="173"/>
      <c r="DYN395" s="125"/>
      <c r="DYO395" s="125"/>
      <c r="DYP395" s="134"/>
      <c r="DYQ395" s="135"/>
      <c r="DYR395" s="135"/>
      <c r="DYS395" s="135"/>
      <c r="DYT395" s="135"/>
      <c r="DYU395" s="173"/>
      <c r="DYV395" s="173"/>
      <c r="DYW395" s="173"/>
      <c r="DYX395" s="173"/>
      <c r="DYY395" s="173"/>
      <c r="DYZ395" s="173"/>
      <c r="DZA395" s="173"/>
      <c r="DZB395" s="173"/>
      <c r="DZC395" s="173"/>
      <c r="DZD395" s="173"/>
      <c r="DZE395" s="125"/>
      <c r="DZF395" s="125"/>
      <c r="DZG395" s="134"/>
      <c r="DZH395" s="135"/>
      <c r="DZI395" s="135"/>
      <c r="DZJ395" s="135"/>
      <c r="DZK395" s="135"/>
      <c r="DZL395" s="173"/>
      <c r="DZM395" s="173"/>
      <c r="DZN395" s="173"/>
      <c r="DZO395" s="173"/>
      <c r="DZP395" s="173"/>
      <c r="DZQ395" s="173"/>
      <c r="DZR395" s="173"/>
      <c r="DZS395" s="173"/>
      <c r="DZT395" s="173"/>
      <c r="DZU395" s="173"/>
      <c r="DZV395" s="125"/>
      <c r="DZW395" s="125"/>
      <c r="DZX395" s="134"/>
      <c r="DZY395" s="135"/>
      <c r="DZZ395" s="135"/>
      <c r="EAA395" s="135"/>
      <c r="EAB395" s="135"/>
      <c r="EAC395" s="173"/>
      <c r="EAD395" s="173"/>
      <c r="EAE395" s="173"/>
      <c r="EAF395" s="173"/>
      <c r="EAG395" s="173"/>
      <c r="EAH395" s="173"/>
      <c r="EAI395" s="173"/>
      <c r="EAJ395" s="173"/>
      <c r="EAK395" s="173"/>
      <c r="EAL395" s="173"/>
      <c r="EAM395" s="125"/>
      <c r="EAN395" s="125"/>
      <c r="EAO395" s="134"/>
      <c r="EAP395" s="135"/>
      <c r="EAQ395" s="135"/>
      <c r="EAR395" s="135"/>
      <c r="EAS395" s="135"/>
      <c r="EAT395" s="173"/>
      <c r="EAU395" s="173"/>
      <c r="EAV395" s="173"/>
      <c r="EAW395" s="173"/>
      <c r="EAX395" s="173"/>
      <c r="EAY395" s="173"/>
      <c r="EAZ395" s="173"/>
      <c r="EBA395" s="173"/>
      <c r="EBB395" s="173"/>
      <c r="EBC395" s="173"/>
      <c r="EBD395" s="125"/>
      <c r="EBE395" s="125"/>
      <c r="EBF395" s="134"/>
      <c r="EBG395" s="135"/>
      <c r="EBH395" s="135"/>
      <c r="EBI395" s="135"/>
      <c r="EBJ395" s="135"/>
      <c r="EBK395" s="173"/>
      <c r="EBL395" s="173"/>
      <c r="EBM395" s="173"/>
      <c r="EBN395" s="173"/>
      <c r="EBO395" s="173"/>
      <c r="EBP395" s="173"/>
      <c r="EBQ395" s="173"/>
      <c r="EBR395" s="173"/>
      <c r="EBS395" s="173"/>
      <c r="EBT395" s="173"/>
      <c r="EBU395" s="125"/>
      <c r="EBV395" s="125"/>
      <c r="EBW395" s="134"/>
      <c r="EBX395" s="135"/>
      <c r="EBY395" s="135"/>
      <c r="EBZ395" s="135"/>
      <c r="ECA395" s="135"/>
      <c r="ECB395" s="173"/>
      <c r="ECC395" s="173"/>
      <c r="ECD395" s="173"/>
      <c r="ECE395" s="173"/>
      <c r="ECF395" s="173"/>
      <c r="ECG395" s="173"/>
      <c r="ECH395" s="173"/>
      <c r="ECI395" s="173"/>
      <c r="ECJ395" s="173"/>
      <c r="ECK395" s="173"/>
      <c r="ECL395" s="125"/>
      <c r="ECM395" s="125"/>
      <c r="ECN395" s="134"/>
      <c r="ECO395" s="135"/>
      <c r="ECP395" s="135"/>
      <c r="ECQ395" s="135"/>
      <c r="ECR395" s="135"/>
      <c r="ECS395" s="173"/>
      <c r="ECT395" s="173"/>
      <c r="ECU395" s="173"/>
      <c r="ECV395" s="173"/>
      <c r="ECW395" s="173"/>
      <c r="ECX395" s="173"/>
      <c r="ECY395" s="173"/>
      <c r="ECZ395" s="173"/>
      <c r="EDA395" s="173"/>
      <c r="EDB395" s="173"/>
      <c r="EDC395" s="125"/>
      <c r="EDD395" s="125"/>
      <c r="EDE395" s="134"/>
      <c r="EDF395" s="135"/>
      <c r="EDG395" s="135"/>
      <c r="EDH395" s="135"/>
      <c r="EDI395" s="135"/>
      <c r="EDJ395" s="173"/>
      <c r="EDK395" s="173"/>
      <c r="EDL395" s="173"/>
      <c r="EDM395" s="173"/>
      <c r="EDN395" s="173"/>
      <c r="EDO395" s="173"/>
      <c r="EDP395" s="173"/>
      <c r="EDQ395" s="173"/>
      <c r="EDR395" s="173"/>
      <c r="EDS395" s="173"/>
      <c r="EDT395" s="125"/>
      <c r="EDU395" s="125"/>
      <c r="EDV395" s="134"/>
      <c r="EDW395" s="135"/>
      <c r="EDX395" s="135"/>
      <c r="EDY395" s="135"/>
      <c r="EDZ395" s="135"/>
      <c r="EEA395" s="173"/>
      <c r="EEB395" s="173"/>
      <c r="EEC395" s="173"/>
      <c r="EED395" s="173"/>
      <c r="EEE395" s="173"/>
      <c r="EEF395" s="173"/>
      <c r="EEG395" s="173"/>
      <c r="EEH395" s="173"/>
      <c r="EEI395" s="173"/>
      <c r="EEJ395" s="173"/>
      <c r="EEK395" s="125"/>
      <c r="EEL395" s="125"/>
      <c r="EEM395" s="134"/>
      <c r="EEN395" s="135"/>
      <c r="EEO395" s="135"/>
      <c r="EEP395" s="135"/>
      <c r="EEQ395" s="135"/>
      <c r="EER395" s="173"/>
      <c r="EES395" s="173"/>
      <c r="EET395" s="173"/>
      <c r="EEU395" s="173"/>
      <c r="EEV395" s="173"/>
      <c r="EEW395" s="173"/>
      <c r="EEX395" s="173"/>
      <c r="EEY395" s="173"/>
      <c r="EEZ395" s="173"/>
      <c r="EFA395" s="173"/>
      <c r="EFB395" s="125"/>
      <c r="EFC395" s="125"/>
      <c r="EFD395" s="134"/>
      <c r="EFE395" s="135"/>
      <c r="EFF395" s="135"/>
      <c r="EFG395" s="135"/>
      <c r="EFH395" s="135"/>
      <c r="EFI395" s="173"/>
      <c r="EFJ395" s="173"/>
      <c r="EFK395" s="173"/>
      <c r="EFL395" s="173"/>
      <c r="EFM395" s="173"/>
      <c r="EFN395" s="173"/>
      <c r="EFO395" s="173"/>
      <c r="EFP395" s="173"/>
      <c r="EFQ395" s="173"/>
      <c r="EFR395" s="173"/>
      <c r="EFS395" s="125"/>
      <c r="EFT395" s="125"/>
      <c r="EFU395" s="134"/>
      <c r="EFV395" s="135"/>
      <c r="EFW395" s="135"/>
      <c r="EFX395" s="135"/>
      <c r="EFY395" s="135"/>
      <c r="EFZ395" s="173"/>
      <c r="EGA395" s="173"/>
      <c r="EGB395" s="173"/>
      <c r="EGC395" s="173"/>
      <c r="EGD395" s="173"/>
      <c r="EGE395" s="173"/>
      <c r="EGF395" s="173"/>
      <c r="EGG395" s="173"/>
      <c r="EGH395" s="173"/>
      <c r="EGI395" s="173"/>
      <c r="EGJ395" s="125"/>
      <c r="EGK395" s="125"/>
      <c r="EGL395" s="134"/>
      <c r="EGM395" s="135"/>
      <c r="EGN395" s="135"/>
      <c r="EGO395" s="135"/>
      <c r="EGP395" s="135"/>
      <c r="EGQ395" s="173"/>
      <c r="EGR395" s="173"/>
      <c r="EGS395" s="173"/>
      <c r="EGT395" s="173"/>
      <c r="EGU395" s="173"/>
      <c r="EGV395" s="173"/>
      <c r="EGW395" s="173"/>
      <c r="EGX395" s="173"/>
      <c r="EGY395" s="173"/>
      <c r="EGZ395" s="173"/>
      <c r="EHA395" s="125"/>
      <c r="EHB395" s="125"/>
      <c r="EHC395" s="134"/>
      <c r="EHD395" s="135"/>
      <c r="EHE395" s="135"/>
      <c r="EHF395" s="135"/>
      <c r="EHG395" s="135"/>
      <c r="EHH395" s="173"/>
      <c r="EHI395" s="173"/>
      <c r="EHJ395" s="173"/>
      <c r="EHK395" s="173"/>
      <c r="EHL395" s="173"/>
      <c r="EHM395" s="173"/>
      <c r="EHN395" s="173"/>
      <c r="EHO395" s="173"/>
      <c r="EHP395" s="173"/>
      <c r="EHQ395" s="173"/>
      <c r="EHR395" s="125"/>
      <c r="EHS395" s="125"/>
      <c r="EHT395" s="134"/>
      <c r="EHU395" s="135"/>
      <c r="EHV395" s="135"/>
      <c r="EHW395" s="135"/>
      <c r="EHX395" s="135"/>
      <c r="EHY395" s="173"/>
      <c r="EHZ395" s="173"/>
      <c r="EIA395" s="173"/>
      <c r="EIB395" s="173"/>
      <c r="EIC395" s="173"/>
      <c r="EID395" s="173"/>
      <c r="EIE395" s="173"/>
      <c r="EIF395" s="173"/>
      <c r="EIG395" s="173"/>
      <c r="EIH395" s="173"/>
      <c r="EII395" s="125"/>
      <c r="EIJ395" s="125"/>
      <c r="EIK395" s="134"/>
      <c r="EIL395" s="135"/>
      <c r="EIM395" s="135"/>
      <c r="EIN395" s="135"/>
      <c r="EIO395" s="135"/>
      <c r="EIP395" s="173"/>
      <c r="EIQ395" s="173"/>
      <c r="EIR395" s="173"/>
      <c r="EIS395" s="173"/>
      <c r="EIT395" s="173"/>
      <c r="EIU395" s="173"/>
      <c r="EIV395" s="173"/>
      <c r="EIW395" s="173"/>
      <c r="EIX395" s="173"/>
      <c r="EIY395" s="173"/>
      <c r="EIZ395" s="125"/>
      <c r="EJA395" s="125"/>
      <c r="EJB395" s="134"/>
      <c r="EJC395" s="135"/>
      <c r="EJD395" s="135"/>
      <c r="EJE395" s="135"/>
      <c r="EJF395" s="135"/>
      <c r="EJG395" s="173"/>
      <c r="EJH395" s="173"/>
      <c r="EJI395" s="173"/>
      <c r="EJJ395" s="173"/>
      <c r="EJK395" s="173"/>
      <c r="EJL395" s="173"/>
      <c r="EJM395" s="173"/>
      <c r="EJN395" s="173"/>
      <c r="EJO395" s="173"/>
      <c r="EJP395" s="173"/>
      <c r="EJQ395" s="125"/>
      <c r="EJR395" s="125"/>
      <c r="EJS395" s="134"/>
      <c r="EJT395" s="135"/>
      <c r="EJU395" s="135"/>
      <c r="EJV395" s="135"/>
      <c r="EJW395" s="135"/>
      <c r="EJX395" s="173"/>
      <c r="EJY395" s="173"/>
      <c r="EJZ395" s="173"/>
      <c r="EKA395" s="173"/>
      <c r="EKB395" s="173"/>
      <c r="EKC395" s="173"/>
      <c r="EKD395" s="173"/>
      <c r="EKE395" s="173"/>
      <c r="EKF395" s="173"/>
      <c r="EKG395" s="173"/>
      <c r="EKH395" s="125"/>
      <c r="EKI395" s="125"/>
      <c r="EKJ395" s="134"/>
      <c r="EKK395" s="135"/>
      <c r="EKL395" s="135"/>
      <c r="EKM395" s="135"/>
      <c r="EKN395" s="135"/>
      <c r="EKO395" s="173"/>
      <c r="EKP395" s="173"/>
      <c r="EKQ395" s="173"/>
      <c r="EKR395" s="173"/>
      <c r="EKS395" s="173"/>
      <c r="EKT395" s="173"/>
      <c r="EKU395" s="173"/>
      <c r="EKV395" s="173"/>
      <c r="EKW395" s="173"/>
      <c r="EKX395" s="173"/>
      <c r="EKY395" s="125"/>
      <c r="EKZ395" s="125"/>
      <c r="ELA395" s="134"/>
      <c r="ELB395" s="135"/>
      <c r="ELC395" s="135"/>
      <c r="ELD395" s="135"/>
      <c r="ELE395" s="135"/>
      <c r="ELF395" s="173"/>
      <c r="ELG395" s="173"/>
      <c r="ELH395" s="173"/>
      <c r="ELI395" s="173"/>
      <c r="ELJ395" s="173"/>
      <c r="ELK395" s="173"/>
      <c r="ELL395" s="173"/>
      <c r="ELM395" s="173"/>
      <c r="ELN395" s="173"/>
      <c r="ELO395" s="173"/>
      <c r="ELP395" s="125"/>
      <c r="ELQ395" s="125"/>
      <c r="ELR395" s="134"/>
      <c r="ELS395" s="135"/>
      <c r="ELT395" s="135"/>
      <c r="ELU395" s="135"/>
      <c r="ELV395" s="135"/>
      <c r="ELW395" s="173"/>
      <c r="ELX395" s="173"/>
      <c r="ELY395" s="173"/>
      <c r="ELZ395" s="173"/>
      <c r="EMA395" s="173"/>
      <c r="EMB395" s="173"/>
      <c r="EMC395" s="173"/>
      <c r="EMD395" s="173"/>
      <c r="EME395" s="173"/>
      <c r="EMF395" s="173"/>
      <c r="EMG395" s="125"/>
      <c r="EMH395" s="125"/>
      <c r="EMI395" s="134"/>
      <c r="EMJ395" s="135"/>
      <c r="EMK395" s="135"/>
      <c r="EML395" s="135"/>
      <c r="EMM395" s="135"/>
      <c r="EMN395" s="173"/>
      <c r="EMO395" s="173"/>
      <c r="EMP395" s="173"/>
      <c r="EMQ395" s="173"/>
      <c r="EMR395" s="173"/>
      <c r="EMS395" s="173"/>
      <c r="EMT395" s="173"/>
      <c r="EMU395" s="173"/>
      <c r="EMV395" s="173"/>
      <c r="EMW395" s="173"/>
      <c r="EMX395" s="125"/>
      <c r="EMY395" s="125"/>
      <c r="EMZ395" s="134"/>
      <c r="ENA395" s="135"/>
      <c r="ENB395" s="135"/>
      <c r="ENC395" s="135"/>
      <c r="END395" s="135"/>
      <c r="ENE395" s="173"/>
      <c r="ENF395" s="173"/>
      <c r="ENG395" s="173"/>
      <c r="ENH395" s="173"/>
      <c r="ENI395" s="173"/>
      <c r="ENJ395" s="173"/>
      <c r="ENK395" s="173"/>
      <c r="ENL395" s="173"/>
      <c r="ENM395" s="173"/>
      <c r="ENN395" s="173"/>
      <c r="ENO395" s="125"/>
      <c r="ENP395" s="125"/>
      <c r="ENQ395" s="134"/>
      <c r="ENR395" s="135"/>
      <c r="ENS395" s="135"/>
      <c r="ENT395" s="135"/>
      <c r="ENU395" s="135"/>
      <c r="ENV395" s="173"/>
      <c r="ENW395" s="173"/>
      <c r="ENX395" s="173"/>
      <c r="ENY395" s="173"/>
      <c r="ENZ395" s="173"/>
      <c r="EOA395" s="173"/>
      <c r="EOB395" s="173"/>
      <c r="EOC395" s="173"/>
      <c r="EOD395" s="173"/>
      <c r="EOE395" s="173"/>
      <c r="EOF395" s="125"/>
      <c r="EOG395" s="125"/>
      <c r="EOH395" s="134"/>
      <c r="EOI395" s="135"/>
      <c r="EOJ395" s="135"/>
      <c r="EOK395" s="135"/>
      <c r="EOL395" s="135"/>
      <c r="EOM395" s="173"/>
      <c r="EON395" s="173"/>
      <c r="EOO395" s="173"/>
      <c r="EOP395" s="173"/>
      <c r="EOQ395" s="173"/>
      <c r="EOR395" s="173"/>
      <c r="EOS395" s="173"/>
      <c r="EOT395" s="173"/>
      <c r="EOU395" s="173"/>
      <c r="EOV395" s="173"/>
      <c r="EOW395" s="125"/>
      <c r="EOX395" s="125"/>
      <c r="EOY395" s="134"/>
      <c r="EOZ395" s="135"/>
      <c r="EPA395" s="135"/>
      <c r="EPB395" s="135"/>
      <c r="EPC395" s="135"/>
      <c r="EPD395" s="173"/>
      <c r="EPE395" s="173"/>
      <c r="EPF395" s="173"/>
      <c r="EPG395" s="173"/>
      <c r="EPH395" s="173"/>
      <c r="EPI395" s="173"/>
      <c r="EPJ395" s="173"/>
      <c r="EPK395" s="173"/>
      <c r="EPL395" s="173"/>
      <c r="EPM395" s="173"/>
      <c r="EPN395" s="125"/>
      <c r="EPO395" s="125"/>
      <c r="EPP395" s="134"/>
      <c r="EPQ395" s="135"/>
      <c r="EPR395" s="135"/>
      <c r="EPS395" s="135"/>
      <c r="EPT395" s="135"/>
      <c r="EPU395" s="173"/>
      <c r="EPV395" s="173"/>
      <c r="EPW395" s="173"/>
      <c r="EPX395" s="173"/>
      <c r="EPY395" s="173"/>
      <c r="EPZ395" s="173"/>
      <c r="EQA395" s="173"/>
      <c r="EQB395" s="173"/>
      <c r="EQC395" s="173"/>
      <c r="EQD395" s="173"/>
      <c r="EQE395" s="125"/>
      <c r="EQF395" s="125"/>
      <c r="EQG395" s="134"/>
      <c r="EQH395" s="135"/>
      <c r="EQI395" s="135"/>
      <c r="EQJ395" s="135"/>
      <c r="EQK395" s="135"/>
      <c r="EQL395" s="173"/>
      <c r="EQM395" s="173"/>
      <c r="EQN395" s="173"/>
      <c r="EQO395" s="173"/>
      <c r="EQP395" s="173"/>
      <c r="EQQ395" s="173"/>
      <c r="EQR395" s="173"/>
      <c r="EQS395" s="173"/>
      <c r="EQT395" s="173"/>
      <c r="EQU395" s="173"/>
      <c r="EQV395" s="125"/>
      <c r="EQW395" s="125"/>
      <c r="EQX395" s="134"/>
      <c r="EQY395" s="135"/>
      <c r="EQZ395" s="135"/>
      <c r="ERA395" s="135"/>
      <c r="ERB395" s="135"/>
      <c r="ERC395" s="173"/>
      <c r="ERD395" s="173"/>
      <c r="ERE395" s="173"/>
      <c r="ERF395" s="173"/>
      <c r="ERG395" s="173"/>
      <c r="ERH395" s="173"/>
      <c r="ERI395" s="173"/>
      <c r="ERJ395" s="173"/>
      <c r="ERK395" s="173"/>
      <c r="ERL395" s="173"/>
      <c r="ERM395" s="125"/>
      <c r="ERN395" s="125"/>
      <c r="ERO395" s="134"/>
      <c r="ERP395" s="135"/>
      <c r="ERQ395" s="135"/>
      <c r="ERR395" s="135"/>
      <c r="ERS395" s="135"/>
      <c r="ERT395" s="173"/>
      <c r="ERU395" s="173"/>
      <c r="ERV395" s="173"/>
      <c r="ERW395" s="173"/>
      <c r="ERX395" s="173"/>
      <c r="ERY395" s="173"/>
      <c r="ERZ395" s="173"/>
      <c r="ESA395" s="173"/>
      <c r="ESB395" s="173"/>
      <c r="ESC395" s="173"/>
      <c r="ESD395" s="125"/>
      <c r="ESE395" s="125"/>
      <c r="ESF395" s="134"/>
      <c r="ESG395" s="135"/>
      <c r="ESH395" s="135"/>
      <c r="ESI395" s="135"/>
      <c r="ESJ395" s="135"/>
      <c r="ESK395" s="173"/>
      <c r="ESL395" s="173"/>
      <c r="ESM395" s="173"/>
      <c r="ESN395" s="173"/>
      <c r="ESO395" s="173"/>
      <c r="ESP395" s="173"/>
      <c r="ESQ395" s="173"/>
      <c r="ESR395" s="173"/>
      <c r="ESS395" s="173"/>
      <c r="EST395" s="173"/>
      <c r="ESU395" s="125"/>
      <c r="ESV395" s="125"/>
      <c r="ESW395" s="134"/>
      <c r="ESX395" s="135"/>
      <c r="ESY395" s="135"/>
      <c r="ESZ395" s="135"/>
      <c r="ETA395" s="135"/>
      <c r="ETB395" s="173"/>
      <c r="ETC395" s="173"/>
      <c r="ETD395" s="173"/>
      <c r="ETE395" s="173"/>
      <c r="ETF395" s="173"/>
      <c r="ETG395" s="173"/>
      <c r="ETH395" s="173"/>
      <c r="ETI395" s="173"/>
      <c r="ETJ395" s="173"/>
      <c r="ETK395" s="173"/>
      <c r="ETL395" s="125"/>
      <c r="ETM395" s="125"/>
      <c r="ETN395" s="134"/>
      <c r="ETO395" s="135"/>
      <c r="ETP395" s="135"/>
      <c r="ETQ395" s="135"/>
      <c r="ETR395" s="135"/>
      <c r="ETS395" s="173"/>
      <c r="ETT395" s="173"/>
      <c r="ETU395" s="173"/>
      <c r="ETV395" s="173"/>
      <c r="ETW395" s="173"/>
      <c r="ETX395" s="173"/>
      <c r="ETY395" s="173"/>
      <c r="ETZ395" s="173"/>
      <c r="EUA395" s="173"/>
      <c r="EUB395" s="173"/>
      <c r="EUC395" s="125"/>
      <c r="EUD395" s="125"/>
      <c r="EUE395" s="134"/>
      <c r="EUF395" s="135"/>
      <c r="EUG395" s="135"/>
      <c r="EUH395" s="135"/>
      <c r="EUI395" s="135"/>
      <c r="EUJ395" s="173"/>
      <c r="EUK395" s="173"/>
      <c r="EUL395" s="173"/>
      <c r="EUM395" s="173"/>
      <c r="EUN395" s="173"/>
      <c r="EUO395" s="173"/>
      <c r="EUP395" s="173"/>
      <c r="EUQ395" s="173"/>
      <c r="EUR395" s="173"/>
      <c r="EUS395" s="173"/>
      <c r="EUT395" s="125"/>
      <c r="EUU395" s="125"/>
      <c r="EUV395" s="134"/>
      <c r="EUW395" s="135"/>
      <c r="EUX395" s="135"/>
      <c r="EUY395" s="135"/>
      <c r="EUZ395" s="135"/>
      <c r="EVA395" s="173"/>
      <c r="EVB395" s="173"/>
      <c r="EVC395" s="173"/>
      <c r="EVD395" s="173"/>
      <c r="EVE395" s="173"/>
      <c r="EVF395" s="173"/>
      <c r="EVG395" s="173"/>
      <c r="EVH395" s="173"/>
      <c r="EVI395" s="173"/>
      <c r="EVJ395" s="173"/>
      <c r="EVK395" s="125"/>
      <c r="EVL395" s="125"/>
      <c r="EVM395" s="134"/>
      <c r="EVN395" s="135"/>
      <c r="EVO395" s="135"/>
      <c r="EVP395" s="135"/>
      <c r="EVQ395" s="135"/>
      <c r="EVR395" s="173"/>
      <c r="EVS395" s="173"/>
      <c r="EVT395" s="173"/>
      <c r="EVU395" s="173"/>
      <c r="EVV395" s="173"/>
      <c r="EVW395" s="173"/>
      <c r="EVX395" s="173"/>
      <c r="EVY395" s="173"/>
      <c r="EVZ395" s="173"/>
      <c r="EWA395" s="173"/>
      <c r="EWB395" s="125"/>
      <c r="EWC395" s="125"/>
      <c r="EWD395" s="134"/>
      <c r="EWE395" s="135"/>
      <c r="EWF395" s="135"/>
      <c r="EWG395" s="135"/>
      <c r="EWH395" s="135"/>
      <c r="EWI395" s="173"/>
      <c r="EWJ395" s="173"/>
      <c r="EWK395" s="173"/>
      <c r="EWL395" s="173"/>
      <c r="EWM395" s="173"/>
      <c r="EWN395" s="173"/>
      <c r="EWO395" s="173"/>
      <c r="EWP395" s="173"/>
      <c r="EWQ395" s="173"/>
      <c r="EWR395" s="173"/>
      <c r="EWS395" s="125"/>
      <c r="EWT395" s="125"/>
      <c r="EWU395" s="134"/>
      <c r="EWV395" s="135"/>
      <c r="EWW395" s="135"/>
      <c r="EWX395" s="135"/>
      <c r="EWY395" s="135"/>
      <c r="EWZ395" s="173"/>
      <c r="EXA395" s="173"/>
      <c r="EXB395" s="173"/>
      <c r="EXC395" s="173"/>
      <c r="EXD395" s="173"/>
      <c r="EXE395" s="173"/>
      <c r="EXF395" s="173"/>
      <c r="EXG395" s="173"/>
      <c r="EXH395" s="173"/>
      <c r="EXI395" s="173"/>
      <c r="EXJ395" s="125"/>
      <c r="EXK395" s="125"/>
      <c r="EXL395" s="134"/>
      <c r="EXM395" s="135"/>
      <c r="EXN395" s="135"/>
      <c r="EXO395" s="135"/>
      <c r="EXP395" s="135"/>
      <c r="EXQ395" s="173"/>
      <c r="EXR395" s="173"/>
      <c r="EXS395" s="173"/>
      <c r="EXT395" s="173"/>
      <c r="EXU395" s="173"/>
      <c r="EXV395" s="173"/>
      <c r="EXW395" s="173"/>
      <c r="EXX395" s="173"/>
      <c r="EXY395" s="173"/>
      <c r="EXZ395" s="173"/>
      <c r="EYA395" s="125"/>
      <c r="EYB395" s="125"/>
      <c r="EYC395" s="134"/>
      <c r="EYD395" s="135"/>
      <c r="EYE395" s="135"/>
      <c r="EYF395" s="135"/>
      <c r="EYG395" s="135"/>
      <c r="EYH395" s="173"/>
      <c r="EYI395" s="173"/>
      <c r="EYJ395" s="173"/>
      <c r="EYK395" s="173"/>
      <c r="EYL395" s="173"/>
      <c r="EYM395" s="173"/>
      <c r="EYN395" s="173"/>
      <c r="EYO395" s="173"/>
      <c r="EYP395" s="173"/>
      <c r="EYQ395" s="173"/>
      <c r="EYR395" s="125"/>
      <c r="EYS395" s="125"/>
      <c r="EYT395" s="134"/>
      <c r="EYU395" s="135"/>
      <c r="EYV395" s="135"/>
      <c r="EYW395" s="135"/>
      <c r="EYX395" s="135"/>
      <c r="EYY395" s="173"/>
      <c r="EYZ395" s="173"/>
      <c r="EZA395" s="173"/>
      <c r="EZB395" s="173"/>
      <c r="EZC395" s="173"/>
      <c r="EZD395" s="173"/>
      <c r="EZE395" s="173"/>
      <c r="EZF395" s="173"/>
      <c r="EZG395" s="173"/>
      <c r="EZH395" s="173"/>
      <c r="EZI395" s="125"/>
      <c r="EZJ395" s="125"/>
      <c r="EZK395" s="134"/>
      <c r="EZL395" s="135"/>
      <c r="EZM395" s="135"/>
      <c r="EZN395" s="135"/>
      <c r="EZO395" s="135"/>
      <c r="EZP395" s="173"/>
      <c r="EZQ395" s="173"/>
      <c r="EZR395" s="173"/>
      <c r="EZS395" s="173"/>
      <c r="EZT395" s="173"/>
      <c r="EZU395" s="173"/>
      <c r="EZV395" s="173"/>
      <c r="EZW395" s="173"/>
      <c r="EZX395" s="173"/>
      <c r="EZY395" s="173"/>
      <c r="EZZ395" s="125"/>
      <c r="FAA395" s="125"/>
      <c r="FAB395" s="134"/>
      <c r="FAC395" s="135"/>
      <c r="FAD395" s="135"/>
      <c r="FAE395" s="135"/>
      <c r="FAF395" s="135"/>
      <c r="FAG395" s="173"/>
      <c r="FAH395" s="173"/>
      <c r="FAI395" s="173"/>
      <c r="FAJ395" s="173"/>
      <c r="FAK395" s="173"/>
      <c r="FAL395" s="173"/>
      <c r="FAM395" s="173"/>
      <c r="FAN395" s="173"/>
      <c r="FAO395" s="173"/>
      <c r="FAP395" s="173"/>
      <c r="FAQ395" s="125"/>
      <c r="FAR395" s="125"/>
      <c r="FAS395" s="134"/>
      <c r="FAT395" s="135"/>
      <c r="FAU395" s="135"/>
      <c r="FAV395" s="135"/>
      <c r="FAW395" s="135"/>
      <c r="FAX395" s="173"/>
      <c r="FAY395" s="173"/>
      <c r="FAZ395" s="173"/>
      <c r="FBA395" s="173"/>
      <c r="FBB395" s="173"/>
      <c r="FBC395" s="173"/>
      <c r="FBD395" s="173"/>
      <c r="FBE395" s="173"/>
      <c r="FBF395" s="173"/>
      <c r="FBG395" s="173"/>
      <c r="FBH395" s="125"/>
      <c r="FBI395" s="125"/>
      <c r="FBJ395" s="134"/>
      <c r="FBK395" s="135"/>
      <c r="FBL395" s="135"/>
      <c r="FBM395" s="135"/>
      <c r="FBN395" s="135"/>
      <c r="FBO395" s="173"/>
      <c r="FBP395" s="173"/>
      <c r="FBQ395" s="173"/>
      <c r="FBR395" s="173"/>
      <c r="FBS395" s="173"/>
      <c r="FBT395" s="173"/>
      <c r="FBU395" s="173"/>
      <c r="FBV395" s="173"/>
      <c r="FBW395" s="173"/>
      <c r="FBX395" s="173"/>
      <c r="FBY395" s="125"/>
      <c r="FBZ395" s="125"/>
      <c r="FCA395" s="134"/>
      <c r="FCB395" s="135"/>
      <c r="FCC395" s="135"/>
      <c r="FCD395" s="135"/>
      <c r="FCE395" s="135"/>
      <c r="FCF395" s="173"/>
      <c r="FCG395" s="173"/>
      <c r="FCH395" s="173"/>
      <c r="FCI395" s="173"/>
      <c r="FCJ395" s="173"/>
      <c r="FCK395" s="173"/>
      <c r="FCL395" s="173"/>
      <c r="FCM395" s="173"/>
      <c r="FCN395" s="173"/>
      <c r="FCO395" s="173"/>
      <c r="FCP395" s="125"/>
      <c r="FCQ395" s="125"/>
      <c r="FCR395" s="134"/>
      <c r="FCS395" s="135"/>
      <c r="FCT395" s="135"/>
      <c r="FCU395" s="135"/>
      <c r="FCV395" s="135"/>
      <c r="FCW395" s="173"/>
      <c r="FCX395" s="173"/>
      <c r="FCY395" s="173"/>
      <c r="FCZ395" s="173"/>
      <c r="FDA395" s="173"/>
      <c r="FDB395" s="173"/>
      <c r="FDC395" s="173"/>
      <c r="FDD395" s="173"/>
      <c r="FDE395" s="173"/>
      <c r="FDF395" s="173"/>
      <c r="FDG395" s="125"/>
      <c r="FDH395" s="125"/>
      <c r="FDI395" s="134"/>
      <c r="FDJ395" s="135"/>
      <c r="FDK395" s="135"/>
      <c r="FDL395" s="135"/>
      <c r="FDM395" s="135"/>
      <c r="FDN395" s="173"/>
      <c r="FDO395" s="173"/>
      <c r="FDP395" s="173"/>
      <c r="FDQ395" s="173"/>
      <c r="FDR395" s="173"/>
      <c r="FDS395" s="173"/>
      <c r="FDT395" s="173"/>
      <c r="FDU395" s="173"/>
      <c r="FDV395" s="173"/>
      <c r="FDW395" s="173"/>
      <c r="FDX395" s="125"/>
      <c r="FDY395" s="125"/>
      <c r="FDZ395" s="134"/>
      <c r="FEA395" s="135"/>
      <c r="FEB395" s="135"/>
      <c r="FEC395" s="135"/>
      <c r="FED395" s="135"/>
      <c r="FEE395" s="173"/>
      <c r="FEF395" s="173"/>
      <c r="FEG395" s="173"/>
      <c r="FEH395" s="173"/>
      <c r="FEI395" s="173"/>
      <c r="FEJ395" s="173"/>
      <c r="FEK395" s="173"/>
      <c r="FEL395" s="173"/>
      <c r="FEM395" s="173"/>
      <c r="FEN395" s="173"/>
      <c r="FEO395" s="125"/>
      <c r="FEP395" s="125"/>
      <c r="FEQ395" s="134"/>
      <c r="FER395" s="135"/>
      <c r="FES395" s="135"/>
      <c r="FET395" s="135"/>
      <c r="FEU395" s="135"/>
      <c r="FEV395" s="173"/>
      <c r="FEW395" s="173"/>
      <c r="FEX395" s="173"/>
      <c r="FEY395" s="173"/>
      <c r="FEZ395" s="173"/>
      <c r="FFA395" s="173"/>
      <c r="FFB395" s="173"/>
      <c r="FFC395" s="173"/>
      <c r="FFD395" s="173"/>
      <c r="FFE395" s="173"/>
      <c r="FFF395" s="125"/>
      <c r="FFG395" s="125"/>
      <c r="FFH395" s="134"/>
      <c r="FFI395" s="135"/>
      <c r="FFJ395" s="135"/>
      <c r="FFK395" s="135"/>
      <c r="FFL395" s="135"/>
      <c r="FFM395" s="173"/>
      <c r="FFN395" s="173"/>
      <c r="FFO395" s="173"/>
      <c r="FFP395" s="173"/>
      <c r="FFQ395" s="173"/>
      <c r="FFR395" s="173"/>
      <c r="FFS395" s="173"/>
      <c r="FFT395" s="173"/>
      <c r="FFU395" s="173"/>
      <c r="FFV395" s="173"/>
      <c r="FFW395" s="125"/>
      <c r="FFX395" s="125"/>
      <c r="FFY395" s="134"/>
      <c r="FFZ395" s="135"/>
      <c r="FGA395" s="135"/>
      <c r="FGB395" s="135"/>
      <c r="FGC395" s="135"/>
      <c r="FGD395" s="173"/>
      <c r="FGE395" s="173"/>
      <c r="FGF395" s="173"/>
      <c r="FGG395" s="173"/>
      <c r="FGH395" s="173"/>
      <c r="FGI395" s="173"/>
      <c r="FGJ395" s="173"/>
      <c r="FGK395" s="173"/>
      <c r="FGL395" s="173"/>
      <c r="FGM395" s="173"/>
      <c r="FGN395" s="125"/>
      <c r="FGO395" s="125"/>
      <c r="FGP395" s="134"/>
      <c r="FGQ395" s="135"/>
      <c r="FGR395" s="135"/>
      <c r="FGS395" s="135"/>
      <c r="FGT395" s="135"/>
      <c r="FGU395" s="173"/>
      <c r="FGV395" s="173"/>
      <c r="FGW395" s="173"/>
      <c r="FGX395" s="173"/>
      <c r="FGY395" s="173"/>
      <c r="FGZ395" s="173"/>
      <c r="FHA395" s="173"/>
      <c r="FHB395" s="173"/>
      <c r="FHC395" s="173"/>
      <c r="FHD395" s="173"/>
      <c r="FHE395" s="125"/>
      <c r="FHF395" s="125"/>
      <c r="FHG395" s="134"/>
      <c r="FHH395" s="135"/>
      <c r="FHI395" s="135"/>
      <c r="FHJ395" s="135"/>
      <c r="FHK395" s="135"/>
      <c r="FHL395" s="173"/>
      <c r="FHM395" s="173"/>
      <c r="FHN395" s="173"/>
      <c r="FHO395" s="173"/>
      <c r="FHP395" s="173"/>
      <c r="FHQ395" s="173"/>
      <c r="FHR395" s="173"/>
      <c r="FHS395" s="173"/>
      <c r="FHT395" s="173"/>
      <c r="FHU395" s="173"/>
      <c r="FHV395" s="125"/>
      <c r="FHW395" s="125"/>
      <c r="FHX395" s="134"/>
      <c r="FHY395" s="135"/>
      <c r="FHZ395" s="135"/>
      <c r="FIA395" s="135"/>
      <c r="FIB395" s="135"/>
      <c r="FIC395" s="173"/>
      <c r="FID395" s="173"/>
      <c r="FIE395" s="173"/>
      <c r="FIF395" s="173"/>
      <c r="FIG395" s="173"/>
      <c r="FIH395" s="173"/>
      <c r="FII395" s="173"/>
      <c r="FIJ395" s="173"/>
      <c r="FIK395" s="173"/>
      <c r="FIL395" s="173"/>
      <c r="FIM395" s="125"/>
      <c r="FIN395" s="125"/>
      <c r="FIO395" s="134"/>
      <c r="FIP395" s="135"/>
      <c r="FIQ395" s="135"/>
      <c r="FIR395" s="135"/>
      <c r="FIS395" s="135"/>
      <c r="FIT395" s="173"/>
      <c r="FIU395" s="173"/>
      <c r="FIV395" s="173"/>
      <c r="FIW395" s="173"/>
      <c r="FIX395" s="173"/>
      <c r="FIY395" s="173"/>
      <c r="FIZ395" s="173"/>
      <c r="FJA395" s="173"/>
      <c r="FJB395" s="173"/>
      <c r="FJC395" s="173"/>
      <c r="FJD395" s="125"/>
      <c r="FJE395" s="125"/>
      <c r="FJF395" s="134"/>
      <c r="FJG395" s="135"/>
      <c r="FJH395" s="135"/>
      <c r="FJI395" s="135"/>
      <c r="FJJ395" s="135"/>
      <c r="FJK395" s="173"/>
      <c r="FJL395" s="173"/>
      <c r="FJM395" s="173"/>
      <c r="FJN395" s="173"/>
      <c r="FJO395" s="173"/>
      <c r="FJP395" s="173"/>
      <c r="FJQ395" s="173"/>
      <c r="FJR395" s="173"/>
      <c r="FJS395" s="173"/>
      <c r="FJT395" s="173"/>
      <c r="FJU395" s="125"/>
      <c r="FJV395" s="125"/>
      <c r="FJW395" s="134"/>
      <c r="FJX395" s="135"/>
      <c r="FJY395" s="135"/>
      <c r="FJZ395" s="135"/>
      <c r="FKA395" s="135"/>
      <c r="FKB395" s="173"/>
      <c r="FKC395" s="173"/>
      <c r="FKD395" s="173"/>
      <c r="FKE395" s="173"/>
      <c r="FKF395" s="173"/>
      <c r="FKG395" s="173"/>
      <c r="FKH395" s="173"/>
      <c r="FKI395" s="173"/>
      <c r="FKJ395" s="173"/>
      <c r="FKK395" s="173"/>
      <c r="FKL395" s="125"/>
      <c r="FKM395" s="125"/>
      <c r="FKN395" s="134"/>
      <c r="FKO395" s="135"/>
      <c r="FKP395" s="135"/>
      <c r="FKQ395" s="135"/>
      <c r="FKR395" s="135"/>
      <c r="FKS395" s="173"/>
      <c r="FKT395" s="173"/>
      <c r="FKU395" s="173"/>
      <c r="FKV395" s="173"/>
      <c r="FKW395" s="173"/>
      <c r="FKX395" s="173"/>
      <c r="FKY395" s="173"/>
      <c r="FKZ395" s="173"/>
      <c r="FLA395" s="173"/>
      <c r="FLB395" s="173"/>
      <c r="FLC395" s="125"/>
      <c r="FLD395" s="125"/>
      <c r="FLE395" s="134"/>
      <c r="FLF395" s="135"/>
      <c r="FLG395" s="135"/>
      <c r="FLH395" s="135"/>
      <c r="FLI395" s="135"/>
      <c r="FLJ395" s="173"/>
      <c r="FLK395" s="173"/>
      <c r="FLL395" s="173"/>
      <c r="FLM395" s="173"/>
      <c r="FLN395" s="173"/>
      <c r="FLO395" s="173"/>
      <c r="FLP395" s="173"/>
      <c r="FLQ395" s="173"/>
      <c r="FLR395" s="173"/>
      <c r="FLS395" s="173"/>
      <c r="FLT395" s="125"/>
      <c r="FLU395" s="125"/>
      <c r="FLV395" s="134"/>
      <c r="FLW395" s="135"/>
      <c r="FLX395" s="135"/>
      <c r="FLY395" s="135"/>
      <c r="FLZ395" s="135"/>
      <c r="FMA395" s="173"/>
      <c r="FMB395" s="173"/>
      <c r="FMC395" s="173"/>
      <c r="FMD395" s="173"/>
      <c r="FME395" s="173"/>
      <c r="FMF395" s="173"/>
      <c r="FMG395" s="173"/>
      <c r="FMH395" s="173"/>
      <c r="FMI395" s="173"/>
      <c r="FMJ395" s="173"/>
      <c r="FMK395" s="125"/>
      <c r="FML395" s="125"/>
      <c r="FMM395" s="134"/>
      <c r="FMN395" s="135"/>
      <c r="FMO395" s="135"/>
      <c r="FMP395" s="135"/>
      <c r="FMQ395" s="135"/>
      <c r="FMR395" s="173"/>
      <c r="FMS395" s="173"/>
      <c r="FMT395" s="173"/>
      <c r="FMU395" s="173"/>
      <c r="FMV395" s="173"/>
      <c r="FMW395" s="173"/>
      <c r="FMX395" s="173"/>
      <c r="FMY395" s="173"/>
      <c r="FMZ395" s="173"/>
      <c r="FNA395" s="173"/>
      <c r="FNB395" s="125"/>
      <c r="FNC395" s="125"/>
      <c r="FND395" s="134"/>
      <c r="FNE395" s="135"/>
      <c r="FNF395" s="135"/>
      <c r="FNG395" s="135"/>
      <c r="FNH395" s="135"/>
      <c r="FNI395" s="173"/>
      <c r="FNJ395" s="173"/>
      <c r="FNK395" s="173"/>
      <c r="FNL395" s="173"/>
      <c r="FNM395" s="173"/>
      <c r="FNN395" s="173"/>
      <c r="FNO395" s="173"/>
      <c r="FNP395" s="173"/>
      <c r="FNQ395" s="173"/>
      <c r="FNR395" s="173"/>
      <c r="FNS395" s="125"/>
      <c r="FNT395" s="125"/>
      <c r="FNU395" s="134"/>
      <c r="FNV395" s="135"/>
      <c r="FNW395" s="135"/>
      <c r="FNX395" s="135"/>
      <c r="FNY395" s="135"/>
      <c r="FNZ395" s="173"/>
      <c r="FOA395" s="173"/>
      <c r="FOB395" s="173"/>
      <c r="FOC395" s="173"/>
      <c r="FOD395" s="173"/>
      <c r="FOE395" s="173"/>
      <c r="FOF395" s="173"/>
      <c r="FOG395" s="173"/>
      <c r="FOH395" s="173"/>
      <c r="FOI395" s="173"/>
      <c r="FOJ395" s="125"/>
      <c r="FOK395" s="125"/>
      <c r="FOL395" s="134"/>
      <c r="FOM395" s="135"/>
      <c r="FON395" s="135"/>
      <c r="FOO395" s="135"/>
      <c r="FOP395" s="135"/>
      <c r="FOQ395" s="173"/>
      <c r="FOR395" s="173"/>
      <c r="FOS395" s="173"/>
      <c r="FOT395" s="173"/>
      <c r="FOU395" s="173"/>
      <c r="FOV395" s="173"/>
      <c r="FOW395" s="173"/>
      <c r="FOX395" s="173"/>
      <c r="FOY395" s="173"/>
      <c r="FOZ395" s="173"/>
      <c r="FPA395" s="125"/>
      <c r="FPB395" s="125"/>
      <c r="FPC395" s="134"/>
      <c r="FPD395" s="135"/>
      <c r="FPE395" s="135"/>
      <c r="FPF395" s="135"/>
      <c r="FPG395" s="135"/>
      <c r="FPH395" s="173"/>
      <c r="FPI395" s="173"/>
      <c r="FPJ395" s="173"/>
      <c r="FPK395" s="173"/>
      <c r="FPL395" s="173"/>
      <c r="FPM395" s="173"/>
      <c r="FPN395" s="173"/>
      <c r="FPO395" s="173"/>
      <c r="FPP395" s="173"/>
      <c r="FPQ395" s="173"/>
      <c r="FPR395" s="125"/>
      <c r="FPS395" s="125"/>
      <c r="FPT395" s="134"/>
      <c r="FPU395" s="135"/>
      <c r="FPV395" s="135"/>
      <c r="FPW395" s="135"/>
      <c r="FPX395" s="135"/>
      <c r="FPY395" s="173"/>
      <c r="FPZ395" s="173"/>
      <c r="FQA395" s="173"/>
      <c r="FQB395" s="173"/>
      <c r="FQC395" s="173"/>
      <c r="FQD395" s="173"/>
      <c r="FQE395" s="173"/>
      <c r="FQF395" s="173"/>
      <c r="FQG395" s="173"/>
      <c r="FQH395" s="173"/>
      <c r="FQI395" s="125"/>
      <c r="FQJ395" s="125"/>
      <c r="FQK395" s="134"/>
      <c r="FQL395" s="135"/>
      <c r="FQM395" s="135"/>
      <c r="FQN395" s="135"/>
      <c r="FQO395" s="135"/>
      <c r="FQP395" s="173"/>
      <c r="FQQ395" s="173"/>
      <c r="FQR395" s="173"/>
      <c r="FQS395" s="173"/>
      <c r="FQT395" s="173"/>
      <c r="FQU395" s="173"/>
      <c r="FQV395" s="173"/>
      <c r="FQW395" s="173"/>
      <c r="FQX395" s="173"/>
      <c r="FQY395" s="173"/>
      <c r="FQZ395" s="125"/>
      <c r="FRA395" s="125"/>
      <c r="FRB395" s="134"/>
      <c r="FRC395" s="135"/>
      <c r="FRD395" s="135"/>
      <c r="FRE395" s="135"/>
      <c r="FRF395" s="135"/>
      <c r="FRG395" s="173"/>
      <c r="FRH395" s="173"/>
      <c r="FRI395" s="173"/>
      <c r="FRJ395" s="173"/>
      <c r="FRK395" s="173"/>
      <c r="FRL395" s="173"/>
      <c r="FRM395" s="173"/>
      <c r="FRN395" s="173"/>
      <c r="FRO395" s="173"/>
      <c r="FRP395" s="173"/>
      <c r="FRQ395" s="125"/>
      <c r="FRR395" s="125"/>
      <c r="FRS395" s="134"/>
      <c r="FRT395" s="135"/>
      <c r="FRU395" s="135"/>
      <c r="FRV395" s="135"/>
      <c r="FRW395" s="135"/>
      <c r="FRX395" s="173"/>
      <c r="FRY395" s="173"/>
      <c r="FRZ395" s="173"/>
      <c r="FSA395" s="173"/>
      <c r="FSB395" s="173"/>
      <c r="FSC395" s="173"/>
      <c r="FSD395" s="173"/>
      <c r="FSE395" s="173"/>
      <c r="FSF395" s="173"/>
      <c r="FSG395" s="173"/>
      <c r="FSH395" s="125"/>
      <c r="FSI395" s="125"/>
      <c r="FSJ395" s="134"/>
      <c r="FSK395" s="135"/>
      <c r="FSL395" s="135"/>
      <c r="FSM395" s="135"/>
      <c r="FSN395" s="135"/>
      <c r="FSO395" s="173"/>
      <c r="FSP395" s="173"/>
      <c r="FSQ395" s="173"/>
      <c r="FSR395" s="173"/>
      <c r="FSS395" s="173"/>
      <c r="FST395" s="173"/>
      <c r="FSU395" s="173"/>
      <c r="FSV395" s="173"/>
      <c r="FSW395" s="173"/>
      <c r="FSX395" s="173"/>
      <c r="FSY395" s="125"/>
      <c r="FSZ395" s="125"/>
      <c r="FTA395" s="134"/>
      <c r="FTB395" s="135"/>
      <c r="FTC395" s="135"/>
      <c r="FTD395" s="135"/>
      <c r="FTE395" s="135"/>
      <c r="FTF395" s="173"/>
      <c r="FTG395" s="173"/>
      <c r="FTH395" s="173"/>
      <c r="FTI395" s="173"/>
      <c r="FTJ395" s="173"/>
      <c r="FTK395" s="173"/>
      <c r="FTL395" s="173"/>
      <c r="FTM395" s="173"/>
      <c r="FTN395" s="173"/>
      <c r="FTO395" s="173"/>
      <c r="FTP395" s="125"/>
      <c r="FTQ395" s="125"/>
      <c r="FTR395" s="134"/>
      <c r="FTS395" s="135"/>
      <c r="FTT395" s="135"/>
      <c r="FTU395" s="135"/>
      <c r="FTV395" s="135"/>
      <c r="FTW395" s="173"/>
      <c r="FTX395" s="173"/>
      <c r="FTY395" s="173"/>
      <c r="FTZ395" s="173"/>
      <c r="FUA395" s="173"/>
      <c r="FUB395" s="173"/>
      <c r="FUC395" s="173"/>
      <c r="FUD395" s="173"/>
      <c r="FUE395" s="173"/>
      <c r="FUF395" s="173"/>
      <c r="FUG395" s="125"/>
      <c r="FUH395" s="125"/>
      <c r="FUI395" s="134"/>
      <c r="FUJ395" s="135"/>
      <c r="FUK395" s="135"/>
      <c r="FUL395" s="135"/>
      <c r="FUM395" s="135"/>
      <c r="FUN395" s="173"/>
      <c r="FUO395" s="173"/>
      <c r="FUP395" s="173"/>
      <c r="FUQ395" s="173"/>
      <c r="FUR395" s="173"/>
      <c r="FUS395" s="173"/>
      <c r="FUT395" s="173"/>
      <c r="FUU395" s="173"/>
      <c r="FUV395" s="173"/>
      <c r="FUW395" s="173"/>
      <c r="FUX395" s="125"/>
      <c r="FUY395" s="125"/>
      <c r="FUZ395" s="134"/>
      <c r="FVA395" s="135"/>
      <c r="FVB395" s="135"/>
      <c r="FVC395" s="135"/>
      <c r="FVD395" s="135"/>
      <c r="FVE395" s="173"/>
      <c r="FVF395" s="173"/>
      <c r="FVG395" s="173"/>
      <c r="FVH395" s="173"/>
      <c r="FVI395" s="173"/>
      <c r="FVJ395" s="173"/>
      <c r="FVK395" s="173"/>
      <c r="FVL395" s="173"/>
      <c r="FVM395" s="173"/>
      <c r="FVN395" s="173"/>
      <c r="FVO395" s="125"/>
      <c r="FVP395" s="125"/>
      <c r="FVQ395" s="134"/>
      <c r="FVR395" s="135"/>
      <c r="FVS395" s="135"/>
      <c r="FVT395" s="135"/>
      <c r="FVU395" s="135"/>
      <c r="FVV395" s="173"/>
      <c r="FVW395" s="173"/>
      <c r="FVX395" s="173"/>
      <c r="FVY395" s="173"/>
      <c r="FVZ395" s="173"/>
      <c r="FWA395" s="173"/>
      <c r="FWB395" s="173"/>
      <c r="FWC395" s="173"/>
      <c r="FWD395" s="173"/>
      <c r="FWE395" s="173"/>
      <c r="FWF395" s="125"/>
      <c r="FWG395" s="125"/>
      <c r="FWH395" s="134"/>
      <c r="FWI395" s="135"/>
      <c r="FWJ395" s="135"/>
      <c r="FWK395" s="135"/>
      <c r="FWL395" s="135"/>
      <c r="FWM395" s="173"/>
      <c r="FWN395" s="173"/>
      <c r="FWO395" s="173"/>
      <c r="FWP395" s="173"/>
      <c r="FWQ395" s="173"/>
      <c r="FWR395" s="173"/>
      <c r="FWS395" s="173"/>
      <c r="FWT395" s="173"/>
      <c r="FWU395" s="173"/>
      <c r="FWV395" s="173"/>
      <c r="FWW395" s="125"/>
      <c r="FWX395" s="125"/>
      <c r="FWY395" s="134"/>
      <c r="FWZ395" s="135"/>
      <c r="FXA395" s="135"/>
      <c r="FXB395" s="135"/>
      <c r="FXC395" s="135"/>
      <c r="FXD395" s="173"/>
      <c r="FXE395" s="173"/>
      <c r="FXF395" s="173"/>
      <c r="FXG395" s="173"/>
      <c r="FXH395" s="173"/>
      <c r="FXI395" s="173"/>
      <c r="FXJ395" s="173"/>
      <c r="FXK395" s="173"/>
      <c r="FXL395" s="173"/>
      <c r="FXM395" s="173"/>
      <c r="FXN395" s="125"/>
      <c r="FXO395" s="125"/>
      <c r="FXP395" s="134"/>
      <c r="FXQ395" s="135"/>
      <c r="FXR395" s="135"/>
      <c r="FXS395" s="135"/>
      <c r="FXT395" s="135"/>
      <c r="FXU395" s="173"/>
      <c r="FXV395" s="173"/>
      <c r="FXW395" s="173"/>
      <c r="FXX395" s="173"/>
      <c r="FXY395" s="173"/>
      <c r="FXZ395" s="173"/>
      <c r="FYA395" s="173"/>
      <c r="FYB395" s="173"/>
      <c r="FYC395" s="173"/>
      <c r="FYD395" s="173"/>
      <c r="FYE395" s="125"/>
      <c r="FYF395" s="125"/>
      <c r="FYG395" s="134"/>
      <c r="FYH395" s="135"/>
      <c r="FYI395" s="135"/>
      <c r="FYJ395" s="135"/>
      <c r="FYK395" s="135"/>
      <c r="FYL395" s="173"/>
      <c r="FYM395" s="173"/>
      <c r="FYN395" s="173"/>
      <c r="FYO395" s="173"/>
      <c r="FYP395" s="173"/>
      <c r="FYQ395" s="173"/>
      <c r="FYR395" s="173"/>
      <c r="FYS395" s="173"/>
      <c r="FYT395" s="173"/>
      <c r="FYU395" s="173"/>
      <c r="FYV395" s="125"/>
      <c r="FYW395" s="125"/>
      <c r="FYX395" s="134"/>
      <c r="FYY395" s="135"/>
      <c r="FYZ395" s="135"/>
      <c r="FZA395" s="135"/>
      <c r="FZB395" s="135"/>
      <c r="FZC395" s="173"/>
      <c r="FZD395" s="173"/>
      <c r="FZE395" s="173"/>
      <c r="FZF395" s="173"/>
      <c r="FZG395" s="173"/>
      <c r="FZH395" s="173"/>
      <c r="FZI395" s="173"/>
      <c r="FZJ395" s="173"/>
      <c r="FZK395" s="173"/>
      <c r="FZL395" s="173"/>
      <c r="FZM395" s="125"/>
      <c r="FZN395" s="125"/>
      <c r="FZO395" s="134"/>
      <c r="FZP395" s="135"/>
      <c r="FZQ395" s="135"/>
      <c r="FZR395" s="135"/>
      <c r="FZS395" s="135"/>
      <c r="FZT395" s="173"/>
      <c r="FZU395" s="173"/>
      <c r="FZV395" s="173"/>
      <c r="FZW395" s="173"/>
      <c r="FZX395" s="173"/>
      <c r="FZY395" s="173"/>
      <c r="FZZ395" s="173"/>
      <c r="GAA395" s="173"/>
      <c r="GAB395" s="173"/>
      <c r="GAC395" s="173"/>
      <c r="GAD395" s="125"/>
      <c r="GAE395" s="125"/>
      <c r="GAF395" s="134"/>
      <c r="GAG395" s="135"/>
      <c r="GAH395" s="135"/>
      <c r="GAI395" s="135"/>
      <c r="GAJ395" s="135"/>
      <c r="GAK395" s="173"/>
      <c r="GAL395" s="173"/>
      <c r="GAM395" s="173"/>
      <c r="GAN395" s="173"/>
      <c r="GAO395" s="173"/>
      <c r="GAP395" s="173"/>
      <c r="GAQ395" s="173"/>
      <c r="GAR395" s="173"/>
      <c r="GAS395" s="173"/>
      <c r="GAT395" s="173"/>
      <c r="GAU395" s="125"/>
      <c r="GAV395" s="125"/>
      <c r="GAW395" s="134"/>
      <c r="GAX395" s="135"/>
      <c r="GAY395" s="135"/>
      <c r="GAZ395" s="135"/>
      <c r="GBA395" s="135"/>
      <c r="GBB395" s="173"/>
      <c r="GBC395" s="173"/>
      <c r="GBD395" s="173"/>
      <c r="GBE395" s="173"/>
      <c r="GBF395" s="173"/>
      <c r="GBG395" s="173"/>
      <c r="GBH395" s="173"/>
      <c r="GBI395" s="173"/>
      <c r="GBJ395" s="173"/>
      <c r="GBK395" s="173"/>
      <c r="GBL395" s="125"/>
      <c r="GBM395" s="125"/>
      <c r="GBN395" s="134"/>
      <c r="GBO395" s="135"/>
      <c r="GBP395" s="135"/>
      <c r="GBQ395" s="135"/>
      <c r="GBR395" s="135"/>
      <c r="GBS395" s="173"/>
      <c r="GBT395" s="173"/>
      <c r="GBU395" s="173"/>
      <c r="GBV395" s="173"/>
      <c r="GBW395" s="173"/>
      <c r="GBX395" s="173"/>
      <c r="GBY395" s="173"/>
      <c r="GBZ395" s="173"/>
      <c r="GCA395" s="173"/>
      <c r="GCB395" s="173"/>
      <c r="GCC395" s="125"/>
      <c r="GCD395" s="125"/>
      <c r="GCE395" s="134"/>
      <c r="GCF395" s="135"/>
      <c r="GCG395" s="135"/>
      <c r="GCH395" s="135"/>
      <c r="GCI395" s="135"/>
      <c r="GCJ395" s="173"/>
      <c r="GCK395" s="173"/>
      <c r="GCL395" s="173"/>
      <c r="GCM395" s="173"/>
      <c r="GCN395" s="173"/>
      <c r="GCO395" s="173"/>
      <c r="GCP395" s="173"/>
      <c r="GCQ395" s="173"/>
      <c r="GCR395" s="173"/>
      <c r="GCS395" s="173"/>
      <c r="GCT395" s="125"/>
      <c r="GCU395" s="125"/>
      <c r="GCV395" s="134"/>
      <c r="GCW395" s="135"/>
      <c r="GCX395" s="135"/>
      <c r="GCY395" s="135"/>
      <c r="GCZ395" s="135"/>
      <c r="GDA395" s="173"/>
      <c r="GDB395" s="173"/>
      <c r="GDC395" s="173"/>
      <c r="GDD395" s="173"/>
      <c r="GDE395" s="173"/>
      <c r="GDF395" s="173"/>
      <c r="GDG395" s="173"/>
      <c r="GDH395" s="173"/>
      <c r="GDI395" s="173"/>
      <c r="GDJ395" s="173"/>
      <c r="GDK395" s="125"/>
      <c r="GDL395" s="125"/>
      <c r="GDM395" s="134"/>
      <c r="GDN395" s="135"/>
      <c r="GDO395" s="135"/>
      <c r="GDP395" s="135"/>
      <c r="GDQ395" s="135"/>
      <c r="GDR395" s="173"/>
      <c r="GDS395" s="173"/>
      <c r="GDT395" s="173"/>
      <c r="GDU395" s="173"/>
      <c r="GDV395" s="173"/>
      <c r="GDW395" s="173"/>
      <c r="GDX395" s="173"/>
      <c r="GDY395" s="173"/>
      <c r="GDZ395" s="173"/>
      <c r="GEA395" s="173"/>
      <c r="GEB395" s="125"/>
      <c r="GEC395" s="125"/>
      <c r="GED395" s="134"/>
      <c r="GEE395" s="135"/>
      <c r="GEF395" s="135"/>
      <c r="GEG395" s="135"/>
      <c r="GEH395" s="135"/>
      <c r="GEI395" s="173"/>
      <c r="GEJ395" s="173"/>
      <c r="GEK395" s="173"/>
      <c r="GEL395" s="173"/>
      <c r="GEM395" s="173"/>
      <c r="GEN395" s="173"/>
      <c r="GEO395" s="173"/>
      <c r="GEP395" s="173"/>
      <c r="GEQ395" s="173"/>
      <c r="GER395" s="173"/>
      <c r="GES395" s="125"/>
      <c r="GET395" s="125"/>
      <c r="GEU395" s="134"/>
      <c r="GEV395" s="135"/>
      <c r="GEW395" s="135"/>
      <c r="GEX395" s="135"/>
      <c r="GEY395" s="135"/>
      <c r="GEZ395" s="173"/>
      <c r="GFA395" s="173"/>
      <c r="GFB395" s="173"/>
      <c r="GFC395" s="173"/>
      <c r="GFD395" s="173"/>
      <c r="GFE395" s="173"/>
      <c r="GFF395" s="173"/>
      <c r="GFG395" s="173"/>
      <c r="GFH395" s="173"/>
      <c r="GFI395" s="173"/>
      <c r="GFJ395" s="125"/>
      <c r="GFK395" s="125"/>
      <c r="GFL395" s="134"/>
      <c r="GFM395" s="135"/>
      <c r="GFN395" s="135"/>
      <c r="GFO395" s="135"/>
      <c r="GFP395" s="135"/>
      <c r="GFQ395" s="173"/>
      <c r="GFR395" s="173"/>
      <c r="GFS395" s="173"/>
      <c r="GFT395" s="173"/>
      <c r="GFU395" s="173"/>
      <c r="GFV395" s="173"/>
      <c r="GFW395" s="173"/>
      <c r="GFX395" s="173"/>
      <c r="GFY395" s="173"/>
      <c r="GFZ395" s="173"/>
      <c r="GGA395" s="125"/>
      <c r="GGB395" s="125"/>
      <c r="GGC395" s="134"/>
      <c r="GGD395" s="135"/>
      <c r="GGE395" s="135"/>
      <c r="GGF395" s="135"/>
      <c r="GGG395" s="135"/>
      <c r="GGH395" s="173"/>
      <c r="GGI395" s="173"/>
      <c r="GGJ395" s="173"/>
      <c r="GGK395" s="173"/>
      <c r="GGL395" s="173"/>
      <c r="GGM395" s="173"/>
      <c r="GGN395" s="173"/>
      <c r="GGO395" s="173"/>
      <c r="GGP395" s="173"/>
      <c r="GGQ395" s="173"/>
      <c r="GGR395" s="125"/>
      <c r="GGS395" s="125"/>
      <c r="GGT395" s="134"/>
      <c r="GGU395" s="135"/>
      <c r="GGV395" s="135"/>
      <c r="GGW395" s="135"/>
      <c r="GGX395" s="135"/>
      <c r="GGY395" s="173"/>
      <c r="GGZ395" s="173"/>
      <c r="GHA395" s="173"/>
      <c r="GHB395" s="173"/>
      <c r="GHC395" s="173"/>
      <c r="GHD395" s="173"/>
      <c r="GHE395" s="173"/>
      <c r="GHF395" s="173"/>
      <c r="GHG395" s="173"/>
      <c r="GHH395" s="173"/>
      <c r="GHI395" s="125"/>
      <c r="GHJ395" s="125"/>
      <c r="GHK395" s="134"/>
      <c r="GHL395" s="135"/>
      <c r="GHM395" s="135"/>
      <c r="GHN395" s="135"/>
      <c r="GHO395" s="135"/>
      <c r="GHP395" s="173"/>
      <c r="GHQ395" s="173"/>
      <c r="GHR395" s="173"/>
      <c r="GHS395" s="173"/>
      <c r="GHT395" s="173"/>
      <c r="GHU395" s="173"/>
      <c r="GHV395" s="173"/>
      <c r="GHW395" s="173"/>
      <c r="GHX395" s="173"/>
      <c r="GHY395" s="173"/>
      <c r="GHZ395" s="125"/>
      <c r="GIA395" s="125"/>
      <c r="GIB395" s="134"/>
      <c r="GIC395" s="135"/>
      <c r="GID395" s="135"/>
      <c r="GIE395" s="135"/>
      <c r="GIF395" s="135"/>
      <c r="GIG395" s="173"/>
      <c r="GIH395" s="173"/>
      <c r="GII395" s="173"/>
      <c r="GIJ395" s="173"/>
      <c r="GIK395" s="173"/>
      <c r="GIL395" s="173"/>
      <c r="GIM395" s="173"/>
      <c r="GIN395" s="173"/>
      <c r="GIO395" s="173"/>
      <c r="GIP395" s="173"/>
      <c r="GIQ395" s="125"/>
      <c r="GIR395" s="125"/>
      <c r="GIS395" s="134"/>
      <c r="GIT395" s="135"/>
      <c r="GIU395" s="135"/>
      <c r="GIV395" s="135"/>
      <c r="GIW395" s="135"/>
      <c r="GIX395" s="173"/>
      <c r="GIY395" s="173"/>
      <c r="GIZ395" s="173"/>
      <c r="GJA395" s="173"/>
      <c r="GJB395" s="173"/>
      <c r="GJC395" s="173"/>
      <c r="GJD395" s="173"/>
      <c r="GJE395" s="173"/>
      <c r="GJF395" s="173"/>
      <c r="GJG395" s="173"/>
      <c r="GJH395" s="125"/>
      <c r="GJI395" s="125"/>
      <c r="GJJ395" s="134"/>
      <c r="GJK395" s="135"/>
      <c r="GJL395" s="135"/>
      <c r="GJM395" s="135"/>
      <c r="GJN395" s="135"/>
      <c r="GJO395" s="173"/>
      <c r="GJP395" s="173"/>
      <c r="GJQ395" s="173"/>
      <c r="GJR395" s="173"/>
      <c r="GJS395" s="173"/>
      <c r="GJT395" s="173"/>
      <c r="GJU395" s="173"/>
      <c r="GJV395" s="173"/>
      <c r="GJW395" s="173"/>
      <c r="GJX395" s="173"/>
      <c r="GJY395" s="125"/>
      <c r="GJZ395" s="125"/>
      <c r="GKA395" s="134"/>
      <c r="GKB395" s="135"/>
      <c r="GKC395" s="135"/>
      <c r="GKD395" s="135"/>
      <c r="GKE395" s="135"/>
      <c r="GKF395" s="173"/>
      <c r="GKG395" s="173"/>
      <c r="GKH395" s="173"/>
      <c r="GKI395" s="173"/>
      <c r="GKJ395" s="173"/>
      <c r="GKK395" s="173"/>
      <c r="GKL395" s="173"/>
      <c r="GKM395" s="173"/>
      <c r="GKN395" s="173"/>
      <c r="GKO395" s="173"/>
      <c r="GKP395" s="125"/>
      <c r="GKQ395" s="125"/>
      <c r="GKR395" s="134"/>
      <c r="GKS395" s="135"/>
      <c r="GKT395" s="135"/>
      <c r="GKU395" s="135"/>
      <c r="GKV395" s="135"/>
      <c r="GKW395" s="173"/>
      <c r="GKX395" s="173"/>
      <c r="GKY395" s="173"/>
      <c r="GKZ395" s="173"/>
      <c r="GLA395" s="173"/>
      <c r="GLB395" s="173"/>
      <c r="GLC395" s="173"/>
      <c r="GLD395" s="173"/>
      <c r="GLE395" s="173"/>
      <c r="GLF395" s="173"/>
      <c r="GLG395" s="125"/>
      <c r="GLH395" s="125"/>
      <c r="GLI395" s="134"/>
      <c r="GLJ395" s="135"/>
      <c r="GLK395" s="135"/>
      <c r="GLL395" s="135"/>
      <c r="GLM395" s="135"/>
      <c r="GLN395" s="173"/>
      <c r="GLO395" s="173"/>
      <c r="GLP395" s="173"/>
      <c r="GLQ395" s="173"/>
      <c r="GLR395" s="173"/>
      <c r="GLS395" s="173"/>
      <c r="GLT395" s="173"/>
      <c r="GLU395" s="173"/>
      <c r="GLV395" s="173"/>
      <c r="GLW395" s="173"/>
      <c r="GLX395" s="125"/>
      <c r="GLY395" s="125"/>
      <c r="GLZ395" s="134"/>
      <c r="GMA395" s="135"/>
      <c r="GMB395" s="135"/>
      <c r="GMC395" s="135"/>
      <c r="GMD395" s="135"/>
      <c r="GME395" s="173"/>
      <c r="GMF395" s="173"/>
      <c r="GMG395" s="173"/>
      <c r="GMH395" s="173"/>
      <c r="GMI395" s="173"/>
      <c r="GMJ395" s="173"/>
      <c r="GMK395" s="173"/>
      <c r="GML395" s="173"/>
      <c r="GMM395" s="173"/>
      <c r="GMN395" s="173"/>
      <c r="GMO395" s="125"/>
      <c r="GMP395" s="125"/>
      <c r="GMQ395" s="134"/>
      <c r="GMR395" s="135"/>
      <c r="GMS395" s="135"/>
      <c r="GMT395" s="135"/>
      <c r="GMU395" s="135"/>
      <c r="GMV395" s="173"/>
      <c r="GMW395" s="173"/>
      <c r="GMX395" s="173"/>
      <c r="GMY395" s="173"/>
      <c r="GMZ395" s="173"/>
      <c r="GNA395" s="173"/>
      <c r="GNB395" s="173"/>
      <c r="GNC395" s="173"/>
      <c r="GND395" s="173"/>
      <c r="GNE395" s="173"/>
      <c r="GNF395" s="125"/>
      <c r="GNG395" s="125"/>
      <c r="GNH395" s="134"/>
      <c r="GNI395" s="135"/>
      <c r="GNJ395" s="135"/>
      <c r="GNK395" s="135"/>
      <c r="GNL395" s="135"/>
      <c r="GNM395" s="173"/>
      <c r="GNN395" s="173"/>
      <c r="GNO395" s="173"/>
      <c r="GNP395" s="173"/>
      <c r="GNQ395" s="173"/>
      <c r="GNR395" s="173"/>
      <c r="GNS395" s="173"/>
      <c r="GNT395" s="173"/>
      <c r="GNU395" s="173"/>
      <c r="GNV395" s="173"/>
      <c r="GNW395" s="125"/>
      <c r="GNX395" s="125"/>
      <c r="GNY395" s="134"/>
      <c r="GNZ395" s="135"/>
      <c r="GOA395" s="135"/>
      <c r="GOB395" s="135"/>
      <c r="GOC395" s="135"/>
      <c r="GOD395" s="173"/>
      <c r="GOE395" s="173"/>
      <c r="GOF395" s="173"/>
      <c r="GOG395" s="173"/>
      <c r="GOH395" s="173"/>
      <c r="GOI395" s="173"/>
      <c r="GOJ395" s="173"/>
      <c r="GOK395" s="173"/>
      <c r="GOL395" s="173"/>
      <c r="GOM395" s="173"/>
      <c r="GON395" s="125"/>
      <c r="GOO395" s="125"/>
      <c r="GOP395" s="134"/>
      <c r="GOQ395" s="135"/>
      <c r="GOR395" s="135"/>
      <c r="GOS395" s="135"/>
      <c r="GOT395" s="135"/>
      <c r="GOU395" s="173"/>
      <c r="GOV395" s="173"/>
      <c r="GOW395" s="173"/>
      <c r="GOX395" s="173"/>
      <c r="GOY395" s="173"/>
      <c r="GOZ395" s="173"/>
      <c r="GPA395" s="173"/>
      <c r="GPB395" s="173"/>
      <c r="GPC395" s="173"/>
      <c r="GPD395" s="173"/>
      <c r="GPE395" s="125"/>
      <c r="GPF395" s="125"/>
      <c r="GPG395" s="134"/>
      <c r="GPH395" s="135"/>
      <c r="GPI395" s="135"/>
      <c r="GPJ395" s="135"/>
      <c r="GPK395" s="135"/>
      <c r="GPL395" s="173"/>
      <c r="GPM395" s="173"/>
      <c r="GPN395" s="173"/>
      <c r="GPO395" s="173"/>
      <c r="GPP395" s="173"/>
      <c r="GPQ395" s="173"/>
      <c r="GPR395" s="173"/>
      <c r="GPS395" s="173"/>
      <c r="GPT395" s="173"/>
      <c r="GPU395" s="173"/>
      <c r="GPV395" s="125"/>
      <c r="GPW395" s="125"/>
      <c r="GPX395" s="134"/>
      <c r="GPY395" s="135"/>
      <c r="GPZ395" s="135"/>
      <c r="GQA395" s="135"/>
      <c r="GQB395" s="135"/>
      <c r="GQC395" s="173"/>
      <c r="GQD395" s="173"/>
      <c r="GQE395" s="173"/>
      <c r="GQF395" s="173"/>
      <c r="GQG395" s="173"/>
      <c r="GQH395" s="173"/>
      <c r="GQI395" s="173"/>
      <c r="GQJ395" s="173"/>
      <c r="GQK395" s="173"/>
      <c r="GQL395" s="173"/>
      <c r="GQM395" s="125"/>
      <c r="GQN395" s="125"/>
      <c r="GQO395" s="134"/>
      <c r="GQP395" s="135"/>
      <c r="GQQ395" s="135"/>
      <c r="GQR395" s="135"/>
      <c r="GQS395" s="135"/>
      <c r="GQT395" s="173"/>
      <c r="GQU395" s="173"/>
      <c r="GQV395" s="173"/>
      <c r="GQW395" s="173"/>
      <c r="GQX395" s="173"/>
      <c r="GQY395" s="173"/>
      <c r="GQZ395" s="173"/>
      <c r="GRA395" s="173"/>
      <c r="GRB395" s="173"/>
      <c r="GRC395" s="173"/>
      <c r="GRD395" s="125"/>
      <c r="GRE395" s="125"/>
      <c r="GRF395" s="134"/>
      <c r="GRG395" s="135"/>
      <c r="GRH395" s="135"/>
      <c r="GRI395" s="135"/>
      <c r="GRJ395" s="135"/>
      <c r="GRK395" s="173"/>
      <c r="GRL395" s="173"/>
      <c r="GRM395" s="173"/>
      <c r="GRN395" s="173"/>
      <c r="GRO395" s="173"/>
      <c r="GRP395" s="173"/>
      <c r="GRQ395" s="173"/>
      <c r="GRR395" s="173"/>
      <c r="GRS395" s="173"/>
      <c r="GRT395" s="173"/>
      <c r="GRU395" s="125"/>
      <c r="GRV395" s="125"/>
      <c r="GRW395" s="134"/>
      <c r="GRX395" s="135"/>
      <c r="GRY395" s="135"/>
      <c r="GRZ395" s="135"/>
      <c r="GSA395" s="135"/>
      <c r="GSB395" s="173"/>
      <c r="GSC395" s="173"/>
      <c r="GSD395" s="173"/>
      <c r="GSE395" s="173"/>
      <c r="GSF395" s="173"/>
      <c r="GSG395" s="173"/>
      <c r="GSH395" s="173"/>
      <c r="GSI395" s="173"/>
      <c r="GSJ395" s="173"/>
      <c r="GSK395" s="173"/>
      <c r="GSL395" s="125"/>
      <c r="GSM395" s="125"/>
      <c r="GSN395" s="134"/>
      <c r="GSO395" s="135"/>
      <c r="GSP395" s="135"/>
      <c r="GSQ395" s="135"/>
      <c r="GSR395" s="135"/>
      <c r="GSS395" s="173"/>
      <c r="GST395" s="173"/>
      <c r="GSU395" s="173"/>
      <c r="GSV395" s="173"/>
      <c r="GSW395" s="173"/>
      <c r="GSX395" s="173"/>
      <c r="GSY395" s="173"/>
      <c r="GSZ395" s="173"/>
      <c r="GTA395" s="173"/>
      <c r="GTB395" s="173"/>
      <c r="GTC395" s="125"/>
      <c r="GTD395" s="125"/>
      <c r="GTE395" s="134"/>
      <c r="GTF395" s="135"/>
      <c r="GTG395" s="135"/>
      <c r="GTH395" s="135"/>
      <c r="GTI395" s="135"/>
      <c r="GTJ395" s="173"/>
      <c r="GTK395" s="173"/>
      <c r="GTL395" s="173"/>
      <c r="GTM395" s="173"/>
      <c r="GTN395" s="173"/>
      <c r="GTO395" s="173"/>
      <c r="GTP395" s="173"/>
      <c r="GTQ395" s="173"/>
      <c r="GTR395" s="173"/>
      <c r="GTS395" s="173"/>
      <c r="GTT395" s="125"/>
      <c r="GTU395" s="125"/>
      <c r="GTV395" s="134"/>
      <c r="GTW395" s="135"/>
      <c r="GTX395" s="135"/>
      <c r="GTY395" s="135"/>
      <c r="GTZ395" s="135"/>
      <c r="GUA395" s="173"/>
      <c r="GUB395" s="173"/>
      <c r="GUC395" s="173"/>
      <c r="GUD395" s="173"/>
      <c r="GUE395" s="173"/>
      <c r="GUF395" s="173"/>
      <c r="GUG395" s="173"/>
      <c r="GUH395" s="173"/>
      <c r="GUI395" s="173"/>
      <c r="GUJ395" s="173"/>
      <c r="GUK395" s="125"/>
      <c r="GUL395" s="125"/>
      <c r="GUM395" s="134"/>
      <c r="GUN395" s="135"/>
      <c r="GUO395" s="135"/>
      <c r="GUP395" s="135"/>
      <c r="GUQ395" s="135"/>
      <c r="GUR395" s="173"/>
      <c r="GUS395" s="173"/>
      <c r="GUT395" s="173"/>
      <c r="GUU395" s="173"/>
      <c r="GUV395" s="173"/>
      <c r="GUW395" s="173"/>
      <c r="GUX395" s="173"/>
      <c r="GUY395" s="173"/>
      <c r="GUZ395" s="173"/>
      <c r="GVA395" s="173"/>
      <c r="GVB395" s="125"/>
      <c r="GVC395" s="125"/>
      <c r="GVD395" s="134"/>
      <c r="GVE395" s="135"/>
      <c r="GVF395" s="135"/>
      <c r="GVG395" s="135"/>
      <c r="GVH395" s="135"/>
      <c r="GVI395" s="173"/>
      <c r="GVJ395" s="173"/>
      <c r="GVK395" s="173"/>
      <c r="GVL395" s="173"/>
      <c r="GVM395" s="173"/>
      <c r="GVN395" s="173"/>
      <c r="GVO395" s="173"/>
      <c r="GVP395" s="173"/>
      <c r="GVQ395" s="173"/>
      <c r="GVR395" s="173"/>
      <c r="GVS395" s="125"/>
      <c r="GVT395" s="125"/>
      <c r="GVU395" s="134"/>
      <c r="GVV395" s="135"/>
      <c r="GVW395" s="135"/>
      <c r="GVX395" s="135"/>
      <c r="GVY395" s="135"/>
      <c r="GVZ395" s="173"/>
      <c r="GWA395" s="173"/>
      <c r="GWB395" s="173"/>
      <c r="GWC395" s="173"/>
      <c r="GWD395" s="173"/>
      <c r="GWE395" s="173"/>
      <c r="GWF395" s="173"/>
      <c r="GWG395" s="173"/>
      <c r="GWH395" s="173"/>
      <c r="GWI395" s="173"/>
      <c r="GWJ395" s="125"/>
      <c r="GWK395" s="125"/>
      <c r="GWL395" s="134"/>
      <c r="GWM395" s="135"/>
      <c r="GWN395" s="135"/>
      <c r="GWO395" s="135"/>
      <c r="GWP395" s="135"/>
      <c r="GWQ395" s="173"/>
      <c r="GWR395" s="173"/>
      <c r="GWS395" s="173"/>
      <c r="GWT395" s="173"/>
      <c r="GWU395" s="173"/>
      <c r="GWV395" s="173"/>
      <c r="GWW395" s="173"/>
      <c r="GWX395" s="173"/>
      <c r="GWY395" s="173"/>
      <c r="GWZ395" s="173"/>
      <c r="GXA395" s="125"/>
      <c r="GXB395" s="125"/>
      <c r="GXC395" s="134"/>
      <c r="GXD395" s="135"/>
      <c r="GXE395" s="135"/>
      <c r="GXF395" s="135"/>
      <c r="GXG395" s="135"/>
      <c r="GXH395" s="173"/>
      <c r="GXI395" s="173"/>
      <c r="GXJ395" s="173"/>
      <c r="GXK395" s="173"/>
      <c r="GXL395" s="173"/>
      <c r="GXM395" s="173"/>
      <c r="GXN395" s="173"/>
      <c r="GXO395" s="173"/>
      <c r="GXP395" s="173"/>
      <c r="GXQ395" s="173"/>
      <c r="GXR395" s="125"/>
      <c r="GXS395" s="125"/>
      <c r="GXT395" s="134"/>
      <c r="GXU395" s="135"/>
      <c r="GXV395" s="135"/>
      <c r="GXW395" s="135"/>
      <c r="GXX395" s="135"/>
      <c r="GXY395" s="173"/>
      <c r="GXZ395" s="173"/>
      <c r="GYA395" s="173"/>
      <c r="GYB395" s="173"/>
      <c r="GYC395" s="173"/>
      <c r="GYD395" s="173"/>
      <c r="GYE395" s="173"/>
      <c r="GYF395" s="173"/>
      <c r="GYG395" s="173"/>
      <c r="GYH395" s="173"/>
      <c r="GYI395" s="125"/>
      <c r="GYJ395" s="125"/>
      <c r="GYK395" s="134"/>
      <c r="GYL395" s="135"/>
      <c r="GYM395" s="135"/>
      <c r="GYN395" s="135"/>
      <c r="GYO395" s="135"/>
      <c r="GYP395" s="173"/>
      <c r="GYQ395" s="173"/>
      <c r="GYR395" s="173"/>
      <c r="GYS395" s="173"/>
      <c r="GYT395" s="173"/>
      <c r="GYU395" s="173"/>
      <c r="GYV395" s="173"/>
      <c r="GYW395" s="173"/>
      <c r="GYX395" s="173"/>
      <c r="GYY395" s="173"/>
      <c r="GYZ395" s="125"/>
      <c r="GZA395" s="125"/>
      <c r="GZB395" s="134"/>
      <c r="GZC395" s="135"/>
      <c r="GZD395" s="135"/>
      <c r="GZE395" s="135"/>
      <c r="GZF395" s="135"/>
      <c r="GZG395" s="173"/>
      <c r="GZH395" s="173"/>
      <c r="GZI395" s="173"/>
      <c r="GZJ395" s="173"/>
      <c r="GZK395" s="173"/>
      <c r="GZL395" s="173"/>
      <c r="GZM395" s="173"/>
      <c r="GZN395" s="173"/>
      <c r="GZO395" s="173"/>
      <c r="GZP395" s="173"/>
      <c r="GZQ395" s="125"/>
      <c r="GZR395" s="125"/>
      <c r="GZS395" s="134"/>
      <c r="GZT395" s="135"/>
      <c r="GZU395" s="135"/>
      <c r="GZV395" s="135"/>
      <c r="GZW395" s="135"/>
      <c r="GZX395" s="173"/>
      <c r="GZY395" s="173"/>
      <c r="GZZ395" s="173"/>
      <c r="HAA395" s="173"/>
      <c r="HAB395" s="173"/>
      <c r="HAC395" s="173"/>
      <c r="HAD395" s="173"/>
      <c r="HAE395" s="173"/>
      <c r="HAF395" s="173"/>
      <c r="HAG395" s="173"/>
      <c r="HAH395" s="125"/>
      <c r="HAI395" s="125"/>
      <c r="HAJ395" s="134"/>
      <c r="HAK395" s="135"/>
      <c r="HAL395" s="135"/>
      <c r="HAM395" s="135"/>
      <c r="HAN395" s="135"/>
      <c r="HAO395" s="173"/>
      <c r="HAP395" s="173"/>
      <c r="HAQ395" s="173"/>
      <c r="HAR395" s="173"/>
      <c r="HAS395" s="173"/>
      <c r="HAT395" s="173"/>
      <c r="HAU395" s="173"/>
      <c r="HAV395" s="173"/>
      <c r="HAW395" s="173"/>
      <c r="HAX395" s="173"/>
      <c r="HAY395" s="125"/>
      <c r="HAZ395" s="125"/>
      <c r="HBA395" s="134"/>
      <c r="HBB395" s="135"/>
      <c r="HBC395" s="135"/>
      <c r="HBD395" s="135"/>
      <c r="HBE395" s="135"/>
      <c r="HBF395" s="173"/>
      <c r="HBG395" s="173"/>
      <c r="HBH395" s="173"/>
      <c r="HBI395" s="173"/>
      <c r="HBJ395" s="173"/>
      <c r="HBK395" s="173"/>
      <c r="HBL395" s="173"/>
      <c r="HBM395" s="173"/>
      <c r="HBN395" s="173"/>
      <c r="HBO395" s="173"/>
      <c r="HBP395" s="125"/>
      <c r="HBQ395" s="125"/>
      <c r="HBR395" s="134"/>
      <c r="HBS395" s="135"/>
      <c r="HBT395" s="135"/>
      <c r="HBU395" s="135"/>
      <c r="HBV395" s="135"/>
      <c r="HBW395" s="173"/>
      <c r="HBX395" s="173"/>
      <c r="HBY395" s="173"/>
      <c r="HBZ395" s="173"/>
      <c r="HCA395" s="173"/>
      <c r="HCB395" s="173"/>
      <c r="HCC395" s="173"/>
      <c r="HCD395" s="173"/>
      <c r="HCE395" s="173"/>
      <c r="HCF395" s="173"/>
      <c r="HCG395" s="125"/>
      <c r="HCH395" s="125"/>
      <c r="HCI395" s="134"/>
      <c r="HCJ395" s="135"/>
      <c r="HCK395" s="135"/>
      <c r="HCL395" s="135"/>
      <c r="HCM395" s="135"/>
      <c r="HCN395" s="173"/>
      <c r="HCO395" s="173"/>
      <c r="HCP395" s="173"/>
      <c r="HCQ395" s="173"/>
      <c r="HCR395" s="173"/>
      <c r="HCS395" s="173"/>
      <c r="HCT395" s="173"/>
      <c r="HCU395" s="173"/>
      <c r="HCV395" s="173"/>
      <c r="HCW395" s="173"/>
      <c r="HCX395" s="125"/>
      <c r="HCY395" s="125"/>
      <c r="HCZ395" s="134"/>
      <c r="HDA395" s="135"/>
      <c r="HDB395" s="135"/>
      <c r="HDC395" s="135"/>
      <c r="HDD395" s="135"/>
      <c r="HDE395" s="173"/>
      <c r="HDF395" s="173"/>
      <c r="HDG395" s="173"/>
      <c r="HDH395" s="173"/>
      <c r="HDI395" s="173"/>
      <c r="HDJ395" s="173"/>
      <c r="HDK395" s="173"/>
      <c r="HDL395" s="173"/>
      <c r="HDM395" s="173"/>
      <c r="HDN395" s="173"/>
      <c r="HDO395" s="125"/>
      <c r="HDP395" s="125"/>
      <c r="HDQ395" s="134"/>
      <c r="HDR395" s="135"/>
      <c r="HDS395" s="135"/>
      <c r="HDT395" s="135"/>
      <c r="HDU395" s="135"/>
      <c r="HDV395" s="173"/>
      <c r="HDW395" s="173"/>
      <c r="HDX395" s="173"/>
      <c r="HDY395" s="173"/>
      <c r="HDZ395" s="173"/>
      <c r="HEA395" s="173"/>
      <c r="HEB395" s="173"/>
      <c r="HEC395" s="173"/>
      <c r="HED395" s="173"/>
      <c r="HEE395" s="173"/>
      <c r="HEF395" s="125"/>
      <c r="HEG395" s="125"/>
      <c r="HEH395" s="134"/>
      <c r="HEI395" s="135"/>
      <c r="HEJ395" s="135"/>
      <c r="HEK395" s="135"/>
      <c r="HEL395" s="135"/>
      <c r="HEM395" s="173"/>
      <c r="HEN395" s="173"/>
      <c r="HEO395" s="173"/>
      <c r="HEP395" s="173"/>
      <c r="HEQ395" s="173"/>
      <c r="HER395" s="173"/>
      <c r="HES395" s="173"/>
      <c r="HET395" s="173"/>
      <c r="HEU395" s="173"/>
      <c r="HEV395" s="173"/>
      <c r="HEW395" s="125"/>
      <c r="HEX395" s="125"/>
      <c r="HEY395" s="134"/>
      <c r="HEZ395" s="135"/>
      <c r="HFA395" s="135"/>
      <c r="HFB395" s="135"/>
      <c r="HFC395" s="135"/>
      <c r="HFD395" s="173"/>
      <c r="HFE395" s="173"/>
      <c r="HFF395" s="173"/>
      <c r="HFG395" s="173"/>
      <c r="HFH395" s="173"/>
      <c r="HFI395" s="173"/>
      <c r="HFJ395" s="173"/>
      <c r="HFK395" s="173"/>
      <c r="HFL395" s="173"/>
      <c r="HFM395" s="173"/>
      <c r="HFN395" s="125"/>
      <c r="HFO395" s="125"/>
      <c r="HFP395" s="134"/>
      <c r="HFQ395" s="135"/>
      <c r="HFR395" s="135"/>
      <c r="HFS395" s="135"/>
      <c r="HFT395" s="135"/>
      <c r="HFU395" s="173"/>
      <c r="HFV395" s="173"/>
      <c r="HFW395" s="173"/>
      <c r="HFX395" s="173"/>
      <c r="HFY395" s="173"/>
      <c r="HFZ395" s="173"/>
      <c r="HGA395" s="173"/>
      <c r="HGB395" s="173"/>
      <c r="HGC395" s="173"/>
      <c r="HGD395" s="173"/>
      <c r="HGE395" s="125"/>
      <c r="HGF395" s="125"/>
      <c r="HGG395" s="134"/>
      <c r="HGH395" s="135"/>
      <c r="HGI395" s="135"/>
      <c r="HGJ395" s="135"/>
      <c r="HGK395" s="135"/>
      <c r="HGL395" s="173"/>
      <c r="HGM395" s="173"/>
      <c r="HGN395" s="173"/>
      <c r="HGO395" s="173"/>
      <c r="HGP395" s="173"/>
      <c r="HGQ395" s="173"/>
      <c r="HGR395" s="173"/>
      <c r="HGS395" s="173"/>
      <c r="HGT395" s="173"/>
      <c r="HGU395" s="173"/>
      <c r="HGV395" s="125"/>
      <c r="HGW395" s="125"/>
      <c r="HGX395" s="134"/>
      <c r="HGY395" s="135"/>
      <c r="HGZ395" s="135"/>
      <c r="HHA395" s="135"/>
      <c r="HHB395" s="135"/>
      <c r="HHC395" s="173"/>
      <c r="HHD395" s="173"/>
      <c r="HHE395" s="173"/>
      <c r="HHF395" s="173"/>
      <c r="HHG395" s="173"/>
      <c r="HHH395" s="173"/>
      <c r="HHI395" s="173"/>
      <c r="HHJ395" s="173"/>
      <c r="HHK395" s="173"/>
      <c r="HHL395" s="173"/>
      <c r="HHM395" s="125"/>
      <c r="HHN395" s="125"/>
      <c r="HHO395" s="134"/>
      <c r="HHP395" s="135"/>
      <c r="HHQ395" s="135"/>
      <c r="HHR395" s="135"/>
      <c r="HHS395" s="135"/>
      <c r="HHT395" s="173"/>
      <c r="HHU395" s="173"/>
      <c r="HHV395" s="173"/>
      <c r="HHW395" s="173"/>
      <c r="HHX395" s="173"/>
      <c r="HHY395" s="173"/>
      <c r="HHZ395" s="173"/>
      <c r="HIA395" s="173"/>
      <c r="HIB395" s="173"/>
      <c r="HIC395" s="173"/>
      <c r="HID395" s="125"/>
      <c r="HIE395" s="125"/>
      <c r="HIF395" s="134"/>
      <c r="HIG395" s="135"/>
      <c r="HIH395" s="135"/>
      <c r="HII395" s="135"/>
      <c r="HIJ395" s="135"/>
      <c r="HIK395" s="173"/>
      <c r="HIL395" s="173"/>
      <c r="HIM395" s="173"/>
      <c r="HIN395" s="173"/>
      <c r="HIO395" s="173"/>
      <c r="HIP395" s="173"/>
      <c r="HIQ395" s="173"/>
      <c r="HIR395" s="173"/>
      <c r="HIS395" s="173"/>
      <c r="HIT395" s="173"/>
      <c r="HIU395" s="125"/>
      <c r="HIV395" s="125"/>
      <c r="HIW395" s="134"/>
      <c r="HIX395" s="135"/>
      <c r="HIY395" s="135"/>
      <c r="HIZ395" s="135"/>
      <c r="HJA395" s="135"/>
      <c r="HJB395" s="173"/>
      <c r="HJC395" s="173"/>
      <c r="HJD395" s="173"/>
      <c r="HJE395" s="173"/>
      <c r="HJF395" s="173"/>
      <c r="HJG395" s="173"/>
      <c r="HJH395" s="173"/>
      <c r="HJI395" s="173"/>
      <c r="HJJ395" s="173"/>
      <c r="HJK395" s="173"/>
      <c r="HJL395" s="125"/>
      <c r="HJM395" s="125"/>
      <c r="HJN395" s="134"/>
      <c r="HJO395" s="135"/>
      <c r="HJP395" s="135"/>
      <c r="HJQ395" s="135"/>
      <c r="HJR395" s="135"/>
      <c r="HJS395" s="173"/>
      <c r="HJT395" s="173"/>
      <c r="HJU395" s="173"/>
      <c r="HJV395" s="173"/>
      <c r="HJW395" s="173"/>
      <c r="HJX395" s="173"/>
      <c r="HJY395" s="173"/>
      <c r="HJZ395" s="173"/>
      <c r="HKA395" s="173"/>
      <c r="HKB395" s="173"/>
      <c r="HKC395" s="125"/>
      <c r="HKD395" s="125"/>
      <c r="HKE395" s="134"/>
      <c r="HKF395" s="135"/>
      <c r="HKG395" s="135"/>
      <c r="HKH395" s="135"/>
      <c r="HKI395" s="135"/>
      <c r="HKJ395" s="173"/>
      <c r="HKK395" s="173"/>
      <c r="HKL395" s="173"/>
      <c r="HKM395" s="173"/>
      <c r="HKN395" s="173"/>
      <c r="HKO395" s="173"/>
      <c r="HKP395" s="173"/>
      <c r="HKQ395" s="173"/>
      <c r="HKR395" s="173"/>
      <c r="HKS395" s="173"/>
      <c r="HKT395" s="125"/>
      <c r="HKU395" s="125"/>
      <c r="HKV395" s="134"/>
      <c r="HKW395" s="135"/>
      <c r="HKX395" s="135"/>
      <c r="HKY395" s="135"/>
      <c r="HKZ395" s="135"/>
      <c r="HLA395" s="173"/>
      <c r="HLB395" s="173"/>
      <c r="HLC395" s="173"/>
      <c r="HLD395" s="173"/>
      <c r="HLE395" s="173"/>
      <c r="HLF395" s="173"/>
      <c r="HLG395" s="173"/>
      <c r="HLH395" s="173"/>
      <c r="HLI395" s="173"/>
      <c r="HLJ395" s="173"/>
      <c r="HLK395" s="125"/>
      <c r="HLL395" s="125"/>
      <c r="HLM395" s="134"/>
      <c r="HLN395" s="135"/>
      <c r="HLO395" s="135"/>
      <c r="HLP395" s="135"/>
      <c r="HLQ395" s="135"/>
      <c r="HLR395" s="173"/>
      <c r="HLS395" s="173"/>
      <c r="HLT395" s="173"/>
      <c r="HLU395" s="173"/>
      <c r="HLV395" s="173"/>
      <c r="HLW395" s="173"/>
      <c r="HLX395" s="173"/>
      <c r="HLY395" s="173"/>
      <c r="HLZ395" s="173"/>
      <c r="HMA395" s="173"/>
      <c r="HMB395" s="125"/>
      <c r="HMC395" s="125"/>
      <c r="HMD395" s="134"/>
      <c r="HME395" s="135"/>
      <c r="HMF395" s="135"/>
      <c r="HMG395" s="135"/>
      <c r="HMH395" s="135"/>
      <c r="HMI395" s="173"/>
      <c r="HMJ395" s="173"/>
      <c r="HMK395" s="173"/>
      <c r="HML395" s="173"/>
      <c r="HMM395" s="173"/>
      <c r="HMN395" s="173"/>
      <c r="HMO395" s="173"/>
      <c r="HMP395" s="173"/>
      <c r="HMQ395" s="173"/>
      <c r="HMR395" s="173"/>
      <c r="HMS395" s="125"/>
      <c r="HMT395" s="125"/>
      <c r="HMU395" s="134"/>
      <c r="HMV395" s="135"/>
      <c r="HMW395" s="135"/>
      <c r="HMX395" s="135"/>
      <c r="HMY395" s="135"/>
      <c r="HMZ395" s="173"/>
      <c r="HNA395" s="173"/>
      <c r="HNB395" s="173"/>
      <c r="HNC395" s="173"/>
      <c r="HND395" s="173"/>
      <c r="HNE395" s="173"/>
      <c r="HNF395" s="173"/>
      <c r="HNG395" s="173"/>
      <c r="HNH395" s="173"/>
      <c r="HNI395" s="173"/>
      <c r="HNJ395" s="125"/>
      <c r="HNK395" s="125"/>
      <c r="HNL395" s="134"/>
      <c r="HNM395" s="135"/>
      <c r="HNN395" s="135"/>
      <c r="HNO395" s="135"/>
      <c r="HNP395" s="135"/>
      <c r="HNQ395" s="173"/>
      <c r="HNR395" s="173"/>
      <c r="HNS395" s="173"/>
      <c r="HNT395" s="173"/>
      <c r="HNU395" s="173"/>
      <c r="HNV395" s="173"/>
      <c r="HNW395" s="173"/>
      <c r="HNX395" s="173"/>
      <c r="HNY395" s="173"/>
      <c r="HNZ395" s="173"/>
      <c r="HOA395" s="125"/>
      <c r="HOB395" s="125"/>
      <c r="HOC395" s="134"/>
      <c r="HOD395" s="135"/>
      <c r="HOE395" s="135"/>
      <c r="HOF395" s="135"/>
      <c r="HOG395" s="135"/>
      <c r="HOH395" s="173"/>
      <c r="HOI395" s="173"/>
      <c r="HOJ395" s="173"/>
      <c r="HOK395" s="173"/>
      <c r="HOL395" s="173"/>
      <c r="HOM395" s="173"/>
      <c r="HON395" s="173"/>
      <c r="HOO395" s="173"/>
      <c r="HOP395" s="173"/>
      <c r="HOQ395" s="173"/>
      <c r="HOR395" s="125"/>
      <c r="HOS395" s="125"/>
      <c r="HOT395" s="134"/>
      <c r="HOU395" s="135"/>
      <c r="HOV395" s="135"/>
      <c r="HOW395" s="135"/>
      <c r="HOX395" s="135"/>
      <c r="HOY395" s="173"/>
      <c r="HOZ395" s="173"/>
      <c r="HPA395" s="173"/>
      <c r="HPB395" s="173"/>
      <c r="HPC395" s="173"/>
      <c r="HPD395" s="173"/>
      <c r="HPE395" s="173"/>
      <c r="HPF395" s="173"/>
      <c r="HPG395" s="173"/>
      <c r="HPH395" s="173"/>
      <c r="HPI395" s="125"/>
      <c r="HPJ395" s="125"/>
      <c r="HPK395" s="134"/>
      <c r="HPL395" s="135"/>
      <c r="HPM395" s="135"/>
      <c r="HPN395" s="135"/>
      <c r="HPO395" s="135"/>
      <c r="HPP395" s="173"/>
      <c r="HPQ395" s="173"/>
      <c r="HPR395" s="173"/>
      <c r="HPS395" s="173"/>
      <c r="HPT395" s="173"/>
      <c r="HPU395" s="173"/>
      <c r="HPV395" s="173"/>
      <c r="HPW395" s="173"/>
      <c r="HPX395" s="173"/>
      <c r="HPY395" s="173"/>
      <c r="HPZ395" s="125"/>
      <c r="HQA395" s="125"/>
      <c r="HQB395" s="134"/>
      <c r="HQC395" s="135"/>
      <c r="HQD395" s="135"/>
      <c r="HQE395" s="135"/>
      <c r="HQF395" s="135"/>
      <c r="HQG395" s="173"/>
      <c r="HQH395" s="173"/>
      <c r="HQI395" s="173"/>
      <c r="HQJ395" s="173"/>
      <c r="HQK395" s="173"/>
      <c r="HQL395" s="173"/>
      <c r="HQM395" s="173"/>
      <c r="HQN395" s="173"/>
      <c r="HQO395" s="173"/>
      <c r="HQP395" s="173"/>
      <c r="HQQ395" s="125"/>
      <c r="HQR395" s="125"/>
      <c r="HQS395" s="134"/>
      <c r="HQT395" s="135"/>
      <c r="HQU395" s="135"/>
      <c r="HQV395" s="135"/>
      <c r="HQW395" s="135"/>
      <c r="HQX395" s="173"/>
      <c r="HQY395" s="173"/>
      <c r="HQZ395" s="173"/>
      <c r="HRA395" s="173"/>
      <c r="HRB395" s="173"/>
      <c r="HRC395" s="173"/>
      <c r="HRD395" s="173"/>
      <c r="HRE395" s="173"/>
      <c r="HRF395" s="173"/>
      <c r="HRG395" s="173"/>
      <c r="HRH395" s="125"/>
      <c r="HRI395" s="125"/>
      <c r="HRJ395" s="134"/>
      <c r="HRK395" s="135"/>
      <c r="HRL395" s="135"/>
      <c r="HRM395" s="135"/>
      <c r="HRN395" s="135"/>
      <c r="HRO395" s="173"/>
      <c r="HRP395" s="173"/>
      <c r="HRQ395" s="173"/>
      <c r="HRR395" s="173"/>
      <c r="HRS395" s="173"/>
      <c r="HRT395" s="173"/>
      <c r="HRU395" s="173"/>
      <c r="HRV395" s="173"/>
      <c r="HRW395" s="173"/>
      <c r="HRX395" s="173"/>
      <c r="HRY395" s="125"/>
      <c r="HRZ395" s="125"/>
      <c r="HSA395" s="134"/>
      <c r="HSB395" s="135"/>
      <c r="HSC395" s="135"/>
      <c r="HSD395" s="135"/>
      <c r="HSE395" s="135"/>
      <c r="HSF395" s="173"/>
      <c r="HSG395" s="173"/>
      <c r="HSH395" s="173"/>
      <c r="HSI395" s="173"/>
      <c r="HSJ395" s="173"/>
      <c r="HSK395" s="173"/>
      <c r="HSL395" s="173"/>
      <c r="HSM395" s="173"/>
      <c r="HSN395" s="173"/>
      <c r="HSO395" s="173"/>
      <c r="HSP395" s="125"/>
      <c r="HSQ395" s="125"/>
      <c r="HSR395" s="134"/>
      <c r="HSS395" s="135"/>
      <c r="HST395" s="135"/>
      <c r="HSU395" s="135"/>
      <c r="HSV395" s="135"/>
      <c r="HSW395" s="173"/>
      <c r="HSX395" s="173"/>
      <c r="HSY395" s="173"/>
      <c r="HSZ395" s="173"/>
      <c r="HTA395" s="173"/>
      <c r="HTB395" s="173"/>
      <c r="HTC395" s="173"/>
      <c r="HTD395" s="173"/>
      <c r="HTE395" s="173"/>
      <c r="HTF395" s="173"/>
      <c r="HTG395" s="125"/>
      <c r="HTH395" s="125"/>
      <c r="HTI395" s="134"/>
      <c r="HTJ395" s="135"/>
      <c r="HTK395" s="135"/>
      <c r="HTL395" s="135"/>
      <c r="HTM395" s="135"/>
      <c r="HTN395" s="173"/>
      <c r="HTO395" s="173"/>
      <c r="HTP395" s="173"/>
      <c r="HTQ395" s="173"/>
      <c r="HTR395" s="173"/>
      <c r="HTS395" s="173"/>
      <c r="HTT395" s="173"/>
      <c r="HTU395" s="173"/>
      <c r="HTV395" s="173"/>
      <c r="HTW395" s="173"/>
      <c r="HTX395" s="125"/>
      <c r="HTY395" s="125"/>
      <c r="HTZ395" s="134"/>
      <c r="HUA395" s="135"/>
      <c r="HUB395" s="135"/>
      <c r="HUC395" s="135"/>
      <c r="HUD395" s="135"/>
      <c r="HUE395" s="173"/>
      <c r="HUF395" s="173"/>
      <c r="HUG395" s="173"/>
      <c r="HUH395" s="173"/>
      <c r="HUI395" s="173"/>
      <c r="HUJ395" s="173"/>
      <c r="HUK395" s="173"/>
      <c r="HUL395" s="173"/>
      <c r="HUM395" s="173"/>
      <c r="HUN395" s="173"/>
      <c r="HUO395" s="125"/>
      <c r="HUP395" s="125"/>
      <c r="HUQ395" s="134"/>
      <c r="HUR395" s="135"/>
      <c r="HUS395" s="135"/>
      <c r="HUT395" s="135"/>
      <c r="HUU395" s="135"/>
      <c r="HUV395" s="173"/>
      <c r="HUW395" s="173"/>
      <c r="HUX395" s="173"/>
      <c r="HUY395" s="173"/>
      <c r="HUZ395" s="173"/>
      <c r="HVA395" s="173"/>
      <c r="HVB395" s="173"/>
      <c r="HVC395" s="173"/>
      <c r="HVD395" s="173"/>
      <c r="HVE395" s="173"/>
      <c r="HVF395" s="125"/>
      <c r="HVG395" s="125"/>
      <c r="HVH395" s="134"/>
      <c r="HVI395" s="135"/>
      <c r="HVJ395" s="135"/>
      <c r="HVK395" s="135"/>
      <c r="HVL395" s="135"/>
      <c r="HVM395" s="173"/>
      <c r="HVN395" s="173"/>
      <c r="HVO395" s="173"/>
      <c r="HVP395" s="173"/>
      <c r="HVQ395" s="173"/>
      <c r="HVR395" s="173"/>
      <c r="HVS395" s="173"/>
      <c r="HVT395" s="173"/>
      <c r="HVU395" s="173"/>
      <c r="HVV395" s="173"/>
      <c r="HVW395" s="125"/>
      <c r="HVX395" s="125"/>
      <c r="HVY395" s="134"/>
      <c r="HVZ395" s="135"/>
      <c r="HWA395" s="135"/>
      <c r="HWB395" s="135"/>
      <c r="HWC395" s="135"/>
      <c r="HWD395" s="173"/>
      <c r="HWE395" s="173"/>
      <c r="HWF395" s="173"/>
      <c r="HWG395" s="173"/>
      <c r="HWH395" s="173"/>
      <c r="HWI395" s="173"/>
      <c r="HWJ395" s="173"/>
      <c r="HWK395" s="173"/>
      <c r="HWL395" s="173"/>
      <c r="HWM395" s="173"/>
      <c r="HWN395" s="125"/>
      <c r="HWO395" s="125"/>
      <c r="HWP395" s="134"/>
      <c r="HWQ395" s="135"/>
      <c r="HWR395" s="135"/>
      <c r="HWS395" s="135"/>
      <c r="HWT395" s="135"/>
      <c r="HWU395" s="173"/>
      <c r="HWV395" s="173"/>
      <c r="HWW395" s="173"/>
      <c r="HWX395" s="173"/>
      <c r="HWY395" s="173"/>
      <c r="HWZ395" s="173"/>
      <c r="HXA395" s="173"/>
      <c r="HXB395" s="173"/>
      <c r="HXC395" s="173"/>
      <c r="HXD395" s="173"/>
      <c r="HXE395" s="125"/>
      <c r="HXF395" s="125"/>
      <c r="HXG395" s="134"/>
      <c r="HXH395" s="135"/>
      <c r="HXI395" s="135"/>
      <c r="HXJ395" s="135"/>
      <c r="HXK395" s="135"/>
      <c r="HXL395" s="173"/>
      <c r="HXM395" s="173"/>
      <c r="HXN395" s="173"/>
      <c r="HXO395" s="173"/>
      <c r="HXP395" s="173"/>
      <c r="HXQ395" s="173"/>
      <c r="HXR395" s="173"/>
      <c r="HXS395" s="173"/>
      <c r="HXT395" s="173"/>
      <c r="HXU395" s="173"/>
      <c r="HXV395" s="125"/>
      <c r="HXW395" s="125"/>
      <c r="HXX395" s="134"/>
      <c r="HXY395" s="135"/>
      <c r="HXZ395" s="135"/>
      <c r="HYA395" s="135"/>
      <c r="HYB395" s="135"/>
      <c r="HYC395" s="173"/>
      <c r="HYD395" s="173"/>
      <c r="HYE395" s="173"/>
      <c r="HYF395" s="173"/>
      <c r="HYG395" s="173"/>
      <c r="HYH395" s="173"/>
      <c r="HYI395" s="173"/>
      <c r="HYJ395" s="173"/>
      <c r="HYK395" s="173"/>
      <c r="HYL395" s="173"/>
      <c r="HYM395" s="125"/>
      <c r="HYN395" s="125"/>
      <c r="HYO395" s="134"/>
      <c r="HYP395" s="135"/>
      <c r="HYQ395" s="135"/>
      <c r="HYR395" s="135"/>
      <c r="HYS395" s="135"/>
      <c r="HYT395" s="173"/>
      <c r="HYU395" s="173"/>
      <c r="HYV395" s="173"/>
      <c r="HYW395" s="173"/>
      <c r="HYX395" s="173"/>
      <c r="HYY395" s="173"/>
      <c r="HYZ395" s="173"/>
      <c r="HZA395" s="173"/>
      <c r="HZB395" s="173"/>
      <c r="HZC395" s="173"/>
      <c r="HZD395" s="125"/>
      <c r="HZE395" s="125"/>
      <c r="HZF395" s="134"/>
      <c r="HZG395" s="135"/>
      <c r="HZH395" s="135"/>
      <c r="HZI395" s="135"/>
      <c r="HZJ395" s="135"/>
      <c r="HZK395" s="173"/>
      <c r="HZL395" s="173"/>
      <c r="HZM395" s="173"/>
      <c r="HZN395" s="173"/>
      <c r="HZO395" s="173"/>
      <c r="HZP395" s="173"/>
      <c r="HZQ395" s="173"/>
      <c r="HZR395" s="173"/>
      <c r="HZS395" s="173"/>
      <c r="HZT395" s="173"/>
      <c r="HZU395" s="125"/>
      <c r="HZV395" s="125"/>
      <c r="HZW395" s="134"/>
      <c r="HZX395" s="135"/>
      <c r="HZY395" s="135"/>
      <c r="HZZ395" s="135"/>
      <c r="IAA395" s="135"/>
      <c r="IAB395" s="173"/>
      <c r="IAC395" s="173"/>
      <c r="IAD395" s="173"/>
      <c r="IAE395" s="173"/>
      <c r="IAF395" s="173"/>
      <c r="IAG395" s="173"/>
      <c r="IAH395" s="173"/>
      <c r="IAI395" s="173"/>
      <c r="IAJ395" s="173"/>
      <c r="IAK395" s="173"/>
      <c r="IAL395" s="125"/>
      <c r="IAM395" s="125"/>
      <c r="IAN395" s="134"/>
      <c r="IAO395" s="135"/>
      <c r="IAP395" s="135"/>
      <c r="IAQ395" s="135"/>
      <c r="IAR395" s="135"/>
      <c r="IAS395" s="173"/>
      <c r="IAT395" s="173"/>
      <c r="IAU395" s="173"/>
      <c r="IAV395" s="173"/>
      <c r="IAW395" s="173"/>
      <c r="IAX395" s="173"/>
      <c r="IAY395" s="173"/>
      <c r="IAZ395" s="173"/>
      <c r="IBA395" s="173"/>
      <c r="IBB395" s="173"/>
      <c r="IBC395" s="125"/>
      <c r="IBD395" s="125"/>
      <c r="IBE395" s="134"/>
      <c r="IBF395" s="135"/>
      <c r="IBG395" s="135"/>
      <c r="IBH395" s="135"/>
      <c r="IBI395" s="135"/>
      <c r="IBJ395" s="173"/>
      <c r="IBK395" s="173"/>
      <c r="IBL395" s="173"/>
      <c r="IBM395" s="173"/>
      <c r="IBN395" s="173"/>
      <c r="IBO395" s="173"/>
      <c r="IBP395" s="173"/>
      <c r="IBQ395" s="173"/>
      <c r="IBR395" s="173"/>
      <c r="IBS395" s="173"/>
      <c r="IBT395" s="125"/>
      <c r="IBU395" s="125"/>
      <c r="IBV395" s="134"/>
      <c r="IBW395" s="135"/>
      <c r="IBX395" s="135"/>
      <c r="IBY395" s="135"/>
      <c r="IBZ395" s="135"/>
      <c r="ICA395" s="173"/>
      <c r="ICB395" s="173"/>
      <c r="ICC395" s="173"/>
      <c r="ICD395" s="173"/>
      <c r="ICE395" s="173"/>
      <c r="ICF395" s="173"/>
      <c r="ICG395" s="173"/>
      <c r="ICH395" s="173"/>
      <c r="ICI395" s="173"/>
      <c r="ICJ395" s="173"/>
      <c r="ICK395" s="125"/>
      <c r="ICL395" s="125"/>
      <c r="ICM395" s="134"/>
      <c r="ICN395" s="135"/>
      <c r="ICO395" s="135"/>
      <c r="ICP395" s="135"/>
      <c r="ICQ395" s="135"/>
      <c r="ICR395" s="173"/>
      <c r="ICS395" s="173"/>
      <c r="ICT395" s="173"/>
      <c r="ICU395" s="173"/>
      <c r="ICV395" s="173"/>
      <c r="ICW395" s="173"/>
      <c r="ICX395" s="173"/>
      <c r="ICY395" s="173"/>
      <c r="ICZ395" s="173"/>
      <c r="IDA395" s="173"/>
      <c r="IDB395" s="125"/>
      <c r="IDC395" s="125"/>
      <c r="IDD395" s="134"/>
      <c r="IDE395" s="135"/>
      <c r="IDF395" s="135"/>
      <c r="IDG395" s="135"/>
      <c r="IDH395" s="135"/>
      <c r="IDI395" s="173"/>
      <c r="IDJ395" s="173"/>
      <c r="IDK395" s="173"/>
      <c r="IDL395" s="173"/>
      <c r="IDM395" s="173"/>
      <c r="IDN395" s="173"/>
      <c r="IDO395" s="173"/>
      <c r="IDP395" s="173"/>
      <c r="IDQ395" s="173"/>
      <c r="IDR395" s="173"/>
      <c r="IDS395" s="125"/>
      <c r="IDT395" s="125"/>
      <c r="IDU395" s="134"/>
      <c r="IDV395" s="135"/>
      <c r="IDW395" s="135"/>
      <c r="IDX395" s="135"/>
      <c r="IDY395" s="135"/>
      <c r="IDZ395" s="173"/>
      <c r="IEA395" s="173"/>
      <c r="IEB395" s="173"/>
      <c r="IEC395" s="173"/>
      <c r="IED395" s="173"/>
      <c r="IEE395" s="173"/>
      <c r="IEF395" s="173"/>
      <c r="IEG395" s="173"/>
      <c r="IEH395" s="173"/>
      <c r="IEI395" s="173"/>
      <c r="IEJ395" s="125"/>
      <c r="IEK395" s="125"/>
      <c r="IEL395" s="134"/>
      <c r="IEM395" s="135"/>
      <c r="IEN395" s="135"/>
      <c r="IEO395" s="135"/>
      <c r="IEP395" s="135"/>
      <c r="IEQ395" s="173"/>
      <c r="IER395" s="173"/>
      <c r="IES395" s="173"/>
      <c r="IET395" s="173"/>
      <c r="IEU395" s="173"/>
      <c r="IEV395" s="173"/>
      <c r="IEW395" s="173"/>
      <c r="IEX395" s="173"/>
      <c r="IEY395" s="173"/>
      <c r="IEZ395" s="173"/>
      <c r="IFA395" s="125"/>
      <c r="IFB395" s="125"/>
      <c r="IFC395" s="134"/>
      <c r="IFD395" s="135"/>
      <c r="IFE395" s="135"/>
      <c r="IFF395" s="135"/>
      <c r="IFG395" s="135"/>
      <c r="IFH395" s="173"/>
      <c r="IFI395" s="173"/>
      <c r="IFJ395" s="173"/>
      <c r="IFK395" s="173"/>
      <c r="IFL395" s="173"/>
      <c r="IFM395" s="173"/>
      <c r="IFN395" s="173"/>
      <c r="IFO395" s="173"/>
      <c r="IFP395" s="173"/>
      <c r="IFQ395" s="173"/>
      <c r="IFR395" s="125"/>
      <c r="IFS395" s="125"/>
      <c r="IFT395" s="134"/>
      <c r="IFU395" s="135"/>
      <c r="IFV395" s="135"/>
      <c r="IFW395" s="135"/>
      <c r="IFX395" s="135"/>
      <c r="IFY395" s="173"/>
      <c r="IFZ395" s="173"/>
      <c r="IGA395" s="173"/>
      <c r="IGB395" s="173"/>
      <c r="IGC395" s="173"/>
      <c r="IGD395" s="173"/>
      <c r="IGE395" s="173"/>
      <c r="IGF395" s="173"/>
      <c r="IGG395" s="173"/>
      <c r="IGH395" s="173"/>
      <c r="IGI395" s="125"/>
      <c r="IGJ395" s="125"/>
      <c r="IGK395" s="134"/>
      <c r="IGL395" s="135"/>
      <c r="IGM395" s="135"/>
      <c r="IGN395" s="135"/>
      <c r="IGO395" s="135"/>
      <c r="IGP395" s="173"/>
      <c r="IGQ395" s="173"/>
      <c r="IGR395" s="173"/>
      <c r="IGS395" s="173"/>
      <c r="IGT395" s="173"/>
      <c r="IGU395" s="173"/>
      <c r="IGV395" s="173"/>
      <c r="IGW395" s="173"/>
      <c r="IGX395" s="173"/>
      <c r="IGY395" s="173"/>
      <c r="IGZ395" s="125"/>
      <c r="IHA395" s="125"/>
      <c r="IHB395" s="134"/>
      <c r="IHC395" s="135"/>
      <c r="IHD395" s="135"/>
      <c r="IHE395" s="135"/>
      <c r="IHF395" s="135"/>
      <c r="IHG395" s="173"/>
      <c r="IHH395" s="173"/>
      <c r="IHI395" s="173"/>
      <c r="IHJ395" s="173"/>
      <c r="IHK395" s="173"/>
      <c r="IHL395" s="173"/>
      <c r="IHM395" s="173"/>
      <c r="IHN395" s="173"/>
      <c r="IHO395" s="173"/>
      <c r="IHP395" s="173"/>
      <c r="IHQ395" s="125"/>
      <c r="IHR395" s="125"/>
      <c r="IHS395" s="134"/>
      <c r="IHT395" s="135"/>
      <c r="IHU395" s="135"/>
      <c r="IHV395" s="135"/>
      <c r="IHW395" s="135"/>
      <c r="IHX395" s="173"/>
      <c r="IHY395" s="173"/>
      <c r="IHZ395" s="173"/>
      <c r="IIA395" s="173"/>
      <c r="IIB395" s="173"/>
      <c r="IIC395" s="173"/>
      <c r="IID395" s="173"/>
      <c r="IIE395" s="173"/>
      <c r="IIF395" s="173"/>
      <c r="IIG395" s="173"/>
      <c r="IIH395" s="125"/>
      <c r="III395" s="125"/>
      <c r="IIJ395" s="134"/>
      <c r="IIK395" s="135"/>
      <c r="IIL395" s="135"/>
      <c r="IIM395" s="135"/>
      <c r="IIN395" s="135"/>
      <c r="IIO395" s="173"/>
      <c r="IIP395" s="173"/>
      <c r="IIQ395" s="173"/>
      <c r="IIR395" s="173"/>
      <c r="IIS395" s="173"/>
      <c r="IIT395" s="173"/>
      <c r="IIU395" s="173"/>
      <c r="IIV395" s="173"/>
      <c r="IIW395" s="173"/>
      <c r="IIX395" s="173"/>
      <c r="IIY395" s="125"/>
      <c r="IIZ395" s="125"/>
      <c r="IJA395" s="134"/>
      <c r="IJB395" s="135"/>
      <c r="IJC395" s="135"/>
      <c r="IJD395" s="135"/>
      <c r="IJE395" s="135"/>
      <c r="IJF395" s="173"/>
      <c r="IJG395" s="173"/>
      <c r="IJH395" s="173"/>
      <c r="IJI395" s="173"/>
      <c r="IJJ395" s="173"/>
      <c r="IJK395" s="173"/>
      <c r="IJL395" s="173"/>
      <c r="IJM395" s="173"/>
      <c r="IJN395" s="173"/>
      <c r="IJO395" s="173"/>
      <c r="IJP395" s="125"/>
      <c r="IJQ395" s="125"/>
      <c r="IJR395" s="134"/>
      <c r="IJS395" s="135"/>
      <c r="IJT395" s="135"/>
      <c r="IJU395" s="135"/>
      <c r="IJV395" s="135"/>
      <c r="IJW395" s="173"/>
      <c r="IJX395" s="173"/>
      <c r="IJY395" s="173"/>
      <c r="IJZ395" s="173"/>
      <c r="IKA395" s="173"/>
      <c r="IKB395" s="173"/>
      <c r="IKC395" s="173"/>
      <c r="IKD395" s="173"/>
      <c r="IKE395" s="173"/>
      <c r="IKF395" s="173"/>
      <c r="IKG395" s="125"/>
      <c r="IKH395" s="125"/>
      <c r="IKI395" s="134"/>
      <c r="IKJ395" s="135"/>
      <c r="IKK395" s="135"/>
      <c r="IKL395" s="135"/>
      <c r="IKM395" s="135"/>
      <c r="IKN395" s="173"/>
      <c r="IKO395" s="173"/>
      <c r="IKP395" s="173"/>
      <c r="IKQ395" s="173"/>
      <c r="IKR395" s="173"/>
      <c r="IKS395" s="173"/>
      <c r="IKT395" s="173"/>
      <c r="IKU395" s="173"/>
      <c r="IKV395" s="173"/>
      <c r="IKW395" s="173"/>
      <c r="IKX395" s="125"/>
      <c r="IKY395" s="125"/>
      <c r="IKZ395" s="134"/>
      <c r="ILA395" s="135"/>
      <c r="ILB395" s="135"/>
      <c r="ILC395" s="135"/>
      <c r="ILD395" s="135"/>
      <c r="ILE395" s="173"/>
      <c r="ILF395" s="173"/>
      <c r="ILG395" s="173"/>
      <c r="ILH395" s="173"/>
      <c r="ILI395" s="173"/>
      <c r="ILJ395" s="173"/>
      <c r="ILK395" s="173"/>
      <c r="ILL395" s="173"/>
      <c r="ILM395" s="173"/>
      <c r="ILN395" s="173"/>
      <c r="ILO395" s="125"/>
      <c r="ILP395" s="125"/>
      <c r="ILQ395" s="134"/>
      <c r="ILR395" s="135"/>
      <c r="ILS395" s="135"/>
      <c r="ILT395" s="135"/>
      <c r="ILU395" s="135"/>
      <c r="ILV395" s="173"/>
      <c r="ILW395" s="173"/>
      <c r="ILX395" s="173"/>
      <c r="ILY395" s="173"/>
      <c r="ILZ395" s="173"/>
      <c r="IMA395" s="173"/>
      <c r="IMB395" s="173"/>
      <c r="IMC395" s="173"/>
      <c r="IMD395" s="173"/>
      <c r="IME395" s="173"/>
      <c r="IMF395" s="125"/>
      <c r="IMG395" s="125"/>
      <c r="IMH395" s="134"/>
      <c r="IMI395" s="135"/>
      <c r="IMJ395" s="135"/>
      <c r="IMK395" s="135"/>
      <c r="IML395" s="135"/>
      <c r="IMM395" s="173"/>
      <c r="IMN395" s="173"/>
      <c r="IMO395" s="173"/>
      <c r="IMP395" s="173"/>
      <c r="IMQ395" s="173"/>
      <c r="IMR395" s="173"/>
      <c r="IMS395" s="173"/>
      <c r="IMT395" s="173"/>
      <c r="IMU395" s="173"/>
      <c r="IMV395" s="173"/>
      <c r="IMW395" s="125"/>
      <c r="IMX395" s="125"/>
      <c r="IMY395" s="134"/>
      <c r="IMZ395" s="135"/>
      <c r="INA395" s="135"/>
      <c r="INB395" s="135"/>
      <c r="INC395" s="135"/>
      <c r="IND395" s="173"/>
      <c r="INE395" s="173"/>
      <c r="INF395" s="173"/>
      <c r="ING395" s="173"/>
      <c r="INH395" s="173"/>
      <c r="INI395" s="173"/>
      <c r="INJ395" s="173"/>
      <c r="INK395" s="173"/>
      <c r="INL395" s="173"/>
      <c r="INM395" s="173"/>
      <c r="INN395" s="125"/>
      <c r="INO395" s="125"/>
      <c r="INP395" s="134"/>
      <c r="INQ395" s="135"/>
      <c r="INR395" s="135"/>
      <c r="INS395" s="135"/>
      <c r="INT395" s="135"/>
      <c r="INU395" s="173"/>
      <c r="INV395" s="173"/>
      <c r="INW395" s="173"/>
      <c r="INX395" s="173"/>
      <c r="INY395" s="173"/>
      <c r="INZ395" s="173"/>
      <c r="IOA395" s="173"/>
      <c r="IOB395" s="173"/>
      <c r="IOC395" s="173"/>
      <c r="IOD395" s="173"/>
      <c r="IOE395" s="125"/>
      <c r="IOF395" s="125"/>
      <c r="IOG395" s="134"/>
      <c r="IOH395" s="135"/>
      <c r="IOI395" s="135"/>
      <c r="IOJ395" s="135"/>
      <c r="IOK395" s="135"/>
      <c r="IOL395" s="173"/>
      <c r="IOM395" s="173"/>
      <c r="ION395" s="173"/>
      <c r="IOO395" s="173"/>
      <c r="IOP395" s="173"/>
      <c r="IOQ395" s="173"/>
      <c r="IOR395" s="173"/>
      <c r="IOS395" s="173"/>
      <c r="IOT395" s="173"/>
      <c r="IOU395" s="173"/>
      <c r="IOV395" s="125"/>
      <c r="IOW395" s="125"/>
      <c r="IOX395" s="134"/>
      <c r="IOY395" s="135"/>
      <c r="IOZ395" s="135"/>
      <c r="IPA395" s="135"/>
      <c r="IPB395" s="135"/>
      <c r="IPC395" s="173"/>
      <c r="IPD395" s="173"/>
      <c r="IPE395" s="173"/>
      <c r="IPF395" s="173"/>
      <c r="IPG395" s="173"/>
      <c r="IPH395" s="173"/>
      <c r="IPI395" s="173"/>
      <c r="IPJ395" s="173"/>
      <c r="IPK395" s="173"/>
      <c r="IPL395" s="173"/>
      <c r="IPM395" s="125"/>
      <c r="IPN395" s="125"/>
      <c r="IPO395" s="134"/>
      <c r="IPP395" s="135"/>
      <c r="IPQ395" s="135"/>
      <c r="IPR395" s="135"/>
      <c r="IPS395" s="135"/>
      <c r="IPT395" s="173"/>
      <c r="IPU395" s="173"/>
      <c r="IPV395" s="173"/>
      <c r="IPW395" s="173"/>
      <c r="IPX395" s="173"/>
      <c r="IPY395" s="173"/>
      <c r="IPZ395" s="173"/>
      <c r="IQA395" s="173"/>
      <c r="IQB395" s="173"/>
      <c r="IQC395" s="173"/>
      <c r="IQD395" s="125"/>
      <c r="IQE395" s="125"/>
      <c r="IQF395" s="134"/>
      <c r="IQG395" s="135"/>
      <c r="IQH395" s="135"/>
      <c r="IQI395" s="135"/>
      <c r="IQJ395" s="135"/>
      <c r="IQK395" s="173"/>
      <c r="IQL395" s="173"/>
      <c r="IQM395" s="173"/>
      <c r="IQN395" s="173"/>
      <c r="IQO395" s="173"/>
      <c r="IQP395" s="173"/>
      <c r="IQQ395" s="173"/>
      <c r="IQR395" s="173"/>
      <c r="IQS395" s="173"/>
      <c r="IQT395" s="173"/>
      <c r="IQU395" s="125"/>
      <c r="IQV395" s="125"/>
      <c r="IQW395" s="134"/>
      <c r="IQX395" s="135"/>
      <c r="IQY395" s="135"/>
      <c r="IQZ395" s="135"/>
      <c r="IRA395" s="135"/>
      <c r="IRB395" s="173"/>
      <c r="IRC395" s="173"/>
      <c r="IRD395" s="173"/>
      <c r="IRE395" s="173"/>
      <c r="IRF395" s="173"/>
      <c r="IRG395" s="173"/>
      <c r="IRH395" s="173"/>
      <c r="IRI395" s="173"/>
      <c r="IRJ395" s="173"/>
      <c r="IRK395" s="173"/>
      <c r="IRL395" s="125"/>
      <c r="IRM395" s="125"/>
      <c r="IRN395" s="134"/>
      <c r="IRO395" s="135"/>
      <c r="IRP395" s="135"/>
      <c r="IRQ395" s="135"/>
      <c r="IRR395" s="135"/>
      <c r="IRS395" s="173"/>
      <c r="IRT395" s="173"/>
      <c r="IRU395" s="173"/>
      <c r="IRV395" s="173"/>
      <c r="IRW395" s="173"/>
      <c r="IRX395" s="173"/>
      <c r="IRY395" s="173"/>
      <c r="IRZ395" s="173"/>
      <c r="ISA395" s="173"/>
      <c r="ISB395" s="173"/>
      <c r="ISC395" s="125"/>
      <c r="ISD395" s="125"/>
      <c r="ISE395" s="134"/>
      <c r="ISF395" s="135"/>
      <c r="ISG395" s="135"/>
      <c r="ISH395" s="135"/>
      <c r="ISI395" s="135"/>
      <c r="ISJ395" s="173"/>
      <c r="ISK395" s="173"/>
      <c r="ISL395" s="173"/>
      <c r="ISM395" s="173"/>
      <c r="ISN395" s="173"/>
      <c r="ISO395" s="173"/>
      <c r="ISP395" s="173"/>
      <c r="ISQ395" s="173"/>
      <c r="ISR395" s="173"/>
      <c r="ISS395" s="173"/>
      <c r="IST395" s="125"/>
      <c r="ISU395" s="125"/>
      <c r="ISV395" s="134"/>
      <c r="ISW395" s="135"/>
      <c r="ISX395" s="135"/>
      <c r="ISY395" s="135"/>
      <c r="ISZ395" s="135"/>
      <c r="ITA395" s="173"/>
      <c r="ITB395" s="173"/>
      <c r="ITC395" s="173"/>
      <c r="ITD395" s="173"/>
      <c r="ITE395" s="173"/>
      <c r="ITF395" s="173"/>
      <c r="ITG395" s="173"/>
      <c r="ITH395" s="173"/>
      <c r="ITI395" s="173"/>
      <c r="ITJ395" s="173"/>
      <c r="ITK395" s="125"/>
      <c r="ITL395" s="125"/>
      <c r="ITM395" s="134"/>
      <c r="ITN395" s="135"/>
      <c r="ITO395" s="135"/>
      <c r="ITP395" s="135"/>
      <c r="ITQ395" s="135"/>
      <c r="ITR395" s="173"/>
      <c r="ITS395" s="173"/>
      <c r="ITT395" s="173"/>
      <c r="ITU395" s="173"/>
      <c r="ITV395" s="173"/>
      <c r="ITW395" s="173"/>
      <c r="ITX395" s="173"/>
      <c r="ITY395" s="173"/>
      <c r="ITZ395" s="173"/>
      <c r="IUA395" s="173"/>
      <c r="IUB395" s="125"/>
      <c r="IUC395" s="125"/>
      <c r="IUD395" s="134"/>
      <c r="IUE395" s="135"/>
      <c r="IUF395" s="135"/>
      <c r="IUG395" s="135"/>
      <c r="IUH395" s="135"/>
      <c r="IUI395" s="173"/>
      <c r="IUJ395" s="173"/>
      <c r="IUK395" s="173"/>
      <c r="IUL395" s="173"/>
      <c r="IUM395" s="173"/>
      <c r="IUN395" s="173"/>
      <c r="IUO395" s="173"/>
      <c r="IUP395" s="173"/>
      <c r="IUQ395" s="173"/>
      <c r="IUR395" s="173"/>
      <c r="IUS395" s="125"/>
      <c r="IUT395" s="125"/>
      <c r="IUU395" s="134"/>
      <c r="IUV395" s="135"/>
      <c r="IUW395" s="135"/>
      <c r="IUX395" s="135"/>
      <c r="IUY395" s="135"/>
      <c r="IUZ395" s="173"/>
      <c r="IVA395" s="173"/>
      <c r="IVB395" s="173"/>
      <c r="IVC395" s="173"/>
      <c r="IVD395" s="173"/>
      <c r="IVE395" s="173"/>
      <c r="IVF395" s="173"/>
      <c r="IVG395" s="173"/>
      <c r="IVH395" s="173"/>
      <c r="IVI395" s="173"/>
      <c r="IVJ395" s="125"/>
      <c r="IVK395" s="125"/>
      <c r="IVL395" s="134"/>
      <c r="IVM395" s="135"/>
      <c r="IVN395" s="135"/>
      <c r="IVO395" s="135"/>
      <c r="IVP395" s="135"/>
      <c r="IVQ395" s="173"/>
      <c r="IVR395" s="173"/>
      <c r="IVS395" s="173"/>
      <c r="IVT395" s="173"/>
      <c r="IVU395" s="173"/>
      <c r="IVV395" s="173"/>
      <c r="IVW395" s="173"/>
      <c r="IVX395" s="173"/>
      <c r="IVY395" s="173"/>
      <c r="IVZ395" s="173"/>
      <c r="IWA395" s="125"/>
      <c r="IWB395" s="125"/>
      <c r="IWC395" s="134"/>
      <c r="IWD395" s="135"/>
      <c r="IWE395" s="135"/>
      <c r="IWF395" s="135"/>
      <c r="IWG395" s="135"/>
      <c r="IWH395" s="173"/>
      <c r="IWI395" s="173"/>
      <c r="IWJ395" s="173"/>
      <c r="IWK395" s="173"/>
      <c r="IWL395" s="173"/>
      <c r="IWM395" s="173"/>
      <c r="IWN395" s="173"/>
      <c r="IWO395" s="173"/>
      <c r="IWP395" s="173"/>
      <c r="IWQ395" s="173"/>
      <c r="IWR395" s="125"/>
      <c r="IWS395" s="125"/>
      <c r="IWT395" s="134"/>
      <c r="IWU395" s="135"/>
      <c r="IWV395" s="135"/>
      <c r="IWW395" s="135"/>
      <c r="IWX395" s="135"/>
      <c r="IWY395" s="173"/>
      <c r="IWZ395" s="173"/>
      <c r="IXA395" s="173"/>
      <c r="IXB395" s="173"/>
      <c r="IXC395" s="173"/>
      <c r="IXD395" s="173"/>
      <c r="IXE395" s="173"/>
      <c r="IXF395" s="173"/>
      <c r="IXG395" s="173"/>
      <c r="IXH395" s="173"/>
      <c r="IXI395" s="125"/>
      <c r="IXJ395" s="125"/>
      <c r="IXK395" s="134"/>
      <c r="IXL395" s="135"/>
      <c r="IXM395" s="135"/>
      <c r="IXN395" s="135"/>
      <c r="IXO395" s="135"/>
      <c r="IXP395" s="173"/>
      <c r="IXQ395" s="173"/>
      <c r="IXR395" s="173"/>
      <c r="IXS395" s="173"/>
      <c r="IXT395" s="173"/>
      <c r="IXU395" s="173"/>
      <c r="IXV395" s="173"/>
      <c r="IXW395" s="173"/>
      <c r="IXX395" s="173"/>
      <c r="IXY395" s="173"/>
      <c r="IXZ395" s="125"/>
      <c r="IYA395" s="125"/>
      <c r="IYB395" s="134"/>
      <c r="IYC395" s="135"/>
      <c r="IYD395" s="135"/>
      <c r="IYE395" s="135"/>
      <c r="IYF395" s="135"/>
      <c r="IYG395" s="173"/>
      <c r="IYH395" s="173"/>
      <c r="IYI395" s="173"/>
      <c r="IYJ395" s="173"/>
      <c r="IYK395" s="173"/>
      <c r="IYL395" s="173"/>
      <c r="IYM395" s="173"/>
      <c r="IYN395" s="173"/>
      <c r="IYO395" s="173"/>
      <c r="IYP395" s="173"/>
      <c r="IYQ395" s="125"/>
      <c r="IYR395" s="125"/>
      <c r="IYS395" s="134"/>
      <c r="IYT395" s="135"/>
      <c r="IYU395" s="135"/>
      <c r="IYV395" s="135"/>
      <c r="IYW395" s="135"/>
      <c r="IYX395" s="173"/>
      <c r="IYY395" s="173"/>
      <c r="IYZ395" s="173"/>
      <c r="IZA395" s="173"/>
      <c r="IZB395" s="173"/>
      <c r="IZC395" s="173"/>
      <c r="IZD395" s="173"/>
      <c r="IZE395" s="173"/>
      <c r="IZF395" s="173"/>
      <c r="IZG395" s="173"/>
      <c r="IZH395" s="125"/>
      <c r="IZI395" s="125"/>
      <c r="IZJ395" s="134"/>
      <c r="IZK395" s="135"/>
      <c r="IZL395" s="135"/>
      <c r="IZM395" s="135"/>
      <c r="IZN395" s="135"/>
      <c r="IZO395" s="173"/>
      <c r="IZP395" s="173"/>
      <c r="IZQ395" s="173"/>
      <c r="IZR395" s="173"/>
      <c r="IZS395" s="173"/>
      <c r="IZT395" s="173"/>
      <c r="IZU395" s="173"/>
      <c r="IZV395" s="173"/>
      <c r="IZW395" s="173"/>
      <c r="IZX395" s="173"/>
      <c r="IZY395" s="125"/>
      <c r="IZZ395" s="125"/>
      <c r="JAA395" s="134"/>
      <c r="JAB395" s="135"/>
      <c r="JAC395" s="135"/>
      <c r="JAD395" s="135"/>
      <c r="JAE395" s="135"/>
      <c r="JAF395" s="173"/>
      <c r="JAG395" s="173"/>
      <c r="JAH395" s="173"/>
      <c r="JAI395" s="173"/>
      <c r="JAJ395" s="173"/>
      <c r="JAK395" s="173"/>
      <c r="JAL395" s="173"/>
      <c r="JAM395" s="173"/>
      <c r="JAN395" s="173"/>
      <c r="JAO395" s="173"/>
      <c r="JAP395" s="125"/>
      <c r="JAQ395" s="125"/>
      <c r="JAR395" s="134"/>
      <c r="JAS395" s="135"/>
      <c r="JAT395" s="135"/>
      <c r="JAU395" s="135"/>
      <c r="JAV395" s="135"/>
      <c r="JAW395" s="173"/>
      <c r="JAX395" s="173"/>
      <c r="JAY395" s="173"/>
      <c r="JAZ395" s="173"/>
      <c r="JBA395" s="173"/>
      <c r="JBB395" s="173"/>
      <c r="JBC395" s="173"/>
      <c r="JBD395" s="173"/>
      <c r="JBE395" s="173"/>
      <c r="JBF395" s="173"/>
      <c r="JBG395" s="125"/>
      <c r="JBH395" s="125"/>
      <c r="JBI395" s="134"/>
      <c r="JBJ395" s="135"/>
      <c r="JBK395" s="135"/>
      <c r="JBL395" s="135"/>
      <c r="JBM395" s="135"/>
      <c r="JBN395" s="173"/>
      <c r="JBO395" s="173"/>
      <c r="JBP395" s="173"/>
      <c r="JBQ395" s="173"/>
      <c r="JBR395" s="173"/>
      <c r="JBS395" s="173"/>
      <c r="JBT395" s="173"/>
      <c r="JBU395" s="173"/>
      <c r="JBV395" s="173"/>
      <c r="JBW395" s="173"/>
      <c r="JBX395" s="125"/>
      <c r="JBY395" s="125"/>
      <c r="JBZ395" s="134"/>
      <c r="JCA395" s="135"/>
      <c r="JCB395" s="135"/>
      <c r="JCC395" s="135"/>
      <c r="JCD395" s="135"/>
      <c r="JCE395" s="173"/>
      <c r="JCF395" s="173"/>
      <c r="JCG395" s="173"/>
      <c r="JCH395" s="173"/>
      <c r="JCI395" s="173"/>
      <c r="JCJ395" s="173"/>
      <c r="JCK395" s="173"/>
      <c r="JCL395" s="173"/>
      <c r="JCM395" s="173"/>
      <c r="JCN395" s="173"/>
      <c r="JCO395" s="125"/>
      <c r="JCP395" s="125"/>
      <c r="JCQ395" s="134"/>
      <c r="JCR395" s="135"/>
      <c r="JCS395" s="135"/>
      <c r="JCT395" s="135"/>
      <c r="JCU395" s="135"/>
      <c r="JCV395" s="173"/>
      <c r="JCW395" s="173"/>
      <c r="JCX395" s="173"/>
      <c r="JCY395" s="173"/>
      <c r="JCZ395" s="173"/>
      <c r="JDA395" s="173"/>
      <c r="JDB395" s="173"/>
      <c r="JDC395" s="173"/>
      <c r="JDD395" s="173"/>
      <c r="JDE395" s="173"/>
      <c r="JDF395" s="125"/>
      <c r="JDG395" s="125"/>
      <c r="JDH395" s="134"/>
      <c r="JDI395" s="135"/>
      <c r="JDJ395" s="135"/>
      <c r="JDK395" s="135"/>
      <c r="JDL395" s="135"/>
      <c r="JDM395" s="173"/>
      <c r="JDN395" s="173"/>
      <c r="JDO395" s="173"/>
      <c r="JDP395" s="173"/>
      <c r="JDQ395" s="173"/>
      <c r="JDR395" s="173"/>
      <c r="JDS395" s="173"/>
      <c r="JDT395" s="173"/>
      <c r="JDU395" s="173"/>
      <c r="JDV395" s="173"/>
      <c r="JDW395" s="125"/>
      <c r="JDX395" s="125"/>
      <c r="JDY395" s="134"/>
      <c r="JDZ395" s="135"/>
      <c r="JEA395" s="135"/>
      <c r="JEB395" s="135"/>
      <c r="JEC395" s="135"/>
      <c r="JED395" s="173"/>
      <c r="JEE395" s="173"/>
      <c r="JEF395" s="173"/>
      <c r="JEG395" s="173"/>
      <c r="JEH395" s="173"/>
      <c r="JEI395" s="173"/>
      <c r="JEJ395" s="173"/>
      <c r="JEK395" s="173"/>
      <c r="JEL395" s="173"/>
      <c r="JEM395" s="173"/>
      <c r="JEN395" s="125"/>
      <c r="JEO395" s="125"/>
      <c r="JEP395" s="134"/>
      <c r="JEQ395" s="135"/>
      <c r="JER395" s="135"/>
      <c r="JES395" s="135"/>
      <c r="JET395" s="135"/>
      <c r="JEU395" s="173"/>
      <c r="JEV395" s="173"/>
      <c r="JEW395" s="173"/>
      <c r="JEX395" s="173"/>
      <c r="JEY395" s="173"/>
      <c r="JEZ395" s="173"/>
      <c r="JFA395" s="173"/>
      <c r="JFB395" s="173"/>
      <c r="JFC395" s="173"/>
      <c r="JFD395" s="173"/>
      <c r="JFE395" s="125"/>
      <c r="JFF395" s="125"/>
      <c r="JFG395" s="134"/>
      <c r="JFH395" s="135"/>
      <c r="JFI395" s="135"/>
      <c r="JFJ395" s="135"/>
      <c r="JFK395" s="135"/>
      <c r="JFL395" s="173"/>
      <c r="JFM395" s="173"/>
      <c r="JFN395" s="173"/>
      <c r="JFO395" s="173"/>
      <c r="JFP395" s="173"/>
      <c r="JFQ395" s="173"/>
      <c r="JFR395" s="173"/>
      <c r="JFS395" s="173"/>
      <c r="JFT395" s="173"/>
      <c r="JFU395" s="173"/>
      <c r="JFV395" s="125"/>
      <c r="JFW395" s="125"/>
      <c r="JFX395" s="134"/>
      <c r="JFY395" s="135"/>
      <c r="JFZ395" s="135"/>
      <c r="JGA395" s="135"/>
      <c r="JGB395" s="135"/>
      <c r="JGC395" s="173"/>
      <c r="JGD395" s="173"/>
      <c r="JGE395" s="173"/>
      <c r="JGF395" s="173"/>
      <c r="JGG395" s="173"/>
      <c r="JGH395" s="173"/>
      <c r="JGI395" s="173"/>
      <c r="JGJ395" s="173"/>
      <c r="JGK395" s="173"/>
      <c r="JGL395" s="173"/>
      <c r="JGM395" s="125"/>
      <c r="JGN395" s="125"/>
      <c r="JGO395" s="134"/>
      <c r="JGP395" s="135"/>
      <c r="JGQ395" s="135"/>
      <c r="JGR395" s="135"/>
      <c r="JGS395" s="135"/>
      <c r="JGT395" s="173"/>
      <c r="JGU395" s="173"/>
      <c r="JGV395" s="173"/>
      <c r="JGW395" s="173"/>
      <c r="JGX395" s="173"/>
      <c r="JGY395" s="173"/>
      <c r="JGZ395" s="173"/>
      <c r="JHA395" s="173"/>
      <c r="JHB395" s="173"/>
      <c r="JHC395" s="173"/>
      <c r="JHD395" s="125"/>
      <c r="JHE395" s="125"/>
      <c r="JHF395" s="134"/>
      <c r="JHG395" s="135"/>
      <c r="JHH395" s="135"/>
      <c r="JHI395" s="135"/>
      <c r="JHJ395" s="135"/>
      <c r="JHK395" s="173"/>
      <c r="JHL395" s="173"/>
      <c r="JHM395" s="173"/>
      <c r="JHN395" s="173"/>
      <c r="JHO395" s="173"/>
      <c r="JHP395" s="173"/>
      <c r="JHQ395" s="173"/>
      <c r="JHR395" s="173"/>
      <c r="JHS395" s="173"/>
      <c r="JHT395" s="173"/>
      <c r="JHU395" s="125"/>
      <c r="JHV395" s="125"/>
      <c r="JHW395" s="134"/>
      <c r="JHX395" s="135"/>
      <c r="JHY395" s="135"/>
      <c r="JHZ395" s="135"/>
      <c r="JIA395" s="135"/>
      <c r="JIB395" s="173"/>
      <c r="JIC395" s="173"/>
      <c r="JID395" s="173"/>
      <c r="JIE395" s="173"/>
      <c r="JIF395" s="173"/>
      <c r="JIG395" s="173"/>
      <c r="JIH395" s="173"/>
      <c r="JII395" s="173"/>
      <c r="JIJ395" s="173"/>
      <c r="JIK395" s="173"/>
      <c r="JIL395" s="125"/>
      <c r="JIM395" s="125"/>
      <c r="JIN395" s="134"/>
      <c r="JIO395" s="135"/>
      <c r="JIP395" s="135"/>
      <c r="JIQ395" s="135"/>
      <c r="JIR395" s="135"/>
      <c r="JIS395" s="173"/>
      <c r="JIT395" s="173"/>
      <c r="JIU395" s="173"/>
      <c r="JIV395" s="173"/>
      <c r="JIW395" s="173"/>
      <c r="JIX395" s="173"/>
      <c r="JIY395" s="173"/>
      <c r="JIZ395" s="173"/>
      <c r="JJA395" s="173"/>
      <c r="JJB395" s="173"/>
      <c r="JJC395" s="125"/>
      <c r="JJD395" s="125"/>
      <c r="JJE395" s="134"/>
      <c r="JJF395" s="135"/>
      <c r="JJG395" s="135"/>
      <c r="JJH395" s="135"/>
      <c r="JJI395" s="135"/>
      <c r="JJJ395" s="173"/>
      <c r="JJK395" s="173"/>
      <c r="JJL395" s="173"/>
      <c r="JJM395" s="173"/>
      <c r="JJN395" s="173"/>
      <c r="JJO395" s="173"/>
      <c r="JJP395" s="173"/>
      <c r="JJQ395" s="173"/>
      <c r="JJR395" s="173"/>
      <c r="JJS395" s="173"/>
      <c r="JJT395" s="125"/>
      <c r="JJU395" s="125"/>
      <c r="JJV395" s="134"/>
      <c r="JJW395" s="135"/>
      <c r="JJX395" s="135"/>
      <c r="JJY395" s="135"/>
      <c r="JJZ395" s="135"/>
      <c r="JKA395" s="173"/>
      <c r="JKB395" s="173"/>
      <c r="JKC395" s="173"/>
      <c r="JKD395" s="173"/>
      <c r="JKE395" s="173"/>
      <c r="JKF395" s="173"/>
      <c r="JKG395" s="173"/>
      <c r="JKH395" s="173"/>
      <c r="JKI395" s="173"/>
      <c r="JKJ395" s="173"/>
      <c r="JKK395" s="125"/>
      <c r="JKL395" s="125"/>
      <c r="JKM395" s="134"/>
      <c r="JKN395" s="135"/>
      <c r="JKO395" s="135"/>
      <c r="JKP395" s="135"/>
      <c r="JKQ395" s="135"/>
      <c r="JKR395" s="173"/>
      <c r="JKS395" s="173"/>
      <c r="JKT395" s="173"/>
      <c r="JKU395" s="173"/>
      <c r="JKV395" s="173"/>
      <c r="JKW395" s="173"/>
      <c r="JKX395" s="173"/>
      <c r="JKY395" s="173"/>
      <c r="JKZ395" s="173"/>
      <c r="JLA395" s="173"/>
      <c r="JLB395" s="125"/>
      <c r="JLC395" s="125"/>
      <c r="JLD395" s="134"/>
      <c r="JLE395" s="135"/>
      <c r="JLF395" s="135"/>
      <c r="JLG395" s="135"/>
      <c r="JLH395" s="135"/>
      <c r="JLI395" s="173"/>
      <c r="JLJ395" s="173"/>
      <c r="JLK395" s="173"/>
      <c r="JLL395" s="173"/>
      <c r="JLM395" s="173"/>
      <c r="JLN395" s="173"/>
      <c r="JLO395" s="173"/>
      <c r="JLP395" s="173"/>
      <c r="JLQ395" s="173"/>
      <c r="JLR395" s="173"/>
      <c r="JLS395" s="125"/>
      <c r="JLT395" s="125"/>
      <c r="JLU395" s="134"/>
      <c r="JLV395" s="135"/>
      <c r="JLW395" s="135"/>
      <c r="JLX395" s="135"/>
      <c r="JLY395" s="135"/>
      <c r="JLZ395" s="173"/>
      <c r="JMA395" s="173"/>
      <c r="JMB395" s="173"/>
      <c r="JMC395" s="173"/>
      <c r="JMD395" s="173"/>
      <c r="JME395" s="173"/>
      <c r="JMF395" s="173"/>
      <c r="JMG395" s="173"/>
      <c r="JMH395" s="173"/>
      <c r="JMI395" s="173"/>
      <c r="JMJ395" s="125"/>
      <c r="JMK395" s="125"/>
      <c r="JML395" s="134"/>
      <c r="JMM395" s="135"/>
      <c r="JMN395" s="135"/>
      <c r="JMO395" s="135"/>
      <c r="JMP395" s="135"/>
      <c r="JMQ395" s="173"/>
      <c r="JMR395" s="173"/>
      <c r="JMS395" s="173"/>
      <c r="JMT395" s="173"/>
      <c r="JMU395" s="173"/>
      <c r="JMV395" s="173"/>
      <c r="JMW395" s="173"/>
      <c r="JMX395" s="173"/>
      <c r="JMY395" s="173"/>
      <c r="JMZ395" s="173"/>
      <c r="JNA395" s="125"/>
      <c r="JNB395" s="125"/>
      <c r="JNC395" s="134"/>
      <c r="JND395" s="135"/>
      <c r="JNE395" s="135"/>
      <c r="JNF395" s="135"/>
      <c r="JNG395" s="135"/>
      <c r="JNH395" s="173"/>
      <c r="JNI395" s="173"/>
      <c r="JNJ395" s="173"/>
      <c r="JNK395" s="173"/>
      <c r="JNL395" s="173"/>
      <c r="JNM395" s="173"/>
      <c r="JNN395" s="173"/>
      <c r="JNO395" s="173"/>
      <c r="JNP395" s="173"/>
      <c r="JNQ395" s="173"/>
      <c r="JNR395" s="125"/>
      <c r="JNS395" s="125"/>
      <c r="JNT395" s="134"/>
      <c r="JNU395" s="135"/>
      <c r="JNV395" s="135"/>
      <c r="JNW395" s="135"/>
      <c r="JNX395" s="135"/>
      <c r="JNY395" s="173"/>
      <c r="JNZ395" s="173"/>
      <c r="JOA395" s="173"/>
      <c r="JOB395" s="173"/>
      <c r="JOC395" s="173"/>
      <c r="JOD395" s="173"/>
      <c r="JOE395" s="173"/>
      <c r="JOF395" s="173"/>
      <c r="JOG395" s="173"/>
      <c r="JOH395" s="173"/>
      <c r="JOI395" s="125"/>
      <c r="JOJ395" s="125"/>
      <c r="JOK395" s="134"/>
      <c r="JOL395" s="135"/>
      <c r="JOM395" s="135"/>
      <c r="JON395" s="135"/>
      <c r="JOO395" s="135"/>
      <c r="JOP395" s="173"/>
      <c r="JOQ395" s="173"/>
      <c r="JOR395" s="173"/>
      <c r="JOS395" s="173"/>
      <c r="JOT395" s="173"/>
      <c r="JOU395" s="173"/>
      <c r="JOV395" s="173"/>
      <c r="JOW395" s="173"/>
      <c r="JOX395" s="173"/>
      <c r="JOY395" s="173"/>
      <c r="JOZ395" s="125"/>
      <c r="JPA395" s="125"/>
      <c r="JPB395" s="134"/>
      <c r="JPC395" s="135"/>
      <c r="JPD395" s="135"/>
      <c r="JPE395" s="135"/>
      <c r="JPF395" s="135"/>
      <c r="JPG395" s="173"/>
      <c r="JPH395" s="173"/>
      <c r="JPI395" s="173"/>
      <c r="JPJ395" s="173"/>
      <c r="JPK395" s="173"/>
      <c r="JPL395" s="173"/>
      <c r="JPM395" s="173"/>
      <c r="JPN395" s="173"/>
      <c r="JPO395" s="173"/>
      <c r="JPP395" s="173"/>
      <c r="JPQ395" s="125"/>
      <c r="JPR395" s="125"/>
      <c r="JPS395" s="134"/>
      <c r="JPT395" s="135"/>
      <c r="JPU395" s="135"/>
      <c r="JPV395" s="135"/>
      <c r="JPW395" s="135"/>
      <c r="JPX395" s="173"/>
      <c r="JPY395" s="173"/>
      <c r="JPZ395" s="173"/>
      <c r="JQA395" s="173"/>
      <c r="JQB395" s="173"/>
      <c r="JQC395" s="173"/>
      <c r="JQD395" s="173"/>
      <c r="JQE395" s="173"/>
      <c r="JQF395" s="173"/>
      <c r="JQG395" s="173"/>
      <c r="JQH395" s="125"/>
      <c r="JQI395" s="125"/>
      <c r="JQJ395" s="134"/>
      <c r="JQK395" s="135"/>
      <c r="JQL395" s="135"/>
      <c r="JQM395" s="135"/>
      <c r="JQN395" s="135"/>
      <c r="JQO395" s="173"/>
      <c r="JQP395" s="173"/>
      <c r="JQQ395" s="173"/>
      <c r="JQR395" s="173"/>
      <c r="JQS395" s="173"/>
      <c r="JQT395" s="173"/>
      <c r="JQU395" s="173"/>
      <c r="JQV395" s="173"/>
      <c r="JQW395" s="173"/>
      <c r="JQX395" s="173"/>
      <c r="JQY395" s="125"/>
      <c r="JQZ395" s="125"/>
      <c r="JRA395" s="134"/>
      <c r="JRB395" s="135"/>
      <c r="JRC395" s="135"/>
      <c r="JRD395" s="135"/>
      <c r="JRE395" s="135"/>
      <c r="JRF395" s="173"/>
      <c r="JRG395" s="173"/>
      <c r="JRH395" s="173"/>
      <c r="JRI395" s="173"/>
      <c r="JRJ395" s="173"/>
      <c r="JRK395" s="173"/>
      <c r="JRL395" s="173"/>
      <c r="JRM395" s="173"/>
      <c r="JRN395" s="173"/>
      <c r="JRO395" s="173"/>
      <c r="JRP395" s="125"/>
      <c r="JRQ395" s="125"/>
      <c r="JRR395" s="134"/>
      <c r="JRS395" s="135"/>
      <c r="JRT395" s="135"/>
      <c r="JRU395" s="135"/>
      <c r="JRV395" s="135"/>
      <c r="JRW395" s="173"/>
      <c r="JRX395" s="173"/>
      <c r="JRY395" s="173"/>
      <c r="JRZ395" s="173"/>
      <c r="JSA395" s="173"/>
      <c r="JSB395" s="173"/>
      <c r="JSC395" s="173"/>
      <c r="JSD395" s="173"/>
      <c r="JSE395" s="173"/>
      <c r="JSF395" s="173"/>
      <c r="JSG395" s="125"/>
      <c r="JSH395" s="125"/>
      <c r="JSI395" s="134"/>
      <c r="JSJ395" s="135"/>
      <c r="JSK395" s="135"/>
      <c r="JSL395" s="135"/>
      <c r="JSM395" s="135"/>
      <c r="JSN395" s="173"/>
      <c r="JSO395" s="173"/>
      <c r="JSP395" s="173"/>
      <c r="JSQ395" s="173"/>
      <c r="JSR395" s="173"/>
      <c r="JSS395" s="173"/>
      <c r="JST395" s="173"/>
      <c r="JSU395" s="173"/>
      <c r="JSV395" s="173"/>
      <c r="JSW395" s="173"/>
      <c r="JSX395" s="125"/>
      <c r="JSY395" s="125"/>
      <c r="JSZ395" s="134"/>
      <c r="JTA395" s="135"/>
      <c r="JTB395" s="135"/>
      <c r="JTC395" s="135"/>
      <c r="JTD395" s="135"/>
      <c r="JTE395" s="173"/>
      <c r="JTF395" s="173"/>
      <c r="JTG395" s="173"/>
      <c r="JTH395" s="173"/>
      <c r="JTI395" s="173"/>
      <c r="JTJ395" s="173"/>
      <c r="JTK395" s="173"/>
      <c r="JTL395" s="173"/>
      <c r="JTM395" s="173"/>
      <c r="JTN395" s="173"/>
      <c r="JTO395" s="125"/>
      <c r="JTP395" s="125"/>
      <c r="JTQ395" s="134"/>
      <c r="JTR395" s="135"/>
      <c r="JTS395" s="135"/>
      <c r="JTT395" s="135"/>
      <c r="JTU395" s="135"/>
      <c r="JTV395" s="173"/>
      <c r="JTW395" s="173"/>
      <c r="JTX395" s="173"/>
      <c r="JTY395" s="173"/>
      <c r="JTZ395" s="173"/>
      <c r="JUA395" s="173"/>
      <c r="JUB395" s="173"/>
      <c r="JUC395" s="173"/>
      <c r="JUD395" s="173"/>
      <c r="JUE395" s="173"/>
      <c r="JUF395" s="125"/>
      <c r="JUG395" s="125"/>
      <c r="JUH395" s="134"/>
      <c r="JUI395" s="135"/>
      <c r="JUJ395" s="135"/>
      <c r="JUK395" s="135"/>
      <c r="JUL395" s="135"/>
      <c r="JUM395" s="173"/>
      <c r="JUN395" s="173"/>
      <c r="JUO395" s="173"/>
      <c r="JUP395" s="173"/>
      <c r="JUQ395" s="173"/>
      <c r="JUR395" s="173"/>
      <c r="JUS395" s="173"/>
      <c r="JUT395" s="173"/>
      <c r="JUU395" s="173"/>
      <c r="JUV395" s="173"/>
      <c r="JUW395" s="125"/>
      <c r="JUX395" s="125"/>
      <c r="JUY395" s="134"/>
      <c r="JUZ395" s="135"/>
      <c r="JVA395" s="135"/>
      <c r="JVB395" s="135"/>
      <c r="JVC395" s="135"/>
      <c r="JVD395" s="173"/>
      <c r="JVE395" s="173"/>
      <c r="JVF395" s="173"/>
      <c r="JVG395" s="173"/>
      <c r="JVH395" s="173"/>
      <c r="JVI395" s="173"/>
      <c r="JVJ395" s="173"/>
      <c r="JVK395" s="173"/>
      <c r="JVL395" s="173"/>
      <c r="JVM395" s="173"/>
      <c r="JVN395" s="125"/>
      <c r="JVO395" s="125"/>
      <c r="JVP395" s="134"/>
      <c r="JVQ395" s="135"/>
      <c r="JVR395" s="135"/>
      <c r="JVS395" s="135"/>
      <c r="JVT395" s="135"/>
      <c r="JVU395" s="173"/>
      <c r="JVV395" s="173"/>
      <c r="JVW395" s="173"/>
      <c r="JVX395" s="173"/>
      <c r="JVY395" s="173"/>
      <c r="JVZ395" s="173"/>
      <c r="JWA395" s="173"/>
      <c r="JWB395" s="173"/>
      <c r="JWC395" s="173"/>
      <c r="JWD395" s="173"/>
      <c r="JWE395" s="125"/>
      <c r="JWF395" s="125"/>
      <c r="JWG395" s="134"/>
      <c r="JWH395" s="135"/>
      <c r="JWI395" s="135"/>
      <c r="JWJ395" s="135"/>
      <c r="JWK395" s="135"/>
      <c r="JWL395" s="173"/>
      <c r="JWM395" s="173"/>
      <c r="JWN395" s="173"/>
      <c r="JWO395" s="173"/>
      <c r="JWP395" s="173"/>
      <c r="JWQ395" s="173"/>
      <c r="JWR395" s="173"/>
      <c r="JWS395" s="173"/>
      <c r="JWT395" s="173"/>
      <c r="JWU395" s="173"/>
      <c r="JWV395" s="125"/>
      <c r="JWW395" s="125"/>
      <c r="JWX395" s="134"/>
      <c r="JWY395" s="135"/>
      <c r="JWZ395" s="135"/>
      <c r="JXA395" s="135"/>
      <c r="JXB395" s="135"/>
      <c r="JXC395" s="173"/>
      <c r="JXD395" s="173"/>
      <c r="JXE395" s="173"/>
      <c r="JXF395" s="173"/>
      <c r="JXG395" s="173"/>
      <c r="JXH395" s="173"/>
      <c r="JXI395" s="173"/>
      <c r="JXJ395" s="173"/>
      <c r="JXK395" s="173"/>
      <c r="JXL395" s="173"/>
      <c r="JXM395" s="125"/>
      <c r="JXN395" s="125"/>
      <c r="JXO395" s="134"/>
      <c r="JXP395" s="135"/>
      <c r="JXQ395" s="135"/>
      <c r="JXR395" s="135"/>
      <c r="JXS395" s="135"/>
      <c r="JXT395" s="173"/>
      <c r="JXU395" s="173"/>
      <c r="JXV395" s="173"/>
      <c r="JXW395" s="173"/>
      <c r="JXX395" s="173"/>
      <c r="JXY395" s="173"/>
      <c r="JXZ395" s="173"/>
      <c r="JYA395" s="173"/>
      <c r="JYB395" s="173"/>
      <c r="JYC395" s="173"/>
      <c r="JYD395" s="125"/>
      <c r="JYE395" s="125"/>
      <c r="JYF395" s="134"/>
      <c r="JYG395" s="135"/>
      <c r="JYH395" s="135"/>
      <c r="JYI395" s="135"/>
      <c r="JYJ395" s="135"/>
      <c r="JYK395" s="173"/>
      <c r="JYL395" s="173"/>
      <c r="JYM395" s="173"/>
      <c r="JYN395" s="173"/>
      <c r="JYO395" s="173"/>
      <c r="JYP395" s="173"/>
      <c r="JYQ395" s="173"/>
      <c r="JYR395" s="173"/>
      <c r="JYS395" s="173"/>
      <c r="JYT395" s="173"/>
      <c r="JYU395" s="125"/>
      <c r="JYV395" s="125"/>
      <c r="JYW395" s="134"/>
      <c r="JYX395" s="135"/>
      <c r="JYY395" s="135"/>
      <c r="JYZ395" s="135"/>
      <c r="JZA395" s="135"/>
      <c r="JZB395" s="173"/>
      <c r="JZC395" s="173"/>
      <c r="JZD395" s="173"/>
      <c r="JZE395" s="173"/>
      <c r="JZF395" s="173"/>
      <c r="JZG395" s="173"/>
      <c r="JZH395" s="173"/>
      <c r="JZI395" s="173"/>
      <c r="JZJ395" s="173"/>
      <c r="JZK395" s="173"/>
      <c r="JZL395" s="125"/>
      <c r="JZM395" s="125"/>
      <c r="JZN395" s="134"/>
      <c r="JZO395" s="135"/>
      <c r="JZP395" s="135"/>
      <c r="JZQ395" s="135"/>
      <c r="JZR395" s="135"/>
      <c r="JZS395" s="173"/>
      <c r="JZT395" s="173"/>
      <c r="JZU395" s="173"/>
      <c r="JZV395" s="173"/>
      <c r="JZW395" s="173"/>
      <c r="JZX395" s="173"/>
      <c r="JZY395" s="173"/>
      <c r="JZZ395" s="173"/>
      <c r="KAA395" s="173"/>
      <c r="KAB395" s="173"/>
      <c r="KAC395" s="125"/>
      <c r="KAD395" s="125"/>
      <c r="KAE395" s="134"/>
      <c r="KAF395" s="135"/>
      <c r="KAG395" s="135"/>
      <c r="KAH395" s="135"/>
      <c r="KAI395" s="135"/>
      <c r="KAJ395" s="173"/>
      <c r="KAK395" s="173"/>
      <c r="KAL395" s="173"/>
      <c r="KAM395" s="173"/>
      <c r="KAN395" s="173"/>
      <c r="KAO395" s="173"/>
      <c r="KAP395" s="173"/>
      <c r="KAQ395" s="173"/>
      <c r="KAR395" s="173"/>
      <c r="KAS395" s="173"/>
      <c r="KAT395" s="125"/>
      <c r="KAU395" s="125"/>
      <c r="KAV395" s="134"/>
      <c r="KAW395" s="135"/>
      <c r="KAX395" s="135"/>
      <c r="KAY395" s="135"/>
      <c r="KAZ395" s="135"/>
      <c r="KBA395" s="173"/>
      <c r="KBB395" s="173"/>
      <c r="KBC395" s="173"/>
      <c r="KBD395" s="173"/>
      <c r="KBE395" s="173"/>
      <c r="KBF395" s="173"/>
      <c r="KBG395" s="173"/>
      <c r="KBH395" s="173"/>
      <c r="KBI395" s="173"/>
      <c r="KBJ395" s="173"/>
      <c r="KBK395" s="125"/>
      <c r="KBL395" s="125"/>
      <c r="KBM395" s="134"/>
      <c r="KBN395" s="135"/>
      <c r="KBO395" s="135"/>
      <c r="KBP395" s="135"/>
      <c r="KBQ395" s="135"/>
      <c r="KBR395" s="173"/>
      <c r="KBS395" s="173"/>
      <c r="KBT395" s="173"/>
      <c r="KBU395" s="173"/>
      <c r="KBV395" s="173"/>
      <c r="KBW395" s="173"/>
      <c r="KBX395" s="173"/>
      <c r="KBY395" s="173"/>
      <c r="KBZ395" s="173"/>
      <c r="KCA395" s="173"/>
      <c r="KCB395" s="125"/>
      <c r="KCC395" s="125"/>
      <c r="KCD395" s="134"/>
      <c r="KCE395" s="135"/>
      <c r="KCF395" s="135"/>
      <c r="KCG395" s="135"/>
      <c r="KCH395" s="135"/>
      <c r="KCI395" s="173"/>
      <c r="KCJ395" s="173"/>
      <c r="KCK395" s="173"/>
      <c r="KCL395" s="173"/>
      <c r="KCM395" s="173"/>
      <c r="KCN395" s="173"/>
      <c r="KCO395" s="173"/>
      <c r="KCP395" s="173"/>
      <c r="KCQ395" s="173"/>
      <c r="KCR395" s="173"/>
      <c r="KCS395" s="125"/>
      <c r="KCT395" s="125"/>
      <c r="KCU395" s="134"/>
      <c r="KCV395" s="135"/>
      <c r="KCW395" s="135"/>
      <c r="KCX395" s="135"/>
      <c r="KCY395" s="135"/>
      <c r="KCZ395" s="173"/>
      <c r="KDA395" s="173"/>
      <c r="KDB395" s="173"/>
      <c r="KDC395" s="173"/>
      <c r="KDD395" s="173"/>
      <c r="KDE395" s="173"/>
      <c r="KDF395" s="173"/>
      <c r="KDG395" s="173"/>
      <c r="KDH395" s="173"/>
      <c r="KDI395" s="173"/>
      <c r="KDJ395" s="125"/>
      <c r="KDK395" s="125"/>
      <c r="KDL395" s="134"/>
      <c r="KDM395" s="135"/>
      <c r="KDN395" s="135"/>
      <c r="KDO395" s="135"/>
      <c r="KDP395" s="135"/>
      <c r="KDQ395" s="173"/>
      <c r="KDR395" s="173"/>
      <c r="KDS395" s="173"/>
      <c r="KDT395" s="173"/>
      <c r="KDU395" s="173"/>
      <c r="KDV395" s="173"/>
      <c r="KDW395" s="173"/>
      <c r="KDX395" s="173"/>
      <c r="KDY395" s="173"/>
      <c r="KDZ395" s="173"/>
      <c r="KEA395" s="125"/>
      <c r="KEB395" s="125"/>
      <c r="KEC395" s="134"/>
      <c r="KED395" s="135"/>
      <c r="KEE395" s="135"/>
      <c r="KEF395" s="135"/>
      <c r="KEG395" s="135"/>
      <c r="KEH395" s="173"/>
      <c r="KEI395" s="173"/>
      <c r="KEJ395" s="173"/>
      <c r="KEK395" s="173"/>
      <c r="KEL395" s="173"/>
      <c r="KEM395" s="173"/>
      <c r="KEN395" s="173"/>
      <c r="KEO395" s="173"/>
      <c r="KEP395" s="173"/>
      <c r="KEQ395" s="173"/>
      <c r="KER395" s="125"/>
      <c r="KES395" s="125"/>
      <c r="KET395" s="134"/>
      <c r="KEU395" s="135"/>
      <c r="KEV395" s="135"/>
      <c r="KEW395" s="135"/>
      <c r="KEX395" s="135"/>
      <c r="KEY395" s="173"/>
      <c r="KEZ395" s="173"/>
      <c r="KFA395" s="173"/>
      <c r="KFB395" s="173"/>
      <c r="KFC395" s="173"/>
      <c r="KFD395" s="173"/>
      <c r="KFE395" s="173"/>
      <c r="KFF395" s="173"/>
      <c r="KFG395" s="173"/>
      <c r="KFH395" s="173"/>
      <c r="KFI395" s="125"/>
      <c r="KFJ395" s="125"/>
      <c r="KFK395" s="134"/>
      <c r="KFL395" s="135"/>
      <c r="KFM395" s="135"/>
      <c r="KFN395" s="135"/>
      <c r="KFO395" s="135"/>
      <c r="KFP395" s="173"/>
      <c r="KFQ395" s="173"/>
      <c r="KFR395" s="173"/>
      <c r="KFS395" s="173"/>
      <c r="KFT395" s="173"/>
      <c r="KFU395" s="173"/>
      <c r="KFV395" s="173"/>
      <c r="KFW395" s="173"/>
      <c r="KFX395" s="173"/>
      <c r="KFY395" s="173"/>
      <c r="KFZ395" s="125"/>
      <c r="KGA395" s="125"/>
      <c r="KGB395" s="134"/>
      <c r="KGC395" s="135"/>
      <c r="KGD395" s="135"/>
      <c r="KGE395" s="135"/>
      <c r="KGF395" s="135"/>
      <c r="KGG395" s="173"/>
      <c r="KGH395" s="173"/>
      <c r="KGI395" s="173"/>
      <c r="KGJ395" s="173"/>
      <c r="KGK395" s="173"/>
      <c r="KGL395" s="173"/>
      <c r="KGM395" s="173"/>
      <c r="KGN395" s="173"/>
      <c r="KGO395" s="173"/>
      <c r="KGP395" s="173"/>
      <c r="KGQ395" s="125"/>
      <c r="KGR395" s="125"/>
      <c r="KGS395" s="134"/>
      <c r="KGT395" s="135"/>
      <c r="KGU395" s="135"/>
      <c r="KGV395" s="135"/>
      <c r="KGW395" s="135"/>
      <c r="KGX395" s="173"/>
      <c r="KGY395" s="173"/>
      <c r="KGZ395" s="173"/>
      <c r="KHA395" s="173"/>
      <c r="KHB395" s="173"/>
      <c r="KHC395" s="173"/>
      <c r="KHD395" s="173"/>
      <c r="KHE395" s="173"/>
      <c r="KHF395" s="173"/>
      <c r="KHG395" s="173"/>
      <c r="KHH395" s="125"/>
      <c r="KHI395" s="125"/>
      <c r="KHJ395" s="134"/>
      <c r="KHK395" s="135"/>
      <c r="KHL395" s="135"/>
      <c r="KHM395" s="135"/>
      <c r="KHN395" s="135"/>
      <c r="KHO395" s="173"/>
      <c r="KHP395" s="173"/>
      <c r="KHQ395" s="173"/>
      <c r="KHR395" s="173"/>
      <c r="KHS395" s="173"/>
      <c r="KHT395" s="173"/>
      <c r="KHU395" s="173"/>
      <c r="KHV395" s="173"/>
      <c r="KHW395" s="173"/>
      <c r="KHX395" s="173"/>
      <c r="KHY395" s="125"/>
      <c r="KHZ395" s="125"/>
      <c r="KIA395" s="134"/>
      <c r="KIB395" s="135"/>
      <c r="KIC395" s="135"/>
      <c r="KID395" s="135"/>
      <c r="KIE395" s="135"/>
      <c r="KIF395" s="173"/>
      <c r="KIG395" s="173"/>
      <c r="KIH395" s="173"/>
      <c r="KII395" s="173"/>
      <c r="KIJ395" s="173"/>
      <c r="KIK395" s="173"/>
      <c r="KIL395" s="173"/>
      <c r="KIM395" s="173"/>
      <c r="KIN395" s="173"/>
      <c r="KIO395" s="173"/>
      <c r="KIP395" s="125"/>
      <c r="KIQ395" s="125"/>
      <c r="KIR395" s="134"/>
      <c r="KIS395" s="135"/>
      <c r="KIT395" s="135"/>
      <c r="KIU395" s="135"/>
      <c r="KIV395" s="135"/>
      <c r="KIW395" s="173"/>
      <c r="KIX395" s="173"/>
      <c r="KIY395" s="173"/>
      <c r="KIZ395" s="173"/>
      <c r="KJA395" s="173"/>
      <c r="KJB395" s="173"/>
      <c r="KJC395" s="173"/>
      <c r="KJD395" s="173"/>
      <c r="KJE395" s="173"/>
      <c r="KJF395" s="173"/>
      <c r="KJG395" s="125"/>
      <c r="KJH395" s="125"/>
      <c r="KJI395" s="134"/>
      <c r="KJJ395" s="135"/>
      <c r="KJK395" s="135"/>
      <c r="KJL395" s="135"/>
      <c r="KJM395" s="135"/>
      <c r="KJN395" s="173"/>
      <c r="KJO395" s="173"/>
      <c r="KJP395" s="173"/>
      <c r="KJQ395" s="173"/>
      <c r="KJR395" s="173"/>
      <c r="KJS395" s="173"/>
      <c r="KJT395" s="173"/>
      <c r="KJU395" s="173"/>
      <c r="KJV395" s="173"/>
      <c r="KJW395" s="173"/>
      <c r="KJX395" s="125"/>
      <c r="KJY395" s="125"/>
      <c r="KJZ395" s="134"/>
      <c r="KKA395" s="135"/>
      <c r="KKB395" s="135"/>
      <c r="KKC395" s="135"/>
      <c r="KKD395" s="135"/>
      <c r="KKE395" s="173"/>
      <c r="KKF395" s="173"/>
      <c r="KKG395" s="173"/>
      <c r="KKH395" s="173"/>
      <c r="KKI395" s="173"/>
      <c r="KKJ395" s="173"/>
      <c r="KKK395" s="173"/>
      <c r="KKL395" s="173"/>
      <c r="KKM395" s="173"/>
      <c r="KKN395" s="173"/>
      <c r="KKO395" s="125"/>
      <c r="KKP395" s="125"/>
      <c r="KKQ395" s="134"/>
      <c r="KKR395" s="135"/>
      <c r="KKS395" s="135"/>
      <c r="KKT395" s="135"/>
      <c r="KKU395" s="135"/>
      <c r="KKV395" s="173"/>
      <c r="KKW395" s="173"/>
      <c r="KKX395" s="173"/>
      <c r="KKY395" s="173"/>
      <c r="KKZ395" s="173"/>
      <c r="KLA395" s="173"/>
      <c r="KLB395" s="173"/>
      <c r="KLC395" s="173"/>
      <c r="KLD395" s="173"/>
      <c r="KLE395" s="173"/>
      <c r="KLF395" s="125"/>
      <c r="KLG395" s="125"/>
      <c r="KLH395" s="134"/>
      <c r="KLI395" s="135"/>
      <c r="KLJ395" s="135"/>
      <c r="KLK395" s="135"/>
      <c r="KLL395" s="135"/>
      <c r="KLM395" s="173"/>
      <c r="KLN395" s="173"/>
      <c r="KLO395" s="173"/>
      <c r="KLP395" s="173"/>
      <c r="KLQ395" s="173"/>
      <c r="KLR395" s="173"/>
      <c r="KLS395" s="173"/>
      <c r="KLT395" s="173"/>
      <c r="KLU395" s="173"/>
      <c r="KLV395" s="173"/>
      <c r="KLW395" s="125"/>
      <c r="KLX395" s="125"/>
      <c r="KLY395" s="134"/>
      <c r="KLZ395" s="135"/>
      <c r="KMA395" s="135"/>
      <c r="KMB395" s="135"/>
      <c r="KMC395" s="135"/>
      <c r="KMD395" s="173"/>
      <c r="KME395" s="173"/>
      <c r="KMF395" s="173"/>
      <c r="KMG395" s="173"/>
      <c r="KMH395" s="173"/>
      <c r="KMI395" s="173"/>
      <c r="KMJ395" s="173"/>
      <c r="KMK395" s="173"/>
      <c r="KML395" s="173"/>
      <c r="KMM395" s="173"/>
      <c r="KMN395" s="125"/>
      <c r="KMO395" s="125"/>
      <c r="KMP395" s="134"/>
      <c r="KMQ395" s="135"/>
      <c r="KMR395" s="135"/>
      <c r="KMS395" s="135"/>
      <c r="KMT395" s="135"/>
      <c r="KMU395" s="173"/>
      <c r="KMV395" s="173"/>
      <c r="KMW395" s="173"/>
      <c r="KMX395" s="173"/>
      <c r="KMY395" s="173"/>
      <c r="KMZ395" s="173"/>
      <c r="KNA395" s="173"/>
      <c r="KNB395" s="173"/>
      <c r="KNC395" s="173"/>
      <c r="KND395" s="173"/>
      <c r="KNE395" s="125"/>
      <c r="KNF395" s="125"/>
      <c r="KNG395" s="134"/>
      <c r="KNH395" s="135"/>
      <c r="KNI395" s="135"/>
      <c r="KNJ395" s="135"/>
      <c r="KNK395" s="135"/>
      <c r="KNL395" s="173"/>
      <c r="KNM395" s="173"/>
      <c r="KNN395" s="173"/>
      <c r="KNO395" s="173"/>
      <c r="KNP395" s="173"/>
      <c r="KNQ395" s="173"/>
      <c r="KNR395" s="173"/>
      <c r="KNS395" s="173"/>
      <c r="KNT395" s="173"/>
      <c r="KNU395" s="173"/>
      <c r="KNV395" s="125"/>
      <c r="KNW395" s="125"/>
      <c r="KNX395" s="134"/>
      <c r="KNY395" s="135"/>
      <c r="KNZ395" s="135"/>
      <c r="KOA395" s="135"/>
      <c r="KOB395" s="135"/>
      <c r="KOC395" s="173"/>
      <c r="KOD395" s="173"/>
      <c r="KOE395" s="173"/>
      <c r="KOF395" s="173"/>
      <c r="KOG395" s="173"/>
      <c r="KOH395" s="173"/>
      <c r="KOI395" s="173"/>
      <c r="KOJ395" s="173"/>
      <c r="KOK395" s="173"/>
      <c r="KOL395" s="173"/>
      <c r="KOM395" s="125"/>
      <c r="KON395" s="125"/>
      <c r="KOO395" s="134"/>
      <c r="KOP395" s="135"/>
      <c r="KOQ395" s="135"/>
      <c r="KOR395" s="135"/>
      <c r="KOS395" s="135"/>
      <c r="KOT395" s="173"/>
      <c r="KOU395" s="173"/>
      <c r="KOV395" s="173"/>
      <c r="KOW395" s="173"/>
      <c r="KOX395" s="173"/>
      <c r="KOY395" s="173"/>
      <c r="KOZ395" s="173"/>
      <c r="KPA395" s="173"/>
      <c r="KPB395" s="173"/>
      <c r="KPC395" s="173"/>
      <c r="KPD395" s="125"/>
      <c r="KPE395" s="125"/>
      <c r="KPF395" s="134"/>
      <c r="KPG395" s="135"/>
      <c r="KPH395" s="135"/>
      <c r="KPI395" s="135"/>
      <c r="KPJ395" s="135"/>
      <c r="KPK395" s="173"/>
      <c r="KPL395" s="173"/>
      <c r="KPM395" s="173"/>
      <c r="KPN395" s="173"/>
      <c r="KPO395" s="173"/>
      <c r="KPP395" s="173"/>
      <c r="KPQ395" s="173"/>
      <c r="KPR395" s="173"/>
      <c r="KPS395" s="173"/>
      <c r="KPT395" s="173"/>
      <c r="KPU395" s="125"/>
      <c r="KPV395" s="125"/>
      <c r="KPW395" s="134"/>
      <c r="KPX395" s="135"/>
      <c r="KPY395" s="135"/>
      <c r="KPZ395" s="135"/>
      <c r="KQA395" s="135"/>
      <c r="KQB395" s="173"/>
      <c r="KQC395" s="173"/>
      <c r="KQD395" s="173"/>
      <c r="KQE395" s="173"/>
      <c r="KQF395" s="173"/>
      <c r="KQG395" s="173"/>
      <c r="KQH395" s="173"/>
      <c r="KQI395" s="173"/>
      <c r="KQJ395" s="173"/>
      <c r="KQK395" s="173"/>
      <c r="KQL395" s="125"/>
      <c r="KQM395" s="125"/>
      <c r="KQN395" s="134"/>
      <c r="KQO395" s="135"/>
      <c r="KQP395" s="135"/>
      <c r="KQQ395" s="135"/>
      <c r="KQR395" s="135"/>
      <c r="KQS395" s="173"/>
      <c r="KQT395" s="173"/>
      <c r="KQU395" s="173"/>
      <c r="KQV395" s="173"/>
      <c r="KQW395" s="173"/>
      <c r="KQX395" s="173"/>
      <c r="KQY395" s="173"/>
      <c r="KQZ395" s="173"/>
      <c r="KRA395" s="173"/>
      <c r="KRB395" s="173"/>
      <c r="KRC395" s="125"/>
      <c r="KRD395" s="125"/>
      <c r="KRE395" s="134"/>
      <c r="KRF395" s="135"/>
      <c r="KRG395" s="135"/>
      <c r="KRH395" s="135"/>
      <c r="KRI395" s="135"/>
      <c r="KRJ395" s="173"/>
      <c r="KRK395" s="173"/>
      <c r="KRL395" s="173"/>
      <c r="KRM395" s="173"/>
      <c r="KRN395" s="173"/>
      <c r="KRO395" s="173"/>
      <c r="KRP395" s="173"/>
      <c r="KRQ395" s="173"/>
      <c r="KRR395" s="173"/>
      <c r="KRS395" s="173"/>
      <c r="KRT395" s="125"/>
      <c r="KRU395" s="125"/>
      <c r="KRV395" s="134"/>
      <c r="KRW395" s="135"/>
      <c r="KRX395" s="135"/>
      <c r="KRY395" s="135"/>
      <c r="KRZ395" s="135"/>
      <c r="KSA395" s="173"/>
      <c r="KSB395" s="173"/>
      <c r="KSC395" s="173"/>
      <c r="KSD395" s="173"/>
      <c r="KSE395" s="173"/>
      <c r="KSF395" s="173"/>
      <c r="KSG395" s="173"/>
      <c r="KSH395" s="173"/>
      <c r="KSI395" s="173"/>
      <c r="KSJ395" s="173"/>
      <c r="KSK395" s="125"/>
      <c r="KSL395" s="125"/>
      <c r="KSM395" s="134"/>
      <c r="KSN395" s="135"/>
      <c r="KSO395" s="135"/>
      <c r="KSP395" s="135"/>
      <c r="KSQ395" s="135"/>
      <c r="KSR395" s="173"/>
      <c r="KSS395" s="173"/>
      <c r="KST395" s="173"/>
      <c r="KSU395" s="173"/>
      <c r="KSV395" s="173"/>
      <c r="KSW395" s="173"/>
      <c r="KSX395" s="173"/>
      <c r="KSY395" s="173"/>
      <c r="KSZ395" s="173"/>
      <c r="KTA395" s="173"/>
      <c r="KTB395" s="125"/>
      <c r="KTC395" s="125"/>
      <c r="KTD395" s="134"/>
      <c r="KTE395" s="135"/>
      <c r="KTF395" s="135"/>
      <c r="KTG395" s="135"/>
      <c r="KTH395" s="135"/>
      <c r="KTI395" s="173"/>
      <c r="KTJ395" s="173"/>
      <c r="KTK395" s="173"/>
      <c r="KTL395" s="173"/>
      <c r="KTM395" s="173"/>
      <c r="KTN395" s="173"/>
      <c r="KTO395" s="173"/>
      <c r="KTP395" s="173"/>
      <c r="KTQ395" s="173"/>
      <c r="KTR395" s="173"/>
      <c r="KTS395" s="125"/>
      <c r="KTT395" s="125"/>
      <c r="KTU395" s="134"/>
      <c r="KTV395" s="135"/>
      <c r="KTW395" s="135"/>
      <c r="KTX395" s="135"/>
      <c r="KTY395" s="135"/>
      <c r="KTZ395" s="173"/>
      <c r="KUA395" s="173"/>
      <c r="KUB395" s="173"/>
      <c r="KUC395" s="173"/>
      <c r="KUD395" s="173"/>
      <c r="KUE395" s="173"/>
      <c r="KUF395" s="173"/>
      <c r="KUG395" s="173"/>
      <c r="KUH395" s="173"/>
      <c r="KUI395" s="173"/>
      <c r="KUJ395" s="125"/>
      <c r="KUK395" s="125"/>
      <c r="KUL395" s="134"/>
      <c r="KUM395" s="135"/>
      <c r="KUN395" s="135"/>
      <c r="KUO395" s="135"/>
      <c r="KUP395" s="135"/>
      <c r="KUQ395" s="173"/>
      <c r="KUR395" s="173"/>
      <c r="KUS395" s="173"/>
      <c r="KUT395" s="173"/>
      <c r="KUU395" s="173"/>
      <c r="KUV395" s="173"/>
      <c r="KUW395" s="173"/>
      <c r="KUX395" s="173"/>
      <c r="KUY395" s="173"/>
      <c r="KUZ395" s="173"/>
      <c r="KVA395" s="125"/>
      <c r="KVB395" s="125"/>
      <c r="KVC395" s="134"/>
      <c r="KVD395" s="135"/>
      <c r="KVE395" s="135"/>
      <c r="KVF395" s="135"/>
      <c r="KVG395" s="135"/>
      <c r="KVH395" s="173"/>
      <c r="KVI395" s="173"/>
      <c r="KVJ395" s="173"/>
      <c r="KVK395" s="173"/>
      <c r="KVL395" s="173"/>
      <c r="KVM395" s="173"/>
      <c r="KVN395" s="173"/>
      <c r="KVO395" s="173"/>
      <c r="KVP395" s="173"/>
      <c r="KVQ395" s="173"/>
      <c r="KVR395" s="125"/>
      <c r="KVS395" s="125"/>
      <c r="KVT395" s="134"/>
      <c r="KVU395" s="135"/>
      <c r="KVV395" s="135"/>
      <c r="KVW395" s="135"/>
      <c r="KVX395" s="135"/>
      <c r="KVY395" s="173"/>
      <c r="KVZ395" s="173"/>
      <c r="KWA395" s="173"/>
      <c r="KWB395" s="173"/>
      <c r="KWC395" s="173"/>
      <c r="KWD395" s="173"/>
      <c r="KWE395" s="173"/>
      <c r="KWF395" s="173"/>
      <c r="KWG395" s="173"/>
      <c r="KWH395" s="173"/>
      <c r="KWI395" s="125"/>
      <c r="KWJ395" s="125"/>
      <c r="KWK395" s="134"/>
      <c r="KWL395" s="135"/>
      <c r="KWM395" s="135"/>
      <c r="KWN395" s="135"/>
      <c r="KWO395" s="135"/>
      <c r="KWP395" s="173"/>
      <c r="KWQ395" s="173"/>
      <c r="KWR395" s="173"/>
      <c r="KWS395" s="173"/>
      <c r="KWT395" s="173"/>
      <c r="KWU395" s="173"/>
      <c r="KWV395" s="173"/>
      <c r="KWW395" s="173"/>
      <c r="KWX395" s="173"/>
      <c r="KWY395" s="173"/>
      <c r="KWZ395" s="125"/>
      <c r="KXA395" s="125"/>
      <c r="KXB395" s="134"/>
      <c r="KXC395" s="135"/>
      <c r="KXD395" s="135"/>
      <c r="KXE395" s="135"/>
      <c r="KXF395" s="135"/>
      <c r="KXG395" s="173"/>
      <c r="KXH395" s="173"/>
      <c r="KXI395" s="173"/>
      <c r="KXJ395" s="173"/>
      <c r="KXK395" s="173"/>
      <c r="KXL395" s="173"/>
      <c r="KXM395" s="173"/>
      <c r="KXN395" s="173"/>
      <c r="KXO395" s="173"/>
      <c r="KXP395" s="173"/>
      <c r="KXQ395" s="125"/>
      <c r="KXR395" s="125"/>
      <c r="KXS395" s="134"/>
      <c r="KXT395" s="135"/>
      <c r="KXU395" s="135"/>
      <c r="KXV395" s="135"/>
      <c r="KXW395" s="135"/>
      <c r="KXX395" s="173"/>
      <c r="KXY395" s="173"/>
      <c r="KXZ395" s="173"/>
      <c r="KYA395" s="173"/>
      <c r="KYB395" s="173"/>
      <c r="KYC395" s="173"/>
      <c r="KYD395" s="173"/>
      <c r="KYE395" s="173"/>
      <c r="KYF395" s="173"/>
      <c r="KYG395" s="173"/>
      <c r="KYH395" s="125"/>
      <c r="KYI395" s="125"/>
      <c r="KYJ395" s="134"/>
      <c r="KYK395" s="135"/>
      <c r="KYL395" s="135"/>
      <c r="KYM395" s="135"/>
      <c r="KYN395" s="135"/>
      <c r="KYO395" s="173"/>
      <c r="KYP395" s="173"/>
      <c r="KYQ395" s="173"/>
      <c r="KYR395" s="173"/>
      <c r="KYS395" s="173"/>
      <c r="KYT395" s="173"/>
      <c r="KYU395" s="173"/>
      <c r="KYV395" s="173"/>
      <c r="KYW395" s="173"/>
      <c r="KYX395" s="173"/>
      <c r="KYY395" s="125"/>
      <c r="KYZ395" s="125"/>
      <c r="KZA395" s="134"/>
      <c r="KZB395" s="135"/>
      <c r="KZC395" s="135"/>
      <c r="KZD395" s="135"/>
      <c r="KZE395" s="135"/>
      <c r="KZF395" s="173"/>
      <c r="KZG395" s="173"/>
      <c r="KZH395" s="173"/>
      <c r="KZI395" s="173"/>
      <c r="KZJ395" s="173"/>
      <c r="KZK395" s="173"/>
      <c r="KZL395" s="173"/>
      <c r="KZM395" s="173"/>
      <c r="KZN395" s="173"/>
      <c r="KZO395" s="173"/>
      <c r="KZP395" s="125"/>
      <c r="KZQ395" s="125"/>
      <c r="KZR395" s="134"/>
      <c r="KZS395" s="135"/>
      <c r="KZT395" s="135"/>
      <c r="KZU395" s="135"/>
      <c r="KZV395" s="135"/>
      <c r="KZW395" s="173"/>
      <c r="KZX395" s="173"/>
      <c r="KZY395" s="173"/>
      <c r="KZZ395" s="173"/>
      <c r="LAA395" s="173"/>
      <c r="LAB395" s="173"/>
      <c r="LAC395" s="173"/>
      <c r="LAD395" s="173"/>
      <c r="LAE395" s="173"/>
      <c r="LAF395" s="173"/>
      <c r="LAG395" s="125"/>
      <c r="LAH395" s="125"/>
      <c r="LAI395" s="134"/>
      <c r="LAJ395" s="135"/>
      <c r="LAK395" s="135"/>
      <c r="LAL395" s="135"/>
      <c r="LAM395" s="135"/>
      <c r="LAN395" s="173"/>
      <c r="LAO395" s="173"/>
      <c r="LAP395" s="173"/>
      <c r="LAQ395" s="173"/>
      <c r="LAR395" s="173"/>
      <c r="LAS395" s="173"/>
      <c r="LAT395" s="173"/>
      <c r="LAU395" s="173"/>
      <c r="LAV395" s="173"/>
      <c r="LAW395" s="173"/>
      <c r="LAX395" s="125"/>
      <c r="LAY395" s="125"/>
      <c r="LAZ395" s="134"/>
      <c r="LBA395" s="135"/>
      <c r="LBB395" s="135"/>
      <c r="LBC395" s="135"/>
      <c r="LBD395" s="135"/>
      <c r="LBE395" s="173"/>
      <c r="LBF395" s="173"/>
      <c r="LBG395" s="173"/>
      <c r="LBH395" s="173"/>
      <c r="LBI395" s="173"/>
      <c r="LBJ395" s="173"/>
      <c r="LBK395" s="173"/>
      <c r="LBL395" s="173"/>
      <c r="LBM395" s="173"/>
      <c r="LBN395" s="173"/>
      <c r="LBO395" s="125"/>
      <c r="LBP395" s="125"/>
      <c r="LBQ395" s="134"/>
      <c r="LBR395" s="135"/>
      <c r="LBS395" s="135"/>
      <c r="LBT395" s="135"/>
      <c r="LBU395" s="135"/>
      <c r="LBV395" s="173"/>
      <c r="LBW395" s="173"/>
      <c r="LBX395" s="173"/>
      <c r="LBY395" s="173"/>
      <c r="LBZ395" s="173"/>
      <c r="LCA395" s="173"/>
      <c r="LCB395" s="173"/>
      <c r="LCC395" s="173"/>
      <c r="LCD395" s="173"/>
      <c r="LCE395" s="173"/>
      <c r="LCF395" s="125"/>
      <c r="LCG395" s="125"/>
      <c r="LCH395" s="134"/>
      <c r="LCI395" s="135"/>
      <c r="LCJ395" s="135"/>
      <c r="LCK395" s="135"/>
      <c r="LCL395" s="135"/>
      <c r="LCM395" s="173"/>
      <c r="LCN395" s="173"/>
      <c r="LCO395" s="173"/>
      <c r="LCP395" s="173"/>
      <c r="LCQ395" s="173"/>
      <c r="LCR395" s="173"/>
      <c r="LCS395" s="173"/>
      <c r="LCT395" s="173"/>
      <c r="LCU395" s="173"/>
      <c r="LCV395" s="173"/>
      <c r="LCW395" s="125"/>
      <c r="LCX395" s="125"/>
      <c r="LCY395" s="134"/>
      <c r="LCZ395" s="135"/>
      <c r="LDA395" s="135"/>
      <c r="LDB395" s="135"/>
      <c r="LDC395" s="135"/>
      <c r="LDD395" s="173"/>
      <c r="LDE395" s="173"/>
      <c r="LDF395" s="173"/>
      <c r="LDG395" s="173"/>
      <c r="LDH395" s="173"/>
      <c r="LDI395" s="173"/>
      <c r="LDJ395" s="173"/>
      <c r="LDK395" s="173"/>
      <c r="LDL395" s="173"/>
      <c r="LDM395" s="173"/>
      <c r="LDN395" s="125"/>
      <c r="LDO395" s="125"/>
      <c r="LDP395" s="134"/>
      <c r="LDQ395" s="135"/>
      <c r="LDR395" s="135"/>
      <c r="LDS395" s="135"/>
      <c r="LDT395" s="135"/>
      <c r="LDU395" s="173"/>
      <c r="LDV395" s="173"/>
      <c r="LDW395" s="173"/>
      <c r="LDX395" s="173"/>
      <c r="LDY395" s="173"/>
      <c r="LDZ395" s="173"/>
      <c r="LEA395" s="173"/>
      <c r="LEB395" s="173"/>
      <c r="LEC395" s="173"/>
      <c r="LED395" s="173"/>
      <c r="LEE395" s="125"/>
      <c r="LEF395" s="125"/>
      <c r="LEG395" s="134"/>
      <c r="LEH395" s="135"/>
      <c r="LEI395" s="135"/>
      <c r="LEJ395" s="135"/>
      <c r="LEK395" s="135"/>
      <c r="LEL395" s="173"/>
      <c r="LEM395" s="173"/>
      <c r="LEN395" s="173"/>
      <c r="LEO395" s="173"/>
      <c r="LEP395" s="173"/>
      <c r="LEQ395" s="173"/>
      <c r="LER395" s="173"/>
      <c r="LES395" s="173"/>
      <c r="LET395" s="173"/>
      <c r="LEU395" s="173"/>
      <c r="LEV395" s="125"/>
      <c r="LEW395" s="125"/>
      <c r="LEX395" s="134"/>
      <c r="LEY395" s="135"/>
      <c r="LEZ395" s="135"/>
      <c r="LFA395" s="135"/>
      <c r="LFB395" s="135"/>
      <c r="LFC395" s="173"/>
      <c r="LFD395" s="173"/>
      <c r="LFE395" s="173"/>
      <c r="LFF395" s="173"/>
      <c r="LFG395" s="173"/>
      <c r="LFH395" s="173"/>
      <c r="LFI395" s="173"/>
      <c r="LFJ395" s="173"/>
      <c r="LFK395" s="173"/>
      <c r="LFL395" s="173"/>
      <c r="LFM395" s="125"/>
      <c r="LFN395" s="125"/>
      <c r="LFO395" s="134"/>
      <c r="LFP395" s="135"/>
      <c r="LFQ395" s="135"/>
      <c r="LFR395" s="135"/>
      <c r="LFS395" s="135"/>
      <c r="LFT395" s="173"/>
      <c r="LFU395" s="173"/>
      <c r="LFV395" s="173"/>
      <c r="LFW395" s="173"/>
      <c r="LFX395" s="173"/>
      <c r="LFY395" s="173"/>
      <c r="LFZ395" s="173"/>
      <c r="LGA395" s="173"/>
      <c r="LGB395" s="173"/>
      <c r="LGC395" s="173"/>
      <c r="LGD395" s="125"/>
      <c r="LGE395" s="125"/>
      <c r="LGF395" s="134"/>
      <c r="LGG395" s="135"/>
      <c r="LGH395" s="135"/>
      <c r="LGI395" s="135"/>
      <c r="LGJ395" s="135"/>
      <c r="LGK395" s="173"/>
      <c r="LGL395" s="173"/>
      <c r="LGM395" s="173"/>
      <c r="LGN395" s="173"/>
      <c r="LGO395" s="173"/>
      <c r="LGP395" s="173"/>
      <c r="LGQ395" s="173"/>
      <c r="LGR395" s="173"/>
      <c r="LGS395" s="173"/>
      <c r="LGT395" s="173"/>
      <c r="LGU395" s="125"/>
      <c r="LGV395" s="125"/>
      <c r="LGW395" s="134"/>
      <c r="LGX395" s="135"/>
      <c r="LGY395" s="135"/>
      <c r="LGZ395" s="135"/>
      <c r="LHA395" s="135"/>
      <c r="LHB395" s="173"/>
      <c r="LHC395" s="173"/>
      <c r="LHD395" s="173"/>
      <c r="LHE395" s="173"/>
      <c r="LHF395" s="173"/>
      <c r="LHG395" s="173"/>
      <c r="LHH395" s="173"/>
      <c r="LHI395" s="173"/>
      <c r="LHJ395" s="173"/>
      <c r="LHK395" s="173"/>
      <c r="LHL395" s="125"/>
      <c r="LHM395" s="125"/>
      <c r="LHN395" s="134"/>
      <c r="LHO395" s="135"/>
      <c r="LHP395" s="135"/>
      <c r="LHQ395" s="135"/>
      <c r="LHR395" s="135"/>
      <c r="LHS395" s="173"/>
      <c r="LHT395" s="173"/>
      <c r="LHU395" s="173"/>
      <c r="LHV395" s="173"/>
      <c r="LHW395" s="173"/>
      <c r="LHX395" s="173"/>
      <c r="LHY395" s="173"/>
      <c r="LHZ395" s="173"/>
      <c r="LIA395" s="173"/>
      <c r="LIB395" s="173"/>
      <c r="LIC395" s="125"/>
      <c r="LID395" s="125"/>
      <c r="LIE395" s="134"/>
      <c r="LIF395" s="135"/>
      <c r="LIG395" s="135"/>
      <c r="LIH395" s="135"/>
      <c r="LII395" s="135"/>
      <c r="LIJ395" s="173"/>
      <c r="LIK395" s="173"/>
      <c r="LIL395" s="173"/>
      <c r="LIM395" s="173"/>
      <c r="LIN395" s="173"/>
      <c r="LIO395" s="173"/>
      <c r="LIP395" s="173"/>
      <c r="LIQ395" s="173"/>
      <c r="LIR395" s="173"/>
      <c r="LIS395" s="173"/>
      <c r="LIT395" s="125"/>
      <c r="LIU395" s="125"/>
      <c r="LIV395" s="134"/>
      <c r="LIW395" s="135"/>
      <c r="LIX395" s="135"/>
      <c r="LIY395" s="135"/>
      <c r="LIZ395" s="135"/>
      <c r="LJA395" s="173"/>
      <c r="LJB395" s="173"/>
      <c r="LJC395" s="173"/>
      <c r="LJD395" s="173"/>
      <c r="LJE395" s="173"/>
      <c r="LJF395" s="173"/>
      <c r="LJG395" s="173"/>
      <c r="LJH395" s="173"/>
      <c r="LJI395" s="173"/>
      <c r="LJJ395" s="173"/>
      <c r="LJK395" s="125"/>
      <c r="LJL395" s="125"/>
      <c r="LJM395" s="134"/>
      <c r="LJN395" s="135"/>
      <c r="LJO395" s="135"/>
      <c r="LJP395" s="135"/>
      <c r="LJQ395" s="135"/>
      <c r="LJR395" s="173"/>
      <c r="LJS395" s="173"/>
      <c r="LJT395" s="173"/>
      <c r="LJU395" s="173"/>
      <c r="LJV395" s="173"/>
      <c r="LJW395" s="173"/>
      <c r="LJX395" s="173"/>
      <c r="LJY395" s="173"/>
      <c r="LJZ395" s="173"/>
      <c r="LKA395" s="173"/>
      <c r="LKB395" s="125"/>
      <c r="LKC395" s="125"/>
      <c r="LKD395" s="134"/>
      <c r="LKE395" s="135"/>
      <c r="LKF395" s="135"/>
      <c r="LKG395" s="135"/>
      <c r="LKH395" s="135"/>
      <c r="LKI395" s="173"/>
      <c r="LKJ395" s="173"/>
      <c r="LKK395" s="173"/>
      <c r="LKL395" s="173"/>
      <c r="LKM395" s="173"/>
      <c r="LKN395" s="173"/>
      <c r="LKO395" s="173"/>
      <c r="LKP395" s="173"/>
      <c r="LKQ395" s="173"/>
      <c r="LKR395" s="173"/>
      <c r="LKS395" s="125"/>
      <c r="LKT395" s="125"/>
      <c r="LKU395" s="134"/>
      <c r="LKV395" s="135"/>
      <c r="LKW395" s="135"/>
      <c r="LKX395" s="135"/>
      <c r="LKY395" s="135"/>
      <c r="LKZ395" s="173"/>
      <c r="LLA395" s="173"/>
      <c r="LLB395" s="173"/>
      <c r="LLC395" s="173"/>
      <c r="LLD395" s="173"/>
      <c r="LLE395" s="173"/>
      <c r="LLF395" s="173"/>
      <c r="LLG395" s="173"/>
      <c r="LLH395" s="173"/>
      <c r="LLI395" s="173"/>
      <c r="LLJ395" s="125"/>
      <c r="LLK395" s="125"/>
      <c r="LLL395" s="134"/>
      <c r="LLM395" s="135"/>
      <c r="LLN395" s="135"/>
      <c r="LLO395" s="135"/>
      <c r="LLP395" s="135"/>
      <c r="LLQ395" s="173"/>
      <c r="LLR395" s="173"/>
      <c r="LLS395" s="173"/>
      <c r="LLT395" s="173"/>
      <c r="LLU395" s="173"/>
      <c r="LLV395" s="173"/>
      <c r="LLW395" s="173"/>
      <c r="LLX395" s="173"/>
      <c r="LLY395" s="173"/>
      <c r="LLZ395" s="173"/>
      <c r="LMA395" s="125"/>
      <c r="LMB395" s="125"/>
      <c r="LMC395" s="134"/>
      <c r="LMD395" s="135"/>
      <c r="LME395" s="135"/>
      <c r="LMF395" s="135"/>
      <c r="LMG395" s="135"/>
      <c r="LMH395" s="173"/>
      <c r="LMI395" s="173"/>
      <c r="LMJ395" s="173"/>
      <c r="LMK395" s="173"/>
      <c r="LML395" s="173"/>
      <c r="LMM395" s="173"/>
      <c r="LMN395" s="173"/>
      <c r="LMO395" s="173"/>
      <c r="LMP395" s="173"/>
      <c r="LMQ395" s="173"/>
      <c r="LMR395" s="125"/>
      <c r="LMS395" s="125"/>
      <c r="LMT395" s="134"/>
      <c r="LMU395" s="135"/>
      <c r="LMV395" s="135"/>
      <c r="LMW395" s="135"/>
      <c r="LMX395" s="135"/>
      <c r="LMY395" s="173"/>
      <c r="LMZ395" s="173"/>
      <c r="LNA395" s="173"/>
      <c r="LNB395" s="173"/>
      <c r="LNC395" s="173"/>
      <c r="LND395" s="173"/>
      <c r="LNE395" s="173"/>
      <c r="LNF395" s="173"/>
      <c r="LNG395" s="173"/>
      <c r="LNH395" s="173"/>
      <c r="LNI395" s="125"/>
      <c r="LNJ395" s="125"/>
      <c r="LNK395" s="134"/>
      <c r="LNL395" s="135"/>
      <c r="LNM395" s="135"/>
      <c r="LNN395" s="135"/>
      <c r="LNO395" s="135"/>
      <c r="LNP395" s="173"/>
      <c r="LNQ395" s="173"/>
      <c r="LNR395" s="173"/>
      <c r="LNS395" s="173"/>
      <c r="LNT395" s="173"/>
      <c r="LNU395" s="173"/>
      <c r="LNV395" s="173"/>
      <c r="LNW395" s="173"/>
      <c r="LNX395" s="173"/>
      <c r="LNY395" s="173"/>
      <c r="LNZ395" s="125"/>
      <c r="LOA395" s="125"/>
      <c r="LOB395" s="134"/>
      <c r="LOC395" s="135"/>
      <c r="LOD395" s="135"/>
      <c r="LOE395" s="135"/>
      <c r="LOF395" s="135"/>
      <c r="LOG395" s="173"/>
      <c r="LOH395" s="173"/>
      <c r="LOI395" s="173"/>
      <c r="LOJ395" s="173"/>
      <c r="LOK395" s="173"/>
      <c r="LOL395" s="173"/>
      <c r="LOM395" s="173"/>
      <c r="LON395" s="173"/>
      <c r="LOO395" s="173"/>
      <c r="LOP395" s="173"/>
      <c r="LOQ395" s="125"/>
      <c r="LOR395" s="125"/>
      <c r="LOS395" s="134"/>
      <c r="LOT395" s="135"/>
      <c r="LOU395" s="135"/>
      <c r="LOV395" s="135"/>
      <c r="LOW395" s="135"/>
      <c r="LOX395" s="173"/>
      <c r="LOY395" s="173"/>
      <c r="LOZ395" s="173"/>
      <c r="LPA395" s="173"/>
      <c r="LPB395" s="173"/>
      <c r="LPC395" s="173"/>
      <c r="LPD395" s="173"/>
      <c r="LPE395" s="173"/>
      <c r="LPF395" s="173"/>
      <c r="LPG395" s="173"/>
      <c r="LPH395" s="125"/>
      <c r="LPI395" s="125"/>
      <c r="LPJ395" s="134"/>
      <c r="LPK395" s="135"/>
      <c r="LPL395" s="135"/>
      <c r="LPM395" s="135"/>
      <c r="LPN395" s="135"/>
      <c r="LPO395" s="173"/>
      <c r="LPP395" s="173"/>
      <c r="LPQ395" s="173"/>
      <c r="LPR395" s="173"/>
      <c r="LPS395" s="173"/>
      <c r="LPT395" s="173"/>
      <c r="LPU395" s="173"/>
      <c r="LPV395" s="173"/>
      <c r="LPW395" s="173"/>
      <c r="LPX395" s="173"/>
      <c r="LPY395" s="125"/>
      <c r="LPZ395" s="125"/>
      <c r="LQA395" s="134"/>
      <c r="LQB395" s="135"/>
      <c r="LQC395" s="135"/>
      <c r="LQD395" s="135"/>
      <c r="LQE395" s="135"/>
      <c r="LQF395" s="173"/>
      <c r="LQG395" s="173"/>
      <c r="LQH395" s="173"/>
      <c r="LQI395" s="173"/>
      <c r="LQJ395" s="173"/>
      <c r="LQK395" s="173"/>
      <c r="LQL395" s="173"/>
      <c r="LQM395" s="173"/>
      <c r="LQN395" s="173"/>
      <c r="LQO395" s="173"/>
      <c r="LQP395" s="125"/>
      <c r="LQQ395" s="125"/>
      <c r="LQR395" s="134"/>
      <c r="LQS395" s="135"/>
      <c r="LQT395" s="135"/>
      <c r="LQU395" s="135"/>
      <c r="LQV395" s="135"/>
      <c r="LQW395" s="173"/>
      <c r="LQX395" s="173"/>
      <c r="LQY395" s="173"/>
      <c r="LQZ395" s="173"/>
      <c r="LRA395" s="173"/>
      <c r="LRB395" s="173"/>
      <c r="LRC395" s="173"/>
      <c r="LRD395" s="173"/>
      <c r="LRE395" s="173"/>
      <c r="LRF395" s="173"/>
      <c r="LRG395" s="125"/>
      <c r="LRH395" s="125"/>
      <c r="LRI395" s="134"/>
      <c r="LRJ395" s="135"/>
      <c r="LRK395" s="135"/>
      <c r="LRL395" s="135"/>
      <c r="LRM395" s="135"/>
      <c r="LRN395" s="173"/>
      <c r="LRO395" s="173"/>
      <c r="LRP395" s="173"/>
      <c r="LRQ395" s="173"/>
      <c r="LRR395" s="173"/>
      <c r="LRS395" s="173"/>
      <c r="LRT395" s="173"/>
      <c r="LRU395" s="173"/>
      <c r="LRV395" s="173"/>
      <c r="LRW395" s="173"/>
      <c r="LRX395" s="125"/>
      <c r="LRY395" s="125"/>
      <c r="LRZ395" s="134"/>
      <c r="LSA395" s="135"/>
      <c r="LSB395" s="135"/>
      <c r="LSC395" s="135"/>
      <c r="LSD395" s="135"/>
      <c r="LSE395" s="173"/>
      <c r="LSF395" s="173"/>
      <c r="LSG395" s="173"/>
      <c r="LSH395" s="173"/>
      <c r="LSI395" s="173"/>
      <c r="LSJ395" s="173"/>
      <c r="LSK395" s="173"/>
      <c r="LSL395" s="173"/>
      <c r="LSM395" s="173"/>
      <c r="LSN395" s="173"/>
      <c r="LSO395" s="125"/>
      <c r="LSP395" s="125"/>
      <c r="LSQ395" s="134"/>
      <c r="LSR395" s="135"/>
      <c r="LSS395" s="135"/>
      <c r="LST395" s="135"/>
      <c r="LSU395" s="135"/>
      <c r="LSV395" s="173"/>
      <c r="LSW395" s="173"/>
      <c r="LSX395" s="173"/>
      <c r="LSY395" s="173"/>
      <c r="LSZ395" s="173"/>
      <c r="LTA395" s="173"/>
      <c r="LTB395" s="173"/>
      <c r="LTC395" s="173"/>
      <c r="LTD395" s="173"/>
      <c r="LTE395" s="173"/>
      <c r="LTF395" s="125"/>
      <c r="LTG395" s="125"/>
      <c r="LTH395" s="134"/>
      <c r="LTI395" s="135"/>
      <c r="LTJ395" s="135"/>
      <c r="LTK395" s="135"/>
      <c r="LTL395" s="135"/>
      <c r="LTM395" s="173"/>
      <c r="LTN395" s="173"/>
      <c r="LTO395" s="173"/>
      <c r="LTP395" s="173"/>
      <c r="LTQ395" s="173"/>
      <c r="LTR395" s="173"/>
      <c r="LTS395" s="173"/>
      <c r="LTT395" s="173"/>
      <c r="LTU395" s="173"/>
      <c r="LTV395" s="173"/>
      <c r="LTW395" s="125"/>
      <c r="LTX395" s="125"/>
      <c r="LTY395" s="134"/>
      <c r="LTZ395" s="135"/>
      <c r="LUA395" s="135"/>
      <c r="LUB395" s="135"/>
      <c r="LUC395" s="135"/>
      <c r="LUD395" s="173"/>
      <c r="LUE395" s="173"/>
      <c r="LUF395" s="173"/>
      <c r="LUG395" s="173"/>
      <c r="LUH395" s="173"/>
      <c r="LUI395" s="173"/>
      <c r="LUJ395" s="173"/>
      <c r="LUK395" s="173"/>
      <c r="LUL395" s="173"/>
      <c r="LUM395" s="173"/>
      <c r="LUN395" s="125"/>
      <c r="LUO395" s="125"/>
      <c r="LUP395" s="134"/>
      <c r="LUQ395" s="135"/>
      <c r="LUR395" s="135"/>
      <c r="LUS395" s="135"/>
      <c r="LUT395" s="135"/>
      <c r="LUU395" s="173"/>
      <c r="LUV395" s="173"/>
      <c r="LUW395" s="173"/>
      <c r="LUX395" s="173"/>
      <c r="LUY395" s="173"/>
      <c r="LUZ395" s="173"/>
      <c r="LVA395" s="173"/>
      <c r="LVB395" s="173"/>
      <c r="LVC395" s="173"/>
      <c r="LVD395" s="173"/>
      <c r="LVE395" s="125"/>
      <c r="LVF395" s="125"/>
      <c r="LVG395" s="134"/>
      <c r="LVH395" s="135"/>
      <c r="LVI395" s="135"/>
      <c r="LVJ395" s="135"/>
      <c r="LVK395" s="135"/>
      <c r="LVL395" s="173"/>
      <c r="LVM395" s="173"/>
      <c r="LVN395" s="173"/>
      <c r="LVO395" s="173"/>
      <c r="LVP395" s="173"/>
      <c r="LVQ395" s="173"/>
      <c r="LVR395" s="173"/>
      <c r="LVS395" s="173"/>
      <c r="LVT395" s="173"/>
      <c r="LVU395" s="173"/>
      <c r="LVV395" s="125"/>
      <c r="LVW395" s="125"/>
      <c r="LVX395" s="134"/>
      <c r="LVY395" s="135"/>
      <c r="LVZ395" s="135"/>
      <c r="LWA395" s="135"/>
      <c r="LWB395" s="135"/>
      <c r="LWC395" s="173"/>
      <c r="LWD395" s="173"/>
      <c r="LWE395" s="173"/>
      <c r="LWF395" s="173"/>
      <c r="LWG395" s="173"/>
      <c r="LWH395" s="173"/>
      <c r="LWI395" s="173"/>
      <c r="LWJ395" s="173"/>
      <c r="LWK395" s="173"/>
      <c r="LWL395" s="173"/>
      <c r="LWM395" s="125"/>
      <c r="LWN395" s="125"/>
      <c r="LWO395" s="134"/>
      <c r="LWP395" s="135"/>
      <c r="LWQ395" s="135"/>
      <c r="LWR395" s="135"/>
      <c r="LWS395" s="135"/>
      <c r="LWT395" s="173"/>
      <c r="LWU395" s="173"/>
      <c r="LWV395" s="173"/>
      <c r="LWW395" s="173"/>
      <c r="LWX395" s="173"/>
      <c r="LWY395" s="173"/>
      <c r="LWZ395" s="173"/>
      <c r="LXA395" s="173"/>
      <c r="LXB395" s="173"/>
      <c r="LXC395" s="173"/>
      <c r="LXD395" s="125"/>
      <c r="LXE395" s="125"/>
      <c r="LXF395" s="134"/>
      <c r="LXG395" s="135"/>
      <c r="LXH395" s="135"/>
      <c r="LXI395" s="135"/>
      <c r="LXJ395" s="135"/>
      <c r="LXK395" s="173"/>
      <c r="LXL395" s="173"/>
      <c r="LXM395" s="173"/>
      <c r="LXN395" s="173"/>
      <c r="LXO395" s="173"/>
      <c r="LXP395" s="173"/>
      <c r="LXQ395" s="173"/>
      <c r="LXR395" s="173"/>
      <c r="LXS395" s="173"/>
      <c r="LXT395" s="173"/>
      <c r="LXU395" s="125"/>
      <c r="LXV395" s="125"/>
      <c r="LXW395" s="134"/>
      <c r="LXX395" s="135"/>
      <c r="LXY395" s="135"/>
      <c r="LXZ395" s="135"/>
      <c r="LYA395" s="135"/>
      <c r="LYB395" s="173"/>
      <c r="LYC395" s="173"/>
      <c r="LYD395" s="173"/>
      <c r="LYE395" s="173"/>
      <c r="LYF395" s="173"/>
      <c r="LYG395" s="173"/>
      <c r="LYH395" s="173"/>
      <c r="LYI395" s="173"/>
      <c r="LYJ395" s="173"/>
      <c r="LYK395" s="173"/>
      <c r="LYL395" s="125"/>
      <c r="LYM395" s="125"/>
      <c r="LYN395" s="134"/>
      <c r="LYO395" s="135"/>
      <c r="LYP395" s="135"/>
      <c r="LYQ395" s="135"/>
      <c r="LYR395" s="135"/>
      <c r="LYS395" s="173"/>
      <c r="LYT395" s="173"/>
      <c r="LYU395" s="173"/>
      <c r="LYV395" s="173"/>
      <c r="LYW395" s="173"/>
      <c r="LYX395" s="173"/>
      <c r="LYY395" s="173"/>
      <c r="LYZ395" s="173"/>
      <c r="LZA395" s="173"/>
      <c r="LZB395" s="173"/>
      <c r="LZC395" s="125"/>
      <c r="LZD395" s="125"/>
      <c r="LZE395" s="134"/>
      <c r="LZF395" s="135"/>
      <c r="LZG395" s="135"/>
      <c r="LZH395" s="135"/>
      <c r="LZI395" s="135"/>
      <c r="LZJ395" s="173"/>
      <c r="LZK395" s="173"/>
      <c r="LZL395" s="173"/>
      <c r="LZM395" s="173"/>
      <c r="LZN395" s="173"/>
      <c r="LZO395" s="173"/>
      <c r="LZP395" s="173"/>
      <c r="LZQ395" s="173"/>
      <c r="LZR395" s="173"/>
      <c r="LZS395" s="173"/>
      <c r="LZT395" s="125"/>
      <c r="LZU395" s="125"/>
      <c r="LZV395" s="134"/>
      <c r="LZW395" s="135"/>
      <c r="LZX395" s="135"/>
      <c r="LZY395" s="135"/>
      <c r="LZZ395" s="135"/>
      <c r="MAA395" s="173"/>
      <c r="MAB395" s="173"/>
      <c r="MAC395" s="173"/>
      <c r="MAD395" s="173"/>
      <c r="MAE395" s="173"/>
      <c r="MAF395" s="173"/>
      <c r="MAG395" s="173"/>
      <c r="MAH395" s="173"/>
      <c r="MAI395" s="173"/>
      <c r="MAJ395" s="173"/>
      <c r="MAK395" s="125"/>
      <c r="MAL395" s="125"/>
      <c r="MAM395" s="134"/>
      <c r="MAN395" s="135"/>
      <c r="MAO395" s="135"/>
      <c r="MAP395" s="135"/>
      <c r="MAQ395" s="135"/>
      <c r="MAR395" s="173"/>
      <c r="MAS395" s="173"/>
      <c r="MAT395" s="173"/>
      <c r="MAU395" s="173"/>
      <c r="MAV395" s="173"/>
      <c r="MAW395" s="173"/>
      <c r="MAX395" s="173"/>
      <c r="MAY395" s="173"/>
      <c r="MAZ395" s="173"/>
      <c r="MBA395" s="173"/>
      <c r="MBB395" s="125"/>
      <c r="MBC395" s="125"/>
      <c r="MBD395" s="134"/>
      <c r="MBE395" s="135"/>
      <c r="MBF395" s="135"/>
      <c r="MBG395" s="135"/>
      <c r="MBH395" s="135"/>
      <c r="MBI395" s="173"/>
      <c r="MBJ395" s="173"/>
      <c r="MBK395" s="173"/>
      <c r="MBL395" s="173"/>
      <c r="MBM395" s="173"/>
      <c r="MBN395" s="173"/>
      <c r="MBO395" s="173"/>
      <c r="MBP395" s="173"/>
      <c r="MBQ395" s="173"/>
      <c r="MBR395" s="173"/>
      <c r="MBS395" s="125"/>
      <c r="MBT395" s="125"/>
      <c r="MBU395" s="134"/>
      <c r="MBV395" s="135"/>
      <c r="MBW395" s="135"/>
      <c r="MBX395" s="135"/>
      <c r="MBY395" s="135"/>
      <c r="MBZ395" s="173"/>
      <c r="MCA395" s="173"/>
      <c r="MCB395" s="173"/>
      <c r="MCC395" s="173"/>
      <c r="MCD395" s="173"/>
      <c r="MCE395" s="173"/>
      <c r="MCF395" s="173"/>
      <c r="MCG395" s="173"/>
      <c r="MCH395" s="173"/>
      <c r="MCI395" s="173"/>
      <c r="MCJ395" s="125"/>
      <c r="MCK395" s="125"/>
      <c r="MCL395" s="134"/>
      <c r="MCM395" s="135"/>
      <c r="MCN395" s="135"/>
      <c r="MCO395" s="135"/>
      <c r="MCP395" s="135"/>
      <c r="MCQ395" s="173"/>
      <c r="MCR395" s="173"/>
      <c r="MCS395" s="173"/>
      <c r="MCT395" s="173"/>
      <c r="MCU395" s="173"/>
      <c r="MCV395" s="173"/>
      <c r="MCW395" s="173"/>
      <c r="MCX395" s="173"/>
      <c r="MCY395" s="173"/>
      <c r="MCZ395" s="173"/>
      <c r="MDA395" s="125"/>
      <c r="MDB395" s="125"/>
      <c r="MDC395" s="134"/>
      <c r="MDD395" s="135"/>
      <c r="MDE395" s="135"/>
      <c r="MDF395" s="135"/>
      <c r="MDG395" s="135"/>
      <c r="MDH395" s="173"/>
      <c r="MDI395" s="173"/>
      <c r="MDJ395" s="173"/>
      <c r="MDK395" s="173"/>
      <c r="MDL395" s="173"/>
      <c r="MDM395" s="173"/>
      <c r="MDN395" s="173"/>
      <c r="MDO395" s="173"/>
      <c r="MDP395" s="173"/>
      <c r="MDQ395" s="173"/>
      <c r="MDR395" s="125"/>
      <c r="MDS395" s="125"/>
      <c r="MDT395" s="134"/>
      <c r="MDU395" s="135"/>
      <c r="MDV395" s="135"/>
      <c r="MDW395" s="135"/>
      <c r="MDX395" s="135"/>
      <c r="MDY395" s="173"/>
      <c r="MDZ395" s="173"/>
      <c r="MEA395" s="173"/>
      <c r="MEB395" s="173"/>
      <c r="MEC395" s="173"/>
      <c r="MED395" s="173"/>
      <c r="MEE395" s="173"/>
      <c r="MEF395" s="173"/>
      <c r="MEG395" s="173"/>
      <c r="MEH395" s="173"/>
      <c r="MEI395" s="125"/>
      <c r="MEJ395" s="125"/>
      <c r="MEK395" s="134"/>
      <c r="MEL395" s="135"/>
      <c r="MEM395" s="135"/>
      <c r="MEN395" s="135"/>
      <c r="MEO395" s="135"/>
      <c r="MEP395" s="173"/>
      <c r="MEQ395" s="173"/>
      <c r="MER395" s="173"/>
      <c r="MES395" s="173"/>
      <c r="MET395" s="173"/>
      <c r="MEU395" s="173"/>
      <c r="MEV395" s="173"/>
      <c r="MEW395" s="173"/>
      <c r="MEX395" s="173"/>
      <c r="MEY395" s="173"/>
      <c r="MEZ395" s="125"/>
      <c r="MFA395" s="125"/>
      <c r="MFB395" s="134"/>
      <c r="MFC395" s="135"/>
      <c r="MFD395" s="135"/>
      <c r="MFE395" s="135"/>
      <c r="MFF395" s="135"/>
      <c r="MFG395" s="173"/>
      <c r="MFH395" s="173"/>
      <c r="MFI395" s="173"/>
      <c r="MFJ395" s="173"/>
      <c r="MFK395" s="173"/>
      <c r="MFL395" s="173"/>
      <c r="MFM395" s="173"/>
      <c r="MFN395" s="173"/>
      <c r="MFO395" s="173"/>
      <c r="MFP395" s="173"/>
      <c r="MFQ395" s="125"/>
      <c r="MFR395" s="125"/>
      <c r="MFS395" s="134"/>
      <c r="MFT395" s="135"/>
      <c r="MFU395" s="135"/>
      <c r="MFV395" s="135"/>
      <c r="MFW395" s="135"/>
      <c r="MFX395" s="173"/>
      <c r="MFY395" s="173"/>
      <c r="MFZ395" s="173"/>
      <c r="MGA395" s="173"/>
      <c r="MGB395" s="173"/>
      <c r="MGC395" s="173"/>
      <c r="MGD395" s="173"/>
      <c r="MGE395" s="173"/>
      <c r="MGF395" s="173"/>
      <c r="MGG395" s="173"/>
      <c r="MGH395" s="125"/>
      <c r="MGI395" s="125"/>
      <c r="MGJ395" s="134"/>
      <c r="MGK395" s="135"/>
      <c r="MGL395" s="135"/>
      <c r="MGM395" s="135"/>
      <c r="MGN395" s="135"/>
      <c r="MGO395" s="173"/>
      <c r="MGP395" s="173"/>
      <c r="MGQ395" s="173"/>
      <c r="MGR395" s="173"/>
      <c r="MGS395" s="173"/>
      <c r="MGT395" s="173"/>
      <c r="MGU395" s="173"/>
      <c r="MGV395" s="173"/>
      <c r="MGW395" s="173"/>
      <c r="MGX395" s="173"/>
      <c r="MGY395" s="125"/>
      <c r="MGZ395" s="125"/>
      <c r="MHA395" s="134"/>
      <c r="MHB395" s="135"/>
      <c r="MHC395" s="135"/>
      <c r="MHD395" s="135"/>
      <c r="MHE395" s="135"/>
      <c r="MHF395" s="173"/>
      <c r="MHG395" s="173"/>
      <c r="MHH395" s="173"/>
      <c r="MHI395" s="173"/>
      <c r="MHJ395" s="173"/>
      <c r="MHK395" s="173"/>
      <c r="MHL395" s="173"/>
      <c r="MHM395" s="173"/>
      <c r="MHN395" s="173"/>
      <c r="MHO395" s="173"/>
      <c r="MHP395" s="125"/>
      <c r="MHQ395" s="125"/>
      <c r="MHR395" s="134"/>
      <c r="MHS395" s="135"/>
      <c r="MHT395" s="135"/>
      <c r="MHU395" s="135"/>
      <c r="MHV395" s="135"/>
      <c r="MHW395" s="173"/>
      <c r="MHX395" s="173"/>
      <c r="MHY395" s="173"/>
      <c r="MHZ395" s="173"/>
      <c r="MIA395" s="173"/>
      <c r="MIB395" s="173"/>
      <c r="MIC395" s="173"/>
      <c r="MID395" s="173"/>
      <c r="MIE395" s="173"/>
      <c r="MIF395" s="173"/>
      <c r="MIG395" s="125"/>
      <c r="MIH395" s="125"/>
      <c r="MII395" s="134"/>
      <c r="MIJ395" s="135"/>
      <c r="MIK395" s="135"/>
      <c r="MIL395" s="135"/>
      <c r="MIM395" s="135"/>
      <c r="MIN395" s="173"/>
      <c r="MIO395" s="173"/>
      <c r="MIP395" s="173"/>
      <c r="MIQ395" s="173"/>
      <c r="MIR395" s="173"/>
      <c r="MIS395" s="173"/>
      <c r="MIT395" s="173"/>
      <c r="MIU395" s="173"/>
      <c r="MIV395" s="173"/>
      <c r="MIW395" s="173"/>
      <c r="MIX395" s="125"/>
      <c r="MIY395" s="125"/>
      <c r="MIZ395" s="134"/>
      <c r="MJA395" s="135"/>
      <c r="MJB395" s="135"/>
      <c r="MJC395" s="135"/>
      <c r="MJD395" s="135"/>
      <c r="MJE395" s="173"/>
      <c r="MJF395" s="173"/>
      <c r="MJG395" s="173"/>
      <c r="MJH395" s="173"/>
      <c r="MJI395" s="173"/>
      <c r="MJJ395" s="173"/>
      <c r="MJK395" s="173"/>
      <c r="MJL395" s="173"/>
      <c r="MJM395" s="173"/>
      <c r="MJN395" s="173"/>
      <c r="MJO395" s="125"/>
      <c r="MJP395" s="125"/>
      <c r="MJQ395" s="134"/>
      <c r="MJR395" s="135"/>
      <c r="MJS395" s="135"/>
      <c r="MJT395" s="135"/>
      <c r="MJU395" s="135"/>
      <c r="MJV395" s="173"/>
      <c r="MJW395" s="173"/>
      <c r="MJX395" s="173"/>
      <c r="MJY395" s="173"/>
      <c r="MJZ395" s="173"/>
      <c r="MKA395" s="173"/>
      <c r="MKB395" s="173"/>
      <c r="MKC395" s="173"/>
      <c r="MKD395" s="173"/>
      <c r="MKE395" s="173"/>
      <c r="MKF395" s="125"/>
      <c r="MKG395" s="125"/>
      <c r="MKH395" s="134"/>
      <c r="MKI395" s="135"/>
      <c r="MKJ395" s="135"/>
      <c r="MKK395" s="135"/>
      <c r="MKL395" s="135"/>
      <c r="MKM395" s="173"/>
      <c r="MKN395" s="173"/>
      <c r="MKO395" s="173"/>
      <c r="MKP395" s="173"/>
      <c r="MKQ395" s="173"/>
      <c r="MKR395" s="173"/>
      <c r="MKS395" s="173"/>
      <c r="MKT395" s="173"/>
      <c r="MKU395" s="173"/>
      <c r="MKV395" s="173"/>
      <c r="MKW395" s="125"/>
      <c r="MKX395" s="125"/>
      <c r="MKY395" s="134"/>
      <c r="MKZ395" s="135"/>
      <c r="MLA395" s="135"/>
      <c r="MLB395" s="135"/>
      <c r="MLC395" s="135"/>
      <c r="MLD395" s="173"/>
      <c r="MLE395" s="173"/>
      <c r="MLF395" s="173"/>
      <c r="MLG395" s="173"/>
      <c r="MLH395" s="173"/>
      <c r="MLI395" s="173"/>
      <c r="MLJ395" s="173"/>
      <c r="MLK395" s="173"/>
      <c r="MLL395" s="173"/>
      <c r="MLM395" s="173"/>
      <c r="MLN395" s="125"/>
      <c r="MLO395" s="125"/>
      <c r="MLP395" s="134"/>
      <c r="MLQ395" s="135"/>
      <c r="MLR395" s="135"/>
      <c r="MLS395" s="135"/>
      <c r="MLT395" s="135"/>
      <c r="MLU395" s="173"/>
      <c r="MLV395" s="173"/>
      <c r="MLW395" s="173"/>
      <c r="MLX395" s="173"/>
      <c r="MLY395" s="173"/>
      <c r="MLZ395" s="173"/>
      <c r="MMA395" s="173"/>
      <c r="MMB395" s="173"/>
      <c r="MMC395" s="173"/>
      <c r="MMD395" s="173"/>
      <c r="MME395" s="125"/>
      <c r="MMF395" s="125"/>
      <c r="MMG395" s="134"/>
      <c r="MMH395" s="135"/>
      <c r="MMI395" s="135"/>
      <c r="MMJ395" s="135"/>
      <c r="MMK395" s="135"/>
      <c r="MML395" s="173"/>
      <c r="MMM395" s="173"/>
      <c r="MMN395" s="173"/>
      <c r="MMO395" s="173"/>
      <c r="MMP395" s="173"/>
      <c r="MMQ395" s="173"/>
      <c r="MMR395" s="173"/>
      <c r="MMS395" s="173"/>
      <c r="MMT395" s="173"/>
      <c r="MMU395" s="173"/>
      <c r="MMV395" s="125"/>
      <c r="MMW395" s="125"/>
      <c r="MMX395" s="134"/>
      <c r="MMY395" s="135"/>
      <c r="MMZ395" s="135"/>
      <c r="MNA395" s="135"/>
      <c r="MNB395" s="135"/>
      <c r="MNC395" s="173"/>
      <c r="MND395" s="173"/>
      <c r="MNE395" s="173"/>
      <c r="MNF395" s="173"/>
      <c r="MNG395" s="173"/>
      <c r="MNH395" s="173"/>
      <c r="MNI395" s="173"/>
      <c r="MNJ395" s="173"/>
      <c r="MNK395" s="173"/>
      <c r="MNL395" s="173"/>
      <c r="MNM395" s="125"/>
      <c r="MNN395" s="125"/>
      <c r="MNO395" s="134"/>
      <c r="MNP395" s="135"/>
      <c r="MNQ395" s="135"/>
      <c r="MNR395" s="135"/>
      <c r="MNS395" s="135"/>
      <c r="MNT395" s="173"/>
      <c r="MNU395" s="173"/>
      <c r="MNV395" s="173"/>
      <c r="MNW395" s="173"/>
      <c r="MNX395" s="173"/>
      <c r="MNY395" s="173"/>
      <c r="MNZ395" s="173"/>
      <c r="MOA395" s="173"/>
      <c r="MOB395" s="173"/>
      <c r="MOC395" s="173"/>
      <c r="MOD395" s="125"/>
      <c r="MOE395" s="125"/>
      <c r="MOF395" s="134"/>
      <c r="MOG395" s="135"/>
      <c r="MOH395" s="135"/>
      <c r="MOI395" s="135"/>
      <c r="MOJ395" s="135"/>
      <c r="MOK395" s="173"/>
      <c r="MOL395" s="173"/>
      <c r="MOM395" s="173"/>
      <c r="MON395" s="173"/>
      <c r="MOO395" s="173"/>
      <c r="MOP395" s="173"/>
      <c r="MOQ395" s="173"/>
      <c r="MOR395" s="173"/>
      <c r="MOS395" s="173"/>
      <c r="MOT395" s="173"/>
      <c r="MOU395" s="125"/>
      <c r="MOV395" s="125"/>
      <c r="MOW395" s="134"/>
      <c r="MOX395" s="135"/>
      <c r="MOY395" s="135"/>
      <c r="MOZ395" s="135"/>
      <c r="MPA395" s="135"/>
      <c r="MPB395" s="173"/>
      <c r="MPC395" s="173"/>
      <c r="MPD395" s="173"/>
      <c r="MPE395" s="173"/>
      <c r="MPF395" s="173"/>
      <c r="MPG395" s="173"/>
      <c r="MPH395" s="173"/>
      <c r="MPI395" s="173"/>
      <c r="MPJ395" s="173"/>
      <c r="MPK395" s="173"/>
      <c r="MPL395" s="125"/>
      <c r="MPM395" s="125"/>
      <c r="MPN395" s="134"/>
      <c r="MPO395" s="135"/>
      <c r="MPP395" s="135"/>
      <c r="MPQ395" s="135"/>
      <c r="MPR395" s="135"/>
      <c r="MPS395" s="173"/>
      <c r="MPT395" s="173"/>
      <c r="MPU395" s="173"/>
      <c r="MPV395" s="173"/>
      <c r="MPW395" s="173"/>
      <c r="MPX395" s="173"/>
      <c r="MPY395" s="173"/>
      <c r="MPZ395" s="173"/>
      <c r="MQA395" s="173"/>
      <c r="MQB395" s="173"/>
      <c r="MQC395" s="125"/>
      <c r="MQD395" s="125"/>
      <c r="MQE395" s="134"/>
      <c r="MQF395" s="135"/>
      <c r="MQG395" s="135"/>
      <c r="MQH395" s="135"/>
      <c r="MQI395" s="135"/>
      <c r="MQJ395" s="173"/>
      <c r="MQK395" s="173"/>
      <c r="MQL395" s="173"/>
      <c r="MQM395" s="173"/>
      <c r="MQN395" s="173"/>
      <c r="MQO395" s="173"/>
      <c r="MQP395" s="173"/>
      <c r="MQQ395" s="173"/>
      <c r="MQR395" s="173"/>
      <c r="MQS395" s="173"/>
      <c r="MQT395" s="125"/>
      <c r="MQU395" s="125"/>
      <c r="MQV395" s="134"/>
      <c r="MQW395" s="135"/>
      <c r="MQX395" s="135"/>
      <c r="MQY395" s="135"/>
      <c r="MQZ395" s="135"/>
      <c r="MRA395" s="173"/>
      <c r="MRB395" s="173"/>
      <c r="MRC395" s="173"/>
      <c r="MRD395" s="173"/>
      <c r="MRE395" s="173"/>
      <c r="MRF395" s="173"/>
      <c r="MRG395" s="173"/>
      <c r="MRH395" s="173"/>
      <c r="MRI395" s="173"/>
      <c r="MRJ395" s="173"/>
      <c r="MRK395" s="125"/>
      <c r="MRL395" s="125"/>
      <c r="MRM395" s="134"/>
      <c r="MRN395" s="135"/>
      <c r="MRO395" s="135"/>
      <c r="MRP395" s="135"/>
      <c r="MRQ395" s="135"/>
      <c r="MRR395" s="173"/>
      <c r="MRS395" s="173"/>
      <c r="MRT395" s="173"/>
      <c r="MRU395" s="173"/>
      <c r="MRV395" s="173"/>
      <c r="MRW395" s="173"/>
      <c r="MRX395" s="173"/>
      <c r="MRY395" s="173"/>
      <c r="MRZ395" s="173"/>
      <c r="MSA395" s="173"/>
      <c r="MSB395" s="125"/>
      <c r="MSC395" s="125"/>
      <c r="MSD395" s="134"/>
      <c r="MSE395" s="135"/>
      <c r="MSF395" s="135"/>
      <c r="MSG395" s="135"/>
      <c r="MSH395" s="135"/>
      <c r="MSI395" s="173"/>
      <c r="MSJ395" s="173"/>
      <c r="MSK395" s="173"/>
      <c r="MSL395" s="173"/>
      <c r="MSM395" s="173"/>
      <c r="MSN395" s="173"/>
      <c r="MSO395" s="173"/>
      <c r="MSP395" s="173"/>
      <c r="MSQ395" s="173"/>
      <c r="MSR395" s="173"/>
      <c r="MSS395" s="125"/>
      <c r="MST395" s="125"/>
      <c r="MSU395" s="134"/>
      <c r="MSV395" s="135"/>
      <c r="MSW395" s="135"/>
      <c r="MSX395" s="135"/>
      <c r="MSY395" s="135"/>
      <c r="MSZ395" s="173"/>
      <c r="MTA395" s="173"/>
      <c r="MTB395" s="173"/>
      <c r="MTC395" s="173"/>
      <c r="MTD395" s="173"/>
      <c r="MTE395" s="173"/>
      <c r="MTF395" s="173"/>
      <c r="MTG395" s="173"/>
      <c r="MTH395" s="173"/>
      <c r="MTI395" s="173"/>
      <c r="MTJ395" s="125"/>
      <c r="MTK395" s="125"/>
      <c r="MTL395" s="134"/>
      <c r="MTM395" s="135"/>
      <c r="MTN395" s="135"/>
      <c r="MTO395" s="135"/>
      <c r="MTP395" s="135"/>
      <c r="MTQ395" s="173"/>
      <c r="MTR395" s="173"/>
      <c r="MTS395" s="173"/>
      <c r="MTT395" s="173"/>
      <c r="MTU395" s="173"/>
      <c r="MTV395" s="173"/>
      <c r="MTW395" s="173"/>
      <c r="MTX395" s="173"/>
      <c r="MTY395" s="173"/>
      <c r="MTZ395" s="173"/>
      <c r="MUA395" s="125"/>
      <c r="MUB395" s="125"/>
      <c r="MUC395" s="134"/>
      <c r="MUD395" s="135"/>
      <c r="MUE395" s="135"/>
      <c r="MUF395" s="135"/>
      <c r="MUG395" s="135"/>
      <c r="MUH395" s="173"/>
      <c r="MUI395" s="173"/>
      <c r="MUJ395" s="173"/>
      <c r="MUK395" s="173"/>
      <c r="MUL395" s="173"/>
      <c r="MUM395" s="173"/>
      <c r="MUN395" s="173"/>
      <c r="MUO395" s="173"/>
      <c r="MUP395" s="173"/>
      <c r="MUQ395" s="173"/>
      <c r="MUR395" s="125"/>
      <c r="MUS395" s="125"/>
      <c r="MUT395" s="134"/>
      <c r="MUU395" s="135"/>
      <c r="MUV395" s="135"/>
      <c r="MUW395" s="135"/>
      <c r="MUX395" s="135"/>
      <c r="MUY395" s="173"/>
      <c r="MUZ395" s="173"/>
      <c r="MVA395" s="173"/>
      <c r="MVB395" s="173"/>
      <c r="MVC395" s="173"/>
      <c r="MVD395" s="173"/>
      <c r="MVE395" s="173"/>
      <c r="MVF395" s="173"/>
      <c r="MVG395" s="173"/>
      <c r="MVH395" s="173"/>
      <c r="MVI395" s="125"/>
      <c r="MVJ395" s="125"/>
      <c r="MVK395" s="134"/>
      <c r="MVL395" s="135"/>
      <c r="MVM395" s="135"/>
      <c r="MVN395" s="135"/>
      <c r="MVO395" s="135"/>
      <c r="MVP395" s="173"/>
      <c r="MVQ395" s="173"/>
      <c r="MVR395" s="173"/>
      <c r="MVS395" s="173"/>
      <c r="MVT395" s="173"/>
      <c r="MVU395" s="173"/>
      <c r="MVV395" s="173"/>
      <c r="MVW395" s="173"/>
      <c r="MVX395" s="173"/>
      <c r="MVY395" s="173"/>
      <c r="MVZ395" s="125"/>
      <c r="MWA395" s="125"/>
      <c r="MWB395" s="134"/>
      <c r="MWC395" s="135"/>
      <c r="MWD395" s="135"/>
      <c r="MWE395" s="135"/>
      <c r="MWF395" s="135"/>
      <c r="MWG395" s="173"/>
      <c r="MWH395" s="173"/>
      <c r="MWI395" s="173"/>
      <c r="MWJ395" s="173"/>
      <c r="MWK395" s="173"/>
      <c r="MWL395" s="173"/>
      <c r="MWM395" s="173"/>
      <c r="MWN395" s="173"/>
      <c r="MWO395" s="173"/>
      <c r="MWP395" s="173"/>
      <c r="MWQ395" s="125"/>
      <c r="MWR395" s="125"/>
      <c r="MWS395" s="134"/>
      <c r="MWT395" s="135"/>
      <c r="MWU395" s="135"/>
      <c r="MWV395" s="135"/>
      <c r="MWW395" s="135"/>
      <c r="MWX395" s="173"/>
      <c r="MWY395" s="173"/>
      <c r="MWZ395" s="173"/>
      <c r="MXA395" s="173"/>
      <c r="MXB395" s="173"/>
      <c r="MXC395" s="173"/>
      <c r="MXD395" s="173"/>
      <c r="MXE395" s="173"/>
      <c r="MXF395" s="173"/>
      <c r="MXG395" s="173"/>
      <c r="MXH395" s="125"/>
      <c r="MXI395" s="125"/>
      <c r="MXJ395" s="134"/>
      <c r="MXK395" s="135"/>
      <c r="MXL395" s="135"/>
      <c r="MXM395" s="135"/>
      <c r="MXN395" s="135"/>
      <c r="MXO395" s="173"/>
      <c r="MXP395" s="173"/>
      <c r="MXQ395" s="173"/>
      <c r="MXR395" s="173"/>
      <c r="MXS395" s="173"/>
      <c r="MXT395" s="173"/>
      <c r="MXU395" s="173"/>
      <c r="MXV395" s="173"/>
      <c r="MXW395" s="173"/>
      <c r="MXX395" s="173"/>
      <c r="MXY395" s="125"/>
      <c r="MXZ395" s="125"/>
      <c r="MYA395" s="134"/>
      <c r="MYB395" s="135"/>
      <c r="MYC395" s="135"/>
      <c r="MYD395" s="135"/>
      <c r="MYE395" s="135"/>
      <c r="MYF395" s="173"/>
      <c r="MYG395" s="173"/>
      <c r="MYH395" s="173"/>
      <c r="MYI395" s="173"/>
      <c r="MYJ395" s="173"/>
      <c r="MYK395" s="173"/>
      <c r="MYL395" s="173"/>
      <c r="MYM395" s="173"/>
      <c r="MYN395" s="173"/>
      <c r="MYO395" s="173"/>
      <c r="MYP395" s="125"/>
      <c r="MYQ395" s="125"/>
      <c r="MYR395" s="134"/>
      <c r="MYS395" s="135"/>
      <c r="MYT395" s="135"/>
      <c r="MYU395" s="135"/>
      <c r="MYV395" s="135"/>
      <c r="MYW395" s="173"/>
      <c r="MYX395" s="173"/>
      <c r="MYY395" s="173"/>
      <c r="MYZ395" s="173"/>
      <c r="MZA395" s="173"/>
      <c r="MZB395" s="173"/>
      <c r="MZC395" s="173"/>
      <c r="MZD395" s="173"/>
      <c r="MZE395" s="173"/>
      <c r="MZF395" s="173"/>
      <c r="MZG395" s="125"/>
      <c r="MZH395" s="125"/>
      <c r="MZI395" s="134"/>
      <c r="MZJ395" s="135"/>
      <c r="MZK395" s="135"/>
      <c r="MZL395" s="135"/>
      <c r="MZM395" s="135"/>
      <c r="MZN395" s="173"/>
      <c r="MZO395" s="173"/>
      <c r="MZP395" s="173"/>
      <c r="MZQ395" s="173"/>
      <c r="MZR395" s="173"/>
      <c r="MZS395" s="173"/>
      <c r="MZT395" s="173"/>
      <c r="MZU395" s="173"/>
      <c r="MZV395" s="173"/>
      <c r="MZW395" s="173"/>
      <c r="MZX395" s="125"/>
      <c r="MZY395" s="125"/>
      <c r="MZZ395" s="134"/>
      <c r="NAA395" s="135"/>
      <c r="NAB395" s="135"/>
      <c r="NAC395" s="135"/>
      <c r="NAD395" s="135"/>
      <c r="NAE395" s="173"/>
      <c r="NAF395" s="173"/>
      <c r="NAG395" s="173"/>
      <c r="NAH395" s="173"/>
      <c r="NAI395" s="173"/>
      <c r="NAJ395" s="173"/>
      <c r="NAK395" s="173"/>
      <c r="NAL395" s="173"/>
      <c r="NAM395" s="173"/>
      <c r="NAN395" s="173"/>
      <c r="NAO395" s="125"/>
      <c r="NAP395" s="125"/>
      <c r="NAQ395" s="134"/>
      <c r="NAR395" s="135"/>
      <c r="NAS395" s="135"/>
      <c r="NAT395" s="135"/>
      <c r="NAU395" s="135"/>
      <c r="NAV395" s="173"/>
      <c r="NAW395" s="173"/>
      <c r="NAX395" s="173"/>
      <c r="NAY395" s="173"/>
      <c r="NAZ395" s="173"/>
      <c r="NBA395" s="173"/>
      <c r="NBB395" s="173"/>
      <c r="NBC395" s="173"/>
      <c r="NBD395" s="173"/>
      <c r="NBE395" s="173"/>
      <c r="NBF395" s="125"/>
      <c r="NBG395" s="125"/>
      <c r="NBH395" s="134"/>
      <c r="NBI395" s="135"/>
      <c r="NBJ395" s="135"/>
      <c r="NBK395" s="135"/>
      <c r="NBL395" s="135"/>
      <c r="NBM395" s="173"/>
      <c r="NBN395" s="173"/>
      <c r="NBO395" s="173"/>
      <c r="NBP395" s="173"/>
      <c r="NBQ395" s="173"/>
      <c r="NBR395" s="173"/>
      <c r="NBS395" s="173"/>
      <c r="NBT395" s="173"/>
      <c r="NBU395" s="173"/>
      <c r="NBV395" s="173"/>
      <c r="NBW395" s="125"/>
      <c r="NBX395" s="125"/>
      <c r="NBY395" s="134"/>
      <c r="NBZ395" s="135"/>
      <c r="NCA395" s="135"/>
      <c r="NCB395" s="135"/>
      <c r="NCC395" s="135"/>
      <c r="NCD395" s="173"/>
      <c r="NCE395" s="173"/>
      <c r="NCF395" s="173"/>
      <c r="NCG395" s="173"/>
      <c r="NCH395" s="173"/>
      <c r="NCI395" s="173"/>
      <c r="NCJ395" s="173"/>
      <c r="NCK395" s="173"/>
      <c r="NCL395" s="173"/>
      <c r="NCM395" s="173"/>
      <c r="NCN395" s="125"/>
      <c r="NCO395" s="125"/>
      <c r="NCP395" s="134"/>
      <c r="NCQ395" s="135"/>
      <c r="NCR395" s="135"/>
      <c r="NCS395" s="135"/>
      <c r="NCT395" s="135"/>
      <c r="NCU395" s="173"/>
      <c r="NCV395" s="173"/>
      <c r="NCW395" s="173"/>
      <c r="NCX395" s="173"/>
      <c r="NCY395" s="173"/>
      <c r="NCZ395" s="173"/>
      <c r="NDA395" s="173"/>
      <c r="NDB395" s="173"/>
      <c r="NDC395" s="173"/>
      <c r="NDD395" s="173"/>
      <c r="NDE395" s="125"/>
      <c r="NDF395" s="125"/>
      <c r="NDG395" s="134"/>
      <c r="NDH395" s="135"/>
      <c r="NDI395" s="135"/>
      <c r="NDJ395" s="135"/>
      <c r="NDK395" s="135"/>
      <c r="NDL395" s="173"/>
      <c r="NDM395" s="173"/>
      <c r="NDN395" s="173"/>
      <c r="NDO395" s="173"/>
      <c r="NDP395" s="173"/>
      <c r="NDQ395" s="173"/>
      <c r="NDR395" s="173"/>
      <c r="NDS395" s="173"/>
      <c r="NDT395" s="173"/>
      <c r="NDU395" s="173"/>
      <c r="NDV395" s="125"/>
      <c r="NDW395" s="125"/>
      <c r="NDX395" s="134"/>
      <c r="NDY395" s="135"/>
      <c r="NDZ395" s="135"/>
      <c r="NEA395" s="135"/>
      <c r="NEB395" s="135"/>
      <c r="NEC395" s="173"/>
      <c r="NED395" s="173"/>
      <c r="NEE395" s="173"/>
      <c r="NEF395" s="173"/>
      <c r="NEG395" s="173"/>
      <c r="NEH395" s="173"/>
      <c r="NEI395" s="173"/>
      <c r="NEJ395" s="173"/>
      <c r="NEK395" s="173"/>
      <c r="NEL395" s="173"/>
      <c r="NEM395" s="125"/>
      <c r="NEN395" s="125"/>
      <c r="NEO395" s="134"/>
      <c r="NEP395" s="135"/>
      <c r="NEQ395" s="135"/>
      <c r="NER395" s="135"/>
      <c r="NES395" s="135"/>
      <c r="NET395" s="173"/>
      <c r="NEU395" s="173"/>
      <c r="NEV395" s="173"/>
      <c r="NEW395" s="173"/>
      <c r="NEX395" s="173"/>
      <c r="NEY395" s="173"/>
      <c r="NEZ395" s="173"/>
      <c r="NFA395" s="173"/>
      <c r="NFB395" s="173"/>
      <c r="NFC395" s="173"/>
      <c r="NFD395" s="125"/>
      <c r="NFE395" s="125"/>
      <c r="NFF395" s="134"/>
      <c r="NFG395" s="135"/>
      <c r="NFH395" s="135"/>
      <c r="NFI395" s="135"/>
      <c r="NFJ395" s="135"/>
      <c r="NFK395" s="173"/>
      <c r="NFL395" s="173"/>
      <c r="NFM395" s="173"/>
      <c r="NFN395" s="173"/>
      <c r="NFO395" s="173"/>
      <c r="NFP395" s="173"/>
      <c r="NFQ395" s="173"/>
      <c r="NFR395" s="173"/>
      <c r="NFS395" s="173"/>
      <c r="NFT395" s="173"/>
      <c r="NFU395" s="125"/>
      <c r="NFV395" s="125"/>
      <c r="NFW395" s="134"/>
      <c r="NFX395" s="135"/>
      <c r="NFY395" s="135"/>
      <c r="NFZ395" s="135"/>
      <c r="NGA395" s="135"/>
      <c r="NGB395" s="173"/>
      <c r="NGC395" s="173"/>
      <c r="NGD395" s="173"/>
      <c r="NGE395" s="173"/>
      <c r="NGF395" s="173"/>
      <c r="NGG395" s="173"/>
      <c r="NGH395" s="173"/>
      <c r="NGI395" s="173"/>
      <c r="NGJ395" s="173"/>
      <c r="NGK395" s="173"/>
      <c r="NGL395" s="125"/>
      <c r="NGM395" s="125"/>
      <c r="NGN395" s="134"/>
      <c r="NGO395" s="135"/>
      <c r="NGP395" s="135"/>
      <c r="NGQ395" s="135"/>
      <c r="NGR395" s="135"/>
      <c r="NGS395" s="173"/>
      <c r="NGT395" s="173"/>
      <c r="NGU395" s="173"/>
      <c r="NGV395" s="173"/>
      <c r="NGW395" s="173"/>
      <c r="NGX395" s="173"/>
      <c r="NGY395" s="173"/>
      <c r="NGZ395" s="173"/>
      <c r="NHA395" s="173"/>
      <c r="NHB395" s="173"/>
      <c r="NHC395" s="125"/>
      <c r="NHD395" s="125"/>
      <c r="NHE395" s="134"/>
      <c r="NHF395" s="135"/>
      <c r="NHG395" s="135"/>
      <c r="NHH395" s="135"/>
      <c r="NHI395" s="135"/>
      <c r="NHJ395" s="173"/>
      <c r="NHK395" s="173"/>
      <c r="NHL395" s="173"/>
      <c r="NHM395" s="173"/>
      <c r="NHN395" s="173"/>
      <c r="NHO395" s="173"/>
      <c r="NHP395" s="173"/>
      <c r="NHQ395" s="173"/>
      <c r="NHR395" s="173"/>
      <c r="NHS395" s="173"/>
      <c r="NHT395" s="125"/>
      <c r="NHU395" s="125"/>
      <c r="NHV395" s="134"/>
      <c r="NHW395" s="135"/>
      <c r="NHX395" s="135"/>
      <c r="NHY395" s="135"/>
      <c r="NHZ395" s="135"/>
      <c r="NIA395" s="173"/>
      <c r="NIB395" s="173"/>
      <c r="NIC395" s="173"/>
      <c r="NID395" s="173"/>
      <c r="NIE395" s="173"/>
      <c r="NIF395" s="173"/>
      <c r="NIG395" s="173"/>
      <c r="NIH395" s="173"/>
      <c r="NII395" s="173"/>
      <c r="NIJ395" s="173"/>
      <c r="NIK395" s="125"/>
      <c r="NIL395" s="125"/>
      <c r="NIM395" s="134"/>
      <c r="NIN395" s="135"/>
      <c r="NIO395" s="135"/>
      <c r="NIP395" s="135"/>
      <c r="NIQ395" s="135"/>
      <c r="NIR395" s="173"/>
      <c r="NIS395" s="173"/>
      <c r="NIT395" s="173"/>
      <c r="NIU395" s="173"/>
      <c r="NIV395" s="173"/>
      <c r="NIW395" s="173"/>
      <c r="NIX395" s="173"/>
      <c r="NIY395" s="173"/>
      <c r="NIZ395" s="173"/>
      <c r="NJA395" s="173"/>
      <c r="NJB395" s="125"/>
      <c r="NJC395" s="125"/>
      <c r="NJD395" s="134"/>
      <c r="NJE395" s="135"/>
      <c r="NJF395" s="135"/>
      <c r="NJG395" s="135"/>
      <c r="NJH395" s="135"/>
      <c r="NJI395" s="173"/>
      <c r="NJJ395" s="173"/>
      <c r="NJK395" s="173"/>
      <c r="NJL395" s="173"/>
      <c r="NJM395" s="173"/>
      <c r="NJN395" s="173"/>
      <c r="NJO395" s="173"/>
      <c r="NJP395" s="173"/>
      <c r="NJQ395" s="173"/>
      <c r="NJR395" s="173"/>
      <c r="NJS395" s="125"/>
      <c r="NJT395" s="125"/>
      <c r="NJU395" s="134"/>
      <c r="NJV395" s="135"/>
      <c r="NJW395" s="135"/>
      <c r="NJX395" s="135"/>
      <c r="NJY395" s="135"/>
      <c r="NJZ395" s="173"/>
      <c r="NKA395" s="173"/>
      <c r="NKB395" s="173"/>
      <c r="NKC395" s="173"/>
      <c r="NKD395" s="173"/>
      <c r="NKE395" s="173"/>
      <c r="NKF395" s="173"/>
      <c r="NKG395" s="173"/>
      <c r="NKH395" s="173"/>
      <c r="NKI395" s="173"/>
      <c r="NKJ395" s="125"/>
      <c r="NKK395" s="125"/>
      <c r="NKL395" s="134"/>
      <c r="NKM395" s="135"/>
      <c r="NKN395" s="135"/>
      <c r="NKO395" s="135"/>
      <c r="NKP395" s="135"/>
      <c r="NKQ395" s="173"/>
      <c r="NKR395" s="173"/>
      <c r="NKS395" s="173"/>
      <c r="NKT395" s="173"/>
      <c r="NKU395" s="173"/>
      <c r="NKV395" s="173"/>
      <c r="NKW395" s="173"/>
      <c r="NKX395" s="173"/>
      <c r="NKY395" s="173"/>
      <c r="NKZ395" s="173"/>
      <c r="NLA395" s="125"/>
      <c r="NLB395" s="125"/>
      <c r="NLC395" s="134"/>
      <c r="NLD395" s="135"/>
      <c r="NLE395" s="135"/>
      <c r="NLF395" s="135"/>
      <c r="NLG395" s="135"/>
      <c r="NLH395" s="173"/>
      <c r="NLI395" s="173"/>
      <c r="NLJ395" s="173"/>
      <c r="NLK395" s="173"/>
      <c r="NLL395" s="173"/>
      <c r="NLM395" s="173"/>
      <c r="NLN395" s="173"/>
      <c r="NLO395" s="173"/>
      <c r="NLP395" s="173"/>
      <c r="NLQ395" s="173"/>
      <c r="NLR395" s="125"/>
      <c r="NLS395" s="125"/>
      <c r="NLT395" s="134"/>
      <c r="NLU395" s="135"/>
      <c r="NLV395" s="135"/>
      <c r="NLW395" s="135"/>
      <c r="NLX395" s="135"/>
      <c r="NLY395" s="173"/>
      <c r="NLZ395" s="173"/>
      <c r="NMA395" s="173"/>
      <c r="NMB395" s="173"/>
      <c r="NMC395" s="173"/>
      <c r="NMD395" s="173"/>
      <c r="NME395" s="173"/>
      <c r="NMF395" s="173"/>
      <c r="NMG395" s="173"/>
      <c r="NMH395" s="173"/>
      <c r="NMI395" s="125"/>
      <c r="NMJ395" s="125"/>
      <c r="NMK395" s="134"/>
      <c r="NML395" s="135"/>
      <c r="NMM395" s="135"/>
      <c r="NMN395" s="135"/>
      <c r="NMO395" s="135"/>
      <c r="NMP395" s="173"/>
      <c r="NMQ395" s="173"/>
      <c r="NMR395" s="173"/>
      <c r="NMS395" s="173"/>
      <c r="NMT395" s="173"/>
      <c r="NMU395" s="173"/>
      <c r="NMV395" s="173"/>
      <c r="NMW395" s="173"/>
      <c r="NMX395" s="173"/>
      <c r="NMY395" s="173"/>
      <c r="NMZ395" s="125"/>
      <c r="NNA395" s="125"/>
      <c r="NNB395" s="134"/>
      <c r="NNC395" s="135"/>
      <c r="NND395" s="135"/>
      <c r="NNE395" s="135"/>
      <c r="NNF395" s="135"/>
      <c r="NNG395" s="173"/>
      <c r="NNH395" s="173"/>
      <c r="NNI395" s="173"/>
      <c r="NNJ395" s="173"/>
      <c r="NNK395" s="173"/>
      <c r="NNL395" s="173"/>
      <c r="NNM395" s="173"/>
      <c r="NNN395" s="173"/>
      <c r="NNO395" s="173"/>
      <c r="NNP395" s="173"/>
      <c r="NNQ395" s="125"/>
      <c r="NNR395" s="125"/>
      <c r="NNS395" s="134"/>
      <c r="NNT395" s="135"/>
      <c r="NNU395" s="135"/>
      <c r="NNV395" s="135"/>
      <c r="NNW395" s="135"/>
      <c r="NNX395" s="173"/>
      <c r="NNY395" s="173"/>
      <c r="NNZ395" s="173"/>
      <c r="NOA395" s="173"/>
      <c r="NOB395" s="173"/>
      <c r="NOC395" s="173"/>
      <c r="NOD395" s="173"/>
      <c r="NOE395" s="173"/>
      <c r="NOF395" s="173"/>
      <c r="NOG395" s="173"/>
      <c r="NOH395" s="125"/>
      <c r="NOI395" s="125"/>
      <c r="NOJ395" s="134"/>
      <c r="NOK395" s="135"/>
      <c r="NOL395" s="135"/>
      <c r="NOM395" s="135"/>
      <c r="NON395" s="135"/>
      <c r="NOO395" s="173"/>
      <c r="NOP395" s="173"/>
      <c r="NOQ395" s="173"/>
      <c r="NOR395" s="173"/>
      <c r="NOS395" s="173"/>
      <c r="NOT395" s="173"/>
      <c r="NOU395" s="173"/>
      <c r="NOV395" s="173"/>
      <c r="NOW395" s="173"/>
      <c r="NOX395" s="173"/>
      <c r="NOY395" s="125"/>
      <c r="NOZ395" s="125"/>
      <c r="NPA395" s="134"/>
      <c r="NPB395" s="135"/>
      <c r="NPC395" s="135"/>
      <c r="NPD395" s="135"/>
      <c r="NPE395" s="135"/>
      <c r="NPF395" s="173"/>
      <c r="NPG395" s="173"/>
      <c r="NPH395" s="173"/>
      <c r="NPI395" s="173"/>
      <c r="NPJ395" s="173"/>
      <c r="NPK395" s="173"/>
      <c r="NPL395" s="173"/>
      <c r="NPM395" s="173"/>
      <c r="NPN395" s="173"/>
      <c r="NPO395" s="173"/>
      <c r="NPP395" s="125"/>
      <c r="NPQ395" s="125"/>
      <c r="NPR395" s="134"/>
      <c r="NPS395" s="135"/>
      <c r="NPT395" s="135"/>
      <c r="NPU395" s="135"/>
      <c r="NPV395" s="135"/>
      <c r="NPW395" s="173"/>
      <c r="NPX395" s="173"/>
      <c r="NPY395" s="173"/>
      <c r="NPZ395" s="173"/>
      <c r="NQA395" s="173"/>
      <c r="NQB395" s="173"/>
      <c r="NQC395" s="173"/>
      <c r="NQD395" s="173"/>
      <c r="NQE395" s="173"/>
      <c r="NQF395" s="173"/>
      <c r="NQG395" s="125"/>
      <c r="NQH395" s="125"/>
      <c r="NQI395" s="134"/>
      <c r="NQJ395" s="135"/>
      <c r="NQK395" s="135"/>
      <c r="NQL395" s="135"/>
      <c r="NQM395" s="135"/>
      <c r="NQN395" s="173"/>
      <c r="NQO395" s="173"/>
      <c r="NQP395" s="173"/>
      <c r="NQQ395" s="173"/>
      <c r="NQR395" s="173"/>
      <c r="NQS395" s="173"/>
      <c r="NQT395" s="173"/>
      <c r="NQU395" s="173"/>
      <c r="NQV395" s="173"/>
      <c r="NQW395" s="173"/>
      <c r="NQX395" s="125"/>
      <c r="NQY395" s="125"/>
      <c r="NQZ395" s="134"/>
      <c r="NRA395" s="135"/>
      <c r="NRB395" s="135"/>
      <c r="NRC395" s="135"/>
      <c r="NRD395" s="135"/>
      <c r="NRE395" s="173"/>
      <c r="NRF395" s="173"/>
      <c r="NRG395" s="173"/>
      <c r="NRH395" s="173"/>
      <c r="NRI395" s="173"/>
      <c r="NRJ395" s="173"/>
      <c r="NRK395" s="173"/>
      <c r="NRL395" s="173"/>
      <c r="NRM395" s="173"/>
      <c r="NRN395" s="173"/>
      <c r="NRO395" s="125"/>
      <c r="NRP395" s="125"/>
      <c r="NRQ395" s="134"/>
      <c r="NRR395" s="135"/>
      <c r="NRS395" s="135"/>
      <c r="NRT395" s="135"/>
      <c r="NRU395" s="135"/>
      <c r="NRV395" s="173"/>
      <c r="NRW395" s="173"/>
      <c r="NRX395" s="173"/>
      <c r="NRY395" s="173"/>
      <c r="NRZ395" s="173"/>
      <c r="NSA395" s="173"/>
      <c r="NSB395" s="173"/>
      <c r="NSC395" s="173"/>
      <c r="NSD395" s="173"/>
      <c r="NSE395" s="173"/>
      <c r="NSF395" s="125"/>
      <c r="NSG395" s="125"/>
      <c r="NSH395" s="134"/>
      <c r="NSI395" s="135"/>
      <c r="NSJ395" s="135"/>
      <c r="NSK395" s="135"/>
      <c r="NSL395" s="135"/>
      <c r="NSM395" s="173"/>
      <c r="NSN395" s="173"/>
      <c r="NSO395" s="173"/>
      <c r="NSP395" s="173"/>
      <c r="NSQ395" s="173"/>
      <c r="NSR395" s="173"/>
      <c r="NSS395" s="173"/>
      <c r="NST395" s="173"/>
      <c r="NSU395" s="173"/>
      <c r="NSV395" s="173"/>
      <c r="NSW395" s="125"/>
      <c r="NSX395" s="125"/>
      <c r="NSY395" s="134"/>
      <c r="NSZ395" s="135"/>
      <c r="NTA395" s="135"/>
      <c r="NTB395" s="135"/>
      <c r="NTC395" s="135"/>
      <c r="NTD395" s="173"/>
      <c r="NTE395" s="173"/>
      <c r="NTF395" s="173"/>
      <c r="NTG395" s="173"/>
      <c r="NTH395" s="173"/>
      <c r="NTI395" s="173"/>
      <c r="NTJ395" s="173"/>
      <c r="NTK395" s="173"/>
      <c r="NTL395" s="173"/>
      <c r="NTM395" s="173"/>
      <c r="NTN395" s="125"/>
      <c r="NTO395" s="125"/>
      <c r="NTP395" s="134"/>
      <c r="NTQ395" s="135"/>
      <c r="NTR395" s="135"/>
      <c r="NTS395" s="135"/>
      <c r="NTT395" s="135"/>
      <c r="NTU395" s="173"/>
      <c r="NTV395" s="173"/>
      <c r="NTW395" s="173"/>
      <c r="NTX395" s="173"/>
      <c r="NTY395" s="173"/>
      <c r="NTZ395" s="173"/>
      <c r="NUA395" s="173"/>
      <c r="NUB395" s="173"/>
      <c r="NUC395" s="173"/>
      <c r="NUD395" s="173"/>
      <c r="NUE395" s="125"/>
      <c r="NUF395" s="125"/>
      <c r="NUG395" s="134"/>
      <c r="NUH395" s="135"/>
      <c r="NUI395" s="135"/>
      <c r="NUJ395" s="135"/>
      <c r="NUK395" s="135"/>
      <c r="NUL395" s="173"/>
      <c r="NUM395" s="173"/>
      <c r="NUN395" s="173"/>
      <c r="NUO395" s="173"/>
      <c r="NUP395" s="173"/>
      <c r="NUQ395" s="173"/>
      <c r="NUR395" s="173"/>
      <c r="NUS395" s="173"/>
      <c r="NUT395" s="173"/>
      <c r="NUU395" s="173"/>
      <c r="NUV395" s="125"/>
      <c r="NUW395" s="125"/>
      <c r="NUX395" s="134"/>
      <c r="NUY395" s="135"/>
      <c r="NUZ395" s="135"/>
      <c r="NVA395" s="135"/>
      <c r="NVB395" s="135"/>
      <c r="NVC395" s="173"/>
      <c r="NVD395" s="173"/>
      <c r="NVE395" s="173"/>
      <c r="NVF395" s="173"/>
      <c r="NVG395" s="173"/>
      <c r="NVH395" s="173"/>
      <c r="NVI395" s="173"/>
      <c r="NVJ395" s="173"/>
      <c r="NVK395" s="173"/>
      <c r="NVL395" s="173"/>
      <c r="NVM395" s="125"/>
      <c r="NVN395" s="125"/>
      <c r="NVO395" s="134"/>
      <c r="NVP395" s="135"/>
      <c r="NVQ395" s="135"/>
      <c r="NVR395" s="135"/>
      <c r="NVS395" s="135"/>
      <c r="NVT395" s="173"/>
      <c r="NVU395" s="173"/>
      <c r="NVV395" s="173"/>
      <c r="NVW395" s="173"/>
      <c r="NVX395" s="173"/>
      <c r="NVY395" s="173"/>
      <c r="NVZ395" s="173"/>
      <c r="NWA395" s="173"/>
      <c r="NWB395" s="173"/>
      <c r="NWC395" s="173"/>
      <c r="NWD395" s="125"/>
      <c r="NWE395" s="125"/>
      <c r="NWF395" s="134"/>
      <c r="NWG395" s="135"/>
      <c r="NWH395" s="135"/>
      <c r="NWI395" s="135"/>
      <c r="NWJ395" s="135"/>
      <c r="NWK395" s="173"/>
      <c r="NWL395" s="173"/>
      <c r="NWM395" s="173"/>
      <c r="NWN395" s="173"/>
      <c r="NWO395" s="173"/>
      <c r="NWP395" s="173"/>
      <c r="NWQ395" s="173"/>
      <c r="NWR395" s="173"/>
      <c r="NWS395" s="173"/>
      <c r="NWT395" s="173"/>
      <c r="NWU395" s="125"/>
      <c r="NWV395" s="125"/>
      <c r="NWW395" s="134"/>
      <c r="NWX395" s="135"/>
      <c r="NWY395" s="135"/>
      <c r="NWZ395" s="135"/>
      <c r="NXA395" s="135"/>
      <c r="NXB395" s="173"/>
      <c r="NXC395" s="173"/>
      <c r="NXD395" s="173"/>
      <c r="NXE395" s="173"/>
      <c r="NXF395" s="173"/>
      <c r="NXG395" s="173"/>
      <c r="NXH395" s="173"/>
      <c r="NXI395" s="173"/>
      <c r="NXJ395" s="173"/>
      <c r="NXK395" s="173"/>
      <c r="NXL395" s="125"/>
      <c r="NXM395" s="125"/>
      <c r="NXN395" s="134"/>
      <c r="NXO395" s="135"/>
      <c r="NXP395" s="135"/>
      <c r="NXQ395" s="135"/>
      <c r="NXR395" s="135"/>
      <c r="NXS395" s="173"/>
      <c r="NXT395" s="173"/>
      <c r="NXU395" s="173"/>
      <c r="NXV395" s="173"/>
      <c r="NXW395" s="173"/>
      <c r="NXX395" s="173"/>
      <c r="NXY395" s="173"/>
      <c r="NXZ395" s="173"/>
      <c r="NYA395" s="173"/>
      <c r="NYB395" s="173"/>
      <c r="NYC395" s="125"/>
      <c r="NYD395" s="125"/>
      <c r="NYE395" s="134"/>
      <c r="NYF395" s="135"/>
      <c r="NYG395" s="135"/>
      <c r="NYH395" s="135"/>
      <c r="NYI395" s="135"/>
      <c r="NYJ395" s="173"/>
      <c r="NYK395" s="173"/>
      <c r="NYL395" s="173"/>
      <c r="NYM395" s="173"/>
      <c r="NYN395" s="173"/>
      <c r="NYO395" s="173"/>
      <c r="NYP395" s="173"/>
      <c r="NYQ395" s="173"/>
      <c r="NYR395" s="173"/>
      <c r="NYS395" s="173"/>
      <c r="NYT395" s="125"/>
      <c r="NYU395" s="125"/>
      <c r="NYV395" s="134"/>
      <c r="NYW395" s="135"/>
      <c r="NYX395" s="135"/>
      <c r="NYY395" s="135"/>
      <c r="NYZ395" s="135"/>
      <c r="NZA395" s="173"/>
      <c r="NZB395" s="173"/>
      <c r="NZC395" s="173"/>
      <c r="NZD395" s="173"/>
      <c r="NZE395" s="173"/>
      <c r="NZF395" s="173"/>
      <c r="NZG395" s="173"/>
      <c r="NZH395" s="173"/>
      <c r="NZI395" s="173"/>
      <c r="NZJ395" s="173"/>
      <c r="NZK395" s="125"/>
      <c r="NZL395" s="125"/>
      <c r="NZM395" s="134"/>
      <c r="NZN395" s="135"/>
      <c r="NZO395" s="135"/>
      <c r="NZP395" s="135"/>
      <c r="NZQ395" s="135"/>
      <c r="NZR395" s="173"/>
      <c r="NZS395" s="173"/>
      <c r="NZT395" s="173"/>
      <c r="NZU395" s="173"/>
      <c r="NZV395" s="173"/>
      <c r="NZW395" s="173"/>
      <c r="NZX395" s="173"/>
      <c r="NZY395" s="173"/>
      <c r="NZZ395" s="173"/>
      <c r="OAA395" s="173"/>
      <c r="OAB395" s="125"/>
      <c r="OAC395" s="125"/>
      <c r="OAD395" s="134"/>
      <c r="OAE395" s="135"/>
      <c r="OAF395" s="135"/>
      <c r="OAG395" s="135"/>
      <c r="OAH395" s="135"/>
      <c r="OAI395" s="173"/>
      <c r="OAJ395" s="173"/>
      <c r="OAK395" s="173"/>
      <c r="OAL395" s="173"/>
      <c r="OAM395" s="173"/>
      <c r="OAN395" s="173"/>
      <c r="OAO395" s="173"/>
      <c r="OAP395" s="173"/>
      <c r="OAQ395" s="173"/>
      <c r="OAR395" s="173"/>
      <c r="OAS395" s="125"/>
      <c r="OAT395" s="125"/>
      <c r="OAU395" s="134"/>
      <c r="OAV395" s="135"/>
      <c r="OAW395" s="135"/>
      <c r="OAX395" s="135"/>
      <c r="OAY395" s="135"/>
      <c r="OAZ395" s="173"/>
      <c r="OBA395" s="173"/>
      <c r="OBB395" s="173"/>
      <c r="OBC395" s="173"/>
      <c r="OBD395" s="173"/>
      <c r="OBE395" s="173"/>
      <c r="OBF395" s="173"/>
      <c r="OBG395" s="173"/>
      <c r="OBH395" s="173"/>
      <c r="OBI395" s="173"/>
      <c r="OBJ395" s="125"/>
      <c r="OBK395" s="125"/>
      <c r="OBL395" s="134"/>
      <c r="OBM395" s="135"/>
      <c r="OBN395" s="135"/>
      <c r="OBO395" s="135"/>
      <c r="OBP395" s="135"/>
      <c r="OBQ395" s="173"/>
      <c r="OBR395" s="173"/>
      <c r="OBS395" s="173"/>
      <c r="OBT395" s="173"/>
      <c r="OBU395" s="173"/>
      <c r="OBV395" s="173"/>
      <c r="OBW395" s="173"/>
      <c r="OBX395" s="173"/>
      <c r="OBY395" s="173"/>
      <c r="OBZ395" s="173"/>
      <c r="OCA395" s="125"/>
      <c r="OCB395" s="125"/>
      <c r="OCC395" s="134"/>
      <c r="OCD395" s="135"/>
      <c r="OCE395" s="135"/>
      <c r="OCF395" s="135"/>
      <c r="OCG395" s="135"/>
      <c r="OCH395" s="173"/>
      <c r="OCI395" s="173"/>
      <c r="OCJ395" s="173"/>
      <c r="OCK395" s="173"/>
      <c r="OCL395" s="173"/>
      <c r="OCM395" s="173"/>
      <c r="OCN395" s="173"/>
      <c r="OCO395" s="173"/>
      <c r="OCP395" s="173"/>
      <c r="OCQ395" s="173"/>
      <c r="OCR395" s="125"/>
      <c r="OCS395" s="125"/>
      <c r="OCT395" s="134"/>
      <c r="OCU395" s="135"/>
      <c r="OCV395" s="135"/>
      <c r="OCW395" s="135"/>
      <c r="OCX395" s="135"/>
      <c r="OCY395" s="173"/>
      <c r="OCZ395" s="173"/>
      <c r="ODA395" s="173"/>
      <c r="ODB395" s="173"/>
      <c r="ODC395" s="173"/>
      <c r="ODD395" s="173"/>
      <c r="ODE395" s="173"/>
      <c r="ODF395" s="173"/>
      <c r="ODG395" s="173"/>
      <c r="ODH395" s="173"/>
      <c r="ODI395" s="125"/>
      <c r="ODJ395" s="125"/>
      <c r="ODK395" s="134"/>
      <c r="ODL395" s="135"/>
      <c r="ODM395" s="135"/>
      <c r="ODN395" s="135"/>
      <c r="ODO395" s="135"/>
      <c r="ODP395" s="173"/>
      <c r="ODQ395" s="173"/>
      <c r="ODR395" s="173"/>
      <c r="ODS395" s="173"/>
      <c r="ODT395" s="173"/>
      <c r="ODU395" s="173"/>
      <c r="ODV395" s="173"/>
      <c r="ODW395" s="173"/>
      <c r="ODX395" s="173"/>
      <c r="ODY395" s="173"/>
      <c r="ODZ395" s="125"/>
      <c r="OEA395" s="125"/>
      <c r="OEB395" s="134"/>
      <c r="OEC395" s="135"/>
      <c r="OED395" s="135"/>
      <c r="OEE395" s="135"/>
      <c r="OEF395" s="135"/>
      <c r="OEG395" s="173"/>
      <c r="OEH395" s="173"/>
      <c r="OEI395" s="173"/>
      <c r="OEJ395" s="173"/>
      <c r="OEK395" s="173"/>
      <c r="OEL395" s="173"/>
      <c r="OEM395" s="173"/>
      <c r="OEN395" s="173"/>
      <c r="OEO395" s="173"/>
      <c r="OEP395" s="173"/>
      <c r="OEQ395" s="125"/>
      <c r="OER395" s="125"/>
      <c r="OES395" s="134"/>
      <c r="OET395" s="135"/>
      <c r="OEU395" s="135"/>
      <c r="OEV395" s="135"/>
      <c r="OEW395" s="135"/>
      <c r="OEX395" s="173"/>
      <c r="OEY395" s="173"/>
      <c r="OEZ395" s="173"/>
      <c r="OFA395" s="173"/>
      <c r="OFB395" s="173"/>
      <c r="OFC395" s="173"/>
      <c r="OFD395" s="173"/>
      <c r="OFE395" s="173"/>
      <c r="OFF395" s="173"/>
      <c r="OFG395" s="173"/>
      <c r="OFH395" s="125"/>
      <c r="OFI395" s="125"/>
      <c r="OFJ395" s="134"/>
      <c r="OFK395" s="135"/>
      <c r="OFL395" s="135"/>
      <c r="OFM395" s="135"/>
      <c r="OFN395" s="135"/>
      <c r="OFO395" s="173"/>
      <c r="OFP395" s="173"/>
      <c r="OFQ395" s="173"/>
      <c r="OFR395" s="173"/>
      <c r="OFS395" s="173"/>
      <c r="OFT395" s="173"/>
      <c r="OFU395" s="173"/>
      <c r="OFV395" s="173"/>
      <c r="OFW395" s="173"/>
      <c r="OFX395" s="173"/>
      <c r="OFY395" s="125"/>
      <c r="OFZ395" s="125"/>
      <c r="OGA395" s="134"/>
      <c r="OGB395" s="135"/>
      <c r="OGC395" s="135"/>
      <c r="OGD395" s="135"/>
      <c r="OGE395" s="135"/>
      <c r="OGF395" s="173"/>
      <c r="OGG395" s="173"/>
      <c r="OGH395" s="173"/>
      <c r="OGI395" s="173"/>
      <c r="OGJ395" s="173"/>
      <c r="OGK395" s="173"/>
      <c r="OGL395" s="173"/>
      <c r="OGM395" s="173"/>
      <c r="OGN395" s="173"/>
      <c r="OGO395" s="173"/>
      <c r="OGP395" s="125"/>
      <c r="OGQ395" s="125"/>
      <c r="OGR395" s="134"/>
      <c r="OGS395" s="135"/>
      <c r="OGT395" s="135"/>
      <c r="OGU395" s="135"/>
      <c r="OGV395" s="135"/>
      <c r="OGW395" s="173"/>
      <c r="OGX395" s="173"/>
      <c r="OGY395" s="173"/>
      <c r="OGZ395" s="173"/>
      <c r="OHA395" s="173"/>
      <c r="OHB395" s="173"/>
      <c r="OHC395" s="173"/>
      <c r="OHD395" s="173"/>
      <c r="OHE395" s="173"/>
      <c r="OHF395" s="173"/>
      <c r="OHG395" s="125"/>
      <c r="OHH395" s="125"/>
      <c r="OHI395" s="134"/>
      <c r="OHJ395" s="135"/>
      <c r="OHK395" s="135"/>
      <c r="OHL395" s="135"/>
      <c r="OHM395" s="135"/>
      <c r="OHN395" s="173"/>
      <c r="OHO395" s="173"/>
      <c r="OHP395" s="173"/>
      <c r="OHQ395" s="173"/>
      <c r="OHR395" s="173"/>
      <c r="OHS395" s="173"/>
      <c r="OHT395" s="173"/>
      <c r="OHU395" s="173"/>
      <c r="OHV395" s="173"/>
      <c r="OHW395" s="173"/>
      <c r="OHX395" s="125"/>
      <c r="OHY395" s="125"/>
      <c r="OHZ395" s="134"/>
      <c r="OIA395" s="135"/>
      <c r="OIB395" s="135"/>
      <c r="OIC395" s="135"/>
      <c r="OID395" s="135"/>
      <c r="OIE395" s="173"/>
      <c r="OIF395" s="173"/>
      <c r="OIG395" s="173"/>
      <c r="OIH395" s="173"/>
      <c r="OII395" s="173"/>
      <c r="OIJ395" s="173"/>
      <c r="OIK395" s="173"/>
      <c r="OIL395" s="173"/>
      <c r="OIM395" s="173"/>
      <c r="OIN395" s="173"/>
      <c r="OIO395" s="125"/>
      <c r="OIP395" s="125"/>
      <c r="OIQ395" s="134"/>
      <c r="OIR395" s="135"/>
      <c r="OIS395" s="135"/>
      <c r="OIT395" s="135"/>
      <c r="OIU395" s="135"/>
      <c r="OIV395" s="173"/>
      <c r="OIW395" s="173"/>
      <c r="OIX395" s="173"/>
      <c r="OIY395" s="173"/>
      <c r="OIZ395" s="173"/>
      <c r="OJA395" s="173"/>
      <c r="OJB395" s="173"/>
      <c r="OJC395" s="173"/>
      <c r="OJD395" s="173"/>
      <c r="OJE395" s="173"/>
      <c r="OJF395" s="125"/>
      <c r="OJG395" s="125"/>
      <c r="OJH395" s="134"/>
      <c r="OJI395" s="135"/>
      <c r="OJJ395" s="135"/>
      <c r="OJK395" s="135"/>
      <c r="OJL395" s="135"/>
      <c r="OJM395" s="173"/>
      <c r="OJN395" s="173"/>
      <c r="OJO395" s="173"/>
      <c r="OJP395" s="173"/>
      <c r="OJQ395" s="173"/>
      <c r="OJR395" s="173"/>
      <c r="OJS395" s="173"/>
      <c r="OJT395" s="173"/>
      <c r="OJU395" s="173"/>
      <c r="OJV395" s="173"/>
      <c r="OJW395" s="125"/>
      <c r="OJX395" s="125"/>
      <c r="OJY395" s="134"/>
      <c r="OJZ395" s="135"/>
      <c r="OKA395" s="135"/>
      <c r="OKB395" s="135"/>
      <c r="OKC395" s="135"/>
      <c r="OKD395" s="173"/>
      <c r="OKE395" s="173"/>
      <c r="OKF395" s="173"/>
      <c r="OKG395" s="173"/>
      <c r="OKH395" s="173"/>
      <c r="OKI395" s="173"/>
      <c r="OKJ395" s="173"/>
      <c r="OKK395" s="173"/>
      <c r="OKL395" s="173"/>
      <c r="OKM395" s="173"/>
      <c r="OKN395" s="125"/>
      <c r="OKO395" s="125"/>
      <c r="OKP395" s="134"/>
      <c r="OKQ395" s="135"/>
      <c r="OKR395" s="135"/>
      <c r="OKS395" s="135"/>
      <c r="OKT395" s="135"/>
      <c r="OKU395" s="173"/>
      <c r="OKV395" s="173"/>
      <c r="OKW395" s="173"/>
      <c r="OKX395" s="173"/>
      <c r="OKY395" s="173"/>
      <c r="OKZ395" s="173"/>
      <c r="OLA395" s="173"/>
      <c r="OLB395" s="173"/>
      <c r="OLC395" s="173"/>
      <c r="OLD395" s="173"/>
      <c r="OLE395" s="125"/>
      <c r="OLF395" s="125"/>
      <c r="OLG395" s="134"/>
      <c r="OLH395" s="135"/>
      <c r="OLI395" s="135"/>
      <c r="OLJ395" s="135"/>
      <c r="OLK395" s="135"/>
      <c r="OLL395" s="173"/>
      <c r="OLM395" s="173"/>
      <c r="OLN395" s="173"/>
      <c r="OLO395" s="173"/>
      <c r="OLP395" s="173"/>
      <c r="OLQ395" s="173"/>
      <c r="OLR395" s="173"/>
      <c r="OLS395" s="173"/>
      <c r="OLT395" s="173"/>
      <c r="OLU395" s="173"/>
      <c r="OLV395" s="125"/>
      <c r="OLW395" s="125"/>
      <c r="OLX395" s="134"/>
      <c r="OLY395" s="135"/>
      <c r="OLZ395" s="135"/>
      <c r="OMA395" s="135"/>
      <c r="OMB395" s="135"/>
      <c r="OMC395" s="173"/>
      <c r="OMD395" s="173"/>
      <c r="OME395" s="173"/>
      <c r="OMF395" s="173"/>
      <c r="OMG395" s="173"/>
      <c r="OMH395" s="173"/>
      <c r="OMI395" s="173"/>
      <c r="OMJ395" s="173"/>
      <c r="OMK395" s="173"/>
      <c r="OML395" s="173"/>
      <c r="OMM395" s="125"/>
      <c r="OMN395" s="125"/>
      <c r="OMO395" s="134"/>
      <c r="OMP395" s="135"/>
      <c r="OMQ395" s="135"/>
      <c r="OMR395" s="135"/>
      <c r="OMS395" s="135"/>
      <c r="OMT395" s="173"/>
      <c r="OMU395" s="173"/>
      <c r="OMV395" s="173"/>
      <c r="OMW395" s="173"/>
      <c r="OMX395" s="173"/>
      <c r="OMY395" s="173"/>
      <c r="OMZ395" s="173"/>
      <c r="ONA395" s="173"/>
      <c r="ONB395" s="173"/>
      <c r="ONC395" s="173"/>
      <c r="OND395" s="125"/>
      <c r="ONE395" s="125"/>
      <c r="ONF395" s="134"/>
      <c r="ONG395" s="135"/>
      <c r="ONH395" s="135"/>
      <c r="ONI395" s="135"/>
      <c r="ONJ395" s="135"/>
      <c r="ONK395" s="173"/>
      <c r="ONL395" s="173"/>
      <c r="ONM395" s="173"/>
      <c r="ONN395" s="173"/>
      <c r="ONO395" s="173"/>
      <c r="ONP395" s="173"/>
      <c r="ONQ395" s="173"/>
      <c r="ONR395" s="173"/>
      <c r="ONS395" s="173"/>
      <c r="ONT395" s="173"/>
      <c r="ONU395" s="125"/>
      <c r="ONV395" s="125"/>
      <c r="ONW395" s="134"/>
      <c r="ONX395" s="135"/>
      <c r="ONY395" s="135"/>
      <c r="ONZ395" s="135"/>
      <c r="OOA395" s="135"/>
      <c r="OOB395" s="173"/>
      <c r="OOC395" s="173"/>
      <c r="OOD395" s="173"/>
      <c r="OOE395" s="173"/>
      <c r="OOF395" s="173"/>
      <c r="OOG395" s="173"/>
      <c r="OOH395" s="173"/>
      <c r="OOI395" s="173"/>
      <c r="OOJ395" s="173"/>
      <c r="OOK395" s="173"/>
      <c r="OOL395" s="125"/>
      <c r="OOM395" s="125"/>
      <c r="OON395" s="134"/>
      <c r="OOO395" s="135"/>
      <c r="OOP395" s="135"/>
      <c r="OOQ395" s="135"/>
      <c r="OOR395" s="135"/>
      <c r="OOS395" s="173"/>
      <c r="OOT395" s="173"/>
      <c r="OOU395" s="173"/>
      <c r="OOV395" s="173"/>
      <c r="OOW395" s="173"/>
      <c r="OOX395" s="173"/>
      <c r="OOY395" s="173"/>
      <c r="OOZ395" s="173"/>
      <c r="OPA395" s="173"/>
      <c r="OPB395" s="173"/>
      <c r="OPC395" s="125"/>
      <c r="OPD395" s="125"/>
      <c r="OPE395" s="134"/>
      <c r="OPF395" s="135"/>
      <c r="OPG395" s="135"/>
      <c r="OPH395" s="135"/>
      <c r="OPI395" s="135"/>
      <c r="OPJ395" s="173"/>
      <c r="OPK395" s="173"/>
      <c r="OPL395" s="173"/>
      <c r="OPM395" s="173"/>
      <c r="OPN395" s="173"/>
      <c r="OPO395" s="173"/>
      <c r="OPP395" s="173"/>
      <c r="OPQ395" s="173"/>
      <c r="OPR395" s="173"/>
      <c r="OPS395" s="173"/>
      <c r="OPT395" s="125"/>
      <c r="OPU395" s="125"/>
      <c r="OPV395" s="134"/>
      <c r="OPW395" s="135"/>
      <c r="OPX395" s="135"/>
      <c r="OPY395" s="135"/>
      <c r="OPZ395" s="135"/>
      <c r="OQA395" s="173"/>
      <c r="OQB395" s="173"/>
      <c r="OQC395" s="173"/>
      <c r="OQD395" s="173"/>
      <c r="OQE395" s="173"/>
      <c r="OQF395" s="173"/>
      <c r="OQG395" s="173"/>
      <c r="OQH395" s="173"/>
      <c r="OQI395" s="173"/>
      <c r="OQJ395" s="173"/>
      <c r="OQK395" s="125"/>
      <c r="OQL395" s="125"/>
      <c r="OQM395" s="134"/>
      <c r="OQN395" s="135"/>
      <c r="OQO395" s="135"/>
      <c r="OQP395" s="135"/>
      <c r="OQQ395" s="135"/>
      <c r="OQR395" s="173"/>
      <c r="OQS395" s="173"/>
      <c r="OQT395" s="173"/>
      <c r="OQU395" s="173"/>
      <c r="OQV395" s="173"/>
      <c r="OQW395" s="173"/>
      <c r="OQX395" s="173"/>
      <c r="OQY395" s="173"/>
      <c r="OQZ395" s="173"/>
      <c r="ORA395" s="173"/>
      <c r="ORB395" s="125"/>
      <c r="ORC395" s="125"/>
      <c r="ORD395" s="134"/>
      <c r="ORE395" s="135"/>
      <c r="ORF395" s="135"/>
      <c r="ORG395" s="135"/>
      <c r="ORH395" s="135"/>
      <c r="ORI395" s="173"/>
      <c r="ORJ395" s="173"/>
      <c r="ORK395" s="173"/>
      <c r="ORL395" s="173"/>
      <c r="ORM395" s="173"/>
      <c r="ORN395" s="173"/>
      <c r="ORO395" s="173"/>
      <c r="ORP395" s="173"/>
      <c r="ORQ395" s="173"/>
      <c r="ORR395" s="173"/>
      <c r="ORS395" s="125"/>
      <c r="ORT395" s="125"/>
      <c r="ORU395" s="134"/>
      <c r="ORV395" s="135"/>
      <c r="ORW395" s="135"/>
      <c r="ORX395" s="135"/>
      <c r="ORY395" s="135"/>
      <c r="ORZ395" s="173"/>
      <c r="OSA395" s="173"/>
      <c r="OSB395" s="173"/>
      <c r="OSC395" s="173"/>
      <c r="OSD395" s="173"/>
      <c r="OSE395" s="173"/>
      <c r="OSF395" s="173"/>
      <c r="OSG395" s="173"/>
      <c r="OSH395" s="173"/>
      <c r="OSI395" s="173"/>
      <c r="OSJ395" s="125"/>
      <c r="OSK395" s="125"/>
      <c r="OSL395" s="134"/>
      <c r="OSM395" s="135"/>
      <c r="OSN395" s="135"/>
      <c r="OSO395" s="135"/>
      <c r="OSP395" s="135"/>
      <c r="OSQ395" s="173"/>
      <c r="OSR395" s="173"/>
      <c r="OSS395" s="173"/>
      <c r="OST395" s="173"/>
      <c r="OSU395" s="173"/>
      <c r="OSV395" s="173"/>
      <c r="OSW395" s="173"/>
      <c r="OSX395" s="173"/>
      <c r="OSY395" s="173"/>
      <c r="OSZ395" s="173"/>
      <c r="OTA395" s="125"/>
      <c r="OTB395" s="125"/>
      <c r="OTC395" s="134"/>
      <c r="OTD395" s="135"/>
      <c r="OTE395" s="135"/>
      <c r="OTF395" s="135"/>
      <c r="OTG395" s="135"/>
      <c r="OTH395" s="173"/>
      <c r="OTI395" s="173"/>
      <c r="OTJ395" s="173"/>
      <c r="OTK395" s="173"/>
      <c r="OTL395" s="173"/>
      <c r="OTM395" s="173"/>
      <c r="OTN395" s="173"/>
      <c r="OTO395" s="173"/>
      <c r="OTP395" s="173"/>
      <c r="OTQ395" s="173"/>
      <c r="OTR395" s="125"/>
      <c r="OTS395" s="125"/>
      <c r="OTT395" s="134"/>
      <c r="OTU395" s="135"/>
      <c r="OTV395" s="135"/>
      <c r="OTW395" s="135"/>
      <c r="OTX395" s="135"/>
      <c r="OTY395" s="173"/>
      <c r="OTZ395" s="173"/>
      <c r="OUA395" s="173"/>
      <c r="OUB395" s="173"/>
      <c r="OUC395" s="173"/>
      <c r="OUD395" s="173"/>
      <c r="OUE395" s="173"/>
      <c r="OUF395" s="173"/>
      <c r="OUG395" s="173"/>
      <c r="OUH395" s="173"/>
      <c r="OUI395" s="125"/>
      <c r="OUJ395" s="125"/>
      <c r="OUK395" s="134"/>
      <c r="OUL395" s="135"/>
      <c r="OUM395" s="135"/>
      <c r="OUN395" s="135"/>
      <c r="OUO395" s="135"/>
      <c r="OUP395" s="173"/>
      <c r="OUQ395" s="173"/>
      <c r="OUR395" s="173"/>
      <c r="OUS395" s="173"/>
      <c r="OUT395" s="173"/>
      <c r="OUU395" s="173"/>
      <c r="OUV395" s="173"/>
      <c r="OUW395" s="173"/>
      <c r="OUX395" s="173"/>
      <c r="OUY395" s="173"/>
      <c r="OUZ395" s="125"/>
      <c r="OVA395" s="125"/>
      <c r="OVB395" s="134"/>
      <c r="OVC395" s="135"/>
      <c r="OVD395" s="135"/>
      <c r="OVE395" s="135"/>
      <c r="OVF395" s="135"/>
      <c r="OVG395" s="173"/>
      <c r="OVH395" s="173"/>
      <c r="OVI395" s="173"/>
      <c r="OVJ395" s="173"/>
      <c r="OVK395" s="173"/>
      <c r="OVL395" s="173"/>
      <c r="OVM395" s="173"/>
      <c r="OVN395" s="173"/>
      <c r="OVO395" s="173"/>
      <c r="OVP395" s="173"/>
      <c r="OVQ395" s="125"/>
      <c r="OVR395" s="125"/>
      <c r="OVS395" s="134"/>
      <c r="OVT395" s="135"/>
      <c r="OVU395" s="135"/>
      <c r="OVV395" s="135"/>
      <c r="OVW395" s="135"/>
      <c r="OVX395" s="173"/>
      <c r="OVY395" s="173"/>
      <c r="OVZ395" s="173"/>
      <c r="OWA395" s="173"/>
      <c r="OWB395" s="173"/>
      <c r="OWC395" s="173"/>
      <c r="OWD395" s="173"/>
      <c r="OWE395" s="173"/>
      <c r="OWF395" s="173"/>
      <c r="OWG395" s="173"/>
      <c r="OWH395" s="125"/>
      <c r="OWI395" s="125"/>
      <c r="OWJ395" s="134"/>
      <c r="OWK395" s="135"/>
      <c r="OWL395" s="135"/>
      <c r="OWM395" s="135"/>
      <c r="OWN395" s="135"/>
      <c r="OWO395" s="173"/>
      <c r="OWP395" s="173"/>
      <c r="OWQ395" s="173"/>
      <c r="OWR395" s="173"/>
      <c r="OWS395" s="173"/>
      <c r="OWT395" s="173"/>
      <c r="OWU395" s="173"/>
      <c r="OWV395" s="173"/>
      <c r="OWW395" s="173"/>
      <c r="OWX395" s="173"/>
      <c r="OWY395" s="125"/>
      <c r="OWZ395" s="125"/>
      <c r="OXA395" s="134"/>
      <c r="OXB395" s="135"/>
      <c r="OXC395" s="135"/>
      <c r="OXD395" s="135"/>
      <c r="OXE395" s="135"/>
      <c r="OXF395" s="173"/>
      <c r="OXG395" s="173"/>
      <c r="OXH395" s="173"/>
      <c r="OXI395" s="173"/>
      <c r="OXJ395" s="173"/>
      <c r="OXK395" s="173"/>
      <c r="OXL395" s="173"/>
      <c r="OXM395" s="173"/>
      <c r="OXN395" s="173"/>
      <c r="OXO395" s="173"/>
      <c r="OXP395" s="125"/>
      <c r="OXQ395" s="125"/>
      <c r="OXR395" s="134"/>
      <c r="OXS395" s="135"/>
      <c r="OXT395" s="135"/>
      <c r="OXU395" s="135"/>
      <c r="OXV395" s="135"/>
      <c r="OXW395" s="173"/>
      <c r="OXX395" s="173"/>
      <c r="OXY395" s="173"/>
      <c r="OXZ395" s="173"/>
      <c r="OYA395" s="173"/>
      <c r="OYB395" s="173"/>
      <c r="OYC395" s="173"/>
      <c r="OYD395" s="173"/>
      <c r="OYE395" s="173"/>
      <c r="OYF395" s="173"/>
      <c r="OYG395" s="125"/>
      <c r="OYH395" s="125"/>
      <c r="OYI395" s="134"/>
      <c r="OYJ395" s="135"/>
      <c r="OYK395" s="135"/>
      <c r="OYL395" s="135"/>
      <c r="OYM395" s="135"/>
      <c r="OYN395" s="173"/>
      <c r="OYO395" s="173"/>
      <c r="OYP395" s="173"/>
      <c r="OYQ395" s="173"/>
      <c r="OYR395" s="173"/>
      <c r="OYS395" s="173"/>
      <c r="OYT395" s="173"/>
      <c r="OYU395" s="173"/>
      <c r="OYV395" s="173"/>
      <c r="OYW395" s="173"/>
      <c r="OYX395" s="125"/>
      <c r="OYY395" s="125"/>
      <c r="OYZ395" s="134"/>
      <c r="OZA395" s="135"/>
      <c r="OZB395" s="135"/>
      <c r="OZC395" s="135"/>
      <c r="OZD395" s="135"/>
      <c r="OZE395" s="173"/>
      <c r="OZF395" s="173"/>
      <c r="OZG395" s="173"/>
      <c r="OZH395" s="173"/>
      <c r="OZI395" s="173"/>
      <c r="OZJ395" s="173"/>
      <c r="OZK395" s="173"/>
      <c r="OZL395" s="173"/>
      <c r="OZM395" s="173"/>
      <c r="OZN395" s="173"/>
      <c r="OZO395" s="125"/>
      <c r="OZP395" s="125"/>
      <c r="OZQ395" s="134"/>
      <c r="OZR395" s="135"/>
      <c r="OZS395" s="135"/>
      <c r="OZT395" s="135"/>
      <c r="OZU395" s="135"/>
      <c r="OZV395" s="173"/>
      <c r="OZW395" s="173"/>
      <c r="OZX395" s="173"/>
      <c r="OZY395" s="173"/>
      <c r="OZZ395" s="173"/>
      <c r="PAA395" s="173"/>
      <c r="PAB395" s="173"/>
      <c r="PAC395" s="173"/>
      <c r="PAD395" s="173"/>
      <c r="PAE395" s="173"/>
      <c r="PAF395" s="125"/>
      <c r="PAG395" s="125"/>
      <c r="PAH395" s="134"/>
      <c r="PAI395" s="135"/>
      <c r="PAJ395" s="135"/>
      <c r="PAK395" s="135"/>
      <c r="PAL395" s="135"/>
      <c r="PAM395" s="173"/>
      <c r="PAN395" s="173"/>
      <c r="PAO395" s="173"/>
      <c r="PAP395" s="173"/>
      <c r="PAQ395" s="173"/>
      <c r="PAR395" s="173"/>
      <c r="PAS395" s="173"/>
      <c r="PAT395" s="173"/>
      <c r="PAU395" s="173"/>
      <c r="PAV395" s="173"/>
      <c r="PAW395" s="125"/>
      <c r="PAX395" s="125"/>
      <c r="PAY395" s="134"/>
      <c r="PAZ395" s="135"/>
      <c r="PBA395" s="135"/>
      <c r="PBB395" s="135"/>
      <c r="PBC395" s="135"/>
      <c r="PBD395" s="173"/>
      <c r="PBE395" s="173"/>
      <c r="PBF395" s="173"/>
      <c r="PBG395" s="173"/>
      <c r="PBH395" s="173"/>
      <c r="PBI395" s="173"/>
      <c r="PBJ395" s="173"/>
      <c r="PBK395" s="173"/>
      <c r="PBL395" s="173"/>
      <c r="PBM395" s="173"/>
      <c r="PBN395" s="125"/>
      <c r="PBO395" s="125"/>
      <c r="PBP395" s="134"/>
      <c r="PBQ395" s="135"/>
      <c r="PBR395" s="135"/>
      <c r="PBS395" s="135"/>
      <c r="PBT395" s="135"/>
      <c r="PBU395" s="173"/>
      <c r="PBV395" s="173"/>
      <c r="PBW395" s="173"/>
      <c r="PBX395" s="173"/>
      <c r="PBY395" s="173"/>
      <c r="PBZ395" s="173"/>
      <c r="PCA395" s="173"/>
      <c r="PCB395" s="173"/>
      <c r="PCC395" s="173"/>
      <c r="PCD395" s="173"/>
      <c r="PCE395" s="125"/>
      <c r="PCF395" s="125"/>
      <c r="PCG395" s="134"/>
      <c r="PCH395" s="135"/>
      <c r="PCI395" s="135"/>
      <c r="PCJ395" s="135"/>
      <c r="PCK395" s="135"/>
      <c r="PCL395" s="173"/>
      <c r="PCM395" s="173"/>
      <c r="PCN395" s="173"/>
      <c r="PCO395" s="173"/>
      <c r="PCP395" s="173"/>
      <c r="PCQ395" s="173"/>
      <c r="PCR395" s="173"/>
      <c r="PCS395" s="173"/>
      <c r="PCT395" s="173"/>
      <c r="PCU395" s="173"/>
      <c r="PCV395" s="125"/>
      <c r="PCW395" s="125"/>
      <c r="PCX395" s="134"/>
      <c r="PCY395" s="135"/>
      <c r="PCZ395" s="135"/>
      <c r="PDA395" s="135"/>
      <c r="PDB395" s="135"/>
      <c r="PDC395" s="173"/>
      <c r="PDD395" s="173"/>
      <c r="PDE395" s="173"/>
      <c r="PDF395" s="173"/>
      <c r="PDG395" s="173"/>
      <c r="PDH395" s="173"/>
      <c r="PDI395" s="173"/>
      <c r="PDJ395" s="173"/>
      <c r="PDK395" s="173"/>
      <c r="PDL395" s="173"/>
      <c r="PDM395" s="125"/>
      <c r="PDN395" s="125"/>
      <c r="PDO395" s="134"/>
      <c r="PDP395" s="135"/>
      <c r="PDQ395" s="135"/>
      <c r="PDR395" s="135"/>
      <c r="PDS395" s="135"/>
      <c r="PDT395" s="173"/>
      <c r="PDU395" s="173"/>
      <c r="PDV395" s="173"/>
      <c r="PDW395" s="173"/>
      <c r="PDX395" s="173"/>
      <c r="PDY395" s="173"/>
      <c r="PDZ395" s="173"/>
      <c r="PEA395" s="173"/>
      <c r="PEB395" s="173"/>
      <c r="PEC395" s="173"/>
      <c r="PED395" s="125"/>
      <c r="PEE395" s="125"/>
      <c r="PEF395" s="134"/>
      <c r="PEG395" s="135"/>
      <c r="PEH395" s="135"/>
      <c r="PEI395" s="135"/>
      <c r="PEJ395" s="135"/>
      <c r="PEK395" s="173"/>
      <c r="PEL395" s="173"/>
      <c r="PEM395" s="173"/>
      <c r="PEN395" s="173"/>
      <c r="PEO395" s="173"/>
      <c r="PEP395" s="173"/>
      <c r="PEQ395" s="173"/>
      <c r="PER395" s="173"/>
      <c r="PES395" s="173"/>
      <c r="PET395" s="173"/>
      <c r="PEU395" s="125"/>
      <c r="PEV395" s="125"/>
      <c r="PEW395" s="134"/>
      <c r="PEX395" s="135"/>
      <c r="PEY395" s="135"/>
      <c r="PEZ395" s="135"/>
      <c r="PFA395" s="135"/>
      <c r="PFB395" s="173"/>
      <c r="PFC395" s="173"/>
      <c r="PFD395" s="173"/>
      <c r="PFE395" s="173"/>
      <c r="PFF395" s="173"/>
      <c r="PFG395" s="173"/>
      <c r="PFH395" s="173"/>
      <c r="PFI395" s="173"/>
      <c r="PFJ395" s="173"/>
      <c r="PFK395" s="173"/>
      <c r="PFL395" s="125"/>
      <c r="PFM395" s="125"/>
      <c r="PFN395" s="134"/>
      <c r="PFO395" s="135"/>
      <c r="PFP395" s="135"/>
      <c r="PFQ395" s="135"/>
      <c r="PFR395" s="135"/>
      <c r="PFS395" s="173"/>
      <c r="PFT395" s="173"/>
      <c r="PFU395" s="173"/>
      <c r="PFV395" s="173"/>
      <c r="PFW395" s="173"/>
      <c r="PFX395" s="173"/>
      <c r="PFY395" s="173"/>
      <c r="PFZ395" s="173"/>
      <c r="PGA395" s="173"/>
      <c r="PGB395" s="173"/>
      <c r="PGC395" s="125"/>
      <c r="PGD395" s="125"/>
      <c r="PGE395" s="134"/>
      <c r="PGF395" s="135"/>
      <c r="PGG395" s="135"/>
      <c r="PGH395" s="135"/>
      <c r="PGI395" s="135"/>
      <c r="PGJ395" s="173"/>
      <c r="PGK395" s="173"/>
      <c r="PGL395" s="173"/>
      <c r="PGM395" s="173"/>
      <c r="PGN395" s="173"/>
      <c r="PGO395" s="173"/>
      <c r="PGP395" s="173"/>
      <c r="PGQ395" s="173"/>
      <c r="PGR395" s="173"/>
      <c r="PGS395" s="173"/>
      <c r="PGT395" s="125"/>
      <c r="PGU395" s="125"/>
      <c r="PGV395" s="134"/>
      <c r="PGW395" s="135"/>
      <c r="PGX395" s="135"/>
      <c r="PGY395" s="135"/>
      <c r="PGZ395" s="135"/>
      <c r="PHA395" s="173"/>
      <c r="PHB395" s="173"/>
      <c r="PHC395" s="173"/>
      <c r="PHD395" s="173"/>
      <c r="PHE395" s="173"/>
      <c r="PHF395" s="173"/>
      <c r="PHG395" s="173"/>
      <c r="PHH395" s="173"/>
      <c r="PHI395" s="173"/>
      <c r="PHJ395" s="173"/>
      <c r="PHK395" s="125"/>
      <c r="PHL395" s="125"/>
      <c r="PHM395" s="134"/>
      <c r="PHN395" s="135"/>
      <c r="PHO395" s="135"/>
      <c r="PHP395" s="135"/>
      <c r="PHQ395" s="135"/>
      <c r="PHR395" s="173"/>
      <c r="PHS395" s="173"/>
      <c r="PHT395" s="173"/>
      <c r="PHU395" s="173"/>
      <c r="PHV395" s="173"/>
      <c r="PHW395" s="173"/>
      <c r="PHX395" s="173"/>
      <c r="PHY395" s="173"/>
      <c r="PHZ395" s="173"/>
      <c r="PIA395" s="173"/>
      <c r="PIB395" s="125"/>
      <c r="PIC395" s="125"/>
      <c r="PID395" s="134"/>
      <c r="PIE395" s="135"/>
      <c r="PIF395" s="135"/>
      <c r="PIG395" s="135"/>
      <c r="PIH395" s="135"/>
      <c r="PII395" s="173"/>
      <c r="PIJ395" s="173"/>
      <c r="PIK395" s="173"/>
      <c r="PIL395" s="173"/>
      <c r="PIM395" s="173"/>
      <c r="PIN395" s="173"/>
      <c r="PIO395" s="173"/>
      <c r="PIP395" s="173"/>
      <c r="PIQ395" s="173"/>
      <c r="PIR395" s="173"/>
      <c r="PIS395" s="125"/>
      <c r="PIT395" s="125"/>
      <c r="PIU395" s="134"/>
      <c r="PIV395" s="135"/>
      <c r="PIW395" s="135"/>
      <c r="PIX395" s="135"/>
      <c r="PIY395" s="135"/>
      <c r="PIZ395" s="173"/>
      <c r="PJA395" s="173"/>
      <c r="PJB395" s="173"/>
      <c r="PJC395" s="173"/>
      <c r="PJD395" s="173"/>
      <c r="PJE395" s="173"/>
      <c r="PJF395" s="173"/>
      <c r="PJG395" s="173"/>
      <c r="PJH395" s="173"/>
      <c r="PJI395" s="173"/>
      <c r="PJJ395" s="125"/>
      <c r="PJK395" s="125"/>
      <c r="PJL395" s="134"/>
      <c r="PJM395" s="135"/>
      <c r="PJN395" s="135"/>
      <c r="PJO395" s="135"/>
      <c r="PJP395" s="135"/>
      <c r="PJQ395" s="173"/>
      <c r="PJR395" s="173"/>
      <c r="PJS395" s="173"/>
      <c r="PJT395" s="173"/>
      <c r="PJU395" s="173"/>
      <c r="PJV395" s="173"/>
      <c r="PJW395" s="173"/>
      <c r="PJX395" s="173"/>
      <c r="PJY395" s="173"/>
      <c r="PJZ395" s="173"/>
      <c r="PKA395" s="125"/>
      <c r="PKB395" s="125"/>
      <c r="PKC395" s="134"/>
      <c r="PKD395" s="135"/>
      <c r="PKE395" s="135"/>
      <c r="PKF395" s="135"/>
      <c r="PKG395" s="135"/>
      <c r="PKH395" s="173"/>
      <c r="PKI395" s="173"/>
      <c r="PKJ395" s="173"/>
      <c r="PKK395" s="173"/>
      <c r="PKL395" s="173"/>
      <c r="PKM395" s="173"/>
      <c r="PKN395" s="173"/>
      <c r="PKO395" s="173"/>
      <c r="PKP395" s="173"/>
      <c r="PKQ395" s="173"/>
      <c r="PKR395" s="125"/>
      <c r="PKS395" s="125"/>
      <c r="PKT395" s="134"/>
      <c r="PKU395" s="135"/>
      <c r="PKV395" s="135"/>
      <c r="PKW395" s="135"/>
      <c r="PKX395" s="135"/>
      <c r="PKY395" s="173"/>
      <c r="PKZ395" s="173"/>
      <c r="PLA395" s="173"/>
      <c r="PLB395" s="173"/>
      <c r="PLC395" s="173"/>
      <c r="PLD395" s="173"/>
      <c r="PLE395" s="173"/>
      <c r="PLF395" s="173"/>
      <c r="PLG395" s="173"/>
      <c r="PLH395" s="173"/>
      <c r="PLI395" s="125"/>
      <c r="PLJ395" s="125"/>
      <c r="PLK395" s="134"/>
      <c r="PLL395" s="135"/>
      <c r="PLM395" s="135"/>
      <c r="PLN395" s="135"/>
      <c r="PLO395" s="135"/>
      <c r="PLP395" s="173"/>
      <c r="PLQ395" s="173"/>
      <c r="PLR395" s="173"/>
      <c r="PLS395" s="173"/>
      <c r="PLT395" s="173"/>
      <c r="PLU395" s="173"/>
      <c r="PLV395" s="173"/>
      <c r="PLW395" s="173"/>
      <c r="PLX395" s="173"/>
      <c r="PLY395" s="173"/>
      <c r="PLZ395" s="125"/>
      <c r="PMA395" s="125"/>
      <c r="PMB395" s="134"/>
      <c r="PMC395" s="135"/>
      <c r="PMD395" s="135"/>
      <c r="PME395" s="135"/>
      <c r="PMF395" s="135"/>
      <c r="PMG395" s="173"/>
      <c r="PMH395" s="173"/>
      <c r="PMI395" s="173"/>
      <c r="PMJ395" s="173"/>
      <c r="PMK395" s="173"/>
      <c r="PML395" s="173"/>
      <c r="PMM395" s="173"/>
      <c r="PMN395" s="173"/>
      <c r="PMO395" s="173"/>
      <c r="PMP395" s="173"/>
      <c r="PMQ395" s="125"/>
      <c r="PMR395" s="125"/>
      <c r="PMS395" s="134"/>
      <c r="PMT395" s="135"/>
      <c r="PMU395" s="135"/>
      <c r="PMV395" s="135"/>
      <c r="PMW395" s="135"/>
      <c r="PMX395" s="173"/>
      <c r="PMY395" s="173"/>
      <c r="PMZ395" s="173"/>
      <c r="PNA395" s="173"/>
      <c r="PNB395" s="173"/>
      <c r="PNC395" s="173"/>
      <c r="PND395" s="173"/>
      <c r="PNE395" s="173"/>
      <c r="PNF395" s="173"/>
      <c r="PNG395" s="173"/>
      <c r="PNH395" s="125"/>
      <c r="PNI395" s="125"/>
      <c r="PNJ395" s="134"/>
      <c r="PNK395" s="135"/>
      <c r="PNL395" s="135"/>
      <c r="PNM395" s="135"/>
      <c r="PNN395" s="135"/>
      <c r="PNO395" s="173"/>
      <c r="PNP395" s="173"/>
      <c r="PNQ395" s="173"/>
      <c r="PNR395" s="173"/>
      <c r="PNS395" s="173"/>
      <c r="PNT395" s="173"/>
      <c r="PNU395" s="173"/>
      <c r="PNV395" s="173"/>
      <c r="PNW395" s="173"/>
      <c r="PNX395" s="173"/>
      <c r="PNY395" s="125"/>
      <c r="PNZ395" s="125"/>
      <c r="POA395" s="134"/>
      <c r="POB395" s="135"/>
      <c r="POC395" s="135"/>
      <c r="POD395" s="135"/>
      <c r="POE395" s="135"/>
      <c r="POF395" s="173"/>
      <c r="POG395" s="173"/>
      <c r="POH395" s="173"/>
      <c r="POI395" s="173"/>
      <c r="POJ395" s="173"/>
      <c r="POK395" s="173"/>
      <c r="POL395" s="173"/>
      <c r="POM395" s="173"/>
      <c r="PON395" s="173"/>
      <c r="POO395" s="173"/>
      <c r="POP395" s="125"/>
      <c r="POQ395" s="125"/>
      <c r="POR395" s="134"/>
      <c r="POS395" s="135"/>
      <c r="POT395" s="135"/>
      <c r="POU395" s="135"/>
      <c r="POV395" s="135"/>
      <c r="POW395" s="173"/>
      <c r="POX395" s="173"/>
      <c r="POY395" s="173"/>
      <c r="POZ395" s="173"/>
      <c r="PPA395" s="173"/>
      <c r="PPB395" s="173"/>
      <c r="PPC395" s="173"/>
      <c r="PPD395" s="173"/>
      <c r="PPE395" s="173"/>
      <c r="PPF395" s="173"/>
      <c r="PPG395" s="125"/>
      <c r="PPH395" s="125"/>
      <c r="PPI395" s="134"/>
      <c r="PPJ395" s="135"/>
      <c r="PPK395" s="135"/>
      <c r="PPL395" s="135"/>
      <c r="PPM395" s="135"/>
      <c r="PPN395" s="173"/>
      <c r="PPO395" s="173"/>
      <c r="PPP395" s="173"/>
      <c r="PPQ395" s="173"/>
      <c r="PPR395" s="173"/>
      <c r="PPS395" s="173"/>
      <c r="PPT395" s="173"/>
      <c r="PPU395" s="173"/>
      <c r="PPV395" s="173"/>
      <c r="PPW395" s="173"/>
      <c r="PPX395" s="125"/>
      <c r="PPY395" s="125"/>
      <c r="PPZ395" s="134"/>
      <c r="PQA395" s="135"/>
      <c r="PQB395" s="135"/>
      <c r="PQC395" s="135"/>
      <c r="PQD395" s="135"/>
      <c r="PQE395" s="173"/>
      <c r="PQF395" s="173"/>
      <c r="PQG395" s="173"/>
      <c r="PQH395" s="173"/>
      <c r="PQI395" s="173"/>
      <c r="PQJ395" s="173"/>
      <c r="PQK395" s="173"/>
      <c r="PQL395" s="173"/>
      <c r="PQM395" s="173"/>
      <c r="PQN395" s="173"/>
      <c r="PQO395" s="125"/>
      <c r="PQP395" s="125"/>
      <c r="PQQ395" s="134"/>
      <c r="PQR395" s="135"/>
      <c r="PQS395" s="135"/>
      <c r="PQT395" s="135"/>
      <c r="PQU395" s="135"/>
      <c r="PQV395" s="173"/>
      <c r="PQW395" s="173"/>
      <c r="PQX395" s="173"/>
      <c r="PQY395" s="173"/>
      <c r="PQZ395" s="173"/>
      <c r="PRA395" s="173"/>
      <c r="PRB395" s="173"/>
      <c r="PRC395" s="173"/>
      <c r="PRD395" s="173"/>
      <c r="PRE395" s="173"/>
      <c r="PRF395" s="125"/>
      <c r="PRG395" s="125"/>
      <c r="PRH395" s="134"/>
      <c r="PRI395" s="135"/>
      <c r="PRJ395" s="135"/>
      <c r="PRK395" s="135"/>
      <c r="PRL395" s="135"/>
      <c r="PRM395" s="173"/>
      <c r="PRN395" s="173"/>
      <c r="PRO395" s="173"/>
      <c r="PRP395" s="173"/>
      <c r="PRQ395" s="173"/>
      <c r="PRR395" s="173"/>
      <c r="PRS395" s="173"/>
      <c r="PRT395" s="173"/>
      <c r="PRU395" s="173"/>
      <c r="PRV395" s="173"/>
      <c r="PRW395" s="125"/>
      <c r="PRX395" s="125"/>
      <c r="PRY395" s="134"/>
      <c r="PRZ395" s="135"/>
      <c r="PSA395" s="135"/>
      <c r="PSB395" s="135"/>
      <c r="PSC395" s="135"/>
      <c r="PSD395" s="173"/>
      <c r="PSE395" s="173"/>
      <c r="PSF395" s="173"/>
      <c r="PSG395" s="173"/>
      <c r="PSH395" s="173"/>
      <c r="PSI395" s="173"/>
      <c r="PSJ395" s="173"/>
      <c r="PSK395" s="173"/>
      <c r="PSL395" s="173"/>
      <c r="PSM395" s="173"/>
      <c r="PSN395" s="125"/>
      <c r="PSO395" s="125"/>
      <c r="PSP395" s="134"/>
      <c r="PSQ395" s="135"/>
      <c r="PSR395" s="135"/>
      <c r="PSS395" s="135"/>
      <c r="PST395" s="135"/>
      <c r="PSU395" s="173"/>
      <c r="PSV395" s="173"/>
      <c r="PSW395" s="173"/>
      <c r="PSX395" s="173"/>
      <c r="PSY395" s="173"/>
      <c r="PSZ395" s="173"/>
      <c r="PTA395" s="173"/>
      <c r="PTB395" s="173"/>
      <c r="PTC395" s="173"/>
      <c r="PTD395" s="173"/>
      <c r="PTE395" s="125"/>
      <c r="PTF395" s="125"/>
      <c r="PTG395" s="134"/>
      <c r="PTH395" s="135"/>
      <c r="PTI395" s="135"/>
      <c r="PTJ395" s="135"/>
      <c r="PTK395" s="135"/>
      <c r="PTL395" s="173"/>
      <c r="PTM395" s="173"/>
      <c r="PTN395" s="173"/>
      <c r="PTO395" s="173"/>
      <c r="PTP395" s="173"/>
      <c r="PTQ395" s="173"/>
      <c r="PTR395" s="173"/>
      <c r="PTS395" s="173"/>
      <c r="PTT395" s="173"/>
      <c r="PTU395" s="173"/>
      <c r="PTV395" s="125"/>
      <c r="PTW395" s="125"/>
      <c r="PTX395" s="134"/>
      <c r="PTY395" s="135"/>
      <c r="PTZ395" s="135"/>
      <c r="PUA395" s="135"/>
      <c r="PUB395" s="135"/>
      <c r="PUC395" s="173"/>
      <c r="PUD395" s="173"/>
      <c r="PUE395" s="173"/>
      <c r="PUF395" s="173"/>
      <c r="PUG395" s="173"/>
      <c r="PUH395" s="173"/>
      <c r="PUI395" s="173"/>
      <c r="PUJ395" s="173"/>
      <c r="PUK395" s="173"/>
      <c r="PUL395" s="173"/>
      <c r="PUM395" s="125"/>
      <c r="PUN395" s="125"/>
      <c r="PUO395" s="134"/>
      <c r="PUP395" s="135"/>
      <c r="PUQ395" s="135"/>
      <c r="PUR395" s="135"/>
      <c r="PUS395" s="135"/>
      <c r="PUT395" s="173"/>
      <c r="PUU395" s="173"/>
      <c r="PUV395" s="173"/>
      <c r="PUW395" s="173"/>
      <c r="PUX395" s="173"/>
      <c r="PUY395" s="173"/>
      <c r="PUZ395" s="173"/>
      <c r="PVA395" s="173"/>
      <c r="PVB395" s="173"/>
      <c r="PVC395" s="173"/>
      <c r="PVD395" s="125"/>
      <c r="PVE395" s="125"/>
      <c r="PVF395" s="134"/>
      <c r="PVG395" s="135"/>
      <c r="PVH395" s="135"/>
      <c r="PVI395" s="135"/>
      <c r="PVJ395" s="135"/>
      <c r="PVK395" s="173"/>
      <c r="PVL395" s="173"/>
      <c r="PVM395" s="173"/>
      <c r="PVN395" s="173"/>
      <c r="PVO395" s="173"/>
      <c r="PVP395" s="173"/>
      <c r="PVQ395" s="173"/>
      <c r="PVR395" s="173"/>
      <c r="PVS395" s="173"/>
      <c r="PVT395" s="173"/>
      <c r="PVU395" s="125"/>
      <c r="PVV395" s="125"/>
      <c r="PVW395" s="134"/>
      <c r="PVX395" s="135"/>
      <c r="PVY395" s="135"/>
      <c r="PVZ395" s="135"/>
      <c r="PWA395" s="135"/>
      <c r="PWB395" s="173"/>
      <c r="PWC395" s="173"/>
      <c r="PWD395" s="173"/>
      <c r="PWE395" s="173"/>
      <c r="PWF395" s="173"/>
      <c r="PWG395" s="173"/>
      <c r="PWH395" s="173"/>
      <c r="PWI395" s="173"/>
      <c r="PWJ395" s="173"/>
      <c r="PWK395" s="173"/>
      <c r="PWL395" s="125"/>
      <c r="PWM395" s="125"/>
      <c r="PWN395" s="134"/>
      <c r="PWO395" s="135"/>
      <c r="PWP395" s="135"/>
      <c r="PWQ395" s="135"/>
      <c r="PWR395" s="135"/>
      <c r="PWS395" s="173"/>
      <c r="PWT395" s="173"/>
      <c r="PWU395" s="173"/>
      <c r="PWV395" s="173"/>
      <c r="PWW395" s="173"/>
      <c r="PWX395" s="173"/>
      <c r="PWY395" s="173"/>
      <c r="PWZ395" s="173"/>
      <c r="PXA395" s="173"/>
      <c r="PXB395" s="173"/>
      <c r="PXC395" s="125"/>
      <c r="PXD395" s="125"/>
      <c r="PXE395" s="134"/>
      <c r="PXF395" s="135"/>
      <c r="PXG395" s="135"/>
      <c r="PXH395" s="135"/>
      <c r="PXI395" s="135"/>
      <c r="PXJ395" s="173"/>
      <c r="PXK395" s="173"/>
      <c r="PXL395" s="173"/>
      <c r="PXM395" s="173"/>
      <c r="PXN395" s="173"/>
      <c r="PXO395" s="173"/>
      <c r="PXP395" s="173"/>
      <c r="PXQ395" s="173"/>
      <c r="PXR395" s="173"/>
      <c r="PXS395" s="173"/>
      <c r="PXT395" s="125"/>
      <c r="PXU395" s="125"/>
      <c r="PXV395" s="134"/>
      <c r="PXW395" s="135"/>
      <c r="PXX395" s="135"/>
      <c r="PXY395" s="135"/>
      <c r="PXZ395" s="135"/>
      <c r="PYA395" s="173"/>
      <c r="PYB395" s="173"/>
      <c r="PYC395" s="173"/>
      <c r="PYD395" s="173"/>
      <c r="PYE395" s="173"/>
      <c r="PYF395" s="173"/>
      <c r="PYG395" s="173"/>
      <c r="PYH395" s="173"/>
      <c r="PYI395" s="173"/>
      <c r="PYJ395" s="173"/>
      <c r="PYK395" s="125"/>
      <c r="PYL395" s="125"/>
      <c r="PYM395" s="134"/>
      <c r="PYN395" s="135"/>
      <c r="PYO395" s="135"/>
      <c r="PYP395" s="135"/>
      <c r="PYQ395" s="135"/>
      <c r="PYR395" s="173"/>
      <c r="PYS395" s="173"/>
      <c r="PYT395" s="173"/>
      <c r="PYU395" s="173"/>
      <c r="PYV395" s="173"/>
      <c r="PYW395" s="173"/>
      <c r="PYX395" s="173"/>
      <c r="PYY395" s="173"/>
      <c r="PYZ395" s="173"/>
      <c r="PZA395" s="173"/>
      <c r="PZB395" s="125"/>
      <c r="PZC395" s="125"/>
      <c r="PZD395" s="134"/>
      <c r="PZE395" s="135"/>
      <c r="PZF395" s="135"/>
      <c r="PZG395" s="135"/>
      <c r="PZH395" s="135"/>
      <c r="PZI395" s="173"/>
      <c r="PZJ395" s="173"/>
      <c r="PZK395" s="173"/>
      <c r="PZL395" s="173"/>
      <c r="PZM395" s="173"/>
      <c r="PZN395" s="173"/>
      <c r="PZO395" s="173"/>
      <c r="PZP395" s="173"/>
      <c r="PZQ395" s="173"/>
      <c r="PZR395" s="173"/>
      <c r="PZS395" s="125"/>
      <c r="PZT395" s="125"/>
      <c r="PZU395" s="134"/>
      <c r="PZV395" s="135"/>
      <c r="PZW395" s="135"/>
      <c r="PZX395" s="135"/>
      <c r="PZY395" s="135"/>
      <c r="PZZ395" s="173"/>
      <c r="QAA395" s="173"/>
      <c r="QAB395" s="173"/>
      <c r="QAC395" s="173"/>
      <c r="QAD395" s="173"/>
      <c r="QAE395" s="173"/>
      <c r="QAF395" s="173"/>
      <c r="QAG395" s="173"/>
      <c r="QAH395" s="173"/>
      <c r="QAI395" s="173"/>
      <c r="QAJ395" s="125"/>
      <c r="QAK395" s="125"/>
      <c r="QAL395" s="134"/>
      <c r="QAM395" s="135"/>
      <c r="QAN395" s="135"/>
      <c r="QAO395" s="135"/>
      <c r="QAP395" s="135"/>
      <c r="QAQ395" s="173"/>
      <c r="QAR395" s="173"/>
      <c r="QAS395" s="173"/>
      <c r="QAT395" s="173"/>
      <c r="QAU395" s="173"/>
      <c r="QAV395" s="173"/>
      <c r="QAW395" s="173"/>
      <c r="QAX395" s="173"/>
      <c r="QAY395" s="173"/>
      <c r="QAZ395" s="173"/>
      <c r="QBA395" s="125"/>
      <c r="QBB395" s="125"/>
      <c r="QBC395" s="134"/>
      <c r="QBD395" s="135"/>
      <c r="QBE395" s="135"/>
      <c r="QBF395" s="135"/>
      <c r="QBG395" s="135"/>
      <c r="QBH395" s="173"/>
      <c r="QBI395" s="173"/>
      <c r="QBJ395" s="173"/>
      <c r="QBK395" s="173"/>
      <c r="QBL395" s="173"/>
      <c r="QBM395" s="173"/>
      <c r="QBN395" s="173"/>
      <c r="QBO395" s="173"/>
      <c r="QBP395" s="173"/>
      <c r="QBQ395" s="173"/>
      <c r="QBR395" s="125"/>
      <c r="QBS395" s="125"/>
      <c r="QBT395" s="134"/>
      <c r="QBU395" s="135"/>
      <c r="QBV395" s="135"/>
      <c r="QBW395" s="135"/>
      <c r="QBX395" s="135"/>
      <c r="QBY395" s="173"/>
      <c r="QBZ395" s="173"/>
      <c r="QCA395" s="173"/>
      <c r="QCB395" s="173"/>
      <c r="QCC395" s="173"/>
      <c r="QCD395" s="173"/>
      <c r="QCE395" s="173"/>
      <c r="QCF395" s="173"/>
      <c r="QCG395" s="173"/>
      <c r="QCH395" s="173"/>
      <c r="QCI395" s="125"/>
      <c r="QCJ395" s="125"/>
      <c r="QCK395" s="134"/>
      <c r="QCL395" s="135"/>
      <c r="QCM395" s="135"/>
      <c r="QCN395" s="135"/>
      <c r="QCO395" s="135"/>
      <c r="QCP395" s="173"/>
      <c r="QCQ395" s="173"/>
      <c r="QCR395" s="173"/>
      <c r="QCS395" s="173"/>
      <c r="QCT395" s="173"/>
      <c r="QCU395" s="173"/>
      <c r="QCV395" s="173"/>
      <c r="QCW395" s="173"/>
      <c r="QCX395" s="173"/>
      <c r="QCY395" s="173"/>
      <c r="QCZ395" s="125"/>
      <c r="QDA395" s="125"/>
      <c r="QDB395" s="134"/>
      <c r="QDC395" s="135"/>
      <c r="QDD395" s="135"/>
      <c r="QDE395" s="135"/>
      <c r="QDF395" s="135"/>
      <c r="QDG395" s="173"/>
      <c r="QDH395" s="173"/>
      <c r="QDI395" s="173"/>
      <c r="QDJ395" s="173"/>
      <c r="QDK395" s="173"/>
      <c r="QDL395" s="173"/>
      <c r="QDM395" s="173"/>
      <c r="QDN395" s="173"/>
      <c r="QDO395" s="173"/>
      <c r="QDP395" s="173"/>
      <c r="QDQ395" s="125"/>
      <c r="QDR395" s="125"/>
      <c r="QDS395" s="134"/>
      <c r="QDT395" s="135"/>
      <c r="QDU395" s="135"/>
      <c r="QDV395" s="135"/>
      <c r="QDW395" s="135"/>
      <c r="QDX395" s="173"/>
      <c r="QDY395" s="173"/>
      <c r="QDZ395" s="173"/>
      <c r="QEA395" s="173"/>
      <c r="QEB395" s="173"/>
      <c r="QEC395" s="173"/>
      <c r="QED395" s="173"/>
      <c r="QEE395" s="173"/>
      <c r="QEF395" s="173"/>
      <c r="QEG395" s="173"/>
      <c r="QEH395" s="125"/>
      <c r="QEI395" s="125"/>
      <c r="QEJ395" s="134"/>
      <c r="QEK395" s="135"/>
      <c r="QEL395" s="135"/>
      <c r="QEM395" s="135"/>
      <c r="QEN395" s="135"/>
      <c r="QEO395" s="173"/>
      <c r="QEP395" s="173"/>
      <c r="QEQ395" s="173"/>
      <c r="QER395" s="173"/>
      <c r="QES395" s="173"/>
      <c r="QET395" s="173"/>
      <c r="QEU395" s="173"/>
      <c r="QEV395" s="173"/>
      <c r="QEW395" s="173"/>
      <c r="QEX395" s="173"/>
      <c r="QEY395" s="125"/>
      <c r="QEZ395" s="125"/>
      <c r="QFA395" s="134"/>
      <c r="QFB395" s="135"/>
      <c r="QFC395" s="135"/>
      <c r="QFD395" s="135"/>
      <c r="QFE395" s="135"/>
      <c r="QFF395" s="173"/>
      <c r="QFG395" s="173"/>
      <c r="QFH395" s="173"/>
      <c r="QFI395" s="173"/>
      <c r="QFJ395" s="173"/>
      <c r="QFK395" s="173"/>
      <c r="QFL395" s="173"/>
      <c r="QFM395" s="173"/>
      <c r="QFN395" s="173"/>
      <c r="QFO395" s="173"/>
      <c r="QFP395" s="125"/>
      <c r="QFQ395" s="125"/>
      <c r="QFR395" s="134"/>
      <c r="QFS395" s="135"/>
      <c r="QFT395" s="135"/>
      <c r="QFU395" s="135"/>
      <c r="QFV395" s="135"/>
      <c r="QFW395" s="173"/>
      <c r="QFX395" s="173"/>
      <c r="QFY395" s="173"/>
      <c r="QFZ395" s="173"/>
      <c r="QGA395" s="173"/>
      <c r="QGB395" s="173"/>
      <c r="QGC395" s="173"/>
      <c r="QGD395" s="173"/>
      <c r="QGE395" s="173"/>
      <c r="QGF395" s="173"/>
      <c r="QGG395" s="125"/>
      <c r="QGH395" s="125"/>
      <c r="QGI395" s="134"/>
      <c r="QGJ395" s="135"/>
      <c r="QGK395" s="135"/>
      <c r="QGL395" s="135"/>
      <c r="QGM395" s="135"/>
      <c r="QGN395" s="173"/>
      <c r="QGO395" s="173"/>
      <c r="QGP395" s="173"/>
      <c r="QGQ395" s="173"/>
      <c r="QGR395" s="173"/>
      <c r="QGS395" s="173"/>
      <c r="QGT395" s="173"/>
      <c r="QGU395" s="173"/>
      <c r="QGV395" s="173"/>
      <c r="QGW395" s="173"/>
      <c r="QGX395" s="125"/>
      <c r="QGY395" s="125"/>
      <c r="QGZ395" s="134"/>
      <c r="QHA395" s="135"/>
      <c r="QHB395" s="135"/>
      <c r="QHC395" s="135"/>
      <c r="QHD395" s="135"/>
      <c r="QHE395" s="173"/>
      <c r="QHF395" s="173"/>
      <c r="QHG395" s="173"/>
      <c r="QHH395" s="173"/>
      <c r="QHI395" s="173"/>
      <c r="QHJ395" s="173"/>
      <c r="QHK395" s="173"/>
      <c r="QHL395" s="173"/>
      <c r="QHM395" s="173"/>
      <c r="QHN395" s="173"/>
      <c r="QHO395" s="125"/>
      <c r="QHP395" s="125"/>
      <c r="QHQ395" s="134"/>
      <c r="QHR395" s="135"/>
      <c r="QHS395" s="135"/>
      <c r="QHT395" s="135"/>
      <c r="QHU395" s="135"/>
      <c r="QHV395" s="173"/>
      <c r="QHW395" s="173"/>
      <c r="QHX395" s="173"/>
      <c r="QHY395" s="173"/>
      <c r="QHZ395" s="173"/>
      <c r="QIA395" s="173"/>
      <c r="QIB395" s="173"/>
      <c r="QIC395" s="173"/>
      <c r="QID395" s="173"/>
      <c r="QIE395" s="173"/>
      <c r="QIF395" s="125"/>
      <c r="QIG395" s="125"/>
      <c r="QIH395" s="134"/>
      <c r="QII395" s="135"/>
      <c r="QIJ395" s="135"/>
      <c r="QIK395" s="135"/>
      <c r="QIL395" s="135"/>
      <c r="QIM395" s="173"/>
      <c r="QIN395" s="173"/>
      <c r="QIO395" s="173"/>
      <c r="QIP395" s="173"/>
      <c r="QIQ395" s="173"/>
      <c r="QIR395" s="173"/>
      <c r="QIS395" s="173"/>
      <c r="QIT395" s="173"/>
      <c r="QIU395" s="173"/>
      <c r="QIV395" s="173"/>
      <c r="QIW395" s="125"/>
      <c r="QIX395" s="125"/>
      <c r="QIY395" s="134"/>
      <c r="QIZ395" s="135"/>
      <c r="QJA395" s="135"/>
      <c r="QJB395" s="135"/>
      <c r="QJC395" s="135"/>
      <c r="QJD395" s="173"/>
      <c r="QJE395" s="173"/>
      <c r="QJF395" s="173"/>
      <c r="QJG395" s="173"/>
      <c r="QJH395" s="173"/>
      <c r="QJI395" s="173"/>
      <c r="QJJ395" s="173"/>
      <c r="QJK395" s="173"/>
      <c r="QJL395" s="173"/>
      <c r="QJM395" s="173"/>
      <c r="QJN395" s="125"/>
      <c r="QJO395" s="125"/>
      <c r="QJP395" s="134"/>
      <c r="QJQ395" s="135"/>
      <c r="QJR395" s="135"/>
      <c r="QJS395" s="135"/>
      <c r="QJT395" s="135"/>
      <c r="QJU395" s="173"/>
      <c r="QJV395" s="173"/>
      <c r="QJW395" s="173"/>
      <c r="QJX395" s="173"/>
      <c r="QJY395" s="173"/>
      <c r="QJZ395" s="173"/>
      <c r="QKA395" s="173"/>
      <c r="QKB395" s="173"/>
      <c r="QKC395" s="173"/>
      <c r="QKD395" s="173"/>
      <c r="QKE395" s="125"/>
      <c r="QKF395" s="125"/>
      <c r="QKG395" s="134"/>
      <c r="QKH395" s="135"/>
      <c r="QKI395" s="135"/>
      <c r="QKJ395" s="135"/>
      <c r="QKK395" s="135"/>
      <c r="QKL395" s="173"/>
      <c r="QKM395" s="173"/>
      <c r="QKN395" s="173"/>
      <c r="QKO395" s="173"/>
      <c r="QKP395" s="173"/>
      <c r="QKQ395" s="173"/>
      <c r="QKR395" s="173"/>
      <c r="QKS395" s="173"/>
      <c r="QKT395" s="173"/>
      <c r="QKU395" s="173"/>
      <c r="QKV395" s="125"/>
      <c r="QKW395" s="125"/>
      <c r="QKX395" s="134"/>
      <c r="QKY395" s="135"/>
      <c r="QKZ395" s="135"/>
      <c r="QLA395" s="135"/>
      <c r="QLB395" s="135"/>
      <c r="QLC395" s="173"/>
      <c r="QLD395" s="173"/>
      <c r="QLE395" s="173"/>
      <c r="QLF395" s="173"/>
      <c r="QLG395" s="173"/>
      <c r="QLH395" s="173"/>
      <c r="QLI395" s="173"/>
      <c r="QLJ395" s="173"/>
      <c r="QLK395" s="173"/>
      <c r="QLL395" s="173"/>
      <c r="QLM395" s="125"/>
      <c r="QLN395" s="125"/>
      <c r="QLO395" s="134"/>
      <c r="QLP395" s="135"/>
      <c r="QLQ395" s="135"/>
      <c r="QLR395" s="135"/>
      <c r="QLS395" s="135"/>
      <c r="QLT395" s="173"/>
      <c r="QLU395" s="173"/>
      <c r="QLV395" s="173"/>
      <c r="QLW395" s="173"/>
      <c r="QLX395" s="173"/>
      <c r="QLY395" s="173"/>
      <c r="QLZ395" s="173"/>
      <c r="QMA395" s="173"/>
      <c r="QMB395" s="173"/>
      <c r="QMC395" s="173"/>
      <c r="QMD395" s="125"/>
      <c r="QME395" s="125"/>
      <c r="QMF395" s="134"/>
      <c r="QMG395" s="135"/>
      <c r="QMH395" s="135"/>
      <c r="QMI395" s="135"/>
      <c r="QMJ395" s="135"/>
      <c r="QMK395" s="173"/>
      <c r="QML395" s="173"/>
      <c r="QMM395" s="173"/>
      <c r="QMN395" s="173"/>
      <c r="QMO395" s="173"/>
      <c r="QMP395" s="173"/>
      <c r="QMQ395" s="173"/>
      <c r="QMR395" s="173"/>
      <c r="QMS395" s="173"/>
      <c r="QMT395" s="173"/>
      <c r="QMU395" s="125"/>
      <c r="QMV395" s="125"/>
      <c r="QMW395" s="134"/>
      <c r="QMX395" s="135"/>
      <c r="QMY395" s="135"/>
      <c r="QMZ395" s="135"/>
      <c r="QNA395" s="135"/>
      <c r="QNB395" s="173"/>
      <c r="QNC395" s="173"/>
      <c r="QND395" s="173"/>
      <c r="QNE395" s="173"/>
      <c r="QNF395" s="173"/>
      <c r="QNG395" s="173"/>
      <c r="QNH395" s="173"/>
      <c r="QNI395" s="173"/>
      <c r="QNJ395" s="173"/>
      <c r="QNK395" s="173"/>
      <c r="QNL395" s="125"/>
      <c r="QNM395" s="125"/>
      <c r="QNN395" s="134"/>
      <c r="QNO395" s="135"/>
      <c r="QNP395" s="135"/>
      <c r="QNQ395" s="135"/>
      <c r="QNR395" s="135"/>
      <c r="QNS395" s="173"/>
      <c r="QNT395" s="173"/>
      <c r="QNU395" s="173"/>
      <c r="QNV395" s="173"/>
      <c r="QNW395" s="173"/>
      <c r="QNX395" s="173"/>
      <c r="QNY395" s="173"/>
      <c r="QNZ395" s="173"/>
      <c r="QOA395" s="173"/>
      <c r="QOB395" s="173"/>
      <c r="QOC395" s="125"/>
      <c r="QOD395" s="125"/>
      <c r="QOE395" s="134"/>
      <c r="QOF395" s="135"/>
      <c r="QOG395" s="135"/>
      <c r="QOH395" s="135"/>
      <c r="QOI395" s="135"/>
      <c r="QOJ395" s="173"/>
      <c r="QOK395" s="173"/>
      <c r="QOL395" s="173"/>
      <c r="QOM395" s="173"/>
      <c r="QON395" s="173"/>
      <c r="QOO395" s="173"/>
      <c r="QOP395" s="173"/>
      <c r="QOQ395" s="173"/>
      <c r="QOR395" s="173"/>
      <c r="QOS395" s="173"/>
      <c r="QOT395" s="125"/>
      <c r="QOU395" s="125"/>
      <c r="QOV395" s="134"/>
      <c r="QOW395" s="135"/>
      <c r="QOX395" s="135"/>
      <c r="QOY395" s="135"/>
      <c r="QOZ395" s="135"/>
      <c r="QPA395" s="173"/>
      <c r="QPB395" s="173"/>
      <c r="QPC395" s="173"/>
      <c r="QPD395" s="173"/>
      <c r="QPE395" s="173"/>
      <c r="QPF395" s="173"/>
      <c r="QPG395" s="173"/>
      <c r="QPH395" s="173"/>
      <c r="QPI395" s="173"/>
      <c r="QPJ395" s="173"/>
      <c r="QPK395" s="125"/>
      <c r="QPL395" s="125"/>
      <c r="QPM395" s="134"/>
      <c r="QPN395" s="135"/>
      <c r="QPO395" s="135"/>
      <c r="QPP395" s="135"/>
      <c r="QPQ395" s="135"/>
      <c r="QPR395" s="173"/>
      <c r="QPS395" s="173"/>
      <c r="QPT395" s="173"/>
      <c r="QPU395" s="173"/>
      <c r="QPV395" s="173"/>
      <c r="QPW395" s="173"/>
      <c r="QPX395" s="173"/>
      <c r="QPY395" s="173"/>
      <c r="QPZ395" s="173"/>
      <c r="QQA395" s="173"/>
      <c r="QQB395" s="125"/>
      <c r="QQC395" s="125"/>
      <c r="QQD395" s="134"/>
      <c r="QQE395" s="135"/>
      <c r="QQF395" s="135"/>
      <c r="QQG395" s="135"/>
      <c r="QQH395" s="135"/>
      <c r="QQI395" s="173"/>
      <c r="QQJ395" s="173"/>
      <c r="QQK395" s="173"/>
      <c r="QQL395" s="173"/>
      <c r="QQM395" s="173"/>
      <c r="QQN395" s="173"/>
      <c r="QQO395" s="173"/>
      <c r="QQP395" s="173"/>
      <c r="QQQ395" s="173"/>
      <c r="QQR395" s="173"/>
      <c r="QQS395" s="125"/>
      <c r="QQT395" s="125"/>
      <c r="QQU395" s="134"/>
      <c r="QQV395" s="135"/>
      <c r="QQW395" s="135"/>
      <c r="QQX395" s="135"/>
      <c r="QQY395" s="135"/>
      <c r="QQZ395" s="173"/>
      <c r="QRA395" s="173"/>
      <c r="QRB395" s="173"/>
      <c r="QRC395" s="173"/>
      <c r="QRD395" s="173"/>
      <c r="QRE395" s="173"/>
      <c r="QRF395" s="173"/>
      <c r="QRG395" s="173"/>
      <c r="QRH395" s="173"/>
      <c r="QRI395" s="173"/>
      <c r="QRJ395" s="125"/>
      <c r="QRK395" s="125"/>
      <c r="QRL395" s="134"/>
      <c r="QRM395" s="135"/>
      <c r="QRN395" s="135"/>
      <c r="QRO395" s="135"/>
      <c r="QRP395" s="135"/>
      <c r="QRQ395" s="173"/>
      <c r="QRR395" s="173"/>
      <c r="QRS395" s="173"/>
      <c r="QRT395" s="173"/>
      <c r="QRU395" s="173"/>
      <c r="QRV395" s="173"/>
      <c r="QRW395" s="173"/>
      <c r="QRX395" s="173"/>
      <c r="QRY395" s="173"/>
      <c r="QRZ395" s="173"/>
      <c r="QSA395" s="125"/>
      <c r="QSB395" s="125"/>
      <c r="QSC395" s="134"/>
      <c r="QSD395" s="135"/>
      <c r="QSE395" s="135"/>
      <c r="QSF395" s="135"/>
      <c r="QSG395" s="135"/>
      <c r="QSH395" s="173"/>
      <c r="QSI395" s="173"/>
      <c r="QSJ395" s="173"/>
      <c r="QSK395" s="173"/>
      <c r="QSL395" s="173"/>
      <c r="QSM395" s="173"/>
      <c r="QSN395" s="173"/>
      <c r="QSO395" s="173"/>
      <c r="QSP395" s="173"/>
      <c r="QSQ395" s="173"/>
      <c r="QSR395" s="125"/>
      <c r="QSS395" s="125"/>
      <c r="QST395" s="134"/>
      <c r="QSU395" s="135"/>
      <c r="QSV395" s="135"/>
      <c r="QSW395" s="135"/>
      <c r="QSX395" s="135"/>
      <c r="QSY395" s="173"/>
      <c r="QSZ395" s="173"/>
      <c r="QTA395" s="173"/>
      <c r="QTB395" s="173"/>
      <c r="QTC395" s="173"/>
      <c r="QTD395" s="173"/>
      <c r="QTE395" s="173"/>
      <c r="QTF395" s="173"/>
      <c r="QTG395" s="173"/>
      <c r="QTH395" s="173"/>
      <c r="QTI395" s="125"/>
      <c r="QTJ395" s="125"/>
      <c r="QTK395" s="134"/>
      <c r="QTL395" s="135"/>
      <c r="QTM395" s="135"/>
      <c r="QTN395" s="135"/>
      <c r="QTO395" s="135"/>
      <c r="QTP395" s="173"/>
      <c r="QTQ395" s="173"/>
      <c r="QTR395" s="173"/>
      <c r="QTS395" s="173"/>
      <c r="QTT395" s="173"/>
      <c r="QTU395" s="173"/>
      <c r="QTV395" s="173"/>
      <c r="QTW395" s="173"/>
      <c r="QTX395" s="173"/>
      <c r="QTY395" s="173"/>
      <c r="QTZ395" s="125"/>
      <c r="QUA395" s="125"/>
      <c r="QUB395" s="134"/>
      <c r="QUC395" s="135"/>
      <c r="QUD395" s="135"/>
      <c r="QUE395" s="135"/>
      <c r="QUF395" s="135"/>
      <c r="QUG395" s="173"/>
      <c r="QUH395" s="173"/>
      <c r="QUI395" s="173"/>
      <c r="QUJ395" s="173"/>
      <c r="QUK395" s="173"/>
      <c r="QUL395" s="173"/>
      <c r="QUM395" s="173"/>
      <c r="QUN395" s="173"/>
      <c r="QUO395" s="173"/>
      <c r="QUP395" s="173"/>
      <c r="QUQ395" s="125"/>
      <c r="QUR395" s="125"/>
      <c r="QUS395" s="134"/>
      <c r="QUT395" s="135"/>
      <c r="QUU395" s="135"/>
      <c r="QUV395" s="135"/>
      <c r="QUW395" s="135"/>
      <c r="QUX395" s="173"/>
      <c r="QUY395" s="173"/>
      <c r="QUZ395" s="173"/>
      <c r="QVA395" s="173"/>
      <c r="QVB395" s="173"/>
      <c r="QVC395" s="173"/>
      <c r="QVD395" s="173"/>
      <c r="QVE395" s="173"/>
      <c r="QVF395" s="173"/>
      <c r="QVG395" s="173"/>
      <c r="QVH395" s="125"/>
      <c r="QVI395" s="125"/>
      <c r="QVJ395" s="134"/>
      <c r="QVK395" s="135"/>
      <c r="QVL395" s="135"/>
      <c r="QVM395" s="135"/>
      <c r="QVN395" s="135"/>
      <c r="QVO395" s="173"/>
      <c r="QVP395" s="173"/>
      <c r="QVQ395" s="173"/>
      <c r="QVR395" s="173"/>
      <c r="QVS395" s="173"/>
      <c r="QVT395" s="173"/>
      <c r="QVU395" s="173"/>
      <c r="QVV395" s="173"/>
      <c r="QVW395" s="173"/>
      <c r="QVX395" s="173"/>
      <c r="QVY395" s="125"/>
      <c r="QVZ395" s="125"/>
      <c r="QWA395" s="134"/>
      <c r="QWB395" s="135"/>
      <c r="QWC395" s="135"/>
      <c r="QWD395" s="135"/>
      <c r="QWE395" s="135"/>
      <c r="QWF395" s="173"/>
      <c r="QWG395" s="173"/>
      <c r="QWH395" s="173"/>
      <c r="QWI395" s="173"/>
      <c r="QWJ395" s="173"/>
      <c r="QWK395" s="173"/>
      <c r="QWL395" s="173"/>
      <c r="QWM395" s="173"/>
      <c r="QWN395" s="173"/>
      <c r="QWO395" s="173"/>
      <c r="QWP395" s="125"/>
      <c r="QWQ395" s="125"/>
      <c r="QWR395" s="134"/>
      <c r="QWS395" s="135"/>
      <c r="QWT395" s="135"/>
      <c r="QWU395" s="135"/>
      <c r="QWV395" s="135"/>
      <c r="QWW395" s="173"/>
      <c r="QWX395" s="173"/>
      <c r="QWY395" s="173"/>
      <c r="QWZ395" s="173"/>
      <c r="QXA395" s="173"/>
      <c r="QXB395" s="173"/>
      <c r="QXC395" s="173"/>
      <c r="QXD395" s="173"/>
      <c r="QXE395" s="173"/>
      <c r="QXF395" s="173"/>
      <c r="QXG395" s="125"/>
      <c r="QXH395" s="125"/>
      <c r="QXI395" s="134"/>
      <c r="QXJ395" s="135"/>
      <c r="QXK395" s="135"/>
      <c r="QXL395" s="135"/>
      <c r="QXM395" s="135"/>
      <c r="QXN395" s="173"/>
      <c r="QXO395" s="173"/>
      <c r="QXP395" s="173"/>
      <c r="QXQ395" s="173"/>
      <c r="QXR395" s="173"/>
      <c r="QXS395" s="173"/>
      <c r="QXT395" s="173"/>
      <c r="QXU395" s="173"/>
      <c r="QXV395" s="173"/>
      <c r="QXW395" s="173"/>
      <c r="QXX395" s="125"/>
      <c r="QXY395" s="125"/>
      <c r="QXZ395" s="134"/>
      <c r="QYA395" s="135"/>
      <c r="QYB395" s="135"/>
      <c r="QYC395" s="135"/>
      <c r="QYD395" s="135"/>
      <c r="QYE395" s="173"/>
      <c r="QYF395" s="173"/>
      <c r="QYG395" s="173"/>
      <c r="QYH395" s="173"/>
      <c r="QYI395" s="173"/>
      <c r="QYJ395" s="173"/>
      <c r="QYK395" s="173"/>
      <c r="QYL395" s="173"/>
      <c r="QYM395" s="173"/>
      <c r="QYN395" s="173"/>
      <c r="QYO395" s="125"/>
      <c r="QYP395" s="125"/>
      <c r="QYQ395" s="134"/>
      <c r="QYR395" s="135"/>
      <c r="QYS395" s="135"/>
      <c r="QYT395" s="135"/>
      <c r="QYU395" s="135"/>
      <c r="QYV395" s="173"/>
      <c r="QYW395" s="173"/>
      <c r="QYX395" s="173"/>
      <c r="QYY395" s="173"/>
      <c r="QYZ395" s="173"/>
      <c r="QZA395" s="173"/>
      <c r="QZB395" s="173"/>
      <c r="QZC395" s="173"/>
      <c r="QZD395" s="173"/>
      <c r="QZE395" s="173"/>
      <c r="QZF395" s="125"/>
      <c r="QZG395" s="125"/>
      <c r="QZH395" s="134"/>
      <c r="QZI395" s="135"/>
      <c r="QZJ395" s="135"/>
      <c r="QZK395" s="135"/>
      <c r="QZL395" s="135"/>
      <c r="QZM395" s="173"/>
      <c r="QZN395" s="173"/>
      <c r="QZO395" s="173"/>
      <c r="QZP395" s="173"/>
      <c r="QZQ395" s="173"/>
      <c r="QZR395" s="173"/>
      <c r="QZS395" s="173"/>
      <c r="QZT395" s="173"/>
      <c r="QZU395" s="173"/>
      <c r="QZV395" s="173"/>
      <c r="QZW395" s="125"/>
      <c r="QZX395" s="125"/>
      <c r="QZY395" s="134"/>
      <c r="QZZ395" s="135"/>
      <c r="RAA395" s="135"/>
      <c r="RAB395" s="135"/>
      <c r="RAC395" s="135"/>
      <c r="RAD395" s="173"/>
      <c r="RAE395" s="173"/>
      <c r="RAF395" s="173"/>
      <c r="RAG395" s="173"/>
      <c r="RAH395" s="173"/>
      <c r="RAI395" s="173"/>
      <c r="RAJ395" s="173"/>
      <c r="RAK395" s="173"/>
      <c r="RAL395" s="173"/>
      <c r="RAM395" s="173"/>
      <c r="RAN395" s="125"/>
      <c r="RAO395" s="125"/>
      <c r="RAP395" s="134"/>
      <c r="RAQ395" s="135"/>
      <c r="RAR395" s="135"/>
      <c r="RAS395" s="135"/>
      <c r="RAT395" s="135"/>
      <c r="RAU395" s="173"/>
      <c r="RAV395" s="173"/>
      <c r="RAW395" s="173"/>
      <c r="RAX395" s="173"/>
      <c r="RAY395" s="173"/>
      <c r="RAZ395" s="173"/>
      <c r="RBA395" s="173"/>
      <c r="RBB395" s="173"/>
      <c r="RBC395" s="173"/>
      <c r="RBD395" s="173"/>
      <c r="RBE395" s="125"/>
      <c r="RBF395" s="125"/>
      <c r="RBG395" s="134"/>
      <c r="RBH395" s="135"/>
      <c r="RBI395" s="135"/>
      <c r="RBJ395" s="135"/>
      <c r="RBK395" s="135"/>
      <c r="RBL395" s="173"/>
      <c r="RBM395" s="173"/>
      <c r="RBN395" s="173"/>
      <c r="RBO395" s="173"/>
      <c r="RBP395" s="173"/>
      <c r="RBQ395" s="173"/>
      <c r="RBR395" s="173"/>
      <c r="RBS395" s="173"/>
      <c r="RBT395" s="173"/>
      <c r="RBU395" s="173"/>
      <c r="RBV395" s="125"/>
      <c r="RBW395" s="125"/>
      <c r="RBX395" s="134"/>
      <c r="RBY395" s="135"/>
      <c r="RBZ395" s="135"/>
      <c r="RCA395" s="135"/>
      <c r="RCB395" s="135"/>
      <c r="RCC395" s="173"/>
      <c r="RCD395" s="173"/>
      <c r="RCE395" s="173"/>
      <c r="RCF395" s="173"/>
      <c r="RCG395" s="173"/>
      <c r="RCH395" s="173"/>
      <c r="RCI395" s="173"/>
      <c r="RCJ395" s="173"/>
      <c r="RCK395" s="173"/>
      <c r="RCL395" s="173"/>
      <c r="RCM395" s="125"/>
      <c r="RCN395" s="125"/>
      <c r="RCO395" s="134"/>
      <c r="RCP395" s="135"/>
      <c r="RCQ395" s="135"/>
      <c r="RCR395" s="135"/>
      <c r="RCS395" s="135"/>
      <c r="RCT395" s="173"/>
      <c r="RCU395" s="173"/>
      <c r="RCV395" s="173"/>
      <c r="RCW395" s="173"/>
      <c r="RCX395" s="173"/>
      <c r="RCY395" s="173"/>
      <c r="RCZ395" s="173"/>
      <c r="RDA395" s="173"/>
      <c r="RDB395" s="173"/>
      <c r="RDC395" s="173"/>
      <c r="RDD395" s="125"/>
      <c r="RDE395" s="125"/>
      <c r="RDF395" s="134"/>
      <c r="RDG395" s="135"/>
      <c r="RDH395" s="135"/>
      <c r="RDI395" s="135"/>
      <c r="RDJ395" s="135"/>
      <c r="RDK395" s="173"/>
      <c r="RDL395" s="173"/>
      <c r="RDM395" s="173"/>
      <c r="RDN395" s="173"/>
      <c r="RDO395" s="173"/>
      <c r="RDP395" s="173"/>
      <c r="RDQ395" s="173"/>
      <c r="RDR395" s="173"/>
      <c r="RDS395" s="173"/>
      <c r="RDT395" s="173"/>
      <c r="RDU395" s="125"/>
      <c r="RDV395" s="125"/>
      <c r="RDW395" s="134"/>
      <c r="RDX395" s="135"/>
      <c r="RDY395" s="135"/>
      <c r="RDZ395" s="135"/>
      <c r="REA395" s="135"/>
      <c r="REB395" s="173"/>
      <c r="REC395" s="173"/>
      <c r="RED395" s="173"/>
      <c r="REE395" s="173"/>
      <c r="REF395" s="173"/>
      <c r="REG395" s="173"/>
      <c r="REH395" s="173"/>
      <c r="REI395" s="173"/>
      <c r="REJ395" s="173"/>
      <c r="REK395" s="173"/>
      <c r="REL395" s="125"/>
      <c r="REM395" s="125"/>
      <c r="REN395" s="134"/>
      <c r="REO395" s="135"/>
      <c r="REP395" s="135"/>
      <c r="REQ395" s="135"/>
      <c r="RER395" s="135"/>
      <c r="RES395" s="173"/>
      <c r="RET395" s="173"/>
      <c r="REU395" s="173"/>
      <c r="REV395" s="173"/>
      <c r="REW395" s="173"/>
      <c r="REX395" s="173"/>
      <c r="REY395" s="173"/>
      <c r="REZ395" s="173"/>
      <c r="RFA395" s="173"/>
      <c r="RFB395" s="173"/>
      <c r="RFC395" s="125"/>
      <c r="RFD395" s="125"/>
      <c r="RFE395" s="134"/>
      <c r="RFF395" s="135"/>
      <c r="RFG395" s="135"/>
      <c r="RFH395" s="135"/>
      <c r="RFI395" s="135"/>
      <c r="RFJ395" s="173"/>
      <c r="RFK395" s="173"/>
      <c r="RFL395" s="173"/>
      <c r="RFM395" s="173"/>
      <c r="RFN395" s="173"/>
      <c r="RFO395" s="173"/>
      <c r="RFP395" s="173"/>
      <c r="RFQ395" s="173"/>
      <c r="RFR395" s="173"/>
      <c r="RFS395" s="173"/>
      <c r="RFT395" s="125"/>
      <c r="RFU395" s="125"/>
      <c r="RFV395" s="134"/>
      <c r="RFW395" s="135"/>
      <c r="RFX395" s="135"/>
      <c r="RFY395" s="135"/>
      <c r="RFZ395" s="135"/>
      <c r="RGA395" s="173"/>
      <c r="RGB395" s="173"/>
      <c r="RGC395" s="173"/>
      <c r="RGD395" s="173"/>
      <c r="RGE395" s="173"/>
      <c r="RGF395" s="173"/>
      <c r="RGG395" s="173"/>
      <c r="RGH395" s="173"/>
      <c r="RGI395" s="173"/>
      <c r="RGJ395" s="173"/>
      <c r="RGK395" s="125"/>
      <c r="RGL395" s="125"/>
      <c r="RGM395" s="134"/>
      <c r="RGN395" s="135"/>
      <c r="RGO395" s="135"/>
      <c r="RGP395" s="135"/>
      <c r="RGQ395" s="135"/>
      <c r="RGR395" s="173"/>
      <c r="RGS395" s="173"/>
      <c r="RGT395" s="173"/>
      <c r="RGU395" s="173"/>
      <c r="RGV395" s="173"/>
      <c r="RGW395" s="173"/>
      <c r="RGX395" s="173"/>
      <c r="RGY395" s="173"/>
      <c r="RGZ395" s="173"/>
      <c r="RHA395" s="173"/>
      <c r="RHB395" s="125"/>
      <c r="RHC395" s="125"/>
      <c r="RHD395" s="134"/>
      <c r="RHE395" s="135"/>
      <c r="RHF395" s="135"/>
      <c r="RHG395" s="135"/>
      <c r="RHH395" s="135"/>
      <c r="RHI395" s="173"/>
      <c r="RHJ395" s="173"/>
      <c r="RHK395" s="173"/>
      <c r="RHL395" s="173"/>
      <c r="RHM395" s="173"/>
      <c r="RHN395" s="173"/>
      <c r="RHO395" s="173"/>
      <c r="RHP395" s="173"/>
      <c r="RHQ395" s="173"/>
      <c r="RHR395" s="173"/>
      <c r="RHS395" s="125"/>
      <c r="RHT395" s="125"/>
      <c r="RHU395" s="134"/>
      <c r="RHV395" s="135"/>
      <c r="RHW395" s="135"/>
      <c r="RHX395" s="135"/>
      <c r="RHY395" s="135"/>
      <c r="RHZ395" s="173"/>
      <c r="RIA395" s="173"/>
      <c r="RIB395" s="173"/>
      <c r="RIC395" s="173"/>
      <c r="RID395" s="173"/>
      <c r="RIE395" s="173"/>
      <c r="RIF395" s="173"/>
      <c r="RIG395" s="173"/>
      <c r="RIH395" s="173"/>
      <c r="RII395" s="173"/>
      <c r="RIJ395" s="125"/>
      <c r="RIK395" s="125"/>
      <c r="RIL395" s="134"/>
      <c r="RIM395" s="135"/>
      <c r="RIN395" s="135"/>
      <c r="RIO395" s="135"/>
      <c r="RIP395" s="135"/>
      <c r="RIQ395" s="173"/>
      <c r="RIR395" s="173"/>
      <c r="RIS395" s="173"/>
      <c r="RIT395" s="173"/>
      <c r="RIU395" s="173"/>
      <c r="RIV395" s="173"/>
      <c r="RIW395" s="173"/>
      <c r="RIX395" s="173"/>
      <c r="RIY395" s="173"/>
      <c r="RIZ395" s="173"/>
      <c r="RJA395" s="125"/>
      <c r="RJB395" s="125"/>
      <c r="RJC395" s="134"/>
      <c r="RJD395" s="135"/>
      <c r="RJE395" s="135"/>
      <c r="RJF395" s="135"/>
      <c r="RJG395" s="135"/>
      <c r="RJH395" s="173"/>
      <c r="RJI395" s="173"/>
      <c r="RJJ395" s="173"/>
      <c r="RJK395" s="173"/>
      <c r="RJL395" s="173"/>
      <c r="RJM395" s="173"/>
      <c r="RJN395" s="173"/>
      <c r="RJO395" s="173"/>
      <c r="RJP395" s="173"/>
      <c r="RJQ395" s="173"/>
      <c r="RJR395" s="125"/>
      <c r="RJS395" s="125"/>
      <c r="RJT395" s="134"/>
      <c r="RJU395" s="135"/>
      <c r="RJV395" s="135"/>
      <c r="RJW395" s="135"/>
      <c r="RJX395" s="135"/>
      <c r="RJY395" s="173"/>
      <c r="RJZ395" s="173"/>
      <c r="RKA395" s="173"/>
      <c r="RKB395" s="173"/>
      <c r="RKC395" s="173"/>
      <c r="RKD395" s="173"/>
      <c r="RKE395" s="173"/>
      <c r="RKF395" s="173"/>
      <c r="RKG395" s="173"/>
      <c r="RKH395" s="173"/>
      <c r="RKI395" s="125"/>
      <c r="RKJ395" s="125"/>
      <c r="RKK395" s="134"/>
      <c r="RKL395" s="135"/>
      <c r="RKM395" s="135"/>
      <c r="RKN395" s="135"/>
      <c r="RKO395" s="135"/>
      <c r="RKP395" s="173"/>
      <c r="RKQ395" s="173"/>
      <c r="RKR395" s="173"/>
      <c r="RKS395" s="173"/>
      <c r="RKT395" s="173"/>
      <c r="RKU395" s="173"/>
      <c r="RKV395" s="173"/>
      <c r="RKW395" s="173"/>
      <c r="RKX395" s="173"/>
      <c r="RKY395" s="173"/>
      <c r="RKZ395" s="125"/>
      <c r="RLA395" s="125"/>
      <c r="RLB395" s="134"/>
      <c r="RLC395" s="135"/>
      <c r="RLD395" s="135"/>
      <c r="RLE395" s="135"/>
      <c r="RLF395" s="135"/>
      <c r="RLG395" s="173"/>
      <c r="RLH395" s="173"/>
      <c r="RLI395" s="173"/>
      <c r="RLJ395" s="173"/>
      <c r="RLK395" s="173"/>
      <c r="RLL395" s="173"/>
      <c r="RLM395" s="173"/>
      <c r="RLN395" s="173"/>
      <c r="RLO395" s="173"/>
      <c r="RLP395" s="173"/>
      <c r="RLQ395" s="125"/>
      <c r="RLR395" s="125"/>
      <c r="RLS395" s="134"/>
      <c r="RLT395" s="135"/>
      <c r="RLU395" s="135"/>
      <c r="RLV395" s="135"/>
      <c r="RLW395" s="135"/>
      <c r="RLX395" s="173"/>
      <c r="RLY395" s="173"/>
      <c r="RLZ395" s="173"/>
      <c r="RMA395" s="173"/>
      <c r="RMB395" s="173"/>
      <c r="RMC395" s="173"/>
      <c r="RMD395" s="173"/>
      <c r="RME395" s="173"/>
      <c r="RMF395" s="173"/>
      <c r="RMG395" s="173"/>
      <c r="RMH395" s="125"/>
      <c r="RMI395" s="125"/>
      <c r="RMJ395" s="134"/>
      <c r="RMK395" s="135"/>
      <c r="RML395" s="135"/>
      <c r="RMM395" s="135"/>
      <c r="RMN395" s="135"/>
      <c r="RMO395" s="173"/>
      <c r="RMP395" s="173"/>
      <c r="RMQ395" s="173"/>
      <c r="RMR395" s="173"/>
      <c r="RMS395" s="173"/>
      <c r="RMT395" s="173"/>
      <c r="RMU395" s="173"/>
      <c r="RMV395" s="173"/>
      <c r="RMW395" s="173"/>
      <c r="RMX395" s="173"/>
      <c r="RMY395" s="125"/>
      <c r="RMZ395" s="125"/>
      <c r="RNA395" s="134"/>
      <c r="RNB395" s="135"/>
      <c r="RNC395" s="135"/>
      <c r="RND395" s="135"/>
      <c r="RNE395" s="135"/>
      <c r="RNF395" s="173"/>
      <c r="RNG395" s="173"/>
      <c r="RNH395" s="173"/>
      <c r="RNI395" s="173"/>
      <c r="RNJ395" s="173"/>
      <c r="RNK395" s="173"/>
      <c r="RNL395" s="173"/>
      <c r="RNM395" s="173"/>
      <c r="RNN395" s="173"/>
      <c r="RNO395" s="173"/>
      <c r="RNP395" s="125"/>
      <c r="RNQ395" s="125"/>
      <c r="RNR395" s="134"/>
      <c r="RNS395" s="135"/>
      <c r="RNT395" s="135"/>
      <c r="RNU395" s="135"/>
      <c r="RNV395" s="135"/>
      <c r="RNW395" s="173"/>
      <c r="RNX395" s="173"/>
      <c r="RNY395" s="173"/>
      <c r="RNZ395" s="173"/>
      <c r="ROA395" s="173"/>
      <c r="ROB395" s="173"/>
      <c r="ROC395" s="173"/>
      <c r="ROD395" s="173"/>
      <c r="ROE395" s="173"/>
      <c r="ROF395" s="173"/>
      <c r="ROG395" s="125"/>
      <c r="ROH395" s="125"/>
      <c r="ROI395" s="134"/>
      <c r="ROJ395" s="135"/>
      <c r="ROK395" s="135"/>
      <c r="ROL395" s="135"/>
      <c r="ROM395" s="135"/>
      <c r="RON395" s="173"/>
      <c r="ROO395" s="173"/>
      <c r="ROP395" s="173"/>
      <c r="ROQ395" s="173"/>
      <c r="ROR395" s="173"/>
      <c r="ROS395" s="173"/>
      <c r="ROT395" s="173"/>
      <c r="ROU395" s="173"/>
      <c r="ROV395" s="173"/>
      <c r="ROW395" s="173"/>
      <c r="ROX395" s="125"/>
      <c r="ROY395" s="125"/>
      <c r="ROZ395" s="134"/>
      <c r="RPA395" s="135"/>
      <c r="RPB395" s="135"/>
      <c r="RPC395" s="135"/>
      <c r="RPD395" s="135"/>
      <c r="RPE395" s="173"/>
      <c r="RPF395" s="173"/>
      <c r="RPG395" s="173"/>
      <c r="RPH395" s="173"/>
      <c r="RPI395" s="173"/>
      <c r="RPJ395" s="173"/>
      <c r="RPK395" s="173"/>
      <c r="RPL395" s="173"/>
      <c r="RPM395" s="173"/>
      <c r="RPN395" s="173"/>
      <c r="RPO395" s="125"/>
      <c r="RPP395" s="125"/>
      <c r="RPQ395" s="134"/>
      <c r="RPR395" s="135"/>
      <c r="RPS395" s="135"/>
      <c r="RPT395" s="135"/>
      <c r="RPU395" s="135"/>
      <c r="RPV395" s="173"/>
      <c r="RPW395" s="173"/>
      <c r="RPX395" s="173"/>
      <c r="RPY395" s="173"/>
      <c r="RPZ395" s="173"/>
      <c r="RQA395" s="173"/>
      <c r="RQB395" s="173"/>
      <c r="RQC395" s="173"/>
      <c r="RQD395" s="173"/>
      <c r="RQE395" s="173"/>
      <c r="RQF395" s="125"/>
      <c r="RQG395" s="125"/>
      <c r="RQH395" s="134"/>
      <c r="RQI395" s="135"/>
      <c r="RQJ395" s="135"/>
      <c r="RQK395" s="135"/>
      <c r="RQL395" s="135"/>
      <c r="RQM395" s="173"/>
      <c r="RQN395" s="173"/>
      <c r="RQO395" s="173"/>
      <c r="RQP395" s="173"/>
      <c r="RQQ395" s="173"/>
      <c r="RQR395" s="173"/>
      <c r="RQS395" s="173"/>
      <c r="RQT395" s="173"/>
      <c r="RQU395" s="173"/>
      <c r="RQV395" s="173"/>
      <c r="RQW395" s="125"/>
      <c r="RQX395" s="125"/>
      <c r="RQY395" s="134"/>
      <c r="RQZ395" s="135"/>
      <c r="RRA395" s="135"/>
      <c r="RRB395" s="135"/>
      <c r="RRC395" s="135"/>
      <c r="RRD395" s="173"/>
      <c r="RRE395" s="173"/>
      <c r="RRF395" s="173"/>
      <c r="RRG395" s="173"/>
      <c r="RRH395" s="173"/>
      <c r="RRI395" s="173"/>
      <c r="RRJ395" s="173"/>
      <c r="RRK395" s="173"/>
      <c r="RRL395" s="173"/>
      <c r="RRM395" s="173"/>
      <c r="RRN395" s="125"/>
      <c r="RRO395" s="125"/>
      <c r="RRP395" s="134"/>
      <c r="RRQ395" s="135"/>
      <c r="RRR395" s="135"/>
      <c r="RRS395" s="135"/>
      <c r="RRT395" s="135"/>
      <c r="RRU395" s="173"/>
      <c r="RRV395" s="173"/>
      <c r="RRW395" s="173"/>
      <c r="RRX395" s="173"/>
      <c r="RRY395" s="173"/>
      <c r="RRZ395" s="173"/>
      <c r="RSA395" s="173"/>
      <c r="RSB395" s="173"/>
      <c r="RSC395" s="173"/>
      <c r="RSD395" s="173"/>
      <c r="RSE395" s="125"/>
      <c r="RSF395" s="125"/>
      <c r="RSG395" s="134"/>
      <c r="RSH395" s="135"/>
      <c r="RSI395" s="135"/>
      <c r="RSJ395" s="135"/>
      <c r="RSK395" s="135"/>
      <c r="RSL395" s="173"/>
      <c r="RSM395" s="173"/>
      <c r="RSN395" s="173"/>
      <c r="RSO395" s="173"/>
      <c r="RSP395" s="173"/>
      <c r="RSQ395" s="173"/>
      <c r="RSR395" s="173"/>
      <c r="RSS395" s="173"/>
      <c r="RST395" s="173"/>
      <c r="RSU395" s="173"/>
      <c r="RSV395" s="125"/>
      <c r="RSW395" s="125"/>
      <c r="RSX395" s="134"/>
      <c r="RSY395" s="135"/>
      <c r="RSZ395" s="135"/>
      <c r="RTA395" s="135"/>
      <c r="RTB395" s="135"/>
      <c r="RTC395" s="173"/>
      <c r="RTD395" s="173"/>
      <c r="RTE395" s="173"/>
      <c r="RTF395" s="173"/>
      <c r="RTG395" s="173"/>
      <c r="RTH395" s="173"/>
      <c r="RTI395" s="173"/>
      <c r="RTJ395" s="173"/>
      <c r="RTK395" s="173"/>
      <c r="RTL395" s="173"/>
      <c r="RTM395" s="125"/>
      <c r="RTN395" s="125"/>
      <c r="RTO395" s="134"/>
      <c r="RTP395" s="135"/>
      <c r="RTQ395" s="135"/>
      <c r="RTR395" s="135"/>
      <c r="RTS395" s="135"/>
      <c r="RTT395" s="173"/>
      <c r="RTU395" s="173"/>
      <c r="RTV395" s="173"/>
      <c r="RTW395" s="173"/>
      <c r="RTX395" s="173"/>
      <c r="RTY395" s="173"/>
      <c r="RTZ395" s="173"/>
      <c r="RUA395" s="173"/>
      <c r="RUB395" s="173"/>
      <c r="RUC395" s="173"/>
      <c r="RUD395" s="125"/>
      <c r="RUE395" s="125"/>
      <c r="RUF395" s="134"/>
      <c r="RUG395" s="135"/>
      <c r="RUH395" s="135"/>
      <c r="RUI395" s="135"/>
      <c r="RUJ395" s="135"/>
      <c r="RUK395" s="173"/>
      <c r="RUL395" s="173"/>
      <c r="RUM395" s="173"/>
      <c r="RUN395" s="173"/>
      <c r="RUO395" s="173"/>
      <c r="RUP395" s="173"/>
      <c r="RUQ395" s="173"/>
      <c r="RUR395" s="173"/>
      <c r="RUS395" s="173"/>
      <c r="RUT395" s="173"/>
      <c r="RUU395" s="125"/>
      <c r="RUV395" s="125"/>
      <c r="RUW395" s="134"/>
      <c r="RUX395" s="135"/>
      <c r="RUY395" s="135"/>
      <c r="RUZ395" s="135"/>
      <c r="RVA395" s="135"/>
      <c r="RVB395" s="173"/>
      <c r="RVC395" s="173"/>
      <c r="RVD395" s="173"/>
      <c r="RVE395" s="173"/>
      <c r="RVF395" s="173"/>
      <c r="RVG395" s="173"/>
      <c r="RVH395" s="173"/>
      <c r="RVI395" s="173"/>
      <c r="RVJ395" s="173"/>
      <c r="RVK395" s="173"/>
      <c r="RVL395" s="125"/>
      <c r="RVM395" s="125"/>
      <c r="RVN395" s="134"/>
      <c r="RVO395" s="135"/>
      <c r="RVP395" s="135"/>
      <c r="RVQ395" s="135"/>
      <c r="RVR395" s="135"/>
      <c r="RVS395" s="173"/>
      <c r="RVT395" s="173"/>
      <c r="RVU395" s="173"/>
      <c r="RVV395" s="173"/>
      <c r="RVW395" s="173"/>
      <c r="RVX395" s="173"/>
      <c r="RVY395" s="173"/>
      <c r="RVZ395" s="173"/>
      <c r="RWA395" s="173"/>
      <c r="RWB395" s="173"/>
      <c r="RWC395" s="125"/>
      <c r="RWD395" s="125"/>
      <c r="RWE395" s="134"/>
      <c r="RWF395" s="135"/>
      <c r="RWG395" s="135"/>
      <c r="RWH395" s="135"/>
      <c r="RWI395" s="135"/>
      <c r="RWJ395" s="173"/>
      <c r="RWK395" s="173"/>
      <c r="RWL395" s="173"/>
      <c r="RWM395" s="173"/>
      <c r="RWN395" s="173"/>
      <c r="RWO395" s="173"/>
      <c r="RWP395" s="173"/>
      <c r="RWQ395" s="173"/>
      <c r="RWR395" s="173"/>
      <c r="RWS395" s="173"/>
      <c r="RWT395" s="125"/>
      <c r="RWU395" s="125"/>
      <c r="RWV395" s="134"/>
      <c r="RWW395" s="135"/>
      <c r="RWX395" s="135"/>
      <c r="RWY395" s="135"/>
      <c r="RWZ395" s="135"/>
      <c r="RXA395" s="173"/>
      <c r="RXB395" s="173"/>
      <c r="RXC395" s="173"/>
      <c r="RXD395" s="173"/>
      <c r="RXE395" s="173"/>
      <c r="RXF395" s="173"/>
      <c r="RXG395" s="173"/>
      <c r="RXH395" s="173"/>
      <c r="RXI395" s="173"/>
      <c r="RXJ395" s="173"/>
      <c r="RXK395" s="125"/>
      <c r="RXL395" s="125"/>
      <c r="RXM395" s="134"/>
      <c r="RXN395" s="135"/>
      <c r="RXO395" s="135"/>
      <c r="RXP395" s="135"/>
      <c r="RXQ395" s="135"/>
      <c r="RXR395" s="173"/>
      <c r="RXS395" s="173"/>
      <c r="RXT395" s="173"/>
      <c r="RXU395" s="173"/>
      <c r="RXV395" s="173"/>
      <c r="RXW395" s="173"/>
      <c r="RXX395" s="173"/>
      <c r="RXY395" s="173"/>
      <c r="RXZ395" s="173"/>
      <c r="RYA395" s="173"/>
      <c r="RYB395" s="125"/>
      <c r="RYC395" s="125"/>
      <c r="RYD395" s="134"/>
      <c r="RYE395" s="135"/>
      <c r="RYF395" s="135"/>
      <c r="RYG395" s="135"/>
      <c r="RYH395" s="135"/>
      <c r="RYI395" s="173"/>
      <c r="RYJ395" s="173"/>
      <c r="RYK395" s="173"/>
      <c r="RYL395" s="173"/>
      <c r="RYM395" s="173"/>
      <c r="RYN395" s="173"/>
      <c r="RYO395" s="173"/>
      <c r="RYP395" s="173"/>
      <c r="RYQ395" s="173"/>
      <c r="RYR395" s="173"/>
      <c r="RYS395" s="125"/>
      <c r="RYT395" s="125"/>
      <c r="RYU395" s="134"/>
      <c r="RYV395" s="135"/>
      <c r="RYW395" s="135"/>
      <c r="RYX395" s="135"/>
      <c r="RYY395" s="135"/>
      <c r="RYZ395" s="173"/>
      <c r="RZA395" s="173"/>
      <c r="RZB395" s="173"/>
      <c r="RZC395" s="173"/>
      <c r="RZD395" s="173"/>
      <c r="RZE395" s="173"/>
      <c r="RZF395" s="173"/>
      <c r="RZG395" s="173"/>
      <c r="RZH395" s="173"/>
      <c r="RZI395" s="173"/>
      <c r="RZJ395" s="125"/>
      <c r="RZK395" s="125"/>
      <c r="RZL395" s="134"/>
      <c r="RZM395" s="135"/>
      <c r="RZN395" s="135"/>
      <c r="RZO395" s="135"/>
      <c r="RZP395" s="135"/>
      <c r="RZQ395" s="173"/>
      <c r="RZR395" s="173"/>
      <c r="RZS395" s="173"/>
      <c r="RZT395" s="173"/>
      <c r="RZU395" s="173"/>
      <c r="RZV395" s="173"/>
      <c r="RZW395" s="173"/>
      <c r="RZX395" s="173"/>
      <c r="RZY395" s="173"/>
      <c r="RZZ395" s="173"/>
      <c r="SAA395" s="125"/>
      <c r="SAB395" s="125"/>
      <c r="SAC395" s="134"/>
      <c r="SAD395" s="135"/>
      <c r="SAE395" s="135"/>
      <c r="SAF395" s="135"/>
      <c r="SAG395" s="135"/>
      <c r="SAH395" s="173"/>
      <c r="SAI395" s="173"/>
      <c r="SAJ395" s="173"/>
      <c r="SAK395" s="173"/>
      <c r="SAL395" s="173"/>
      <c r="SAM395" s="173"/>
      <c r="SAN395" s="173"/>
      <c r="SAO395" s="173"/>
      <c r="SAP395" s="173"/>
      <c r="SAQ395" s="173"/>
      <c r="SAR395" s="125"/>
      <c r="SAS395" s="125"/>
      <c r="SAT395" s="134"/>
      <c r="SAU395" s="135"/>
      <c r="SAV395" s="135"/>
      <c r="SAW395" s="135"/>
      <c r="SAX395" s="135"/>
      <c r="SAY395" s="173"/>
      <c r="SAZ395" s="173"/>
      <c r="SBA395" s="173"/>
      <c r="SBB395" s="173"/>
      <c r="SBC395" s="173"/>
      <c r="SBD395" s="173"/>
      <c r="SBE395" s="173"/>
      <c r="SBF395" s="173"/>
      <c r="SBG395" s="173"/>
      <c r="SBH395" s="173"/>
      <c r="SBI395" s="125"/>
      <c r="SBJ395" s="125"/>
      <c r="SBK395" s="134"/>
      <c r="SBL395" s="135"/>
      <c r="SBM395" s="135"/>
      <c r="SBN395" s="135"/>
      <c r="SBO395" s="135"/>
      <c r="SBP395" s="173"/>
      <c r="SBQ395" s="173"/>
      <c r="SBR395" s="173"/>
      <c r="SBS395" s="173"/>
      <c r="SBT395" s="173"/>
      <c r="SBU395" s="173"/>
      <c r="SBV395" s="173"/>
      <c r="SBW395" s="173"/>
      <c r="SBX395" s="173"/>
      <c r="SBY395" s="173"/>
      <c r="SBZ395" s="125"/>
      <c r="SCA395" s="125"/>
      <c r="SCB395" s="134"/>
      <c r="SCC395" s="135"/>
      <c r="SCD395" s="135"/>
      <c r="SCE395" s="135"/>
      <c r="SCF395" s="135"/>
      <c r="SCG395" s="173"/>
      <c r="SCH395" s="173"/>
      <c r="SCI395" s="173"/>
      <c r="SCJ395" s="173"/>
      <c r="SCK395" s="173"/>
      <c r="SCL395" s="173"/>
      <c r="SCM395" s="173"/>
      <c r="SCN395" s="173"/>
      <c r="SCO395" s="173"/>
      <c r="SCP395" s="173"/>
      <c r="SCQ395" s="125"/>
      <c r="SCR395" s="125"/>
      <c r="SCS395" s="134"/>
      <c r="SCT395" s="135"/>
      <c r="SCU395" s="135"/>
      <c r="SCV395" s="135"/>
      <c r="SCW395" s="135"/>
      <c r="SCX395" s="173"/>
      <c r="SCY395" s="173"/>
      <c r="SCZ395" s="173"/>
      <c r="SDA395" s="173"/>
      <c r="SDB395" s="173"/>
      <c r="SDC395" s="173"/>
      <c r="SDD395" s="173"/>
      <c r="SDE395" s="173"/>
      <c r="SDF395" s="173"/>
      <c r="SDG395" s="173"/>
      <c r="SDH395" s="125"/>
      <c r="SDI395" s="125"/>
      <c r="SDJ395" s="134"/>
      <c r="SDK395" s="135"/>
      <c r="SDL395" s="135"/>
      <c r="SDM395" s="135"/>
      <c r="SDN395" s="135"/>
      <c r="SDO395" s="173"/>
      <c r="SDP395" s="173"/>
      <c r="SDQ395" s="173"/>
      <c r="SDR395" s="173"/>
      <c r="SDS395" s="173"/>
      <c r="SDT395" s="173"/>
      <c r="SDU395" s="173"/>
      <c r="SDV395" s="173"/>
      <c r="SDW395" s="173"/>
      <c r="SDX395" s="173"/>
      <c r="SDY395" s="125"/>
      <c r="SDZ395" s="125"/>
      <c r="SEA395" s="134"/>
      <c r="SEB395" s="135"/>
      <c r="SEC395" s="135"/>
      <c r="SED395" s="135"/>
      <c r="SEE395" s="135"/>
      <c r="SEF395" s="173"/>
      <c r="SEG395" s="173"/>
      <c r="SEH395" s="173"/>
      <c r="SEI395" s="173"/>
      <c r="SEJ395" s="173"/>
      <c r="SEK395" s="173"/>
      <c r="SEL395" s="173"/>
      <c r="SEM395" s="173"/>
      <c r="SEN395" s="173"/>
      <c r="SEO395" s="173"/>
      <c r="SEP395" s="125"/>
      <c r="SEQ395" s="125"/>
      <c r="SER395" s="134"/>
      <c r="SES395" s="135"/>
      <c r="SET395" s="135"/>
      <c r="SEU395" s="135"/>
      <c r="SEV395" s="135"/>
      <c r="SEW395" s="173"/>
      <c r="SEX395" s="173"/>
      <c r="SEY395" s="173"/>
      <c r="SEZ395" s="173"/>
      <c r="SFA395" s="173"/>
      <c r="SFB395" s="173"/>
      <c r="SFC395" s="173"/>
      <c r="SFD395" s="173"/>
      <c r="SFE395" s="173"/>
      <c r="SFF395" s="173"/>
      <c r="SFG395" s="125"/>
      <c r="SFH395" s="125"/>
      <c r="SFI395" s="134"/>
      <c r="SFJ395" s="135"/>
      <c r="SFK395" s="135"/>
      <c r="SFL395" s="135"/>
      <c r="SFM395" s="135"/>
      <c r="SFN395" s="173"/>
      <c r="SFO395" s="173"/>
      <c r="SFP395" s="173"/>
      <c r="SFQ395" s="173"/>
      <c r="SFR395" s="173"/>
      <c r="SFS395" s="173"/>
      <c r="SFT395" s="173"/>
      <c r="SFU395" s="173"/>
      <c r="SFV395" s="173"/>
      <c r="SFW395" s="173"/>
      <c r="SFX395" s="125"/>
      <c r="SFY395" s="125"/>
      <c r="SFZ395" s="134"/>
      <c r="SGA395" s="135"/>
      <c r="SGB395" s="135"/>
      <c r="SGC395" s="135"/>
      <c r="SGD395" s="135"/>
      <c r="SGE395" s="173"/>
      <c r="SGF395" s="173"/>
      <c r="SGG395" s="173"/>
      <c r="SGH395" s="173"/>
      <c r="SGI395" s="173"/>
      <c r="SGJ395" s="173"/>
      <c r="SGK395" s="173"/>
      <c r="SGL395" s="173"/>
      <c r="SGM395" s="173"/>
      <c r="SGN395" s="173"/>
      <c r="SGO395" s="125"/>
      <c r="SGP395" s="125"/>
      <c r="SGQ395" s="134"/>
      <c r="SGR395" s="135"/>
      <c r="SGS395" s="135"/>
      <c r="SGT395" s="135"/>
      <c r="SGU395" s="135"/>
      <c r="SGV395" s="173"/>
      <c r="SGW395" s="173"/>
      <c r="SGX395" s="173"/>
      <c r="SGY395" s="173"/>
      <c r="SGZ395" s="173"/>
      <c r="SHA395" s="173"/>
      <c r="SHB395" s="173"/>
      <c r="SHC395" s="173"/>
      <c r="SHD395" s="173"/>
      <c r="SHE395" s="173"/>
      <c r="SHF395" s="125"/>
      <c r="SHG395" s="125"/>
      <c r="SHH395" s="134"/>
      <c r="SHI395" s="135"/>
      <c r="SHJ395" s="135"/>
      <c r="SHK395" s="135"/>
      <c r="SHL395" s="135"/>
      <c r="SHM395" s="173"/>
      <c r="SHN395" s="173"/>
      <c r="SHO395" s="173"/>
      <c r="SHP395" s="173"/>
      <c r="SHQ395" s="173"/>
      <c r="SHR395" s="173"/>
      <c r="SHS395" s="173"/>
      <c r="SHT395" s="173"/>
      <c r="SHU395" s="173"/>
      <c r="SHV395" s="173"/>
      <c r="SHW395" s="125"/>
      <c r="SHX395" s="125"/>
      <c r="SHY395" s="134"/>
      <c r="SHZ395" s="135"/>
      <c r="SIA395" s="135"/>
      <c r="SIB395" s="135"/>
      <c r="SIC395" s="135"/>
      <c r="SID395" s="173"/>
      <c r="SIE395" s="173"/>
      <c r="SIF395" s="173"/>
      <c r="SIG395" s="173"/>
      <c r="SIH395" s="173"/>
      <c r="SII395" s="173"/>
      <c r="SIJ395" s="173"/>
      <c r="SIK395" s="173"/>
      <c r="SIL395" s="173"/>
      <c r="SIM395" s="173"/>
      <c r="SIN395" s="125"/>
      <c r="SIO395" s="125"/>
      <c r="SIP395" s="134"/>
      <c r="SIQ395" s="135"/>
      <c r="SIR395" s="135"/>
      <c r="SIS395" s="135"/>
      <c r="SIT395" s="135"/>
      <c r="SIU395" s="173"/>
      <c r="SIV395" s="173"/>
      <c r="SIW395" s="173"/>
      <c r="SIX395" s="173"/>
      <c r="SIY395" s="173"/>
      <c r="SIZ395" s="173"/>
      <c r="SJA395" s="173"/>
      <c r="SJB395" s="173"/>
      <c r="SJC395" s="173"/>
      <c r="SJD395" s="173"/>
      <c r="SJE395" s="125"/>
      <c r="SJF395" s="125"/>
      <c r="SJG395" s="134"/>
      <c r="SJH395" s="135"/>
      <c r="SJI395" s="135"/>
      <c r="SJJ395" s="135"/>
      <c r="SJK395" s="135"/>
      <c r="SJL395" s="173"/>
      <c r="SJM395" s="173"/>
      <c r="SJN395" s="173"/>
      <c r="SJO395" s="173"/>
      <c r="SJP395" s="173"/>
      <c r="SJQ395" s="173"/>
      <c r="SJR395" s="173"/>
      <c r="SJS395" s="173"/>
      <c r="SJT395" s="173"/>
      <c r="SJU395" s="173"/>
      <c r="SJV395" s="125"/>
      <c r="SJW395" s="125"/>
      <c r="SJX395" s="134"/>
      <c r="SJY395" s="135"/>
      <c r="SJZ395" s="135"/>
      <c r="SKA395" s="135"/>
      <c r="SKB395" s="135"/>
      <c r="SKC395" s="173"/>
      <c r="SKD395" s="173"/>
      <c r="SKE395" s="173"/>
      <c r="SKF395" s="173"/>
      <c r="SKG395" s="173"/>
      <c r="SKH395" s="173"/>
      <c r="SKI395" s="173"/>
      <c r="SKJ395" s="173"/>
      <c r="SKK395" s="173"/>
      <c r="SKL395" s="173"/>
      <c r="SKM395" s="125"/>
      <c r="SKN395" s="125"/>
      <c r="SKO395" s="134"/>
      <c r="SKP395" s="135"/>
      <c r="SKQ395" s="135"/>
      <c r="SKR395" s="135"/>
      <c r="SKS395" s="135"/>
      <c r="SKT395" s="173"/>
      <c r="SKU395" s="173"/>
      <c r="SKV395" s="173"/>
      <c r="SKW395" s="173"/>
      <c r="SKX395" s="173"/>
      <c r="SKY395" s="173"/>
      <c r="SKZ395" s="173"/>
      <c r="SLA395" s="173"/>
      <c r="SLB395" s="173"/>
      <c r="SLC395" s="173"/>
      <c r="SLD395" s="125"/>
      <c r="SLE395" s="125"/>
      <c r="SLF395" s="134"/>
      <c r="SLG395" s="135"/>
      <c r="SLH395" s="135"/>
      <c r="SLI395" s="135"/>
      <c r="SLJ395" s="135"/>
      <c r="SLK395" s="173"/>
      <c r="SLL395" s="173"/>
      <c r="SLM395" s="173"/>
      <c r="SLN395" s="173"/>
      <c r="SLO395" s="173"/>
      <c r="SLP395" s="173"/>
      <c r="SLQ395" s="173"/>
      <c r="SLR395" s="173"/>
      <c r="SLS395" s="173"/>
      <c r="SLT395" s="173"/>
      <c r="SLU395" s="125"/>
      <c r="SLV395" s="125"/>
      <c r="SLW395" s="134"/>
      <c r="SLX395" s="135"/>
      <c r="SLY395" s="135"/>
      <c r="SLZ395" s="135"/>
      <c r="SMA395" s="135"/>
      <c r="SMB395" s="173"/>
      <c r="SMC395" s="173"/>
      <c r="SMD395" s="173"/>
      <c r="SME395" s="173"/>
      <c r="SMF395" s="173"/>
      <c r="SMG395" s="173"/>
      <c r="SMH395" s="173"/>
      <c r="SMI395" s="173"/>
      <c r="SMJ395" s="173"/>
      <c r="SMK395" s="173"/>
      <c r="SML395" s="125"/>
      <c r="SMM395" s="125"/>
      <c r="SMN395" s="134"/>
      <c r="SMO395" s="135"/>
      <c r="SMP395" s="135"/>
      <c r="SMQ395" s="135"/>
      <c r="SMR395" s="135"/>
      <c r="SMS395" s="173"/>
      <c r="SMT395" s="173"/>
      <c r="SMU395" s="173"/>
      <c r="SMV395" s="173"/>
      <c r="SMW395" s="173"/>
      <c r="SMX395" s="173"/>
      <c r="SMY395" s="173"/>
      <c r="SMZ395" s="173"/>
      <c r="SNA395" s="173"/>
      <c r="SNB395" s="173"/>
      <c r="SNC395" s="125"/>
      <c r="SND395" s="125"/>
      <c r="SNE395" s="134"/>
      <c r="SNF395" s="135"/>
      <c r="SNG395" s="135"/>
      <c r="SNH395" s="135"/>
      <c r="SNI395" s="135"/>
      <c r="SNJ395" s="173"/>
      <c r="SNK395" s="173"/>
      <c r="SNL395" s="173"/>
      <c r="SNM395" s="173"/>
      <c r="SNN395" s="173"/>
      <c r="SNO395" s="173"/>
      <c r="SNP395" s="173"/>
      <c r="SNQ395" s="173"/>
      <c r="SNR395" s="173"/>
      <c r="SNS395" s="173"/>
      <c r="SNT395" s="125"/>
      <c r="SNU395" s="125"/>
      <c r="SNV395" s="134"/>
      <c r="SNW395" s="135"/>
      <c r="SNX395" s="135"/>
      <c r="SNY395" s="135"/>
      <c r="SNZ395" s="135"/>
      <c r="SOA395" s="173"/>
      <c r="SOB395" s="173"/>
      <c r="SOC395" s="173"/>
      <c r="SOD395" s="173"/>
      <c r="SOE395" s="173"/>
      <c r="SOF395" s="173"/>
      <c r="SOG395" s="173"/>
      <c r="SOH395" s="173"/>
      <c r="SOI395" s="173"/>
      <c r="SOJ395" s="173"/>
      <c r="SOK395" s="125"/>
      <c r="SOL395" s="125"/>
      <c r="SOM395" s="134"/>
      <c r="SON395" s="135"/>
      <c r="SOO395" s="135"/>
      <c r="SOP395" s="135"/>
      <c r="SOQ395" s="135"/>
      <c r="SOR395" s="173"/>
      <c r="SOS395" s="173"/>
      <c r="SOT395" s="173"/>
      <c r="SOU395" s="173"/>
      <c r="SOV395" s="173"/>
      <c r="SOW395" s="173"/>
      <c r="SOX395" s="173"/>
      <c r="SOY395" s="173"/>
      <c r="SOZ395" s="173"/>
      <c r="SPA395" s="173"/>
      <c r="SPB395" s="125"/>
      <c r="SPC395" s="125"/>
      <c r="SPD395" s="134"/>
      <c r="SPE395" s="135"/>
      <c r="SPF395" s="135"/>
      <c r="SPG395" s="135"/>
      <c r="SPH395" s="135"/>
      <c r="SPI395" s="173"/>
      <c r="SPJ395" s="173"/>
      <c r="SPK395" s="173"/>
      <c r="SPL395" s="173"/>
      <c r="SPM395" s="173"/>
      <c r="SPN395" s="173"/>
      <c r="SPO395" s="173"/>
      <c r="SPP395" s="173"/>
      <c r="SPQ395" s="173"/>
      <c r="SPR395" s="173"/>
      <c r="SPS395" s="125"/>
      <c r="SPT395" s="125"/>
      <c r="SPU395" s="134"/>
      <c r="SPV395" s="135"/>
      <c r="SPW395" s="135"/>
      <c r="SPX395" s="135"/>
      <c r="SPY395" s="135"/>
      <c r="SPZ395" s="173"/>
      <c r="SQA395" s="173"/>
      <c r="SQB395" s="173"/>
      <c r="SQC395" s="173"/>
      <c r="SQD395" s="173"/>
      <c r="SQE395" s="173"/>
      <c r="SQF395" s="173"/>
      <c r="SQG395" s="173"/>
      <c r="SQH395" s="173"/>
      <c r="SQI395" s="173"/>
      <c r="SQJ395" s="125"/>
      <c r="SQK395" s="125"/>
      <c r="SQL395" s="134"/>
      <c r="SQM395" s="135"/>
      <c r="SQN395" s="135"/>
      <c r="SQO395" s="135"/>
      <c r="SQP395" s="135"/>
      <c r="SQQ395" s="173"/>
      <c r="SQR395" s="173"/>
      <c r="SQS395" s="173"/>
      <c r="SQT395" s="173"/>
      <c r="SQU395" s="173"/>
      <c r="SQV395" s="173"/>
      <c r="SQW395" s="173"/>
      <c r="SQX395" s="173"/>
      <c r="SQY395" s="173"/>
      <c r="SQZ395" s="173"/>
      <c r="SRA395" s="125"/>
      <c r="SRB395" s="125"/>
      <c r="SRC395" s="134"/>
      <c r="SRD395" s="135"/>
      <c r="SRE395" s="135"/>
      <c r="SRF395" s="135"/>
      <c r="SRG395" s="135"/>
      <c r="SRH395" s="173"/>
      <c r="SRI395" s="173"/>
      <c r="SRJ395" s="173"/>
      <c r="SRK395" s="173"/>
      <c r="SRL395" s="173"/>
      <c r="SRM395" s="173"/>
      <c r="SRN395" s="173"/>
      <c r="SRO395" s="173"/>
      <c r="SRP395" s="173"/>
      <c r="SRQ395" s="173"/>
      <c r="SRR395" s="125"/>
      <c r="SRS395" s="125"/>
      <c r="SRT395" s="134"/>
      <c r="SRU395" s="135"/>
      <c r="SRV395" s="135"/>
      <c r="SRW395" s="135"/>
      <c r="SRX395" s="135"/>
      <c r="SRY395" s="173"/>
      <c r="SRZ395" s="173"/>
      <c r="SSA395" s="173"/>
      <c r="SSB395" s="173"/>
      <c r="SSC395" s="173"/>
      <c r="SSD395" s="173"/>
      <c r="SSE395" s="173"/>
      <c r="SSF395" s="173"/>
      <c r="SSG395" s="173"/>
      <c r="SSH395" s="173"/>
      <c r="SSI395" s="125"/>
      <c r="SSJ395" s="125"/>
      <c r="SSK395" s="134"/>
      <c r="SSL395" s="135"/>
      <c r="SSM395" s="135"/>
      <c r="SSN395" s="135"/>
      <c r="SSO395" s="135"/>
      <c r="SSP395" s="173"/>
      <c r="SSQ395" s="173"/>
      <c r="SSR395" s="173"/>
      <c r="SSS395" s="173"/>
      <c r="SST395" s="173"/>
      <c r="SSU395" s="173"/>
      <c r="SSV395" s="173"/>
      <c r="SSW395" s="173"/>
      <c r="SSX395" s="173"/>
      <c r="SSY395" s="173"/>
      <c r="SSZ395" s="125"/>
      <c r="STA395" s="125"/>
      <c r="STB395" s="134"/>
      <c r="STC395" s="135"/>
      <c r="STD395" s="135"/>
      <c r="STE395" s="135"/>
      <c r="STF395" s="135"/>
      <c r="STG395" s="173"/>
      <c r="STH395" s="173"/>
      <c r="STI395" s="173"/>
      <c r="STJ395" s="173"/>
      <c r="STK395" s="173"/>
      <c r="STL395" s="173"/>
      <c r="STM395" s="173"/>
      <c r="STN395" s="173"/>
      <c r="STO395" s="173"/>
      <c r="STP395" s="173"/>
      <c r="STQ395" s="125"/>
      <c r="STR395" s="125"/>
      <c r="STS395" s="134"/>
      <c r="STT395" s="135"/>
      <c r="STU395" s="135"/>
      <c r="STV395" s="135"/>
      <c r="STW395" s="135"/>
      <c r="STX395" s="173"/>
      <c r="STY395" s="173"/>
      <c r="STZ395" s="173"/>
      <c r="SUA395" s="173"/>
      <c r="SUB395" s="173"/>
      <c r="SUC395" s="173"/>
      <c r="SUD395" s="173"/>
      <c r="SUE395" s="173"/>
      <c r="SUF395" s="173"/>
      <c r="SUG395" s="173"/>
      <c r="SUH395" s="125"/>
      <c r="SUI395" s="125"/>
      <c r="SUJ395" s="134"/>
      <c r="SUK395" s="135"/>
      <c r="SUL395" s="135"/>
      <c r="SUM395" s="135"/>
      <c r="SUN395" s="135"/>
      <c r="SUO395" s="173"/>
      <c r="SUP395" s="173"/>
      <c r="SUQ395" s="173"/>
      <c r="SUR395" s="173"/>
      <c r="SUS395" s="173"/>
      <c r="SUT395" s="173"/>
      <c r="SUU395" s="173"/>
      <c r="SUV395" s="173"/>
      <c r="SUW395" s="173"/>
      <c r="SUX395" s="173"/>
      <c r="SUY395" s="125"/>
      <c r="SUZ395" s="125"/>
      <c r="SVA395" s="134"/>
      <c r="SVB395" s="135"/>
      <c r="SVC395" s="135"/>
      <c r="SVD395" s="135"/>
      <c r="SVE395" s="135"/>
      <c r="SVF395" s="173"/>
      <c r="SVG395" s="173"/>
      <c r="SVH395" s="173"/>
      <c r="SVI395" s="173"/>
      <c r="SVJ395" s="173"/>
      <c r="SVK395" s="173"/>
      <c r="SVL395" s="173"/>
      <c r="SVM395" s="173"/>
      <c r="SVN395" s="173"/>
      <c r="SVO395" s="173"/>
      <c r="SVP395" s="125"/>
      <c r="SVQ395" s="125"/>
      <c r="SVR395" s="134"/>
      <c r="SVS395" s="135"/>
      <c r="SVT395" s="135"/>
      <c r="SVU395" s="135"/>
      <c r="SVV395" s="135"/>
      <c r="SVW395" s="173"/>
      <c r="SVX395" s="173"/>
      <c r="SVY395" s="173"/>
      <c r="SVZ395" s="173"/>
      <c r="SWA395" s="173"/>
      <c r="SWB395" s="173"/>
      <c r="SWC395" s="173"/>
      <c r="SWD395" s="173"/>
      <c r="SWE395" s="173"/>
      <c r="SWF395" s="173"/>
      <c r="SWG395" s="125"/>
      <c r="SWH395" s="125"/>
      <c r="SWI395" s="134"/>
      <c r="SWJ395" s="135"/>
      <c r="SWK395" s="135"/>
      <c r="SWL395" s="135"/>
      <c r="SWM395" s="135"/>
      <c r="SWN395" s="173"/>
      <c r="SWO395" s="173"/>
      <c r="SWP395" s="173"/>
      <c r="SWQ395" s="173"/>
      <c r="SWR395" s="173"/>
      <c r="SWS395" s="173"/>
      <c r="SWT395" s="173"/>
      <c r="SWU395" s="173"/>
      <c r="SWV395" s="173"/>
      <c r="SWW395" s="173"/>
      <c r="SWX395" s="125"/>
      <c r="SWY395" s="125"/>
      <c r="SWZ395" s="134"/>
      <c r="SXA395" s="135"/>
      <c r="SXB395" s="135"/>
      <c r="SXC395" s="135"/>
      <c r="SXD395" s="135"/>
      <c r="SXE395" s="173"/>
      <c r="SXF395" s="173"/>
      <c r="SXG395" s="173"/>
      <c r="SXH395" s="173"/>
      <c r="SXI395" s="173"/>
      <c r="SXJ395" s="173"/>
      <c r="SXK395" s="173"/>
      <c r="SXL395" s="173"/>
      <c r="SXM395" s="173"/>
      <c r="SXN395" s="173"/>
      <c r="SXO395" s="125"/>
      <c r="SXP395" s="125"/>
      <c r="SXQ395" s="134"/>
      <c r="SXR395" s="135"/>
      <c r="SXS395" s="135"/>
      <c r="SXT395" s="135"/>
      <c r="SXU395" s="135"/>
      <c r="SXV395" s="173"/>
      <c r="SXW395" s="173"/>
      <c r="SXX395" s="173"/>
      <c r="SXY395" s="173"/>
      <c r="SXZ395" s="173"/>
      <c r="SYA395" s="173"/>
      <c r="SYB395" s="173"/>
      <c r="SYC395" s="173"/>
      <c r="SYD395" s="173"/>
      <c r="SYE395" s="173"/>
      <c r="SYF395" s="125"/>
      <c r="SYG395" s="125"/>
      <c r="SYH395" s="134"/>
      <c r="SYI395" s="135"/>
      <c r="SYJ395" s="135"/>
      <c r="SYK395" s="135"/>
      <c r="SYL395" s="135"/>
      <c r="SYM395" s="173"/>
      <c r="SYN395" s="173"/>
      <c r="SYO395" s="173"/>
      <c r="SYP395" s="173"/>
      <c r="SYQ395" s="173"/>
      <c r="SYR395" s="173"/>
      <c r="SYS395" s="173"/>
      <c r="SYT395" s="173"/>
      <c r="SYU395" s="173"/>
      <c r="SYV395" s="173"/>
      <c r="SYW395" s="125"/>
      <c r="SYX395" s="125"/>
      <c r="SYY395" s="134"/>
      <c r="SYZ395" s="135"/>
      <c r="SZA395" s="135"/>
      <c r="SZB395" s="135"/>
      <c r="SZC395" s="135"/>
      <c r="SZD395" s="173"/>
      <c r="SZE395" s="173"/>
      <c r="SZF395" s="173"/>
      <c r="SZG395" s="173"/>
      <c r="SZH395" s="173"/>
      <c r="SZI395" s="173"/>
      <c r="SZJ395" s="173"/>
      <c r="SZK395" s="173"/>
      <c r="SZL395" s="173"/>
      <c r="SZM395" s="173"/>
      <c r="SZN395" s="125"/>
      <c r="SZO395" s="125"/>
      <c r="SZP395" s="134"/>
      <c r="SZQ395" s="135"/>
      <c r="SZR395" s="135"/>
      <c r="SZS395" s="135"/>
      <c r="SZT395" s="135"/>
      <c r="SZU395" s="173"/>
      <c r="SZV395" s="173"/>
      <c r="SZW395" s="173"/>
      <c r="SZX395" s="173"/>
      <c r="SZY395" s="173"/>
      <c r="SZZ395" s="173"/>
      <c r="TAA395" s="173"/>
      <c r="TAB395" s="173"/>
      <c r="TAC395" s="173"/>
      <c r="TAD395" s="173"/>
      <c r="TAE395" s="125"/>
      <c r="TAF395" s="125"/>
      <c r="TAG395" s="134"/>
      <c r="TAH395" s="135"/>
      <c r="TAI395" s="135"/>
      <c r="TAJ395" s="135"/>
      <c r="TAK395" s="135"/>
      <c r="TAL395" s="173"/>
      <c r="TAM395" s="173"/>
      <c r="TAN395" s="173"/>
      <c r="TAO395" s="173"/>
      <c r="TAP395" s="173"/>
      <c r="TAQ395" s="173"/>
      <c r="TAR395" s="173"/>
      <c r="TAS395" s="173"/>
      <c r="TAT395" s="173"/>
      <c r="TAU395" s="173"/>
      <c r="TAV395" s="125"/>
      <c r="TAW395" s="125"/>
      <c r="TAX395" s="134"/>
      <c r="TAY395" s="135"/>
      <c r="TAZ395" s="135"/>
      <c r="TBA395" s="135"/>
      <c r="TBB395" s="135"/>
      <c r="TBC395" s="173"/>
      <c r="TBD395" s="173"/>
      <c r="TBE395" s="173"/>
      <c r="TBF395" s="173"/>
      <c r="TBG395" s="173"/>
      <c r="TBH395" s="173"/>
      <c r="TBI395" s="173"/>
      <c r="TBJ395" s="173"/>
      <c r="TBK395" s="173"/>
      <c r="TBL395" s="173"/>
      <c r="TBM395" s="125"/>
      <c r="TBN395" s="125"/>
      <c r="TBO395" s="134"/>
      <c r="TBP395" s="135"/>
      <c r="TBQ395" s="135"/>
      <c r="TBR395" s="135"/>
      <c r="TBS395" s="135"/>
      <c r="TBT395" s="173"/>
      <c r="TBU395" s="173"/>
      <c r="TBV395" s="173"/>
      <c r="TBW395" s="173"/>
      <c r="TBX395" s="173"/>
      <c r="TBY395" s="173"/>
      <c r="TBZ395" s="173"/>
      <c r="TCA395" s="173"/>
      <c r="TCB395" s="173"/>
      <c r="TCC395" s="173"/>
      <c r="TCD395" s="125"/>
      <c r="TCE395" s="125"/>
      <c r="TCF395" s="134"/>
      <c r="TCG395" s="135"/>
      <c r="TCH395" s="135"/>
      <c r="TCI395" s="135"/>
      <c r="TCJ395" s="135"/>
      <c r="TCK395" s="173"/>
      <c r="TCL395" s="173"/>
      <c r="TCM395" s="173"/>
      <c r="TCN395" s="173"/>
      <c r="TCO395" s="173"/>
      <c r="TCP395" s="173"/>
      <c r="TCQ395" s="173"/>
      <c r="TCR395" s="173"/>
      <c r="TCS395" s="173"/>
      <c r="TCT395" s="173"/>
      <c r="TCU395" s="125"/>
      <c r="TCV395" s="125"/>
      <c r="TCW395" s="134"/>
      <c r="TCX395" s="135"/>
      <c r="TCY395" s="135"/>
      <c r="TCZ395" s="135"/>
      <c r="TDA395" s="135"/>
      <c r="TDB395" s="173"/>
      <c r="TDC395" s="173"/>
      <c r="TDD395" s="173"/>
      <c r="TDE395" s="173"/>
      <c r="TDF395" s="173"/>
      <c r="TDG395" s="173"/>
      <c r="TDH395" s="173"/>
      <c r="TDI395" s="173"/>
      <c r="TDJ395" s="173"/>
      <c r="TDK395" s="173"/>
      <c r="TDL395" s="125"/>
      <c r="TDM395" s="125"/>
      <c r="TDN395" s="134"/>
      <c r="TDO395" s="135"/>
      <c r="TDP395" s="135"/>
      <c r="TDQ395" s="135"/>
      <c r="TDR395" s="135"/>
      <c r="TDS395" s="173"/>
      <c r="TDT395" s="173"/>
      <c r="TDU395" s="173"/>
      <c r="TDV395" s="173"/>
      <c r="TDW395" s="173"/>
      <c r="TDX395" s="173"/>
      <c r="TDY395" s="173"/>
      <c r="TDZ395" s="173"/>
      <c r="TEA395" s="173"/>
      <c r="TEB395" s="173"/>
      <c r="TEC395" s="125"/>
      <c r="TED395" s="125"/>
      <c r="TEE395" s="134"/>
      <c r="TEF395" s="135"/>
      <c r="TEG395" s="135"/>
      <c r="TEH395" s="135"/>
      <c r="TEI395" s="135"/>
      <c r="TEJ395" s="173"/>
      <c r="TEK395" s="173"/>
      <c r="TEL395" s="173"/>
      <c r="TEM395" s="173"/>
      <c r="TEN395" s="173"/>
      <c r="TEO395" s="173"/>
      <c r="TEP395" s="173"/>
      <c r="TEQ395" s="173"/>
      <c r="TER395" s="173"/>
      <c r="TES395" s="173"/>
      <c r="TET395" s="125"/>
      <c r="TEU395" s="125"/>
      <c r="TEV395" s="134"/>
      <c r="TEW395" s="135"/>
      <c r="TEX395" s="135"/>
      <c r="TEY395" s="135"/>
      <c r="TEZ395" s="135"/>
      <c r="TFA395" s="173"/>
      <c r="TFB395" s="173"/>
      <c r="TFC395" s="173"/>
      <c r="TFD395" s="173"/>
      <c r="TFE395" s="173"/>
      <c r="TFF395" s="173"/>
      <c r="TFG395" s="173"/>
      <c r="TFH395" s="173"/>
      <c r="TFI395" s="173"/>
      <c r="TFJ395" s="173"/>
      <c r="TFK395" s="125"/>
      <c r="TFL395" s="125"/>
      <c r="TFM395" s="134"/>
      <c r="TFN395" s="135"/>
      <c r="TFO395" s="135"/>
      <c r="TFP395" s="135"/>
      <c r="TFQ395" s="135"/>
      <c r="TFR395" s="173"/>
      <c r="TFS395" s="173"/>
      <c r="TFT395" s="173"/>
      <c r="TFU395" s="173"/>
      <c r="TFV395" s="173"/>
      <c r="TFW395" s="173"/>
      <c r="TFX395" s="173"/>
      <c r="TFY395" s="173"/>
      <c r="TFZ395" s="173"/>
      <c r="TGA395" s="173"/>
      <c r="TGB395" s="125"/>
      <c r="TGC395" s="125"/>
      <c r="TGD395" s="134"/>
      <c r="TGE395" s="135"/>
      <c r="TGF395" s="135"/>
      <c r="TGG395" s="135"/>
      <c r="TGH395" s="135"/>
      <c r="TGI395" s="173"/>
      <c r="TGJ395" s="173"/>
      <c r="TGK395" s="173"/>
      <c r="TGL395" s="173"/>
      <c r="TGM395" s="173"/>
      <c r="TGN395" s="173"/>
      <c r="TGO395" s="173"/>
      <c r="TGP395" s="173"/>
      <c r="TGQ395" s="173"/>
      <c r="TGR395" s="173"/>
      <c r="TGS395" s="125"/>
      <c r="TGT395" s="125"/>
      <c r="TGU395" s="134"/>
      <c r="TGV395" s="135"/>
      <c r="TGW395" s="135"/>
      <c r="TGX395" s="135"/>
      <c r="TGY395" s="135"/>
      <c r="TGZ395" s="173"/>
      <c r="THA395" s="173"/>
      <c r="THB395" s="173"/>
      <c r="THC395" s="173"/>
      <c r="THD395" s="173"/>
      <c r="THE395" s="173"/>
      <c r="THF395" s="173"/>
      <c r="THG395" s="173"/>
      <c r="THH395" s="173"/>
      <c r="THI395" s="173"/>
      <c r="THJ395" s="125"/>
      <c r="THK395" s="125"/>
      <c r="THL395" s="134"/>
      <c r="THM395" s="135"/>
      <c r="THN395" s="135"/>
      <c r="THO395" s="135"/>
      <c r="THP395" s="135"/>
      <c r="THQ395" s="173"/>
      <c r="THR395" s="173"/>
      <c r="THS395" s="173"/>
      <c r="THT395" s="173"/>
      <c r="THU395" s="173"/>
      <c r="THV395" s="173"/>
      <c r="THW395" s="173"/>
      <c r="THX395" s="173"/>
      <c r="THY395" s="173"/>
      <c r="THZ395" s="173"/>
      <c r="TIA395" s="125"/>
      <c r="TIB395" s="125"/>
      <c r="TIC395" s="134"/>
      <c r="TID395" s="135"/>
      <c r="TIE395" s="135"/>
      <c r="TIF395" s="135"/>
      <c r="TIG395" s="135"/>
      <c r="TIH395" s="173"/>
      <c r="TII395" s="173"/>
      <c r="TIJ395" s="173"/>
      <c r="TIK395" s="173"/>
      <c r="TIL395" s="173"/>
      <c r="TIM395" s="173"/>
      <c r="TIN395" s="173"/>
      <c r="TIO395" s="173"/>
      <c r="TIP395" s="173"/>
      <c r="TIQ395" s="173"/>
      <c r="TIR395" s="125"/>
      <c r="TIS395" s="125"/>
      <c r="TIT395" s="134"/>
      <c r="TIU395" s="135"/>
      <c r="TIV395" s="135"/>
      <c r="TIW395" s="135"/>
      <c r="TIX395" s="135"/>
      <c r="TIY395" s="173"/>
      <c r="TIZ395" s="173"/>
      <c r="TJA395" s="173"/>
      <c r="TJB395" s="173"/>
      <c r="TJC395" s="173"/>
      <c r="TJD395" s="173"/>
      <c r="TJE395" s="173"/>
      <c r="TJF395" s="173"/>
      <c r="TJG395" s="173"/>
      <c r="TJH395" s="173"/>
      <c r="TJI395" s="125"/>
      <c r="TJJ395" s="125"/>
      <c r="TJK395" s="134"/>
      <c r="TJL395" s="135"/>
      <c r="TJM395" s="135"/>
      <c r="TJN395" s="135"/>
      <c r="TJO395" s="135"/>
      <c r="TJP395" s="173"/>
      <c r="TJQ395" s="173"/>
      <c r="TJR395" s="173"/>
      <c r="TJS395" s="173"/>
      <c r="TJT395" s="173"/>
      <c r="TJU395" s="173"/>
      <c r="TJV395" s="173"/>
      <c r="TJW395" s="173"/>
      <c r="TJX395" s="173"/>
      <c r="TJY395" s="173"/>
      <c r="TJZ395" s="125"/>
      <c r="TKA395" s="125"/>
      <c r="TKB395" s="134"/>
      <c r="TKC395" s="135"/>
      <c r="TKD395" s="135"/>
      <c r="TKE395" s="135"/>
      <c r="TKF395" s="135"/>
      <c r="TKG395" s="173"/>
      <c r="TKH395" s="173"/>
      <c r="TKI395" s="173"/>
      <c r="TKJ395" s="173"/>
      <c r="TKK395" s="173"/>
      <c r="TKL395" s="173"/>
      <c r="TKM395" s="173"/>
      <c r="TKN395" s="173"/>
      <c r="TKO395" s="173"/>
      <c r="TKP395" s="173"/>
      <c r="TKQ395" s="125"/>
      <c r="TKR395" s="125"/>
      <c r="TKS395" s="134"/>
      <c r="TKT395" s="135"/>
      <c r="TKU395" s="135"/>
      <c r="TKV395" s="135"/>
      <c r="TKW395" s="135"/>
      <c r="TKX395" s="173"/>
      <c r="TKY395" s="173"/>
      <c r="TKZ395" s="173"/>
      <c r="TLA395" s="173"/>
      <c r="TLB395" s="173"/>
      <c r="TLC395" s="173"/>
      <c r="TLD395" s="173"/>
      <c r="TLE395" s="173"/>
      <c r="TLF395" s="173"/>
      <c r="TLG395" s="173"/>
      <c r="TLH395" s="125"/>
      <c r="TLI395" s="125"/>
      <c r="TLJ395" s="134"/>
      <c r="TLK395" s="135"/>
      <c r="TLL395" s="135"/>
      <c r="TLM395" s="135"/>
      <c r="TLN395" s="135"/>
      <c r="TLO395" s="173"/>
      <c r="TLP395" s="173"/>
      <c r="TLQ395" s="173"/>
      <c r="TLR395" s="173"/>
      <c r="TLS395" s="173"/>
      <c r="TLT395" s="173"/>
      <c r="TLU395" s="173"/>
      <c r="TLV395" s="173"/>
      <c r="TLW395" s="173"/>
      <c r="TLX395" s="173"/>
      <c r="TLY395" s="125"/>
      <c r="TLZ395" s="125"/>
      <c r="TMA395" s="134"/>
      <c r="TMB395" s="135"/>
      <c r="TMC395" s="135"/>
      <c r="TMD395" s="135"/>
      <c r="TME395" s="135"/>
      <c r="TMF395" s="173"/>
      <c r="TMG395" s="173"/>
      <c r="TMH395" s="173"/>
      <c r="TMI395" s="173"/>
      <c r="TMJ395" s="173"/>
      <c r="TMK395" s="173"/>
      <c r="TML395" s="173"/>
      <c r="TMM395" s="173"/>
      <c r="TMN395" s="173"/>
      <c r="TMO395" s="173"/>
      <c r="TMP395" s="125"/>
      <c r="TMQ395" s="125"/>
      <c r="TMR395" s="134"/>
      <c r="TMS395" s="135"/>
      <c r="TMT395" s="135"/>
      <c r="TMU395" s="135"/>
      <c r="TMV395" s="135"/>
      <c r="TMW395" s="173"/>
      <c r="TMX395" s="173"/>
      <c r="TMY395" s="173"/>
      <c r="TMZ395" s="173"/>
      <c r="TNA395" s="173"/>
      <c r="TNB395" s="173"/>
      <c r="TNC395" s="173"/>
      <c r="TND395" s="173"/>
      <c r="TNE395" s="173"/>
      <c r="TNF395" s="173"/>
      <c r="TNG395" s="125"/>
      <c r="TNH395" s="125"/>
      <c r="TNI395" s="134"/>
      <c r="TNJ395" s="135"/>
      <c r="TNK395" s="135"/>
      <c r="TNL395" s="135"/>
      <c r="TNM395" s="135"/>
      <c r="TNN395" s="173"/>
      <c r="TNO395" s="173"/>
      <c r="TNP395" s="173"/>
      <c r="TNQ395" s="173"/>
      <c r="TNR395" s="173"/>
      <c r="TNS395" s="173"/>
      <c r="TNT395" s="173"/>
      <c r="TNU395" s="173"/>
      <c r="TNV395" s="173"/>
      <c r="TNW395" s="173"/>
      <c r="TNX395" s="125"/>
      <c r="TNY395" s="125"/>
      <c r="TNZ395" s="134"/>
      <c r="TOA395" s="135"/>
      <c r="TOB395" s="135"/>
      <c r="TOC395" s="135"/>
      <c r="TOD395" s="135"/>
      <c r="TOE395" s="173"/>
      <c r="TOF395" s="173"/>
      <c r="TOG395" s="173"/>
      <c r="TOH395" s="173"/>
      <c r="TOI395" s="173"/>
      <c r="TOJ395" s="173"/>
      <c r="TOK395" s="173"/>
      <c r="TOL395" s="173"/>
      <c r="TOM395" s="173"/>
      <c r="TON395" s="173"/>
      <c r="TOO395" s="125"/>
      <c r="TOP395" s="125"/>
      <c r="TOQ395" s="134"/>
      <c r="TOR395" s="135"/>
      <c r="TOS395" s="135"/>
      <c r="TOT395" s="135"/>
      <c r="TOU395" s="135"/>
      <c r="TOV395" s="173"/>
      <c r="TOW395" s="173"/>
      <c r="TOX395" s="173"/>
      <c r="TOY395" s="173"/>
      <c r="TOZ395" s="173"/>
      <c r="TPA395" s="173"/>
      <c r="TPB395" s="173"/>
      <c r="TPC395" s="173"/>
      <c r="TPD395" s="173"/>
      <c r="TPE395" s="173"/>
      <c r="TPF395" s="125"/>
      <c r="TPG395" s="125"/>
      <c r="TPH395" s="134"/>
      <c r="TPI395" s="135"/>
      <c r="TPJ395" s="135"/>
      <c r="TPK395" s="135"/>
      <c r="TPL395" s="135"/>
      <c r="TPM395" s="173"/>
      <c r="TPN395" s="173"/>
      <c r="TPO395" s="173"/>
      <c r="TPP395" s="173"/>
      <c r="TPQ395" s="173"/>
      <c r="TPR395" s="173"/>
      <c r="TPS395" s="173"/>
      <c r="TPT395" s="173"/>
      <c r="TPU395" s="173"/>
      <c r="TPV395" s="173"/>
      <c r="TPW395" s="125"/>
      <c r="TPX395" s="125"/>
      <c r="TPY395" s="134"/>
      <c r="TPZ395" s="135"/>
      <c r="TQA395" s="135"/>
      <c r="TQB395" s="135"/>
      <c r="TQC395" s="135"/>
      <c r="TQD395" s="173"/>
      <c r="TQE395" s="173"/>
      <c r="TQF395" s="173"/>
      <c r="TQG395" s="173"/>
      <c r="TQH395" s="173"/>
      <c r="TQI395" s="173"/>
      <c r="TQJ395" s="173"/>
      <c r="TQK395" s="173"/>
      <c r="TQL395" s="173"/>
      <c r="TQM395" s="173"/>
      <c r="TQN395" s="125"/>
      <c r="TQO395" s="125"/>
      <c r="TQP395" s="134"/>
      <c r="TQQ395" s="135"/>
      <c r="TQR395" s="135"/>
      <c r="TQS395" s="135"/>
      <c r="TQT395" s="135"/>
      <c r="TQU395" s="173"/>
      <c r="TQV395" s="173"/>
      <c r="TQW395" s="173"/>
      <c r="TQX395" s="173"/>
      <c r="TQY395" s="173"/>
      <c r="TQZ395" s="173"/>
      <c r="TRA395" s="173"/>
      <c r="TRB395" s="173"/>
      <c r="TRC395" s="173"/>
      <c r="TRD395" s="173"/>
      <c r="TRE395" s="125"/>
      <c r="TRF395" s="125"/>
      <c r="TRG395" s="134"/>
      <c r="TRH395" s="135"/>
      <c r="TRI395" s="135"/>
      <c r="TRJ395" s="135"/>
      <c r="TRK395" s="135"/>
      <c r="TRL395" s="173"/>
      <c r="TRM395" s="173"/>
      <c r="TRN395" s="173"/>
      <c r="TRO395" s="173"/>
      <c r="TRP395" s="173"/>
      <c r="TRQ395" s="173"/>
      <c r="TRR395" s="173"/>
      <c r="TRS395" s="173"/>
      <c r="TRT395" s="173"/>
      <c r="TRU395" s="173"/>
      <c r="TRV395" s="125"/>
      <c r="TRW395" s="125"/>
      <c r="TRX395" s="134"/>
      <c r="TRY395" s="135"/>
      <c r="TRZ395" s="135"/>
      <c r="TSA395" s="135"/>
      <c r="TSB395" s="135"/>
      <c r="TSC395" s="173"/>
      <c r="TSD395" s="173"/>
      <c r="TSE395" s="173"/>
      <c r="TSF395" s="173"/>
      <c r="TSG395" s="173"/>
      <c r="TSH395" s="173"/>
      <c r="TSI395" s="173"/>
      <c r="TSJ395" s="173"/>
      <c r="TSK395" s="173"/>
      <c r="TSL395" s="173"/>
      <c r="TSM395" s="125"/>
      <c r="TSN395" s="125"/>
      <c r="TSO395" s="134"/>
      <c r="TSP395" s="135"/>
      <c r="TSQ395" s="135"/>
      <c r="TSR395" s="135"/>
      <c r="TSS395" s="135"/>
      <c r="TST395" s="173"/>
      <c r="TSU395" s="173"/>
      <c r="TSV395" s="173"/>
      <c r="TSW395" s="173"/>
      <c r="TSX395" s="173"/>
      <c r="TSY395" s="173"/>
      <c r="TSZ395" s="173"/>
      <c r="TTA395" s="173"/>
      <c r="TTB395" s="173"/>
      <c r="TTC395" s="173"/>
      <c r="TTD395" s="125"/>
      <c r="TTE395" s="125"/>
      <c r="TTF395" s="134"/>
      <c r="TTG395" s="135"/>
      <c r="TTH395" s="135"/>
      <c r="TTI395" s="135"/>
      <c r="TTJ395" s="135"/>
      <c r="TTK395" s="173"/>
      <c r="TTL395" s="173"/>
      <c r="TTM395" s="173"/>
      <c r="TTN395" s="173"/>
      <c r="TTO395" s="173"/>
      <c r="TTP395" s="173"/>
      <c r="TTQ395" s="173"/>
      <c r="TTR395" s="173"/>
      <c r="TTS395" s="173"/>
      <c r="TTT395" s="173"/>
      <c r="TTU395" s="125"/>
      <c r="TTV395" s="125"/>
      <c r="TTW395" s="134"/>
      <c r="TTX395" s="135"/>
      <c r="TTY395" s="135"/>
      <c r="TTZ395" s="135"/>
      <c r="TUA395" s="135"/>
      <c r="TUB395" s="173"/>
      <c r="TUC395" s="173"/>
      <c r="TUD395" s="173"/>
      <c r="TUE395" s="173"/>
      <c r="TUF395" s="173"/>
      <c r="TUG395" s="173"/>
      <c r="TUH395" s="173"/>
      <c r="TUI395" s="173"/>
      <c r="TUJ395" s="173"/>
      <c r="TUK395" s="173"/>
      <c r="TUL395" s="125"/>
      <c r="TUM395" s="125"/>
      <c r="TUN395" s="134"/>
      <c r="TUO395" s="135"/>
      <c r="TUP395" s="135"/>
      <c r="TUQ395" s="135"/>
      <c r="TUR395" s="135"/>
      <c r="TUS395" s="173"/>
      <c r="TUT395" s="173"/>
      <c r="TUU395" s="173"/>
      <c r="TUV395" s="173"/>
      <c r="TUW395" s="173"/>
      <c r="TUX395" s="173"/>
      <c r="TUY395" s="173"/>
      <c r="TUZ395" s="173"/>
      <c r="TVA395" s="173"/>
      <c r="TVB395" s="173"/>
      <c r="TVC395" s="125"/>
      <c r="TVD395" s="125"/>
      <c r="TVE395" s="134"/>
      <c r="TVF395" s="135"/>
      <c r="TVG395" s="135"/>
      <c r="TVH395" s="135"/>
      <c r="TVI395" s="135"/>
      <c r="TVJ395" s="173"/>
      <c r="TVK395" s="173"/>
      <c r="TVL395" s="173"/>
      <c r="TVM395" s="173"/>
      <c r="TVN395" s="173"/>
      <c r="TVO395" s="173"/>
      <c r="TVP395" s="173"/>
      <c r="TVQ395" s="173"/>
      <c r="TVR395" s="173"/>
      <c r="TVS395" s="173"/>
      <c r="TVT395" s="125"/>
      <c r="TVU395" s="125"/>
      <c r="TVV395" s="134"/>
      <c r="TVW395" s="135"/>
      <c r="TVX395" s="135"/>
      <c r="TVY395" s="135"/>
      <c r="TVZ395" s="135"/>
      <c r="TWA395" s="173"/>
      <c r="TWB395" s="173"/>
      <c r="TWC395" s="173"/>
      <c r="TWD395" s="173"/>
      <c r="TWE395" s="173"/>
      <c r="TWF395" s="173"/>
      <c r="TWG395" s="173"/>
      <c r="TWH395" s="173"/>
      <c r="TWI395" s="173"/>
      <c r="TWJ395" s="173"/>
      <c r="TWK395" s="125"/>
      <c r="TWL395" s="125"/>
      <c r="TWM395" s="134"/>
      <c r="TWN395" s="135"/>
      <c r="TWO395" s="135"/>
      <c r="TWP395" s="135"/>
      <c r="TWQ395" s="135"/>
      <c r="TWR395" s="173"/>
      <c r="TWS395" s="173"/>
      <c r="TWT395" s="173"/>
      <c r="TWU395" s="173"/>
      <c r="TWV395" s="173"/>
      <c r="TWW395" s="173"/>
      <c r="TWX395" s="173"/>
      <c r="TWY395" s="173"/>
      <c r="TWZ395" s="173"/>
      <c r="TXA395" s="173"/>
      <c r="TXB395" s="125"/>
      <c r="TXC395" s="125"/>
      <c r="TXD395" s="134"/>
      <c r="TXE395" s="135"/>
      <c r="TXF395" s="135"/>
      <c r="TXG395" s="135"/>
      <c r="TXH395" s="135"/>
      <c r="TXI395" s="173"/>
      <c r="TXJ395" s="173"/>
      <c r="TXK395" s="173"/>
      <c r="TXL395" s="173"/>
      <c r="TXM395" s="173"/>
      <c r="TXN395" s="173"/>
      <c r="TXO395" s="173"/>
      <c r="TXP395" s="173"/>
      <c r="TXQ395" s="173"/>
      <c r="TXR395" s="173"/>
      <c r="TXS395" s="125"/>
      <c r="TXT395" s="125"/>
      <c r="TXU395" s="134"/>
      <c r="TXV395" s="135"/>
      <c r="TXW395" s="135"/>
      <c r="TXX395" s="135"/>
      <c r="TXY395" s="135"/>
      <c r="TXZ395" s="173"/>
      <c r="TYA395" s="173"/>
      <c r="TYB395" s="173"/>
      <c r="TYC395" s="173"/>
      <c r="TYD395" s="173"/>
      <c r="TYE395" s="173"/>
      <c r="TYF395" s="173"/>
      <c r="TYG395" s="173"/>
      <c r="TYH395" s="173"/>
      <c r="TYI395" s="173"/>
      <c r="TYJ395" s="125"/>
      <c r="TYK395" s="125"/>
      <c r="TYL395" s="134"/>
      <c r="TYM395" s="135"/>
      <c r="TYN395" s="135"/>
      <c r="TYO395" s="135"/>
      <c r="TYP395" s="135"/>
      <c r="TYQ395" s="173"/>
      <c r="TYR395" s="173"/>
      <c r="TYS395" s="173"/>
      <c r="TYT395" s="173"/>
      <c r="TYU395" s="173"/>
      <c r="TYV395" s="173"/>
      <c r="TYW395" s="173"/>
      <c r="TYX395" s="173"/>
      <c r="TYY395" s="173"/>
      <c r="TYZ395" s="173"/>
      <c r="TZA395" s="125"/>
      <c r="TZB395" s="125"/>
      <c r="TZC395" s="134"/>
      <c r="TZD395" s="135"/>
      <c r="TZE395" s="135"/>
      <c r="TZF395" s="135"/>
      <c r="TZG395" s="135"/>
      <c r="TZH395" s="173"/>
      <c r="TZI395" s="173"/>
      <c r="TZJ395" s="173"/>
      <c r="TZK395" s="173"/>
      <c r="TZL395" s="173"/>
      <c r="TZM395" s="173"/>
      <c r="TZN395" s="173"/>
      <c r="TZO395" s="173"/>
      <c r="TZP395" s="173"/>
      <c r="TZQ395" s="173"/>
      <c r="TZR395" s="125"/>
      <c r="TZS395" s="125"/>
      <c r="TZT395" s="134"/>
      <c r="TZU395" s="135"/>
      <c r="TZV395" s="135"/>
      <c r="TZW395" s="135"/>
      <c r="TZX395" s="135"/>
      <c r="TZY395" s="173"/>
      <c r="TZZ395" s="173"/>
      <c r="UAA395" s="173"/>
      <c r="UAB395" s="173"/>
      <c r="UAC395" s="173"/>
      <c r="UAD395" s="173"/>
      <c r="UAE395" s="173"/>
      <c r="UAF395" s="173"/>
      <c r="UAG395" s="173"/>
      <c r="UAH395" s="173"/>
      <c r="UAI395" s="125"/>
      <c r="UAJ395" s="125"/>
      <c r="UAK395" s="134"/>
      <c r="UAL395" s="135"/>
      <c r="UAM395" s="135"/>
      <c r="UAN395" s="135"/>
      <c r="UAO395" s="135"/>
      <c r="UAP395" s="173"/>
      <c r="UAQ395" s="173"/>
      <c r="UAR395" s="173"/>
      <c r="UAS395" s="173"/>
      <c r="UAT395" s="173"/>
      <c r="UAU395" s="173"/>
      <c r="UAV395" s="173"/>
      <c r="UAW395" s="173"/>
      <c r="UAX395" s="173"/>
      <c r="UAY395" s="173"/>
      <c r="UAZ395" s="125"/>
      <c r="UBA395" s="125"/>
      <c r="UBB395" s="134"/>
      <c r="UBC395" s="135"/>
      <c r="UBD395" s="135"/>
      <c r="UBE395" s="135"/>
      <c r="UBF395" s="135"/>
      <c r="UBG395" s="173"/>
      <c r="UBH395" s="173"/>
      <c r="UBI395" s="173"/>
      <c r="UBJ395" s="173"/>
      <c r="UBK395" s="173"/>
      <c r="UBL395" s="173"/>
      <c r="UBM395" s="173"/>
      <c r="UBN395" s="173"/>
      <c r="UBO395" s="173"/>
      <c r="UBP395" s="173"/>
      <c r="UBQ395" s="125"/>
      <c r="UBR395" s="125"/>
      <c r="UBS395" s="134"/>
      <c r="UBT395" s="135"/>
      <c r="UBU395" s="135"/>
      <c r="UBV395" s="135"/>
      <c r="UBW395" s="135"/>
      <c r="UBX395" s="173"/>
      <c r="UBY395" s="173"/>
      <c r="UBZ395" s="173"/>
      <c r="UCA395" s="173"/>
      <c r="UCB395" s="173"/>
      <c r="UCC395" s="173"/>
      <c r="UCD395" s="173"/>
      <c r="UCE395" s="173"/>
      <c r="UCF395" s="173"/>
      <c r="UCG395" s="173"/>
      <c r="UCH395" s="125"/>
      <c r="UCI395" s="125"/>
      <c r="UCJ395" s="134"/>
      <c r="UCK395" s="135"/>
      <c r="UCL395" s="135"/>
      <c r="UCM395" s="135"/>
      <c r="UCN395" s="135"/>
      <c r="UCO395" s="173"/>
      <c r="UCP395" s="173"/>
      <c r="UCQ395" s="173"/>
      <c r="UCR395" s="173"/>
      <c r="UCS395" s="173"/>
      <c r="UCT395" s="173"/>
      <c r="UCU395" s="173"/>
      <c r="UCV395" s="173"/>
      <c r="UCW395" s="173"/>
      <c r="UCX395" s="173"/>
      <c r="UCY395" s="125"/>
      <c r="UCZ395" s="125"/>
      <c r="UDA395" s="134"/>
      <c r="UDB395" s="135"/>
      <c r="UDC395" s="135"/>
      <c r="UDD395" s="135"/>
      <c r="UDE395" s="135"/>
      <c r="UDF395" s="173"/>
      <c r="UDG395" s="173"/>
      <c r="UDH395" s="173"/>
      <c r="UDI395" s="173"/>
      <c r="UDJ395" s="173"/>
      <c r="UDK395" s="173"/>
      <c r="UDL395" s="173"/>
      <c r="UDM395" s="173"/>
      <c r="UDN395" s="173"/>
      <c r="UDO395" s="173"/>
      <c r="UDP395" s="125"/>
      <c r="UDQ395" s="125"/>
      <c r="UDR395" s="134"/>
      <c r="UDS395" s="135"/>
      <c r="UDT395" s="135"/>
      <c r="UDU395" s="135"/>
      <c r="UDV395" s="135"/>
      <c r="UDW395" s="173"/>
      <c r="UDX395" s="173"/>
      <c r="UDY395" s="173"/>
      <c r="UDZ395" s="173"/>
      <c r="UEA395" s="173"/>
      <c r="UEB395" s="173"/>
      <c r="UEC395" s="173"/>
      <c r="UED395" s="173"/>
      <c r="UEE395" s="173"/>
      <c r="UEF395" s="173"/>
      <c r="UEG395" s="125"/>
      <c r="UEH395" s="125"/>
      <c r="UEI395" s="134"/>
      <c r="UEJ395" s="135"/>
      <c r="UEK395" s="135"/>
      <c r="UEL395" s="135"/>
      <c r="UEM395" s="135"/>
      <c r="UEN395" s="173"/>
      <c r="UEO395" s="173"/>
      <c r="UEP395" s="173"/>
      <c r="UEQ395" s="173"/>
      <c r="UER395" s="173"/>
      <c r="UES395" s="173"/>
      <c r="UET395" s="173"/>
      <c r="UEU395" s="173"/>
      <c r="UEV395" s="173"/>
      <c r="UEW395" s="173"/>
      <c r="UEX395" s="125"/>
      <c r="UEY395" s="125"/>
      <c r="UEZ395" s="134"/>
      <c r="UFA395" s="135"/>
      <c r="UFB395" s="135"/>
      <c r="UFC395" s="135"/>
      <c r="UFD395" s="135"/>
      <c r="UFE395" s="173"/>
      <c r="UFF395" s="173"/>
      <c r="UFG395" s="173"/>
      <c r="UFH395" s="173"/>
      <c r="UFI395" s="173"/>
      <c r="UFJ395" s="173"/>
      <c r="UFK395" s="173"/>
      <c r="UFL395" s="173"/>
      <c r="UFM395" s="173"/>
      <c r="UFN395" s="173"/>
      <c r="UFO395" s="125"/>
      <c r="UFP395" s="125"/>
      <c r="UFQ395" s="134"/>
      <c r="UFR395" s="135"/>
      <c r="UFS395" s="135"/>
      <c r="UFT395" s="135"/>
      <c r="UFU395" s="135"/>
      <c r="UFV395" s="173"/>
      <c r="UFW395" s="173"/>
      <c r="UFX395" s="173"/>
      <c r="UFY395" s="173"/>
      <c r="UFZ395" s="173"/>
      <c r="UGA395" s="173"/>
      <c r="UGB395" s="173"/>
      <c r="UGC395" s="173"/>
      <c r="UGD395" s="173"/>
      <c r="UGE395" s="173"/>
      <c r="UGF395" s="125"/>
      <c r="UGG395" s="125"/>
      <c r="UGH395" s="134"/>
      <c r="UGI395" s="135"/>
      <c r="UGJ395" s="135"/>
      <c r="UGK395" s="135"/>
      <c r="UGL395" s="135"/>
      <c r="UGM395" s="173"/>
      <c r="UGN395" s="173"/>
      <c r="UGO395" s="173"/>
      <c r="UGP395" s="173"/>
      <c r="UGQ395" s="173"/>
      <c r="UGR395" s="173"/>
      <c r="UGS395" s="173"/>
      <c r="UGT395" s="173"/>
      <c r="UGU395" s="173"/>
      <c r="UGV395" s="173"/>
      <c r="UGW395" s="125"/>
      <c r="UGX395" s="125"/>
      <c r="UGY395" s="134"/>
      <c r="UGZ395" s="135"/>
      <c r="UHA395" s="135"/>
      <c r="UHB395" s="135"/>
      <c r="UHC395" s="135"/>
      <c r="UHD395" s="173"/>
      <c r="UHE395" s="173"/>
      <c r="UHF395" s="173"/>
      <c r="UHG395" s="173"/>
      <c r="UHH395" s="173"/>
      <c r="UHI395" s="173"/>
      <c r="UHJ395" s="173"/>
      <c r="UHK395" s="173"/>
      <c r="UHL395" s="173"/>
      <c r="UHM395" s="173"/>
      <c r="UHN395" s="125"/>
      <c r="UHO395" s="125"/>
      <c r="UHP395" s="134"/>
      <c r="UHQ395" s="135"/>
      <c r="UHR395" s="135"/>
      <c r="UHS395" s="135"/>
      <c r="UHT395" s="135"/>
      <c r="UHU395" s="173"/>
      <c r="UHV395" s="173"/>
      <c r="UHW395" s="173"/>
      <c r="UHX395" s="173"/>
      <c r="UHY395" s="173"/>
      <c r="UHZ395" s="173"/>
      <c r="UIA395" s="173"/>
      <c r="UIB395" s="173"/>
      <c r="UIC395" s="173"/>
      <c r="UID395" s="173"/>
      <c r="UIE395" s="125"/>
      <c r="UIF395" s="125"/>
      <c r="UIG395" s="134"/>
      <c r="UIH395" s="135"/>
      <c r="UII395" s="135"/>
      <c r="UIJ395" s="135"/>
      <c r="UIK395" s="135"/>
      <c r="UIL395" s="173"/>
      <c r="UIM395" s="173"/>
      <c r="UIN395" s="173"/>
      <c r="UIO395" s="173"/>
      <c r="UIP395" s="173"/>
      <c r="UIQ395" s="173"/>
      <c r="UIR395" s="173"/>
      <c r="UIS395" s="173"/>
      <c r="UIT395" s="173"/>
      <c r="UIU395" s="173"/>
      <c r="UIV395" s="125"/>
      <c r="UIW395" s="125"/>
      <c r="UIX395" s="134"/>
      <c r="UIY395" s="135"/>
      <c r="UIZ395" s="135"/>
      <c r="UJA395" s="135"/>
      <c r="UJB395" s="135"/>
      <c r="UJC395" s="173"/>
      <c r="UJD395" s="173"/>
      <c r="UJE395" s="173"/>
      <c r="UJF395" s="173"/>
      <c r="UJG395" s="173"/>
      <c r="UJH395" s="173"/>
      <c r="UJI395" s="173"/>
      <c r="UJJ395" s="173"/>
      <c r="UJK395" s="173"/>
      <c r="UJL395" s="173"/>
      <c r="UJM395" s="125"/>
      <c r="UJN395" s="125"/>
      <c r="UJO395" s="134"/>
      <c r="UJP395" s="135"/>
      <c r="UJQ395" s="135"/>
      <c r="UJR395" s="135"/>
      <c r="UJS395" s="135"/>
      <c r="UJT395" s="173"/>
      <c r="UJU395" s="173"/>
      <c r="UJV395" s="173"/>
      <c r="UJW395" s="173"/>
      <c r="UJX395" s="173"/>
      <c r="UJY395" s="173"/>
      <c r="UJZ395" s="173"/>
      <c r="UKA395" s="173"/>
      <c r="UKB395" s="173"/>
      <c r="UKC395" s="173"/>
      <c r="UKD395" s="125"/>
      <c r="UKE395" s="125"/>
      <c r="UKF395" s="134"/>
      <c r="UKG395" s="135"/>
      <c r="UKH395" s="135"/>
      <c r="UKI395" s="135"/>
      <c r="UKJ395" s="135"/>
      <c r="UKK395" s="173"/>
      <c r="UKL395" s="173"/>
      <c r="UKM395" s="173"/>
      <c r="UKN395" s="173"/>
      <c r="UKO395" s="173"/>
      <c r="UKP395" s="173"/>
      <c r="UKQ395" s="173"/>
      <c r="UKR395" s="173"/>
      <c r="UKS395" s="173"/>
      <c r="UKT395" s="173"/>
      <c r="UKU395" s="125"/>
      <c r="UKV395" s="125"/>
      <c r="UKW395" s="134"/>
      <c r="UKX395" s="135"/>
      <c r="UKY395" s="135"/>
      <c r="UKZ395" s="135"/>
      <c r="ULA395" s="135"/>
      <c r="ULB395" s="173"/>
      <c r="ULC395" s="173"/>
      <c r="ULD395" s="173"/>
      <c r="ULE395" s="173"/>
      <c r="ULF395" s="173"/>
      <c r="ULG395" s="173"/>
      <c r="ULH395" s="173"/>
      <c r="ULI395" s="173"/>
      <c r="ULJ395" s="173"/>
      <c r="ULK395" s="173"/>
      <c r="ULL395" s="125"/>
      <c r="ULM395" s="125"/>
      <c r="ULN395" s="134"/>
      <c r="ULO395" s="135"/>
      <c r="ULP395" s="135"/>
      <c r="ULQ395" s="135"/>
      <c r="ULR395" s="135"/>
      <c r="ULS395" s="173"/>
      <c r="ULT395" s="173"/>
      <c r="ULU395" s="173"/>
      <c r="ULV395" s="173"/>
      <c r="ULW395" s="173"/>
      <c r="ULX395" s="173"/>
      <c r="ULY395" s="173"/>
      <c r="ULZ395" s="173"/>
      <c r="UMA395" s="173"/>
      <c r="UMB395" s="173"/>
      <c r="UMC395" s="125"/>
      <c r="UMD395" s="125"/>
      <c r="UME395" s="134"/>
      <c r="UMF395" s="135"/>
      <c r="UMG395" s="135"/>
      <c r="UMH395" s="135"/>
      <c r="UMI395" s="135"/>
      <c r="UMJ395" s="173"/>
      <c r="UMK395" s="173"/>
      <c r="UML395" s="173"/>
      <c r="UMM395" s="173"/>
      <c r="UMN395" s="173"/>
      <c r="UMO395" s="173"/>
      <c r="UMP395" s="173"/>
      <c r="UMQ395" s="173"/>
      <c r="UMR395" s="173"/>
      <c r="UMS395" s="173"/>
      <c r="UMT395" s="125"/>
      <c r="UMU395" s="125"/>
      <c r="UMV395" s="134"/>
      <c r="UMW395" s="135"/>
      <c r="UMX395" s="135"/>
      <c r="UMY395" s="135"/>
      <c r="UMZ395" s="135"/>
      <c r="UNA395" s="173"/>
      <c r="UNB395" s="173"/>
      <c r="UNC395" s="173"/>
      <c r="UND395" s="173"/>
      <c r="UNE395" s="173"/>
      <c r="UNF395" s="173"/>
      <c r="UNG395" s="173"/>
      <c r="UNH395" s="173"/>
      <c r="UNI395" s="173"/>
      <c r="UNJ395" s="173"/>
      <c r="UNK395" s="125"/>
      <c r="UNL395" s="125"/>
      <c r="UNM395" s="134"/>
      <c r="UNN395" s="135"/>
      <c r="UNO395" s="135"/>
      <c r="UNP395" s="135"/>
      <c r="UNQ395" s="135"/>
      <c r="UNR395" s="173"/>
      <c r="UNS395" s="173"/>
      <c r="UNT395" s="173"/>
      <c r="UNU395" s="173"/>
      <c r="UNV395" s="173"/>
      <c r="UNW395" s="173"/>
      <c r="UNX395" s="173"/>
      <c r="UNY395" s="173"/>
      <c r="UNZ395" s="173"/>
      <c r="UOA395" s="173"/>
      <c r="UOB395" s="125"/>
      <c r="UOC395" s="125"/>
      <c r="UOD395" s="134"/>
      <c r="UOE395" s="135"/>
      <c r="UOF395" s="135"/>
      <c r="UOG395" s="135"/>
      <c r="UOH395" s="135"/>
      <c r="UOI395" s="173"/>
      <c r="UOJ395" s="173"/>
      <c r="UOK395" s="173"/>
      <c r="UOL395" s="173"/>
      <c r="UOM395" s="173"/>
      <c r="UON395" s="173"/>
      <c r="UOO395" s="173"/>
      <c r="UOP395" s="173"/>
      <c r="UOQ395" s="173"/>
      <c r="UOR395" s="173"/>
      <c r="UOS395" s="125"/>
      <c r="UOT395" s="125"/>
      <c r="UOU395" s="134"/>
      <c r="UOV395" s="135"/>
      <c r="UOW395" s="135"/>
      <c r="UOX395" s="135"/>
      <c r="UOY395" s="135"/>
      <c r="UOZ395" s="173"/>
      <c r="UPA395" s="173"/>
      <c r="UPB395" s="173"/>
      <c r="UPC395" s="173"/>
      <c r="UPD395" s="173"/>
      <c r="UPE395" s="173"/>
      <c r="UPF395" s="173"/>
      <c r="UPG395" s="173"/>
      <c r="UPH395" s="173"/>
      <c r="UPI395" s="173"/>
      <c r="UPJ395" s="125"/>
      <c r="UPK395" s="125"/>
      <c r="UPL395" s="134"/>
      <c r="UPM395" s="135"/>
      <c r="UPN395" s="135"/>
      <c r="UPO395" s="135"/>
      <c r="UPP395" s="135"/>
      <c r="UPQ395" s="173"/>
      <c r="UPR395" s="173"/>
      <c r="UPS395" s="173"/>
      <c r="UPT395" s="173"/>
      <c r="UPU395" s="173"/>
      <c r="UPV395" s="173"/>
      <c r="UPW395" s="173"/>
      <c r="UPX395" s="173"/>
      <c r="UPY395" s="173"/>
      <c r="UPZ395" s="173"/>
      <c r="UQA395" s="125"/>
      <c r="UQB395" s="125"/>
      <c r="UQC395" s="134"/>
      <c r="UQD395" s="135"/>
      <c r="UQE395" s="135"/>
      <c r="UQF395" s="135"/>
      <c r="UQG395" s="135"/>
      <c r="UQH395" s="173"/>
      <c r="UQI395" s="173"/>
      <c r="UQJ395" s="173"/>
      <c r="UQK395" s="173"/>
      <c r="UQL395" s="173"/>
      <c r="UQM395" s="173"/>
      <c r="UQN395" s="173"/>
      <c r="UQO395" s="173"/>
      <c r="UQP395" s="173"/>
      <c r="UQQ395" s="173"/>
      <c r="UQR395" s="125"/>
      <c r="UQS395" s="125"/>
      <c r="UQT395" s="134"/>
      <c r="UQU395" s="135"/>
      <c r="UQV395" s="135"/>
      <c r="UQW395" s="135"/>
      <c r="UQX395" s="135"/>
      <c r="UQY395" s="173"/>
      <c r="UQZ395" s="173"/>
      <c r="URA395" s="173"/>
      <c r="URB395" s="173"/>
      <c r="URC395" s="173"/>
      <c r="URD395" s="173"/>
      <c r="URE395" s="173"/>
      <c r="URF395" s="173"/>
      <c r="URG395" s="173"/>
      <c r="URH395" s="173"/>
      <c r="URI395" s="125"/>
      <c r="URJ395" s="125"/>
      <c r="URK395" s="134"/>
      <c r="URL395" s="135"/>
      <c r="URM395" s="135"/>
      <c r="URN395" s="135"/>
      <c r="URO395" s="135"/>
      <c r="URP395" s="173"/>
      <c r="URQ395" s="173"/>
      <c r="URR395" s="173"/>
      <c r="URS395" s="173"/>
      <c r="URT395" s="173"/>
      <c r="URU395" s="173"/>
      <c r="URV395" s="173"/>
      <c r="URW395" s="173"/>
      <c r="URX395" s="173"/>
      <c r="URY395" s="173"/>
      <c r="URZ395" s="125"/>
      <c r="USA395" s="125"/>
      <c r="USB395" s="134"/>
      <c r="USC395" s="135"/>
      <c r="USD395" s="135"/>
      <c r="USE395" s="135"/>
      <c r="USF395" s="135"/>
      <c r="USG395" s="173"/>
      <c r="USH395" s="173"/>
      <c r="USI395" s="173"/>
      <c r="USJ395" s="173"/>
      <c r="USK395" s="173"/>
      <c r="USL395" s="173"/>
      <c r="USM395" s="173"/>
      <c r="USN395" s="173"/>
      <c r="USO395" s="173"/>
      <c r="USP395" s="173"/>
      <c r="USQ395" s="125"/>
      <c r="USR395" s="125"/>
      <c r="USS395" s="134"/>
      <c r="UST395" s="135"/>
      <c r="USU395" s="135"/>
      <c r="USV395" s="135"/>
      <c r="USW395" s="135"/>
      <c r="USX395" s="173"/>
      <c r="USY395" s="173"/>
      <c r="USZ395" s="173"/>
      <c r="UTA395" s="173"/>
      <c r="UTB395" s="173"/>
      <c r="UTC395" s="173"/>
      <c r="UTD395" s="173"/>
      <c r="UTE395" s="173"/>
      <c r="UTF395" s="173"/>
      <c r="UTG395" s="173"/>
      <c r="UTH395" s="125"/>
      <c r="UTI395" s="125"/>
      <c r="UTJ395" s="134"/>
      <c r="UTK395" s="135"/>
      <c r="UTL395" s="135"/>
      <c r="UTM395" s="135"/>
      <c r="UTN395" s="135"/>
      <c r="UTO395" s="173"/>
      <c r="UTP395" s="173"/>
      <c r="UTQ395" s="173"/>
      <c r="UTR395" s="173"/>
      <c r="UTS395" s="173"/>
      <c r="UTT395" s="173"/>
      <c r="UTU395" s="173"/>
      <c r="UTV395" s="173"/>
      <c r="UTW395" s="173"/>
      <c r="UTX395" s="173"/>
      <c r="UTY395" s="125"/>
      <c r="UTZ395" s="125"/>
      <c r="UUA395" s="134"/>
      <c r="UUB395" s="135"/>
      <c r="UUC395" s="135"/>
      <c r="UUD395" s="135"/>
      <c r="UUE395" s="135"/>
      <c r="UUF395" s="173"/>
      <c r="UUG395" s="173"/>
      <c r="UUH395" s="173"/>
      <c r="UUI395" s="173"/>
      <c r="UUJ395" s="173"/>
      <c r="UUK395" s="173"/>
      <c r="UUL395" s="173"/>
      <c r="UUM395" s="173"/>
      <c r="UUN395" s="173"/>
      <c r="UUO395" s="173"/>
      <c r="UUP395" s="125"/>
      <c r="UUQ395" s="125"/>
      <c r="UUR395" s="134"/>
      <c r="UUS395" s="135"/>
      <c r="UUT395" s="135"/>
      <c r="UUU395" s="135"/>
      <c r="UUV395" s="135"/>
      <c r="UUW395" s="173"/>
      <c r="UUX395" s="173"/>
      <c r="UUY395" s="173"/>
      <c r="UUZ395" s="173"/>
      <c r="UVA395" s="173"/>
      <c r="UVB395" s="173"/>
      <c r="UVC395" s="173"/>
      <c r="UVD395" s="173"/>
      <c r="UVE395" s="173"/>
      <c r="UVF395" s="173"/>
      <c r="UVG395" s="125"/>
      <c r="UVH395" s="125"/>
      <c r="UVI395" s="134"/>
      <c r="UVJ395" s="135"/>
      <c r="UVK395" s="135"/>
      <c r="UVL395" s="135"/>
      <c r="UVM395" s="135"/>
      <c r="UVN395" s="173"/>
      <c r="UVO395" s="173"/>
      <c r="UVP395" s="173"/>
      <c r="UVQ395" s="173"/>
      <c r="UVR395" s="173"/>
      <c r="UVS395" s="173"/>
      <c r="UVT395" s="173"/>
      <c r="UVU395" s="173"/>
      <c r="UVV395" s="173"/>
      <c r="UVW395" s="173"/>
      <c r="UVX395" s="125"/>
      <c r="UVY395" s="125"/>
      <c r="UVZ395" s="134"/>
      <c r="UWA395" s="135"/>
      <c r="UWB395" s="135"/>
      <c r="UWC395" s="135"/>
      <c r="UWD395" s="135"/>
      <c r="UWE395" s="173"/>
      <c r="UWF395" s="173"/>
      <c r="UWG395" s="173"/>
      <c r="UWH395" s="173"/>
      <c r="UWI395" s="173"/>
      <c r="UWJ395" s="173"/>
      <c r="UWK395" s="173"/>
      <c r="UWL395" s="173"/>
      <c r="UWM395" s="173"/>
      <c r="UWN395" s="173"/>
      <c r="UWO395" s="125"/>
      <c r="UWP395" s="125"/>
      <c r="UWQ395" s="134"/>
      <c r="UWR395" s="135"/>
      <c r="UWS395" s="135"/>
      <c r="UWT395" s="135"/>
      <c r="UWU395" s="135"/>
      <c r="UWV395" s="173"/>
      <c r="UWW395" s="173"/>
      <c r="UWX395" s="173"/>
      <c r="UWY395" s="173"/>
      <c r="UWZ395" s="173"/>
      <c r="UXA395" s="173"/>
      <c r="UXB395" s="173"/>
      <c r="UXC395" s="173"/>
      <c r="UXD395" s="173"/>
      <c r="UXE395" s="173"/>
      <c r="UXF395" s="125"/>
      <c r="UXG395" s="125"/>
      <c r="UXH395" s="134"/>
      <c r="UXI395" s="135"/>
      <c r="UXJ395" s="135"/>
      <c r="UXK395" s="135"/>
      <c r="UXL395" s="135"/>
      <c r="UXM395" s="173"/>
      <c r="UXN395" s="173"/>
      <c r="UXO395" s="173"/>
      <c r="UXP395" s="173"/>
      <c r="UXQ395" s="173"/>
      <c r="UXR395" s="173"/>
      <c r="UXS395" s="173"/>
      <c r="UXT395" s="173"/>
      <c r="UXU395" s="173"/>
      <c r="UXV395" s="173"/>
      <c r="UXW395" s="125"/>
      <c r="UXX395" s="125"/>
      <c r="UXY395" s="134"/>
      <c r="UXZ395" s="135"/>
      <c r="UYA395" s="135"/>
      <c r="UYB395" s="135"/>
      <c r="UYC395" s="135"/>
      <c r="UYD395" s="173"/>
      <c r="UYE395" s="173"/>
      <c r="UYF395" s="173"/>
      <c r="UYG395" s="173"/>
      <c r="UYH395" s="173"/>
      <c r="UYI395" s="173"/>
      <c r="UYJ395" s="173"/>
      <c r="UYK395" s="173"/>
      <c r="UYL395" s="173"/>
      <c r="UYM395" s="173"/>
      <c r="UYN395" s="125"/>
      <c r="UYO395" s="125"/>
      <c r="UYP395" s="134"/>
      <c r="UYQ395" s="135"/>
      <c r="UYR395" s="135"/>
      <c r="UYS395" s="135"/>
      <c r="UYT395" s="135"/>
      <c r="UYU395" s="173"/>
      <c r="UYV395" s="173"/>
      <c r="UYW395" s="173"/>
      <c r="UYX395" s="173"/>
      <c r="UYY395" s="173"/>
      <c r="UYZ395" s="173"/>
      <c r="UZA395" s="173"/>
      <c r="UZB395" s="173"/>
      <c r="UZC395" s="173"/>
      <c r="UZD395" s="173"/>
      <c r="UZE395" s="125"/>
      <c r="UZF395" s="125"/>
      <c r="UZG395" s="134"/>
      <c r="UZH395" s="135"/>
      <c r="UZI395" s="135"/>
      <c r="UZJ395" s="135"/>
      <c r="UZK395" s="135"/>
      <c r="UZL395" s="173"/>
      <c r="UZM395" s="173"/>
      <c r="UZN395" s="173"/>
      <c r="UZO395" s="173"/>
      <c r="UZP395" s="173"/>
      <c r="UZQ395" s="173"/>
      <c r="UZR395" s="173"/>
      <c r="UZS395" s="173"/>
      <c r="UZT395" s="173"/>
      <c r="UZU395" s="173"/>
      <c r="UZV395" s="125"/>
      <c r="UZW395" s="125"/>
      <c r="UZX395" s="134"/>
      <c r="UZY395" s="135"/>
      <c r="UZZ395" s="135"/>
      <c r="VAA395" s="135"/>
      <c r="VAB395" s="135"/>
      <c r="VAC395" s="173"/>
      <c r="VAD395" s="173"/>
      <c r="VAE395" s="173"/>
      <c r="VAF395" s="173"/>
      <c r="VAG395" s="173"/>
      <c r="VAH395" s="173"/>
      <c r="VAI395" s="173"/>
      <c r="VAJ395" s="173"/>
      <c r="VAK395" s="173"/>
      <c r="VAL395" s="173"/>
      <c r="VAM395" s="125"/>
      <c r="VAN395" s="125"/>
      <c r="VAO395" s="134"/>
      <c r="VAP395" s="135"/>
      <c r="VAQ395" s="135"/>
      <c r="VAR395" s="135"/>
      <c r="VAS395" s="135"/>
      <c r="VAT395" s="173"/>
      <c r="VAU395" s="173"/>
      <c r="VAV395" s="173"/>
      <c r="VAW395" s="173"/>
      <c r="VAX395" s="173"/>
      <c r="VAY395" s="173"/>
      <c r="VAZ395" s="173"/>
      <c r="VBA395" s="173"/>
      <c r="VBB395" s="173"/>
      <c r="VBC395" s="173"/>
      <c r="VBD395" s="125"/>
      <c r="VBE395" s="125"/>
      <c r="VBF395" s="134"/>
      <c r="VBG395" s="135"/>
      <c r="VBH395" s="135"/>
      <c r="VBI395" s="135"/>
      <c r="VBJ395" s="135"/>
      <c r="VBK395" s="173"/>
      <c r="VBL395" s="173"/>
      <c r="VBM395" s="173"/>
      <c r="VBN395" s="173"/>
      <c r="VBO395" s="173"/>
      <c r="VBP395" s="173"/>
      <c r="VBQ395" s="173"/>
      <c r="VBR395" s="173"/>
      <c r="VBS395" s="173"/>
      <c r="VBT395" s="173"/>
      <c r="VBU395" s="125"/>
      <c r="VBV395" s="125"/>
      <c r="VBW395" s="134"/>
      <c r="VBX395" s="135"/>
      <c r="VBY395" s="135"/>
      <c r="VBZ395" s="135"/>
      <c r="VCA395" s="135"/>
      <c r="VCB395" s="173"/>
      <c r="VCC395" s="173"/>
      <c r="VCD395" s="173"/>
      <c r="VCE395" s="173"/>
      <c r="VCF395" s="173"/>
      <c r="VCG395" s="173"/>
      <c r="VCH395" s="173"/>
      <c r="VCI395" s="173"/>
      <c r="VCJ395" s="173"/>
      <c r="VCK395" s="173"/>
      <c r="VCL395" s="125"/>
      <c r="VCM395" s="125"/>
      <c r="VCN395" s="134"/>
      <c r="VCO395" s="135"/>
      <c r="VCP395" s="135"/>
      <c r="VCQ395" s="135"/>
      <c r="VCR395" s="135"/>
      <c r="VCS395" s="173"/>
      <c r="VCT395" s="173"/>
      <c r="VCU395" s="173"/>
      <c r="VCV395" s="173"/>
      <c r="VCW395" s="173"/>
      <c r="VCX395" s="173"/>
      <c r="VCY395" s="173"/>
      <c r="VCZ395" s="173"/>
      <c r="VDA395" s="173"/>
      <c r="VDB395" s="173"/>
      <c r="VDC395" s="125"/>
      <c r="VDD395" s="125"/>
      <c r="VDE395" s="134"/>
      <c r="VDF395" s="135"/>
      <c r="VDG395" s="135"/>
      <c r="VDH395" s="135"/>
      <c r="VDI395" s="135"/>
      <c r="VDJ395" s="173"/>
      <c r="VDK395" s="173"/>
      <c r="VDL395" s="173"/>
      <c r="VDM395" s="173"/>
      <c r="VDN395" s="173"/>
      <c r="VDO395" s="173"/>
      <c r="VDP395" s="173"/>
      <c r="VDQ395" s="173"/>
      <c r="VDR395" s="173"/>
      <c r="VDS395" s="173"/>
      <c r="VDT395" s="125"/>
      <c r="VDU395" s="125"/>
      <c r="VDV395" s="134"/>
      <c r="VDW395" s="135"/>
      <c r="VDX395" s="135"/>
      <c r="VDY395" s="135"/>
      <c r="VDZ395" s="135"/>
      <c r="VEA395" s="173"/>
      <c r="VEB395" s="173"/>
      <c r="VEC395" s="173"/>
      <c r="VED395" s="173"/>
      <c r="VEE395" s="173"/>
      <c r="VEF395" s="173"/>
      <c r="VEG395" s="173"/>
      <c r="VEH395" s="173"/>
      <c r="VEI395" s="173"/>
      <c r="VEJ395" s="173"/>
      <c r="VEK395" s="125"/>
      <c r="VEL395" s="125"/>
      <c r="VEM395" s="134"/>
      <c r="VEN395" s="135"/>
      <c r="VEO395" s="135"/>
      <c r="VEP395" s="135"/>
      <c r="VEQ395" s="135"/>
      <c r="VER395" s="173"/>
      <c r="VES395" s="173"/>
      <c r="VET395" s="173"/>
      <c r="VEU395" s="173"/>
      <c r="VEV395" s="173"/>
      <c r="VEW395" s="173"/>
      <c r="VEX395" s="173"/>
      <c r="VEY395" s="173"/>
      <c r="VEZ395" s="173"/>
      <c r="VFA395" s="173"/>
      <c r="VFB395" s="125"/>
      <c r="VFC395" s="125"/>
      <c r="VFD395" s="134"/>
      <c r="VFE395" s="135"/>
      <c r="VFF395" s="135"/>
      <c r="VFG395" s="135"/>
      <c r="VFH395" s="135"/>
      <c r="VFI395" s="173"/>
      <c r="VFJ395" s="173"/>
      <c r="VFK395" s="173"/>
      <c r="VFL395" s="173"/>
      <c r="VFM395" s="173"/>
      <c r="VFN395" s="173"/>
      <c r="VFO395" s="173"/>
      <c r="VFP395" s="173"/>
      <c r="VFQ395" s="173"/>
      <c r="VFR395" s="173"/>
      <c r="VFS395" s="125"/>
      <c r="VFT395" s="125"/>
      <c r="VFU395" s="134"/>
      <c r="VFV395" s="135"/>
      <c r="VFW395" s="135"/>
      <c r="VFX395" s="135"/>
      <c r="VFY395" s="135"/>
      <c r="VFZ395" s="173"/>
      <c r="VGA395" s="173"/>
      <c r="VGB395" s="173"/>
      <c r="VGC395" s="173"/>
      <c r="VGD395" s="173"/>
      <c r="VGE395" s="173"/>
      <c r="VGF395" s="173"/>
      <c r="VGG395" s="173"/>
      <c r="VGH395" s="173"/>
      <c r="VGI395" s="173"/>
      <c r="VGJ395" s="125"/>
      <c r="VGK395" s="125"/>
      <c r="VGL395" s="134"/>
      <c r="VGM395" s="135"/>
      <c r="VGN395" s="135"/>
      <c r="VGO395" s="135"/>
      <c r="VGP395" s="135"/>
      <c r="VGQ395" s="173"/>
      <c r="VGR395" s="173"/>
      <c r="VGS395" s="173"/>
      <c r="VGT395" s="173"/>
      <c r="VGU395" s="173"/>
      <c r="VGV395" s="173"/>
      <c r="VGW395" s="173"/>
      <c r="VGX395" s="173"/>
      <c r="VGY395" s="173"/>
      <c r="VGZ395" s="173"/>
      <c r="VHA395" s="125"/>
      <c r="VHB395" s="125"/>
      <c r="VHC395" s="134"/>
      <c r="VHD395" s="135"/>
      <c r="VHE395" s="135"/>
      <c r="VHF395" s="135"/>
      <c r="VHG395" s="135"/>
      <c r="VHH395" s="173"/>
      <c r="VHI395" s="173"/>
      <c r="VHJ395" s="173"/>
      <c r="VHK395" s="173"/>
      <c r="VHL395" s="173"/>
      <c r="VHM395" s="173"/>
      <c r="VHN395" s="173"/>
      <c r="VHO395" s="173"/>
      <c r="VHP395" s="173"/>
      <c r="VHQ395" s="173"/>
      <c r="VHR395" s="125"/>
      <c r="VHS395" s="125"/>
      <c r="VHT395" s="134"/>
      <c r="VHU395" s="135"/>
      <c r="VHV395" s="135"/>
      <c r="VHW395" s="135"/>
      <c r="VHX395" s="135"/>
      <c r="VHY395" s="173"/>
      <c r="VHZ395" s="173"/>
      <c r="VIA395" s="173"/>
      <c r="VIB395" s="173"/>
      <c r="VIC395" s="173"/>
      <c r="VID395" s="173"/>
      <c r="VIE395" s="173"/>
      <c r="VIF395" s="173"/>
      <c r="VIG395" s="173"/>
      <c r="VIH395" s="173"/>
      <c r="VII395" s="125"/>
      <c r="VIJ395" s="125"/>
      <c r="VIK395" s="134"/>
      <c r="VIL395" s="135"/>
      <c r="VIM395" s="135"/>
      <c r="VIN395" s="135"/>
      <c r="VIO395" s="135"/>
      <c r="VIP395" s="173"/>
      <c r="VIQ395" s="173"/>
      <c r="VIR395" s="173"/>
      <c r="VIS395" s="173"/>
      <c r="VIT395" s="173"/>
      <c r="VIU395" s="173"/>
      <c r="VIV395" s="173"/>
      <c r="VIW395" s="173"/>
      <c r="VIX395" s="173"/>
      <c r="VIY395" s="173"/>
      <c r="VIZ395" s="125"/>
      <c r="VJA395" s="125"/>
      <c r="VJB395" s="134"/>
      <c r="VJC395" s="135"/>
      <c r="VJD395" s="135"/>
      <c r="VJE395" s="135"/>
      <c r="VJF395" s="135"/>
      <c r="VJG395" s="173"/>
      <c r="VJH395" s="173"/>
      <c r="VJI395" s="173"/>
      <c r="VJJ395" s="173"/>
      <c r="VJK395" s="173"/>
      <c r="VJL395" s="173"/>
      <c r="VJM395" s="173"/>
      <c r="VJN395" s="173"/>
      <c r="VJO395" s="173"/>
      <c r="VJP395" s="173"/>
      <c r="VJQ395" s="125"/>
      <c r="VJR395" s="125"/>
      <c r="VJS395" s="134"/>
      <c r="VJT395" s="135"/>
      <c r="VJU395" s="135"/>
      <c r="VJV395" s="135"/>
      <c r="VJW395" s="135"/>
      <c r="VJX395" s="173"/>
      <c r="VJY395" s="173"/>
      <c r="VJZ395" s="173"/>
      <c r="VKA395" s="173"/>
      <c r="VKB395" s="173"/>
      <c r="VKC395" s="173"/>
      <c r="VKD395" s="173"/>
      <c r="VKE395" s="173"/>
      <c r="VKF395" s="173"/>
      <c r="VKG395" s="173"/>
      <c r="VKH395" s="125"/>
      <c r="VKI395" s="125"/>
      <c r="VKJ395" s="134"/>
      <c r="VKK395" s="135"/>
      <c r="VKL395" s="135"/>
      <c r="VKM395" s="135"/>
      <c r="VKN395" s="135"/>
      <c r="VKO395" s="173"/>
      <c r="VKP395" s="173"/>
      <c r="VKQ395" s="173"/>
      <c r="VKR395" s="173"/>
      <c r="VKS395" s="173"/>
      <c r="VKT395" s="173"/>
      <c r="VKU395" s="173"/>
      <c r="VKV395" s="173"/>
      <c r="VKW395" s="173"/>
      <c r="VKX395" s="173"/>
      <c r="VKY395" s="125"/>
      <c r="VKZ395" s="125"/>
      <c r="VLA395" s="134"/>
      <c r="VLB395" s="135"/>
      <c r="VLC395" s="135"/>
      <c r="VLD395" s="135"/>
      <c r="VLE395" s="135"/>
      <c r="VLF395" s="173"/>
      <c r="VLG395" s="173"/>
      <c r="VLH395" s="173"/>
      <c r="VLI395" s="173"/>
      <c r="VLJ395" s="173"/>
      <c r="VLK395" s="173"/>
      <c r="VLL395" s="173"/>
      <c r="VLM395" s="173"/>
      <c r="VLN395" s="173"/>
      <c r="VLO395" s="173"/>
      <c r="VLP395" s="125"/>
      <c r="VLQ395" s="125"/>
      <c r="VLR395" s="134"/>
      <c r="VLS395" s="135"/>
      <c r="VLT395" s="135"/>
      <c r="VLU395" s="135"/>
      <c r="VLV395" s="135"/>
      <c r="VLW395" s="173"/>
      <c r="VLX395" s="173"/>
      <c r="VLY395" s="173"/>
      <c r="VLZ395" s="173"/>
      <c r="VMA395" s="173"/>
      <c r="VMB395" s="173"/>
      <c r="VMC395" s="173"/>
      <c r="VMD395" s="173"/>
      <c r="VME395" s="173"/>
      <c r="VMF395" s="173"/>
      <c r="VMG395" s="125"/>
      <c r="VMH395" s="125"/>
      <c r="VMI395" s="134"/>
      <c r="VMJ395" s="135"/>
      <c r="VMK395" s="135"/>
      <c r="VML395" s="135"/>
      <c r="VMM395" s="135"/>
      <c r="VMN395" s="173"/>
      <c r="VMO395" s="173"/>
      <c r="VMP395" s="173"/>
      <c r="VMQ395" s="173"/>
      <c r="VMR395" s="173"/>
      <c r="VMS395" s="173"/>
      <c r="VMT395" s="173"/>
      <c r="VMU395" s="173"/>
      <c r="VMV395" s="173"/>
      <c r="VMW395" s="173"/>
      <c r="VMX395" s="125"/>
      <c r="VMY395" s="125"/>
      <c r="VMZ395" s="134"/>
      <c r="VNA395" s="135"/>
      <c r="VNB395" s="135"/>
      <c r="VNC395" s="135"/>
      <c r="VND395" s="135"/>
      <c r="VNE395" s="173"/>
      <c r="VNF395" s="173"/>
      <c r="VNG395" s="173"/>
      <c r="VNH395" s="173"/>
      <c r="VNI395" s="173"/>
      <c r="VNJ395" s="173"/>
      <c r="VNK395" s="173"/>
      <c r="VNL395" s="173"/>
      <c r="VNM395" s="173"/>
      <c r="VNN395" s="173"/>
      <c r="VNO395" s="125"/>
      <c r="VNP395" s="125"/>
      <c r="VNQ395" s="134"/>
      <c r="VNR395" s="135"/>
      <c r="VNS395" s="135"/>
      <c r="VNT395" s="135"/>
      <c r="VNU395" s="135"/>
      <c r="VNV395" s="173"/>
      <c r="VNW395" s="173"/>
      <c r="VNX395" s="173"/>
      <c r="VNY395" s="173"/>
      <c r="VNZ395" s="173"/>
      <c r="VOA395" s="173"/>
      <c r="VOB395" s="173"/>
      <c r="VOC395" s="173"/>
      <c r="VOD395" s="173"/>
      <c r="VOE395" s="173"/>
      <c r="VOF395" s="125"/>
      <c r="VOG395" s="125"/>
      <c r="VOH395" s="134"/>
      <c r="VOI395" s="135"/>
      <c r="VOJ395" s="135"/>
      <c r="VOK395" s="135"/>
      <c r="VOL395" s="135"/>
      <c r="VOM395" s="173"/>
      <c r="VON395" s="173"/>
      <c r="VOO395" s="173"/>
      <c r="VOP395" s="173"/>
      <c r="VOQ395" s="173"/>
      <c r="VOR395" s="173"/>
      <c r="VOS395" s="173"/>
      <c r="VOT395" s="173"/>
      <c r="VOU395" s="173"/>
      <c r="VOV395" s="173"/>
      <c r="VOW395" s="125"/>
      <c r="VOX395" s="125"/>
      <c r="VOY395" s="134"/>
      <c r="VOZ395" s="135"/>
      <c r="VPA395" s="135"/>
      <c r="VPB395" s="135"/>
      <c r="VPC395" s="135"/>
      <c r="VPD395" s="173"/>
      <c r="VPE395" s="173"/>
      <c r="VPF395" s="173"/>
      <c r="VPG395" s="173"/>
      <c r="VPH395" s="173"/>
      <c r="VPI395" s="173"/>
      <c r="VPJ395" s="173"/>
      <c r="VPK395" s="173"/>
      <c r="VPL395" s="173"/>
      <c r="VPM395" s="173"/>
      <c r="VPN395" s="125"/>
      <c r="VPO395" s="125"/>
      <c r="VPP395" s="134"/>
      <c r="VPQ395" s="135"/>
      <c r="VPR395" s="135"/>
      <c r="VPS395" s="135"/>
      <c r="VPT395" s="135"/>
      <c r="VPU395" s="173"/>
      <c r="VPV395" s="173"/>
      <c r="VPW395" s="173"/>
      <c r="VPX395" s="173"/>
      <c r="VPY395" s="173"/>
      <c r="VPZ395" s="173"/>
      <c r="VQA395" s="173"/>
      <c r="VQB395" s="173"/>
      <c r="VQC395" s="173"/>
      <c r="VQD395" s="173"/>
      <c r="VQE395" s="125"/>
      <c r="VQF395" s="125"/>
      <c r="VQG395" s="134"/>
      <c r="VQH395" s="135"/>
      <c r="VQI395" s="135"/>
      <c r="VQJ395" s="135"/>
      <c r="VQK395" s="135"/>
      <c r="VQL395" s="173"/>
      <c r="VQM395" s="173"/>
      <c r="VQN395" s="173"/>
      <c r="VQO395" s="173"/>
      <c r="VQP395" s="173"/>
      <c r="VQQ395" s="173"/>
      <c r="VQR395" s="173"/>
      <c r="VQS395" s="173"/>
      <c r="VQT395" s="173"/>
      <c r="VQU395" s="173"/>
      <c r="VQV395" s="125"/>
      <c r="VQW395" s="125"/>
      <c r="VQX395" s="134"/>
      <c r="VQY395" s="135"/>
      <c r="VQZ395" s="135"/>
      <c r="VRA395" s="135"/>
      <c r="VRB395" s="135"/>
      <c r="VRC395" s="173"/>
      <c r="VRD395" s="173"/>
      <c r="VRE395" s="173"/>
      <c r="VRF395" s="173"/>
      <c r="VRG395" s="173"/>
      <c r="VRH395" s="173"/>
      <c r="VRI395" s="173"/>
      <c r="VRJ395" s="173"/>
      <c r="VRK395" s="173"/>
      <c r="VRL395" s="173"/>
      <c r="VRM395" s="125"/>
      <c r="VRN395" s="125"/>
      <c r="VRO395" s="134"/>
      <c r="VRP395" s="135"/>
      <c r="VRQ395" s="135"/>
      <c r="VRR395" s="135"/>
      <c r="VRS395" s="135"/>
      <c r="VRT395" s="173"/>
      <c r="VRU395" s="173"/>
      <c r="VRV395" s="173"/>
      <c r="VRW395" s="173"/>
      <c r="VRX395" s="173"/>
      <c r="VRY395" s="173"/>
      <c r="VRZ395" s="173"/>
      <c r="VSA395" s="173"/>
      <c r="VSB395" s="173"/>
      <c r="VSC395" s="173"/>
      <c r="VSD395" s="125"/>
      <c r="VSE395" s="125"/>
      <c r="VSF395" s="134"/>
      <c r="VSG395" s="135"/>
      <c r="VSH395" s="135"/>
      <c r="VSI395" s="135"/>
      <c r="VSJ395" s="135"/>
      <c r="VSK395" s="173"/>
      <c r="VSL395" s="173"/>
      <c r="VSM395" s="173"/>
      <c r="VSN395" s="173"/>
      <c r="VSO395" s="173"/>
      <c r="VSP395" s="173"/>
      <c r="VSQ395" s="173"/>
      <c r="VSR395" s="173"/>
      <c r="VSS395" s="173"/>
      <c r="VST395" s="173"/>
      <c r="VSU395" s="125"/>
      <c r="VSV395" s="125"/>
      <c r="VSW395" s="134"/>
      <c r="VSX395" s="135"/>
      <c r="VSY395" s="135"/>
      <c r="VSZ395" s="135"/>
      <c r="VTA395" s="135"/>
      <c r="VTB395" s="173"/>
      <c r="VTC395" s="173"/>
      <c r="VTD395" s="173"/>
      <c r="VTE395" s="173"/>
      <c r="VTF395" s="173"/>
      <c r="VTG395" s="173"/>
      <c r="VTH395" s="173"/>
      <c r="VTI395" s="173"/>
      <c r="VTJ395" s="173"/>
      <c r="VTK395" s="173"/>
      <c r="VTL395" s="125"/>
      <c r="VTM395" s="125"/>
      <c r="VTN395" s="134"/>
      <c r="VTO395" s="135"/>
      <c r="VTP395" s="135"/>
      <c r="VTQ395" s="135"/>
      <c r="VTR395" s="135"/>
      <c r="VTS395" s="173"/>
      <c r="VTT395" s="173"/>
      <c r="VTU395" s="173"/>
      <c r="VTV395" s="173"/>
      <c r="VTW395" s="173"/>
      <c r="VTX395" s="173"/>
      <c r="VTY395" s="173"/>
      <c r="VTZ395" s="173"/>
      <c r="VUA395" s="173"/>
      <c r="VUB395" s="173"/>
      <c r="VUC395" s="125"/>
      <c r="VUD395" s="125"/>
      <c r="VUE395" s="134"/>
      <c r="VUF395" s="135"/>
      <c r="VUG395" s="135"/>
      <c r="VUH395" s="135"/>
      <c r="VUI395" s="135"/>
      <c r="VUJ395" s="173"/>
      <c r="VUK395" s="173"/>
      <c r="VUL395" s="173"/>
      <c r="VUM395" s="173"/>
      <c r="VUN395" s="173"/>
      <c r="VUO395" s="173"/>
      <c r="VUP395" s="173"/>
      <c r="VUQ395" s="173"/>
      <c r="VUR395" s="173"/>
      <c r="VUS395" s="173"/>
      <c r="VUT395" s="125"/>
      <c r="VUU395" s="125"/>
      <c r="VUV395" s="134"/>
      <c r="VUW395" s="135"/>
      <c r="VUX395" s="135"/>
      <c r="VUY395" s="135"/>
      <c r="VUZ395" s="135"/>
      <c r="VVA395" s="173"/>
      <c r="VVB395" s="173"/>
      <c r="VVC395" s="173"/>
      <c r="VVD395" s="173"/>
      <c r="VVE395" s="173"/>
      <c r="VVF395" s="173"/>
      <c r="VVG395" s="173"/>
      <c r="VVH395" s="173"/>
      <c r="VVI395" s="173"/>
      <c r="VVJ395" s="173"/>
      <c r="VVK395" s="125"/>
      <c r="VVL395" s="125"/>
      <c r="VVM395" s="134"/>
      <c r="VVN395" s="135"/>
      <c r="VVO395" s="135"/>
      <c r="VVP395" s="135"/>
      <c r="VVQ395" s="135"/>
      <c r="VVR395" s="173"/>
      <c r="VVS395" s="173"/>
      <c r="VVT395" s="173"/>
      <c r="VVU395" s="173"/>
      <c r="VVV395" s="173"/>
      <c r="VVW395" s="173"/>
      <c r="VVX395" s="173"/>
      <c r="VVY395" s="173"/>
      <c r="VVZ395" s="173"/>
      <c r="VWA395" s="173"/>
      <c r="VWB395" s="125"/>
      <c r="VWC395" s="125"/>
      <c r="VWD395" s="134"/>
      <c r="VWE395" s="135"/>
      <c r="VWF395" s="135"/>
      <c r="VWG395" s="135"/>
      <c r="VWH395" s="135"/>
      <c r="VWI395" s="173"/>
      <c r="VWJ395" s="173"/>
      <c r="VWK395" s="173"/>
      <c r="VWL395" s="173"/>
      <c r="VWM395" s="173"/>
      <c r="VWN395" s="173"/>
      <c r="VWO395" s="173"/>
      <c r="VWP395" s="173"/>
      <c r="VWQ395" s="173"/>
      <c r="VWR395" s="173"/>
      <c r="VWS395" s="125"/>
      <c r="VWT395" s="125"/>
      <c r="VWU395" s="134"/>
      <c r="VWV395" s="135"/>
      <c r="VWW395" s="135"/>
      <c r="VWX395" s="135"/>
      <c r="VWY395" s="135"/>
      <c r="VWZ395" s="173"/>
      <c r="VXA395" s="173"/>
      <c r="VXB395" s="173"/>
      <c r="VXC395" s="173"/>
      <c r="VXD395" s="173"/>
      <c r="VXE395" s="173"/>
      <c r="VXF395" s="173"/>
      <c r="VXG395" s="173"/>
      <c r="VXH395" s="173"/>
      <c r="VXI395" s="173"/>
      <c r="VXJ395" s="125"/>
      <c r="VXK395" s="125"/>
      <c r="VXL395" s="134"/>
      <c r="VXM395" s="135"/>
      <c r="VXN395" s="135"/>
      <c r="VXO395" s="135"/>
      <c r="VXP395" s="135"/>
      <c r="VXQ395" s="173"/>
      <c r="VXR395" s="173"/>
      <c r="VXS395" s="173"/>
      <c r="VXT395" s="173"/>
      <c r="VXU395" s="173"/>
      <c r="VXV395" s="173"/>
      <c r="VXW395" s="173"/>
      <c r="VXX395" s="173"/>
      <c r="VXY395" s="173"/>
      <c r="VXZ395" s="173"/>
      <c r="VYA395" s="125"/>
      <c r="VYB395" s="125"/>
      <c r="VYC395" s="134"/>
      <c r="VYD395" s="135"/>
      <c r="VYE395" s="135"/>
      <c r="VYF395" s="135"/>
      <c r="VYG395" s="135"/>
      <c r="VYH395" s="173"/>
      <c r="VYI395" s="173"/>
      <c r="VYJ395" s="173"/>
      <c r="VYK395" s="173"/>
      <c r="VYL395" s="173"/>
      <c r="VYM395" s="173"/>
      <c r="VYN395" s="173"/>
      <c r="VYO395" s="173"/>
      <c r="VYP395" s="173"/>
      <c r="VYQ395" s="173"/>
      <c r="VYR395" s="125"/>
      <c r="VYS395" s="125"/>
      <c r="VYT395" s="134"/>
      <c r="VYU395" s="135"/>
      <c r="VYV395" s="135"/>
      <c r="VYW395" s="135"/>
      <c r="VYX395" s="135"/>
      <c r="VYY395" s="173"/>
      <c r="VYZ395" s="173"/>
      <c r="VZA395" s="173"/>
      <c r="VZB395" s="173"/>
      <c r="VZC395" s="173"/>
      <c r="VZD395" s="173"/>
      <c r="VZE395" s="173"/>
      <c r="VZF395" s="173"/>
      <c r="VZG395" s="173"/>
      <c r="VZH395" s="173"/>
      <c r="VZI395" s="125"/>
      <c r="VZJ395" s="125"/>
      <c r="VZK395" s="134"/>
      <c r="VZL395" s="135"/>
      <c r="VZM395" s="135"/>
      <c r="VZN395" s="135"/>
      <c r="VZO395" s="135"/>
      <c r="VZP395" s="173"/>
      <c r="VZQ395" s="173"/>
      <c r="VZR395" s="173"/>
      <c r="VZS395" s="173"/>
      <c r="VZT395" s="173"/>
      <c r="VZU395" s="173"/>
      <c r="VZV395" s="173"/>
      <c r="VZW395" s="173"/>
      <c r="VZX395" s="173"/>
      <c r="VZY395" s="173"/>
      <c r="VZZ395" s="125"/>
      <c r="WAA395" s="125"/>
      <c r="WAB395" s="134"/>
      <c r="WAC395" s="135"/>
      <c r="WAD395" s="135"/>
      <c r="WAE395" s="135"/>
      <c r="WAF395" s="135"/>
      <c r="WAG395" s="173"/>
      <c r="WAH395" s="173"/>
      <c r="WAI395" s="173"/>
      <c r="WAJ395" s="173"/>
      <c r="WAK395" s="173"/>
      <c r="WAL395" s="173"/>
      <c r="WAM395" s="173"/>
      <c r="WAN395" s="173"/>
      <c r="WAO395" s="173"/>
      <c r="WAP395" s="173"/>
      <c r="WAQ395" s="125"/>
      <c r="WAR395" s="125"/>
      <c r="WAS395" s="134"/>
      <c r="WAT395" s="135"/>
      <c r="WAU395" s="135"/>
      <c r="WAV395" s="135"/>
      <c r="WAW395" s="135"/>
      <c r="WAX395" s="173"/>
      <c r="WAY395" s="173"/>
      <c r="WAZ395" s="173"/>
      <c r="WBA395" s="173"/>
      <c r="WBB395" s="173"/>
      <c r="WBC395" s="173"/>
      <c r="WBD395" s="173"/>
      <c r="WBE395" s="173"/>
      <c r="WBF395" s="173"/>
      <c r="WBG395" s="173"/>
      <c r="WBH395" s="125"/>
      <c r="WBI395" s="125"/>
      <c r="WBJ395" s="134"/>
      <c r="WBK395" s="135"/>
      <c r="WBL395" s="135"/>
      <c r="WBM395" s="135"/>
      <c r="WBN395" s="135"/>
      <c r="WBO395" s="173"/>
      <c r="WBP395" s="173"/>
      <c r="WBQ395" s="173"/>
      <c r="WBR395" s="173"/>
      <c r="WBS395" s="173"/>
      <c r="WBT395" s="173"/>
      <c r="WBU395" s="173"/>
      <c r="WBV395" s="173"/>
      <c r="WBW395" s="173"/>
      <c r="WBX395" s="173"/>
      <c r="WBY395" s="125"/>
      <c r="WBZ395" s="125"/>
      <c r="WCA395" s="134"/>
      <c r="WCB395" s="135"/>
      <c r="WCC395" s="135"/>
      <c r="WCD395" s="135"/>
      <c r="WCE395" s="135"/>
      <c r="WCF395" s="173"/>
      <c r="WCG395" s="173"/>
      <c r="WCH395" s="173"/>
      <c r="WCI395" s="173"/>
      <c r="WCJ395" s="173"/>
      <c r="WCK395" s="173"/>
      <c r="WCL395" s="173"/>
      <c r="WCM395" s="173"/>
      <c r="WCN395" s="173"/>
      <c r="WCO395" s="173"/>
      <c r="WCP395" s="125"/>
      <c r="WCQ395" s="125"/>
      <c r="WCR395" s="134"/>
      <c r="WCS395" s="135"/>
      <c r="WCT395" s="135"/>
      <c r="WCU395" s="135"/>
      <c r="WCV395" s="135"/>
      <c r="WCW395" s="173"/>
      <c r="WCX395" s="173"/>
      <c r="WCY395" s="173"/>
      <c r="WCZ395" s="173"/>
      <c r="WDA395" s="173"/>
      <c r="WDB395" s="173"/>
      <c r="WDC395" s="173"/>
      <c r="WDD395" s="173"/>
      <c r="WDE395" s="173"/>
      <c r="WDF395" s="173"/>
      <c r="WDG395" s="125"/>
      <c r="WDH395" s="125"/>
      <c r="WDI395" s="134"/>
      <c r="WDJ395" s="135"/>
      <c r="WDK395" s="135"/>
      <c r="WDL395" s="135"/>
      <c r="WDM395" s="135"/>
      <c r="WDN395" s="173"/>
      <c r="WDO395" s="173"/>
      <c r="WDP395" s="173"/>
      <c r="WDQ395" s="173"/>
      <c r="WDR395" s="173"/>
      <c r="WDS395" s="173"/>
      <c r="WDT395" s="173"/>
      <c r="WDU395" s="173"/>
      <c r="WDV395" s="173"/>
      <c r="WDW395" s="173"/>
      <c r="WDX395" s="125"/>
      <c r="WDY395" s="125"/>
      <c r="WDZ395" s="134"/>
      <c r="WEA395" s="135"/>
      <c r="WEB395" s="135"/>
      <c r="WEC395" s="135"/>
      <c r="WED395" s="135"/>
      <c r="WEE395" s="173"/>
      <c r="WEF395" s="173"/>
      <c r="WEG395" s="173"/>
      <c r="WEH395" s="173"/>
      <c r="WEI395" s="173"/>
      <c r="WEJ395" s="173"/>
      <c r="WEK395" s="173"/>
      <c r="WEL395" s="173"/>
      <c r="WEM395" s="173"/>
      <c r="WEN395" s="173"/>
      <c r="WEO395" s="125"/>
      <c r="WEP395" s="125"/>
      <c r="WEQ395" s="134"/>
      <c r="WER395" s="135"/>
      <c r="WES395" s="135"/>
      <c r="WET395" s="135"/>
      <c r="WEU395" s="135"/>
      <c r="WEV395" s="173"/>
      <c r="WEW395" s="173"/>
      <c r="WEX395" s="173"/>
      <c r="WEY395" s="173"/>
      <c r="WEZ395" s="173"/>
      <c r="WFA395" s="173"/>
      <c r="WFB395" s="173"/>
      <c r="WFC395" s="173"/>
      <c r="WFD395" s="173"/>
      <c r="WFE395" s="173"/>
      <c r="WFF395" s="125"/>
      <c r="WFG395" s="125"/>
      <c r="WFH395" s="134"/>
      <c r="WFI395" s="135"/>
      <c r="WFJ395" s="135"/>
      <c r="WFK395" s="135"/>
      <c r="WFL395" s="135"/>
      <c r="WFM395" s="173"/>
      <c r="WFN395" s="173"/>
      <c r="WFO395" s="173"/>
      <c r="WFP395" s="173"/>
      <c r="WFQ395" s="173"/>
      <c r="WFR395" s="173"/>
      <c r="WFS395" s="173"/>
      <c r="WFT395" s="173"/>
      <c r="WFU395" s="173"/>
      <c r="WFV395" s="173"/>
      <c r="WFW395" s="125"/>
      <c r="WFX395" s="125"/>
      <c r="WFY395" s="134"/>
      <c r="WFZ395" s="135"/>
      <c r="WGA395" s="135"/>
      <c r="WGB395" s="135"/>
      <c r="WGC395" s="135"/>
      <c r="WGD395" s="173"/>
      <c r="WGE395" s="173"/>
      <c r="WGF395" s="173"/>
      <c r="WGG395" s="173"/>
      <c r="WGH395" s="173"/>
      <c r="WGI395" s="173"/>
      <c r="WGJ395" s="173"/>
      <c r="WGK395" s="173"/>
      <c r="WGL395" s="173"/>
      <c r="WGM395" s="173"/>
      <c r="WGN395" s="125"/>
      <c r="WGO395" s="125"/>
      <c r="WGP395" s="134"/>
      <c r="WGQ395" s="135"/>
      <c r="WGR395" s="135"/>
      <c r="WGS395" s="135"/>
      <c r="WGT395" s="135"/>
      <c r="WGU395" s="173"/>
      <c r="WGV395" s="173"/>
      <c r="WGW395" s="173"/>
      <c r="WGX395" s="173"/>
      <c r="WGY395" s="173"/>
      <c r="WGZ395" s="173"/>
      <c r="WHA395" s="173"/>
      <c r="WHB395" s="173"/>
      <c r="WHC395" s="173"/>
      <c r="WHD395" s="173"/>
      <c r="WHE395" s="125"/>
      <c r="WHF395" s="125"/>
      <c r="WHG395" s="134"/>
      <c r="WHH395" s="135"/>
      <c r="WHI395" s="135"/>
      <c r="WHJ395" s="135"/>
      <c r="WHK395" s="135"/>
      <c r="WHL395" s="173"/>
      <c r="WHM395" s="173"/>
      <c r="WHN395" s="173"/>
      <c r="WHO395" s="173"/>
      <c r="WHP395" s="173"/>
      <c r="WHQ395" s="173"/>
      <c r="WHR395" s="173"/>
      <c r="WHS395" s="173"/>
      <c r="WHT395" s="173"/>
      <c r="WHU395" s="173"/>
      <c r="WHV395" s="125"/>
      <c r="WHW395" s="125"/>
      <c r="WHX395" s="134"/>
      <c r="WHY395" s="135"/>
      <c r="WHZ395" s="135"/>
      <c r="WIA395" s="135"/>
      <c r="WIB395" s="135"/>
      <c r="WIC395" s="173"/>
      <c r="WID395" s="173"/>
      <c r="WIE395" s="173"/>
      <c r="WIF395" s="173"/>
      <c r="WIG395" s="173"/>
      <c r="WIH395" s="173"/>
      <c r="WII395" s="173"/>
      <c r="WIJ395" s="173"/>
      <c r="WIK395" s="173"/>
      <c r="WIL395" s="173"/>
      <c r="WIM395" s="125"/>
      <c r="WIN395" s="125"/>
      <c r="WIO395" s="134"/>
      <c r="WIP395" s="135"/>
      <c r="WIQ395" s="135"/>
      <c r="WIR395" s="135"/>
      <c r="WIS395" s="135"/>
      <c r="WIT395" s="173"/>
      <c r="WIU395" s="173"/>
      <c r="WIV395" s="173"/>
      <c r="WIW395" s="173"/>
      <c r="WIX395" s="173"/>
      <c r="WIY395" s="173"/>
      <c r="WIZ395" s="173"/>
      <c r="WJA395" s="173"/>
      <c r="WJB395" s="173"/>
      <c r="WJC395" s="173"/>
      <c r="WJD395" s="125"/>
      <c r="WJE395" s="125"/>
      <c r="WJF395" s="134"/>
      <c r="WJG395" s="135"/>
      <c r="WJH395" s="135"/>
      <c r="WJI395" s="135"/>
      <c r="WJJ395" s="135"/>
      <c r="WJK395" s="173"/>
      <c r="WJL395" s="173"/>
      <c r="WJM395" s="173"/>
      <c r="WJN395" s="173"/>
      <c r="WJO395" s="173"/>
      <c r="WJP395" s="173"/>
      <c r="WJQ395" s="173"/>
      <c r="WJR395" s="173"/>
      <c r="WJS395" s="173"/>
      <c r="WJT395" s="173"/>
      <c r="WJU395" s="125"/>
      <c r="WJV395" s="125"/>
      <c r="WJW395" s="134"/>
      <c r="WJX395" s="135"/>
      <c r="WJY395" s="135"/>
      <c r="WJZ395" s="135"/>
      <c r="WKA395" s="135"/>
      <c r="WKB395" s="173"/>
      <c r="WKC395" s="173"/>
      <c r="WKD395" s="173"/>
      <c r="WKE395" s="173"/>
      <c r="WKF395" s="173"/>
      <c r="WKG395" s="173"/>
      <c r="WKH395" s="173"/>
      <c r="WKI395" s="173"/>
      <c r="WKJ395" s="173"/>
      <c r="WKK395" s="173"/>
      <c r="WKL395" s="125"/>
      <c r="WKM395" s="125"/>
      <c r="WKN395" s="134"/>
      <c r="WKO395" s="135"/>
      <c r="WKP395" s="135"/>
      <c r="WKQ395" s="135"/>
      <c r="WKR395" s="135"/>
      <c r="WKS395" s="173"/>
      <c r="WKT395" s="173"/>
      <c r="WKU395" s="173"/>
      <c r="WKV395" s="173"/>
      <c r="WKW395" s="173"/>
      <c r="WKX395" s="173"/>
      <c r="WKY395" s="173"/>
      <c r="WKZ395" s="173"/>
      <c r="WLA395" s="173"/>
      <c r="WLB395" s="173"/>
      <c r="WLC395" s="125"/>
      <c r="WLD395" s="125"/>
      <c r="WLE395" s="134"/>
      <c r="WLF395" s="135"/>
      <c r="WLG395" s="135"/>
      <c r="WLH395" s="135"/>
      <c r="WLI395" s="135"/>
      <c r="WLJ395" s="173"/>
      <c r="WLK395" s="173"/>
      <c r="WLL395" s="173"/>
      <c r="WLM395" s="173"/>
      <c r="WLN395" s="173"/>
      <c r="WLO395" s="173"/>
      <c r="WLP395" s="173"/>
      <c r="WLQ395" s="173"/>
      <c r="WLR395" s="173"/>
      <c r="WLS395" s="173"/>
      <c r="WLT395" s="125"/>
      <c r="WLU395" s="125"/>
      <c r="WLV395" s="134"/>
      <c r="WLW395" s="135"/>
      <c r="WLX395" s="135"/>
      <c r="WLY395" s="135"/>
      <c r="WLZ395" s="135"/>
      <c r="WMA395" s="173"/>
      <c r="WMB395" s="173"/>
      <c r="WMC395" s="173"/>
      <c r="WMD395" s="173"/>
      <c r="WME395" s="173"/>
      <c r="WMF395" s="173"/>
      <c r="WMG395" s="173"/>
      <c r="WMH395" s="173"/>
      <c r="WMI395" s="173"/>
      <c r="WMJ395" s="173"/>
      <c r="WMK395" s="125"/>
      <c r="WML395" s="125"/>
      <c r="WMM395" s="134"/>
      <c r="WMN395" s="135"/>
      <c r="WMO395" s="135"/>
      <c r="WMP395" s="135"/>
      <c r="WMQ395" s="135"/>
      <c r="WMR395" s="173"/>
      <c r="WMS395" s="173"/>
      <c r="WMT395" s="173"/>
      <c r="WMU395" s="173"/>
      <c r="WMV395" s="173"/>
      <c r="WMW395" s="173"/>
      <c r="WMX395" s="173"/>
      <c r="WMY395" s="173"/>
      <c r="WMZ395" s="173"/>
      <c r="WNA395" s="173"/>
      <c r="WNB395" s="125"/>
      <c r="WNC395" s="125"/>
      <c r="WND395" s="134"/>
      <c r="WNE395" s="135"/>
      <c r="WNF395" s="135"/>
      <c r="WNG395" s="135"/>
      <c r="WNH395" s="135"/>
      <c r="WNI395" s="173"/>
      <c r="WNJ395" s="173"/>
      <c r="WNK395" s="173"/>
      <c r="WNL395" s="173"/>
      <c r="WNM395" s="173"/>
      <c r="WNN395" s="173"/>
      <c r="WNO395" s="173"/>
      <c r="WNP395" s="173"/>
      <c r="WNQ395" s="173"/>
      <c r="WNR395" s="173"/>
      <c r="WNS395" s="125"/>
      <c r="WNT395" s="125"/>
      <c r="WNU395" s="134"/>
      <c r="WNV395" s="135"/>
      <c r="WNW395" s="135"/>
      <c r="WNX395" s="135"/>
      <c r="WNY395" s="135"/>
      <c r="WNZ395" s="173"/>
      <c r="WOA395" s="173"/>
      <c r="WOB395" s="173"/>
      <c r="WOC395" s="173"/>
      <c r="WOD395" s="173"/>
      <c r="WOE395" s="173"/>
      <c r="WOF395" s="173"/>
      <c r="WOG395" s="173"/>
      <c r="WOH395" s="173"/>
      <c r="WOI395" s="173"/>
      <c r="WOJ395" s="125"/>
      <c r="WOK395" s="125"/>
      <c r="WOL395" s="134"/>
      <c r="WOM395" s="135"/>
      <c r="WON395" s="135"/>
      <c r="WOO395" s="135"/>
      <c r="WOP395" s="135"/>
      <c r="WOQ395" s="173"/>
      <c r="WOR395" s="173"/>
      <c r="WOS395" s="173"/>
      <c r="WOT395" s="173"/>
      <c r="WOU395" s="173"/>
      <c r="WOV395" s="173"/>
      <c r="WOW395" s="173"/>
      <c r="WOX395" s="173"/>
      <c r="WOY395" s="173"/>
      <c r="WOZ395" s="173"/>
      <c r="WPA395" s="125"/>
      <c r="WPB395" s="125"/>
      <c r="WPC395" s="134"/>
      <c r="WPD395" s="135"/>
      <c r="WPE395" s="135"/>
      <c r="WPF395" s="135"/>
      <c r="WPG395" s="135"/>
      <c r="WPH395" s="173"/>
      <c r="WPI395" s="173"/>
      <c r="WPJ395" s="173"/>
      <c r="WPK395" s="173"/>
      <c r="WPL395" s="173"/>
      <c r="WPM395" s="173"/>
      <c r="WPN395" s="173"/>
      <c r="WPO395" s="173"/>
      <c r="WPP395" s="173"/>
      <c r="WPQ395" s="173"/>
      <c r="WPR395" s="125"/>
      <c r="WPS395" s="125"/>
      <c r="WPT395" s="134"/>
      <c r="WPU395" s="135"/>
      <c r="WPV395" s="135"/>
      <c r="WPW395" s="135"/>
      <c r="WPX395" s="135"/>
      <c r="WPY395" s="173"/>
      <c r="WPZ395" s="173"/>
      <c r="WQA395" s="173"/>
      <c r="WQB395" s="173"/>
      <c r="WQC395" s="173"/>
      <c r="WQD395" s="173"/>
      <c r="WQE395" s="173"/>
      <c r="WQF395" s="173"/>
      <c r="WQG395" s="173"/>
      <c r="WQH395" s="173"/>
      <c r="WQI395" s="125"/>
      <c r="WQJ395" s="125"/>
      <c r="WQK395" s="134"/>
      <c r="WQL395" s="135"/>
      <c r="WQM395" s="135"/>
      <c r="WQN395" s="135"/>
      <c r="WQO395" s="135"/>
      <c r="WQP395" s="173"/>
      <c r="WQQ395" s="173"/>
      <c r="WQR395" s="173"/>
      <c r="WQS395" s="173"/>
      <c r="WQT395" s="173"/>
      <c r="WQU395" s="173"/>
      <c r="WQV395" s="173"/>
      <c r="WQW395" s="173"/>
      <c r="WQX395" s="173"/>
      <c r="WQY395" s="173"/>
      <c r="WQZ395" s="125"/>
      <c r="WRA395" s="125"/>
      <c r="WRB395" s="134"/>
      <c r="WRC395" s="135"/>
      <c r="WRD395" s="135"/>
      <c r="WRE395" s="135"/>
      <c r="WRF395" s="135"/>
      <c r="WRG395" s="173"/>
      <c r="WRH395" s="173"/>
      <c r="WRI395" s="173"/>
      <c r="WRJ395" s="173"/>
      <c r="WRK395" s="173"/>
      <c r="WRL395" s="173"/>
      <c r="WRM395" s="173"/>
      <c r="WRN395" s="173"/>
      <c r="WRO395" s="173"/>
      <c r="WRP395" s="173"/>
      <c r="WRQ395" s="125"/>
      <c r="WRR395" s="125"/>
      <c r="WRS395" s="134"/>
      <c r="WRT395" s="135"/>
      <c r="WRU395" s="135"/>
      <c r="WRV395" s="135"/>
      <c r="WRW395" s="135"/>
      <c r="WRX395" s="173"/>
      <c r="WRY395" s="173"/>
      <c r="WRZ395" s="173"/>
      <c r="WSA395" s="173"/>
      <c r="WSB395" s="173"/>
      <c r="WSC395" s="173"/>
      <c r="WSD395" s="173"/>
      <c r="WSE395" s="173"/>
      <c r="WSF395" s="173"/>
      <c r="WSG395" s="173"/>
      <c r="WSH395" s="125"/>
      <c r="WSI395" s="125"/>
      <c r="WSJ395" s="134"/>
      <c r="WSK395" s="135"/>
      <c r="WSL395" s="135"/>
      <c r="WSM395" s="135"/>
      <c r="WSN395" s="135"/>
      <c r="WSO395" s="173"/>
      <c r="WSP395" s="173"/>
      <c r="WSQ395" s="173"/>
      <c r="WSR395" s="173"/>
      <c r="WSS395" s="173"/>
      <c r="WST395" s="173"/>
      <c r="WSU395" s="173"/>
      <c r="WSV395" s="173"/>
      <c r="WSW395" s="173"/>
      <c r="WSX395" s="173"/>
      <c r="WSY395" s="125"/>
      <c r="WSZ395" s="125"/>
      <c r="WTA395" s="134"/>
      <c r="WTB395" s="135"/>
      <c r="WTC395" s="135"/>
      <c r="WTD395" s="135"/>
      <c r="WTE395" s="135"/>
      <c r="WTF395" s="173"/>
      <c r="WTG395" s="173"/>
      <c r="WTH395" s="173"/>
      <c r="WTI395" s="173"/>
      <c r="WTJ395" s="173"/>
      <c r="WTK395" s="173"/>
      <c r="WTL395" s="173"/>
      <c r="WTM395" s="173"/>
      <c r="WTN395" s="173"/>
      <c r="WTO395" s="173"/>
      <c r="WTP395" s="125"/>
      <c r="WTQ395" s="125"/>
      <c r="WTR395" s="134"/>
      <c r="WTS395" s="135"/>
      <c r="WTT395" s="135"/>
      <c r="WTU395" s="135"/>
      <c r="WTV395" s="135"/>
      <c r="WTW395" s="173"/>
      <c r="WTX395" s="173"/>
      <c r="WTY395" s="173"/>
      <c r="WTZ395" s="173"/>
      <c r="WUA395" s="173"/>
      <c r="WUB395" s="173"/>
      <c r="WUC395" s="173"/>
      <c r="WUD395" s="173"/>
      <c r="WUE395" s="173"/>
      <c r="WUF395" s="173"/>
      <c r="WUG395" s="125"/>
      <c r="WUH395" s="125"/>
      <c r="WUI395" s="134"/>
      <c r="WUJ395" s="135"/>
      <c r="WUK395" s="135"/>
      <c r="WUL395" s="135"/>
      <c r="WUM395" s="135"/>
      <c r="WUN395" s="173"/>
      <c r="WUO395" s="173"/>
      <c r="WUP395" s="173"/>
      <c r="WUQ395" s="173"/>
      <c r="WUR395" s="173"/>
      <c r="WUS395" s="173"/>
      <c r="WUT395" s="173"/>
      <c r="WUU395" s="173"/>
      <c r="WUV395" s="173"/>
      <c r="WUW395" s="173"/>
      <c r="WUX395" s="125"/>
      <c r="WUY395" s="125"/>
      <c r="WUZ395" s="134"/>
      <c r="WVA395" s="135"/>
      <c r="WVB395" s="135"/>
      <c r="WVC395" s="135"/>
      <c r="WVD395" s="135"/>
      <c r="WVE395" s="173"/>
      <c r="WVF395" s="173"/>
      <c r="WVG395" s="173"/>
      <c r="WVH395" s="173"/>
      <c r="WVI395" s="173"/>
      <c r="WVJ395" s="173"/>
      <c r="WVK395" s="173"/>
      <c r="WVL395" s="173"/>
      <c r="WVM395" s="173"/>
      <c r="WVN395" s="173"/>
      <c r="WVO395" s="125"/>
      <c r="WVP395" s="125"/>
      <c r="WVQ395" s="134"/>
      <c r="WVR395" s="135"/>
      <c r="WVS395" s="135"/>
      <c r="WVT395" s="135"/>
      <c r="WVU395" s="135"/>
      <c r="WVV395" s="173"/>
      <c r="WVW395" s="173"/>
      <c r="WVX395" s="173"/>
      <c r="WVY395" s="173"/>
      <c r="WVZ395" s="173"/>
      <c r="WWA395" s="173"/>
      <c r="WWB395" s="173"/>
      <c r="WWC395" s="173"/>
      <c r="WWD395" s="173"/>
      <c r="WWE395" s="173"/>
      <c r="WWF395" s="125"/>
      <c r="WWG395" s="125"/>
      <c r="WWH395" s="134"/>
      <c r="WWI395" s="135"/>
      <c r="WWJ395" s="135"/>
      <c r="WWK395" s="135"/>
      <c r="WWL395" s="135"/>
      <c r="WWM395" s="173"/>
      <c r="WWN395" s="173"/>
      <c r="WWO395" s="173"/>
      <c r="WWP395" s="173"/>
      <c r="WWQ395" s="173"/>
      <c r="WWR395" s="173"/>
      <c r="WWS395" s="173"/>
      <c r="WWT395" s="173"/>
      <c r="WWU395" s="173"/>
      <c r="WWV395" s="173"/>
      <c r="WWW395" s="125"/>
      <c r="WWX395" s="125"/>
      <c r="WWY395" s="134"/>
      <c r="WWZ395" s="135"/>
      <c r="WXA395" s="135"/>
      <c r="WXB395" s="135"/>
      <c r="WXC395" s="135"/>
      <c r="WXD395" s="173"/>
      <c r="WXE395" s="173"/>
      <c r="WXF395" s="173"/>
      <c r="WXG395" s="173"/>
      <c r="WXH395" s="173"/>
      <c r="WXI395" s="173"/>
      <c r="WXJ395" s="173"/>
      <c r="WXK395" s="173"/>
      <c r="WXL395" s="173"/>
      <c r="WXM395" s="173"/>
      <c r="WXN395" s="125"/>
      <c r="WXO395" s="125"/>
      <c r="WXP395" s="134"/>
      <c r="WXQ395" s="135"/>
      <c r="WXR395" s="135"/>
      <c r="WXS395" s="135"/>
      <c r="WXT395" s="135"/>
      <c r="WXU395" s="173"/>
      <c r="WXV395" s="173"/>
      <c r="WXW395" s="173"/>
      <c r="WXX395" s="173"/>
      <c r="WXY395" s="173"/>
      <c r="WXZ395" s="173"/>
      <c r="WYA395" s="173"/>
      <c r="WYB395" s="173"/>
      <c r="WYC395" s="173"/>
      <c r="WYD395" s="173"/>
      <c r="WYE395" s="125"/>
      <c r="WYF395" s="125"/>
      <c r="WYG395" s="134"/>
      <c r="WYH395" s="135"/>
      <c r="WYI395" s="135"/>
      <c r="WYJ395" s="135"/>
      <c r="WYK395" s="135"/>
      <c r="WYL395" s="173"/>
      <c r="WYM395" s="173"/>
      <c r="WYN395" s="173"/>
      <c r="WYO395" s="173"/>
      <c r="WYP395" s="173"/>
      <c r="WYQ395" s="173"/>
      <c r="WYR395" s="173"/>
      <c r="WYS395" s="173"/>
      <c r="WYT395" s="173"/>
      <c r="WYU395" s="173"/>
      <c r="WYV395" s="125"/>
      <c r="WYW395" s="125"/>
      <c r="WYX395" s="134"/>
      <c r="WYY395" s="135"/>
      <c r="WYZ395" s="135"/>
      <c r="WZA395" s="135"/>
      <c r="WZB395" s="135"/>
      <c r="WZC395" s="173"/>
      <c r="WZD395" s="173"/>
      <c r="WZE395" s="173"/>
      <c r="WZF395" s="173"/>
      <c r="WZG395" s="173"/>
      <c r="WZH395" s="173"/>
      <c r="WZI395" s="173"/>
      <c r="WZJ395" s="173"/>
      <c r="WZK395" s="173"/>
      <c r="WZL395" s="173"/>
      <c r="WZM395" s="125"/>
      <c r="WZN395" s="125"/>
      <c r="WZO395" s="134"/>
      <c r="WZP395" s="135"/>
      <c r="WZQ395" s="135"/>
      <c r="WZR395" s="135"/>
      <c r="WZS395" s="135"/>
      <c r="WZT395" s="173"/>
      <c r="WZU395" s="173"/>
      <c r="WZV395" s="173"/>
      <c r="WZW395" s="173"/>
      <c r="WZX395" s="173"/>
      <c r="WZY395" s="173"/>
      <c r="WZZ395" s="173"/>
      <c r="XAA395" s="173"/>
      <c r="XAB395" s="173"/>
      <c r="XAC395" s="173"/>
      <c r="XAD395" s="125"/>
      <c r="XAE395" s="125"/>
      <c r="XAF395" s="134"/>
      <c r="XAG395" s="135"/>
      <c r="XAH395" s="135"/>
      <c r="XAI395" s="135"/>
      <c r="XAJ395" s="135"/>
      <c r="XAK395" s="173"/>
      <c r="XAL395" s="173"/>
      <c r="XAM395" s="173"/>
      <c r="XAN395" s="173"/>
      <c r="XAO395" s="173"/>
      <c r="XAP395" s="173"/>
      <c r="XAQ395" s="173"/>
      <c r="XAR395" s="173"/>
      <c r="XAS395" s="173"/>
      <c r="XAT395" s="173"/>
      <c r="XAU395" s="125"/>
      <c r="XAV395" s="125"/>
      <c r="XAW395" s="134"/>
      <c r="XAX395" s="135"/>
      <c r="XAY395" s="135"/>
      <c r="XAZ395" s="135"/>
      <c r="XBA395" s="135"/>
      <c r="XBB395" s="173"/>
      <c r="XBC395" s="173"/>
      <c r="XBD395" s="173"/>
      <c r="XBE395" s="173"/>
      <c r="XBF395" s="173"/>
      <c r="XBG395" s="173"/>
      <c r="XBH395" s="173"/>
      <c r="XBI395" s="173"/>
      <c r="XBJ395" s="173"/>
      <c r="XBK395" s="173"/>
      <c r="XBL395" s="125"/>
      <c r="XBM395" s="125"/>
      <c r="XBN395" s="134"/>
      <c r="XBO395" s="135"/>
      <c r="XBP395" s="135"/>
      <c r="XBQ395" s="135"/>
      <c r="XBR395" s="135"/>
      <c r="XBS395" s="173"/>
      <c r="XBT395" s="173"/>
      <c r="XBU395" s="173"/>
      <c r="XBV395" s="173"/>
      <c r="XBW395" s="173"/>
      <c r="XBX395" s="173"/>
      <c r="XBY395" s="173"/>
      <c r="XBZ395" s="173"/>
      <c r="XCA395" s="173"/>
      <c r="XCB395" s="173"/>
      <c r="XCC395" s="125"/>
      <c r="XCD395" s="125"/>
      <c r="XCE395" s="134"/>
      <c r="XCF395" s="135"/>
      <c r="XCG395" s="135"/>
      <c r="XCH395" s="135"/>
      <c r="XCI395" s="135"/>
      <c r="XCJ395" s="173"/>
      <c r="XCK395" s="173"/>
      <c r="XCL395" s="173"/>
      <c r="XCM395" s="173"/>
      <c r="XCN395" s="173"/>
      <c r="XCO395" s="173"/>
      <c r="XCP395" s="173"/>
      <c r="XCQ395" s="173"/>
      <c r="XCR395" s="173"/>
      <c r="XCS395" s="173"/>
      <c r="XCT395" s="125"/>
      <c r="XCU395" s="125"/>
      <c r="XCV395" s="134"/>
      <c r="XCW395" s="135"/>
      <c r="XCX395" s="135"/>
      <c r="XCY395" s="135"/>
      <c r="XCZ395" s="135"/>
      <c r="XDA395" s="173"/>
      <c r="XDB395" s="173"/>
      <c r="XDC395" s="173"/>
      <c r="XDD395" s="173"/>
      <c r="XDE395" s="173"/>
      <c r="XDF395" s="173"/>
      <c r="XDG395" s="173"/>
      <c r="XDH395" s="173"/>
      <c r="XDI395" s="173"/>
      <c r="XDJ395" s="173"/>
      <c r="XDK395" s="125"/>
      <c r="XDL395" s="125"/>
      <c r="XDM395" s="134"/>
      <c r="XDN395" s="135"/>
      <c r="XDO395" s="135"/>
      <c r="XDP395" s="135"/>
      <c r="XDQ395" s="135"/>
      <c r="XDR395" s="173"/>
      <c r="XDS395" s="173"/>
      <c r="XDT395" s="173"/>
      <c r="XDU395" s="173"/>
      <c r="XDV395" s="173"/>
      <c r="XDW395" s="173"/>
      <c r="XDX395" s="173"/>
      <c r="XDY395" s="173"/>
      <c r="XDZ395" s="173"/>
      <c r="XEA395" s="173"/>
      <c r="XEB395" s="125"/>
      <c r="XEC395" s="125"/>
      <c r="XED395" s="134"/>
      <c r="XEE395" s="135"/>
      <c r="XEF395" s="135"/>
      <c r="XEG395" s="135"/>
      <c r="XEH395" s="135"/>
      <c r="XEI395" s="173"/>
      <c r="XEJ395" s="173"/>
      <c r="XEK395" s="173"/>
      <c r="XEL395" s="173"/>
      <c r="XEM395" s="173"/>
      <c r="XEN395" s="173"/>
      <c r="XEO395" s="173"/>
      <c r="XEP395" s="173"/>
      <c r="XEQ395" s="173"/>
      <c r="XER395" s="173"/>
      <c r="XES395" s="125"/>
      <c r="XET395" s="125"/>
      <c r="XEU395" s="134"/>
      <c r="XEV395" s="135"/>
      <c r="XEW395" s="135"/>
      <c r="XEX395" s="135"/>
      <c r="XEY395" s="135"/>
      <c r="XEZ395" s="173"/>
      <c r="XFA395" s="173"/>
      <c r="XFB395" s="173"/>
    </row>
    <row r="396" spans="1:16382" ht="11.25">
      <c r="C396" s="164" t="s">
        <v>184</v>
      </c>
      <c r="G396" s="164" t="s">
        <v>176</v>
      </c>
      <c r="J396" s="170">
        <f>J395/I395-1</f>
        <v>2.7692587984179173E-2</v>
      </c>
      <c r="K396" s="170">
        <f>K395/J395-1</f>
        <v>5.2183795410363221E-3</v>
      </c>
      <c r="L396" s="170">
        <f>L395/K395-1</f>
        <v>2.6662598197409793E-2</v>
      </c>
      <c r="M396" s="170">
        <f>M395/L395-1</f>
        <v>3.5100208943038558E-2</v>
      </c>
      <c r="N396" s="21">
        <f>(0.999*((M395/I395)^(1/4)-1)+0.001*($E419*N420+$E421*N422+$E423*N424+$E429*N430+N428*E427))*1.01</f>
        <v>2.3829070977925949E-2</v>
      </c>
      <c r="O396" s="21">
        <f>(0.999*((N395/J395)^(1/4)-1)+0.001*($E419*O420+$E421*O422+$E423*O424+$E429*O430+O428*F427))*0.9</f>
        <v>2.0386013314074473E-2</v>
      </c>
      <c r="P396" s="21">
        <f>(0.001*((O395/K395)^(1/4)-1)+0.999*($E419*P420+$E421*P422+$E423*P424+$E429*P430+P428*G427))*0.8</f>
        <v>2.1919995690736993E-2</v>
      </c>
      <c r="Q396" s="21">
        <f>(0.001*((P395/L395)^(1/4)-1)+0.999*($E419*Q420+$E421*Q422+$E423*Q424+$E429*Q430+Q428*H427))*0.45</f>
        <v>1.73285722857623E-2</v>
      </c>
      <c r="R396" s="21">
        <f>(0.999*((Q395/M395)^(1/4)-1)+0.001*($E419*R420+$E421*R422+$E423*R424+$E429*R430+R428*I427))*0.7</f>
        <v>1.461617327015444E-2</v>
      </c>
      <c r="Y396" s="219"/>
      <c r="Z396" s="1"/>
    </row>
    <row r="397" spans="1:16382">
      <c r="A397" s="129" t="str">
        <f>'[7]Input sheet'!A154</f>
        <v>Turkey</v>
      </c>
      <c r="B397" s="129" t="str">
        <f>'[7]Input sheet'!B154</f>
        <v>Tourism Spend Factors</v>
      </c>
      <c r="C397" s="129" t="str">
        <f>'[7]Input sheet'!C154</f>
        <v>Average Expenditure per International Tourist by Sector</v>
      </c>
      <c r="D397" s="2" t="str">
        <f>'[7]Input sheet'!D154</f>
        <v>Accommodation</v>
      </c>
      <c r="E397"/>
      <c r="F397"/>
      <c r="G397" s="1" t="str">
        <f>Home!$B$2</f>
        <v>Foriant</v>
      </c>
      <c r="H397" s="203">
        <f t="shared" ref="H397:M397" si="285">(H23*1000)/H$500</f>
        <v>1140.2152690358494</v>
      </c>
      <c r="I397" s="203">
        <f t="shared" si="285"/>
        <v>1200.260107862832</v>
      </c>
      <c r="J397" s="203">
        <f t="shared" si="285"/>
        <v>1238.2956396548864</v>
      </c>
      <c r="K397" s="203">
        <f t="shared" si="285"/>
        <v>1247.3717760643253</v>
      </c>
      <c r="L397" s="203">
        <f t="shared" si="285"/>
        <v>1283.1912084293824</v>
      </c>
      <c r="M397" s="203">
        <f t="shared" si="285"/>
        <v>1320.2620990313694</v>
      </c>
      <c r="N397" s="205">
        <f>N$395*N411</f>
        <v>1362.0799880051131</v>
      </c>
      <c r="O397" s="205">
        <f>O$395*O411</f>
        <v>1386.9559350590762</v>
      </c>
      <c r="P397" s="205">
        <f>P$395*P411</f>
        <v>1413.3073158451116</v>
      </c>
      <c r="Q397" s="205">
        <f>Q$395*Q411</f>
        <v>1433.865197903212</v>
      </c>
      <c r="R397" s="205">
        <f>R$395*R411</f>
        <v>1453.4149545325017</v>
      </c>
      <c r="S397" s="6"/>
      <c r="V397"/>
      <c r="Z397" s="1"/>
    </row>
    <row r="398" spans="1:16382" ht="11.25">
      <c r="C398" s="164" t="s">
        <v>184</v>
      </c>
      <c r="G398" s="164" t="s">
        <v>176</v>
      </c>
      <c r="J398" s="170">
        <f t="shared" ref="J398:R398" si="286">J397/I397-1</f>
        <v>3.1689407606639408E-2</v>
      </c>
      <c r="K398" s="170">
        <f t="shared" si="286"/>
        <v>7.3295391817487232E-3</v>
      </c>
      <c r="L398" s="170">
        <f t="shared" si="286"/>
        <v>2.8715923393804577E-2</v>
      </c>
      <c r="M398" s="170">
        <f t="shared" si="286"/>
        <v>2.8889607689380536E-2</v>
      </c>
      <c r="N398" s="170">
        <f t="shared" si="286"/>
        <v>3.1673929748058383E-2</v>
      </c>
      <c r="O398" s="170">
        <f t="shared" si="286"/>
        <v>1.8263205739037502E-2</v>
      </c>
      <c r="P398" s="170">
        <f t="shared" si="286"/>
        <v>1.8999436189667485E-2</v>
      </c>
      <c r="Q398" s="170">
        <f t="shared" si="286"/>
        <v>1.4545939037899469E-2</v>
      </c>
      <c r="R398" s="170">
        <f t="shared" si="286"/>
        <v>1.3634305831453419E-2</v>
      </c>
      <c r="Y398" s="125"/>
      <c r="Z398" s="125"/>
      <c r="AA398" s="134"/>
      <c r="AB398" s="135"/>
      <c r="AC398" s="135"/>
    </row>
    <row r="399" spans="1:16382">
      <c r="A399" s="129" t="str">
        <f>'[7]Input sheet'!A155</f>
        <v>Turkey</v>
      </c>
      <c r="B399" s="129" t="str">
        <f>'[7]Input sheet'!B155</f>
        <v>Tourism Spend Factors</v>
      </c>
      <c r="C399" s="129" t="str">
        <f>'[7]Input sheet'!C155</f>
        <v>Average Expenditure per International Tourist by Sector</v>
      </c>
      <c r="D399" s="2" t="str">
        <f>'[7]Input sheet'!D155</f>
        <v>Entertainment &amp; Sightseeing</v>
      </c>
      <c r="E399"/>
      <c r="F399"/>
      <c r="G399" s="1" t="str">
        <f>Home!$B$2</f>
        <v>Foriant</v>
      </c>
      <c r="H399" s="203">
        <f t="shared" ref="H399:M399" si="287">(H25*1000)/H$500</f>
        <v>215.63058378981762</v>
      </c>
      <c r="I399" s="203">
        <f t="shared" si="287"/>
        <v>225.50719938116674</v>
      </c>
      <c r="J399" s="203">
        <f t="shared" si="287"/>
        <v>233.11584808066266</v>
      </c>
      <c r="K399" s="203">
        <f t="shared" si="287"/>
        <v>235.27604239021261</v>
      </c>
      <c r="L399" s="203">
        <f t="shared" si="287"/>
        <v>241.05630423088721</v>
      </c>
      <c r="M399" s="203">
        <f t="shared" si="287"/>
        <v>250.76501803081013</v>
      </c>
      <c r="N399" s="205">
        <f>N395*N412</f>
        <v>258.15740841065923</v>
      </c>
      <c r="O399" s="205">
        <f>O395*O412</f>
        <v>262.60519844160029</v>
      </c>
      <c r="P399" s="205">
        <f>P395*P412</f>
        <v>269.04200296907914</v>
      </c>
      <c r="Q399" s="205">
        <f>Q395*Q412</f>
        <v>276.10977204290117</v>
      </c>
      <c r="R399" s="205">
        <f>R395*R412</f>
        <v>281.16749219733447</v>
      </c>
      <c r="S399" s="6"/>
      <c r="V399"/>
      <c r="Z399" s="1"/>
    </row>
    <row r="400" spans="1:16382">
      <c r="C400" s="164" t="s">
        <v>184</v>
      </c>
      <c r="G400" s="164" t="s">
        <v>176</v>
      </c>
      <c r="J400" s="170">
        <f t="shared" ref="J400:R400" si="288">J399/I399-1</f>
        <v>3.3740158719435254E-2</v>
      </c>
      <c r="K400" s="170">
        <f t="shared" si="288"/>
        <v>9.266612833643384E-3</v>
      </c>
      <c r="L400" s="170">
        <f t="shared" si="288"/>
        <v>2.4568000132745516E-2</v>
      </c>
      <c r="M400" s="170">
        <f t="shared" si="288"/>
        <v>4.0275709987753538E-2</v>
      </c>
      <c r="N400" s="170">
        <f t="shared" si="288"/>
        <v>2.9479352574372397E-2</v>
      </c>
      <c r="O400" s="170">
        <f t="shared" si="288"/>
        <v>1.7228984666075586E-2</v>
      </c>
      <c r="P400" s="170">
        <f t="shared" si="288"/>
        <v>2.4511337040078907E-2</v>
      </c>
      <c r="Q400" s="170">
        <f t="shared" si="288"/>
        <v>2.627013252883903E-2</v>
      </c>
      <c r="R400" s="170">
        <f t="shared" si="288"/>
        <v>1.8317787585031331E-2</v>
      </c>
      <c r="Y400" s="6"/>
      <c r="Z400" s="1"/>
      <c r="AB400"/>
    </row>
    <row r="401" spans="1:28">
      <c r="A401" s="129" t="str">
        <f>'[7]Input sheet'!A156</f>
        <v>Turkey</v>
      </c>
      <c r="B401" s="129" t="str">
        <f>'[7]Input sheet'!B156</f>
        <v>Tourism Spend Factors</v>
      </c>
      <c r="C401" s="129" t="str">
        <f>'[7]Input sheet'!C156</f>
        <v>Average Expenditure per International Tourist by Sector</v>
      </c>
      <c r="D401" s="2" t="str">
        <f>'[7]Input sheet'!D156</f>
        <v>Foodservice</v>
      </c>
      <c r="E401"/>
      <c r="F401"/>
      <c r="G401" s="1" t="str">
        <f>Home!$B$2</f>
        <v>Foriant</v>
      </c>
      <c r="H401" s="203">
        <f t="shared" ref="H401:M401" si="289">(H27*1000)/H$500</f>
        <v>1582.156934072276</v>
      </c>
      <c r="I401" s="203">
        <f t="shared" si="289"/>
        <v>1661.6356324575306</v>
      </c>
      <c r="J401" s="203">
        <f t="shared" si="289"/>
        <v>1705.0269381780772</v>
      </c>
      <c r="K401" s="203">
        <f t="shared" si="289"/>
        <v>1725.6889261800502</v>
      </c>
      <c r="L401" s="203">
        <f t="shared" si="289"/>
        <v>1761.3781967599539</v>
      </c>
      <c r="M401" s="203">
        <f t="shared" si="289"/>
        <v>1826.8493453729286</v>
      </c>
      <c r="N401" s="205">
        <f>N395*N413</f>
        <v>1871.9221334377494</v>
      </c>
      <c r="O401" s="205">
        <f>O395*O413</f>
        <v>1918.9540996951507</v>
      </c>
      <c r="P401" s="205">
        <f>P395*P413</f>
        <v>1950.5392942879355</v>
      </c>
      <c r="Q401" s="205">
        <f>Q395*Q413</f>
        <v>1987.1345040247845</v>
      </c>
      <c r="R401" s="205">
        <f>R395*R413</f>
        <v>2023.6052281953835</v>
      </c>
      <c r="S401" s="6"/>
      <c r="V401"/>
      <c r="Z401" s="1"/>
    </row>
    <row r="402" spans="1:28">
      <c r="C402" s="164" t="s">
        <v>184</v>
      </c>
      <c r="G402" s="164" t="s">
        <v>176</v>
      </c>
      <c r="J402" s="170">
        <f t="shared" ref="J402:R402" si="290">J401/I401-1</f>
        <v>2.6113610513017083E-2</v>
      </c>
      <c r="K402" s="170">
        <f t="shared" si="290"/>
        <v>1.2118276573419795E-2</v>
      </c>
      <c r="L402" s="170">
        <f t="shared" si="290"/>
        <v>2.0681172625303113E-2</v>
      </c>
      <c r="M402" s="170">
        <f t="shared" si="290"/>
        <v>3.7170409360924639E-2</v>
      </c>
      <c r="N402" s="170">
        <f t="shared" si="290"/>
        <v>2.4672416572818046E-2</v>
      </c>
      <c r="O402" s="170">
        <f t="shared" si="290"/>
        <v>2.5124958681389087E-2</v>
      </c>
      <c r="P402" s="170">
        <f t="shared" si="290"/>
        <v>1.6459588375669076E-2</v>
      </c>
      <c r="Q402" s="170">
        <f t="shared" si="290"/>
        <v>1.8761585497926836E-2</v>
      </c>
      <c r="R402" s="170">
        <f t="shared" si="290"/>
        <v>1.835342504331261E-2</v>
      </c>
      <c r="Y402" s="6"/>
      <c r="Z402" s="1"/>
      <c r="AB402"/>
    </row>
    <row r="403" spans="1:28">
      <c r="A403" s="129" t="str">
        <f>'[7]Input sheet'!A157</f>
        <v>Turkey</v>
      </c>
      <c r="B403" s="129" t="str">
        <f>'[7]Input sheet'!B157</f>
        <v>Tourism Spend Factors</v>
      </c>
      <c r="C403" s="129" t="str">
        <f>'[7]Input sheet'!C157</f>
        <v>Average Expenditure per International Tourist by Sector</v>
      </c>
      <c r="D403" s="2" t="str">
        <f>'[7]Input sheet'!D157</f>
        <v>Retail</v>
      </c>
      <c r="E403"/>
      <c r="F403"/>
      <c r="G403" s="1" t="str">
        <f>Home!$B$2</f>
        <v>Foriant</v>
      </c>
      <c r="H403" s="203">
        <f t="shared" ref="H403:M403" si="291">(H29*1000)/H$500</f>
        <v>2335.853660009644</v>
      </c>
      <c r="I403" s="203">
        <f t="shared" si="291"/>
        <v>2441.4722484900249</v>
      </c>
      <c r="J403" s="203">
        <f t="shared" si="291"/>
        <v>2524.9008746538266</v>
      </c>
      <c r="K403" s="203">
        <f t="shared" si="291"/>
        <v>2535.5540402263032</v>
      </c>
      <c r="L403" s="203">
        <f t="shared" si="291"/>
        <v>2616.2267214839644</v>
      </c>
      <c r="M403" s="203">
        <f t="shared" si="291"/>
        <v>2694.5165419201603</v>
      </c>
      <c r="N403" s="205">
        <f>N395*N414</f>
        <v>2757.3244908991201</v>
      </c>
      <c r="O403" s="205">
        <f>O395*O414</f>
        <v>2806.1420942297141</v>
      </c>
      <c r="P403" s="205">
        <f>P395*P414</f>
        <v>2859.551121492178</v>
      </c>
      <c r="Q403" s="205">
        <f>Q395*Q414</f>
        <v>2904.2610769881594</v>
      </c>
      <c r="R403" s="205">
        <f>R395*R414</f>
        <v>2945.7550364728445</v>
      </c>
      <c r="S403" s="6"/>
      <c r="V403"/>
      <c r="Z403" s="1"/>
    </row>
    <row r="404" spans="1:28">
      <c r="C404" s="164" t="s">
        <v>184</v>
      </c>
      <c r="G404" s="164" t="s">
        <v>176</v>
      </c>
      <c r="J404" s="170">
        <f t="shared" ref="J404:R404" si="292">J403/I403-1</f>
        <v>3.4171441520746137E-2</v>
      </c>
      <c r="K404" s="170">
        <f t="shared" si="292"/>
        <v>4.2192411113712858E-3</v>
      </c>
      <c r="L404" s="170">
        <f t="shared" si="292"/>
        <v>3.1816589186346445E-2</v>
      </c>
      <c r="M404" s="170">
        <f t="shared" si="292"/>
        <v>2.9924707898323355E-2</v>
      </c>
      <c r="N404" s="170">
        <f t="shared" si="292"/>
        <v>2.3309542918672044E-2</v>
      </c>
      <c r="O404" s="170">
        <f t="shared" si="292"/>
        <v>1.770470015107839E-2</v>
      </c>
      <c r="P404" s="170">
        <f t="shared" si="292"/>
        <v>1.9032901923352163E-2</v>
      </c>
      <c r="Q404" s="170">
        <f t="shared" si="292"/>
        <v>1.5635305541469302E-2</v>
      </c>
      <c r="R404" s="170">
        <f t="shared" si="292"/>
        <v>1.4287269079719334E-2</v>
      </c>
      <c r="Y404" s="6"/>
      <c r="Z404" s="1"/>
      <c r="AB404"/>
    </row>
    <row r="405" spans="1:28">
      <c r="A405" s="129" t="str">
        <f>'[7]Input sheet'!A158</f>
        <v>Turkey</v>
      </c>
      <c r="B405" s="129" t="str">
        <f>'[7]Input sheet'!B158</f>
        <v>Tourism Spend Factors</v>
      </c>
      <c r="C405" s="129" t="str">
        <f>'[7]Input sheet'!C158</f>
        <v>Average Expenditure per International Tourist by Sector</v>
      </c>
      <c r="D405" s="2" t="str">
        <f>'[7]Input sheet'!D158</f>
        <v>Transportation</v>
      </c>
      <c r="E405"/>
      <c r="F405"/>
      <c r="G405" s="1" t="str">
        <f>Home!$B$2</f>
        <v>Foriant</v>
      </c>
      <c r="H405" s="203">
        <f t="shared" ref="H405:M405" si="293">(H31*1000)/H$500</f>
        <v>2915.3421349638779</v>
      </c>
      <c r="I405" s="203">
        <f t="shared" si="293"/>
        <v>3052.7330491736193</v>
      </c>
      <c r="J405" s="203">
        <f t="shared" si="293"/>
        <v>3128.5911605300666</v>
      </c>
      <c r="K405" s="203">
        <f t="shared" si="293"/>
        <v>3136.9231390324239</v>
      </c>
      <c r="L405" s="203">
        <f t="shared" si="293"/>
        <v>3213.9235606957391</v>
      </c>
      <c r="M405" s="203">
        <f t="shared" si="293"/>
        <v>3350.0200798475357</v>
      </c>
      <c r="N405" s="205">
        <f>N395*N415</f>
        <v>3414.7915349870818</v>
      </c>
      <c r="O405" s="205">
        <f>O395*O415</f>
        <v>3490.068352181841</v>
      </c>
      <c r="P405" s="205">
        <f>P395*P415</f>
        <v>3586.4073649223196</v>
      </c>
      <c r="Q405" s="205">
        <f>Q395*Q415</f>
        <v>3653.9490373670296</v>
      </c>
      <c r="R405" s="205">
        <f>R395*R415</f>
        <v>3705.8666762535413</v>
      </c>
      <c r="S405" s="6"/>
      <c r="V405"/>
      <c r="Z405" s="1"/>
    </row>
    <row r="406" spans="1:28">
      <c r="C406" s="164" t="s">
        <v>184</v>
      </c>
      <c r="G406" s="164" t="s">
        <v>176</v>
      </c>
      <c r="J406" s="170">
        <f t="shared" ref="J406:R406" si="294">J405/I405-1</f>
        <v>2.4849244966566042E-2</v>
      </c>
      <c r="K406" s="170">
        <f t="shared" si="294"/>
        <v>2.6631726789592136E-3</v>
      </c>
      <c r="L406" s="170">
        <f t="shared" si="294"/>
        <v>2.4546480181553143E-2</v>
      </c>
      <c r="M406" s="170">
        <f t="shared" si="294"/>
        <v>4.2345910405639842E-2</v>
      </c>
      <c r="N406" s="170">
        <f t="shared" si="294"/>
        <v>1.9334646836652425E-2</v>
      </c>
      <c r="O406" s="170">
        <f t="shared" si="294"/>
        <v>2.204433753085433E-2</v>
      </c>
      <c r="P406" s="170">
        <f t="shared" si="294"/>
        <v>2.7603761020970063E-2</v>
      </c>
      <c r="Q406" s="170">
        <f t="shared" si="294"/>
        <v>1.8832682841697368E-2</v>
      </c>
      <c r="R406" s="170">
        <f t="shared" si="294"/>
        <v>1.4208637929970402E-2</v>
      </c>
      <c r="Y406" s="6"/>
      <c r="Z406" s="1"/>
      <c r="AB406"/>
    </row>
    <row r="407" spans="1:28">
      <c r="A407" s="129" t="str">
        <f>'[7]Input sheet'!A159</f>
        <v>Turkey</v>
      </c>
      <c r="B407" s="129" t="str">
        <f>'[7]Input sheet'!B159</f>
        <v>Tourism Spend Factors</v>
      </c>
      <c r="C407" s="129" t="str">
        <f>'[7]Input sheet'!C159</f>
        <v>Average Expenditure per International Tourist by Sector</v>
      </c>
      <c r="D407" s="2" t="str">
        <f>'[7]Input sheet'!D159</f>
        <v>Travel Intermediation</v>
      </c>
      <c r="E407"/>
      <c r="F407"/>
      <c r="G407" s="1" t="str">
        <f>Home!$B$2</f>
        <v>Foriant</v>
      </c>
      <c r="H407" s="203">
        <f t="shared" ref="H407:M407" si="295">(H33*1000)/H$500</f>
        <v>19.485368906370486</v>
      </c>
      <c r="I407" s="203">
        <f t="shared" si="295"/>
        <v>20.476528892994875</v>
      </c>
      <c r="J407" s="203">
        <f t="shared" si="295"/>
        <v>20.957123441111499</v>
      </c>
      <c r="K407" s="203">
        <f t="shared" si="295"/>
        <v>20.977202858542253</v>
      </c>
      <c r="L407" s="203">
        <f t="shared" si="295"/>
        <v>21.448798072935453</v>
      </c>
      <c r="M407" s="203">
        <f t="shared" si="295"/>
        <v>22.0684454346713</v>
      </c>
      <c r="N407" s="205">
        <f>N395*N416</f>
        <v>22.805163745534593</v>
      </c>
      <c r="O407" s="205">
        <f>O395*O416</f>
        <v>23.089788216211222</v>
      </c>
      <c r="P407" s="205">
        <f>P395*P416</f>
        <v>23.80791205376957</v>
      </c>
      <c r="Q407" s="205">
        <f>Q395*Q416</f>
        <v>24.40134523621882</v>
      </c>
      <c r="R407" s="205">
        <f>R395*R416</f>
        <v>24.87493931450172</v>
      </c>
      <c r="S407" s="6"/>
      <c r="V407"/>
      <c r="Z407" s="1"/>
    </row>
    <row r="408" spans="1:28">
      <c r="C408" s="164" t="s">
        <v>184</v>
      </c>
      <c r="G408" s="164" t="s">
        <v>176</v>
      </c>
      <c r="J408" s="170">
        <f t="shared" ref="J408:R408" si="296">J407/I407-1</f>
        <v>2.3470508631032505E-2</v>
      </c>
      <c r="K408" s="170">
        <f t="shared" si="296"/>
        <v>9.5811896547615127E-4</v>
      </c>
      <c r="L408" s="170">
        <f t="shared" si="296"/>
        <v>2.2481320201428012E-2</v>
      </c>
      <c r="M408" s="170">
        <f t="shared" si="296"/>
        <v>2.8889607689380536E-2</v>
      </c>
      <c r="N408" s="170">
        <f t="shared" si="296"/>
        <v>3.3383335180730445E-2</v>
      </c>
      <c r="O408" s="170">
        <f t="shared" si="296"/>
        <v>1.2480702785234721E-2</v>
      </c>
      <c r="P408" s="170">
        <f t="shared" si="296"/>
        <v>3.1101360949432832E-2</v>
      </c>
      <c r="Q408" s="170">
        <f t="shared" si="296"/>
        <v>2.4925880989017157E-2</v>
      </c>
      <c r="R408" s="170">
        <f t="shared" si="296"/>
        <v>1.9408523329277116E-2</v>
      </c>
      <c r="Y408" s="6"/>
      <c r="Z408" s="1"/>
      <c r="AB408"/>
    </row>
    <row r="409" spans="1:28">
      <c r="A409" s="129" t="str">
        <f>'[7]Input sheet'!A160</f>
        <v>Turkey</v>
      </c>
      <c r="B409" s="129" t="str">
        <f>'[7]Input sheet'!B160</f>
        <v>Tourism Spend Factors</v>
      </c>
      <c r="C409" s="129" t="str">
        <f>'[7]Input sheet'!C160</f>
        <v>Average Expenditure per International Tourist by Sector</v>
      </c>
      <c r="D409" s="2" t="str">
        <f>'[7]Input sheet'!D160</f>
        <v>Other Sectors</v>
      </c>
      <c r="E409"/>
      <c r="F409"/>
      <c r="G409" s="1" t="str">
        <f>Home!$B$2</f>
        <v>Foriant</v>
      </c>
      <c r="H409" s="203">
        <f t="shared" ref="H409:L409" si="297">(H35*1000)/H$500</f>
        <v>719.82317213986732</v>
      </c>
      <c r="I409" s="203">
        <f t="shared" si="297"/>
        <v>751.3570678898883</v>
      </c>
      <c r="J409" s="203">
        <f t="shared" si="297"/>
        <v>761.57526055647691</v>
      </c>
      <c r="K409" s="203">
        <f t="shared" si="297"/>
        <v>760.83319779306441</v>
      </c>
      <c r="L409" s="203">
        <f t="shared" si="297"/>
        <v>783.03020476991833</v>
      </c>
      <c r="M409" s="203">
        <f>(M35*1000)/M$500</f>
        <v>803.97648787846856</v>
      </c>
      <c r="N409" s="205">
        <f>N395*N417</f>
        <v>826.06511296392557</v>
      </c>
      <c r="O409" s="205">
        <f>O395*O417</f>
        <v>839.65149553870629</v>
      </c>
      <c r="P409" s="205">
        <f>P395*P417</f>
        <v>859.95798140133195</v>
      </c>
      <c r="Q409" s="205">
        <f>Q395*Q417</f>
        <v>872.85849109896799</v>
      </c>
      <c r="R409" s="205">
        <f>R395*R417</f>
        <v>880.90313097517446</v>
      </c>
      <c r="S409" s="6"/>
      <c r="V409"/>
      <c r="Z409" s="1"/>
    </row>
    <row r="410" spans="1:28">
      <c r="C410" s="164" t="s">
        <v>184</v>
      </c>
      <c r="G410" s="164" t="s">
        <v>176</v>
      </c>
      <c r="J410" s="170">
        <f t="shared" ref="J410:R410" si="298">J409/I409-1</f>
        <v>1.3599649358839949E-2</v>
      </c>
      <c r="K410" s="170">
        <f t="shared" si="298"/>
        <v>-9.7437876707062721E-4</v>
      </c>
      <c r="L410" s="170">
        <f t="shared" si="298"/>
        <v>2.9174603633543406E-2</v>
      </c>
      <c r="M410" s="170">
        <f t="shared" si="298"/>
        <v>2.6750287512478543E-2</v>
      </c>
      <c r="N410" s="170">
        <f t="shared" si="298"/>
        <v>2.7474217739556606E-2</v>
      </c>
      <c r="O410" s="170">
        <f t="shared" si="298"/>
        <v>1.6447108540914801E-2</v>
      </c>
      <c r="P410" s="170">
        <f t="shared" si="298"/>
        <v>2.4184421716056503E-2</v>
      </c>
      <c r="Q410" s="170">
        <f t="shared" si="298"/>
        <v>1.5001325618972938E-2</v>
      </c>
      <c r="R410" s="170">
        <f t="shared" si="298"/>
        <v>9.2164307940429957E-3</v>
      </c>
      <c r="Y410" s="6"/>
      <c r="Z410" s="1"/>
      <c r="AB410"/>
    </row>
    <row r="411" spans="1:28" outlineLevel="1">
      <c r="A411" s="215"/>
      <c r="B411" s="215"/>
      <c r="C411" s="208" t="s">
        <v>369</v>
      </c>
      <c r="D411" s="175" t="s">
        <v>36</v>
      </c>
      <c r="E411" s="215"/>
      <c r="F411" s="215"/>
      <c r="G411" s="34"/>
      <c r="H411" s="56">
        <f>H397/H$395</f>
        <v>0.12770502989342344</v>
      </c>
      <c r="I411" s="56">
        <f>I397/I$395</f>
        <v>0.12832282801832975</v>
      </c>
      <c r="J411" s="56">
        <f t="shared" ref="J411:M411" si="299">J397/J$395</f>
        <v>0.12882189087334098</v>
      </c>
      <c r="K411" s="56">
        <f t="shared" si="299"/>
        <v>0.12909244260855318</v>
      </c>
      <c r="L411" s="56">
        <f t="shared" si="299"/>
        <v>0.1293506274937703</v>
      </c>
      <c r="M411" s="56">
        <f t="shared" si="299"/>
        <v>0.1285745237288077</v>
      </c>
      <c r="N411" s="56">
        <f>FORECAST(N$395,I411:M411,I$395:M$395)*1.004</f>
        <v>0.1295596969463704</v>
      </c>
      <c r="O411" s="56">
        <f>FORECAST(O$395,J411:N411,J$395:N$395)*0.9999</f>
        <v>0.12929016139559976</v>
      </c>
      <c r="P411" s="56">
        <f>FORECAST(P$395,K411:O411,K$395:O$395)*0.997</f>
        <v>0.12892066122841347</v>
      </c>
      <c r="Q411" s="56">
        <f>FORECAST(Q$395,L411:P411,L$395:P$395)*0.996</f>
        <v>0.12856803285637766</v>
      </c>
      <c r="R411" s="56">
        <f>FORECAST(R$395,M411:Q411,M$395:Q$395)*0.997</f>
        <v>0.12844361460990653</v>
      </c>
      <c r="Z411" s="1"/>
    </row>
    <row r="412" spans="1:28" outlineLevel="1">
      <c r="A412" s="215"/>
      <c r="B412" s="215"/>
      <c r="C412" s="215"/>
      <c r="D412" s="175" t="s">
        <v>37</v>
      </c>
      <c r="E412" s="215"/>
      <c r="F412" s="215"/>
      <c r="G412" s="34"/>
      <c r="H412" s="56">
        <f>H399/H$395</f>
        <v>2.4150799324148691E-2</v>
      </c>
      <c r="I412" s="56">
        <f>I399/I$395</f>
        <v>2.410954206801957E-2</v>
      </c>
      <c r="J412" s="56">
        <f t="shared" ref="J412:M412" si="300">J399/J$395</f>
        <v>2.4251417335736523E-2</v>
      </c>
      <c r="K412" s="56">
        <f t="shared" si="300"/>
        <v>2.4349083073898076E-2</v>
      </c>
      <c r="L412" s="56">
        <f t="shared" si="300"/>
        <v>2.4299406050139267E-2</v>
      </c>
      <c r="M412" s="56">
        <f t="shared" si="300"/>
        <v>2.4420903080389963E-2</v>
      </c>
      <c r="N412" s="56">
        <f>FORECAST(N$395,I412:M412,I$395:M$395)*1.002</f>
        <v>2.4555676533454678E-2</v>
      </c>
      <c r="O412" s="56">
        <f>FORECAST(O$395,J412:N412,J$395:N$395)*0.996</f>
        <v>2.447970236948576E-2</v>
      </c>
      <c r="P412" s="56">
        <f>FORECAST(P$395,K412:O412,K$395:O$395)*0.999</f>
        <v>2.4541776959705275E-2</v>
      </c>
      <c r="Q412" s="56">
        <f>FORECAST(Q$395,L412:P412,L$395:P$395)*1.006</f>
        <v>2.4757480895616864E-2</v>
      </c>
      <c r="R412" s="56">
        <f>FORECAST(R$395,M412:Q412,M$395:Q$395)*1.005</f>
        <v>2.4847803372330536E-2</v>
      </c>
      <c r="Y412" s="6"/>
      <c r="Z412" s="1"/>
      <c r="AB412"/>
    </row>
    <row r="413" spans="1:28" outlineLevel="1">
      <c r="A413" s="215"/>
      <c r="B413" s="215"/>
      <c r="C413" s="215"/>
      <c r="D413" s="175" t="s">
        <v>38</v>
      </c>
      <c r="E413" s="215"/>
      <c r="F413" s="215"/>
      <c r="G413" s="34"/>
      <c r="H413" s="56">
        <f>H401/H$395</f>
        <v>0.17720285287236806</v>
      </c>
      <c r="I413" s="56">
        <f>I401/I$395</f>
        <v>0.17764964618597834</v>
      </c>
      <c r="J413" s="56">
        <f t="shared" ref="J413:M413" si="301">J401/J$395</f>
        <v>0.17737669998361463</v>
      </c>
      <c r="K413" s="56">
        <f t="shared" si="301"/>
        <v>0.17859422742913317</v>
      </c>
      <c r="L413" s="56">
        <f t="shared" si="301"/>
        <v>0.17755372193019825</v>
      </c>
      <c r="M413" s="56">
        <f t="shared" si="301"/>
        <v>0.17790882937405864</v>
      </c>
      <c r="N413" s="56">
        <f>FORECAST(N$395,I413:M413,I$395:M$395)*1.0008</f>
        <v>0.1780553759332433</v>
      </c>
      <c r="O413" s="56">
        <f>FORECAST(O$395,J413:N413,J$395:N$395)*1.005</f>
        <v>0.17888231268844615</v>
      </c>
      <c r="P413" s="56">
        <f>FORECAST(P$395,K413:O413,K$395:O$395)*0.997</f>
        <v>0.17792649394249818</v>
      </c>
      <c r="Q413" s="56">
        <f>FORECAST(Q$395,L413:P413,L$395:P$395)*0.998</f>
        <v>0.17817712193384697</v>
      </c>
      <c r="R413" s="56">
        <f>FORECAST(R$395,M413:Q413,M$395:Q$395)*1.003</f>
        <v>0.17883342210175901</v>
      </c>
      <c r="Z413" s="1"/>
    </row>
    <row r="414" spans="1:28" outlineLevel="1">
      <c r="A414" s="215"/>
      <c r="B414" s="215"/>
      <c r="C414" s="215"/>
      <c r="D414" s="175" t="s">
        <v>39</v>
      </c>
      <c r="E414" s="215"/>
      <c r="F414" s="215"/>
      <c r="G414" s="34"/>
      <c r="H414" s="56">
        <f>H403/H$395</f>
        <v>0.26161749415128671</v>
      </c>
      <c r="I414" s="56">
        <f>I403/I$395</f>
        <v>0.26102394089591324</v>
      </c>
      <c r="J414" s="56">
        <f t="shared" ref="J414:M414" si="302">J403/J$395</f>
        <v>0.2626695067999345</v>
      </c>
      <c r="K414" s="56">
        <f t="shared" si="302"/>
        <v>0.26240842601999009</v>
      </c>
      <c r="L414" s="56">
        <f t="shared" si="302"/>
        <v>0.26372575331476322</v>
      </c>
      <c r="M414" s="56">
        <f t="shared" si="302"/>
        <v>0.26240712454818937</v>
      </c>
      <c r="N414" s="56">
        <f>FORECAST(N$395,I414:M414,I$395:M$395)*0.995</f>
        <v>0.26227396964175498</v>
      </c>
      <c r="O414" s="56">
        <f>FORECAST(O$395,J414:N414,J$395:N$395)*0.997</f>
        <v>0.26158478080739644</v>
      </c>
      <c r="P414" s="56">
        <f>FORECAST(P$395,K414:O414,K$395:O$395)*0.997</f>
        <v>0.2608457603424908</v>
      </c>
      <c r="Q414" s="56">
        <f>FORECAST(Q$395,L414:P414,L$395:P$395)*1</f>
        <v>0.26041160223132576</v>
      </c>
      <c r="R414" s="56">
        <f>FORECAST(R$395,M414:Q414,M$395:Q$395)*1.001</f>
        <v>0.26032718561204821</v>
      </c>
      <c r="Z414" s="1"/>
    </row>
    <row r="415" spans="1:28" outlineLevel="1">
      <c r="A415" s="215"/>
      <c r="B415" s="215"/>
      <c r="C415" s="215"/>
      <c r="D415" s="175" t="s">
        <v>40</v>
      </c>
      <c r="E415" s="215"/>
      <c r="F415" s="215"/>
      <c r="G415" s="34"/>
      <c r="H415" s="56">
        <f>H405/H$395</f>
        <v>0.32652067079397562</v>
      </c>
      <c r="I415" s="56">
        <f>I405/I$395</f>
        <v>0.32637537104561171</v>
      </c>
      <c r="J415" s="56">
        <f t="shared" ref="J415:M415" si="303">J405/J$395</f>
        <v>0.32547238007026202</v>
      </c>
      <c r="K415" s="56">
        <f t="shared" si="303"/>
        <v>0.32464504814329131</v>
      </c>
      <c r="L415" s="56">
        <f t="shared" si="303"/>
        <v>0.32397590208075738</v>
      </c>
      <c r="M415" s="56">
        <f t="shared" si="303"/>
        <v>0.3262437333953227</v>
      </c>
      <c r="N415" s="56">
        <f>FORECAST(N$395,I415:M415,I$395:M$395)*0.999</f>
        <v>0.32481158250912978</v>
      </c>
      <c r="O415" s="56">
        <f>FORECAST(O$395,J415:N415,J$395:N$395)*1</f>
        <v>0.32533946402273067</v>
      </c>
      <c r="P415" s="56">
        <f>FORECAST(P$395,K415:O415,K$395:O$395)*1.0045</f>
        <v>0.32714895319406173</v>
      </c>
      <c r="Q415" s="56">
        <f>FORECAST(Q$395,L415:P415,L$395:P$395)*1.002</f>
        <v>0.32763263978978635</v>
      </c>
      <c r="R415" s="56">
        <f>FORECAST(R$395,M415:Q415,M$395:Q$395)*0.9998</f>
        <v>0.32750104137569663</v>
      </c>
      <c r="Z415" s="1"/>
    </row>
    <row r="416" spans="1:28" outlineLevel="1">
      <c r="A416" s="215"/>
      <c r="B416" s="215"/>
      <c r="C416" s="215"/>
      <c r="D416" s="175" t="s">
        <v>41</v>
      </c>
      <c r="E416" s="215"/>
      <c r="F416" s="215"/>
      <c r="G416" s="34"/>
      <c r="H416" s="56">
        <f>H407/H$395</f>
        <v>2.1823770355018719E-3</v>
      </c>
      <c r="I416" s="56">
        <f>I407/I$395</f>
        <v>2.1891972234475273E-3</v>
      </c>
      <c r="J416" s="56">
        <f t="shared" ref="J416:M416" si="304">J407/J$395</f>
        <v>2.1802033234183229E-3</v>
      </c>
      <c r="K416" s="56">
        <f t="shared" si="304"/>
        <v>2.1709633070651547E-3</v>
      </c>
      <c r="L416" s="56">
        <f t="shared" si="304"/>
        <v>2.16212164757366E-3</v>
      </c>
      <c r="M416" s="56">
        <f t="shared" si="304"/>
        <v>2.1491489176882184E-3</v>
      </c>
      <c r="N416" s="56">
        <f>FORECAST(N$395,I416:M416,I$395:M$395)*1.015</f>
        <v>2.1692045472389127E-3</v>
      </c>
      <c r="O416" s="56">
        <f>FORECAST(O$395,J416:N416,J$395:N$395)*0.999</f>
        <v>2.1523989116042181E-3</v>
      </c>
      <c r="P416" s="56">
        <f>FORECAST(P$395,K416:O416,K$395:O$395)*1.009</f>
        <v>2.1717369817791741E-3</v>
      </c>
      <c r="Q416" s="56">
        <f>FORECAST(Q$395,L416:P416,L$395:P$395)*1.01</f>
        <v>2.1879552977906668E-3</v>
      </c>
      <c r="R416" s="56">
        <f>FORECAST(R$395,M416:Q416,M$395:Q$395)*1.005</f>
        <v>2.1982896961345549E-3</v>
      </c>
      <c r="Z416" s="1"/>
    </row>
    <row r="417" spans="1:26" outlineLevel="1">
      <c r="A417" s="215"/>
      <c r="B417" s="215"/>
      <c r="C417" s="215"/>
      <c r="D417" s="175" t="s">
        <v>42</v>
      </c>
      <c r="E417" s="215"/>
      <c r="F417" s="215"/>
      <c r="G417" s="34"/>
      <c r="H417" s="56">
        <f>H409/H$395</f>
        <v>8.0620775929295535E-2</v>
      </c>
      <c r="I417" s="56">
        <f>I409/I$395</f>
        <v>8.0329474562699774E-2</v>
      </c>
      <c r="J417" s="56">
        <f t="shared" ref="J417:M417" si="305">J409/J$395</f>
        <v>7.9227901613693252E-2</v>
      </c>
      <c r="K417" s="56">
        <f t="shared" si="305"/>
        <v>7.8739809418068948E-2</v>
      </c>
      <c r="L417" s="56">
        <f t="shared" si="305"/>
        <v>7.8932467482797905E-2</v>
      </c>
      <c r="M417" s="56">
        <f t="shared" si="305"/>
        <v>7.8295736955543357E-2</v>
      </c>
      <c r="N417" s="56">
        <f>1-SUM(N411:N416)</f>
        <v>7.8574493888807995E-2</v>
      </c>
      <c r="O417" s="56">
        <f>1-SUM(O411:O416)</f>
        <v>7.8271179804736968E-2</v>
      </c>
      <c r="P417" s="56">
        <f>1-SUM(P411:P416)</f>
        <v>7.844461735105146E-2</v>
      </c>
      <c r="Q417" s="56">
        <f>1-SUM(Q411:Q416)</f>
        <v>7.8265166995255764E-2</v>
      </c>
      <c r="R417" s="56">
        <f>1-SUM(R411:R416)</f>
        <v>7.7848643232124592E-2</v>
      </c>
      <c r="Z417" s="1"/>
    </row>
    <row r="418" spans="1:26">
      <c r="A418" s="195"/>
      <c r="B418" s="195"/>
      <c r="C418" s="195"/>
      <c r="D418" s="196" t="s">
        <v>351</v>
      </c>
      <c r="E418" s="197" t="s">
        <v>352</v>
      </c>
      <c r="F418" s="197"/>
      <c r="G418" s="197"/>
      <c r="H418" s="197"/>
      <c r="I418" s="197"/>
      <c r="J418" s="197"/>
      <c r="K418" s="197"/>
      <c r="L418" s="198"/>
      <c r="M418" s="199"/>
      <c r="N418" s="200"/>
      <c r="O418" s="200"/>
      <c r="P418" s="200"/>
      <c r="Q418" s="200"/>
      <c r="R418" s="200"/>
      <c r="S418" s="200"/>
      <c r="Z418" s="1"/>
    </row>
    <row r="419" spans="1:26">
      <c r="A419" s="23"/>
      <c r="B419" s="23"/>
      <c r="C419" s="23"/>
      <c r="D419" s="23" t="s">
        <v>370</v>
      </c>
      <c r="E419" s="220">
        <f>S420/$S$431</f>
        <v>0.32627710687351302</v>
      </c>
      <c r="F419" s="25"/>
      <c r="G419" s="25"/>
      <c r="H419" s="26">
        <f>H486</f>
        <v>2546.8991999999998</v>
      </c>
      <c r="I419" s="26">
        <f>I486</f>
        <v>2602.0479999999998</v>
      </c>
      <c r="J419" s="26">
        <f t="shared" ref="J419:R419" si="306">J486</f>
        <v>2578.2351000000003</v>
      </c>
      <c r="K419" s="26">
        <f t="shared" si="306"/>
        <v>2539.1658000000002</v>
      </c>
      <c r="L419" s="26">
        <f t="shared" si="306"/>
        <v>2628.8851999999997</v>
      </c>
      <c r="M419" s="26">
        <f t="shared" si="306"/>
        <v>2739.6408999999999</v>
      </c>
      <c r="N419" s="26">
        <f t="shared" si="306"/>
        <v>2796.4838</v>
      </c>
      <c r="O419" s="26">
        <f t="shared" si="306"/>
        <v>2915.0080000000003</v>
      </c>
      <c r="P419" s="26">
        <f t="shared" si="306"/>
        <v>3050.7901000000002</v>
      </c>
      <c r="Q419" s="26">
        <f t="shared" si="306"/>
        <v>3193.4398000000001</v>
      </c>
      <c r="R419" s="26">
        <f t="shared" si="306"/>
        <v>3341.7802999999999</v>
      </c>
      <c r="S419" s="22" t="s">
        <v>182</v>
      </c>
      <c r="Z419" s="1"/>
    </row>
    <row r="420" spans="1:26" ht="12.75">
      <c r="A420" s="28"/>
      <c r="B420" s="28"/>
      <c r="C420" s="28"/>
      <c r="D420" s="28" t="s">
        <v>184</v>
      </c>
      <c r="E420" s="30"/>
      <c r="F420" s="28"/>
      <c r="G420" s="28"/>
      <c r="H420" s="28"/>
      <c r="I420" s="28"/>
      <c r="J420" s="30">
        <f t="shared" ref="J420:R420" si="307">J419/I419-1</f>
        <v>-9.1515990481342291E-3</v>
      </c>
      <c r="K420" s="30">
        <f t="shared" si="307"/>
        <v>-1.5153505589928562E-2</v>
      </c>
      <c r="L420" s="30">
        <f t="shared" si="307"/>
        <v>3.5334203067794778E-2</v>
      </c>
      <c r="M420" s="30">
        <f t="shared" si="307"/>
        <v>4.2130291577585854E-2</v>
      </c>
      <c r="N420" s="30">
        <f t="shared" si="307"/>
        <v>2.0748303180902372E-2</v>
      </c>
      <c r="O420" s="30">
        <f t="shared" si="307"/>
        <v>4.2383295765918705E-2</v>
      </c>
      <c r="P420" s="30">
        <f t="shared" si="307"/>
        <v>4.6580352438140737E-2</v>
      </c>
      <c r="Q420" s="30">
        <f t="shared" si="307"/>
        <v>4.6758280748321557E-2</v>
      </c>
      <c r="R420" s="30">
        <f t="shared" si="307"/>
        <v>4.6451635004987279E-2</v>
      </c>
      <c r="S420" s="27">
        <f>CORREL(J420:M420,J$395:M$395)</f>
        <v>0.91004966371003493</v>
      </c>
      <c r="Z420" s="1"/>
    </row>
    <row r="421" spans="1:26" ht="45">
      <c r="A421" s="25"/>
      <c r="B421" s="25"/>
      <c r="C421" s="25"/>
      <c r="D421" s="25" t="s">
        <v>371</v>
      </c>
      <c r="E421" s="220">
        <f>S422/$S$431</f>
        <v>0.17455704246428461</v>
      </c>
      <c r="F421" s="25"/>
      <c r="G421" s="25"/>
      <c r="H421" s="26">
        <f>H488</f>
        <v>1774384.0604708097</v>
      </c>
      <c r="I421" s="26">
        <f>I488</f>
        <v>1806811.2303349308</v>
      </c>
      <c r="J421" s="26">
        <f t="shared" ref="J421:R421" si="308">J488</f>
        <v>1753936.5899999999</v>
      </c>
      <c r="K421" s="26">
        <f t="shared" si="308"/>
        <v>1794033.31</v>
      </c>
      <c r="L421" s="26">
        <f t="shared" si="308"/>
        <v>1893690.25</v>
      </c>
      <c r="M421" s="26">
        <f t="shared" si="308"/>
        <v>1903441.02</v>
      </c>
      <c r="N421" s="26">
        <f t="shared" si="308"/>
        <v>1925372.9599999997</v>
      </c>
      <c r="O421" s="26">
        <f t="shared" si="308"/>
        <v>1994816.1647803902</v>
      </c>
      <c r="P421" s="26">
        <f t="shared" si="308"/>
        <v>2061243.7571628101</v>
      </c>
      <c r="Q421" s="26">
        <f t="shared" si="308"/>
        <v>2129732.0736294473</v>
      </c>
      <c r="R421" s="26">
        <f t="shared" si="308"/>
        <v>2204698.3350415463</v>
      </c>
      <c r="S421" s="27"/>
      <c r="Y421" s="200"/>
      <c r="Z421" s="1"/>
    </row>
    <row r="422" spans="1:26" ht="12.75">
      <c r="A422" s="28"/>
      <c r="B422" s="28"/>
      <c r="C422" s="28"/>
      <c r="D422" s="28" t="s">
        <v>184</v>
      </c>
      <c r="E422" s="30"/>
      <c r="F422" s="28"/>
      <c r="G422" s="28"/>
      <c r="H422" s="28"/>
      <c r="I422" s="28"/>
      <c r="J422" s="29">
        <f t="shared" ref="J422:R422" si="309">J421/I421-1</f>
        <v>-2.9264064472927509E-2</v>
      </c>
      <c r="K422" s="29">
        <f t="shared" si="309"/>
        <v>2.2860986097564817E-2</v>
      </c>
      <c r="L422" s="29">
        <f t="shared" si="309"/>
        <v>5.5549102374247372E-2</v>
      </c>
      <c r="M422" s="29">
        <f t="shared" si="309"/>
        <v>5.1490839116903331E-3</v>
      </c>
      <c r="N422" s="29">
        <f t="shared" si="309"/>
        <v>1.1522258777421746E-2</v>
      </c>
      <c r="O422" s="29">
        <f t="shared" si="309"/>
        <v>3.6067404198088626E-2</v>
      </c>
      <c r="P422" s="29">
        <f t="shared" si="309"/>
        <v>3.3300107325796136E-2</v>
      </c>
      <c r="Q422" s="29">
        <f t="shared" si="309"/>
        <v>3.3226694430797288E-2</v>
      </c>
      <c r="R422" s="29">
        <f t="shared" si="309"/>
        <v>3.5199855578238459E-2</v>
      </c>
      <c r="S422" s="27">
        <f>CORREL(J421:M421,J$396:M$396)</f>
        <v>0.48687319596230089</v>
      </c>
      <c r="Y422" s="22"/>
      <c r="Z422" s="1"/>
    </row>
    <row r="423" spans="1:26" ht="30">
      <c r="A423" s="25"/>
      <c r="B423" s="25"/>
      <c r="C423" s="25"/>
      <c r="D423" s="25" t="s">
        <v>372</v>
      </c>
      <c r="E423" s="220">
        <f>S424/$S$431</f>
        <v>0.15081659287745872</v>
      </c>
      <c r="F423" s="25"/>
      <c r="G423" s="25"/>
      <c r="H423" s="26">
        <f>H490</f>
        <v>1444.078327765543</v>
      </c>
      <c r="I423" s="26">
        <f>I490</f>
        <v>1474.4805167542204</v>
      </c>
      <c r="J423" s="26">
        <f t="shared" ref="J423:R423" si="310">J490</f>
        <v>1324.6073321875938</v>
      </c>
      <c r="K423" s="26">
        <f t="shared" si="310"/>
        <v>1422.3294056687316</v>
      </c>
      <c r="L423" s="26">
        <f t="shared" si="310"/>
        <v>1638.5987555726563</v>
      </c>
      <c r="M423" s="26">
        <f t="shared" si="310"/>
        <v>1616.1934909522852</v>
      </c>
      <c r="N423" s="26">
        <f t="shared" si="310"/>
        <v>1545.4953351568606</v>
      </c>
      <c r="O423" s="26">
        <f t="shared" si="310"/>
        <v>1571.0674180515662</v>
      </c>
      <c r="P423" s="26">
        <f t="shared" si="310"/>
        <v>1585.7389789779522</v>
      </c>
      <c r="Q423" s="26">
        <f t="shared" si="310"/>
        <v>1601.6192274493546</v>
      </c>
      <c r="R423" s="26">
        <f t="shared" si="310"/>
        <v>1637.1000767469777</v>
      </c>
      <c r="S423" s="25"/>
      <c r="Y423" s="27"/>
      <c r="Z423" s="1"/>
    </row>
    <row r="424" spans="1:26" ht="12.75">
      <c r="A424" s="28"/>
      <c r="B424" s="28"/>
      <c r="C424" s="28"/>
      <c r="D424" s="28" t="s">
        <v>184</v>
      </c>
      <c r="E424" s="30"/>
      <c r="F424" s="28"/>
      <c r="G424" s="28"/>
      <c r="H424" s="29"/>
      <c r="I424" s="29"/>
      <c r="J424" s="29">
        <f t="shared" ref="J424:R424" si="311">J423/I423-1</f>
        <v>-0.10164473715566147</v>
      </c>
      <c r="K424" s="29">
        <f t="shared" si="311"/>
        <v>7.3774371548849471E-2</v>
      </c>
      <c r="L424" s="29">
        <f t="shared" si="311"/>
        <v>0.15205292743156229</v>
      </c>
      <c r="M424" s="29">
        <f t="shared" si="311"/>
        <v>-1.3673429534944881E-2</v>
      </c>
      <c r="N424" s="29">
        <f t="shared" si="311"/>
        <v>-4.3743621163681468E-2</v>
      </c>
      <c r="O424" s="29">
        <f t="shared" si="311"/>
        <v>1.6546205163479266E-2</v>
      </c>
      <c r="P424" s="29">
        <f t="shared" si="311"/>
        <v>9.3385941034800357E-3</v>
      </c>
      <c r="Q424" s="29">
        <f t="shared" si="311"/>
        <v>1.0014415160329637E-2</v>
      </c>
      <c r="R424" s="29">
        <f t="shared" si="311"/>
        <v>2.2153111482139165E-2</v>
      </c>
      <c r="S424" s="27">
        <f>CORREL(J423:M423,J$396:M$396)</f>
        <v>0.4206565117154607</v>
      </c>
      <c r="Y424" s="27"/>
      <c r="Z424" s="1"/>
    </row>
    <row r="425" spans="1:26" ht="30">
      <c r="A425" s="216"/>
      <c r="B425" s="216"/>
      <c r="C425" s="216"/>
      <c r="D425" s="25" t="s">
        <v>373</v>
      </c>
      <c r="E425" s="220" t="e">
        <f>S426/$S$431</f>
        <v>#REF!</v>
      </c>
      <c r="F425" s="25"/>
      <c r="G425" s="25"/>
      <c r="H425" s="26" t="e">
        <f>#REF!</f>
        <v>#REF!</v>
      </c>
      <c r="I425" s="26" t="e">
        <f>#REF!</f>
        <v>#REF!</v>
      </c>
      <c r="J425" s="26" t="e">
        <f>#REF!</f>
        <v>#REF!</v>
      </c>
      <c r="K425" s="26" t="e">
        <f>#REF!</f>
        <v>#REF!</v>
      </c>
      <c r="L425" s="26" t="e">
        <f>#REF!</f>
        <v>#REF!</v>
      </c>
      <c r="M425" s="26" t="e">
        <f>#REF!</f>
        <v>#REF!</v>
      </c>
      <c r="N425" s="26" t="e">
        <f>#REF!</f>
        <v>#REF!</v>
      </c>
      <c r="O425" s="26" t="e">
        <f>#REF!</f>
        <v>#REF!</v>
      </c>
      <c r="P425" s="26" t="e">
        <f>#REF!</f>
        <v>#REF!</v>
      </c>
      <c r="Q425" s="26" t="e">
        <f>#REF!</f>
        <v>#REF!</v>
      </c>
      <c r="R425" s="26" t="e">
        <f>#REF!</f>
        <v>#REF!</v>
      </c>
      <c r="S425" s="27"/>
      <c r="Y425" s="27"/>
      <c r="Z425" s="1"/>
    </row>
    <row r="426" spans="1:26">
      <c r="A426" s="28"/>
      <c r="B426" s="28"/>
      <c r="C426" s="28"/>
      <c r="D426" s="28" t="s">
        <v>184</v>
      </c>
      <c r="E426" s="30"/>
      <c r="F426" s="28"/>
      <c r="G426" s="28"/>
      <c r="H426" s="29"/>
      <c r="I426" s="29"/>
      <c r="J426" s="29" t="e">
        <f t="shared" ref="J426:R426" si="312">J425/I425-1</f>
        <v>#REF!</v>
      </c>
      <c r="K426" s="29" t="e">
        <f t="shared" si="312"/>
        <v>#REF!</v>
      </c>
      <c r="L426" s="29" t="e">
        <f t="shared" si="312"/>
        <v>#REF!</v>
      </c>
      <c r="M426" s="29" t="e">
        <f t="shared" si="312"/>
        <v>#REF!</v>
      </c>
      <c r="N426" s="29" t="e">
        <f t="shared" si="312"/>
        <v>#REF!</v>
      </c>
      <c r="O426" s="29" t="e">
        <f t="shared" si="312"/>
        <v>#REF!</v>
      </c>
      <c r="P426" s="29" t="e">
        <f t="shared" si="312"/>
        <v>#REF!</v>
      </c>
      <c r="Q426" s="29" t="e">
        <f t="shared" si="312"/>
        <v>#REF!</v>
      </c>
      <c r="R426" s="29" t="e">
        <f t="shared" si="312"/>
        <v>#REF!</v>
      </c>
      <c r="S426" s="27" t="e">
        <f>CORREL(J426:M426,J$396:M$396)</f>
        <v>#REF!</v>
      </c>
      <c r="Y426" s="25"/>
      <c r="Z426" s="1"/>
    </row>
    <row r="427" spans="1:26" ht="30">
      <c r="A427" s="216"/>
      <c r="B427" s="216"/>
      <c r="C427" s="216"/>
      <c r="D427" s="25" t="s">
        <v>367</v>
      </c>
      <c r="E427" s="220">
        <f>S428/$S$431</f>
        <v>0.24662759465340273</v>
      </c>
      <c r="F427" s="25"/>
      <c r="G427" s="25"/>
      <c r="H427" s="26">
        <f>H476</f>
        <v>0.33600000000000002</v>
      </c>
      <c r="I427" s="26">
        <f>I476</f>
        <v>0.35599999999999998</v>
      </c>
      <c r="J427" s="26">
        <f t="shared" ref="J427:R427" si="313">J476</f>
        <v>0.317</v>
      </c>
      <c r="K427" s="26">
        <f t="shared" si="313"/>
        <v>0.34799999999999998</v>
      </c>
      <c r="L427" s="26">
        <f t="shared" si="313"/>
        <v>0.40300000000000002</v>
      </c>
      <c r="M427" s="26">
        <f t="shared" si="313"/>
        <v>0.39500000000000002</v>
      </c>
      <c r="N427" s="26">
        <f t="shared" si="313"/>
        <v>0.40799999999999997</v>
      </c>
      <c r="O427" s="26">
        <f t="shared" si="313"/>
        <v>0.42299999999999999</v>
      </c>
      <c r="P427" s="26">
        <f t="shared" si="313"/>
        <v>0.435</v>
      </c>
      <c r="Q427" s="26">
        <f t="shared" si="313"/>
        <v>0.44800000000000001</v>
      </c>
      <c r="R427" s="26">
        <f t="shared" si="313"/>
        <v>0.46</v>
      </c>
      <c r="S427" s="27"/>
      <c r="Y427" s="27"/>
      <c r="Z427" s="1"/>
    </row>
    <row r="428" spans="1:26" ht="12.75">
      <c r="A428" s="28"/>
      <c r="B428" s="28"/>
      <c r="C428" s="28"/>
      <c r="D428" s="28" t="s">
        <v>184</v>
      </c>
      <c r="E428" s="30"/>
      <c r="F428" s="28"/>
      <c r="G428" s="28"/>
      <c r="H428" s="29"/>
      <c r="I428" s="29"/>
      <c r="J428" s="29">
        <f t="shared" ref="J428:R428" si="314">J427/I427-1</f>
        <v>-0.1095505617977528</v>
      </c>
      <c r="K428" s="29">
        <f t="shared" si="314"/>
        <v>9.7791798107255357E-2</v>
      </c>
      <c r="L428" s="29">
        <f t="shared" si="314"/>
        <v>0.15804597701149437</v>
      </c>
      <c r="M428" s="29">
        <f t="shared" si="314"/>
        <v>-1.9851116625310139E-2</v>
      </c>
      <c r="N428" s="29">
        <f t="shared" si="314"/>
        <v>3.2911392405063244E-2</v>
      </c>
      <c r="O428" s="29">
        <f t="shared" si="314"/>
        <v>3.6764705882353033E-2</v>
      </c>
      <c r="P428" s="29">
        <f t="shared" si="314"/>
        <v>2.8368794326241176E-2</v>
      </c>
      <c r="Q428" s="29">
        <f t="shared" si="314"/>
        <v>2.9885057471264354E-2</v>
      </c>
      <c r="R428" s="29">
        <f t="shared" si="314"/>
        <v>2.6785714285714413E-2</v>
      </c>
      <c r="S428" s="27">
        <f>CORREL(I427:M427,I$395:M$395)</f>
        <v>0.68789184054814279</v>
      </c>
      <c r="Y428" s="27"/>
      <c r="Z428" s="1"/>
    </row>
    <row r="429" spans="1:26" ht="30">
      <c r="A429" s="216"/>
      <c r="B429" s="216"/>
      <c r="C429" s="216"/>
      <c r="D429" s="25" t="s">
        <v>368</v>
      </c>
      <c r="E429" s="220">
        <f>S430/$S$431</f>
        <v>0.10172166313134109</v>
      </c>
      <c r="F429" s="25"/>
      <c r="G429" s="25"/>
      <c r="H429" s="26">
        <f t="shared" ref="H429" si="315">H480</f>
        <v>2.5579999999999998</v>
      </c>
      <c r="I429" s="26">
        <f t="shared" ref="I429:R429" si="316">I480</f>
        <v>2.9830000000000001</v>
      </c>
      <c r="J429" s="26">
        <f t="shared" si="316"/>
        <v>2.0310000000000001</v>
      </c>
      <c r="K429" s="26">
        <f t="shared" si="316"/>
        <v>2.5499999999999998</v>
      </c>
      <c r="L429" s="26">
        <f t="shared" si="316"/>
        <v>2.7930000000000001</v>
      </c>
      <c r="M429" s="26">
        <f t="shared" si="316"/>
        <v>2.9889999999999999</v>
      </c>
      <c r="N429" s="26">
        <f t="shared" si="316"/>
        <v>2.9590000000000001</v>
      </c>
      <c r="O429" s="26">
        <f t="shared" si="316"/>
        <v>3.165</v>
      </c>
      <c r="P429" s="26">
        <f t="shared" si="316"/>
        <v>3.32</v>
      </c>
      <c r="Q429" s="26">
        <f t="shared" si="316"/>
        <v>3.5129999999999999</v>
      </c>
      <c r="R429" s="26">
        <f t="shared" si="316"/>
        <v>3.6440000000000001</v>
      </c>
      <c r="S429" s="27"/>
      <c r="Y429" s="27"/>
      <c r="Z429" s="1"/>
    </row>
    <row r="430" spans="1:26" ht="12.75">
      <c r="A430" s="28"/>
      <c r="B430" s="28"/>
      <c r="C430" s="28"/>
      <c r="D430" s="28" t="s">
        <v>184</v>
      </c>
      <c r="E430" s="28"/>
      <c r="F430" s="28"/>
      <c r="G430" s="28"/>
      <c r="H430" s="29"/>
      <c r="I430" s="29"/>
      <c r="J430" s="29">
        <f t="shared" ref="J430:R430" si="317">J429/I429-1</f>
        <v>-0.31914180355346966</v>
      </c>
      <c r="K430" s="29">
        <f t="shared" si="317"/>
        <v>0.25553914327917271</v>
      </c>
      <c r="L430" s="29">
        <f t="shared" si="317"/>
        <v>9.5294117647058973E-2</v>
      </c>
      <c r="M430" s="29">
        <f t="shared" si="317"/>
        <v>7.0175438596491224E-2</v>
      </c>
      <c r="N430" s="29">
        <f t="shared" si="317"/>
        <v>-1.0036801605888157E-2</v>
      </c>
      <c r="O430" s="29">
        <f t="shared" si="317"/>
        <v>6.9618114227779637E-2</v>
      </c>
      <c r="P430" s="29">
        <f t="shared" si="317"/>
        <v>4.8973143759873494E-2</v>
      </c>
      <c r="Q430" s="29">
        <f t="shared" si="317"/>
        <v>5.8132530120482029E-2</v>
      </c>
      <c r="R430" s="29">
        <f t="shared" si="317"/>
        <v>3.729006547110747E-2</v>
      </c>
      <c r="S430" s="27">
        <f>CORREL(J430:M430,J$395:M$395)</f>
        <v>0.2837213012330328</v>
      </c>
      <c r="Y430" s="27"/>
      <c r="Z430" s="1"/>
    </row>
    <row r="431" spans="1:26" ht="12">
      <c r="D431" s="218" t="s">
        <v>188</v>
      </c>
      <c r="E431" s="1" t="e">
        <f>E423+E421+E425+E419+E427+E429</f>
        <v>#REF!</v>
      </c>
      <c r="S431" s="1">
        <f>SUM(S420:S424,S428:S430)</f>
        <v>2.7891925131689717</v>
      </c>
      <c r="Y431" s="27"/>
      <c r="Z431" s="1"/>
    </row>
    <row r="432" spans="1:26" ht="11.25">
      <c r="C432" s="164"/>
      <c r="G432" s="164"/>
      <c r="J432" s="182"/>
      <c r="K432" s="182"/>
      <c r="L432" s="182"/>
      <c r="M432" s="182"/>
      <c r="Y432" s="27"/>
      <c r="Z432" s="1"/>
    </row>
    <row r="433" spans="1:16382" customFormat="1">
      <c r="A433" s="125" t="str">
        <f>'[7]Input sheet'!A161</f>
        <v>Turkey</v>
      </c>
      <c r="B433" s="125" t="str">
        <f>'[7]Input sheet'!B161</f>
        <v>Tourism Spend Factors</v>
      </c>
      <c r="C433" s="134" t="str">
        <f>'[7]Input sheet'!C161</f>
        <v>Average Overseas Tourism Expenditure per Resident by Sector</v>
      </c>
      <c r="D433" s="135"/>
      <c r="E433" s="135"/>
      <c r="F433" s="135"/>
      <c r="G433" s="263" t="str">
        <f>Home!$B$2</f>
        <v>Foriant</v>
      </c>
      <c r="H433" s="167">
        <f t="shared" ref="H433:M433" si="318">(H37*1000)/H$498</f>
        <v>252739.54284759835</v>
      </c>
      <c r="I433" s="167">
        <f t="shared" si="318"/>
        <v>564868.13022977731</v>
      </c>
      <c r="J433" s="167">
        <f t="shared" si="318"/>
        <v>601255.37047358591</v>
      </c>
      <c r="K433" s="167">
        <f t="shared" si="318"/>
        <v>722345.57632485148</v>
      </c>
      <c r="L433" s="167">
        <f t="shared" si="318"/>
        <v>805769.9164906654</v>
      </c>
      <c r="M433" s="167">
        <f t="shared" si="318"/>
        <v>983521.95634734421</v>
      </c>
      <c r="N433" s="167">
        <f>M433*(1+N434)</f>
        <v>1064769.8344744868</v>
      </c>
      <c r="O433" s="167">
        <f>N433*(1+O434)</f>
        <v>1170180.7833655321</v>
      </c>
      <c r="P433" s="167">
        <f>O433*(1+P434)</f>
        <v>1228071.6662066106</v>
      </c>
      <c r="Q433" s="167">
        <f>P433*(1+Q434)</f>
        <v>1337476.9713172989</v>
      </c>
      <c r="R433" s="167">
        <f>Q433*(1+R434)</f>
        <v>1455245.5347022437</v>
      </c>
      <c r="S433" s="125" t="str">
        <f>'[7]Input sheet'!R161</f>
        <v>The average value of expenditure on travel and tourism activities by international tourists from a country, segmented by the type of tourism product that the money was spent on.</v>
      </c>
      <c r="T433" s="125" t="str">
        <f>'[7]Input sheet'!S161</f>
        <v>New</v>
      </c>
      <c r="U433" s="134" t="str">
        <f>'[7]Input sheet'!T161</f>
        <v>Need to divide outbound tourism expenditure by the number of outbound tourists</v>
      </c>
      <c r="V433" s="135">
        <f>'[7]Input sheet'!U161</f>
        <v>0</v>
      </c>
      <c r="W433" s="135">
        <f>'[7]Input sheet'!W161</f>
        <v>0</v>
      </c>
      <c r="X433" s="135">
        <f>'[7]Input sheet'!X161</f>
        <v>0</v>
      </c>
      <c r="Y433" s="27"/>
      <c r="Z433" s="1"/>
      <c r="AA433" s="1"/>
      <c r="AB433" s="1"/>
      <c r="AC433" s="1"/>
      <c r="AD433" s="173"/>
      <c r="AE433" s="173"/>
      <c r="AF433" s="173"/>
      <c r="AG433" s="173"/>
      <c r="AH433" s="173"/>
      <c r="AI433" s="173"/>
      <c r="AJ433" s="125"/>
      <c r="AK433" s="125"/>
      <c r="AL433" s="134"/>
      <c r="AM433" s="135"/>
      <c r="AN433" s="135"/>
      <c r="AO433" s="135"/>
      <c r="AP433" s="135"/>
      <c r="AQ433" s="173"/>
      <c r="AR433" s="173"/>
      <c r="AS433" s="173"/>
      <c r="AT433" s="173"/>
      <c r="AU433" s="173"/>
      <c r="AV433" s="173"/>
      <c r="AW433" s="173"/>
      <c r="AX433" s="173"/>
      <c r="AY433" s="173"/>
      <c r="AZ433" s="173"/>
      <c r="BA433" s="125"/>
      <c r="BB433" s="125"/>
      <c r="BC433" s="134"/>
      <c r="BD433" s="135"/>
      <c r="BE433" s="135"/>
      <c r="BF433" s="135"/>
      <c r="BG433" s="135"/>
      <c r="BH433" s="173"/>
      <c r="BI433" s="173"/>
      <c r="BJ433" s="173"/>
      <c r="BK433" s="173"/>
      <c r="BL433" s="173"/>
      <c r="BM433" s="173"/>
      <c r="BN433" s="173"/>
      <c r="BO433" s="173"/>
      <c r="BP433" s="173"/>
      <c r="BQ433" s="173"/>
      <c r="BR433" s="125"/>
      <c r="BS433" s="125"/>
      <c r="BT433" s="134"/>
      <c r="BU433" s="135"/>
      <c r="BV433" s="135"/>
      <c r="BW433" s="135"/>
      <c r="BX433" s="135"/>
      <c r="BY433" s="173"/>
      <c r="BZ433" s="173"/>
      <c r="CA433" s="173"/>
      <c r="CB433" s="173"/>
      <c r="CC433" s="173"/>
      <c r="CD433" s="173"/>
      <c r="CE433" s="173"/>
      <c r="CF433" s="173"/>
      <c r="CG433" s="173"/>
      <c r="CH433" s="173"/>
      <c r="CI433" s="125"/>
      <c r="CJ433" s="125"/>
      <c r="CK433" s="134"/>
      <c r="CL433" s="135"/>
      <c r="CM433" s="135"/>
      <c r="CN433" s="135"/>
      <c r="CO433" s="135"/>
      <c r="CP433" s="173"/>
      <c r="CQ433" s="173"/>
      <c r="CR433" s="173"/>
      <c r="CS433" s="173"/>
      <c r="CT433" s="173"/>
      <c r="CU433" s="173"/>
      <c r="CV433" s="173"/>
      <c r="CW433" s="173"/>
      <c r="CX433" s="173"/>
      <c r="CY433" s="173"/>
      <c r="CZ433" s="125"/>
      <c r="DA433" s="125"/>
      <c r="DB433" s="134"/>
      <c r="DC433" s="135"/>
      <c r="DD433" s="135"/>
      <c r="DE433" s="135"/>
      <c r="DF433" s="135"/>
      <c r="DG433" s="173"/>
      <c r="DH433" s="173"/>
      <c r="DI433" s="173"/>
      <c r="DJ433" s="173"/>
      <c r="DK433" s="173"/>
      <c r="DL433" s="173"/>
      <c r="DM433" s="173"/>
      <c r="DN433" s="173"/>
      <c r="DO433" s="173"/>
      <c r="DP433" s="173"/>
      <c r="DQ433" s="125"/>
      <c r="DR433" s="125"/>
      <c r="DS433" s="134"/>
      <c r="DT433" s="135"/>
      <c r="DU433" s="135"/>
      <c r="DV433" s="135"/>
      <c r="DW433" s="135"/>
      <c r="DX433" s="173"/>
      <c r="DY433" s="173"/>
      <c r="DZ433" s="173"/>
      <c r="EA433" s="173"/>
      <c r="EB433" s="173"/>
      <c r="EC433" s="173"/>
      <c r="ED433" s="173"/>
      <c r="EE433" s="173"/>
      <c r="EF433" s="173"/>
      <c r="EG433" s="173"/>
      <c r="EH433" s="125"/>
      <c r="EI433" s="125"/>
      <c r="EJ433" s="134"/>
      <c r="EK433" s="135"/>
      <c r="EL433" s="135"/>
      <c r="EM433" s="135"/>
      <c r="EN433" s="135"/>
      <c r="EO433" s="173"/>
      <c r="EP433" s="173"/>
      <c r="EQ433" s="173"/>
      <c r="ER433" s="173"/>
      <c r="ES433" s="173"/>
      <c r="ET433" s="173"/>
      <c r="EU433" s="173"/>
      <c r="EV433" s="173"/>
      <c r="EW433" s="173"/>
      <c r="EX433" s="173"/>
      <c r="EY433" s="125"/>
      <c r="EZ433" s="125"/>
      <c r="FA433" s="134"/>
      <c r="FB433" s="135"/>
      <c r="FC433" s="135"/>
      <c r="FD433" s="135"/>
      <c r="FE433" s="135"/>
      <c r="FF433" s="173"/>
      <c r="FG433" s="173"/>
      <c r="FH433" s="173"/>
      <c r="FI433" s="173"/>
      <c r="FJ433" s="173"/>
      <c r="FK433" s="173"/>
      <c r="FL433" s="173"/>
      <c r="FM433" s="173"/>
      <c r="FN433" s="173"/>
      <c r="FO433" s="173"/>
      <c r="FP433" s="125"/>
      <c r="FQ433" s="125"/>
      <c r="FR433" s="134"/>
      <c r="FS433" s="135"/>
      <c r="FT433" s="135"/>
      <c r="FU433" s="135"/>
      <c r="FV433" s="135"/>
      <c r="FW433" s="173"/>
      <c r="FX433" s="173"/>
      <c r="FY433" s="173"/>
      <c r="FZ433" s="173"/>
      <c r="GA433" s="173"/>
      <c r="GB433" s="173"/>
      <c r="GC433" s="173"/>
      <c r="GD433" s="173"/>
      <c r="GE433" s="173"/>
      <c r="GF433" s="173"/>
      <c r="GG433" s="125"/>
      <c r="GH433" s="125"/>
      <c r="GI433" s="134"/>
      <c r="GJ433" s="135"/>
      <c r="GK433" s="135"/>
      <c r="GL433" s="135"/>
      <c r="GM433" s="135"/>
      <c r="GN433" s="173"/>
      <c r="GO433" s="173"/>
      <c r="GP433" s="173"/>
      <c r="GQ433" s="173"/>
      <c r="GR433" s="173"/>
      <c r="GS433" s="173"/>
      <c r="GT433" s="173"/>
      <c r="GU433" s="173"/>
      <c r="GV433" s="173"/>
      <c r="GW433" s="173"/>
      <c r="GX433" s="125"/>
      <c r="GY433" s="125"/>
      <c r="GZ433" s="134"/>
      <c r="HA433" s="135"/>
      <c r="HB433" s="135"/>
      <c r="HC433" s="135"/>
      <c r="HD433" s="135"/>
      <c r="HE433" s="173"/>
      <c r="HF433" s="173"/>
      <c r="HG433" s="173"/>
      <c r="HH433" s="173"/>
      <c r="HI433" s="173"/>
      <c r="HJ433" s="173"/>
      <c r="HK433" s="173"/>
      <c r="HL433" s="173"/>
      <c r="HM433" s="173"/>
      <c r="HN433" s="173"/>
      <c r="HO433" s="125"/>
      <c r="HP433" s="125"/>
      <c r="HQ433" s="134"/>
      <c r="HR433" s="135"/>
      <c r="HS433" s="135"/>
      <c r="HT433" s="135"/>
      <c r="HU433" s="135"/>
      <c r="HV433" s="173"/>
      <c r="HW433" s="173"/>
      <c r="HX433" s="173"/>
      <c r="HY433" s="173"/>
      <c r="HZ433" s="173"/>
      <c r="IA433" s="173"/>
      <c r="IB433" s="173"/>
      <c r="IC433" s="173"/>
      <c r="ID433" s="173"/>
      <c r="IE433" s="173"/>
      <c r="IF433" s="125"/>
      <c r="IG433" s="125"/>
      <c r="IH433" s="134"/>
      <c r="II433" s="135"/>
      <c r="IJ433" s="135"/>
      <c r="IK433" s="135"/>
      <c r="IL433" s="135"/>
      <c r="IM433" s="173"/>
      <c r="IN433" s="173"/>
      <c r="IO433" s="173"/>
      <c r="IP433" s="173"/>
      <c r="IQ433" s="173"/>
      <c r="IR433" s="173"/>
      <c r="IS433" s="173"/>
      <c r="IT433" s="173"/>
      <c r="IU433" s="173"/>
      <c r="IV433" s="173"/>
      <c r="IW433" s="125"/>
      <c r="IX433" s="125"/>
      <c r="IY433" s="134"/>
      <c r="IZ433" s="135"/>
      <c r="JA433" s="135"/>
      <c r="JB433" s="135"/>
      <c r="JC433" s="135"/>
      <c r="JD433" s="173"/>
      <c r="JE433" s="173"/>
      <c r="JF433" s="173"/>
      <c r="JG433" s="173"/>
      <c r="JH433" s="173"/>
      <c r="JI433" s="173"/>
      <c r="JJ433" s="173"/>
      <c r="JK433" s="173"/>
      <c r="JL433" s="173"/>
      <c r="JM433" s="173"/>
      <c r="JN433" s="125"/>
      <c r="JO433" s="125"/>
      <c r="JP433" s="134"/>
      <c r="JQ433" s="135"/>
      <c r="JR433" s="135"/>
      <c r="JS433" s="135"/>
      <c r="JT433" s="135"/>
      <c r="JU433" s="173"/>
      <c r="JV433" s="173"/>
      <c r="JW433" s="173"/>
      <c r="JX433" s="173"/>
      <c r="JY433" s="173"/>
      <c r="JZ433" s="173"/>
      <c r="KA433" s="173"/>
      <c r="KB433" s="173"/>
      <c r="KC433" s="173"/>
      <c r="KD433" s="173"/>
      <c r="KE433" s="125"/>
      <c r="KF433" s="125"/>
      <c r="KG433" s="134"/>
      <c r="KH433" s="135"/>
      <c r="KI433" s="135"/>
      <c r="KJ433" s="135"/>
      <c r="KK433" s="135"/>
      <c r="KL433" s="173"/>
      <c r="KM433" s="173"/>
      <c r="KN433" s="173"/>
      <c r="KO433" s="173"/>
      <c r="KP433" s="173"/>
      <c r="KQ433" s="173"/>
      <c r="KR433" s="173"/>
      <c r="KS433" s="173"/>
      <c r="KT433" s="173"/>
      <c r="KU433" s="173"/>
      <c r="KV433" s="125"/>
      <c r="KW433" s="125"/>
      <c r="KX433" s="134"/>
      <c r="KY433" s="135"/>
      <c r="KZ433" s="135"/>
      <c r="LA433" s="135"/>
      <c r="LB433" s="135"/>
      <c r="LC433" s="173"/>
      <c r="LD433" s="173"/>
      <c r="LE433" s="173"/>
      <c r="LF433" s="173"/>
      <c r="LG433" s="173"/>
      <c r="LH433" s="173"/>
      <c r="LI433" s="173"/>
      <c r="LJ433" s="173"/>
      <c r="LK433" s="173"/>
      <c r="LL433" s="173"/>
      <c r="LM433" s="125"/>
      <c r="LN433" s="125"/>
      <c r="LO433" s="134"/>
      <c r="LP433" s="135"/>
      <c r="LQ433" s="135"/>
      <c r="LR433" s="135"/>
      <c r="LS433" s="135"/>
      <c r="LT433" s="173"/>
      <c r="LU433" s="173"/>
      <c r="LV433" s="173"/>
      <c r="LW433" s="173"/>
      <c r="LX433" s="173"/>
      <c r="LY433" s="173"/>
      <c r="LZ433" s="173"/>
      <c r="MA433" s="173"/>
      <c r="MB433" s="173"/>
      <c r="MC433" s="173"/>
      <c r="MD433" s="125"/>
      <c r="ME433" s="125"/>
      <c r="MF433" s="134"/>
      <c r="MG433" s="135"/>
      <c r="MH433" s="135"/>
      <c r="MI433" s="135"/>
      <c r="MJ433" s="135"/>
      <c r="MK433" s="173"/>
      <c r="ML433" s="173"/>
      <c r="MM433" s="173"/>
      <c r="MN433" s="173"/>
      <c r="MO433" s="173"/>
      <c r="MP433" s="173"/>
      <c r="MQ433" s="173"/>
      <c r="MR433" s="173"/>
      <c r="MS433" s="173"/>
      <c r="MT433" s="173"/>
      <c r="MU433" s="125"/>
      <c r="MV433" s="125"/>
      <c r="MW433" s="134"/>
      <c r="MX433" s="135"/>
      <c r="MY433" s="135"/>
      <c r="MZ433" s="135"/>
      <c r="NA433" s="135"/>
      <c r="NB433" s="173"/>
      <c r="NC433" s="173"/>
      <c r="ND433" s="173"/>
      <c r="NE433" s="173"/>
      <c r="NF433" s="173"/>
      <c r="NG433" s="173"/>
      <c r="NH433" s="173"/>
      <c r="NI433" s="173"/>
      <c r="NJ433" s="173"/>
      <c r="NK433" s="173"/>
      <c r="NL433" s="125"/>
      <c r="NM433" s="125"/>
      <c r="NN433" s="134"/>
      <c r="NO433" s="135"/>
      <c r="NP433" s="135"/>
      <c r="NQ433" s="135"/>
      <c r="NR433" s="135"/>
      <c r="NS433" s="173"/>
      <c r="NT433" s="173"/>
      <c r="NU433" s="173"/>
      <c r="NV433" s="173"/>
      <c r="NW433" s="173"/>
      <c r="NX433" s="173"/>
      <c r="NY433" s="173"/>
      <c r="NZ433" s="173"/>
      <c r="OA433" s="173"/>
      <c r="OB433" s="173"/>
      <c r="OC433" s="125"/>
      <c r="OD433" s="125"/>
      <c r="OE433" s="134"/>
      <c r="OF433" s="135"/>
      <c r="OG433" s="135"/>
      <c r="OH433" s="135"/>
      <c r="OI433" s="135"/>
      <c r="OJ433" s="173"/>
      <c r="OK433" s="173"/>
      <c r="OL433" s="173"/>
      <c r="OM433" s="173"/>
      <c r="ON433" s="173"/>
      <c r="OO433" s="173"/>
      <c r="OP433" s="173"/>
      <c r="OQ433" s="173"/>
      <c r="OR433" s="173"/>
      <c r="OS433" s="173"/>
      <c r="OT433" s="125"/>
      <c r="OU433" s="125"/>
      <c r="OV433" s="134"/>
      <c r="OW433" s="135"/>
      <c r="OX433" s="135"/>
      <c r="OY433" s="135"/>
      <c r="OZ433" s="135"/>
      <c r="PA433" s="173"/>
      <c r="PB433" s="173"/>
      <c r="PC433" s="173"/>
      <c r="PD433" s="173"/>
      <c r="PE433" s="173"/>
      <c r="PF433" s="173"/>
      <c r="PG433" s="173"/>
      <c r="PH433" s="173"/>
      <c r="PI433" s="173"/>
      <c r="PJ433" s="173"/>
      <c r="PK433" s="125"/>
      <c r="PL433" s="125"/>
      <c r="PM433" s="134"/>
      <c r="PN433" s="135"/>
      <c r="PO433" s="135"/>
      <c r="PP433" s="135"/>
      <c r="PQ433" s="135"/>
      <c r="PR433" s="173"/>
      <c r="PS433" s="173"/>
      <c r="PT433" s="173"/>
      <c r="PU433" s="173"/>
      <c r="PV433" s="173"/>
      <c r="PW433" s="173"/>
      <c r="PX433" s="173"/>
      <c r="PY433" s="173"/>
      <c r="PZ433" s="173"/>
      <c r="QA433" s="173"/>
      <c r="QB433" s="125"/>
      <c r="QC433" s="125"/>
      <c r="QD433" s="134"/>
      <c r="QE433" s="135"/>
      <c r="QF433" s="135"/>
      <c r="QG433" s="135"/>
      <c r="QH433" s="135"/>
      <c r="QI433" s="173"/>
      <c r="QJ433" s="173"/>
      <c r="QK433" s="173"/>
      <c r="QL433" s="173"/>
      <c r="QM433" s="173"/>
      <c r="QN433" s="173"/>
      <c r="QO433" s="173"/>
      <c r="QP433" s="173"/>
      <c r="QQ433" s="173"/>
      <c r="QR433" s="173"/>
      <c r="QS433" s="125"/>
      <c r="QT433" s="125"/>
      <c r="QU433" s="134"/>
      <c r="QV433" s="135"/>
      <c r="QW433" s="135"/>
      <c r="QX433" s="135"/>
      <c r="QY433" s="135"/>
      <c r="QZ433" s="173"/>
      <c r="RA433" s="173"/>
      <c r="RB433" s="173"/>
      <c r="RC433" s="173"/>
      <c r="RD433" s="173"/>
      <c r="RE433" s="173"/>
      <c r="RF433" s="173"/>
      <c r="RG433" s="173"/>
      <c r="RH433" s="173"/>
      <c r="RI433" s="173"/>
      <c r="RJ433" s="125"/>
      <c r="RK433" s="125"/>
      <c r="RL433" s="134"/>
      <c r="RM433" s="135"/>
      <c r="RN433" s="135"/>
      <c r="RO433" s="135"/>
      <c r="RP433" s="135"/>
      <c r="RQ433" s="173"/>
      <c r="RR433" s="173"/>
      <c r="RS433" s="173"/>
      <c r="RT433" s="173"/>
      <c r="RU433" s="173"/>
      <c r="RV433" s="173"/>
      <c r="RW433" s="173"/>
      <c r="RX433" s="173"/>
      <c r="RY433" s="173"/>
      <c r="RZ433" s="173"/>
      <c r="SA433" s="125"/>
      <c r="SB433" s="125"/>
      <c r="SC433" s="134"/>
      <c r="SD433" s="135"/>
      <c r="SE433" s="135"/>
      <c r="SF433" s="135"/>
      <c r="SG433" s="135"/>
      <c r="SH433" s="173"/>
      <c r="SI433" s="173"/>
      <c r="SJ433" s="173"/>
      <c r="SK433" s="173"/>
      <c r="SL433" s="173"/>
      <c r="SM433" s="173"/>
      <c r="SN433" s="173"/>
      <c r="SO433" s="173"/>
      <c r="SP433" s="173"/>
      <c r="SQ433" s="173"/>
      <c r="SR433" s="125"/>
      <c r="SS433" s="125"/>
      <c r="ST433" s="134"/>
      <c r="SU433" s="135"/>
      <c r="SV433" s="135"/>
      <c r="SW433" s="135"/>
      <c r="SX433" s="135"/>
      <c r="SY433" s="173"/>
      <c r="SZ433" s="173"/>
      <c r="TA433" s="173"/>
      <c r="TB433" s="173"/>
      <c r="TC433" s="173"/>
      <c r="TD433" s="173"/>
      <c r="TE433" s="173"/>
      <c r="TF433" s="173"/>
      <c r="TG433" s="173"/>
      <c r="TH433" s="173"/>
      <c r="TI433" s="125"/>
      <c r="TJ433" s="125"/>
      <c r="TK433" s="134"/>
      <c r="TL433" s="135"/>
      <c r="TM433" s="135"/>
      <c r="TN433" s="135"/>
      <c r="TO433" s="135"/>
      <c r="TP433" s="173"/>
      <c r="TQ433" s="173"/>
      <c r="TR433" s="173"/>
      <c r="TS433" s="173"/>
      <c r="TT433" s="173"/>
      <c r="TU433" s="173"/>
      <c r="TV433" s="173"/>
      <c r="TW433" s="173"/>
      <c r="TX433" s="173"/>
      <c r="TY433" s="173"/>
      <c r="TZ433" s="125"/>
      <c r="UA433" s="125"/>
      <c r="UB433" s="134"/>
      <c r="UC433" s="135"/>
      <c r="UD433" s="135"/>
      <c r="UE433" s="135"/>
      <c r="UF433" s="135"/>
      <c r="UG433" s="173"/>
      <c r="UH433" s="173"/>
      <c r="UI433" s="173"/>
      <c r="UJ433" s="173"/>
      <c r="UK433" s="173"/>
      <c r="UL433" s="173"/>
      <c r="UM433" s="173"/>
      <c r="UN433" s="173"/>
      <c r="UO433" s="173"/>
      <c r="UP433" s="173"/>
      <c r="UQ433" s="125"/>
      <c r="UR433" s="125"/>
      <c r="US433" s="134"/>
      <c r="UT433" s="135"/>
      <c r="UU433" s="135"/>
      <c r="UV433" s="135"/>
      <c r="UW433" s="135"/>
      <c r="UX433" s="173"/>
      <c r="UY433" s="173"/>
      <c r="UZ433" s="173"/>
      <c r="VA433" s="173"/>
      <c r="VB433" s="173"/>
      <c r="VC433" s="173"/>
      <c r="VD433" s="173"/>
      <c r="VE433" s="173"/>
      <c r="VF433" s="173"/>
      <c r="VG433" s="173"/>
      <c r="VH433" s="125"/>
      <c r="VI433" s="125"/>
      <c r="VJ433" s="134"/>
      <c r="VK433" s="135"/>
      <c r="VL433" s="135"/>
      <c r="VM433" s="135"/>
      <c r="VN433" s="135"/>
      <c r="VO433" s="173"/>
      <c r="VP433" s="173"/>
      <c r="VQ433" s="173"/>
      <c r="VR433" s="173"/>
      <c r="VS433" s="173"/>
      <c r="VT433" s="173"/>
      <c r="VU433" s="173"/>
      <c r="VV433" s="173"/>
      <c r="VW433" s="173"/>
      <c r="VX433" s="173"/>
      <c r="VY433" s="125"/>
      <c r="VZ433" s="125"/>
      <c r="WA433" s="134"/>
      <c r="WB433" s="135"/>
      <c r="WC433" s="135"/>
      <c r="WD433" s="135"/>
      <c r="WE433" s="135"/>
      <c r="WF433" s="173"/>
      <c r="WG433" s="173"/>
      <c r="WH433" s="173"/>
      <c r="WI433" s="173"/>
      <c r="WJ433" s="173"/>
      <c r="WK433" s="173"/>
      <c r="WL433" s="173"/>
      <c r="WM433" s="173"/>
      <c r="WN433" s="173"/>
      <c r="WO433" s="173"/>
      <c r="WP433" s="125"/>
      <c r="WQ433" s="125"/>
      <c r="WR433" s="134"/>
      <c r="WS433" s="135"/>
      <c r="WT433" s="135"/>
      <c r="WU433" s="135"/>
      <c r="WV433" s="135"/>
      <c r="WW433" s="173"/>
      <c r="WX433" s="173"/>
      <c r="WY433" s="173"/>
      <c r="WZ433" s="173"/>
      <c r="XA433" s="173"/>
      <c r="XB433" s="173"/>
      <c r="XC433" s="173"/>
      <c r="XD433" s="173"/>
      <c r="XE433" s="173"/>
      <c r="XF433" s="173"/>
      <c r="XG433" s="125"/>
      <c r="XH433" s="125"/>
      <c r="XI433" s="134"/>
      <c r="XJ433" s="135"/>
      <c r="XK433" s="135"/>
      <c r="XL433" s="135"/>
      <c r="XM433" s="135"/>
      <c r="XN433" s="173"/>
      <c r="XO433" s="173"/>
      <c r="XP433" s="173"/>
      <c r="XQ433" s="173"/>
      <c r="XR433" s="173"/>
      <c r="XS433" s="173"/>
      <c r="XT433" s="173"/>
      <c r="XU433" s="173"/>
      <c r="XV433" s="173"/>
      <c r="XW433" s="173"/>
      <c r="XX433" s="125"/>
      <c r="XY433" s="125"/>
      <c r="XZ433" s="134"/>
      <c r="YA433" s="135"/>
      <c r="YB433" s="135"/>
      <c r="YC433" s="135"/>
      <c r="YD433" s="135"/>
      <c r="YE433" s="173"/>
      <c r="YF433" s="173"/>
      <c r="YG433" s="173"/>
      <c r="YH433" s="173"/>
      <c r="YI433" s="173"/>
      <c r="YJ433" s="173"/>
      <c r="YK433" s="173"/>
      <c r="YL433" s="173"/>
      <c r="YM433" s="173"/>
      <c r="YN433" s="173"/>
      <c r="YO433" s="125"/>
      <c r="YP433" s="125"/>
      <c r="YQ433" s="134"/>
      <c r="YR433" s="135"/>
      <c r="YS433" s="135"/>
      <c r="YT433" s="135"/>
      <c r="YU433" s="135"/>
      <c r="YV433" s="173"/>
      <c r="YW433" s="173"/>
      <c r="YX433" s="173"/>
      <c r="YY433" s="173"/>
      <c r="YZ433" s="173"/>
      <c r="ZA433" s="173"/>
      <c r="ZB433" s="173"/>
      <c r="ZC433" s="173"/>
      <c r="ZD433" s="173"/>
      <c r="ZE433" s="173"/>
      <c r="ZF433" s="125"/>
      <c r="ZG433" s="125"/>
      <c r="ZH433" s="134"/>
      <c r="ZI433" s="135"/>
      <c r="ZJ433" s="135"/>
      <c r="ZK433" s="135"/>
      <c r="ZL433" s="135"/>
      <c r="ZM433" s="173"/>
      <c r="ZN433" s="173"/>
      <c r="ZO433" s="173"/>
      <c r="ZP433" s="173"/>
      <c r="ZQ433" s="173"/>
      <c r="ZR433" s="173"/>
      <c r="ZS433" s="173"/>
      <c r="ZT433" s="173"/>
      <c r="ZU433" s="173"/>
      <c r="ZV433" s="173"/>
      <c r="ZW433" s="125"/>
      <c r="ZX433" s="125"/>
      <c r="ZY433" s="134"/>
      <c r="ZZ433" s="135"/>
      <c r="AAA433" s="135"/>
      <c r="AAB433" s="135"/>
      <c r="AAC433" s="135"/>
      <c r="AAD433" s="173"/>
      <c r="AAE433" s="173"/>
      <c r="AAF433" s="173"/>
      <c r="AAG433" s="173"/>
      <c r="AAH433" s="173"/>
      <c r="AAI433" s="173"/>
      <c r="AAJ433" s="173"/>
      <c r="AAK433" s="173"/>
      <c r="AAL433" s="173"/>
      <c r="AAM433" s="173"/>
      <c r="AAN433" s="125"/>
      <c r="AAO433" s="125"/>
      <c r="AAP433" s="134"/>
      <c r="AAQ433" s="135"/>
      <c r="AAR433" s="135"/>
      <c r="AAS433" s="135"/>
      <c r="AAT433" s="135"/>
      <c r="AAU433" s="173"/>
      <c r="AAV433" s="173"/>
      <c r="AAW433" s="173"/>
      <c r="AAX433" s="173"/>
      <c r="AAY433" s="173"/>
      <c r="AAZ433" s="173"/>
      <c r="ABA433" s="173"/>
      <c r="ABB433" s="173"/>
      <c r="ABC433" s="173"/>
      <c r="ABD433" s="173"/>
      <c r="ABE433" s="125"/>
      <c r="ABF433" s="125"/>
      <c r="ABG433" s="134"/>
      <c r="ABH433" s="135"/>
      <c r="ABI433" s="135"/>
      <c r="ABJ433" s="135"/>
      <c r="ABK433" s="135"/>
      <c r="ABL433" s="173"/>
      <c r="ABM433" s="173"/>
      <c r="ABN433" s="173"/>
      <c r="ABO433" s="173"/>
      <c r="ABP433" s="173"/>
      <c r="ABQ433" s="173"/>
      <c r="ABR433" s="173"/>
      <c r="ABS433" s="173"/>
      <c r="ABT433" s="173"/>
      <c r="ABU433" s="173"/>
      <c r="ABV433" s="125"/>
      <c r="ABW433" s="125"/>
      <c r="ABX433" s="134"/>
      <c r="ABY433" s="135"/>
      <c r="ABZ433" s="135"/>
      <c r="ACA433" s="135"/>
      <c r="ACB433" s="135"/>
      <c r="ACC433" s="173"/>
      <c r="ACD433" s="173"/>
      <c r="ACE433" s="173"/>
      <c r="ACF433" s="173"/>
      <c r="ACG433" s="173"/>
      <c r="ACH433" s="173"/>
      <c r="ACI433" s="173"/>
      <c r="ACJ433" s="173"/>
      <c r="ACK433" s="173"/>
      <c r="ACL433" s="173"/>
      <c r="ACM433" s="125"/>
      <c r="ACN433" s="125"/>
      <c r="ACO433" s="134"/>
      <c r="ACP433" s="135"/>
      <c r="ACQ433" s="135"/>
      <c r="ACR433" s="135"/>
      <c r="ACS433" s="135"/>
      <c r="ACT433" s="173"/>
      <c r="ACU433" s="173"/>
      <c r="ACV433" s="173"/>
      <c r="ACW433" s="173"/>
      <c r="ACX433" s="173"/>
      <c r="ACY433" s="173"/>
      <c r="ACZ433" s="173"/>
      <c r="ADA433" s="173"/>
      <c r="ADB433" s="173"/>
      <c r="ADC433" s="173"/>
      <c r="ADD433" s="125"/>
      <c r="ADE433" s="125"/>
      <c r="ADF433" s="134"/>
      <c r="ADG433" s="135"/>
      <c r="ADH433" s="135"/>
      <c r="ADI433" s="135"/>
      <c r="ADJ433" s="135"/>
      <c r="ADK433" s="173"/>
      <c r="ADL433" s="173"/>
      <c r="ADM433" s="173"/>
      <c r="ADN433" s="173"/>
      <c r="ADO433" s="173"/>
      <c r="ADP433" s="173"/>
      <c r="ADQ433" s="173"/>
      <c r="ADR433" s="173"/>
      <c r="ADS433" s="173"/>
      <c r="ADT433" s="173"/>
      <c r="ADU433" s="125"/>
      <c r="ADV433" s="125"/>
      <c r="ADW433" s="134"/>
      <c r="ADX433" s="135"/>
      <c r="ADY433" s="135"/>
      <c r="ADZ433" s="135"/>
      <c r="AEA433" s="135"/>
      <c r="AEB433" s="173"/>
      <c r="AEC433" s="173"/>
      <c r="AED433" s="173"/>
      <c r="AEE433" s="173"/>
      <c r="AEF433" s="173"/>
      <c r="AEG433" s="173"/>
      <c r="AEH433" s="173"/>
      <c r="AEI433" s="173"/>
      <c r="AEJ433" s="173"/>
      <c r="AEK433" s="173"/>
      <c r="AEL433" s="125"/>
      <c r="AEM433" s="125"/>
      <c r="AEN433" s="134"/>
      <c r="AEO433" s="135"/>
      <c r="AEP433" s="135"/>
      <c r="AEQ433" s="135"/>
      <c r="AER433" s="135"/>
      <c r="AES433" s="173"/>
      <c r="AET433" s="173"/>
      <c r="AEU433" s="173"/>
      <c r="AEV433" s="173"/>
      <c r="AEW433" s="173"/>
      <c r="AEX433" s="173"/>
      <c r="AEY433" s="173"/>
      <c r="AEZ433" s="173"/>
      <c r="AFA433" s="173"/>
      <c r="AFB433" s="173"/>
      <c r="AFC433" s="125"/>
      <c r="AFD433" s="125"/>
      <c r="AFE433" s="134"/>
      <c r="AFF433" s="135"/>
      <c r="AFG433" s="135"/>
      <c r="AFH433" s="135"/>
      <c r="AFI433" s="135"/>
      <c r="AFJ433" s="173"/>
      <c r="AFK433" s="173"/>
      <c r="AFL433" s="173"/>
      <c r="AFM433" s="173"/>
      <c r="AFN433" s="173"/>
      <c r="AFO433" s="173"/>
      <c r="AFP433" s="173"/>
      <c r="AFQ433" s="173"/>
      <c r="AFR433" s="173"/>
      <c r="AFS433" s="173"/>
      <c r="AFT433" s="125"/>
      <c r="AFU433" s="125"/>
      <c r="AFV433" s="134"/>
      <c r="AFW433" s="135"/>
      <c r="AFX433" s="135"/>
      <c r="AFY433" s="135"/>
      <c r="AFZ433" s="135"/>
      <c r="AGA433" s="173"/>
      <c r="AGB433" s="173"/>
      <c r="AGC433" s="173"/>
      <c r="AGD433" s="173"/>
      <c r="AGE433" s="173"/>
      <c r="AGF433" s="173"/>
      <c r="AGG433" s="173"/>
      <c r="AGH433" s="173"/>
      <c r="AGI433" s="173"/>
      <c r="AGJ433" s="173"/>
      <c r="AGK433" s="125"/>
      <c r="AGL433" s="125"/>
      <c r="AGM433" s="134"/>
      <c r="AGN433" s="135"/>
      <c r="AGO433" s="135"/>
      <c r="AGP433" s="135"/>
      <c r="AGQ433" s="135"/>
      <c r="AGR433" s="173"/>
      <c r="AGS433" s="173"/>
      <c r="AGT433" s="173"/>
      <c r="AGU433" s="173"/>
      <c r="AGV433" s="173"/>
      <c r="AGW433" s="173"/>
      <c r="AGX433" s="173"/>
      <c r="AGY433" s="173"/>
      <c r="AGZ433" s="173"/>
      <c r="AHA433" s="173"/>
      <c r="AHB433" s="125"/>
      <c r="AHC433" s="125"/>
      <c r="AHD433" s="134"/>
      <c r="AHE433" s="135"/>
      <c r="AHF433" s="135"/>
      <c r="AHG433" s="135"/>
      <c r="AHH433" s="135"/>
      <c r="AHI433" s="173"/>
      <c r="AHJ433" s="173"/>
      <c r="AHK433" s="173"/>
      <c r="AHL433" s="173"/>
      <c r="AHM433" s="173"/>
      <c r="AHN433" s="173"/>
      <c r="AHO433" s="173"/>
      <c r="AHP433" s="173"/>
      <c r="AHQ433" s="173"/>
      <c r="AHR433" s="173"/>
      <c r="AHS433" s="125"/>
      <c r="AHT433" s="125"/>
      <c r="AHU433" s="134"/>
      <c r="AHV433" s="135"/>
      <c r="AHW433" s="135"/>
      <c r="AHX433" s="135"/>
      <c r="AHY433" s="135"/>
      <c r="AHZ433" s="173"/>
      <c r="AIA433" s="173"/>
      <c r="AIB433" s="173"/>
      <c r="AIC433" s="173"/>
      <c r="AID433" s="173"/>
      <c r="AIE433" s="173"/>
      <c r="AIF433" s="173"/>
      <c r="AIG433" s="173"/>
      <c r="AIH433" s="173"/>
      <c r="AII433" s="173"/>
      <c r="AIJ433" s="125"/>
      <c r="AIK433" s="125"/>
      <c r="AIL433" s="134"/>
      <c r="AIM433" s="135"/>
      <c r="AIN433" s="135"/>
      <c r="AIO433" s="135"/>
      <c r="AIP433" s="135"/>
      <c r="AIQ433" s="173"/>
      <c r="AIR433" s="173"/>
      <c r="AIS433" s="173"/>
      <c r="AIT433" s="173"/>
      <c r="AIU433" s="173"/>
      <c r="AIV433" s="173"/>
      <c r="AIW433" s="173"/>
      <c r="AIX433" s="173"/>
      <c r="AIY433" s="173"/>
      <c r="AIZ433" s="173"/>
      <c r="AJA433" s="125"/>
      <c r="AJB433" s="125"/>
      <c r="AJC433" s="134"/>
      <c r="AJD433" s="135"/>
      <c r="AJE433" s="135"/>
      <c r="AJF433" s="135"/>
      <c r="AJG433" s="135"/>
      <c r="AJH433" s="173"/>
      <c r="AJI433" s="173"/>
      <c r="AJJ433" s="173"/>
      <c r="AJK433" s="173"/>
      <c r="AJL433" s="173"/>
      <c r="AJM433" s="173"/>
      <c r="AJN433" s="173"/>
      <c r="AJO433" s="173"/>
      <c r="AJP433" s="173"/>
      <c r="AJQ433" s="173"/>
      <c r="AJR433" s="125"/>
      <c r="AJS433" s="125"/>
      <c r="AJT433" s="134"/>
      <c r="AJU433" s="135"/>
      <c r="AJV433" s="135"/>
      <c r="AJW433" s="135"/>
      <c r="AJX433" s="135"/>
      <c r="AJY433" s="173"/>
      <c r="AJZ433" s="173"/>
      <c r="AKA433" s="173"/>
      <c r="AKB433" s="173"/>
      <c r="AKC433" s="173"/>
      <c r="AKD433" s="173"/>
      <c r="AKE433" s="173"/>
      <c r="AKF433" s="173"/>
      <c r="AKG433" s="173"/>
      <c r="AKH433" s="173"/>
      <c r="AKI433" s="125"/>
      <c r="AKJ433" s="125"/>
      <c r="AKK433" s="134"/>
      <c r="AKL433" s="135"/>
      <c r="AKM433" s="135"/>
      <c r="AKN433" s="135"/>
      <c r="AKO433" s="135"/>
      <c r="AKP433" s="173"/>
      <c r="AKQ433" s="173"/>
      <c r="AKR433" s="173"/>
      <c r="AKS433" s="173"/>
      <c r="AKT433" s="173"/>
      <c r="AKU433" s="173"/>
      <c r="AKV433" s="173"/>
      <c r="AKW433" s="173"/>
      <c r="AKX433" s="173"/>
      <c r="AKY433" s="173"/>
      <c r="AKZ433" s="125"/>
      <c r="ALA433" s="125"/>
      <c r="ALB433" s="134"/>
      <c r="ALC433" s="135"/>
      <c r="ALD433" s="135"/>
      <c r="ALE433" s="135"/>
      <c r="ALF433" s="135"/>
      <c r="ALG433" s="173"/>
      <c r="ALH433" s="173"/>
      <c r="ALI433" s="173"/>
      <c r="ALJ433" s="173"/>
      <c r="ALK433" s="173"/>
      <c r="ALL433" s="173"/>
      <c r="ALM433" s="173"/>
      <c r="ALN433" s="173"/>
      <c r="ALO433" s="173"/>
      <c r="ALP433" s="173"/>
      <c r="ALQ433" s="125"/>
      <c r="ALR433" s="125"/>
      <c r="ALS433" s="134"/>
      <c r="ALT433" s="135"/>
      <c r="ALU433" s="135"/>
      <c r="ALV433" s="135"/>
      <c r="ALW433" s="135"/>
      <c r="ALX433" s="173"/>
      <c r="ALY433" s="173"/>
      <c r="ALZ433" s="173"/>
      <c r="AMA433" s="173"/>
      <c r="AMB433" s="173"/>
      <c r="AMC433" s="173"/>
      <c r="AMD433" s="173"/>
      <c r="AME433" s="173"/>
      <c r="AMF433" s="173"/>
      <c r="AMG433" s="173"/>
      <c r="AMH433" s="125"/>
      <c r="AMI433" s="125"/>
      <c r="AMJ433" s="134"/>
      <c r="AMK433" s="135"/>
      <c r="AML433" s="135"/>
      <c r="AMM433" s="135"/>
      <c r="AMN433" s="135"/>
      <c r="AMO433" s="173"/>
      <c r="AMP433" s="173"/>
      <c r="AMQ433" s="173"/>
      <c r="AMR433" s="173"/>
      <c r="AMS433" s="173"/>
      <c r="AMT433" s="173"/>
      <c r="AMU433" s="173"/>
      <c r="AMV433" s="173"/>
      <c r="AMW433" s="173"/>
      <c r="AMX433" s="173"/>
      <c r="AMY433" s="125"/>
      <c r="AMZ433" s="125"/>
      <c r="ANA433" s="134"/>
      <c r="ANB433" s="135"/>
      <c r="ANC433" s="135"/>
      <c r="AND433" s="135"/>
      <c r="ANE433" s="135"/>
      <c r="ANF433" s="173"/>
      <c r="ANG433" s="173"/>
      <c r="ANH433" s="173"/>
      <c r="ANI433" s="173"/>
      <c r="ANJ433" s="173"/>
      <c r="ANK433" s="173"/>
      <c r="ANL433" s="173"/>
      <c r="ANM433" s="173"/>
      <c r="ANN433" s="173"/>
      <c r="ANO433" s="173"/>
      <c r="ANP433" s="125"/>
      <c r="ANQ433" s="125"/>
      <c r="ANR433" s="134"/>
      <c r="ANS433" s="135"/>
      <c r="ANT433" s="135"/>
      <c r="ANU433" s="135"/>
      <c r="ANV433" s="135"/>
      <c r="ANW433" s="173"/>
      <c r="ANX433" s="173"/>
      <c r="ANY433" s="173"/>
      <c r="ANZ433" s="173"/>
      <c r="AOA433" s="173"/>
      <c r="AOB433" s="173"/>
      <c r="AOC433" s="173"/>
      <c r="AOD433" s="173"/>
      <c r="AOE433" s="173"/>
      <c r="AOF433" s="173"/>
      <c r="AOG433" s="125"/>
      <c r="AOH433" s="125"/>
      <c r="AOI433" s="134"/>
      <c r="AOJ433" s="135"/>
      <c r="AOK433" s="135"/>
      <c r="AOL433" s="135"/>
      <c r="AOM433" s="135"/>
      <c r="AON433" s="173"/>
      <c r="AOO433" s="173"/>
      <c r="AOP433" s="173"/>
      <c r="AOQ433" s="173"/>
      <c r="AOR433" s="173"/>
      <c r="AOS433" s="173"/>
      <c r="AOT433" s="173"/>
      <c r="AOU433" s="173"/>
      <c r="AOV433" s="173"/>
      <c r="AOW433" s="173"/>
      <c r="AOX433" s="125"/>
      <c r="AOY433" s="125"/>
      <c r="AOZ433" s="134"/>
      <c r="APA433" s="135"/>
      <c r="APB433" s="135"/>
      <c r="APC433" s="135"/>
      <c r="APD433" s="135"/>
      <c r="APE433" s="173"/>
      <c r="APF433" s="173"/>
      <c r="APG433" s="173"/>
      <c r="APH433" s="173"/>
      <c r="API433" s="173"/>
      <c r="APJ433" s="173"/>
      <c r="APK433" s="173"/>
      <c r="APL433" s="173"/>
      <c r="APM433" s="173"/>
      <c r="APN433" s="173"/>
      <c r="APO433" s="125"/>
      <c r="APP433" s="125"/>
      <c r="APQ433" s="134"/>
      <c r="APR433" s="135"/>
      <c r="APS433" s="135"/>
      <c r="APT433" s="135"/>
      <c r="APU433" s="135"/>
      <c r="APV433" s="173"/>
      <c r="APW433" s="173"/>
      <c r="APX433" s="173"/>
      <c r="APY433" s="173"/>
      <c r="APZ433" s="173"/>
      <c r="AQA433" s="173"/>
      <c r="AQB433" s="173"/>
      <c r="AQC433" s="173"/>
      <c r="AQD433" s="173"/>
      <c r="AQE433" s="173"/>
      <c r="AQF433" s="125"/>
      <c r="AQG433" s="125"/>
      <c r="AQH433" s="134"/>
      <c r="AQI433" s="135"/>
      <c r="AQJ433" s="135"/>
      <c r="AQK433" s="135"/>
      <c r="AQL433" s="135"/>
      <c r="AQM433" s="173"/>
      <c r="AQN433" s="173"/>
      <c r="AQO433" s="173"/>
      <c r="AQP433" s="173"/>
      <c r="AQQ433" s="173"/>
      <c r="AQR433" s="173"/>
      <c r="AQS433" s="173"/>
      <c r="AQT433" s="173"/>
      <c r="AQU433" s="173"/>
      <c r="AQV433" s="173"/>
      <c r="AQW433" s="125"/>
      <c r="AQX433" s="125"/>
      <c r="AQY433" s="134"/>
      <c r="AQZ433" s="135"/>
      <c r="ARA433" s="135"/>
      <c r="ARB433" s="135"/>
      <c r="ARC433" s="135"/>
      <c r="ARD433" s="173"/>
      <c r="ARE433" s="173"/>
      <c r="ARF433" s="173"/>
      <c r="ARG433" s="173"/>
      <c r="ARH433" s="173"/>
      <c r="ARI433" s="173"/>
      <c r="ARJ433" s="173"/>
      <c r="ARK433" s="173"/>
      <c r="ARL433" s="173"/>
      <c r="ARM433" s="173"/>
      <c r="ARN433" s="125"/>
      <c r="ARO433" s="125"/>
      <c r="ARP433" s="134"/>
      <c r="ARQ433" s="135"/>
      <c r="ARR433" s="135"/>
      <c r="ARS433" s="135"/>
      <c r="ART433" s="135"/>
      <c r="ARU433" s="173"/>
      <c r="ARV433" s="173"/>
      <c r="ARW433" s="173"/>
      <c r="ARX433" s="173"/>
      <c r="ARY433" s="173"/>
      <c r="ARZ433" s="173"/>
      <c r="ASA433" s="173"/>
      <c r="ASB433" s="173"/>
      <c r="ASC433" s="173"/>
      <c r="ASD433" s="173"/>
      <c r="ASE433" s="125"/>
      <c r="ASF433" s="125"/>
      <c r="ASG433" s="134"/>
      <c r="ASH433" s="135"/>
      <c r="ASI433" s="135"/>
      <c r="ASJ433" s="135"/>
      <c r="ASK433" s="135"/>
      <c r="ASL433" s="173"/>
      <c r="ASM433" s="173"/>
      <c r="ASN433" s="173"/>
      <c r="ASO433" s="173"/>
      <c r="ASP433" s="173"/>
      <c r="ASQ433" s="173"/>
      <c r="ASR433" s="173"/>
      <c r="ASS433" s="173"/>
      <c r="AST433" s="173"/>
      <c r="ASU433" s="173"/>
      <c r="ASV433" s="125"/>
      <c r="ASW433" s="125"/>
      <c r="ASX433" s="134"/>
      <c r="ASY433" s="135"/>
      <c r="ASZ433" s="135"/>
      <c r="ATA433" s="135"/>
      <c r="ATB433" s="135"/>
      <c r="ATC433" s="173"/>
      <c r="ATD433" s="173"/>
      <c r="ATE433" s="173"/>
      <c r="ATF433" s="173"/>
      <c r="ATG433" s="173"/>
      <c r="ATH433" s="173"/>
      <c r="ATI433" s="173"/>
      <c r="ATJ433" s="173"/>
      <c r="ATK433" s="173"/>
      <c r="ATL433" s="173"/>
      <c r="ATM433" s="125"/>
      <c r="ATN433" s="125"/>
      <c r="ATO433" s="134"/>
      <c r="ATP433" s="135"/>
      <c r="ATQ433" s="135"/>
      <c r="ATR433" s="135"/>
      <c r="ATS433" s="135"/>
      <c r="ATT433" s="173"/>
      <c r="ATU433" s="173"/>
      <c r="ATV433" s="173"/>
      <c r="ATW433" s="173"/>
      <c r="ATX433" s="173"/>
      <c r="ATY433" s="173"/>
      <c r="ATZ433" s="173"/>
      <c r="AUA433" s="173"/>
      <c r="AUB433" s="173"/>
      <c r="AUC433" s="173"/>
      <c r="AUD433" s="125"/>
      <c r="AUE433" s="125"/>
      <c r="AUF433" s="134"/>
      <c r="AUG433" s="135"/>
      <c r="AUH433" s="135"/>
      <c r="AUI433" s="135"/>
      <c r="AUJ433" s="135"/>
      <c r="AUK433" s="173"/>
      <c r="AUL433" s="173"/>
      <c r="AUM433" s="173"/>
      <c r="AUN433" s="173"/>
      <c r="AUO433" s="173"/>
      <c r="AUP433" s="173"/>
      <c r="AUQ433" s="173"/>
      <c r="AUR433" s="173"/>
      <c r="AUS433" s="173"/>
      <c r="AUT433" s="173"/>
      <c r="AUU433" s="125"/>
      <c r="AUV433" s="125"/>
      <c r="AUW433" s="134"/>
      <c r="AUX433" s="135"/>
      <c r="AUY433" s="135"/>
      <c r="AUZ433" s="135"/>
      <c r="AVA433" s="135"/>
      <c r="AVB433" s="173"/>
      <c r="AVC433" s="173"/>
      <c r="AVD433" s="173"/>
      <c r="AVE433" s="173"/>
      <c r="AVF433" s="173"/>
      <c r="AVG433" s="173"/>
      <c r="AVH433" s="173"/>
      <c r="AVI433" s="173"/>
      <c r="AVJ433" s="173"/>
      <c r="AVK433" s="173"/>
      <c r="AVL433" s="125"/>
      <c r="AVM433" s="125"/>
      <c r="AVN433" s="134"/>
      <c r="AVO433" s="135"/>
      <c r="AVP433" s="135"/>
      <c r="AVQ433" s="135"/>
      <c r="AVR433" s="135"/>
      <c r="AVS433" s="173"/>
      <c r="AVT433" s="173"/>
      <c r="AVU433" s="173"/>
      <c r="AVV433" s="173"/>
      <c r="AVW433" s="173"/>
      <c r="AVX433" s="173"/>
      <c r="AVY433" s="173"/>
      <c r="AVZ433" s="173"/>
      <c r="AWA433" s="173"/>
      <c r="AWB433" s="173"/>
      <c r="AWC433" s="125"/>
      <c r="AWD433" s="125"/>
      <c r="AWE433" s="134"/>
      <c r="AWF433" s="135"/>
      <c r="AWG433" s="135"/>
      <c r="AWH433" s="135"/>
      <c r="AWI433" s="135"/>
      <c r="AWJ433" s="173"/>
      <c r="AWK433" s="173"/>
      <c r="AWL433" s="173"/>
      <c r="AWM433" s="173"/>
      <c r="AWN433" s="173"/>
      <c r="AWO433" s="173"/>
      <c r="AWP433" s="173"/>
      <c r="AWQ433" s="173"/>
      <c r="AWR433" s="173"/>
      <c r="AWS433" s="173"/>
      <c r="AWT433" s="125"/>
      <c r="AWU433" s="125"/>
      <c r="AWV433" s="134"/>
      <c r="AWW433" s="135"/>
      <c r="AWX433" s="135"/>
      <c r="AWY433" s="135"/>
      <c r="AWZ433" s="135"/>
      <c r="AXA433" s="173"/>
      <c r="AXB433" s="173"/>
      <c r="AXC433" s="173"/>
      <c r="AXD433" s="173"/>
      <c r="AXE433" s="173"/>
      <c r="AXF433" s="173"/>
      <c r="AXG433" s="173"/>
      <c r="AXH433" s="173"/>
      <c r="AXI433" s="173"/>
      <c r="AXJ433" s="173"/>
      <c r="AXK433" s="125"/>
      <c r="AXL433" s="125"/>
      <c r="AXM433" s="134"/>
      <c r="AXN433" s="135"/>
      <c r="AXO433" s="135"/>
      <c r="AXP433" s="135"/>
      <c r="AXQ433" s="135"/>
      <c r="AXR433" s="173"/>
      <c r="AXS433" s="173"/>
      <c r="AXT433" s="173"/>
      <c r="AXU433" s="173"/>
      <c r="AXV433" s="173"/>
      <c r="AXW433" s="173"/>
      <c r="AXX433" s="173"/>
      <c r="AXY433" s="173"/>
      <c r="AXZ433" s="173"/>
      <c r="AYA433" s="173"/>
      <c r="AYB433" s="125"/>
      <c r="AYC433" s="125"/>
      <c r="AYD433" s="134"/>
      <c r="AYE433" s="135"/>
      <c r="AYF433" s="135"/>
      <c r="AYG433" s="135"/>
      <c r="AYH433" s="135"/>
      <c r="AYI433" s="173"/>
      <c r="AYJ433" s="173"/>
      <c r="AYK433" s="173"/>
      <c r="AYL433" s="173"/>
      <c r="AYM433" s="173"/>
      <c r="AYN433" s="173"/>
      <c r="AYO433" s="173"/>
      <c r="AYP433" s="173"/>
      <c r="AYQ433" s="173"/>
      <c r="AYR433" s="173"/>
      <c r="AYS433" s="125"/>
      <c r="AYT433" s="125"/>
      <c r="AYU433" s="134"/>
      <c r="AYV433" s="135"/>
      <c r="AYW433" s="135"/>
      <c r="AYX433" s="135"/>
      <c r="AYY433" s="135"/>
      <c r="AYZ433" s="173"/>
      <c r="AZA433" s="173"/>
      <c r="AZB433" s="173"/>
      <c r="AZC433" s="173"/>
      <c r="AZD433" s="173"/>
      <c r="AZE433" s="173"/>
      <c r="AZF433" s="173"/>
      <c r="AZG433" s="173"/>
      <c r="AZH433" s="173"/>
      <c r="AZI433" s="173"/>
      <c r="AZJ433" s="125"/>
      <c r="AZK433" s="125"/>
      <c r="AZL433" s="134"/>
      <c r="AZM433" s="135"/>
      <c r="AZN433" s="135"/>
      <c r="AZO433" s="135"/>
      <c r="AZP433" s="135"/>
      <c r="AZQ433" s="173"/>
      <c r="AZR433" s="173"/>
      <c r="AZS433" s="173"/>
      <c r="AZT433" s="173"/>
      <c r="AZU433" s="173"/>
      <c r="AZV433" s="173"/>
      <c r="AZW433" s="173"/>
      <c r="AZX433" s="173"/>
      <c r="AZY433" s="173"/>
      <c r="AZZ433" s="173"/>
      <c r="BAA433" s="125"/>
      <c r="BAB433" s="125"/>
      <c r="BAC433" s="134"/>
      <c r="BAD433" s="135"/>
      <c r="BAE433" s="135"/>
      <c r="BAF433" s="135"/>
      <c r="BAG433" s="135"/>
      <c r="BAH433" s="173"/>
      <c r="BAI433" s="173"/>
      <c r="BAJ433" s="173"/>
      <c r="BAK433" s="173"/>
      <c r="BAL433" s="173"/>
      <c r="BAM433" s="173"/>
      <c r="BAN433" s="173"/>
      <c r="BAO433" s="173"/>
      <c r="BAP433" s="173"/>
      <c r="BAQ433" s="173"/>
      <c r="BAR433" s="125"/>
      <c r="BAS433" s="125"/>
      <c r="BAT433" s="134"/>
      <c r="BAU433" s="135"/>
      <c r="BAV433" s="135"/>
      <c r="BAW433" s="135"/>
      <c r="BAX433" s="135"/>
      <c r="BAY433" s="173"/>
      <c r="BAZ433" s="173"/>
      <c r="BBA433" s="173"/>
      <c r="BBB433" s="173"/>
      <c r="BBC433" s="173"/>
      <c r="BBD433" s="173"/>
      <c r="BBE433" s="173"/>
      <c r="BBF433" s="173"/>
      <c r="BBG433" s="173"/>
      <c r="BBH433" s="173"/>
      <c r="BBI433" s="125"/>
      <c r="BBJ433" s="125"/>
      <c r="BBK433" s="134"/>
      <c r="BBL433" s="135"/>
      <c r="BBM433" s="135"/>
      <c r="BBN433" s="135"/>
      <c r="BBO433" s="135"/>
      <c r="BBP433" s="173"/>
      <c r="BBQ433" s="173"/>
      <c r="BBR433" s="173"/>
      <c r="BBS433" s="173"/>
      <c r="BBT433" s="173"/>
      <c r="BBU433" s="173"/>
      <c r="BBV433" s="173"/>
      <c r="BBW433" s="173"/>
      <c r="BBX433" s="173"/>
      <c r="BBY433" s="173"/>
      <c r="BBZ433" s="125"/>
      <c r="BCA433" s="125"/>
      <c r="BCB433" s="134"/>
      <c r="BCC433" s="135"/>
      <c r="BCD433" s="135"/>
      <c r="BCE433" s="135"/>
      <c r="BCF433" s="135"/>
      <c r="BCG433" s="173"/>
      <c r="BCH433" s="173"/>
      <c r="BCI433" s="173"/>
      <c r="BCJ433" s="173"/>
      <c r="BCK433" s="173"/>
      <c r="BCL433" s="173"/>
      <c r="BCM433" s="173"/>
      <c r="BCN433" s="173"/>
      <c r="BCO433" s="173"/>
      <c r="BCP433" s="173"/>
      <c r="BCQ433" s="125"/>
      <c r="BCR433" s="125"/>
      <c r="BCS433" s="134"/>
      <c r="BCT433" s="135"/>
      <c r="BCU433" s="135"/>
      <c r="BCV433" s="135"/>
      <c r="BCW433" s="135"/>
      <c r="BCX433" s="173"/>
      <c r="BCY433" s="173"/>
      <c r="BCZ433" s="173"/>
      <c r="BDA433" s="173"/>
      <c r="BDB433" s="173"/>
      <c r="BDC433" s="173"/>
      <c r="BDD433" s="173"/>
      <c r="BDE433" s="173"/>
      <c r="BDF433" s="173"/>
      <c r="BDG433" s="173"/>
      <c r="BDH433" s="125"/>
      <c r="BDI433" s="125"/>
      <c r="BDJ433" s="134"/>
      <c r="BDK433" s="135"/>
      <c r="BDL433" s="135"/>
      <c r="BDM433" s="135"/>
      <c r="BDN433" s="135"/>
      <c r="BDO433" s="173"/>
      <c r="BDP433" s="173"/>
      <c r="BDQ433" s="173"/>
      <c r="BDR433" s="173"/>
      <c r="BDS433" s="173"/>
      <c r="BDT433" s="173"/>
      <c r="BDU433" s="173"/>
      <c r="BDV433" s="173"/>
      <c r="BDW433" s="173"/>
      <c r="BDX433" s="173"/>
      <c r="BDY433" s="125"/>
      <c r="BDZ433" s="125"/>
      <c r="BEA433" s="134"/>
      <c r="BEB433" s="135"/>
      <c r="BEC433" s="135"/>
      <c r="BED433" s="135"/>
      <c r="BEE433" s="135"/>
      <c r="BEF433" s="173"/>
      <c r="BEG433" s="173"/>
      <c r="BEH433" s="173"/>
      <c r="BEI433" s="173"/>
      <c r="BEJ433" s="173"/>
      <c r="BEK433" s="173"/>
      <c r="BEL433" s="173"/>
      <c r="BEM433" s="173"/>
      <c r="BEN433" s="173"/>
      <c r="BEO433" s="173"/>
      <c r="BEP433" s="125"/>
      <c r="BEQ433" s="125"/>
      <c r="BER433" s="134"/>
      <c r="BES433" s="135"/>
      <c r="BET433" s="135"/>
      <c r="BEU433" s="135"/>
      <c r="BEV433" s="135"/>
      <c r="BEW433" s="173"/>
      <c r="BEX433" s="173"/>
      <c r="BEY433" s="173"/>
      <c r="BEZ433" s="173"/>
      <c r="BFA433" s="173"/>
      <c r="BFB433" s="173"/>
      <c r="BFC433" s="173"/>
      <c r="BFD433" s="173"/>
      <c r="BFE433" s="173"/>
      <c r="BFF433" s="173"/>
      <c r="BFG433" s="125"/>
      <c r="BFH433" s="125"/>
      <c r="BFI433" s="134"/>
      <c r="BFJ433" s="135"/>
      <c r="BFK433" s="135"/>
      <c r="BFL433" s="135"/>
      <c r="BFM433" s="135"/>
      <c r="BFN433" s="173"/>
      <c r="BFO433" s="173"/>
      <c r="BFP433" s="173"/>
      <c r="BFQ433" s="173"/>
      <c r="BFR433" s="173"/>
      <c r="BFS433" s="173"/>
      <c r="BFT433" s="173"/>
      <c r="BFU433" s="173"/>
      <c r="BFV433" s="173"/>
      <c r="BFW433" s="173"/>
      <c r="BFX433" s="125"/>
      <c r="BFY433" s="125"/>
      <c r="BFZ433" s="134"/>
      <c r="BGA433" s="135"/>
      <c r="BGB433" s="135"/>
      <c r="BGC433" s="135"/>
      <c r="BGD433" s="135"/>
      <c r="BGE433" s="173"/>
      <c r="BGF433" s="173"/>
      <c r="BGG433" s="173"/>
      <c r="BGH433" s="173"/>
      <c r="BGI433" s="173"/>
      <c r="BGJ433" s="173"/>
      <c r="BGK433" s="173"/>
      <c r="BGL433" s="173"/>
      <c r="BGM433" s="173"/>
      <c r="BGN433" s="173"/>
      <c r="BGO433" s="125"/>
      <c r="BGP433" s="125"/>
      <c r="BGQ433" s="134"/>
      <c r="BGR433" s="135"/>
      <c r="BGS433" s="135"/>
      <c r="BGT433" s="135"/>
      <c r="BGU433" s="135"/>
      <c r="BGV433" s="173"/>
      <c r="BGW433" s="173"/>
      <c r="BGX433" s="173"/>
      <c r="BGY433" s="173"/>
      <c r="BGZ433" s="173"/>
      <c r="BHA433" s="173"/>
      <c r="BHB433" s="173"/>
      <c r="BHC433" s="173"/>
      <c r="BHD433" s="173"/>
      <c r="BHE433" s="173"/>
      <c r="BHF433" s="125"/>
      <c r="BHG433" s="125"/>
      <c r="BHH433" s="134"/>
      <c r="BHI433" s="135"/>
      <c r="BHJ433" s="135"/>
      <c r="BHK433" s="135"/>
      <c r="BHL433" s="135"/>
      <c r="BHM433" s="173"/>
      <c r="BHN433" s="173"/>
      <c r="BHO433" s="173"/>
      <c r="BHP433" s="173"/>
      <c r="BHQ433" s="173"/>
      <c r="BHR433" s="173"/>
      <c r="BHS433" s="173"/>
      <c r="BHT433" s="173"/>
      <c r="BHU433" s="173"/>
      <c r="BHV433" s="173"/>
      <c r="BHW433" s="125"/>
      <c r="BHX433" s="125"/>
      <c r="BHY433" s="134"/>
      <c r="BHZ433" s="135"/>
      <c r="BIA433" s="135"/>
      <c r="BIB433" s="135"/>
      <c r="BIC433" s="135"/>
      <c r="BID433" s="173"/>
      <c r="BIE433" s="173"/>
      <c r="BIF433" s="173"/>
      <c r="BIG433" s="173"/>
      <c r="BIH433" s="173"/>
      <c r="BII433" s="173"/>
      <c r="BIJ433" s="173"/>
      <c r="BIK433" s="173"/>
      <c r="BIL433" s="173"/>
      <c r="BIM433" s="173"/>
      <c r="BIN433" s="125"/>
      <c r="BIO433" s="125"/>
      <c r="BIP433" s="134"/>
      <c r="BIQ433" s="135"/>
      <c r="BIR433" s="135"/>
      <c r="BIS433" s="135"/>
      <c r="BIT433" s="135"/>
      <c r="BIU433" s="173"/>
      <c r="BIV433" s="173"/>
      <c r="BIW433" s="173"/>
      <c r="BIX433" s="173"/>
      <c r="BIY433" s="173"/>
      <c r="BIZ433" s="173"/>
      <c r="BJA433" s="173"/>
      <c r="BJB433" s="173"/>
      <c r="BJC433" s="173"/>
      <c r="BJD433" s="173"/>
      <c r="BJE433" s="125"/>
      <c r="BJF433" s="125"/>
      <c r="BJG433" s="134"/>
      <c r="BJH433" s="135"/>
      <c r="BJI433" s="135"/>
      <c r="BJJ433" s="135"/>
      <c r="BJK433" s="135"/>
      <c r="BJL433" s="173"/>
      <c r="BJM433" s="173"/>
      <c r="BJN433" s="173"/>
      <c r="BJO433" s="173"/>
      <c r="BJP433" s="173"/>
      <c r="BJQ433" s="173"/>
      <c r="BJR433" s="173"/>
      <c r="BJS433" s="173"/>
      <c r="BJT433" s="173"/>
      <c r="BJU433" s="173"/>
      <c r="BJV433" s="125"/>
      <c r="BJW433" s="125"/>
      <c r="BJX433" s="134"/>
      <c r="BJY433" s="135"/>
      <c r="BJZ433" s="135"/>
      <c r="BKA433" s="135"/>
      <c r="BKB433" s="135"/>
      <c r="BKC433" s="173"/>
      <c r="BKD433" s="173"/>
      <c r="BKE433" s="173"/>
      <c r="BKF433" s="173"/>
      <c r="BKG433" s="173"/>
      <c r="BKH433" s="173"/>
      <c r="BKI433" s="173"/>
      <c r="BKJ433" s="173"/>
      <c r="BKK433" s="173"/>
      <c r="BKL433" s="173"/>
      <c r="BKM433" s="125"/>
      <c r="BKN433" s="125"/>
      <c r="BKO433" s="134"/>
      <c r="BKP433" s="135"/>
      <c r="BKQ433" s="135"/>
      <c r="BKR433" s="135"/>
      <c r="BKS433" s="135"/>
      <c r="BKT433" s="173"/>
      <c r="BKU433" s="173"/>
      <c r="BKV433" s="173"/>
      <c r="BKW433" s="173"/>
      <c r="BKX433" s="173"/>
      <c r="BKY433" s="173"/>
      <c r="BKZ433" s="173"/>
      <c r="BLA433" s="173"/>
      <c r="BLB433" s="173"/>
      <c r="BLC433" s="173"/>
      <c r="BLD433" s="125"/>
      <c r="BLE433" s="125"/>
      <c r="BLF433" s="134"/>
      <c r="BLG433" s="135"/>
      <c r="BLH433" s="135"/>
      <c r="BLI433" s="135"/>
      <c r="BLJ433" s="135"/>
      <c r="BLK433" s="173"/>
      <c r="BLL433" s="173"/>
      <c r="BLM433" s="173"/>
      <c r="BLN433" s="173"/>
      <c r="BLO433" s="173"/>
      <c r="BLP433" s="173"/>
      <c r="BLQ433" s="173"/>
      <c r="BLR433" s="173"/>
      <c r="BLS433" s="173"/>
      <c r="BLT433" s="173"/>
      <c r="BLU433" s="125"/>
      <c r="BLV433" s="125"/>
      <c r="BLW433" s="134"/>
      <c r="BLX433" s="135"/>
      <c r="BLY433" s="135"/>
      <c r="BLZ433" s="135"/>
      <c r="BMA433" s="135"/>
      <c r="BMB433" s="173"/>
      <c r="BMC433" s="173"/>
      <c r="BMD433" s="173"/>
      <c r="BME433" s="173"/>
      <c r="BMF433" s="173"/>
      <c r="BMG433" s="173"/>
      <c r="BMH433" s="173"/>
      <c r="BMI433" s="173"/>
      <c r="BMJ433" s="173"/>
      <c r="BMK433" s="173"/>
      <c r="BML433" s="125"/>
      <c r="BMM433" s="125"/>
      <c r="BMN433" s="134"/>
      <c r="BMO433" s="135"/>
      <c r="BMP433" s="135"/>
      <c r="BMQ433" s="135"/>
      <c r="BMR433" s="135"/>
      <c r="BMS433" s="173"/>
      <c r="BMT433" s="173"/>
      <c r="BMU433" s="173"/>
      <c r="BMV433" s="173"/>
      <c r="BMW433" s="173"/>
      <c r="BMX433" s="173"/>
      <c r="BMY433" s="173"/>
      <c r="BMZ433" s="173"/>
      <c r="BNA433" s="173"/>
      <c r="BNB433" s="173"/>
      <c r="BNC433" s="125"/>
      <c r="BND433" s="125"/>
      <c r="BNE433" s="134"/>
      <c r="BNF433" s="135"/>
      <c r="BNG433" s="135"/>
      <c r="BNH433" s="135"/>
      <c r="BNI433" s="135"/>
      <c r="BNJ433" s="173"/>
      <c r="BNK433" s="173"/>
      <c r="BNL433" s="173"/>
      <c r="BNM433" s="173"/>
      <c r="BNN433" s="173"/>
      <c r="BNO433" s="173"/>
      <c r="BNP433" s="173"/>
      <c r="BNQ433" s="173"/>
      <c r="BNR433" s="173"/>
      <c r="BNS433" s="173"/>
      <c r="BNT433" s="125"/>
      <c r="BNU433" s="125"/>
      <c r="BNV433" s="134"/>
      <c r="BNW433" s="135"/>
      <c r="BNX433" s="135"/>
      <c r="BNY433" s="135"/>
      <c r="BNZ433" s="135"/>
      <c r="BOA433" s="173"/>
      <c r="BOB433" s="173"/>
      <c r="BOC433" s="173"/>
      <c r="BOD433" s="173"/>
      <c r="BOE433" s="173"/>
      <c r="BOF433" s="173"/>
      <c r="BOG433" s="173"/>
      <c r="BOH433" s="173"/>
      <c r="BOI433" s="173"/>
      <c r="BOJ433" s="173"/>
      <c r="BOK433" s="125"/>
      <c r="BOL433" s="125"/>
      <c r="BOM433" s="134"/>
      <c r="BON433" s="135"/>
      <c r="BOO433" s="135"/>
      <c r="BOP433" s="135"/>
      <c r="BOQ433" s="135"/>
      <c r="BOR433" s="173"/>
      <c r="BOS433" s="173"/>
      <c r="BOT433" s="173"/>
      <c r="BOU433" s="173"/>
      <c r="BOV433" s="173"/>
      <c r="BOW433" s="173"/>
      <c r="BOX433" s="173"/>
      <c r="BOY433" s="173"/>
      <c r="BOZ433" s="173"/>
      <c r="BPA433" s="173"/>
      <c r="BPB433" s="125"/>
      <c r="BPC433" s="125"/>
      <c r="BPD433" s="134"/>
      <c r="BPE433" s="135"/>
      <c r="BPF433" s="135"/>
      <c r="BPG433" s="135"/>
      <c r="BPH433" s="135"/>
      <c r="BPI433" s="173"/>
      <c r="BPJ433" s="173"/>
      <c r="BPK433" s="173"/>
      <c r="BPL433" s="173"/>
      <c r="BPM433" s="173"/>
      <c r="BPN433" s="173"/>
      <c r="BPO433" s="173"/>
      <c r="BPP433" s="173"/>
      <c r="BPQ433" s="173"/>
      <c r="BPR433" s="173"/>
      <c r="BPS433" s="125"/>
      <c r="BPT433" s="125"/>
      <c r="BPU433" s="134"/>
      <c r="BPV433" s="135"/>
      <c r="BPW433" s="135"/>
      <c r="BPX433" s="135"/>
      <c r="BPY433" s="135"/>
      <c r="BPZ433" s="173"/>
      <c r="BQA433" s="173"/>
      <c r="BQB433" s="173"/>
      <c r="BQC433" s="173"/>
      <c r="BQD433" s="173"/>
      <c r="BQE433" s="173"/>
      <c r="BQF433" s="173"/>
      <c r="BQG433" s="173"/>
      <c r="BQH433" s="173"/>
      <c r="BQI433" s="173"/>
      <c r="BQJ433" s="125"/>
      <c r="BQK433" s="125"/>
      <c r="BQL433" s="134"/>
      <c r="BQM433" s="135"/>
      <c r="BQN433" s="135"/>
      <c r="BQO433" s="135"/>
      <c r="BQP433" s="135"/>
      <c r="BQQ433" s="173"/>
      <c r="BQR433" s="173"/>
      <c r="BQS433" s="173"/>
      <c r="BQT433" s="173"/>
      <c r="BQU433" s="173"/>
      <c r="BQV433" s="173"/>
      <c r="BQW433" s="173"/>
      <c r="BQX433" s="173"/>
      <c r="BQY433" s="173"/>
      <c r="BQZ433" s="173"/>
      <c r="BRA433" s="125"/>
      <c r="BRB433" s="125"/>
      <c r="BRC433" s="134"/>
      <c r="BRD433" s="135"/>
      <c r="BRE433" s="135"/>
      <c r="BRF433" s="135"/>
      <c r="BRG433" s="135"/>
      <c r="BRH433" s="173"/>
      <c r="BRI433" s="173"/>
      <c r="BRJ433" s="173"/>
      <c r="BRK433" s="173"/>
      <c r="BRL433" s="173"/>
      <c r="BRM433" s="173"/>
      <c r="BRN433" s="173"/>
      <c r="BRO433" s="173"/>
      <c r="BRP433" s="173"/>
      <c r="BRQ433" s="173"/>
      <c r="BRR433" s="125"/>
      <c r="BRS433" s="125"/>
      <c r="BRT433" s="134"/>
      <c r="BRU433" s="135"/>
      <c r="BRV433" s="135"/>
      <c r="BRW433" s="135"/>
      <c r="BRX433" s="135"/>
      <c r="BRY433" s="173"/>
      <c r="BRZ433" s="173"/>
      <c r="BSA433" s="173"/>
      <c r="BSB433" s="173"/>
      <c r="BSC433" s="173"/>
      <c r="BSD433" s="173"/>
      <c r="BSE433" s="173"/>
      <c r="BSF433" s="173"/>
      <c r="BSG433" s="173"/>
      <c r="BSH433" s="173"/>
      <c r="BSI433" s="125"/>
      <c r="BSJ433" s="125"/>
      <c r="BSK433" s="134"/>
      <c r="BSL433" s="135"/>
      <c r="BSM433" s="135"/>
      <c r="BSN433" s="135"/>
      <c r="BSO433" s="135"/>
      <c r="BSP433" s="173"/>
      <c r="BSQ433" s="173"/>
      <c r="BSR433" s="173"/>
      <c r="BSS433" s="173"/>
      <c r="BST433" s="173"/>
      <c r="BSU433" s="173"/>
      <c r="BSV433" s="173"/>
      <c r="BSW433" s="173"/>
      <c r="BSX433" s="173"/>
      <c r="BSY433" s="173"/>
      <c r="BSZ433" s="125"/>
      <c r="BTA433" s="125"/>
      <c r="BTB433" s="134"/>
      <c r="BTC433" s="135"/>
      <c r="BTD433" s="135"/>
      <c r="BTE433" s="135"/>
      <c r="BTF433" s="135"/>
      <c r="BTG433" s="173"/>
      <c r="BTH433" s="173"/>
      <c r="BTI433" s="173"/>
      <c r="BTJ433" s="173"/>
      <c r="BTK433" s="173"/>
      <c r="BTL433" s="173"/>
      <c r="BTM433" s="173"/>
      <c r="BTN433" s="173"/>
      <c r="BTO433" s="173"/>
      <c r="BTP433" s="173"/>
      <c r="BTQ433" s="125"/>
      <c r="BTR433" s="125"/>
      <c r="BTS433" s="134"/>
      <c r="BTT433" s="135"/>
      <c r="BTU433" s="135"/>
      <c r="BTV433" s="135"/>
      <c r="BTW433" s="135"/>
      <c r="BTX433" s="173"/>
      <c r="BTY433" s="173"/>
      <c r="BTZ433" s="173"/>
      <c r="BUA433" s="173"/>
      <c r="BUB433" s="173"/>
      <c r="BUC433" s="173"/>
      <c r="BUD433" s="173"/>
      <c r="BUE433" s="173"/>
      <c r="BUF433" s="173"/>
      <c r="BUG433" s="173"/>
      <c r="BUH433" s="125"/>
      <c r="BUI433" s="125"/>
      <c r="BUJ433" s="134"/>
      <c r="BUK433" s="135"/>
      <c r="BUL433" s="135"/>
      <c r="BUM433" s="135"/>
      <c r="BUN433" s="135"/>
      <c r="BUO433" s="173"/>
      <c r="BUP433" s="173"/>
      <c r="BUQ433" s="173"/>
      <c r="BUR433" s="173"/>
      <c r="BUS433" s="173"/>
      <c r="BUT433" s="173"/>
      <c r="BUU433" s="173"/>
      <c r="BUV433" s="173"/>
      <c r="BUW433" s="173"/>
      <c r="BUX433" s="173"/>
      <c r="BUY433" s="125"/>
      <c r="BUZ433" s="125"/>
      <c r="BVA433" s="134"/>
      <c r="BVB433" s="135"/>
      <c r="BVC433" s="135"/>
      <c r="BVD433" s="135"/>
      <c r="BVE433" s="135"/>
      <c r="BVF433" s="173"/>
      <c r="BVG433" s="173"/>
      <c r="BVH433" s="173"/>
      <c r="BVI433" s="173"/>
      <c r="BVJ433" s="173"/>
      <c r="BVK433" s="173"/>
      <c r="BVL433" s="173"/>
      <c r="BVM433" s="173"/>
      <c r="BVN433" s="173"/>
      <c r="BVO433" s="173"/>
      <c r="BVP433" s="125"/>
      <c r="BVQ433" s="125"/>
      <c r="BVR433" s="134"/>
      <c r="BVS433" s="135"/>
      <c r="BVT433" s="135"/>
      <c r="BVU433" s="135"/>
      <c r="BVV433" s="135"/>
      <c r="BVW433" s="173"/>
      <c r="BVX433" s="173"/>
      <c r="BVY433" s="173"/>
      <c r="BVZ433" s="173"/>
      <c r="BWA433" s="173"/>
      <c r="BWB433" s="173"/>
      <c r="BWC433" s="173"/>
      <c r="BWD433" s="173"/>
      <c r="BWE433" s="173"/>
      <c r="BWF433" s="173"/>
      <c r="BWG433" s="125"/>
      <c r="BWH433" s="125"/>
      <c r="BWI433" s="134"/>
      <c r="BWJ433" s="135"/>
      <c r="BWK433" s="135"/>
      <c r="BWL433" s="135"/>
      <c r="BWM433" s="135"/>
      <c r="BWN433" s="173"/>
      <c r="BWO433" s="173"/>
      <c r="BWP433" s="173"/>
      <c r="BWQ433" s="173"/>
      <c r="BWR433" s="173"/>
      <c r="BWS433" s="173"/>
      <c r="BWT433" s="173"/>
      <c r="BWU433" s="173"/>
      <c r="BWV433" s="173"/>
      <c r="BWW433" s="173"/>
      <c r="BWX433" s="125"/>
      <c r="BWY433" s="125"/>
      <c r="BWZ433" s="134"/>
      <c r="BXA433" s="135"/>
      <c r="BXB433" s="135"/>
      <c r="BXC433" s="135"/>
      <c r="BXD433" s="135"/>
      <c r="BXE433" s="173"/>
      <c r="BXF433" s="173"/>
      <c r="BXG433" s="173"/>
      <c r="BXH433" s="173"/>
      <c r="BXI433" s="173"/>
      <c r="BXJ433" s="173"/>
      <c r="BXK433" s="173"/>
      <c r="BXL433" s="173"/>
      <c r="BXM433" s="173"/>
      <c r="BXN433" s="173"/>
      <c r="BXO433" s="125"/>
      <c r="BXP433" s="125"/>
      <c r="BXQ433" s="134"/>
      <c r="BXR433" s="135"/>
      <c r="BXS433" s="135"/>
      <c r="BXT433" s="135"/>
      <c r="BXU433" s="135"/>
      <c r="BXV433" s="173"/>
      <c r="BXW433" s="173"/>
      <c r="BXX433" s="173"/>
      <c r="BXY433" s="173"/>
      <c r="BXZ433" s="173"/>
      <c r="BYA433" s="173"/>
      <c r="BYB433" s="173"/>
      <c r="BYC433" s="173"/>
      <c r="BYD433" s="173"/>
      <c r="BYE433" s="173"/>
      <c r="BYF433" s="125"/>
      <c r="BYG433" s="125"/>
      <c r="BYH433" s="134"/>
      <c r="BYI433" s="135"/>
      <c r="BYJ433" s="135"/>
      <c r="BYK433" s="135"/>
      <c r="BYL433" s="135"/>
      <c r="BYM433" s="173"/>
      <c r="BYN433" s="173"/>
      <c r="BYO433" s="173"/>
      <c r="BYP433" s="173"/>
      <c r="BYQ433" s="173"/>
      <c r="BYR433" s="173"/>
      <c r="BYS433" s="173"/>
      <c r="BYT433" s="173"/>
      <c r="BYU433" s="173"/>
      <c r="BYV433" s="173"/>
      <c r="BYW433" s="125"/>
      <c r="BYX433" s="125"/>
      <c r="BYY433" s="134"/>
      <c r="BYZ433" s="135"/>
      <c r="BZA433" s="135"/>
      <c r="BZB433" s="135"/>
      <c r="BZC433" s="135"/>
      <c r="BZD433" s="173"/>
      <c r="BZE433" s="173"/>
      <c r="BZF433" s="173"/>
      <c r="BZG433" s="173"/>
      <c r="BZH433" s="173"/>
      <c r="BZI433" s="173"/>
      <c r="BZJ433" s="173"/>
      <c r="BZK433" s="173"/>
      <c r="BZL433" s="173"/>
      <c r="BZM433" s="173"/>
      <c r="BZN433" s="125"/>
      <c r="BZO433" s="125"/>
      <c r="BZP433" s="134"/>
      <c r="BZQ433" s="135"/>
      <c r="BZR433" s="135"/>
      <c r="BZS433" s="135"/>
      <c r="BZT433" s="135"/>
      <c r="BZU433" s="173"/>
      <c r="BZV433" s="173"/>
      <c r="BZW433" s="173"/>
      <c r="BZX433" s="173"/>
      <c r="BZY433" s="173"/>
      <c r="BZZ433" s="173"/>
      <c r="CAA433" s="173"/>
      <c r="CAB433" s="173"/>
      <c r="CAC433" s="173"/>
      <c r="CAD433" s="173"/>
      <c r="CAE433" s="125"/>
      <c r="CAF433" s="125"/>
      <c r="CAG433" s="134"/>
      <c r="CAH433" s="135"/>
      <c r="CAI433" s="135"/>
      <c r="CAJ433" s="135"/>
      <c r="CAK433" s="135"/>
      <c r="CAL433" s="173"/>
      <c r="CAM433" s="173"/>
      <c r="CAN433" s="173"/>
      <c r="CAO433" s="173"/>
      <c r="CAP433" s="173"/>
      <c r="CAQ433" s="173"/>
      <c r="CAR433" s="173"/>
      <c r="CAS433" s="173"/>
      <c r="CAT433" s="173"/>
      <c r="CAU433" s="173"/>
      <c r="CAV433" s="125"/>
      <c r="CAW433" s="125"/>
      <c r="CAX433" s="134"/>
      <c r="CAY433" s="135"/>
      <c r="CAZ433" s="135"/>
      <c r="CBA433" s="135"/>
      <c r="CBB433" s="135"/>
      <c r="CBC433" s="173"/>
      <c r="CBD433" s="173"/>
      <c r="CBE433" s="173"/>
      <c r="CBF433" s="173"/>
      <c r="CBG433" s="173"/>
      <c r="CBH433" s="173"/>
      <c r="CBI433" s="173"/>
      <c r="CBJ433" s="173"/>
      <c r="CBK433" s="173"/>
      <c r="CBL433" s="173"/>
      <c r="CBM433" s="125"/>
      <c r="CBN433" s="125"/>
      <c r="CBO433" s="134"/>
      <c r="CBP433" s="135"/>
      <c r="CBQ433" s="135"/>
      <c r="CBR433" s="135"/>
      <c r="CBS433" s="135"/>
      <c r="CBT433" s="173"/>
      <c r="CBU433" s="173"/>
      <c r="CBV433" s="173"/>
      <c r="CBW433" s="173"/>
      <c r="CBX433" s="173"/>
      <c r="CBY433" s="173"/>
      <c r="CBZ433" s="173"/>
      <c r="CCA433" s="173"/>
      <c r="CCB433" s="173"/>
      <c r="CCC433" s="173"/>
      <c r="CCD433" s="125"/>
      <c r="CCE433" s="125"/>
      <c r="CCF433" s="134"/>
      <c r="CCG433" s="135"/>
      <c r="CCH433" s="135"/>
      <c r="CCI433" s="135"/>
      <c r="CCJ433" s="135"/>
      <c r="CCK433" s="173"/>
      <c r="CCL433" s="173"/>
      <c r="CCM433" s="173"/>
      <c r="CCN433" s="173"/>
      <c r="CCO433" s="173"/>
      <c r="CCP433" s="173"/>
      <c r="CCQ433" s="173"/>
      <c r="CCR433" s="173"/>
      <c r="CCS433" s="173"/>
      <c r="CCT433" s="173"/>
      <c r="CCU433" s="125"/>
      <c r="CCV433" s="125"/>
      <c r="CCW433" s="134"/>
      <c r="CCX433" s="135"/>
      <c r="CCY433" s="135"/>
      <c r="CCZ433" s="135"/>
      <c r="CDA433" s="135"/>
      <c r="CDB433" s="173"/>
      <c r="CDC433" s="173"/>
      <c r="CDD433" s="173"/>
      <c r="CDE433" s="173"/>
      <c r="CDF433" s="173"/>
      <c r="CDG433" s="173"/>
      <c r="CDH433" s="173"/>
      <c r="CDI433" s="173"/>
      <c r="CDJ433" s="173"/>
      <c r="CDK433" s="173"/>
      <c r="CDL433" s="125"/>
      <c r="CDM433" s="125"/>
      <c r="CDN433" s="134"/>
      <c r="CDO433" s="135"/>
      <c r="CDP433" s="135"/>
      <c r="CDQ433" s="135"/>
      <c r="CDR433" s="135"/>
      <c r="CDS433" s="173"/>
      <c r="CDT433" s="173"/>
      <c r="CDU433" s="173"/>
      <c r="CDV433" s="173"/>
      <c r="CDW433" s="173"/>
      <c r="CDX433" s="173"/>
      <c r="CDY433" s="173"/>
      <c r="CDZ433" s="173"/>
      <c r="CEA433" s="173"/>
      <c r="CEB433" s="173"/>
      <c r="CEC433" s="125"/>
      <c r="CED433" s="125"/>
      <c r="CEE433" s="134"/>
      <c r="CEF433" s="135"/>
      <c r="CEG433" s="135"/>
      <c r="CEH433" s="135"/>
      <c r="CEI433" s="135"/>
      <c r="CEJ433" s="173"/>
      <c r="CEK433" s="173"/>
      <c r="CEL433" s="173"/>
      <c r="CEM433" s="173"/>
      <c r="CEN433" s="173"/>
      <c r="CEO433" s="173"/>
      <c r="CEP433" s="173"/>
      <c r="CEQ433" s="173"/>
      <c r="CER433" s="173"/>
      <c r="CES433" s="173"/>
      <c r="CET433" s="125"/>
      <c r="CEU433" s="125"/>
      <c r="CEV433" s="134"/>
      <c r="CEW433" s="135"/>
      <c r="CEX433" s="135"/>
      <c r="CEY433" s="135"/>
      <c r="CEZ433" s="135"/>
      <c r="CFA433" s="173"/>
      <c r="CFB433" s="173"/>
      <c r="CFC433" s="173"/>
      <c r="CFD433" s="173"/>
      <c r="CFE433" s="173"/>
      <c r="CFF433" s="173"/>
      <c r="CFG433" s="173"/>
      <c r="CFH433" s="173"/>
      <c r="CFI433" s="173"/>
      <c r="CFJ433" s="173"/>
      <c r="CFK433" s="125"/>
      <c r="CFL433" s="125"/>
      <c r="CFM433" s="134"/>
      <c r="CFN433" s="135"/>
      <c r="CFO433" s="135"/>
      <c r="CFP433" s="135"/>
      <c r="CFQ433" s="135"/>
      <c r="CFR433" s="173"/>
      <c r="CFS433" s="173"/>
      <c r="CFT433" s="173"/>
      <c r="CFU433" s="173"/>
      <c r="CFV433" s="173"/>
      <c r="CFW433" s="173"/>
      <c r="CFX433" s="173"/>
      <c r="CFY433" s="173"/>
      <c r="CFZ433" s="173"/>
      <c r="CGA433" s="173"/>
      <c r="CGB433" s="125"/>
      <c r="CGC433" s="125"/>
      <c r="CGD433" s="134"/>
      <c r="CGE433" s="135"/>
      <c r="CGF433" s="135"/>
      <c r="CGG433" s="135"/>
      <c r="CGH433" s="135"/>
      <c r="CGI433" s="173"/>
      <c r="CGJ433" s="173"/>
      <c r="CGK433" s="173"/>
      <c r="CGL433" s="173"/>
      <c r="CGM433" s="173"/>
      <c r="CGN433" s="173"/>
      <c r="CGO433" s="173"/>
      <c r="CGP433" s="173"/>
      <c r="CGQ433" s="173"/>
      <c r="CGR433" s="173"/>
      <c r="CGS433" s="125"/>
      <c r="CGT433" s="125"/>
      <c r="CGU433" s="134"/>
      <c r="CGV433" s="135"/>
      <c r="CGW433" s="135"/>
      <c r="CGX433" s="135"/>
      <c r="CGY433" s="135"/>
      <c r="CGZ433" s="173"/>
      <c r="CHA433" s="173"/>
      <c r="CHB433" s="173"/>
      <c r="CHC433" s="173"/>
      <c r="CHD433" s="173"/>
      <c r="CHE433" s="173"/>
      <c r="CHF433" s="173"/>
      <c r="CHG433" s="173"/>
      <c r="CHH433" s="173"/>
      <c r="CHI433" s="173"/>
      <c r="CHJ433" s="125"/>
      <c r="CHK433" s="125"/>
      <c r="CHL433" s="134"/>
      <c r="CHM433" s="135"/>
      <c r="CHN433" s="135"/>
      <c r="CHO433" s="135"/>
      <c r="CHP433" s="135"/>
      <c r="CHQ433" s="173"/>
      <c r="CHR433" s="173"/>
      <c r="CHS433" s="173"/>
      <c r="CHT433" s="173"/>
      <c r="CHU433" s="173"/>
      <c r="CHV433" s="173"/>
      <c r="CHW433" s="173"/>
      <c r="CHX433" s="173"/>
      <c r="CHY433" s="173"/>
      <c r="CHZ433" s="173"/>
      <c r="CIA433" s="125"/>
      <c r="CIB433" s="125"/>
      <c r="CIC433" s="134"/>
      <c r="CID433" s="135"/>
      <c r="CIE433" s="135"/>
      <c r="CIF433" s="135"/>
      <c r="CIG433" s="135"/>
      <c r="CIH433" s="173"/>
      <c r="CII433" s="173"/>
      <c r="CIJ433" s="173"/>
      <c r="CIK433" s="173"/>
      <c r="CIL433" s="173"/>
      <c r="CIM433" s="173"/>
      <c r="CIN433" s="173"/>
      <c r="CIO433" s="173"/>
      <c r="CIP433" s="173"/>
      <c r="CIQ433" s="173"/>
      <c r="CIR433" s="125"/>
      <c r="CIS433" s="125"/>
      <c r="CIT433" s="134"/>
      <c r="CIU433" s="135"/>
      <c r="CIV433" s="135"/>
      <c r="CIW433" s="135"/>
      <c r="CIX433" s="135"/>
      <c r="CIY433" s="173"/>
      <c r="CIZ433" s="173"/>
      <c r="CJA433" s="173"/>
      <c r="CJB433" s="173"/>
      <c r="CJC433" s="173"/>
      <c r="CJD433" s="173"/>
      <c r="CJE433" s="173"/>
      <c r="CJF433" s="173"/>
      <c r="CJG433" s="173"/>
      <c r="CJH433" s="173"/>
      <c r="CJI433" s="125"/>
      <c r="CJJ433" s="125"/>
      <c r="CJK433" s="134"/>
      <c r="CJL433" s="135"/>
      <c r="CJM433" s="135"/>
      <c r="CJN433" s="135"/>
      <c r="CJO433" s="135"/>
      <c r="CJP433" s="173"/>
      <c r="CJQ433" s="173"/>
      <c r="CJR433" s="173"/>
      <c r="CJS433" s="173"/>
      <c r="CJT433" s="173"/>
      <c r="CJU433" s="173"/>
      <c r="CJV433" s="173"/>
      <c r="CJW433" s="173"/>
      <c r="CJX433" s="173"/>
      <c r="CJY433" s="173"/>
      <c r="CJZ433" s="125"/>
      <c r="CKA433" s="125"/>
      <c r="CKB433" s="134"/>
      <c r="CKC433" s="135"/>
      <c r="CKD433" s="135"/>
      <c r="CKE433" s="135"/>
      <c r="CKF433" s="135"/>
      <c r="CKG433" s="173"/>
      <c r="CKH433" s="173"/>
      <c r="CKI433" s="173"/>
      <c r="CKJ433" s="173"/>
      <c r="CKK433" s="173"/>
      <c r="CKL433" s="173"/>
      <c r="CKM433" s="173"/>
      <c r="CKN433" s="173"/>
      <c r="CKO433" s="173"/>
      <c r="CKP433" s="173"/>
      <c r="CKQ433" s="125"/>
      <c r="CKR433" s="125"/>
      <c r="CKS433" s="134"/>
      <c r="CKT433" s="135"/>
      <c r="CKU433" s="135"/>
      <c r="CKV433" s="135"/>
      <c r="CKW433" s="135"/>
      <c r="CKX433" s="173"/>
      <c r="CKY433" s="173"/>
      <c r="CKZ433" s="173"/>
      <c r="CLA433" s="173"/>
      <c r="CLB433" s="173"/>
      <c r="CLC433" s="173"/>
      <c r="CLD433" s="173"/>
      <c r="CLE433" s="173"/>
      <c r="CLF433" s="173"/>
      <c r="CLG433" s="173"/>
      <c r="CLH433" s="125"/>
      <c r="CLI433" s="125"/>
      <c r="CLJ433" s="134"/>
      <c r="CLK433" s="135"/>
      <c r="CLL433" s="135"/>
      <c r="CLM433" s="135"/>
      <c r="CLN433" s="135"/>
      <c r="CLO433" s="173"/>
      <c r="CLP433" s="173"/>
      <c r="CLQ433" s="173"/>
      <c r="CLR433" s="173"/>
      <c r="CLS433" s="173"/>
      <c r="CLT433" s="173"/>
      <c r="CLU433" s="173"/>
      <c r="CLV433" s="173"/>
      <c r="CLW433" s="173"/>
      <c r="CLX433" s="173"/>
      <c r="CLY433" s="125"/>
      <c r="CLZ433" s="125"/>
      <c r="CMA433" s="134"/>
      <c r="CMB433" s="135"/>
      <c r="CMC433" s="135"/>
      <c r="CMD433" s="135"/>
      <c r="CME433" s="135"/>
      <c r="CMF433" s="173"/>
      <c r="CMG433" s="173"/>
      <c r="CMH433" s="173"/>
      <c r="CMI433" s="173"/>
      <c r="CMJ433" s="173"/>
      <c r="CMK433" s="173"/>
      <c r="CML433" s="173"/>
      <c r="CMM433" s="173"/>
      <c r="CMN433" s="173"/>
      <c r="CMO433" s="173"/>
      <c r="CMP433" s="125"/>
      <c r="CMQ433" s="125"/>
      <c r="CMR433" s="134"/>
      <c r="CMS433" s="135"/>
      <c r="CMT433" s="135"/>
      <c r="CMU433" s="135"/>
      <c r="CMV433" s="135"/>
      <c r="CMW433" s="173"/>
      <c r="CMX433" s="173"/>
      <c r="CMY433" s="173"/>
      <c r="CMZ433" s="173"/>
      <c r="CNA433" s="173"/>
      <c r="CNB433" s="173"/>
      <c r="CNC433" s="173"/>
      <c r="CND433" s="173"/>
      <c r="CNE433" s="173"/>
      <c r="CNF433" s="173"/>
      <c r="CNG433" s="125"/>
      <c r="CNH433" s="125"/>
      <c r="CNI433" s="134"/>
      <c r="CNJ433" s="135"/>
      <c r="CNK433" s="135"/>
      <c r="CNL433" s="135"/>
      <c r="CNM433" s="135"/>
      <c r="CNN433" s="173"/>
      <c r="CNO433" s="173"/>
      <c r="CNP433" s="173"/>
      <c r="CNQ433" s="173"/>
      <c r="CNR433" s="173"/>
      <c r="CNS433" s="173"/>
      <c r="CNT433" s="173"/>
      <c r="CNU433" s="173"/>
      <c r="CNV433" s="173"/>
      <c r="CNW433" s="173"/>
      <c r="CNX433" s="125"/>
      <c r="CNY433" s="125"/>
      <c r="CNZ433" s="134"/>
      <c r="COA433" s="135"/>
      <c r="COB433" s="135"/>
      <c r="COC433" s="135"/>
      <c r="COD433" s="135"/>
      <c r="COE433" s="173"/>
      <c r="COF433" s="173"/>
      <c r="COG433" s="173"/>
      <c r="COH433" s="173"/>
      <c r="COI433" s="173"/>
      <c r="COJ433" s="173"/>
      <c r="COK433" s="173"/>
      <c r="COL433" s="173"/>
      <c r="COM433" s="173"/>
      <c r="CON433" s="173"/>
      <c r="COO433" s="125"/>
      <c r="COP433" s="125"/>
      <c r="COQ433" s="134"/>
      <c r="COR433" s="135"/>
      <c r="COS433" s="135"/>
      <c r="COT433" s="135"/>
      <c r="COU433" s="135"/>
      <c r="COV433" s="173"/>
      <c r="COW433" s="173"/>
      <c r="COX433" s="173"/>
      <c r="COY433" s="173"/>
      <c r="COZ433" s="173"/>
      <c r="CPA433" s="173"/>
      <c r="CPB433" s="173"/>
      <c r="CPC433" s="173"/>
      <c r="CPD433" s="173"/>
      <c r="CPE433" s="173"/>
      <c r="CPF433" s="125"/>
      <c r="CPG433" s="125"/>
      <c r="CPH433" s="134"/>
      <c r="CPI433" s="135"/>
      <c r="CPJ433" s="135"/>
      <c r="CPK433" s="135"/>
      <c r="CPL433" s="135"/>
      <c r="CPM433" s="173"/>
      <c r="CPN433" s="173"/>
      <c r="CPO433" s="173"/>
      <c r="CPP433" s="173"/>
      <c r="CPQ433" s="173"/>
      <c r="CPR433" s="173"/>
      <c r="CPS433" s="173"/>
      <c r="CPT433" s="173"/>
      <c r="CPU433" s="173"/>
      <c r="CPV433" s="173"/>
      <c r="CPW433" s="125"/>
      <c r="CPX433" s="125"/>
      <c r="CPY433" s="134"/>
      <c r="CPZ433" s="135"/>
      <c r="CQA433" s="135"/>
      <c r="CQB433" s="135"/>
      <c r="CQC433" s="135"/>
      <c r="CQD433" s="173"/>
      <c r="CQE433" s="173"/>
      <c r="CQF433" s="173"/>
      <c r="CQG433" s="173"/>
      <c r="CQH433" s="173"/>
      <c r="CQI433" s="173"/>
      <c r="CQJ433" s="173"/>
      <c r="CQK433" s="173"/>
      <c r="CQL433" s="173"/>
      <c r="CQM433" s="173"/>
      <c r="CQN433" s="125"/>
      <c r="CQO433" s="125"/>
      <c r="CQP433" s="134"/>
      <c r="CQQ433" s="135"/>
      <c r="CQR433" s="135"/>
      <c r="CQS433" s="135"/>
      <c r="CQT433" s="135"/>
      <c r="CQU433" s="173"/>
      <c r="CQV433" s="173"/>
      <c r="CQW433" s="173"/>
      <c r="CQX433" s="173"/>
      <c r="CQY433" s="173"/>
      <c r="CQZ433" s="173"/>
      <c r="CRA433" s="173"/>
      <c r="CRB433" s="173"/>
      <c r="CRC433" s="173"/>
      <c r="CRD433" s="173"/>
      <c r="CRE433" s="125"/>
      <c r="CRF433" s="125"/>
      <c r="CRG433" s="134"/>
      <c r="CRH433" s="135"/>
      <c r="CRI433" s="135"/>
      <c r="CRJ433" s="135"/>
      <c r="CRK433" s="135"/>
      <c r="CRL433" s="173"/>
      <c r="CRM433" s="173"/>
      <c r="CRN433" s="173"/>
      <c r="CRO433" s="173"/>
      <c r="CRP433" s="173"/>
      <c r="CRQ433" s="173"/>
      <c r="CRR433" s="173"/>
      <c r="CRS433" s="173"/>
      <c r="CRT433" s="173"/>
      <c r="CRU433" s="173"/>
      <c r="CRV433" s="125"/>
      <c r="CRW433" s="125"/>
      <c r="CRX433" s="134"/>
      <c r="CRY433" s="135"/>
      <c r="CRZ433" s="135"/>
      <c r="CSA433" s="135"/>
      <c r="CSB433" s="135"/>
      <c r="CSC433" s="173"/>
      <c r="CSD433" s="173"/>
      <c r="CSE433" s="173"/>
      <c r="CSF433" s="173"/>
      <c r="CSG433" s="173"/>
      <c r="CSH433" s="173"/>
      <c r="CSI433" s="173"/>
      <c r="CSJ433" s="173"/>
      <c r="CSK433" s="173"/>
      <c r="CSL433" s="173"/>
      <c r="CSM433" s="125"/>
      <c r="CSN433" s="125"/>
      <c r="CSO433" s="134"/>
      <c r="CSP433" s="135"/>
      <c r="CSQ433" s="135"/>
      <c r="CSR433" s="135"/>
      <c r="CSS433" s="135"/>
      <c r="CST433" s="173"/>
      <c r="CSU433" s="173"/>
      <c r="CSV433" s="173"/>
      <c r="CSW433" s="173"/>
      <c r="CSX433" s="173"/>
      <c r="CSY433" s="173"/>
      <c r="CSZ433" s="173"/>
      <c r="CTA433" s="173"/>
      <c r="CTB433" s="173"/>
      <c r="CTC433" s="173"/>
      <c r="CTD433" s="125"/>
      <c r="CTE433" s="125"/>
      <c r="CTF433" s="134"/>
      <c r="CTG433" s="135"/>
      <c r="CTH433" s="135"/>
      <c r="CTI433" s="135"/>
      <c r="CTJ433" s="135"/>
      <c r="CTK433" s="173"/>
      <c r="CTL433" s="173"/>
      <c r="CTM433" s="173"/>
      <c r="CTN433" s="173"/>
      <c r="CTO433" s="173"/>
      <c r="CTP433" s="173"/>
      <c r="CTQ433" s="173"/>
      <c r="CTR433" s="173"/>
      <c r="CTS433" s="173"/>
      <c r="CTT433" s="173"/>
      <c r="CTU433" s="125"/>
      <c r="CTV433" s="125"/>
      <c r="CTW433" s="134"/>
      <c r="CTX433" s="135"/>
      <c r="CTY433" s="135"/>
      <c r="CTZ433" s="135"/>
      <c r="CUA433" s="135"/>
      <c r="CUB433" s="173"/>
      <c r="CUC433" s="173"/>
      <c r="CUD433" s="173"/>
      <c r="CUE433" s="173"/>
      <c r="CUF433" s="173"/>
      <c r="CUG433" s="173"/>
      <c r="CUH433" s="173"/>
      <c r="CUI433" s="173"/>
      <c r="CUJ433" s="173"/>
      <c r="CUK433" s="173"/>
      <c r="CUL433" s="125"/>
      <c r="CUM433" s="125"/>
      <c r="CUN433" s="134"/>
      <c r="CUO433" s="135"/>
      <c r="CUP433" s="135"/>
      <c r="CUQ433" s="135"/>
      <c r="CUR433" s="135"/>
      <c r="CUS433" s="173"/>
      <c r="CUT433" s="173"/>
      <c r="CUU433" s="173"/>
      <c r="CUV433" s="173"/>
      <c r="CUW433" s="173"/>
      <c r="CUX433" s="173"/>
      <c r="CUY433" s="173"/>
      <c r="CUZ433" s="173"/>
      <c r="CVA433" s="173"/>
      <c r="CVB433" s="173"/>
      <c r="CVC433" s="125"/>
      <c r="CVD433" s="125"/>
      <c r="CVE433" s="134"/>
      <c r="CVF433" s="135"/>
      <c r="CVG433" s="135"/>
      <c r="CVH433" s="135"/>
      <c r="CVI433" s="135"/>
      <c r="CVJ433" s="173"/>
      <c r="CVK433" s="173"/>
      <c r="CVL433" s="173"/>
      <c r="CVM433" s="173"/>
      <c r="CVN433" s="173"/>
      <c r="CVO433" s="173"/>
      <c r="CVP433" s="173"/>
      <c r="CVQ433" s="173"/>
      <c r="CVR433" s="173"/>
      <c r="CVS433" s="173"/>
      <c r="CVT433" s="125"/>
      <c r="CVU433" s="125"/>
      <c r="CVV433" s="134"/>
      <c r="CVW433" s="135"/>
      <c r="CVX433" s="135"/>
      <c r="CVY433" s="135"/>
      <c r="CVZ433" s="135"/>
      <c r="CWA433" s="173"/>
      <c r="CWB433" s="173"/>
      <c r="CWC433" s="173"/>
      <c r="CWD433" s="173"/>
      <c r="CWE433" s="173"/>
      <c r="CWF433" s="173"/>
      <c r="CWG433" s="173"/>
      <c r="CWH433" s="173"/>
      <c r="CWI433" s="173"/>
      <c r="CWJ433" s="173"/>
      <c r="CWK433" s="125"/>
      <c r="CWL433" s="125"/>
      <c r="CWM433" s="134"/>
      <c r="CWN433" s="135"/>
      <c r="CWO433" s="135"/>
      <c r="CWP433" s="135"/>
      <c r="CWQ433" s="135"/>
      <c r="CWR433" s="173"/>
      <c r="CWS433" s="173"/>
      <c r="CWT433" s="173"/>
      <c r="CWU433" s="173"/>
      <c r="CWV433" s="173"/>
      <c r="CWW433" s="173"/>
      <c r="CWX433" s="173"/>
      <c r="CWY433" s="173"/>
      <c r="CWZ433" s="173"/>
      <c r="CXA433" s="173"/>
      <c r="CXB433" s="125"/>
      <c r="CXC433" s="125"/>
      <c r="CXD433" s="134"/>
      <c r="CXE433" s="135"/>
      <c r="CXF433" s="135"/>
      <c r="CXG433" s="135"/>
      <c r="CXH433" s="135"/>
      <c r="CXI433" s="173"/>
      <c r="CXJ433" s="173"/>
      <c r="CXK433" s="173"/>
      <c r="CXL433" s="173"/>
      <c r="CXM433" s="173"/>
      <c r="CXN433" s="173"/>
      <c r="CXO433" s="173"/>
      <c r="CXP433" s="173"/>
      <c r="CXQ433" s="173"/>
      <c r="CXR433" s="173"/>
      <c r="CXS433" s="125"/>
      <c r="CXT433" s="125"/>
      <c r="CXU433" s="134"/>
      <c r="CXV433" s="135"/>
      <c r="CXW433" s="135"/>
      <c r="CXX433" s="135"/>
      <c r="CXY433" s="135"/>
      <c r="CXZ433" s="173"/>
      <c r="CYA433" s="173"/>
      <c r="CYB433" s="173"/>
      <c r="CYC433" s="173"/>
      <c r="CYD433" s="173"/>
      <c r="CYE433" s="173"/>
      <c r="CYF433" s="173"/>
      <c r="CYG433" s="173"/>
      <c r="CYH433" s="173"/>
      <c r="CYI433" s="173"/>
      <c r="CYJ433" s="125"/>
      <c r="CYK433" s="125"/>
      <c r="CYL433" s="134"/>
      <c r="CYM433" s="135"/>
      <c r="CYN433" s="135"/>
      <c r="CYO433" s="135"/>
      <c r="CYP433" s="135"/>
      <c r="CYQ433" s="173"/>
      <c r="CYR433" s="173"/>
      <c r="CYS433" s="173"/>
      <c r="CYT433" s="173"/>
      <c r="CYU433" s="173"/>
      <c r="CYV433" s="173"/>
      <c r="CYW433" s="173"/>
      <c r="CYX433" s="173"/>
      <c r="CYY433" s="173"/>
      <c r="CYZ433" s="173"/>
      <c r="CZA433" s="125"/>
      <c r="CZB433" s="125"/>
      <c r="CZC433" s="134"/>
      <c r="CZD433" s="135"/>
      <c r="CZE433" s="135"/>
      <c r="CZF433" s="135"/>
      <c r="CZG433" s="135"/>
      <c r="CZH433" s="173"/>
      <c r="CZI433" s="173"/>
      <c r="CZJ433" s="173"/>
      <c r="CZK433" s="173"/>
      <c r="CZL433" s="173"/>
      <c r="CZM433" s="173"/>
      <c r="CZN433" s="173"/>
      <c r="CZO433" s="173"/>
      <c r="CZP433" s="173"/>
      <c r="CZQ433" s="173"/>
      <c r="CZR433" s="125"/>
      <c r="CZS433" s="125"/>
      <c r="CZT433" s="134"/>
      <c r="CZU433" s="135"/>
      <c r="CZV433" s="135"/>
      <c r="CZW433" s="135"/>
      <c r="CZX433" s="135"/>
      <c r="CZY433" s="173"/>
      <c r="CZZ433" s="173"/>
      <c r="DAA433" s="173"/>
      <c r="DAB433" s="173"/>
      <c r="DAC433" s="173"/>
      <c r="DAD433" s="173"/>
      <c r="DAE433" s="173"/>
      <c r="DAF433" s="173"/>
      <c r="DAG433" s="173"/>
      <c r="DAH433" s="173"/>
      <c r="DAI433" s="125"/>
      <c r="DAJ433" s="125"/>
      <c r="DAK433" s="134"/>
      <c r="DAL433" s="135"/>
      <c r="DAM433" s="135"/>
      <c r="DAN433" s="135"/>
      <c r="DAO433" s="135"/>
      <c r="DAP433" s="173"/>
      <c r="DAQ433" s="173"/>
      <c r="DAR433" s="173"/>
      <c r="DAS433" s="173"/>
      <c r="DAT433" s="173"/>
      <c r="DAU433" s="173"/>
      <c r="DAV433" s="173"/>
      <c r="DAW433" s="173"/>
      <c r="DAX433" s="173"/>
      <c r="DAY433" s="173"/>
      <c r="DAZ433" s="125"/>
      <c r="DBA433" s="125"/>
      <c r="DBB433" s="134"/>
      <c r="DBC433" s="135"/>
      <c r="DBD433" s="135"/>
      <c r="DBE433" s="135"/>
      <c r="DBF433" s="135"/>
      <c r="DBG433" s="173"/>
      <c r="DBH433" s="173"/>
      <c r="DBI433" s="173"/>
      <c r="DBJ433" s="173"/>
      <c r="DBK433" s="173"/>
      <c r="DBL433" s="173"/>
      <c r="DBM433" s="173"/>
      <c r="DBN433" s="173"/>
      <c r="DBO433" s="173"/>
      <c r="DBP433" s="173"/>
      <c r="DBQ433" s="125"/>
      <c r="DBR433" s="125"/>
      <c r="DBS433" s="134"/>
      <c r="DBT433" s="135"/>
      <c r="DBU433" s="135"/>
      <c r="DBV433" s="135"/>
      <c r="DBW433" s="135"/>
      <c r="DBX433" s="173"/>
      <c r="DBY433" s="173"/>
      <c r="DBZ433" s="173"/>
      <c r="DCA433" s="173"/>
      <c r="DCB433" s="173"/>
      <c r="DCC433" s="173"/>
      <c r="DCD433" s="173"/>
      <c r="DCE433" s="173"/>
      <c r="DCF433" s="173"/>
      <c r="DCG433" s="173"/>
      <c r="DCH433" s="125"/>
      <c r="DCI433" s="125"/>
      <c r="DCJ433" s="134"/>
      <c r="DCK433" s="135"/>
      <c r="DCL433" s="135"/>
      <c r="DCM433" s="135"/>
      <c r="DCN433" s="135"/>
      <c r="DCO433" s="173"/>
      <c r="DCP433" s="173"/>
      <c r="DCQ433" s="173"/>
      <c r="DCR433" s="173"/>
      <c r="DCS433" s="173"/>
      <c r="DCT433" s="173"/>
      <c r="DCU433" s="173"/>
      <c r="DCV433" s="173"/>
      <c r="DCW433" s="173"/>
      <c r="DCX433" s="173"/>
      <c r="DCY433" s="125"/>
      <c r="DCZ433" s="125"/>
      <c r="DDA433" s="134"/>
      <c r="DDB433" s="135"/>
      <c r="DDC433" s="135"/>
      <c r="DDD433" s="135"/>
      <c r="DDE433" s="135"/>
      <c r="DDF433" s="173"/>
      <c r="DDG433" s="173"/>
      <c r="DDH433" s="173"/>
      <c r="DDI433" s="173"/>
      <c r="DDJ433" s="173"/>
      <c r="DDK433" s="173"/>
      <c r="DDL433" s="173"/>
      <c r="DDM433" s="173"/>
      <c r="DDN433" s="173"/>
      <c r="DDO433" s="173"/>
      <c r="DDP433" s="125"/>
      <c r="DDQ433" s="125"/>
      <c r="DDR433" s="134"/>
      <c r="DDS433" s="135"/>
      <c r="DDT433" s="135"/>
      <c r="DDU433" s="135"/>
      <c r="DDV433" s="135"/>
      <c r="DDW433" s="173"/>
      <c r="DDX433" s="173"/>
      <c r="DDY433" s="173"/>
      <c r="DDZ433" s="173"/>
      <c r="DEA433" s="173"/>
      <c r="DEB433" s="173"/>
      <c r="DEC433" s="173"/>
      <c r="DED433" s="173"/>
      <c r="DEE433" s="173"/>
      <c r="DEF433" s="173"/>
      <c r="DEG433" s="125"/>
      <c r="DEH433" s="125"/>
      <c r="DEI433" s="134"/>
      <c r="DEJ433" s="135"/>
      <c r="DEK433" s="135"/>
      <c r="DEL433" s="135"/>
      <c r="DEM433" s="135"/>
      <c r="DEN433" s="173"/>
      <c r="DEO433" s="173"/>
      <c r="DEP433" s="173"/>
      <c r="DEQ433" s="173"/>
      <c r="DER433" s="173"/>
      <c r="DES433" s="173"/>
      <c r="DET433" s="173"/>
      <c r="DEU433" s="173"/>
      <c r="DEV433" s="173"/>
      <c r="DEW433" s="173"/>
      <c r="DEX433" s="125"/>
      <c r="DEY433" s="125"/>
      <c r="DEZ433" s="134"/>
      <c r="DFA433" s="135"/>
      <c r="DFB433" s="135"/>
      <c r="DFC433" s="135"/>
      <c r="DFD433" s="135"/>
      <c r="DFE433" s="173"/>
      <c r="DFF433" s="173"/>
      <c r="DFG433" s="173"/>
      <c r="DFH433" s="173"/>
      <c r="DFI433" s="173"/>
      <c r="DFJ433" s="173"/>
      <c r="DFK433" s="173"/>
      <c r="DFL433" s="173"/>
      <c r="DFM433" s="173"/>
      <c r="DFN433" s="173"/>
      <c r="DFO433" s="125"/>
      <c r="DFP433" s="125"/>
      <c r="DFQ433" s="134"/>
      <c r="DFR433" s="135"/>
      <c r="DFS433" s="135"/>
      <c r="DFT433" s="135"/>
      <c r="DFU433" s="135"/>
      <c r="DFV433" s="173"/>
      <c r="DFW433" s="173"/>
      <c r="DFX433" s="173"/>
      <c r="DFY433" s="173"/>
      <c r="DFZ433" s="173"/>
      <c r="DGA433" s="173"/>
      <c r="DGB433" s="173"/>
      <c r="DGC433" s="173"/>
      <c r="DGD433" s="173"/>
      <c r="DGE433" s="173"/>
      <c r="DGF433" s="125"/>
      <c r="DGG433" s="125"/>
      <c r="DGH433" s="134"/>
      <c r="DGI433" s="135"/>
      <c r="DGJ433" s="135"/>
      <c r="DGK433" s="135"/>
      <c r="DGL433" s="135"/>
      <c r="DGM433" s="173"/>
      <c r="DGN433" s="173"/>
      <c r="DGO433" s="173"/>
      <c r="DGP433" s="173"/>
      <c r="DGQ433" s="173"/>
      <c r="DGR433" s="173"/>
      <c r="DGS433" s="173"/>
      <c r="DGT433" s="173"/>
      <c r="DGU433" s="173"/>
      <c r="DGV433" s="173"/>
      <c r="DGW433" s="125"/>
      <c r="DGX433" s="125"/>
      <c r="DGY433" s="134"/>
      <c r="DGZ433" s="135"/>
      <c r="DHA433" s="135"/>
      <c r="DHB433" s="135"/>
      <c r="DHC433" s="135"/>
      <c r="DHD433" s="173"/>
      <c r="DHE433" s="173"/>
      <c r="DHF433" s="173"/>
      <c r="DHG433" s="173"/>
      <c r="DHH433" s="173"/>
      <c r="DHI433" s="173"/>
      <c r="DHJ433" s="173"/>
      <c r="DHK433" s="173"/>
      <c r="DHL433" s="173"/>
      <c r="DHM433" s="173"/>
      <c r="DHN433" s="125"/>
      <c r="DHO433" s="125"/>
      <c r="DHP433" s="134"/>
      <c r="DHQ433" s="135"/>
      <c r="DHR433" s="135"/>
      <c r="DHS433" s="135"/>
      <c r="DHT433" s="135"/>
      <c r="DHU433" s="173"/>
      <c r="DHV433" s="173"/>
      <c r="DHW433" s="173"/>
      <c r="DHX433" s="173"/>
      <c r="DHY433" s="173"/>
      <c r="DHZ433" s="173"/>
      <c r="DIA433" s="173"/>
      <c r="DIB433" s="173"/>
      <c r="DIC433" s="173"/>
      <c r="DID433" s="173"/>
      <c r="DIE433" s="125"/>
      <c r="DIF433" s="125"/>
      <c r="DIG433" s="134"/>
      <c r="DIH433" s="135"/>
      <c r="DII433" s="135"/>
      <c r="DIJ433" s="135"/>
      <c r="DIK433" s="135"/>
      <c r="DIL433" s="173"/>
      <c r="DIM433" s="173"/>
      <c r="DIN433" s="173"/>
      <c r="DIO433" s="173"/>
      <c r="DIP433" s="173"/>
      <c r="DIQ433" s="173"/>
      <c r="DIR433" s="173"/>
      <c r="DIS433" s="173"/>
      <c r="DIT433" s="173"/>
      <c r="DIU433" s="173"/>
      <c r="DIV433" s="125"/>
      <c r="DIW433" s="125"/>
      <c r="DIX433" s="134"/>
      <c r="DIY433" s="135"/>
      <c r="DIZ433" s="135"/>
      <c r="DJA433" s="135"/>
      <c r="DJB433" s="135"/>
      <c r="DJC433" s="173"/>
      <c r="DJD433" s="173"/>
      <c r="DJE433" s="173"/>
      <c r="DJF433" s="173"/>
      <c r="DJG433" s="173"/>
      <c r="DJH433" s="173"/>
      <c r="DJI433" s="173"/>
      <c r="DJJ433" s="173"/>
      <c r="DJK433" s="173"/>
      <c r="DJL433" s="173"/>
      <c r="DJM433" s="125"/>
      <c r="DJN433" s="125"/>
      <c r="DJO433" s="134"/>
      <c r="DJP433" s="135"/>
      <c r="DJQ433" s="135"/>
      <c r="DJR433" s="135"/>
      <c r="DJS433" s="135"/>
      <c r="DJT433" s="173"/>
      <c r="DJU433" s="173"/>
      <c r="DJV433" s="173"/>
      <c r="DJW433" s="173"/>
      <c r="DJX433" s="173"/>
      <c r="DJY433" s="173"/>
      <c r="DJZ433" s="173"/>
      <c r="DKA433" s="173"/>
      <c r="DKB433" s="173"/>
      <c r="DKC433" s="173"/>
      <c r="DKD433" s="125"/>
      <c r="DKE433" s="125"/>
      <c r="DKF433" s="134"/>
      <c r="DKG433" s="135"/>
      <c r="DKH433" s="135"/>
      <c r="DKI433" s="135"/>
      <c r="DKJ433" s="135"/>
      <c r="DKK433" s="173"/>
      <c r="DKL433" s="173"/>
      <c r="DKM433" s="173"/>
      <c r="DKN433" s="173"/>
      <c r="DKO433" s="173"/>
      <c r="DKP433" s="173"/>
      <c r="DKQ433" s="173"/>
      <c r="DKR433" s="173"/>
      <c r="DKS433" s="173"/>
      <c r="DKT433" s="173"/>
      <c r="DKU433" s="125"/>
      <c r="DKV433" s="125"/>
      <c r="DKW433" s="134"/>
      <c r="DKX433" s="135"/>
      <c r="DKY433" s="135"/>
      <c r="DKZ433" s="135"/>
      <c r="DLA433" s="135"/>
      <c r="DLB433" s="173"/>
      <c r="DLC433" s="173"/>
      <c r="DLD433" s="173"/>
      <c r="DLE433" s="173"/>
      <c r="DLF433" s="173"/>
      <c r="DLG433" s="173"/>
      <c r="DLH433" s="173"/>
      <c r="DLI433" s="173"/>
      <c r="DLJ433" s="173"/>
      <c r="DLK433" s="173"/>
      <c r="DLL433" s="125"/>
      <c r="DLM433" s="125"/>
      <c r="DLN433" s="134"/>
      <c r="DLO433" s="135"/>
      <c r="DLP433" s="135"/>
      <c r="DLQ433" s="135"/>
      <c r="DLR433" s="135"/>
      <c r="DLS433" s="173"/>
      <c r="DLT433" s="173"/>
      <c r="DLU433" s="173"/>
      <c r="DLV433" s="173"/>
      <c r="DLW433" s="173"/>
      <c r="DLX433" s="173"/>
      <c r="DLY433" s="173"/>
      <c r="DLZ433" s="173"/>
      <c r="DMA433" s="173"/>
      <c r="DMB433" s="173"/>
      <c r="DMC433" s="125"/>
      <c r="DMD433" s="125"/>
      <c r="DME433" s="134"/>
      <c r="DMF433" s="135"/>
      <c r="DMG433" s="135"/>
      <c r="DMH433" s="135"/>
      <c r="DMI433" s="135"/>
      <c r="DMJ433" s="173"/>
      <c r="DMK433" s="173"/>
      <c r="DML433" s="173"/>
      <c r="DMM433" s="173"/>
      <c r="DMN433" s="173"/>
      <c r="DMO433" s="173"/>
      <c r="DMP433" s="173"/>
      <c r="DMQ433" s="173"/>
      <c r="DMR433" s="173"/>
      <c r="DMS433" s="173"/>
      <c r="DMT433" s="125"/>
      <c r="DMU433" s="125"/>
      <c r="DMV433" s="134"/>
      <c r="DMW433" s="135"/>
      <c r="DMX433" s="135"/>
      <c r="DMY433" s="135"/>
      <c r="DMZ433" s="135"/>
      <c r="DNA433" s="173"/>
      <c r="DNB433" s="173"/>
      <c r="DNC433" s="173"/>
      <c r="DND433" s="173"/>
      <c r="DNE433" s="173"/>
      <c r="DNF433" s="173"/>
      <c r="DNG433" s="173"/>
      <c r="DNH433" s="173"/>
      <c r="DNI433" s="173"/>
      <c r="DNJ433" s="173"/>
      <c r="DNK433" s="125"/>
      <c r="DNL433" s="125"/>
      <c r="DNM433" s="134"/>
      <c r="DNN433" s="135"/>
      <c r="DNO433" s="135"/>
      <c r="DNP433" s="135"/>
      <c r="DNQ433" s="135"/>
      <c r="DNR433" s="173"/>
      <c r="DNS433" s="173"/>
      <c r="DNT433" s="173"/>
      <c r="DNU433" s="173"/>
      <c r="DNV433" s="173"/>
      <c r="DNW433" s="173"/>
      <c r="DNX433" s="173"/>
      <c r="DNY433" s="173"/>
      <c r="DNZ433" s="173"/>
      <c r="DOA433" s="173"/>
      <c r="DOB433" s="125"/>
      <c r="DOC433" s="125"/>
      <c r="DOD433" s="134"/>
      <c r="DOE433" s="135"/>
      <c r="DOF433" s="135"/>
      <c r="DOG433" s="135"/>
      <c r="DOH433" s="135"/>
      <c r="DOI433" s="173"/>
      <c r="DOJ433" s="173"/>
      <c r="DOK433" s="173"/>
      <c r="DOL433" s="173"/>
      <c r="DOM433" s="173"/>
      <c r="DON433" s="173"/>
      <c r="DOO433" s="173"/>
      <c r="DOP433" s="173"/>
      <c r="DOQ433" s="173"/>
      <c r="DOR433" s="173"/>
      <c r="DOS433" s="125"/>
      <c r="DOT433" s="125"/>
      <c r="DOU433" s="134"/>
      <c r="DOV433" s="135"/>
      <c r="DOW433" s="135"/>
      <c r="DOX433" s="135"/>
      <c r="DOY433" s="135"/>
      <c r="DOZ433" s="173"/>
      <c r="DPA433" s="173"/>
      <c r="DPB433" s="173"/>
      <c r="DPC433" s="173"/>
      <c r="DPD433" s="173"/>
      <c r="DPE433" s="173"/>
      <c r="DPF433" s="173"/>
      <c r="DPG433" s="173"/>
      <c r="DPH433" s="173"/>
      <c r="DPI433" s="173"/>
      <c r="DPJ433" s="125"/>
      <c r="DPK433" s="125"/>
      <c r="DPL433" s="134"/>
      <c r="DPM433" s="135"/>
      <c r="DPN433" s="135"/>
      <c r="DPO433" s="135"/>
      <c r="DPP433" s="135"/>
      <c r="DPQ433" s="173"/>
      <c r="DPR433" s="173"/>
      <c r="DPS433" s="173"/>
      <c r="DPT433" s="173"/>
      <c r="DPU433" s="173"/>
      <c r="DPV433" s="173"/>
      <c r="DPW433" s="173"/>
      <c r="DPX433" s="173"/>
      <c r="DPY433" s="173"/>
      <c r="DPZ433" s="173"/>
      <c r="DQA433" s="125"/>
      <c r="DQB433" s="125"/>
      <c r="DQC433" s="134"/>
      <c r="DQD433" s="135"/>
      <c r="DQE433" s="135"/>
      <c r="DQF433" s="135"/>
      <c r="DQG433" s="135"/>
      <c r="DQH433" s="173"/>
      <c r="DQI433" s="173"/>
      <c r="DQJ433" s="173"/>
      <c r="DQK433" s="173"/>
      <c r="DQL433" s="173"/>
      <c r="DQM433" s="173"/>
      <c r="DQN433" s="173"/>
      <c r="DQO433" s="173"/>
      <c r="DQP433" s="173"/>
      <c r="DQQ433" s="173"/>
      <c r="DQR433" s="125"/>
      <c r="DQS433" s="125"/>
      <c r="DQT433" s="134"/>
      <c r="DQU433" s="135"/>
      <c r="DQV433" s="135"/>
      <c r="DQW433" s="135"/>
      <c r="DQX433" s="135"/>
      <c r="DQY433" s="173"/>
      <c r="DQZ433" s="173"/>
      <c r="DRA433" s="173"/>
      <c r="DRB433" s="173"/>
      <c r="DRC433" s="173"/>
      <c r="DRD433" s="173"/>
      <c r="DRE433" s="173"/>
      <c r="DRF433" s="173"/>
      <c r="DRG433" s="173"/>
      <c r="DRH433" s="173"/>
      <c r="DRI433" s="125"/>
      <c r="DRJ433" s="125"/>
      <c r="DRK433" s="134"/>
      <c r="DRL433" s="135"/>
      <c r="DRM433" s="135"/>
      <c r="DRN433" s="135"/>
      <c r="DRO433" s="135"/>
      <c r="DRP433" s="173"/>
      <c r="DRQ433" s="173"/>
      <c r="DRR433" s="173"/>
      <c r="DRS433" s="173"/>
      <c r="DRT433" s="173"/>
      <c r="DRU433" s="173"/>
      <c r="DRV433" s="173"/>
      <c r="DRW433" s="173"/>
      <c r="DRX433" s="173"/>
      <c r="DRY433" s="173"/>
      <c r="DRZ433" s="125"/>
      <c r="DSA433" s="125"/>
      <c r="DSB433" s="134"/>
      <c r="DSC433" s="135"/>
      <c r="DSD433" s="135"/>
      <c r="DSE433" s="135"/>
      <c r="DSF433" s="135"/>
      <c r="DSG433" s="173"/>
      <c r="DSH433" s="173"/>
      <c r="DSI433" s="173"/>
      <c r="DSJ433" s="173"/>
      <c r="DSK433" s="173"/>
      <c r="DSL433" s="173"/>
      <c r="DSM433" s="173"/>
      <c r="DSN433" s="173"/>
      <c r="DSO433" s="173"/>
      <c r="DSP433" s="173"/>
      <c r="DSQ433" s="125"/>
      <c r="DSR433" s="125"/>
      <c r="DSS433" s="134"/>
      <c r="DST433" s="135"/>
      <c r="DSU433" s="135"/>
      <c r="DSV433" s="135"/>
      <c r="DSW433" s="135"/>
      <c r="DSX433" s="173"/>
      <c r="DSY433" s="173"/>
      <c r="DSZ433" s="173"/>
      <c r="DTA433" s="173"/>
      <c r="DTB433" s="173"/>
      <c r="DTC433" s="173"/>
      <c r="DTD433" s="173"/>
      <c r="DTE433" s="173"/>
      <c r="DTF433" s="173"/>
      <c r="DTG433" s="173"/>
      <c r="DTH433" s="125"/>
      <c r="DTI433" s="125"/>
      <c r="DTJ433" s="134"/>
      <c r="DTK433" s="135"/>
      <c r="DTL433" s="135"/>
      <c r="DTM433" s="135"/>
      <c r="DTN433" s="135"/>
      <c r="DTO433" s="173"/>
      <c r="DTP433" s="173"/>
      <c r="DTQ433" s="173"/>
      <c r="DTR433" s="173"/>
      <c r="DTS433" s="173"/>
      <c r="DTT433" s="173"/>
      <c r="DTU433" s="173"/>
      <c r="DTV433" s="173"/>
      <c r="DTW433" s="173"/>
      <c r="DTX433" s="173"/>
      <c r="DTY433" s="125"/>
      <c r="DTZ433" s="125"/>
      <c r="DUA433" s="134"/>
      <c r="DUB433" s="135"/>
      <c r="DUC433" s="135"/>
      <c r="DUD433" s="135"/>
      <c r="DUE433" s="135"/>
      <c r="DUF433" s="173"/>
      <c r="DUG433" s="173"/>
      <c r="DUH433" s="173"/>
      <c r="DUI433" s="173"/>
      <c r="DUJ433" s="173"/>
      <c r="DUK433" s="173"/>
      <c r="DUL433" s="173"/>
      <c r="DUM433" s="173"/>
      <c r="DUN433" s="173"/>
      <c r="DUO433" s="173"/>
      <c r="DUP433" s="125"/>
      <c r="DUQ433" s="125"/>
      <c r="DUR433" s="134"/>
      <c r="DUS433" s="135"/>
      <c r="DUT433" s="135"/>
      <c r="DUU433" s="135"/>
      <c r="DUV433" s="135"/>
      <c r="DUW433" s="173"/>
      <c r="DUX433" s="173"/>
      <c r="DUY433" s="173"/>
      <c r="DUZ433" s="173"/>
      <c r="DVA433" s="173"/>
      <c r="DVB433" s="173"/>
      <c r="DVC433" s="173"/>
      <c r="DVD433" s="173"/>
      <c r="DVE433" s="173"/>
      <c r="DVF433" s="173"/>
      <c r="DVG433" s="125"/>
      <c r="DVH433" s="125"/>
      <c r="DVI433" s="134"/>
      <c r="DVJ433" s="135"/>
      <c r="DVK433" s="135"/>
      <c r="DVL433" s="135"/>
      <c r="DVM433" s="135"/>
      <c r="DVN433" s="173"/>
      <c r="DVO433" s="173"/>
      <c r="DVP433" s="173"/>
      <c r="DVQ433" s="173"/>
      <c r="DVR433" s="173"/>
      <c r="DVS433" s="173"/>
      <c r="DVT433" s="173"/>
      <c r="DVU433" s="173"/>
      <c r="DVV433" s="173"/>
      <c r="DVW433" s="173"/>
      <c r="DVX433" s="125"/>
      <c r="DVY433" s="125"/>
      <c r="DVZ433" s="134"/>
      <c r="DWA433" s="135"/>
      <c r="DWB433" s="135"/>
      <c r="DWC433" s="135"/>
      <c r="DWD433" s="135"/>
      <c r="DWE433" s="173"/>
      <c r="DWF433" s="173"/>
      <c r="DWG433" s="173"/>
      <c r="DWH433" s="173"/>
      <c r="DWI433" s="173"/>
      <c r="DWJ433" s="173"/>
      <c r="DWK433" s="173"/>
      <c r="DWL433" s="173"/>
      <c r="DWM433" s="173"/>
      <c r="DWN433" s="173"/>
      <c r="DWO433" s="125"/>
      <c r="DWP433" s="125"/>
      <c r="DWQ433" s="134"/>
      <c r="DWR433" s="135"/>
      <c r="DWS433" s="135"/>
      <c r="DWT433" s="135"/>
      <c r="DWU433" s="135"/>
      <c r="DWV433" s="173"/>
      <c r="DWW433" s="173"/>
      <c r="DWX433" s="173"/>
      <c r="DWY433" s="173"/>
      <c r="DWZ433" s="173"/>
      <c r="DXA433" s="173"/>
      <c r="DXB433" s="173"/>
      <c r="DXC433" s="173"/>
      <c r="DXD433" s="173"/>
      <c r="DXE433" s="173"/>
      <c r="DXF433" s="125"/>
      <c r="DXG433" s="125"/>
      <c r="DXH433" s="134"/>
      <c r="DXI433" s="135"/>
      <c r="DXJ433" s="135"/>
      <c r="DXK433" s="135"/>
      <c r="DXL433" s="135"/>
      <c r="DXM433" s="173"/>
      <c r="DXN433" s="173"/>
      <c r="DXO433" s="173"/>
      <c r="DXP433" s="173"/>
      <c r="DXQ433" s="173"/>
      <c r="DXR433" s="173"/>
      <c r="DXS433" s="173"/>
      <c r="DXT433" s="173"/>
      <c r="DXU433" s="173"/>
      <c r="DXV433" s="173"/>
      <c r="DXW433" s="125"/>
      <c r="DXX433" s="125"/>
      <c r="DXY433" s="134"/>
      <c r="DXZ433" s="135"/>
      <c r="DYA433" s="135"/>
      <c r="DYB433" s="135"/>
      <c r="DYC433" s="135"/>
      <c r="DYD433" s="173"/>
      <c r="DYE433" s="173"/>
      <c r="DYF433" s="173"/>
      <c r="DYG433" s="173"/>
      <c r="DYH433" s="173"/>
      <c r="DYI433" s="173"/>
      <c r="DYJ433" s="173"/>
      <c r="DYK433" s="173"/>
      <c r="DYL433" s="173"/>
      <c r="DYM433" s="173"/>
      <c r="DYN433" s="125"/>
      <c r="DYO433" s="125"/>
      <c r="DYP433" s="134"/>
      <c r="DYQ433" s="135"/>
      <c r="DYR433" s="135"/>
      <c r="DYS433" s="135"/>
      <c r="DYT433" s="135"/>
      <c r="DYU433" s="173"/>
      <c r="DYV433" s="173"/>
      <c r="DYW433" s="173"/>
      <c r="DYX433" s="173"/>
      <c r="DYY433" s="173"/>
      <c r="DYZ433" s="173"/>
      <c r="DZA433" s="173"/>
      <c r="DZB433" s="173"/>
      <c r="DZC433" s="173"/>
      <c r="DZD433" s="173"/>
      <c r="DZE433" s="125"/>
      <c r="DZF433" s="125"/>
      <c r="DZG433" s="134"/>
      <c r="DZH433" s="135"/>
      <c r="DZI433" s="135"/>
      <c r="DZJ433" s="135"/>
      <c r="DZK433" s="135"/>
      <c r="DZL433" s="173"/>
      <c r="DZM433" s="173"/>
      <c r="DZN433" s="173"/>
      <c r="DZO433" s="173"/>
      <c r="DZP433" s="173"/>
      <c r="DZQ433" s="173"/>
      <c r="DZR433" s="173"/>
      <c r="DZS433" s="173"/>
      <c r="DZT433" s="173"/>
      <c r="DZU433" s="173"/>
      <c r="DZV433" s="125"/>
      <c r="DZW433" s="125"/>
      <c r="DZX433" s="134"/>
      <c r="DZY433" s="135"/>
      <c r="DZZ433" s="135"/>
      <c r="EAA433" s="135"/>
      <c r="EAB433" s="135"/>
      <c r="EAC433" s="173"/>
      <c r="EAD433" s="173"/>
      <c r="EAE433" s="173"/>
      <c r="EAF433" s="173"/>
      <c r="EAG433" s="173"/>
      <c r="EAH433" s="173"/>
      <c r="EAI433" s="173"/>
      <c r="EAJ433" s="173"/>
      <c r="EAK433" s="173"/>
      <c r="EAL433" s="173"/>
      <c r="EAM433" s="125"/>
      <c r="EAN433" s="125"/>
      <c r="EAO433" s="134"/>
      <c r="EAP433" s="135"/>
      <c r="EAQ433" s="135"/>
      <c r="EAR433" s="135"/>
      <c r="EAS433" s="135"/>
      <c r="EAT433" s="173"/>
      <c r="EAU433" s="173"/>
      <c r="EAV433" s="173"/>
      <c r="EAW433" s="173"/>
      <c r="EAX433" s="173"/>
      <c r="EAY433" s="173"/>
      <c r="EAZ433" s="173"/>
      <c r="EBA433" s="173"/>
      <c r="EBB433" s="173"/>
      <c r="EBC433" s="173"/>
      <c r="EBD433" s="125"/>
      <c r="EBE433" s="125"/>
      <c r="EBF433" s="134"/>
      <c r="EBG433" s="135"/>
      <c r="EBH433" s="135"/>
      <c r="EBI433" s="135"/>
      <c r="EBJ433" s="135"/>
      <c r="EBK433" s="173"/>
      <c r="EBL433" s="173"/>
      <c r="EBM433" s="173"/>
      <c r="EBN433" s="173"/>
      <c r="EBO433" s="173"/>
      <c r="EBP433" s="173"/>
      <c r="EBQ433" s="173"/>
      <c r="EBR433" s="173"/>
      <c r="EBS433" s="173"/>
      <c r="EBT433" s="173"/>
      <c r="EBU433" s="125"/>
      <c r="EBV433" s="125"/>
      <c r="EBW433" s="134"/>
      <c r="EBX433" s="135"/>
      <c r="EBY433" s="135"/>
      <c r="EBZ433" s="135"/>
      <c r="ECA433" s="135"/>
      <c r="ECB433" s="173"/>
      <c r="ECC433" s="173"/>
      <c r="ECD433" s="173"/>
      <c r="ECE433" s="173"/>
      <c r="ECF433" s="173"/>
      <c r="ECG433" s="173"/>
      <c r="ECH433" s="173"/>
      <c r="ECI433" s="173"/>
      <c r="ECJ433" s="173"/>
      <c r="ECK433" s="173"/>
      <c r="ECL433" s="125"/>
      <c r="ECM433" s="125"/>
      <c r="ECN433" s="134"/>
      <c r="ECO433" s="135"/>
      <c r="ECP433" s="135"/>
      <c r="ECQ433" s="135"/>
      <c r="ECR433" s="135"/>
      <c r="ECS433" s="173"/>
      <c r="ECT433" s="173"/>
      <c r="ECU433" s="173"/>
      <c r="ECV433" s="173"/>
      <c r="ECW433" s="173"/>
      <c r="ECX433" s="173"/>
      <c r="ECY433" s="173"/>
      <c r="ECZ433" s="173"/>
      <c r="EDA433" s="173"/>
      <c r="EDB433" s="173"/>
      <c r="EDC433" s="125"/>
      <c r="EDD433" s="125"/>
      <c r="EDE433" s="134"/>
      <c r="EDF433" s="135"/>
      <c r="EDG433" s="135"/>
      <c r="EDH433" s="135"/>
      <c r="EDI433" s="135"/>
      <c r="EDJ433" s="173"/>
      <c r="EDK433" s="173"/>
      <c r="EDL433" s="173"/>
      <c r="EDM433" s="173"/>
      <c r="EDN433" s="173"/>
      <c r="EDO433" s="173"/>
      <c r="EDP433" s="173"/>
      <c r="EDQ433" s="173"/>
      <c r="EDR433" s="173"/>
      <c r="EDS433" s="173"/>
      <c r="EDT433" s="125"/>
      <c r="EDU433" s="125"/>
      <c r="EDV433" s="134"/>
      <c r="EDW433" s="135"/>
      <c r="EDX433" s="135"/>
      <c r="EDY433" s="135"/>
      <c r="EDZ433" s="135"/>
      <c r="EEA433" s="173"/>
      <c r="EEB433" s="173"/>
      <c r="EEC433" s="173"/>
      <c r="EED433" s="173"/>
      <c r="EEE433" s="173"/>
      <c r="EEF433" s="173"/>
      <c r="EEG433" s="173"/>
      <c r="EEH433" s="173"/>
      <c r="EEI433" s="173"/>
      <c r="EEJ433" s="173"/>
      <c r="EEK433" s="125"/>
      <c r="EEL433" s="125"/>
      <c r="EEM433" s="134"/>
      <c r="EEN433" s="135"/>
      <c r="EEO433" s="135"/>
      <c r="EEP433" s="135"/>
      <c r="EEQ433" s="135"/>
      <c r="EER433" s="173"/>
      <c r="EES433" s="173"/>
      <c r="EET433" s="173"/>
      <c r="EEU433" s="173"/>
      <c r="EEV433" s="173"/>
      <c r="EEW433" s="173"/>
      <c r="EEX433" s="173"/>
      <c r="EEY433" s="173"/>
      <c r="EEZ433" s="173"/>
      <c r="EFA433" s="173"/>
      <c r="EFB433" s="125"/>
      <c r="EFC433" s="125"/>
      <c r="EFD433" s="134"/>
      <c r="EFE433" s="135"/>
      <c r="EFF433" s="135"/>
      <c r="EFG433" s="135"/>
      <c r="EFH433" s="135"/>
      <c r="EFI433" s="173"/>
      <c r="EFJ433" s="173"/>
      <c r="EFK433" s="173"/>
      <c r="EFL433" s="173"/>
      <c r="EFM433" s="173"/>
      <c r="EFN433" s="173"/>
      <c r="EFO433" s="173"/>
      <c r="EFP433" s="173"/>
      <c r="EFQ433" s="173"/>
      <c r="EFR433" s="173"/>
      <c r="EFS433" s="125"/>
      <c r="EFT433" s="125"/>
      <c r="EFU433" s="134"/>
      <c r="EFV433" s="135"/>
      <c r="EFW433" s="135"/>
      <c r="EFX433" s="135"/>
      <c r="EFY433" s="135"/>
      <c r="EFZ433" s="173"/>
      <c r="EGA433" s="173"/>
      <c r="EGB433" s="173"/>
      <c r="EGC433" s="173"/>
      <c r="EGD433" s="173"/>
      <c r="EGE433" s="173"/>
      <c r="EGF433" s="173"/>
      <c r="EGG433" s="173"/>
      <c r="EGH433" s="173"/>
      <c r="EGI433" s="173"/>
      <c r="EGJ433" s="125"/>
      <c r="EGK433" s="125"/>
      <c r="EGL433" s="134"/>
      <c r="EGM433" s="135"/>
      <c r="EGN433" s="135"/>
      <c r="EGO433" s="135"/>
      <c r="EGP433" s="135"/>
      <c r="EGQ433" s="173"/>
      <c r="EGR433" s="173"/>
      <c r="EGS433" s="173"/>
      <c r="EGT433" s="173"/>
      <c r="EGU433" s="173"/>
      <c r="EGV433" s="173"/>
      <c r="EGW433" s="173"/>
      <c r="EGX433" s="173"/>
      <c r="EGY433" s="173"/>
      <c r="EGZ433" s="173"/>
      <c r="EHA433" s="125"/>
      <c r="EHB433" s="125"/>
      <c r="EHC433" s="134"/>
      <c r="EHD433" s="135"/>
      <c r="EHE433" s="135"/>
      <c r="EHF433" s="135"/>
      <c r="EHG433" s="135"/>
      <c r="EHH433" s="173"/>
      <c r="EHI433" s="173"/>
      <c r="EHJ433" s="173"/>
      <c r="EHK433" s="173"/>
      <c r="EHL433" s="173"/>
      <c r="EHM433" s="173"/>
      <c r="EHN433" s="173"/>
      <c r="EHO433" s="173"/>
      <c r="EHP433" s="173"/>
      <c r="EHQ433" s="173"/>
      <c r="EHR433" s="125"/>
      <c r="EHS433" s="125"/>
      <c r="EHT433" s="134"/>
      <c r="EHU433" s="135"/>
      <c r="EHV433" s="135"/>
      <c r="EHW433" s="135"/>
      <c r="EHX433" s="135"/>
      <c r="EHY433" s="173"/>
      <c r="EHZ433" s="173"/>
      <c r="EIA433" s="173"/>
      <c r="EIB433" s="173"/>
      <c r="EIC433" s="173"/>
      <c r="EID433" s="173"/>
      <c r="EIE433" s="173"/>
      <c r="EIF433" s="173"/>
      <c r="EIG433" s="173"/>
      <c r="EIH433" s="173"/>
      <c r="EII433" s="125"/>
      <c r="EIJ433" s="125"/>
      <c r="EIK433" s="134"/>
      <c r="EIL433" s="135"/>
      <c r="EIM433" s="135"/>
      <c r="EIN433" s="135"/>
      <c r="EIO433" s="135"/>
      <c r="EIP433" s="173"/>
      <c r="EIQ433" s="173"/>
      <c r="EIR433" s="173"/>
      <c r="EIS433" s="173"/>
      <c r="EIT433" s="173"/>
      <c r="EIU433" s="173"/>
      <c r="EIV433" s="173"/>
      <c r="EIW433" s="173"/>
      <c r="EIX433" s="173"/>
      <c r="EIY433" s="173"/>
      <c r="EIZ433" s="125"/>
      <c r="EJA433" s="125"/>
      <c r="EJB433" s="134"/>
      <c r="EJC433" s="135"/>
      <c r="EJD433" s="135"/>
      <c r="EJE433" s="135"/>
      <c r="EJF433" s="135"/>
      <c r="EJG433" s="173"/>
      <c r="EJH433" s="173"/>
      <c r="EJI433" s="173"/>
      <c r="EJJ433" s="173"/>
      <c r="EJK433" s="173"/>
      <c r="EJL433" s="173"/>
      <c r="EJM433" s="173"/>
      <c r="EJN433" s="173"/>
      <c r="EJO433" s="173"/>
      <c r="EJP433" s="173"/>
      <c r="EJQ433" s="125"/>
      <c r="EJR433" s="125"/>
      <c r="EJS433" s="134"/>
      <c r="EJT433" s="135"/>
      <c r="EJU433" s="135"/>
      <c r="EJV433" s="135"/>
      <c r="EJW433" s="135"/>
      <c r="EJX433" s="173"/>
      <c r="EJY433" s="173"/>
      <c r="EJZ433" s="173"/>
      <c r="EKA433" s="173"/>
      <c r="EKB433" s="173"/>
      <c r="EKC433" s="173"/>
      <c r="EKD433" s="173"/>
      <c r="EKE433" s="173"/>
      <c r="EKF433" s="173"/>
      <c r="EKG433" s="173"/>
      <c r="EKH433" s="125"/>
      <c r="EKI433" s="125"/>
      <c r="EKJ433" s="134"/>
      <c r="EKK433" s="135"/>
      <c r="EKL433" s="135"/>
      <c r="EKM433" s="135"/>
      <c r="EKN433" s="135"/>
      <c r="EKO433" s="173"/>
      <c r="EKP433" s="173"/>
      <c r="EKQ433" s="173"/>
      <c r="EKR433" s="173"/>
      <c r="EKS433" s="173"/>
      <c r="EKT433" s="173"/>
      <c r="EKU433" s="173"/>
      <c r="EKV433" s="173"/>
      <c r="EKW433" s="173"/>
      <c r="EKX433" s="173"/>
      <c r="EKY433" s="125"/>
      <c r="EKZ433" s="125"/>
      <c r="ELA433" s="134"/>
      <c r="ELB433" s="135"/>
      <c r="ELC433" s="135"/>
      <c r="ELD433" s="135"/>
      <c r="ELE433" s="135"/>
      <c r="ELF433" s="173"/>
      <c r="ELG433" s="173"/>
      <c r="ELH433" s="173"/>
      <c r="ELI433" s="173"/>
      <c r="ELJ433" s="173"/>
      <c r="ELK433" s="173"/>
      <c r="ELL433" s="173"/>
      <c r="ELM433" s="173"/>
      <c r="ELN433" s="173"/>
      <c r="ELO433" s="173"/>
      <c r="ELP433" s="125"/>
      <c r="ELQ433" s="125"/>
      <c r="ELR433" s="134"/>
      <c r="ELS433" s="135"/>
      <c r="ELT433" s="135"/>
      <c r="ELU433" s="135"/>
      <c r="ELV433" s="135"/>
      <c r="ELW433" s="173"/>
      <c r="ELX433" s="173"/>
      <c r="ELY433" s="173"/>
      <c r="ELZ433" s="173"/>
      <c r="EMA433" s="173"/>
      <c r="EMB433" s="173"/>
      <c r="EMC433" s="173"/>
      <c r="EMD433" s="173"/>
      <c r="EME433" s="173"/>
      <c r="EMF433" s="173"/>
      <c r="EMG433" s="125"/>
      <c r="EMH433" s="125"/>
      <c r="EMI433" s="134"/>
      <c r="EMJ433" s="135"/>
      <c r="EMK433" s="135"/>
      <c r="EML433" s="135"/>
      <c r="EMM433" s="135"/>
      <c r="EMN433" s="173"/>
      <c r="EMO433" s="173"/>
      <c r="EMP433" s="173"/>
      <c r="EMQ433" s="173"/>
      <c r="EMR433" s="173"/>
      <c r="EMS433" s="173"/>
      <c r="EMT433" s="173"/>
      <c r="EMU433" s="173"/>
      <c r="EMV433" s="173"/>
      <c r="EMW433" s="173"/>
      <c r="EMX433" s="125"/>
      <c r="EMY433" s="125"/>
      <c r="EMZ433" s="134"/>
      <c r="ENA433" s="135"/>
      <c r="ENB433" s="135"/>
      <c r="ENC433" s="135"/>
      <c r="END433" s="135"/>
      <c r="ENE433" s="173"/>
      <c r="ENF433" s="173"/>
      <c r="ENG433" s="173"/>
      <c r="ENH433" s="173"/>
      <c r="ENI433" s="173"/>
      <c r="ENJ433" s="173"/>
      <c r="ENK433" s="173"/>
      <c r="ENL433" s="173"/>
      <c r="ENM433" s="173"/>
      <c r="ENN433" s="173"/>
      <c r="ENO433" s="125"/>
      <c r="ENP433" s="125"/>
      <c r="ENQ433" s="134"/>
      <c r="ENR433" s="135"/>
      <c r="ENS433" s="135"/>
      <c r="ENT433" s="135"/>
      <c r="ENU433" s="135"/>
      <c r="ENV433" s="173"/>
      <c r="ENW433" s="173"/>
      <c r="ENX433" s="173"/>
      <c r="ENY433" s="173"/>
      <c r="ENZ433" s="173"/>
      <c r="EOA433" s="173"/>
      <c r="EOB433" s="173"/>
      <c r="EOC433" s="173"/>
      <c r="EOD433" s="173"/>
      <c r="EOE433" s="173"/>
      <c r="EOF433" s="125"/>
      <c r="EOG433" s="125"/>
      <c r="EOH433" s="134"/>
      <c r="EOI433" s="135"/>
      <c r="EOJ433" s="135"/>
      <c r="EOK433" s="135"/>
      <c r="EOL433" s="135"/>
      <c r="EOM433" s="173"/>
      <c r="EON433" s="173"/>
      <c r="EOO433" s="173"/>
      <c r="EOP433" s="173"/>
      <c r="EOQ433" s="173"/>
      <c r="EOR433" s="173"/>
      <c r="EOS433" s="173"/>
      <c r="EOT433" s="173"/>
      <c r="EOU433" s="173"/>
      <c r="EOV433" s="173"/>
      <c r="EOW433" s="125"/>
      <c r="EOX433" s="125"/>
      <c r="EOY433" s="134"/>
      <c r="EOZ433" s="135"/>
      <c r="EPA433" s="135"/>
      <c r="EPB433" s="135"/>
      <c r="EPC433" s="135"/>
      <c r="EPD433" s="173"/>
      <c r="EPE433" s="173"/>
      <c r="EPF433" s="173"/>
      <c r="EPG433" s="173"/>
      <c r="EPH433" s="173"/>
      <c r="EPI433" s="173"/>
      <c r="EPJ433" s="173"/>
      <c r="EPK433" s="173"/>
      <c r="EPL433" s="173"/>
      <c r="EPM433" s="173"/>
      <c r="EPN433" s="125"/>
      <c r="EPO433" s="125"/>
      <c r="EPP433" s="134"/>
      <c r="EPQ433" s="135"/>
      <c r="EPR433" s="135"/>
      <c r="EPS433" s="135"/>
      <c r="EPT433" s="135"/>
      <c r="EPU433" s="173"/>
      <c r="EPV433" s="173"/>
      <c r="EPW433" s="173"/>
      <c r="EPX433" s="173"/>
      <c r="EPY433" s="173"/>
      <c r="EPZ433" s="173"/>
      <c r="EQA433" s="173"/>
      <c r="EQB433" s="173"/>
      <c r="EQC433" s="173"/>
      <c r="EQD433" s="173"/>
      <c r="EQE433" s="125"/>
      <c r="EQF433" s="125"/>
      <c r="EQG433" s="134"/>
      <c r="EQH433" s="135"/>
      <c r="EQI433" s="135"/>
      <c r="EQJ433" s="135"/>
      <c r="EQK433" s="135"/>
      <c r="EQL433" s="173"/>
      <c r="EQM433" s="173"/>
      <c r="EQN433" s="173"/>
      <c r="EQO433" s="173"/>
      <c r="EQP433" s="173"/>
      <c r="EQQ433" s="173"/>
      <c r="EQR433" s="173"/>
      <c r="EQS433" s="173"/>
      <c r="EQT433" s="173"/>
      <c r="EQU433" s="173"/>
      <c r="EQV433" s="125"/>
      <c r="EQW433" s="125"/>
      <c r="EQX433" s="134"/>
      <c r="EQY433" s="135"/>
      <c r="EQZ433" s="135"/>
      <c r="ERA433" s="135"/>
      <c r="ERB433" s="135"/>
      <c r="ERC433" s="173"/>
      <c r="ERD433" s="173"/>
      <c r="ERE433" s="173"/>
      <c r="ERF433" s="173"/>
      <c r="ERG433" s="173"/>
      <c r="ERH433" s="173"/>
      <c r="ERI433" s="173"/>
      <c r="ERJ433" s="173"/>
      <c r="ERK433" s="173"/>
      <c r="ERL433" s="173"/>
      <c r="ERM433" s="125"/>
      <c r="ERN433" s="125"/>
      <c r="ERO433" s="134"/>
      <c r="ERP433" s="135"/>
      <c r="ERQ433" s="135"/>
      <c r="ERR433" s="135"/>
      <c r="ERS433" s="135"/>
      <c r="ERT433" s="173"/>
      <c r="ERU433" s="173"/>
      <c r="ERV433" s="173"/>
      <c r="ERW433" s="173"/>
      <c r="ERX433" s="173"/>
      <c r="ERY433" s="173"/>
      <c r="ERZ433" s="173"/>
      <c r="ESA433" s="173"/>
      <c r="ESB433" s="173"/>
      <c r="ESC433" s="173"/>
      <c r="ESD433" s="125"/>
      <c r="ESE433" s="125"/>
      <c r="ESF433" s="134"/>
      <c r="ESG433" s="135"/>
      <c r="ESH433" s="135"/>
      <c r="ESI433" s="135"/>
      <c r="ESJ433" s="135"/>
      <c r="ESK433" s="173"/>
      <c r="ESL433" s="173"/>
      <c r="ESM433" s="173"/>
      <c r="ESN433" s="173"/>
      <c r="ESO433" s="173"/>
      <c r="ESP433" s="173"/>
      <c r="ESQ433" s="173"/>
      <c r="ESR433" s="173"/>
      <c r="ESS433" s="173"/>
      <c r="EST433" s="173"/>
      <c r="ESU433" s="125"/>
      <c r="ESV433" s="125"/>
      <c r="ESW433" s="134"/>
      <c r="ESX433" s="135"/>
      <c r="ESY433" s="135"/>
      <c r="ESZ433" s="135"/>
      <c r="ETA433" s="135"/>
      <c r="ETB433" s="173"/>
      <c r="ETC433" s="173"/>
      <c r="ETD433" s="173"/>
      <c r="ETE433" s="173"/>
      <c r="ETF433" s="173"/>
      <c r="ETG433" s="173"/>
      <c r="ETH433" s="173"/>
      <c r="ETI433" s="173"/>
      <c r="ETJ433" s="173"/>
      <c r="ETK433" s="173"/>
      <c r="ETL433" s="125"/>
      <c r="ETM433" s="125"/>
      <c r="ETN433" s="134"/>
      <c r="ETO433" s="135"/>
      <c r="ETP433" s="135"/>
      <c r="ETQ433" s="135"/>
      <c r="ETR433" s="135"/>
      <c r="ETS433" s="173"/>
      <c r="ETT433" s="173"/>
      <c r="ETU433" s="173"/>
      <c r="ETV433" s="173"/>
      <c r="ETW433" s="173"/>
      <c r="ETX433" s="173"/>
      <c r="ETY433" s="173"/>
      <c r="ETZ433" s="173"/>
      <c r="EUA433" s="173"/>
      <c r="EUB433" s="173"/>
      <c r="EUC433" s="125"/>
      <c r="EUD433" s="125"/>
      <c r="EUE433" s="134"/>
      <c r="EUF433" s="135"/>
      <c r="EUG433" s="135"/>
      <c r="EUH433" s="135"/>
      <c r="EUI433" s="135"/>
      <c r="EUJ433" s="173"/>
      <c r="EUK433" s="173"/>
      <c r="EUL433" s="173"/>
      <c r="EUM433" s="173"/>
      <c r="EUN433" s="173"/>
      <c r="EUO433" s="173"/>
      <c r="EUP433" s="173"/>
      <c r="EUQ433" s="173"/>
      <c r="EUR433" s="173"/>
      <c r="EUS433" s="173"/>
      <c r="EUT433" s="125"/>
      <c r="EUU433" s="125"/>
      <c r="EUV433" s="134"/>
      <c r="EUW433" s="135"/>
      <c r="EUX433" s="135"/>
      <c r="EUY433" s="135"/>
      <c r="EUZ433" s="135"/>
      <c r="EVA433" s="173"/>
      <c r="EVB433" s="173"/>
      <c r="EVC433" s="173"/>
      <c r="EVD433" s="173"/>
      <c r="EVE433" s="173"/>
      <c r="EVF433" s="173"/>
      <c r="EVG433" s="173"/>
      <c r="EVH433" s="173"/>
      <c r="EVI433" s="173"/>
      <c r="EVJ433" s="173"/>
      <c r="EVK433" s="125"/>
      <c r="EVL433" s="125"/>
      <c r="EVM433" s="134"/>
      <c r="EVN433" s="135"/>
      <c r="EVO433" s="135"/>
      <c r="EVP433" s="135"/>
      <c r="EVQ433" s="135"/>
      <c r="EVR433" s="173"/>
      <c r="EVS433" s="173"/>
      <c r="EVT433" s="173"/>
      <c r="EVU433" s="173"/>
      <c r="EVV433" s="173"/>
      <c r="EVW433" s="173"/>
      <c r="EVX433" s="173"/>
      <c r="EVY433" s="173"/>
      <c r="EVZ433" s="173"/>
      <c r="EWA433" s="173"/>
      <c r="EWB433" s="125"/>
      <c r="EWC433" s="125"/>
      <c r="EWD433" s="134"/>
      <c r="EWE433" s="135"/>
      <c r="EWF433" s="135"/>
      <c r="EWG433" s="135"/>
      <c r="EWH433" s="135"/>
      <c r="EWI433" s="173"/>
      <c r="EWJ433" s="173"/>
      <c r="EWK433" s="173"/>
      <c r="EWL433" s="173"/>
      <c r="EWM433" s="173"/>
      <c r="EWN433" s="173"/>
      <c r="EWO433" s="173"/>
      <c r="EWP433" s="173"/>
      <c r="EWQ433" s="173"/>
      <c r="EWR433" s="173"/>
      <c r="EWS433" s="125"/>
      <c r="EWT433" s="125"/>
      <c r="EWU433" s="134"/>
      <c r="EWV433" s="135"/>
      <c r="EWW433" s="135"/>
      <c r="EWX433" s="135"/>
      <c r="EWY433" s="135"/>
      <c r="EWZ433" s="173"/>
      <c r="EXA433" s="173"/>
      <c r="EXB433" s="173"/>
      <c r="EXC433" s="173"/>
      <c r="EXD433" s="173"/>
      <c r="EXE433" s="173"/>
      <c r="EXF433" s="173"/>
      <c r="EXG433" s="173"/>
      <c r="EXH433" s="173"/>
      <c r="EXI433" s="173"/>
      <c r="EXJ433" s="125"/>
      <c r="EXK433" s="125"/>
      <c r="EXL433" s="134"/>
      <c r="EXM433" s="135"/>
      <c r="EXN433" s="135"/>
      <c r="EXO433" s="135"/>
      <c r="EXP433" s="135"/>
      <c r="EXQ433" s="173"/>
      <c r="EXR433" s="173"/>
      <c r="EXS433" s="173"/>
      <c r="EXT433" s="173"/>
      <c r="EXU433" s="173"/>
      <c r="EXV433" s="173"/>
      <c r="EXW433" s="173"/>
      <c r="EXX433" s="173"/>
      <c r="EXY433" s="173"/>
      <c r="EXZ433" s="173"/>
      <c r="EYA433" s="125"/>
      <c r="EYB433" s="125"/>
      <c r="EYC433" s="134"/>
      <c r="EYD433" s="135"/>
      <c r="EYE433" s="135"/>
      <c r="EYF433" s="135"/>
      <c r="EYG433" s="135"/>
      <c r="EYH433" s="173"/>
      <c r="EYI433" s="173"/>
      <c r="EYJ433" s="173"/>
      <c r="EYK433" s="173"/>
      <c r="EYL433" s="173"/>
      <c r="EYM433" s="173"/>
      <c r="EYN433" s="173"/>
      <c r="EYO433" s="173"/>
      <c r="EYP433" s="173"/>
      <c r="EYQ433" s="173"/>
      <c r="EYR433" s="125"/>
      <c r="EYS433" s="125"/>
      <c r="EYT433" s="134"/>
      <c r="EYU433" s="135"/>
      <c r="EYV433" s="135"/>
      <c r="EYW433" s="135"/>
      <c r="EYX433" s="135"/>
      <c r="EYY433" s="173"/>
      <c r="EYZ433" s="173"/>
      <c r="EZA433" s="173"/>
      <c r="EZB433" s="173"/>
      <c r="EZC433" s="173"/>
      <c r="EZD433" s="173"/>
      <c r="EZE433" s="173"/>
      <c r="EZF433" s="173"/>
      <c r="EZG433" s="173"/>
      <c r="EZH433" s="173"/>
      <c r="EZI433" s="125"/>
      <c r="EZJ433" s="125"/>
      <c r="EZK433" s="134"/>
      <c r="EZL433" s="135"/>
      <c r="EZM433" s="135"/>
      <c r="EZN433" s="135"/>
      <c r="EZO433" s="135"/>
      <c r="EZP433" s="173"/>
      <c r="EZQ433" s="173"/>
      <c r="EZR433" s="173"/>
      <c r="EZS433" s="173"/>
      <c r="EZT433" s="173"/>
      <c r="EZU433" s="173"/>
      <c r="EZV433" s="173"/>
      <c r="EZW433" s="173"/>
      <c r="EZX433" s="173"/>
      <c r="EZY433" s="173"/>
      <c r="EZZ433" s="125"/>
      <c r="FAA433" s="125"/>
      <c r="FAB433" s="134"/>
      <c r="FAC433" s="135"/>
      <c r="FAD433" s="135"/>
      <c r="FAE433" s="135"/>
      <c r="FAF433" s="135"/>
      <c r="FAG433" s="173"/>
      <c r="FAH433" s="173"/>
      <c r="FAI433" s="173"/>
      <c r="FAJ433" s="173"/>
      <c r="FAK433" s="173"/>
      <c r="FAL433" s="173"/>
      <c r="FAM433" s="173"/>
      <c r="FAN433" s="173"/>
      <c r="FAO433" s="173"/>
      <c r="FAP433" s="173"/>
      <c r="FAQ433" s="125"/>
      <c r="FAR433" s="125"/>
      <c r="FAS433" s="134"/>
      <c r="FAT433" s="135"/>
      <c r="FAU433" s="135"/>
      <c r="FAV433" s="135"/>
      <c r="FAW433" s="135"/>
      <c r="FAX433" s="173"/>
      <c r="FAY433" s="173"/>
      <c r="FAZ433" s="173"/>
      <c r="FBA433" s="173"/>
      <c r="FBB433" s="173"/>
      <c r="FBC433" s="173"/>
      <c r="FBD433" s="173"/>
      <c r="FBE433" s="173"/>
      <c r="FBF433" s="173"/>
      <c r="FBG433" s="173"/>
      <c r="FBH433" s="125"/>
      <c r="FBI433" s="125"/>
      <c r="FBJ433" s="134"/>
      <c r="FBK433" s="135"/>
      <c r="FBL433" s="135"/>
      <c r="FBM433" s="135"/>
      <c r="FBN433" s="135"/>
      <c r="FBO433" s="173"/>
      <c r="FBP433" s="173"/>
      <c r="FBQ433" s="173"/>
      <c r="FBR433" s="173"/>
      <c r="FBS433" s="173"/>
      <c r="FBT433" s="173"/>
      <c r="FBU433" s="173"/>
      <c r="FBV433" s="173"/>
      <c r="FBW433" s="173"/>
      <c r="FBX433" s="173"/>
      <c r="FBY433" s="125"/>
      <c r="FBZ433" s="125"/>
      <c r="FCA433" s="134"/>
      <c r="FCB433" s="135"/>
      <c r="FCC433" s="135"/>
      <c r="FCD433" s="135"/>
      <c r="FCE433" s="135"/>
      <c r="FCF433" s="173"/>
      <c r="FCG433" s="173"/>
      <c r="FCH433" s="173"/>
      <c r="FCI433" s="173"/>
      <c r="FCJ433" s="173"/>
      <c r="FCK433" s="173"/>
      <c r="FCL433" s="173"/>
      <c r="FCM433" s="173"/>
      <c r="FCN433" s="173"/>
      <c r="FCO433" s="173"/>
      <c r="FCP433" s="125"/>
      <c r="FCQ433" s="125"/>
      <c r="FCR433" s="134"/>
      <c r="FCS433" s="135"/>
      <c r="FCT433" s="135"/>
      <c r="FCU433" s="135"/>
      <c r="FCV433" s="135"/>
      <c r="FCW433" s="173"/>
      <c r="FCX433" s="173"/>
      <c r="FCY433" s="173"/>
      <c r="FCZ433" s="173"/>
      <c r="FDA433" s="173"/>
      <c r="FDB433" s="173"/>
      <c r="FDC433" s="173"/>
      <c r="FDD433" s="173"/>
      <c r="FDE433" s="173"/>
      <c r="FDF433" s="173"/>
      <c r="FDG433" s="125"/>
      <c r="FDH433" s="125"/>
      <c r="FDI433" s="134"/>
      <c r="FDJ433" s="135"/>
      <c r="FDK433" s="135"/>
      <c r="FDL433" s="135"/>
      <c r="FDM433" s="135"/>
      <c r="FDN433" s="173"/>
      <c r="FDO433" s="173"/>
      <c r="FDP433" s="173"/>
      <c r="FDQ433" s="173"/>
      <c r="FDR433" s="173"/>
      <c r="FDS433" s="173"/>
      <c r="FDT433" s="173"/>
      <c r="FDU433" s="173"/>
      <c r="FDV433" s="173"/>
      <c r="FDW433" s="173"/>
      <c r="FDX433" s="125"/>
      <c r="FDY433" s="125"/>
      <c r="FDZ433" s="134"/>
      <c r="FEA433" s="135"/>
      <c r="FEB433" s="135"/>
      <c r="FEC433" s="135"/>
      <c r="FED433" s="135"/>
      <c r="FEE433" s="173"/>
      <c r="FEF433" s="173"/>
      <c r="FEG433" s="173"/>
      <c r="FEH433" s="173"/>
      <c r="FEI433" s="173"/>
      <c r="FEJ433" s="173"/>
      <c r="FEK433" s="173"/>
      <c r="FEL433" s="173"/>
      <c r="FEM433" s="173"/>
      <c r="FEN433" s="173"/>
      <c r="FEO433" s="125"/>
      <c r="FEP433" s="125"/>
      <c r="FEQ433" s="134"/>
      <c r="FER433" s="135"/>
      <c r="FES433" s="135"/>
      <c r="FET433" s="135"/>
      <c r="FEU433" s="135"/>
      <c r="FEV433" s="173"/>
      <c r="FEW433" s="173"/>
      <c r="FEX433" s="173"/>
      <c r="FEY433" s="173"/>
      <c r="FEZ433" s="173"/>
      <c r="FFA433" s="173"/>
      <c r="FFB433" s="173"/>
      <c r="FFC433" s="173"/>
      <c r="FFD433" s="173"/>
      <c r="FFE433" s="173"/>
      <c r="FFF433" s="125"/>
      <c r="FFG433" s="125"/>
      <c r="FFH433" s="134"/>
      <c r="FFI433" s="135"/>
      <c r="FFJ433" s="135"/>
      <c r="FFK433" s="135"/>
      <c r="FFL433" s="135"/>
      <c r="FFM433" s="173"/>
      <c r="FFN433" s="173"/>
      <c r="FFO433" s="173"/>
      <c r="FFP433" s="173"/>
      <c r="FFQ433" s="173"/>
      <c r="FFR433" s="173"/>
      <c r="FFS433" s="173"/>
      <c r="FFT433" s="173"/>
      <c r="FFU433" s="173"/>
      <c r="FFV433" s="173"/>
      <c r="FFW433" s="125"/>
      <c r="FFX433" s="125"/>
      <c r="FFY433" s="134"/>
      <c r="FFZ433" s="135"/>
      <c r="FGA433" s="135"/>
      <c r="FGB433" s="135"/>
      <c r="FGC433" s="135"/>
      <c r="FGD433" s="173"/>
      <c r="FGE433" s="173"/>
      <c r="FGF433" s="173"/>
      <c r="FGG433" s="173"/>
      <c r="FGH433" s="173"/>
      <c r="FGI433" s="173"/>
      <c r="FGJ433" s="173"/>
      <c r="FGK433" s="173"/>
      <c r="FGL433" s="173"/>
      <c r="FGM433" s="173"/>
      <c r="FGN433" s="125"/>
      <c r="FGO433" s="125"/>
      <c r="FGP433" s="134"/>
      <c r="FGQ433" s="135"/>
      <c r="FGR433" s="135"/>
      <c r="FGS433" s="135"/>
      <c r="FGT433" s="135"/>
      <c r="FGU433" s="173"/>
      <c r="FGV433" s="173"/>
      <c r="FGW433" s="173"/>
      <c r="FGX433" s="173"/>
      <c r="FGY433" s="173"/>
      <c r="FGZ433" s="173"/>
      <c r="FHA433" s="173"/>
      <c r="FHB433" s="173"/>
      <c r="FHC433" s="173"/>
      <c r="FHD433" s="173"/>
      <c r="FHE433" s="125"/>
      <c r="FHF433" s="125"/>
      <c r="FHG433" s="134"/>
      <c r="FHH433" s="135"/>
      <c r="FHI433" s="135"/>
      <c r="FHJ433" s="135"/>
      <c r="FHK433" s="135"/>
      <c r="FHL433" s="173"/>
      <c r="FHM433" s="173"/>
      <c r="FHN433" s="173"/>
      <c r="FHO433" s="173"/>
      <c r="FHP433" s="173"/>
      <c r="FHQ433" s="173"/>
      <c r="FHR433" s="173"/>
      <c r="FHS433" s="173"/>
      <c r="FHT433" s="173"/>
      <c r="FHU433" s="173"/>
      <c r="FHV433" s="125"/>
      <c r="FHW433" s="125"/>
      <c r="FHX433" s="134"/>
      <c r="FHY433" s="135"/>
      <c r="FHZ433" s="135"/>
      <c r="FIA433" s="135"/>
      <c r="FIB433" s="135"/>
      <c r="FIC433" s="173"/>
      <c r="FID433" s="173"/>
      <c r="FIE433" s="173"/>
      <c r="FIF433" s="173"/>
      <c r="FIG433" s="173"/>
      <c r="FIH433" s="173"/>
      <c r="FII433" s="173"/>
      <c r="FIJ433" s="173"/>
      <c r="FIK433" s="173"/>
      <c r="FIL433" s="173"/>
      <c r="FIM433" s="125"/>
      <c r="FIN433" s="125"/>
      <c r="FIO433" s="134"/>
      <c r="FIP433" s="135"/>
      <c r="FIQ433" s="135"/>
      <c r="FIR433" s="135"/>
      <c r="FIS433" s="135"/>
      <c r="FIT433" s="173"/>
      <c r="FIU433" s="173"/>
      <c r="FIV433" s="173"/>
      <c r="FIW433" s="173"/>
      <c r="FIX433" s="173"/>
      <c r="FIY433" s="173"/>
      <c r="FIZ433" s="173"/>
      <c r="FJA433" s="173"/>
      <c r="FJB433" s="173"/>
      <c r="FJC433" s="173"/>
      <c r="FJD433" s="125"/>
      <c r="FJE433" s="125"/>
      <c r="FJF433" s="134"/>
      <c r="FJG433" s="135"/>
      <c r="FJH433" s="135"/>
      <c r="FJI433" s="135"/>
      <c r="FJJ433" s="135"/>
      <c r="FJK433" s="173"/>
      <c r="FJL433" s="173"/>
      <c r="FJM433" s="173"/>
      <c r="FJN433" s="173"/>
      <c r="FJO433" s="173"/>
      <c r="FJP433" s="173"/>
      <c r="FJQ433" s="173"/>
      <c r="FJR433" s="173"/>
      <c r="FJS433" s="173"/>
      <c r="FJT433" s="173"/>
      <c r="FJU433" s="125"/>
      <c r="FJV433" s="125"/>
      <c r="FJW433" s="134"/>
      <c r="FJX433" s="135"/>
      <c r="FJY433" s="135"/>
      <c r="FJZ433" s="135"/>
      <c r="FKA433" s="135"/>
      <c r="FKB433" s="173"/>
      <c r="FKC433" s="173"/>
      <c r="FKD433" s="173"/>
      <c r="FKE433" s="173"/>
      <c r="FKF433" s="173"/>
      <c r="FKG433" s="173"/>
      <c r="FKH433" s="173"/>
      <c r="FKI433" s="173"/>
      <c r="FKJ433" s="173"/>
      <c r="FKK433" s="173"/>
      <c r="FKL433" s="125"/>
      <c r="FKM433" s="125"/>
      <c r="FKN433" s="134"/>
      <c r="FKO433" s="135"/>
      <c r="FKP433" s="135"/>
      <c r="FKQ433" s="135"/>
      <c r="FKR433" s="135"/>
      <c r="FKS433" s="173"/>
      <c r="FKT433" s="173"/>
      <c r="FKU433" s="173"/>
      <c r="FKV433" s="173"/>
      <c r="FKW433" s="173"/>
      <c r="FKX433" s="173"/>
      <c r="FKY433" s="173"/>
      <c r="FKZ433" s="173"/>
      <c r="FLA433" s="173"/>
      <c r="FLB433" s="173"/>
      <c r="FLC433" s="125"/>
      <c r="FLD433" s="125"/>
      <c r="FLE433" s="134"/>
      <c r="FLF433" s="135"/>
      <c r="FLG433" s="135"/>
      <c r="FLH433" s="135"/>
      <c r="FLI433" s="135"/>
      <c r="FLJ433" s="173"/>
      <c r="FLK433" s="173"/>
      <c r="FLL433" s="173"/>
      <c r="FLM433" s="173"/>
      <c r="FLN433" s="173"/>
      <c r="FLO433" s="173"/>
      <c r="FLP433" s="173"/>
      <c r="FLQ433" s="173"/>
      <c r="FLR433" s="173"/>
      <c r="FLS433" s="173"/>
      <c r="FLT433" s="125"/>
      <c r="FLU433" s="125"/>
      <c r="FLV433" s="134"/>
      <c r="FLW433" s="135"/>
      <c r="FLX433" s="135"/>
      <c r="FLY433" s="135"/>
      <c r="FLZ433" s="135"/>
      <c r="FMA433" s="173"/>
      <c r="FMB433" s="173"/>
      <c r="FMC433" s="173"/>
      <c r="FMD433" s="173"/>
      <c r="FME433" s="173"/>
      <c r="FMF433" s="173"/>
      <c r="FMG433" s="173"/>
      <c r="FMH433" s="173"/>
      <c r="FMI433" s="173"/>
      <c r="FMJ433" s="173"/>
      <c r="FMK433" s="125"/>
      <c r="FML433" s="125"/>
      <c r="FMM433" s="134"/>
      <c r="FMN433" s="135"/>
      <c r="FMO433" s="135"/>
      <c r="FMP433" s="135"/>
      <c r="FMQ433" s="135"/>
      <c r="FMR433" s="173"/>
      <c r="FMS433" s="173"/>
      <c r="FMT433" s="173"/>
      <c r="FMU433" s="173"/>
      <c r="FMV433" s="173"/>
      <c r="FMW433" s="173"/>
      <c r="FMX433" s="173"/>
      <c r="FMY433" s="173"/>
      <c r="FMZ433" s="173"/>
      <c r="FNA433" s="173"/>
      <c r="FNB433" s="125"/>
      <c r="FNC433" s="125"/>
      <c r="FND433" s="134"/>
      <c r="FNE433" s="135"/>
      <c r="FNF433" s="135"/>
      <c r="FNG433" s="135"/>
      <c r="FNH433" s="135"/>
      <c r="FNI433" s="173"/>
      <c r="FNJ433" s="173"/>
      <c r="FNK433" s="173"/>
      <c r="FNL433" s="173"/>
      <c r="FNM433" s="173"/>
      <c r="FNN433" s="173"/>
      <c r="FNO433" s="173"/>
      <c r="FNP433" s="173"/>
      <c r="FNQ433" s="173"/>
      <c r="FNR433" s="173"/>
      <c r="FNS433" s="125"/>
      <c r="FNT433" s="125"/>
      <c r="FNU433" s="134"/>
      <c r="FNV433" s="135"/>
      <c r="FNW433" s="135"/>
      <c r="FNX433" s="135"/>
      <c r="FNY433" s="135"/>
      <c r="FNZ433" s="173"/>
      <c r="FOA433" s="173"/>
      <c r="FOB433" s="173"/>
      <c r="FOC433" s="173"/>
      <c r="FOD433" s="173"/>
      <c r="FOE433" s="173"/>
      <c r="FOF433" s="173"/>
      <c r="FOG433" s="173"/>
      <c r="FOH433" s="173"/>
      <c r="FOI433" s="173"/>
      <c r="FOJ433" s="125"/>
      <c r="FOK433" s="125"/>
      <c r="FOL433" s="134"/>
      <c r="FOM433" s="135"/>
      <c r="FON433" s="135"/>
      <c r="FOO433" s="135"/>
      <c r="FOP433" s="135"/>
      <c r="FOQ433" s="173"/>
      <c r="FOR433" s="173"/>
      <c r="FOS433" s="173"/>
      <c r="FOT433" s="173"/>
      <c r="FOU433" s="173"/>
      <c r="FOV433" s="173"/>
      <c r="FOW433" s="173"/>
      <c r="FOX433" s="173"/>
      <c r="FOY433" s="173"/>
      <c r="FOZ433" s="173"/>
      <c r="FPA433" s="125"/>
      <c r="FPB433" s="125"/>
      <c r="FPC433" s="134"/>
      <c r="FPD433" s="135"/>
      <c r="FPE433" s="135"/>
      <c r="FPF433" s="135"/>
      <c r="FPG433" s="135"/>
      <c r="FPH433" s="173"/>
      <c r="FPI433" s="173"/>
      <c r="FPJ433" s="173"/>
      <c r="FPK433" s="173"/>
      <c r="FPL433" s="173"/>
      <c r="FPM433" s="173"/>
      <c r="FPN433" s="173"/>
      <c r="FPO433" s="173"/>
      <c r="FPP433" s="173"/>
      <c r="FPQ433" s="173"/>
      <c r="FPR433" s="125"/>
      <c r="FPS433" s="125"/>
      <c r="FPT433" s="134"/>
      <c r="FPU433" s="135"/>
      <c r="FPV433" s="135"/>
      <c r="FPW433" s="135"/>
      <c r="FPX433" s="135"/>
      <c r="FPY433" s="173"/>
      <c r="FPZ433" s="173"/>
      <c r="FQA433" s="173"/>
      <c r="FQB433" s="173"/>
      <c r="FQC433" s="173"/>
      <c r="FQD433" s="173"/>
      <c r="FQE433" s="173"/>
      <c r="FQF433" s="173"/>
      <c r="FQG433" s="173"/>
      <c r="FQH433" s="173"/>
      <c r="FQI433" s="125"/>
      <c r="FQJ433" s="125"/>
      <c r="FQK433" s="134"/>
      <c r="FQL433" s="135"/>
      <c r="FQM433" s="135"/>
      <c r="FQN433" s="135"/>
      <c r="FQO433" s="135"/>
      <c r="FQP433" s="173"/>
      <c r="FQQ433" s="173"/>
      <c r="FQR433" s="173"/>
      <c r="FQS433" s="173"/>
      <c r="FQT433" s="173"/>
      <c r="FQU433" s="173"/>
      <c r="FQV433" s="173"/>
      <c r="FQW433" s="173"/>
      <c r="FQX433" s="173"/>
      <c r="FQY433" s="173"/>
      <c r="FQZ433" s="125"/>
      <c r="FRA433" s="125"/>
      <c r="FRB433" s="134"/>
      <c r="FRC433" s="135"/>
      <c r="FRD433" s="135"/>
      <c r="FRE433" s="135"/>
      <c r="FRF433" s="135"/>
      <c r="FRG433" s="173"/>
      <c r="FRH433" s="173"/>
      <c r="FRI433" s="173"/>
      <c r="FRJ433" s="173"/>
      <c r="FRK433" s="173"/>
      <c r="FRL433" s="173"/>
      <c r="FRM433" s="173"/>
      <c r="FRN433" s="173"/>
      <c r="FRO433" s="173"/>
      <c r="FRP433" s="173"/>
      <c r="FRQ433" s="125"/>
      <c r="FRR433" s="125"/>
      <c r="FRS433" s="134"/>
      <c r="FRT433" s="135"/>
      <c r="FRU433" s="135"/>
      <c r="FRV433" s="135"/>
      <c r="FRW433" s="135"/>
      <c r="FRX433" s="173"/>
      <c r="FRY433" s="173"/>
      <c r="FRZ433" s="173"/>
      <c r="FSA433" s="173"/>
      <c r="FSB433" s="173"/>
      <c r="FSC433" s="173"/>
      <c r="FSD433" s="173"/>
      <c r="FSE433" s="173"/>
      <c r="FSF433" s="173"/>
      <c r="FSG433" s="173"/>
      <c r="FSH433" s="125"/>
      <c r="FSI433" s="125"/>
      <c r="FSJ433" s="134"/>
      <c r="FSK433" s="135"/>
      <c r="FSL433" s="135"/>
      <c r="FSM433" s="135"/>
      <c r="FSN433" s="135"/>
      <c r="FSO433" s="173"/>
      <c r="FSP433" s="173"/>
      <c r="FSQ433" s="173"/>
      <c r="FSR433" s="173"/>
      <c r="FSS433" s="173"/>
      <c r="FST433" s="173"/>
      <c r="FSU433" s="173"/>
      <c r="FSV433" s="173"/>
      <c r="FSW433" s="173"/>
      <c r="FSX433" s="173"/>
      <c r="FSY433" s="125"/>
      <c r="FSZ433" s="125"/>
      <c r="FTA433" s="134"/>
      <c r="FTB433" s="135"/>
      <c r="FTC433" s="135"/>
      <c r="FTD433" s="135"/>
      <c r="FTE433" s="135"/>
      <c r="FTF433" s="173"/>
      <c r="FTG433" s="173"/>
      <c r="FTH433" s="173"/>
      <c r="FTI433" s="173"/>
      <c r="FTJ433" s="173"/>
      <c r="FTK433" s="173"/>
      <c r="FTL433" s="173"/>
      <c r="FTM433" s="173"/>
      <c r="FTN433" s="173"/>
      <c r="FTO433" s="173"/>
      <c r="FTP433" s="125"/>
      <c r="FTQ433" s="125"/>
      <c r="FTR433" s="134"/>
      <c r="FTS433" s="135"/>
      <c r="FTT433" s="135"/>
      <c r="FTU433" s="135"/>
      <c r="FTV433" s="135"/>
      <c r="FTW433" s="173"/>
      <c r="FTX433" s="173"/>
      <c r="FTY433" s="173"/>
      <c r="FTZ433" s="173"/>
      <c r="FUA433" s="173"/>
      <c r="FUB433" s="173"/>
      <c r="FUC433" s="173"/>
      <c r="FUD433" s="173"/>
      <c r="FUE433" s="173"/>
      <c r="FUF433" s="173"/>
      <c r="FUG433" s="125"/>
      <c r="FUH433" s="125"/>
      <c r="FUI433" s="134"/>
      <c r="FUJ433" s="135"/>
      <c r="FUK433" s="135"/>
      <c r="FUL433" s="135"/>
      <c r="FUM433" s="135"/>
      <c r="FUN433" s="173"/>
      <c r="FUO433" s="173"/>
      <c r="FUP433" s="173"/>
      <c r="FUQ433" s="173"/>
      <c r="FUR433" s="173"/>
      <c r="FUS433" s="173"/>
      <c r="FUT433" s="173"/>
      <c r="FUU433" s="173"/>
      <c r="FUV433" s="173"/>
      <c r="FUW433" s="173"/>
      <c r="FUX433" s="125"/>
      <c r="FUY433" s="125"/>
      <c r="FUZ433" s="134"/>
      <c r="FVA433" s="135"/>
      <c r="FVB433" s="135"/>
      <c r="FVC433" s="135"/>
      <c r="FVD433" s="135"/>
      <c r="FVE433" s="173"/>
      <c r="FVF433" s="173"/>
      <c r="FVG433" s="173"/>
      <c r="FVH433" s="173"/>
      <c r="FVI433" s="173"/>
      <c r="FVJ433" s="173"/>
      <c r="FVK433" s="173"/>
      <c r="FVL433" s="173"/>
      <c r="FVM433" s="173"/>
      <c r="FVN433" s="173"/>
      <c r="FVO433" s="125"/>
      <c r="FVP433" s="125"/>
      <c r="FVQ433" s="134"/>
      <c r="FVR433" s="135"/>
      <c r="FVS433" s="135"/>
      <c r="FVT433" s="135"/>
      <c r="FVU433" s="135"/>
      <c r="FVV433" s="173"/>
      <c r="FVW433" s="173"/>
      <c r="FVX433" s="173"/>
      <c r="FVY433" s="173"/>
      <c r="FVZ433" s="173"/>
      <c r="FWA433" s="173"/>
      <c r="FWB433" s="173"/>
      <c r="FWC433" s="173"/>
      <c r="FWD433" s="173"/>
      <c r="FWE433" s="173"/>
      <c r="FWF433" s="125"/>
      <c r="FWG433" s="125"/>
      <c r="FWH433" s="134"/>
      <c r="FWI433" s="135"/>
      <c r="FWJ433" s="135"/>
      <c r="FWK433" s="135"/>
      <c r="FWL433" s="135"/>
      <c r="FWM433" s="173"/>
      <c r="FWN433" s="173"/>
      <c r="FWO433" s="173"/>
      <c r="FWP433" s="173"/>
      <c r="FWQ433" s="173"/>
      <c r="FWR433" s="173"/>
      <c r="FWS433" s="173"/>
      <c r="FWT433" s="173"/>
      <c r="FWU433" s="173"/>
      <c r="FWV433" s="173"/>
      <c r="FWW433" s="125"/>
      <c r="FWX433" s="125"/>
      <c r="FWY433" s="134"/>
      <c r="FWZ433" s="135"/>
      <c r="FXA433" s="135"/>
      <c r="FXB433" s="135"/>
      <c r="FXC433" s="135"/>
      <c r="FXD433" s="173"/>
      <c r="FXE433" s="173"/>
      <c r="FXF433" s="173"/>
      <c r="FXG433" s="173"/>
      <c r="FXH433" s="173"/>
      <c r="FXI433" s="173"/>
      <c r="FXJ433" s="173"/>
      <c r="FXK433" s="173"/>
      <c r="FXL433" s="173"/>
      <c r="FXM433" s="173"/>
      <c r="FXN433" s="125"/>
      <c r="FXO433" s="125"/>
      <c r="FXP433" s="134"/>
      <c r="FXQ433" s="135"/>
      <c r="FXR433" s="135"/>
      <c r="FXS433" s="135"/>
      <c r="FXT433" s="135"/>
      <c r="FXU433" s="173"/>
      <c r="FXV433" s="173"/>
      <c r="FXW433" s="173"/>
      <c r="FXX433" s="173"/>
      <c r="FXY433" s="173"/>
      <c r="FXZ433" s="173"/>
      <c r="FYA433" s="173"/>
      <c r="FYB433" s="173"/>
      <c r="FYC433" s="173"/>
      <c r="FYD433" s="173"/>
      <c r="FYE433" s="125"/>
      <c r="FYF433" s="125"/>
      <c r="FYG433" s="134"/>
      <c r="FYH433" s="135"/>
      <c r="FYI433" s="135"/>
      <c r="FYJ433" s="135"/>
      <c r="FYK433" s="135"/>
      <c r="FYL433" s="173"/>
      <c r="FYM433" s="173"/>
      <c r="FYN433" s="173"/>
      <c r="FYO433" s="173"/>
      <c r="FYP433" s="173"/>
      <c r="FYQ433" s="173"/>
      <c r="FYR433" s="173"/>
      <c r="FYS433" s="173"/>
      <c r="FYT433" s="173"/>
      <c r="FYU433" s="173"/>
      <c r="FYV433" s="125"/>
      <c r="FYW433" s="125"/>
      <c r="FYX433" s="134"/>
      <c r="FYY433" s="135"/>
      <c r="FYZ433" s="135"/>
      <c r="FZA433" s="135"/>
      <c r="FZB433" s="135"/>
      <c r="FZC433" s="173"/>
      <c r="FZD433" s="173"/>
      <c r="FZE433" s="173"/>
      <c r="FZF433" s="173"/>
      <c r="FZG433" s="173"/>
      <c r="FZH433" s="173"/>
      <c r="FZI433" s="173"/>
      <c r="FZJ433" s="173"/>
      <c r="FZK433" s="173"/>
      <c r="FZL433" s="173"/>
      <c r="FZM433" s="125"/>
      <c r="FZN433" s="125"/>
      <c r="FZO433" s="134"/>
      <c r="FZP433" s="135"/>
      <c r="FZQ433" s="135"/>
      <c r="FZR433" s="135"/>
      <c r="FZS433" s="135"/>
      <c r="FZT433" s="173"/>
      <c r="FZU433" s="173"/>
      <c r="FZV433" s="173"/>
      <c r="FZW433" s="173"/>
      <c r="FZX433" s="173"/>
      <c r="FZY433" s="173"/>
      <c r="FZZ433" s="173"/>
      <c r="GAA433" s="173"/>
      <c r="GAB433" s="173"/>
      <c r="GAC433" s="173"/>
      <c r="GAD433" s="125"/>
      <c r="GAE433" s="125"/>
      <c r="GAF433" s="134"/>
      <c r="GAG433" s="135"/>
      <c r="GAH433" s="135"/>
      <c r="GAI433" s="135"/>
      <c r="GAJ433" s="135"/>
      <c r="GAK433" s="173"/>
      <c r="GAL433" s="173"/>
      <c r="GAM433" s="173"/>
      <c r="GAN433" s="173"/>
      <c r="GAO433" s="173"/>
      <c r="GAP433" s="173"/>
      <c r="GAQ433" s="173"/>
      <c r="GAR433" s="173"/>
      <c r="GAS433" s="173"/>
      <c r="GAT433" s="173"/>
      <c r="GAU433" s="125"/>
      <c r="GAV433" s="125"/>
      <c r="GAW433" s="134"/>
      <c r="GAX433" s="135"/>
      <c r="GAY433" s="135"/>
      <c r="GAZ433" s="135"/>
      <c r="GBA433" s="135"/>
      <c r="GBB433" s="173"/>
      <c r="GBC433" s="173"/>
      <c r="GBD433" s="173"/>
      <c r="GBE433" s="173"/>
      <c r="GBF433" s="173"/>
      <c r="GBG433" s="173"/>
      <c r="GBH433" s="173"/>
      <c r="GBI433" s="173"/>
      <c r="GBJ433" s="173"/>
      <c r="GBK433" s="173"/>
      <c r="GBL433" s="125"/>
      <c r="GBM433" s="125"/>
      <c r="GBN433" s="134"/>
      <c r="GBO433" s="135"/>
      <c r="GBP433" s="135"/>
      <c r="GBQ433" s="135"/>
      <c r="GBR433" s="135"/>
      <c r="GBS433" s="173"/>
      <c r="GBT433" s="173"/>
      <c r="GBU433" s="173"/>
      <c r="GBV433" s="173"/>
      <c r="GBW433" s="173"/>
      <c r="GBX433" s="173"/>
      <c r="GBY433" s="173"/>
      <c r="GBZ433" s="173"/>
      <c r="GCA433" s="173"/>
      <c r="GCB433" s="173"/>
      <c r="GCC433" s="125"/>
      <c r="GCD433" s="125"/>
      <c r="GCE433" s="134"/>
      <c r="GCF433" s="135"/>
      <c r="GCG433" s="135"/>
      <c r="GCH433" s="135"/>
      <c r="GCI433" s="135"/>
      <c r="GCJ433" s="173"/>
      <c r="GCK433" s="173"/>
      <c r="GCL433" s="173"/>
      <c r="GCM433" s="173"/>
      <c r="GCN433" s="173"/>
      <c r="GCO433" s="173"/>
      <c r="GCP433" s="173"/>
      <c r="GCQ433" s="173"/>
      <c r="GCR433" s="173"/>
      <c r="GCS433" s="173"/>
      <c r="GCT433" s="125"/>
      <c r="GCU433" s="125"/>
      <c r="GCV433" s="134"/>
      <c r="GCW433" s="135"/>
      <c r="GCX433" s="135"/>
      <c r="GCY433" s="135"/>
      <c r="GCZ433" s="135"/>
      <c r="GDA433" s="173"/>
      <c r="GDB433" s="173"/>
      <c r="GDC433" s="173"/>
      <c r="GDD433" s="173"/>
      <c r="GDE433" s="173"/>
      <c r="GDF433" s="173"/>
      <c r="GDG433" s="173"/>
      <c r="GDH433" s="173"/>
      <c r="GDI433" s="173"/>
      <c r="GDJ433" s="173"/>
      <c r="GDK433" s="125"/>
      <c r="GDL433" s="125"/>
      <c r="GDM433" s="134"/>
      <c r="GDN433" s="135"/>
      <c r="GDO433" s="135"/>
      <c r="GDP433" s="135"/>
      <c r="GDQ433" s="135"/>
      <c r="GDR433" s="173"/>
      <c r="GDS433" s="173"/>
      <c r="GDT433" s="173"/>
      <c r="GDU433" s="173"/>
      <c r="GDV433" s="173"/>
      <c r="GDW433" s="173"/>
      <c r="GDX433" s="173"/>
      <c r="GDY433" s="173"/>
      <c r="GDZ433" s="173"/>
      <c r="GEA433" s="173"/>
      <c r="GEB433" s="125"/>
      <c r="GEC433" s="125"/>
      <c r="GED433" s="134"/>
      <c r="GEE433" s="135"/>
      <c r="GEF433" s="135"/>
      <c r="GEG433" s="135"/>
      <c r="GEH433" s="135"/>
      <c r="GEI433" s="173"/>
      <c r="GEJ433" s="173"/>
      <c r="GEK433" s="173"/>
      <c r="GEL433" s="173"/>
      <c r="GEM433" s="173"/>
      <c r="GEN433" s="173"/>
      <c r="GEO433" s="173"/>
      <c r="GEP433" s="173"/>
      <c r="GEQ433" s="173"/>
      <c r="GER433" s="173"/>
      <c r="GES433" s="125"/>
      <c r="GET433" s="125"/>
      <c r="GEU433" s="134"/>
      <c r="GEV433" s="135"/>
      <c r="GEW433" s="135"/>
      <c r="GEX433" s="135"/>
      <c r="GEY433" s="135"/>
      <c r="GEZ433" s="173"/>
      <c r="GFA433" s="173"/>
      <c r="GFB433" s="173"/>
      <c r="GFC433" s="173"/>
      <c r="GFD433" s="173"/>
      <c r="GFE433" s="173"/>
      <c r="GFF433" s="173"/>
      <c r="GFG433" s="173"/>
      <c r="GFH433" s="173"/>
      <c r="GFI433" s="173"/>
      <c r="GFJ433" s="125"/>
      <c r="GFK433" s="125"/>
      <c r="GFL433" s="134"/>
      <c r="GFM433" s="135"/>
      <c r="GFN433" s="135"/>
      <c r="GFO433" s="135"/>
      <c r="GFP433" s="135"/>
      <c r="GFQ433" s="173"/>
      <c r="GFR433" s="173"/>
      <c r="GFS433" s="173"/>
      <c r="GFT433" s="173"/>
      <c r="GFU433" s="173"/>
      <c r="GFV433" s="173"/>
      <c r="GFW433" s="173"/>
      <c r="GFX433" s="173"/>
      <c r="GFY433" s="173"/>
      <c r="GFZ433" s="173"/>
      <c r="GGA433" s="125"/>
      <c r="GGB433" s="125"/>
      <c r="GGC433" s="134"/>
      <c r="GGD433" s="135"/>
      <c r="GGE433" s="135"/>
      <c r="GGF433" s="135"/>
      <c r="GGG433" s="135"/>
      <c r="GGH433" s="173"/>
      <c r="GGI433" s="173"/>
      <c r="GGJ433" s="173"/>
      <c r="GGK433" s="173"/>
      <c r="GGL433" s="173"/>
      <c r="GGM433" s="173"/>
      <c r="GGN433" s="173"/>
      <c r="GGO433" s="173"/>
      <c r="GGP433" s="173"/>
      <c r="GGQ433" s="173"/>
      <c r="GGR433" s="125"/>
      <c r="GGS433" s="125"/>
      <c r="GGT433" s="134"/>
      <c r="GGU433" s="135"/>
      <c r="GGV433" s="135"/>
      <c r="GGW433" s="135"/>
      <c r="GGX433" s="135"/>
      <c r="GGY433" s="173"/>
      <c r="GGZ433" s="173"/>
      <c r="GHA433" s="173"/>
      <c r="GHB433" s="173"/>
      <c r="GHC433" s="173"/>
      <c r="GHD433" s="173"/>
      <c r="GHE433" s="173"/>
      <c r="GHF433" s="173"/>
      <c r="GHG433" s="173"/>
      <c r="GHH433" s="173"/>
      <c r="GHI433" s="125"/>
      <c r="GHJ433" s="125"/>
      <c r="GHK433" s="134"/>
      <c r="GHL433" s="135"/>
      <c r="GHM433" s="135"/>
      <c r="GHN433" s="135"/>
      <c r="GHO433" s="135"/>
      <c r="GHP433" s="173"/>
      <c r="GHQ433" s="173"/>
      <c r="GHR433" s="173"/>
      <c r="GHS433" s="173"/>
      <c r="GHT433" s="173"/>
      <c r="GHU433" s="173"/>
      <c r="GHV433" s="173"/>
      <c r="GHW433" s="173"/>
      <c r="GHX433" s="173"/>
      <c r="GHY433" s="173"/>
      <c r="GHZ433" s="125"/>
      <c r="GIA433" s="125"/>
      <c r="GIB433" s="134"/>
      <c r="GIC433" s="135"/>
      <c r="GID433" s="135"/>
      <c r="GIE433" s="135"/>
      <c r="GIF433" s="135"/>
      <c r="GIG433" s="173"/>
      <c r="GIH433" s="173"/>
      <c r="GII433" s="173"/>
      <c r="GIJ433" s="173"/>
      <c r="GIK433" s="173"/>
      <c r="GIL433" s="173"/>
      <c r="GIM433" s="173"/>
      <c r="GIN433" s="173"/>
      <c r="GIO433" s="173"/>
      <c r="GIP433" s="173"/>
      <c r="GIQ433" s="125"/>
      <c r="GIR433" s="125"/>
      <c r="GIS433" s="134"/>
      <c r="GIT433" s="135"/>
      <c r="GIU433" s="135"/>
      <c r="GIV433" s="135"/>
      <c r="GIW433" s="135"/>
      <c r="GIX433" s="173"/>
      <c r="GIY433" s="173"/>
      <c r="GIZ433" s="173"/>
      <c r="GJA433" s="173"/>
      <c r="GJB433" s="173"/>
      <c r="GJC433" s="173"/>
      <c r="GJD433" s="173"/>
      <c r="GJE433" s="173"/>
      <c r="GJF433" s="173"/>
      <c r="GJG433" s="173"/>
      <c r="GJH433" s="125"/>
      <c r="GJI433" s="125"/>
      <c r="GJJ433" s="134"/>
      <c r="GJK433" s="135"/>
      <c r="GJL433" s="135"/>
      <c r="GJM433" s="135"/>
      <c r="GJN433" s="135"/>
      <c r="GJO433" s="173"/>
      <c r="GJP433" s="173"/>
      <c r="GJQ433" s="173"/>
      <c r="GJR433" s="173"/>
      <c r="GJS433" s="173"/>
      <c r="GJT433" s="173"/>
      <c r="GJU433" s="173"/>
      <c r="GJV433" s="173"/>
      <c r="GJW433" s="173"/>
      <c r="GJX433" s="173"/>
      <c r="GJY433" s="125"/>
      <c r="GJZ433" s="125"/>
      <c r="GKA433" s="134"/>
      <c r="GKB433" s="135"/>
      <c r="GKC433" s="135"/>
      <c r="GKD433" s="135"/>
      <c r="GKE433" s="135"/>
      <c r="GKF433" s="173"/>
      <c r="GKG433" s="173"/>
      <c r="GKH433" s="173"/>
      <c r="GKI433" s="173"/>
      <c r="GKJ433" s="173"/>
      <c r="GKK433" s="173"/>
      <c r="GKL433" s="173"/>
      <c r="GKM433" s="173"/>
      <c r="GKN433" s="173"/>
      <c r="GKO433" s="173"/>
      <c r="GKP433" s="125"/>
      <c r="GKQ433" s="125"/>
      <c r="GKR433" s="134"/>
      <c r="GKS433" s="135"/>
      <c r="GKT433" s="135"/>
      <c r="GKU433" s="135"/>
      <c r="GKV433" s="135"/>
      <c r="GKW433" s="173"/>
      <c r="GKX433" s="173"/>
      <c r="GKY433" s="173"/>
      <c r="GKZ433" s="173"/>
      <c r="GLA433" s="173"/>
      <c r="GLB433" s="173"/>
      <c r="GLC433" s="173"/>
      <c r="GLD433" s="173"/>
      <c r="GLE433" s="173"/>
      <c r="GLF433" s="173"/>
      <c r="GLG433" s="125"/>
      <c r="GLH433" s="125"/>
      <c r="GLI433" s="134"/>
      <c r="GLJ433" s="135"/>
      <c r="GLK433" s="135"/>
      <c r="GLL433" s="135"/>
      <c r="GLM433" s="135"/>
      <c r="GLN433" s="173"/>
      <c r="GLO433" s="173"/>
      <c r="GLP433" s="173"/>
      <c r="GLQ433" s="173"/>
      <c r="GLR433" s="173"/>
      <c r="GLS433" s="173"/>
      <c r="GLT433" s="173"/>
      <c r="GLU433" s="173"/>
      <c r="GLV433" s="173"/>
      <c r="GLW433" s="173"/>
      <c r="GLX433" s="125"/>
      <c r="GLY433" s="125"/>
      <c r="GLZ433" s="134"/>
      <c r="GMA433" s="135"/>
      <c r="GMB433" s="135"/>
      <c r="GMC433" s="135"/>
      <c r="GMD433" s="135"/>
      <c r="GME433" s="173"/>
      <c r="GMF433" s="173"/>
      <c r="GMG433" s="173"/>
      <c r="GMH433" s="173"/>
      <c r="GMI433" s="173"/>
      <c r="GMJ433" s="173"/>
      <c r="GMK433" s="173"/>
      <c r="GML433" s="173"/>
      <c r="GMM433" s="173"/>
      <c r="GMN433" s="173"/>
      <c r="GMO433" s="125"/>
      <c r="GMP433" s="125"/>
      <c r="GMQ433" s="134"/>
      <c r="GMR433" s="135"/>
      <c r="GMS433" s="135"/>
      <c r="GMT433" s="135"/>
      <c r="GMU433" s="135"/>
      <c r="GMV433" s="173"/>
      <c r="GMW433" s="173"/>
      <c r="GMX433" s="173"/>
      <c r="GMY433" s="173"/>
      <c r="GMZ433" s="173"/>
      <c r="GNA433" s="173"/>
      <c r="GNB433" s="173"/>
      <c r="GNC433" s="173"/>
      <c r="GND433" s="173"/>
      <c r="GNE433" s="173"/>
      <c r="GNF433" s="125"/>
      <c r="GNG433" s="125"/>
      <c r="GNH433" s="134"/>
      <c r="GNI433" s="135"/>
      <c r="GNJ433" s="135"/>
      <c r="GNK433" s="135"/>
      <c r="GNL433" s="135"/>
      <c r="GNM433" s="173"/>
      <c r="GNN433" s="173"/>
      <c r="GNO433" s="173"/>
      <c r="GNP433" s="173"/>
      <c r="GNQ433" s="173"/>
      <c r="GNR433" s="173"/>
      <c r="GNS433" s="173"/>
      <c r="GNT433" s="173"/>
      <c r="GNU433" s="173"/>
      <c r="GNV433" s="173"/>
      <c r="GNW433" s="125"/>
      <c r="GNX433" s="125"/>
      <c r="GNY433" s="134"/>
      <c r="GNZ433" s="135"/>
      <c r="GOA433" s="135"/>
      <c r="GOB433" s="135"/>
      <c r="GOC433" s="135"/>
      <c r="GOD433" s="173"/>
      <c r="GOE433" s="173"/>
      <c r="GOF433" s="173"/>
      <c r="GOG433" s="173"/>
      <c r="GOH433" s="173"/>
      <c r="GOI433" s="173"/>
      <c r="GOJ433" s="173"/>
      <c r="GOK433" s="173"/>
      <c r="GOL433" s="173"/>
      <c r="GOM433" s="173"/>
      <c r="GON433" s="125"/>
      <c r="GOO433" s="125"/>
      <c r="GOP433" s="134"/>
      <c r="GOQ433" s="135"/>
      <c r="GOR433" s="135"/>
      <c r="GOS433" s="135"/>
      <c r="GOT433" s="135"/>
      <c r="GOU433" s="173"/>
      <c r="GOV433" s="173"/>
      <c r="GOW433" s="173"/>
      <c r="GOX433" s="173"/>
      <c r="GOY433" s="173"/>
      <c r="GOZ433" s="173"/>
      <c r="GPA433" s="173"/>
      <c r="GPB433" s="173"/>
      <c r="GPC433" s="173"/>
      <c r="GPD433" s="173"/>
      <c r="GPE433" s="125"/>
      <c r="GPF433" s="125"/>
      <c r="GPG433" s="134"/>
      <c r="GPH433" s="135"/>
      <c r="GPI433" s="135"/>
      <c r="GPJ433" s="135"/>
      <c r="GPK433" s="135"/>
      <c r="GPL433" s="173"/>
      <c r="GPM433" s="173"/>
      <c r="GPN433" s="173"/>
      <c r="GPO433" s="173"/>
      <c r="GPP433" s="173"/>
      <c r="GPQ433" s="173"/>
      <c r="GPR433" s="173"/>
      <c r="GPS433" s="173"/>
      <c r="GPT433" s="173"/>
      <c r="GPU433" s="173"/>
      <c r="GPV433" s="125"/>
      <c r="GPW433" s="125"/>
      <c r="GPX433" s="134"/>
      <c r="GPY433" s="135"/>
      <c r="GPZ433" s="135"/>
      <c r="GQA433" s="135"/>
      <c r="GQB433" s="135"/>
      <c r="GQC433" s="173"/>
      <c r="GQD433" s="173"/>
      <c r="GQE433" s="173"/>
      <c r="GQF433" s="173"/>
      <c r="GQG433" s="173"/>
      <c r="GQH433" s="173"/>
      <c r="GQI433" s="173"/>
      <c r="GQJ433" s="173"/>
      <c r="GQK433" s="173"/>
      <c r="GQL433" s="173"/>
      <c r="GQM433" s="125"/>
      <c r="GQN433" s="125"/>
      <c r="GQO433" s="134"/>
      <c r="GQP433" s="135"/>
      <c r="GQQ433" s="135"/>
      <c r="GQR433" s="135"/>
      <c r="GQS433" s="135"/>
      <c r="GQT433" s="173"/>
      <c r="GQU433" s="173"/>
      <c r="GQV433" s="173"/>
      <c r="GQW433" s="173"/>
      <c r="GQX433" s="173"/>
      <c r="GQY433" s="173"/>
      <c r="GQZ433" s="173"/>
      <c r="GRA433" s="173"/>
      <c r="GRB433" s="173"/>
      <c r="GRC433" s="173"/>
      <c r="GRD433" s="125"/>
      <c r="GRE433" s="125"/>
      <c r="GRF433" s="134"/>
      <c r="GRG433" s="135"/>
      <c r="GRH433" s="135"/>
      <c r="GRI433" s="135"/>
      <c r="GRJ433" s="135"/>
      <c r="GRK433" s="173"/>
      <c r="GRL433" s="173"/>
      <c r="GRM433" s="173"/>
      <c r="GRN433" s="173"/>
      <c r="GRO433" s="173"/>
      <c r="GRP433" s="173"/>
      <c r="GRQ433" s="173"/>
      <c r="GRR433" s="173"/>
      <c r="GRS433" s="173"/>
      <c r="GRT433" s="173"/>
      <c r="GRU433" s="125"/>
      <c r="GRV433" s="125"/>
      <c r="GRW433" s="134"/>
      <c r="GRX433" s="135"/>
      <c r="GRY433" s="135"/>
      <c r="GRZ433" s="135"/>
      <c r="GSA433" s="135"/>
      <c r="GSB433" s="173"/>
      <c r="GSC433" s="173"/>
      <c r="GSD433" s="173"/>
      <c r="GSE433" s="173"/>
      <c r="GSF433" s="173"/>
      <c r="GSG433" s="173"/>
      <c r="GSH433" s="173"/>
      <c r="GSI433" s="173"/>
      <c r="GSJ433" s="173"/>
      <c r="GSK433" s="173"/>
      <c r="GSL433" s="125"/>
      <c r="GSM433" s="125"/>
      <c r="GSN433" s="134"/>
      <c r="GSO433" s="135"/>
      <c r="GSP433" s="135"/>
      <c r="GSQ433" s="135"/>
      <c r="GSR433" s="135"/>
      <c r="GSS433" s="173"/>
      <c r="GST433" s="173"/>
      <c r="GSU433" s="173"/>
      <c r="GSV433" s="173"/>
      <c r="GSW433" s="173"/>
      <c r="GSX433" s="173"/>
      <c r="GSY433" s="173"/>
      <c r="GSZ433" s="173"/>
      <c r="GTA433" s="173"/>
      <c r="GTB433" s="173"/>
      <c r="GTC433" s="125"/>
      <c r="GTD433" s="125"/>
      <c r="GTE433" s="134"/>
      <c r="GTF433" s="135"/>
      <c r="GTG433" s="135"/>
      <c r="GTH433" s="135"/>
      <c r="GTI433" s="135"/>
      <c r="GTJ433" s="173"/>
      <c r="GTK433" s="173"/>
      <c r="GTL433" s="173"/>
      <c r="GTM433" s="173"/>
      <c r="GTN433" s="173"/>
      <c r="GTO433" s="173"/>
      <c r="GTP433" s="173"/>
      <c r="GTQ433" s="173"/>
      <c r="GTR433" s="173"/>
      <c r="GTS433" s="173"/>
      <c r="GTT433" s="125"/>
      <c r="GTU433" s="125"/>
      <c r="GTV433" s="134"/>
      <c r="GTW433" s="135"/>
      <c r="GTX433" s="135"/>
      <c r="GTY433" s="135"/>
      <c r="GTZ433" s="135"/>
      <c r="GUA433" s="173"/>
      <c r="GUB433" s="173"/>
      <c r="GUC433" s="173"/>
      <c r="GUD433" s="173"/>
      <c r="GUE433" s="173"/>
      <c r="GUF433" s="173"/>
      <c r="GUG433" s="173"/>
      <c r="GUH433" s="173"/>
      <c r="GUI433" s="173"/>
      <c r="GUJ433" s="173"/>
      <c r="GUK433" s="125"/>
      <c r="GUL433" s="125"/>
      <c r="GUM433" s="134"/>
      <c r="GUN433" s="135"/>
      <c r="GUO433" s="135"/>
      <c r="GUP433" s="135"/>
      <c r="GUQ433" s="135"/>
      <c r="GUR433" s="173"/>
      <c r="GUS433" s="173"/>
      <c r="GUT433" s="173"/>
      <c r="GUU433" s="173"/>
      <c r="GUV433" s="173"/>
      <c r="GUW433" s="173"/>
      <c r="GUX433" s="173"/>
      <c r="GUY433" s="173"/>
      <c r="GUZ433" s="173"/>
      <c r="GVA433" s="173"/>
      <c r="GVB433" s="125"/>
      <c r="GVC433" s="125"/>
      <c r="GVD433" s="134"/>
      <c r="GVE433" s="135"/>
      <c r="GVF433" s="135"/>
      <c r="GVG433" s="135"/>
      <c r="GVH433" s="135"/>
      <c r="GVI433" s="173"/>
      <c r="GVJ433" s="173"/>
      <c r="GVK433" s="173"/>
      <c r="GVL433" s="173"/>
      <c r="GVM433" s="173"/>
      <c r="GVN433" s="173"/>
      <c r="GVO433" s="173"/>
      <c r="GVP433" s="173"/>
      <c r="GVQ433" s="173"/>
      <c r="GVR433" s="173"/>
      <c r="GVS433" s="125"/>
      <c r="GVT433" s="125"/>
      <c r="GVU433" s="134"/>
      <c r="GVV433" s="135"/>
      <c r="GVW433" s="135"/>
      <c r="GVX433" s="135"/>
      <c r="GVY433" s="135"/>
      <c r="GVZ433" s="173"/>
      <c r="GWA433" s="173"/>
      <c r="GWB433" s="173"/>
      <c r="GWC433" s="173"/>
      <c r="GWD433" s="173"/>
      <c r="GWE433" s="173"/>
      <c r="GWF433" s="173"/>
      <c r="GWG433" s="173"/>
      <c r="GWH433" s="173"/>
      <c r="GWI433" s="173"/>
      <c r="GWJ433" s="125"/>
      <c r="GWK433" s="125"/>
      <c r="GWL433" s="134"/>
      <c r="GWM433" s="135"/>
      <c r="GWN433" s="135"/>
      <c r="GWO433" s="135"/>
      <c r="GWP433" s="135"/>
      <c r="GWQ433" s="173"/>
      <c r="GWR433" s="173"/>
      <c r="GWS433" s="173"/>
      <c r="GWT433" s="173"/>
      <c r="GWU433" s="173"/>
      <c r="GWV433" s="173"/>
      <c r="GWW433" s="173"/>
      <c r="GWX433" s="173"/>
      <c r="GWY433" s="173"/>
      <c r="GWZ433" s="173"/>
      <c r="GXA433" s="125"/>
      <c r="GXB433" s="125"/>
      <c r="GXC433" s="134"/>
      <c r="GXD433" s="135"/>
      <c r="GXE433" s="135"/>
      <c r="GXF433" s="135"/>
      <c r="GXG433" s="135"/>
      <c r="GXH433" s="173"/>
      <c r="GXI433" s="173"/>
      <c r="GXJ433" s="173"/>
      <c r="GXK433" s="173"/>
      <c r="GXL433" s="173"/>
      <c r="GXM433" s="173"/>
      <c r="GXN433" s="173"/>
      <c r="GXO433" s="173"/>
      <c r="GXP433" s="173"/>
      <c r="GXQ433" s="173"/>
      <c r="GXR433" s="125"/>
      <c r="GXS433" s="125"/>
      <c r="GXT433" s="134"/>
      <c r="GXU433" s="135"/>
      <c r="GXV433" s="135"/>
      <c r="GXW433" s="135"/>
      <c r="GXX433" s="135"/>
      <c r="GXY433" s="173"/>
      <c r="GXZ433" s="173"/>
      <c r="GYA433" s="173"/>
      <c r="GYB433" s="173"/>
      <c r="GYC433" s="173"/>
      <c r="GYD433" s="173"/>
      <c r="GYE433" s="173"/>
      <c r="GYF433" s="173"/>
      <c r="GYG433" s="173"/>
      <c r="GYH433" s="173"/>
      <c r="GYI433" s="125"/>
      <c r="GYJ433" s="125"/>
      <c r="GYK433" s="134"/>
      <c r="GYL433" s="135"/>
      <c r="GYM433" s="135"/>
      <c r="GYN433" s="135"/>
      <c r="GYO433" s="135"/>
      <c r="GYP433" s="173"/>
      <c r="GYQ433" s="173"/>
      <c r="GYR433" s="173"/>
      <c r="GYS433" s="173"/>
      <c r="GYT433" s="173"/>
      <c r="GYU433" s="173"/>
      <c r="GYV433" s="173"/>
      <c r="GYW433" s="173"/>
      <c r="GYX433" s="173"/>
      <c r="GYY433" s="173"/>
      <c r="GYZ433" s="125"/>
      <c r="GZA433" s="125"/>
      <c r="GZB433" s="134"/>
      <c r="GZC433" s="135"/>
      <c r="GZD433" s="135"/>
      <c r="GZE433" s="135"/>
      <c r="GZF433" s="135"/>
      <c r="GZG433" s="173"/>
      <c r="GZH433" s="173"/>
      <c r="GZI433" s="173"/>
      <c r="GZJ433" s="173"/>
      <c r="GZK433" s="173"/>
      <c r="GZL433" s="173"/>
      <c r="GZM433" s="173"/>
      <c r="GZN433" s="173"/>
      <c r="GZO433" s="173"/>
      <c r="GZP433" s="173"/>
      <c r="GZQ433" s="125"/>
      <c r="GZR433" s="125"/>
      <c r="GZS433" s="134"/>
      <c r="GZT433" s="135"/>
      <c r="GZU433" s="135"/>
      <c r="GZV433" s="135"/>
      <c r="GZW433" s="135"/>
      <c r="GZX433" s="173"/>
      <c r="GZY433" s="173"/>
      <c r="GZZ433" s="173"/>
      <c r="HAA433" s="173"/>
      <c r="HAB433" s="173"/>
      <c r="HAC433" s="173"/>
      <c r="HAD433" s="173"/>
      <c r="HAE433" s="173"/>
      <c r="HAF433" s="173"/>
      <c r="HAG433" s="173"/>
      <c r="HAH433" s="125"/>
      <c r="HAI433" s="125"/>
      <c r="HAJ433" s="134"/>
      <c r="HAK433" s="135"/>
      <c r="HAL433" s="135"/>
      <c r="HAM433" s="135"/>
      <c r="HAN433" s="135"/>
      <c r="HAO433" s="173"/>
      <c r="HAP433" s="173"/>
      <c r="HAQ433" s="173"/>
      <c r="HAR433" s="173"/>
      <c r="HAS433" s="173"/>
      <c r="HAT433" s="173"/>
      <c r="HAU433" s="173"/>
      <c r="HAV433" s="173"/>
      <c r="HAW433" s="173"/>
      <c r="HAX433" s="173"/>
      <c r="HAY433" s="125"/>
      <c r="HAZ433" s="125"/>
      <c r="HBA433" s="134"/>
      <c r="HBB433" s="135"/>
      <c r="HBC433" s="135"/>
      <c r="HBD433" s="135"/>
      <c r="HBE433" s="135"/>
      <c r="HBF433" s="173"/>
      <c r="HBG433" s="173"/>
      <c r="HBH433" s="173"/>
      <c r="HBI433" s="173"/>
      <c r="HBJ433" s="173"/>
      <c r="HBK433" s="173"/>
      <c r="HBL433" s="173"/>
      <c r="HBM433" s="173"/>
      <c r="HBN433" s="173"/>
      <c r="HBO433" s="173"/>
      <c r="HBP433" s="125"/>
      <c r="HBQ433" s="125"/>
      <c r="HBR433" s="134"/>
      <c r="HBS433" s="135"/>
      <c r="HBT433" s="135"/>
      <c r="HBU433" s="135"/>
      <c r="HBV433" s="135"/>
      <c r="HBW433" s="173"/>
      <c r="HBX433" s="173"/>
      <c r="HBY433" s="173"/>
      <c r="HBZ433" s="173"/>
      <c r="HCA433" s="173"/>
      <c r="HCB433" s="173"/>
      <c r="HCC433" s="173"/>
      <c r="HCD433" s="173"/>
      <c r="HCE433" s="173"/>
      <c r="HCF433" s="173"/>
      <c r="HCG433" s="125"/>
      <c r="HCH433" s="125"/>
      <c r="HCI433" s="134"/>
      <c r="HCJ433" s="135"/>
      <c r="HCK433" s="135"/>
      <c r="HCL433" s="135"/>
      <c r="HCM433" s="135"/>
      <c r="HCN433" s="173"/>
      <c r="HCO433" s="173"/>
      <c r="HCP433" s="173"/>
      <c r="HCQ433" s="173"/>
      <c r="HCR433" s="173"/>
      <c r="HCS433" s="173"/>
      <c r="HCT433" s="173"/>
      <c r="HCU433" s="173"/>
      <c r="HCV433" s="173"/>
      <c r="HCW433" s="173"/>
      <c r="HCX433" s="125"/>
      <c r="HCY433" s="125"/>
      <c r="HCZ433" s="134"/>
      <c r="HDA433" s="135"/>
      <c r="HDB433" s="135"/>
      <c r="HDC433" s="135"/>
      <c r="HDD433" s="135"/>
      <c r="HDE433" s="173"/>
      <c r="HDF433" s="173"/>
      <c r="HDG433" s="173"/>
      <c r="HDH433" s="173"/>
      <c r="HDI433" s="173"/>
      <c r="HDJ433" s="173"/>
      <c r="HDK433" s="173"/>
      <c r="HDL433" s="173"/>
      <c r="HDM433" s="173"/>
      <c r="HDN433" s="173"/>
      <c r="HDO433" s="125"/>
      <c r="HDP433" s="125"/>
      <c r="HDQ433" s="134"/>
      <c r="HDR433" s="135"/>
      <c r="HDS433" s="135"/>
      <c r="HDT433" s="135"/>
      <c r="HDU433" s="135"/>
      <c r="HDV433" s="173"/>
      <c r="HDW433" s="173"/>
      <c r="HDX433" s="173"/>
      <c r="HDY433" s="173"/>
      <c r="HDZ433" s="173"/>
      <c r="HEA433" s="173"/>
      <c r="HEB433" s="173"/>
      <c r="HEC433" s="173"/>
      <c r="HED433" s="173"/>
      <c r="HEE433" s="173"/>
      <c r="HEF433" s="125"/>
      <c r="HEG433" s="125"/>
      <c r="HEH433" s="134"/>
      <c r="HEI433" s="135"/>
      <c r="HEJ433" s="135"/>
      <c r="HEK433" s="135"/>
      <c r="HEL433" s="135"/>
      <c r="HEM433" s="173"/>
      <c r="HEN433" s="173"/>
      <c r="HEO433" s="173"/>
      <c r="HEP433" s="173"/>
      <c r="HEQ433" s="173"/>
      <c r="HER433" s="173"/>
      <c r="HES433" s="173"/>
      <c r="HET433" s="173"/>
      <c r="HEU433" s="173"/>
      <c r="HEV433" s="173"/>
      <c r="HEW433" s="125"/>
      <c r="HEX433" s="125"/>
      <c r="HEY433" s="134"/>
      <c r="HEZ433" s="135"/>
      <c r="HFA433" s="135"/>
      <c r="HFB433" s="135"/>
      <c r="HFC433" s="135"/>
      <c r="HFD433" s="173"/>
      <c r="HFE433" s="173"/>
      <c r="HFF433" s="173"/>
      <c r="HFG433" s="173"/>
      <c r="HFH433" s="173"/>
      <c r="HFI433" s="173"/>
      <c r="HFJ433" s="173"/>
      <c r="HFK433" s="173"/>
      <c r="HFL433" s="173"/>
      <c r="HFM433" s="173"/>
      <c r="HFN433" s="125"/>
      <c r="HFO433" s="125"/>
      <c r="HFP433" s="134"/>
      <c r="HFQ433" s="135"/>
      <c r="HFR433" s="135"/>
      <c r="HFS433" s="135"/>
      <c r="HFT433" s="135"/>
      <c r="HFU433" s="173"/>
      <c r="HFV433" s="173"/>
      <c r="HFW433" s="173"/>
      <c r="HFX433" s="173"/>
      <c r="HFY433" s="173"/>
      <c r="HFZ433" s="173"/>
      <c r="HGA433" s="173"/>
      <c r="HGB433" s="173"/>
      <c r="HGC433" s="173"/>
      <c r="HGD433" s="173"/>
      <c r="HGE433" s="125"/>
      <c r="HGF433" s="125"/>
      <c r="HGG433" s="134"/>
      <c r="HGH433" s="135"/>
      <c r="HGI433" s="135"/>
      <c r="HGJ433" s="135"/>
      <c r="HGK433" s="135"/>
      <c r="HGL433" s="173"/>
      <c r="HGM433" s="173"/>
      <c r="HGN433" s="173"/>
      <c r="HGO433" s="173"/>
      <c r="HGP433" s="173"/>
      <c r="HGQ433" s="173"/>
      <c r="HGR433" s="173"/>
      <c r="HGS433" s="173"/>
      <c r="HGT433" s="173"/>
      <c r="HGU433" s="173"/>
      <c r="HGV433" s="125"/>
      <c r="HGW433" s="125"/>
      <c r="HGX433" s="134"/>
      <c r="HGY433" s="135"/>
      <c r="HGZ433" s="135"/>
      <c r="HHA433" s="135"/>
      <c r="HHB433" s="135"/>
      <c r="HHC433" s="173"/>
      <c r="HHD433" s="173"/>
      <c r="HHE433" s="173"/>
      <c r="HHF433" s="173"/>
      <c r="HHG433" s="173"/>
      <c r="HHH433" s="173"/>
      <c r="HHI433" s="173"/>
      <c r="HHJ433" s="173"/>
      <c r="HHK433" s="173"/>
      <c r="HHL433" s="173"/>
      <c r="HHM433" s="125"/>
      <c r="HHN433" s="125"/>
      <c r="HHO433" s="134"/>
      <c r="HHP433" s="135"/>
      <c r="HHQ433" s="135"/>
      <c r="HHR433" s="135"/>
      <c r="HHS433" s="135"/>
      <c r="HHT433" s="173"/>
      <c r="HHU433" s="173"/>
      <c r="HHV433" s="173"/>
      <c r="HHW433" s="173"/>
      <c r="HHX433" s="173"/>
      <c r="HHY433" s="173"/>
      <c r="HHZ433" s="173"/>
      <c r="HIA433" s="173"/>
      <c r="HIB433" s="173"/>
      <c r="HIC433" s="173"/>
      <c r="HID433" s="125"/>
      <c r="HIE433" s="125"/>
      <c r="HIF433" s="134"/>
      <c r="HIG433" s="135"/>
      <c r="HIH433" s="135"/>
      <c r="HII433" s="135"/>
      <c r="HIJ433" s="135"/>
      <c r="HIK433" s="173"/>
      <c r="HIL433" s="173"/>
      <c r="HIM433" s="173"/>
      <c r="HIN433" s="173"/>
      <c r="HIO433" s="173"/>
      <c r="HIP433" s="173"/>
      <c r="HIQ433" s="173"/>
      <c r="HIR433" s="173"/>
      <c r="HIS433" s="173"/>
      <c r="HIT433" s="173"/>
      <c r="HIU433" s="125"/>
      <c r="HIV433" s="125"/>
      <c r="HIW433" s="134"/>
      <c r="HIX433" s="135"/>
      <c r="HIY433" s="135"/>
      <c r="HIZ433" s="135"/>
      <c r="HJA433" s="135"/>
      <c r="HJB433" s="173"/>
      <c r="HJC433" s="173"/>
      <c r="HJD433" s="173"/>
      <c r="HJE433" s="173"/>
      <c r="HJF433" s="173"/>
      <c r="HJG433" s="173"/>
      <c r="HJH433" s="173"/>
      <c r="HJI433" s="173"/>
      <c r="HJJ433" s="173"/>
      <c r="HJK433" s="173"/>
      <c r="HJL433" s="125"/>
      <c r="HJM433" s="125"/>
      <c r="HJN433" s="134"/>
      <c r="HJO433" s="135"/>
      <c r="HJP433" s="135"/>
      <c r="HJQ433" s="135"/>
      <c r="HJR433" s="135"/>
      <c r="HJS433" s="173"/>
      <c r="HJT433" s="173"/>
      <c r="HJU433" s="173"/>
      <c r="HJV433" s="173"/>
      <c r="HJW433" s="173"/>
      <c r="HJX433" s="173"/>
      <c r="HJY433" s="173"/>
      <c r="HJZ433" s="173"/>
      <c r="HKA433" s="173"/>
      <c r="HKB433" s="173"/>
      <c r="HKC433" s="125"/>
      <c r="HKD433" s="125"/>
      <c r="HKE433" s="134"/>
      <c r="HKF433" s="135"/>
      <c r="HKG433" s="135"/>
      <c r="HKH433" s="135"/>
      <c r="HKI433" s="135"/>
      <c r="HKJ433" s="173"/>
      <c r="HKK433" s="173"/>
      <c r="HKL433" s="173"/>
      <c r="HKM433" s="173"/>
      <c r="HKN433" s="173"/>
      <c r="HKO433" s="173"/>
      <c r="HKP433" s="173"/>
      <c r="HKQ433" s="173"/>
      <c r="HKR433" s="173"/>
      <c r="HKS433" s="173"/>
      <c r="HKT433" s="125"/>
      <c r="HKU433" s="125"/>
      <c r="HKV433" s="134"/>
      <c r="HKW433" s="135"/>
      <c r="HKX433" s="135"/>
      <c r="HKY433" s="135"/>
      <c r="HKZ433" s="135"/>
      <c r="HLA433" s="173"/>
      <c r="HLB433" s="173"/>
      <c r="HLC433" s="173"/>
      <c r="HLD433" s="173"/>
      <c r="HLE433" s="173"/>
      <c r="HLF433" s="173"/>
      <c r="HLG433" s="173"/>
      <c r="HLH433" s="173"/>
      <c r="HLI433" s="173"/>
      <c r="HLJ433" s="173"/>
      <c r="HLK433" s="125"/>
      <c r="HLL433" s="125"/>
      <c r="HLM433" s="134"/>
      <c r="HLN433" s="135"/>
      <c r="HLO433" s="135"/>
      <c r="HLP433" s="135"/>
      <c r="HLQ433" s="135"/>
      <c r="HLR433" s="173"/>
      <c r="HLS433" s="173"/>
      <c r="HLT433" s="173"/>
      <c r="HLU433" s="173"/>
      <c r="HLV433" s="173"/>
      <c r="HLW433" s="173"/>
      <c r="HLX433" s="173"/>
      <c r="HLY433" s="173"/>
      <c r="HLZ433" s="173"/>
      <c r="HMA433" s="173"/>
      <c r="HMB433" s="125"/>
      <c r="HMC433" s="125"/>
      <c r="HMD433" s="134"/>
      <c r="HME433" s="135"/>
      <c r="HMF433" s="135"/>
      <c r="HMG433" s="135"/>
      <c r="HMH433" s="135"/>
      <c r="HMI433" s="173"/>
      <c r="HMJ433" s="173"/>
      <c r="HMK433" s="173"/>
      <c r="HML433" s="173"/>
      <c r="HMM433" s="173"/>
      <c r="HMN433" s="173"/>
      <c r="HMO433" s="173"/>
      <c r="HMP433" s="173"/>
      <c r="HMQ433" s="173"/>
      <c r="HMR433" s="173"/>
      <c r="HMS433" s="125"/>
      <c r="HMT433" s="125"/>
      <c r="HMU433" s="134"/>
      <c r="HMV433" s="135"/>
      <c r="HMW433" s="135"/>
      <c r="HMX433" s="135"/>
      <c r="HMY433" s="135"/>
      <c r="HMZ433" s="173"/>
      <c r="HNA433" s="173"/>
      <c r="HNB433" s="173"/>
      <c r="HNC433" s="173"/>
      <c r="HND433" s="173"/>
      <c r="HNE433" s="173"/>
      <c r="HNF433" s="173"/>
      <c r="HNG433" s="173"/>
      <c r="HNH433" s="173"/>
      <c r="HNI433" s="173"/>
      <c r="HNJ433" s="125"/>
      <c r="HNK433" s="125"/>
      <c r="HNL433" s="134"/>
      <c r="HNM433" s="135"/>
      <c r="HNN433" s="135"/>
      <c r="HNO433" s="135"/>
      <c r="HNP433" s="135"/>
      <c r="HNQ433" s="173"/>
      <c r="HNR433" s="173"/>
      <c r="HNS433" s="173"/>
      <c r="HNT433" s="173"/>
      <c r="HNU433" s="173"/>
      <c r="HNV433" s="173"/>
      <c r="HNW433" s="173"/>
      <c r="HNX433" s="173"/>
      <c r="HNY433" s="173"/>
      <c r="HNZ433" s="173"/>
      <c r="HOA433" s="125"/>
      <c r="HOB433" s="125"/>
      <c r="HOC433" s="134"/>
      <c r="HOD433" s="135"/>
      <c r="HOE433" s="135"/>
      <c r="HOF433" s="135"/>
      <c r="HOG433" s="135"/>
      <c r="HOH433" s="173"/>
      <c r="HOI433" s="173"/>
      <c r="HOJ433" s="173"/>
      <c r="HOK433" s="173"/>
      <c r="HOL433" s="173"/>
      <c r="HOM433" s="173"/>
      <c r="HON433" s="173"/>
      <c r="HOO433" s="173"/>
      <c r="HOP433" s="173"/>
      <c r="HOQ433" s="173"/>
      <c r="HOR433" s="125"/>
      <c r="HOS433" s="125"/>
      <c r="HOT433" s="134"/>
      <c r="HOU433" s="135"/>
      <c r="HOV433" s="135"/>
      <c r="HOW433" s="135"/>
      <c r="HOX433" s="135"/>
      <c r="HOY433" s="173"/>
      <c r="HOZ433" s="173"/>
      <c r="HPA433" s="173"/>
      <c r="HPB433" s="173"/>
      <c r="HPC433" s="173"/>
      <c r="HPD433" s="173"/>
      <c r="HPE433" s="173"/>
      <c r="HPF433" s="173"/>
      <c r="HPG433" s="173"/>
      <c r="HPH433" s="173"/>
      <c r="HPI433" s="125"/>
      <c r="HPJ433" s="125"/>
      <c r="HPK433" s="134"/>
      <c r="HPL433" s="135"/>
      <c r="HPM433" s="135"/>
      <c r="HPN433" s="135"/>
      <c r="HPO433" s="135"/>
      <c r="HPP433" s="173"/>
      <c r="HPQ433" s="173"/>
      <c r="HPR433" s="173"/>
      <c r="HPS433" s="173"/>
      <c r="HPT433" s="173"/>
      <c r="HPU433" s="173"/>
      <c r="HPV433" s="173"/>
      <c r="HPW433" s="173"/>
      <c r="HPX433" s="173"/>
      <c r="HPY433" s="173"/>
      <c r="HPZ433" s="125"/>
      <c r="HQA433" s="125"/>
      <c r="HQB433" s="134"/>
      <c r="HQC433" s="135"/>
      <c r="HQD433" s="135"/>
      <c r="HQE433" s="135"/>
      <c r="HQF433" s="135"/>
      <c r="HQG433" s="173"/>
      <c r="HQH433" s="173"/>
      <c r="HQI433" s="173"/>
      <c r="HQJ433" s="173"/>
      <c r="HQK433" s="173"/>
      <c r="HQL433" s="173"/>
      <c r="HQM433" s="173"/>
      <c r="HQN433" s="173"/>
      <c r="HQO433" s="173"/>
      <c r="HQP433" s="173"/>
      <c r="HQQ433" s="125"/>
      <c r="HQR433" s="125"/>
      <c r="HQS433" s="134"/>
      <c r="HQT433" s="135"/>
      <c r="HQU433" s="135"/>
      <c r="HQV433" s="135"/>
      <c r="HQW433" s="135"/>
      <c r="HQX433" s="173"/>
      <c r="HQY433" s="173"/>
      <c r="HQZ433" s="173"/>
      <c r="HRA433" s="173"/>
      <c r="HRB433" s="173"/>
      <c r="HRC433" s="173"/>
      <c r="HRD433" s="173"/>
      <c r="HRE433" s="173"/>
      <c r="HRF433" s="173"/>
      <c r="HRG433" s="173"/>
      <c r="HRH433" s="125"/>
      <c r="HRI433" s="125"/>
      <c r="HRJ433" s="134"/>
      <c r="HRK433" s="135"/>
      <c r="HRL433" s="135"/>
      <c r="HRM433" s="135"/>
      <c r="HRN433" s="135"/>
      <c r="HRO433" s="173"/>
      <c r="HRP433" s="173"/>
      <c r="HRQ433" s="173"/>
      <c r="HRR433" s="173"/>
      <c r="HRS433" s="173"/>
      <c r="HRT433" s="173"/>
      <c r="HRU433" s="173"/>
      <c r="HRV433" s="173"/>
      <c r="HRW433" s="173"/>
      <c r="HRX433" s="173"/>
      <c r="HRY433" s="125"/>
      <c r="HRZ433" s="125"/>
      <c r="HSA433" s="134"/>
      <c r="HSB433" s="135"/>
      <c r="HSC433" s="135"/>
      <c r="HSD433" s="135"/>
      <c r="HSE433" s="135"/>
      <c r="HSF433" s="173"/>
      <c r="HSG433" s="173"/>
      <c r="HSH433" s="173"/>
      <c r="HSI433" s="173"/>
      <c r="HSJ433" s="173"/>
      <c r="HSK433" s="173"/>
      <c r="HSL433" s="173"/>
      <c r="HSM433" s="173"/>
      <c r="HSN433" s="173"/>
      <c r="HSO433" s="173"/>
      <c r="HSP433" s="125"/>
      <c r="HSQ433" s="125"/>
      <c r="HSR433" s="134"/>
      <c r="HSS433" s="135"/>
      <c r="HST433" s="135"/>
      <c r="HSU433" s="135"/>
      <c r="HSV433" s="135"/>
      <c r="HSW433" s="173"/>
      <c r="HSX433" s="173"/>
      <c r="HSY433" s="173"/>
      <c r="HSZ433" s="173"/>
      <c r="HTA433" s="173"/>
      <c r="HTB433" s="173"/>
      <c r="HTC433" s="173"/>
      <c r="HTD433" s="173"/>
      <c r="HTE433" s="173"/>
      <c r="HTF433" s="173"/>
      <c r="HTG433" s="125"/>
      <c r="HTH433" s="125"/>
      <c r="HTI433" s="134"/>
      <c r="HTJ433" s="135"/>
      <c r="HTK433" s="135"/>
      <c r="HTL433" s="135"/>
      <c r="HTM433" s="135"/>
      <c r="HTN433" s="173"/>
      <c r="HTO433" s="173"/>
      <c r="HTP433" s="173"/>
      <c r="HTQ433" s="173"/>
      <c r="HTR433" s="173"/>
      <c r="HTS433" s="173"/>
      <c r="HTT433" s="173"/>
      <c r="HTU433" s="173"/>
      <c r="HTV433" s="173"/>
      <c r="HTW433" s="173"/>
      <c r="HTX433" s="125"/>
      <c r="HTY433" s="125"/>
      <c r="HTZ433" s="134"/>
      <c r="HUA433" s="135"/>
      <c r="HUB433" s="135"/>
      <c r="HUC433" s="135"/>
      <c r="HUD433" s="135"/>
      <c r="HUE433" s="173"/>
      <c r="HUF433" s="173"/>
      <c r="HUG433" s="173"/>
      <c r="HUH433" s="173"/>
      <c r="HUI433" s="173"/>
      <c r="HUJ433" s="173"/>
      <c r="HUK433" s="173"/>
      <c r="HUL433" s="173"/>
      <c r="HUM433" s="173"/>
      <c r="HUN433" s="173"/>
      <c r="HUO433" s="125"/>
      <c r="HUP433" s="125"/>
      <c r="HUQ433" s="134"/>
      <c r="HUR433" s="135"/>
      <c r="HUS433" s="135"/>
      <c r="HUT433" s="135"/>
      <c r="HUU433" s="135"/>
      <c r="HUV433" s="173"/>
      <c r="HUW433" s="173"/>
      <c r="HUX433" s="173"/>
      <c r="HUY433" s="173"/>
      <c r="HUZ433" s="173"/>
      <c r="HVA433" s="173"/>
      <c r="HVB433" s="173"/>
      <c r="HVC433" s="173"/>
      <c r="HVD433" s="173"/>
      <c r="HVE433" s="173"/>
      <c r="HVF433" s="125"/>
      <c r="HVG433" s="125"/>
      <c r="HVH433" s="134"/>
      <c r="HVI433" s="135"/>
      <c r="HVJ433" s="135"/>
      <c r="HVK433" s="135"/>
      <c r="HVL433" s="135"/>
      <c r="HVM433" s="173"/>
      <c r="HVN433" s="173"/>
      <c r="HVO433" s="173"/>
      <c r="HVP433" s="173"/>
      <c r="HVQ433" s="173"/>
      <c r="HVR433" s="173"/>
      <c r="HVS433" s="173"/>
      <c r="HVT433" s="173"/>
      <c r="HVU433" s="173"/>
      <c r="HVV433" s="173"/>
      <c r="HVW433" s="125"/>
      <c r="HVX433" s="125"/>
      <c r="HVY433" s="134"/>
      <c r="HVZ433" s="135"/>
      <c r="HWA433" s="135"/>
      <c r="HWB433" s="135"/>
      <c r="HWC433" s="135"/>
      <c r="HWD433" s="173"/>
      <c r="HWE433" s="173"/>
      <c r="HWF433" s="173"/>
      <c r="HWG433" s="173"/>
      <c r="HWH433" s="173"/>
      <c r="HWI433" s="173"/>
      <c r="HWJ433" s="173"/>
      <c r="HWK433" s="173"/>
      <c r="HWL433" s="173"/>
      <c r="HWM433" s="173"/>
      <c r="HWN433" s="125"/>
      <c r="HWO433" s="125"/>
      <c r="HWP433" s="134"/>
      <c r="HWQ433" s="135"/>
      <c r="HWR433" s="135"/>
      <c r="HWS433" s="135"/>
      <c r="HWT433" s="135"/>
      <c r="HWU433" s="173"/>
      <c r="HWV433" s="173"/>
      <c r="HWW433" s="173"/>
      <c r="HWX433" s="173"/>
      <c r="HWY433" s="173"/>
      <c r="HWZ433" s="173"/>
      <c r="HXA433" s="173"/>
      <c r="HXB433" s="173"/>
      <c r="HXC433" s="173"/>
      <c r="HXD433" s="173"/>
      <c r="HXE433" s="125"/>
      <c r="HXF433" s="125"/>
      <c r="HXG433" s="134"/>
      <c r="HXH433" s="135"/>
      <c r="HXI433" s="135"/>
      <c r="HXJ433" s="135"/>
      <c r="HXK433" s="135"/>
      <c r="HXL433" s="173"/>
      <c r="HXM433" s="173"/>
      <c r="HXN433" s="173"/>
      <c r="HXO433" s="173"/>
      <c r="HXP433" s="173"/>
      <c r="HXQ433" s="173"/>
      <c r="HXR433" s="173"/>
      <c r="HXS433" s="173"/>
      <c r="HXT433" s="173"/>
      <c r="HXU433" s="173"/>
      <c r="HXV433" s="125"/>
      <c r="HXW433" s="125"/>
      <c r="HXX433" s="134"/>
      <c r="HXY433" s="135"/>
      <c r="HXZ433" s="135"/>
      <c r="HYA433" s="135"/>
      <c r="HYB433" s="135"/>
      <c r="HYC433" s="173"/>
      <c r="HYD433" s="173"/>
      <c r="HYE433" s="173"/>
      <c r="HYF433" s="173"/>
      <c r="HYG433" s="173"/>
      <c r="HYH433" s="173"/>
      <c r="HYI433" s="173"/>
      <c r="HYJ433" s="173"/>
      <c r="HYK433" s="173"/>
      <c r="HYL433" s="173"/>
      <c r="HYM433" s="125"/>
      <c r="HYN433" s="125"/>
      <c r="HYO433" s="134"/>
      <c r="HYP433" s="135"/>
      <c r="HYQ433" s="135"/>
      <c r="HYR433" s="135"/>
      <c r="HYS433" s="135"/>
      <c r="HYT433" s="173"/>
      <c r="HYU433" s="173"/>
      <c r="HYV433" s="173"/>
      <c r="HYW433" s="173"/>
      <c r="HYX433" s="173"/>
      <c r="HYY433" s="173"/>
      <c r="HYZ433" s="173"/>
      <c r="HZA433" s="173"/>
      <c r="HZB433" s="173"/>
      <c r="HZC433" s="173"/>
      <c r="HZD433" s="125"/>
      <c r="HZE433" s="125"/>
      <c r="HZF433" s="134"/>
      <c r="HZG433" s="135"/>
      <c r="HZH433" s="135"/>
      <c r="HZI433" s="135"/>
      <c r="HZJ433" s="135"/>
      <c r="HZK433" s="173"/>
      <c r="HZL433" s="173"/>
      <c r="HZM433" s="173"/>
      <c r="HZN433" s="173"/>
      <c r="HZO433" s="173"/>
      <c r="HZP433" s="173"/>
      <c r="HZQ433" s="173"/>
      <c r="HZR433" s="173"/>
      <c r="HZS433" s="173"/>
      <c r="HZT433" s="173"/>
      <c r="HZU433" s="125"/>
      <c r="HZV433" s="125"/>
      <c r="HZW433" s="134"/>
      <c r="HZX433" s="135"/>
      <c r="HZY433" s="135"/>
      <c r="HZZ433" s="135"/>
      <c r="IAA433" s="135"/>
      <c r="IAB433" s="173"/>
      <c r="IAC433" s="173"/>
      <c r="IAD433" s="173"/>
      <c r="IAE433" s="173"/>
      <c r="IAF433" s="173"/>
      <c r="IAG433" s="173"/>
      <c r="IAH433" s="173"/>
      <c r="IAI433" s="173"/>
      <c r="IAJ433" s="173"/>
      <c r="IAK433" s="173"/>
      <c r="IAL433" s="125"/>
      <c r="IAM433" s="125"/>
      <c r="IAN433" s="134"/>
      <c r="IAO433" s="135"/>
      <c r="IAP433" s="135"/>
      <c r="IAQ433" s="135"/>
      <c r="IAR433" s="135"/>
      <c r="IAS433" s="173"/>
      <c r="IAT433" s="173"/>
      <c r="IAU433" s="173"/>
      <c r="IAV433" s="173"/>
      <c r="IAW433" s="173"/>
      <c r="IAX433" s="173"/>
      <c r="IAY433" s="173"/>
      <c r="IAZ433" s="173"/>
      <c r="IBA433" s="173"/>
      <c r="IBB433" s="173"/>
      <c r="IBC433" s="125"/>
      <c r="IBD433" s="125"/>
      <c r="IBE433" s="134"/>
      <c r="IBF433" s="135"/>
      <c r="IBG433" s="135"/>
      <c r="IBH433" s="135"/>
      <c r="IBI433" s="135"/>
      <c r="IBJ433" s="173"/>
      <c r="IBK433" s="173"/>
      <c r="IBL433" s="173"/>
      <c r="IBM433" s="173"/>
      <c r="IBN433" s="173"/>
      <c r="IBO433" s="173"/>
      <c r="IBP433" s="173"/>
      <c r="IBQ433" s="173"/>
      <c r="IBR433" s="173"/>
      <c r="IBS433" s="173"/>
      <c r="IBT433" s="125"/>
      <c r="IBU433" s="125"/>
      <c r="IBV433" s="134"/>
      <c r="IBW433" s="135"/>
      <c r="IBX433" s="135"/>
      <c r="IBY433" s="135"/>
      <c r="IBZ433" s="135"/>
      <c r="ICA433" s="173"/>
      <c r="ICB433" s="173"/>
      <c r="ICC433" s="173"/>
      <c r="ICD433" s="173"/>
      <c r="ICE433" s="173"/>
      <c r="ICF433" s="173"/>
      <c r="ICG433" s="173"/>
      <c r="ICH433" s="173"/>
      <c r="ICI433" s="173"/>
      <c r="ICJ433" s="173"/>
      <c r="ICK433" s="125"/>
      <c r="ICL433" s="125"/>
      <c r="ICM433" s="134"/>
      <c r="ICN433" s="135"/>
      <c r="ICO433" s="135"/>
      <c r="ICP433" s="135"/>
      <c r="ICQ433" s="135"/>
      <c r="ICR433" s="173"/>
      <c r="ICS433" s="173"/>
      <c r="ICT433" s="173"/>
      <c r="ICU433" s="173"/>
      <c r="ICV433" s="173"/>
      <c r="ICW433" s="173"/>
      <c r="ICX433" s="173"/>
      <c r="ICY433" s="173"/>
      <c r="ICZ433" s="173"/>
      <c r="IDA433" s="173"/>
      <c r="IDB433" s="125"/>
      <c r="IDC433" s="125"/>
      <c r="IDD433" s="134"/>
      <c r="IDE433" s="135"/>
      <c r="IDF433" s="135"/>
      <c r="IDG433" s="135"/>
      <c r="IDH433" s="135"/>
      <c r="IDI433" s="173"/>
      <c r="IDJ433" s="173"/>
      <c r="IDK433" s="173"/>
      <c r="IDL433" s="173"/>
      <c r="IDM433" s="173"/>
      <c r="IDN433" s="173"/>
      <c r="IDO433" s="173"/>
      <c r="IDP433" s="173"/>
      <c r="IDQ433" s="173"/>
      <c r="IDR433" s="173"/>
      <c r="IDS433" s="125"/>
      <c r="IDT433" s="125"/>
      <c r="IDU433" s="134"/>
      <c r="IDV433" s="135"/>
      <c r="IDW433" s="135"/>
      <c r="IDX433" s="135"/>
      <c r="IDY433" s="135"/>
      <c r="IDZ433" s="173"/>
      <c r="IEA433" s="173"/>
      <c r="IEB433" s="173"/>
      <c r="IEC433" s="173"/>
      <c r="IED433" s="173"/>
      <c r="IEE433" s="173"/>
      <c r="IEF433" s="173"/>
      <c r="IEG433" s="173"/>
      <c r="IEH433" s="173"/>
      <c r="IEI433" s="173"/>
      <c r="IEJ433" s="125"/>
      <c r="IEK433" s="125"/>
      <c r="IEL433" s="134"/>
      <c r="IEM433" s="135"/>
      <c r="IEN433" s="135"/>
      <c r="IEO433" s="135"/>
      <c r="IEP433" s="135"/>
      <c r="IEQ433" s="173"/>
      <c r="IER433" s="173"/>
      <c r="IES433" s="173"/>
      <c r="IET433" s="173"/>
      <c r="IEU433" s="173"/>
      <c r="IEV433" s="173"/>
      <c r="IEW433" s="173"/>
      <c r="IEX433" s="173"/>
      <c r="IEY433" s="173"/>
      <c r="IEZ433" s="173"/>
      <c r="IFA433" s="125"/>
      <c r="IFB433" s="125"/>
      <c r="IFC433" s="134"/>
      <c r="IFD433" s="135"/>
      <c r="IFE433" s="135"/>
      <c r="IFF433" s="135"/>
      <c r="IFG433" s="135"/>
      <c r="IFH433" s="173"/>
      <c r="IFI433" s="173"/>
      <c r="IFJ433" s="173"/>
      <c r="IFK433" s="173"/>
      <c r="IFL433" s="173"/>
      <c r="IFM433" s="173"/>
      <c r="IFN433" s="173"/>
      <c r="IFO433" s="173"/>
      <c r="IFP433" s="173"/>
      <c r="IFQ433" s="173"/>
      <c r="IFR433" s="125"/>
      <c r="IFS433" s="125"/>
      <c r="IFT433" s="134"/>
      <c r="IFU433" s="135"/>
      <c r="IFV433" s="135"/>
      <c r="IFW433" s="135"/>
      <c r="IFX433" s="135"/>
      <c r="IFY433" s="173"/>
      <c r="IFZ433" s="173"/>
      <c r="IGA433" s="173"/>
      <c r="IGB433" s="173"/>
      <c r="IGC433" s="173"/>
      <c r="IGD433" s="173"/>
      <c r="IGE433" s="173"/>
      <c r="IGF433" s="173"/>
      <c r="IGG433" s="173"/>
      <c r="IGH433" s="173"/>
      <c r="IGI433" s="125"/>
      <c r="IGJ433" s="125"/>
      <c r="IGK433" s="134"/>
      <c r="IGL433" s="135"/>
      <c r="IGM433" s="135"/>
      <c r="IGN433" s="135"/>
      <c r="IGO433" s="135"/>
      <c r="IGP433" s="173"/>
      <c r="IGQ433" s="173"/>
      <c r="IGR433" s="173"/>
      <c r="IGS433" s="173"/>
      <c r="IGT433" s="173"/>
      <c r="IGU433" s="173"/>
      <c r="IGV433" s="173"/>
      <c r="IGW433" s="173"/>
      <c r="IGX433" s="173"/>
      <c r="IGY433" s="173"/>
      <c r="IGZ433" s="125"/>
      <c r="IHA433" s="125"/>
      <c r="IHB433" s="134"/>
      <c r="IHC433" s="135"/>
      <c r="IHD433" s="135"/>
      <c r="IHE433" s="135"/>
      <c r="IHF433" s="135"/>
      <c r="IHG433" s="173"/>
      <c r="IHH433" s="173"/>
      <c r="IHI433" s="173"/>
      <c r="IHJ433" s="173"/>
      <c r="IHK433" s="173"/>
      <c r="IHL433" s="173"/>
      <c r="IHM433" s="173"/>
      <c r="IHN433" s="173"/>
      <c r="IHO433" s="173"/>
      <c r="IHP433" s="173"/>
      <c r="IHQ433" s="125"/>
      <c r="IHR433" s="125"/>
      <c r="IHS433" s="134"/>
      <c r="IHT433" s="135"/>
      <c r="IHU433" s="135"/>
      <c r="IHV433" s="135"/>
      <c r="IHW433" s="135"/>
      <c r="IHX433" s="173"/>
      <c r="IHY433" s="173"/>
      <c r="IHZ433" s="173"/>
      <c r="IIA433" s="173"/>
      <c r="IIB433" s="173"/>
      <c r="IIC433" s="173"/>
      <c r="IID433" s="173"/>
      <c r="IIE433" s="173"/>
      <c r="IIF433" s="173"/>
      <c r="IIG433" s="173"/>
      <c r="IIH433" s="125"/>
      <c r="III433" s="125"/>
      <c r="IIJ433" s="134"/>
      <c r="IIK433" s="135"/>
      <c r="IIL433" s="135"/>
      <c r="IIM433" s="135"/>
      <c r="IIN433" s="135"/>
      <c r="IIO433" s="173"/>
      <c r="IIP433" s="173"/>
      <c r="IIQ433" s="173"/>
      <c r="IIR433" s="173"/>
      <c r="IIS433" s="173"/>
      <c r="IIT433" s="173"/>
      <c r="IIU433" s="173"/>
      <c r="IIV433" s="173"/>
      <c r="IIW433" s="173"/>
      <c r="IIX433" s="173"/>
      <c r="IIY433" s="125"/>
      <c r="IIZ433" s="125"/>
      <c r="IJA433" s="134"/>
      <c r="IJB433" s="135"/>
      <c r="IJC433" s="135"/>
      <c r="IJD433" s="135"/>
      <c r="IJE433" s="135"/>
      <c r="IJF433" s="173"/>
      <c r="IJG433" s="173"/>
      <c r="IJH433" s="173"/>
      <c r="IJI433" s="173"/>
      <c r="IJJ433" s="173"/>
      <c r="IJK433" s="173"/>
      <c r="IJL433" s="173"/>
      <c r="IJM433" s="173"/>
      <c r="IJN433" s="173"/>
      <c r="IJO433" s="173"/>
      <c r="IJP433" s="125"/>
      <c r="IJQ433" s="125"/>
      <c r="IJR433" s="134"/>
      <c r="IJS433" s="135"/>
      <c r="IJT433" s="135"/>
      <c r="IJU433" s="135"/>
      <c r="IJV433" s="135"/>
      <c r="IJW433" s="173"/>
      <c r="IJX433" s="173"/>
      <c r="IJY433" s="173"/>
      <c r="IJZ433" s="173"/>
      <c r="IKA433" s="173"/>
      <c r="IKB433" s="173"/>
      <c r="IKC433" s="173"/>
      <c r="IKD433" s="173"/>
      <c r="IKE433" s="173"/>
      <c r="IKF433" s="173"/>
      <c r="IKG433" s="125"/>
      <c r="IKH433" s="125"/>
      <c r="IKI433" s="134"/>
      <c r="IKJ433" s="135"/>
      <c r="IKK433" s="135"/>
      <c r="IKL433" s="135"/>
      <c r="IKM433" s="135"/>
      <c r="IKN433" s="173"/>
      <c r="IKO433" s="173"/>
      <c r="IKP433" s="173"/>
      <c r="IKQ433" s="173"/>
      <c r="IKR433" s="173"/>
      <c r="IKS433" s="173"/>
      <c r="IKT433" s="173"/>
      <c r="IKU433" s="173"/>
      <c r="IKV433" s="173"/>
      <c r="IKW433" s="173"/>
      <c r="IKX433" s="125"/>
      <c r="IKY433" s="125"/>
      <c r="IKZ433" s="134"/>
      <c r="ILA433" s="135"/>
      <c r="ILB433" s="135"/>
      <c r="ILC433" s="135"/>
      <c r="ILD433" s="135"/>
      <c r="ILE433" s="173"/>
      <c r="ILF433" s="173"/>
      <c r="ILG433" s="173"/>
      <c r="ILH433" s="173"/>
      <c r="ILI433" s="173"/>
      <c r="ILJ433" s="173"/>
      <c r="ILK433" s="173"/>
      <c r="ILL433" s="173"/>
      <c r="ILM433" s="173"/>
      <c r="ILN433" s="173"/>
      <c r="ILO433" s="125"/>
      <c r="ILP433" s="125"/>
      <c r="ILQ433" s="134"/>
      <c r="ILR433" s="135"/>
      <c r="ILS433" s="135"/>
      <c r="ILT433" s="135"/>
      <c r="ILU433" s="135"/>
      <c r="ILV433" s="173"/>
      <c r="ILW433" s="173"/>
      <c r="ILX433" s="173"/>
      <c r="ILY433" s="173"/>
      <c r="ILZ433" s="173"/>
      <c r="IMA433" s="173"/>
      <c r="IMB433" s="173"/>
      <c r="IMC433" s="173"/>
      <c r="IMD433" s="173"/>
      <c r="IME433" s="173"/>
      <c r="IMF433" s="125"/>
      <c r="IMG433" s="125"/>
      <c r="IMH433" s="134"/>
      <c r="IMI433" s="135"/>
      <c r="IMJ433" s="135"/>
      <c r="IMK433" s="135"/>
      <c r="IML433" s="135"/>
      <c r="IMM433" s="173"/>
      <c r="IMN433" s="173"/>
      <c r="IMO433" s="173"/>
      <c r="IMP433" s="173"/>
      <c r="IMQ433" s="173"/>
      <c r="IMR433" s="173"/>
      <c r="IMS433" s="173"/>
      <c r="IMT433" s="173"/>
      <c r="IMU433" s="173"/>
      <c r="IMV433" s="173"/>
      <c r="IMW433" s="125"/>
      <c r="IMX433" s="125"/>
      <c r="IMY433" s="134"/>
      <c r="IMZ433" s="135"/>
      <c r="INA433" s="135"/>
      <c r="INB433" s="135"/>
      <c r="INC433" s="135"/>
      <c r="IND433" s="173"/>
      <c r="INE433" s="173"/>
      <c r="INF433" s="173"/>
      <c r="ING433" s="173"/>
      <c r="INH433" s="173"/>
      <c r="INI433" s="173"/>
      <c r="INJ433" s="173"/>
      <c r="INK433" s="173"/>
      <c r="INL433" s="173"/>
      <c r="INM433" s="173"/>
      <c r="INN433" s="125"/>
      <c r="INO433" s="125"/>
      <c r="INP433" s="134"/>
      <c r="INQ433" s="135"/>
      <c r="INR433" s="135"/>
      <c r="INS433" s="135"/>
      <c r="INT433" s="135"/>
      <c r="INU433" s="173"/>
      <c r="INV433" s="173"/>
      <c r="INW433" s="173"/>
      <c r="INX433" s="173"/>
      <c r="INY433" s="173"/>
      <c r="INZ433" s="173"/>
      <c r="IOA433" s="173"/>
      <c r="IOB433" s="173"/>
      <c r="IOC433" s="173"/>
      <c r="IOD433" s="173"/>
      <c r="IOE433" s="125"/>
      <c r="IOF433" s="125"/>
      <c r="IOG433" s="134"/>
      <c r="IOH433" s="135"/>
      <c r="IOI433" s="135"/>
      <c r="IOJ433" s="135"/>
      <c r="IOK433" s="135"/>
      <c r="IOL433" s="173"/>
      <c r="IOM433" s="173"/>
      <c r="ION433" s="173"/>
      <c r="IOO433" s="173"/>
      <c r="IOP433" s="173"/>
      <c r="IOQ433" s="173"/>
      <c r="IOR433" s="173"/>
      <c r="IOS433" s="173"/>
      <c r="IOT433" s="173"/>
      <c r="IOU433" s="173"/>
      <c r="IOV433" s="125"/>
      <c r="IOW433" s="125"/>
      <c r="IOX433" s="134"/>
      <c r="IOY433" s="135"/>
      <c r="IOZ433" s="135"/>
      <c r="IPA433" s="135"/>
      <c r="IPB433" s="135"/>
      <c r="IPC433" s="173"/>
      <c r="IPD433" s="173"/>
      <c r="IPE433" s="173"/>
      <c r="IPF433" s="173"/>
      <c r="IPG433" s="173"/>
      <c r="IPH433" s="173"/>
      <c r="IPI433" s="173"/>
      <c r="IPJ433" s="173"/>
      <c r="IPK433" s="173"/>
      <c r="IPL433" s="173"/>
      <c r="IPM433" s="125"/>
      <c r="IPN433" s="125"/>
      <c r="IPO433" s="134"/>
      <c r="IPP433" s="135"/>
      <c r="IPQ433" s="135"/>
      <c r="IPR433" s="135"/>
      <c r="IPS433" s="135"/>
      <c r="IPT433" s="173"/>
      <c r="IPU433" s="173"/>
      <c r="IPV433" s="173"/>
      <c r="IPW433" s="173"/>
      <c r="IPX433" s="173"/>
      <c r="IPY433" s="173"/>
      <c r="IPZ433" s="173"/>
      <c r="IQA433" s="173"/>
      <c r="IQB433" s="173"/>
      <c r="IQC433" s="173"/>
      <c r="IQD433" s="125"/>
      <c r="IQE433" s="125"/>
      <c r="IQF433" s="134"/>
      <c r="IQG433" s="135"/>
      <c r="IQH433" s="135"/>
      <c r="IQI433" s="135"/>
      <c r="IQJ433" s="135"/>
      <c r="IQK433" s="173"/>
      <c r="IQL433" s="173"/>
      <c r="IQM433" s="173"/>
      <c r="IQN433" s="173"/>
      <c r="IQO433" s="173"/>
      <c r="IQP433" s="173"/>
      <c r="IQQ433" s="173"/>
      <c r="IQR433" s="173"/>
      <c r="IQS433" s="173"/>
      <c r="IQT433" s="173"/>
      <c r="IQU433" s="125"/>
      <c r="IQV433" s="125"/>
      <c r="IQW433" s="134"/>
      <c r="IQX433" s="135"/>
      <c r="IQY433" s="135"/>
      <c r="IQZ433" s="135"/>
      <c r="IRA433" s="135"/>
      <c r="IRB433" s="173"/>
      <c r="IRC433" s="173"/>
      <c r="IRD433" s="173"/>
      <c r="IRE433" s="173"/>
      <c r="IRF433" s="173"/>
      <c r="IRG433" s="173"/>
      <c r="IRH433" s="173"/>
      <c r="IRI433" s="173"/>
      <c r="IRJ433" s="173"/>
      <c r="IRK433" s="173"/>
      <c r="IRL433" s="125"/>
      <c r="IRM433" s="125"/>
      <c r="IRN433" s="134"/>
      <c r="IRO433" s="135"/>
      <c r="IRP433" s="135"/>
      <c r="IRQ433" s="135"/>
      <c r="IRR433" s="135"/>
      <c r="IRS433" s="173"/>
      <c r="IRT433" s="173"/>
      <c r="IRU433" s="173"/>
      <c r="IRV433" s="173"/>
      <c r="IRW433" s="173"/>
      <c r="IRX433" s="173"/>
      <c r="IRY433" s="173"/>
      <c r="IRZ433" s="173"/>
      <c r="ISA433" s="173"/>
      <c r="ISB433" s="173"/>
      <c r="ISC433" s="125"/>
      <c r="ISD433" s="125"/>
      <c r="ISE433" s="134"/>
      <c r="ISF433" s="135"/>
      <c r="ISG433" s="135"/>
      <c r="ISH433" s="135"/>
      <c r="ISI433" s="135"/>
      <c r="ISJ433" s="173"/>
      <c r="ISK433" s="173"/>
      <c r="ISL433" s="173"/>
      <c r="ISM433" s="173"/>
      <c r="ISN433" s="173"/>
      <c r="ISO433" s="173"/>
      <c r="ISP433" s="173"/>
      <c r="ISQ433" s="173"/>
      <c r="ISR433" s="173"/>
      <c r="ISS433" s="173"/>
      <c r="IST433" s="125"/>
      <c r="ISU433" s="125"/>
      <c r="ISV433" s="134"/>
      <c r="ISW433" s="135"/>
      <c r="ISX433" s="135"/>
      <c r="ISY433" s="135"/>
      <c r="ISZ433" s="135"/>
      <c r="ITA433" s="173"/>
      <c r="ITB433" s="173"/>
      <c r="ITC433" s="173"/>
      <c r="ITD433" s="173"/>
      <c r="ITE433" s="173"/>
      <c r="ITF433" s="173"/>
      <c r="ITG433" s="173"/>
      <c r="ITH433" s="173"/>
      <c r="ITI433" s="173"/>
      <c r="ITJ433" s="173"/>
      <c r="ITK433" s="125"/>
      <c r="ITL433" s="125"/>
      <c r="ITM433" s="134"/>
      <c r="ITN433" s="135"/>
      <c r="ITO433" s="135"/>
      <c r="ITP433" s="135"/>
      <c r="ITQ433" s="135"/>
      <c r="ITR433" s="173"/>
      <c r="ITS433" s="173"/>
      <c r="ITT433" s="173"/>
      <c r="ITU433" s="173"/>
      <c r="ITV433" s="173"/>
      <c r="ITW433" s="173"/>
      <c r="ITX433" s="173"/>
      <c r="ITY433" s="173"/>
      <c r="ITZ433" s="173"/>
      <c r="IUA433" s="173"/>
      <c r="IUB433" s="125"/>
      <c r="IUC433" s="125"/>
      <c r="IUD433" s="134"/>
      <c r="IUE433" s="135"/>
      <c r="IUF433" s="135"/>
      <c r="IUG433" s="135"/>
      <c r="IUH433" s="135"/>
      <c r="IUI433" s="173"/>
      <c r="IUJ433" s="173"/>
      <c r="IUK433" s="173"/>
      <c r="IUL433" s="173"/>
      <c r="IUM433" s="173"/>
      <c r="IUN433" s="173"/>
      <c r="IUO433" s="173"/>
      <c r="IUP433" s="173"/>
      <c r="IUQ433" s="173"/>
      <c r="IUR433" s="173"/>
      <c r="IUS433" s="125"/>
      <c r="IUT433" s="125"/>
      <c r="IUU433" s="134"/>
      <c r="IUV433" s="135"/>
      <c r="IUW433" s="135"/>
      <c r="IUX433" s="135"/>
      <c r="IUY433" s="135"/>
      <c r="IUZ433" s="173"/>
      <c r="IVA433" s="173"/>
      <c r="IVB433" s="173"/>
      <c r="IVC433" s="173"/>
      <c r="IVD433" s="173"/>
      <c r="IVE433" s="173"/>
      <c r="IVF433" s="173"/>
      <c r="IVG433" s="173"/>
      <c r="IVH433" s="173"/>
      <c r="IVI433" s="173"/>
      <c r="IVJ433" s="125"/>
      <c r="IVK433" s="125"/>
      <c r="IVL433" s="134"/>
      <c r="IVM433" s="135"/>
      <c r="IVN433" s="135"/>
      <c r="IVO433" s="135"/>
      <c r="IVP433" s="135"/>
      <c r="IVQ433" s="173"/>
      <c r="IVR433" s="173"/>
      <c r="IVS433" s="173"/>
      <c r="IVT433" s="173"/>
      <c r="IVU433" s="173"/>
      <c r="IVV433" s="173"/>
      <c r="IVW433" s="173"/>
      <c r="IVX433" s="173"/>
      <c r="IVY433" s="173"/>
      <c r="IVZ433" s="173"/>
      <c r="IWA433" s="125"/>
      <c r="IWB433" s="125"/>
      <c r="IWC433" s="134"/>
      <c r="IWD433" s="135"/>
      <c r="IWE433" s="135"/>
      <c r="IWF433" s="135"/>
      <c r="IWG433" s="135"/>
      <c r="IWH433" s="173"/>
      <c r="IWI433" s="173"/>
      <c r="IWJ433" s="173"/>
      <c r="IWK433" s="173"/>
      <c r="IWL433" s="173"/>
      <c r="IWM433" s="173"/>
      <c r="IWN433" s="173"/>
      <c r="IWO433" s="173"/>
      <c r="IWP433" s="173"/>
      <c r="IWQ433" s="173"/>
      <c r="IWR433" s="125"/>
      <c r="IWS433" s="125"/>
      <c r="IWT433" s="134"/>
      <c r="IWU433" s="135"/>
      <c r="IWV433" s="135"/>
      <c r="IWW433" s="135"/>
      <c r="IWX433" s="135"/>
      <c r="IWY433" s="173"/>
      <c r="IWZ433" s="173"/>
      <c r="IXA433" s="173"/>
      <c r="IXB433" s="173"/>
      <c r="IXC433" s="173"/>
      <c r="IXD433" s="173"/>
      <c r="IXE433" s="173"/>
      <c r="IXF433" s="173"/>
      <c r="IXG433" s="173"/>
      <c r="IXH433" s="173"/>
      <c r="IXI433" s="125"/>
      <c r="IXJ433" s="125"/>
      <c r="IXK433" s="134"/>
      <c r="IXL433" s="135"/>
      <c r="IXM433" s="135"/>
      <c r="IXN433" s="135"/>
      <c r="IXO433" s="135"/>
      <c r="IXP433" s="173"/>
      <c r="IXQ433" s="173"/>
      <c r="IXR433" s="173"/>
      <c r="IXS433" s="173"/>
      <c r="IXT433" s="173"/>
      <c r="IXU433" s="173"/>
      <c r="IXV433" s="173"/>
      <c r="IXW433" s="173"/>
      <c r="IXX433" s="173"/>
      <c r="IXY433" s="173"/>
      <c r="IXZ433" s="125"/>
      <c r="IYA433" s="125"/>
      <c r="IYB433" s="134"/>
      <c r="IYC433" s="135"/>
      <c r="IYD433" s="135"/>
      <c r="IYE433" s="135"/>
      <c r="IYF433" s="135"/>
      <c r="IYG433" s="173"/>
      <c r="IYH433" s="173"/>
      <c r="IYI433" s="173"/>
      <c r="IYJ433" s="173"/>
      <c r="IYK433" s="173"/>
      <c r="IYL433" s="173"/>
      <c r="IYM433" s="173"/>
      <c r="IYN433" s="173"/>
      <c r="IYO433" s="173"/>
      <c r="IYP433" s="173"/>
      <c r="IYQ433" s="125"/>
      <c r="IYR433" s="125"/>
      <c r="IYS433" s="134"/>
      <c r="IYT433" s="135"/>
      <c r="IYU433" s="135"/>
      <c r="IYV433" s="135"/>
      <c r="IYW433" s="135"/>
      <c r="IYX433" s="173"/>
      <c r="IYY433" s="173"/>
      <c r="IYZ433" s="173"/>
      <c r="IZA433" s="173"/>
      <c r="IZB433" s="173"/>
      <c r="IZC433" s="173"/>
      <c r="IZD433" s="173"/>
      <c r="IZE433" s="173"/>
      <c r="IZF433" s="173"/>
      <c r="IZG433" s="173"/>
      <c r="IZH433" s="125"/>
      <c r="IZI433" s="125"/>
      <c r="IZJ433" s="134"/>
      <c r="IZK433" s="135"/>
      <c r="IZL433" s="135"/>
      <c r="IZM433" s="135"/>
      <c r="IZN433" s="135"/>
      <c r="IZO433" s="173"/>
      <c r="IZP433" s="173"/>
      <c r="IZQ433" s="173"/>
      <c r="IZR433" s="173"/>
      <c r="IZS433" s="173"/>
      <c r="IZT433" s="173"/>
      <c r="IZU433" s="173"/>
      <c r="IZV433" s="173"/>
      <c r="IZW433" s="173"/>
      <c r="IZX433" s="173"/>
      <c r="IZY433" s="125"/>
      <c r="IZZ433" s="125"/>
      <c r="JAA433" s="134"/>
      <c r="JAB433" s="135"/>
      <c r="JAC433" s="135"/>
      <c r="JAD433" s="135"/>
      <c r="JAE433" s="135"/>
      <c r="JAF433" s="173"/>
      <c r="JAG433" s="173"/>
      <c r="JAH433" s="173"/>
      <c r="JAI433" s="173"/>
      <c r="JAJ433" s="173"/>
      <c r="JAK433" s="173"/>
      <c r="JAL433" s="173"/>
      <c r="JAM433" s="173"/>
      <c r="JAN433" s="173"/>
      <c r="JAO433" s="173"/>
      <c r="JAP433" s="125"/>
      <c r="JAQ433" s="125"/>
      <c r="JAR433" s="134"/>
      <c r="JAS433" s="135"/>
      <c r="JAT433" s="135"/>
      <c r="JAU433" s="135"/>
      <c r="JAV433" s="135"/>
      <c r="JAW433" s="173"/>
      <c r="JAX433" s="173"/>
      <c r="JAY433" s="173"/>
      <c r="JAZ433" s="173"/>
      <c r="JBA433" s="173"/>
      <c r="JBB433" s="173"/>
      <c r="JBC433" s="173"/>
      <c r="JBD433" s="173"/>
      <c r="JBE433" s="173"/>
      <c r="JBF433" s="173"/>
      <c r="JBG433" s="125"/>
      <c r="JBH433" s="125"/>
      <c r="JBI433" s="134"/>
      <c r="JBJ433" s="135"/>
      <c r="JBK433" s="135"/>
      <c r="JBL433" s="135"/>
      <c r="JBM433" s="135"/>
      <c r="JBN433" s="173"/>
      <c r="JBO433" s="173"/>
      <c r="JBP433" s="173"/>
      <c r="JBQ433" s="173"/>
      <c r="JBR433" s="173"/>
      <c r="JBS433" s="173"/>
      <c r="JBT433" s="173"/>
      <c r="JBU433" s="173"/>
      <c r="JBV433" s="173"/>
      <c r="JBW433" s="173"/>
      <c r="JBX433" s="125"/>
      <c r="JBY433" s="125"/>
      <c r="JBZ433" s="134"/>
      <c r="JCA433" s="135"/>
      <c r="JCB433" s="135"/>
      <c r="JCC433" s="135"/>
      <c r="JCD433" s="135"/>
      <c r="JCE433" s="173"/>
      <c r="JCF433" s="173"/>
      <c r="JCG433" s="173"/>
      <c r="JCH433" s="173"/>
      <c r="JCI433" s="173"/>
      <c r="JCJ433" s="173"/>
      <c r="JCK433" s="173"/>
      <c r="JCL433" s="173"/>
      <c r="JCM433" s="173"/>
      <c r="JCN433" s="173"/>
      <c r="JCO433" s="125"/>
      <c r="JCP433" s="125"/>
      <c r="JCQ433" s="134"/>
      <c r="JCR433" s="135"/>
      <c r="JCS433" s="135"/>
      <c r="JCT433" s="135"/>
      <c r="JCU433" s="135"/>
      <c r="JCV433" s="173"/>
      <c r="JCW433" s="173"/>
      <c r="JCX433" s="173"/>
      <c r="JCY433" s="173"/>
      <c r="JCZ433" s="173"/>
      <c r="JDA433" s="173"/>
      <c r="JDB433" s="173"/>
      <c r="JDC433" s="173"/>
      <c r="JDD433" s="173"/>
      <c r="JDE433" s="173"/>
      <c r="JDF433" s="125"/>
      <c r="JDG433" s="125"/>
      <c r="JDH433" s="134"/>
      <c r="JDI433" s="135"/>
      <c r="JDJ433" s="135"/>
      <c r="JDK433" s="135"/>
      <c r="JDL433" s="135"/>
      <c r="JDM433" s="173"/>
      <c r="JDN433" s="173"/>
      <c r="JDO433" s="173"/>
      <c r="JDP433" s="173"/>
      <c r="JDQ433" s="173"/>
      <c r="JDR433" s="173"/>
      <c r="JDS433" s="173"/>
      <c r="JDT433" s="173"/>
      <c r="JDU433" s="173"/>
      <c r="JDV433" s="173"/>
      <c r="JDW433" s="125"/>
      <c r="JDX433" s="125"/>
      <c r="JDY433" s="134"/>
      <c r="JDZ433" s="135"/>
      <c r="JEA433" s="135"/>
      <c r="JEB433" s="135"/>
      <c r="JEC433" s="135"/>
      <c r="JED433" s="173"/>
      <c r="JEE433" s="173"/>
      <c r="JEF433" s="173"/>
      <c r="JEG433" s="173"/>
      <c r="JEH433" s="173"/>
      <c r="JEI433" s="173"/>
      <c r="JEJ433" s="173"/>
      <c r="JEK433" s="173"/>
      <c r="JEL433" s="173"/>
      <c r="JEM433" s="173"/>
      <c r="JEN433" s="125"/>
      <c r="JEO433" s="125"/>
      <c r="JEP433" s="134"/>
      <c r="JEQ433" s="135"/>
      <c r="JER433" s="135"/>
      <c r="JES433" s="135"/>
      <c r="JET433" s="135"/>
      <c r="JEU433" s="173"/>
      <c r="JEV433" s="173"/>
      <c r="JEW433" s="173"/>
      <c r="JEX433" s="173"/>
      <c r="JEY433" s="173"/>
      <c r="JEZ433" s="173"/>
      <c r="JFA433" s="173"/>
      <c r="JFB433" s="173"/>
      <c r="JFC433" s="173"/>
      <c r="JFD433" s="173"/>
      <c r="JFE433" s="125"/>
      <c r="JFF433" s="125"/>
      <c r="JFG433" s="134"/>
      <c r="JFH433" s="135"/>
      <c r="JFI433" s="135"/>
      <c r="JFJ433" s="135"/>
      <c r="JFK433" s="135"/>
      <c r="JFL433" s="173"/>
      <c r="JFM433" s="173"/>
      <c r="JFN433" s="173"/>
      <c r="JFO433" s="173"/>
      <c r="JFP433" s="173"/>
      <c r="JFQ433" s="173"/>
      <c r="JFR433" s="173"/>
      <c r="JFS433" s="173"/>
      <c r="JFT433" s="173"/>
      <c r="JFU433" s="173"/>
      <c r="JFV433" s="125"/>
      <c r="JFW433" s="125"/>
      <c r="JFX433" s="134"/>
      <c r="JFY433" s="135"/>
      <c r="JFZ433" s="135"/>
      <c r="JGA433" s="135"/>
      <c r="JGB433" s="135"/>
      <c r="JGC433" s="173"/>
      <c r="JGD433" s="173"/>
      <c r="JGE433" s="173"/>
      <c r="JGF433" s="173"/>
      <c r="JGG433" s="173"/>
      <c r="JGH433" s="173"/>
      <c r="JGI433" s="173"/>
      <c r="JGJ433" s="173"/>
      <c r="JGK433" s="173"/>
      <c r="JGL433" s="173"/>
      <c r="JGM433" s="125"/>
      <c r="JGN433" s="125"/>
      <c r="JGO433" s="134"/>
      <c r="JGP433" s="135"/>
      <c r="JGQ433" s="135"/>
      <c r="JGR433" s="135"/>
      <c r="JGS433" s="135"/>
      <c r="JGT433" s="173"/>
      <c r="JGU433" s="173"/>
      <c r="JGV433" s="173"/>
      <c r="JGW433" s="173"/>
      <c r="JGX433" s="173"/>
      <c r="JGY433" s="173"/>
      <c r="JGZ433" s="173"/>
      <c r="JHA433" s="173"/>
      <c r="JHB433" s="173"/>
      <c r="JHC433" s="173"/>
      <c r="JHD433" s="125"/>
      <c r="JHE433" s="125"/>
      <c r="JHF433" s="134"/>
      <c r="JHG433" s="135"/>
      <c r="JHH433" s="135"/>
      <c r="JHI433" s="135"/>
      <c r="JHJ433" s="135"/>
      <c r="JHK433" s="173"/>
      <c r="JHL433" s="173"/>
      <c r="JHM433" s="173"/>
      <c r="JHN433" s="173"/>
      <c r="JHO433" s="173"/>
      <c r="JHP433" s="173"/>
      <c r="JHQ433" s="173"/>
      <c r="JHR433" s="173"/>
      <c r="JHS433" s="173"/>
      <c r="JHT433" s="173"/>
      <c r="JHU433" s="125"/>
      <c r="JHV433" s="125"/>
      <c r="JHW433" s="134"/>
      <c r="JHX433" s="135"/>
      <c r="JHY433" s="135"/>
      <c r="JHZ433" s="135"/>
      <c r="JIA433" s="135"/>
      <c r="JIB433" s="173"/>
      <c r="JIC433" s="173"/>
      <c r="JID433" s="173"/>
      <c r="JIE433" s="173"/>
      <c r="JIF433" s="173"/>
      <c r="JIG433" s="173"/>
      <c r="JIH433" s="173"/>
      <c r="JII433" s="173"/>
      <c r="JIJ433" s="173"/>
      <c r="JIK433" s="173"/>
      <c r="JIL433" s="125"/>
      <c r="JIM433" s="125"/>
      <c r="JIN433" s="134"/>
      <c r="JIO433" s="135"/>
      <c r="JIP433" s="135"/>
      <c r="JIQ433" s="135"/>
      <c r="JIR433" s="135"/>
      <c r="JIS433" s="173"/>
      <c r="JIT433" s="173"/>
      <c r="JIU433" s="173"/>
      <c r="JIV433" s="173"/>
      <c r="JIW433" s="173"/>
      <c r="JIX433" s="173"/>
      <c r="JIY433" s="173"/>
      <c r="JIZ433" s="173"/>
      <c r="JJA433" s="173"/>
      <c r="JJB433" s="173"/>
      <c r="JJC433" s="125"/>
      <c r="JJD433" s="125"/>
      <c r="JJE433" s="134"/>
      <c r="JJF433" s="135"/>
      <c r="JJG433" s="135"/>
      <c r="JJH433" s="135"/>
      <c r="JJI433" s="135"/>
      <c r="JJJ433" s="173"/>
      <c r="JJK433" s="173"/>
      <c r="JJL433" s="173"/>
      <c r="JJM433" s="173"/>
      <c r="JJN433" s="173"/>
      <c r="JJO433" s="173"/>
      <c r="JJP433" s="173"/>
      <c r="JJQ433" s="173"/>
      <c r="JJR433" s="173"/>
      <c r="JJS433" s="173"/>
      <c r="JJT433" s="125"/>
      <c r="JJU433" s="125"/>
      <c r="JJV433" s="134"/>
      <c r="JJW433" s="135"/>
      <c r="JJX433" s="135"/>
      <c r="JJY433" s="135"/>
      <c r="JJZ433" s="135"/>
      <c r="JKA433" s="173"/>
      <c r="JKB433" s="173"/>
      <c r="JKC433" s="173"/>
      <c r="JKD433" s="173"/>
      <c r="JKE433" s="173"/>
      <c r="JKF433" s="173"/>
      <c r="JKG433" s="173"/>
      <c r="JKH433" s="173"/>
      <c r="JKI433" s="173"/>
      <c r="JKJ433" s="173"/>
      <c r="JKK433" s="125"/>
      <c r="JKL433" s="125"/>
      <c r="JKM433" s="134"/>
      <c r="JKN433" s="135"/>
      <c r="JKO433" s="135"/>
      <c r="JKP433" s="135"/>
      <c r="JKQ433" s="135"/>
      <c r="JKR433" s="173"/>
      <c r="JKS433" s="173"/>
      <c r="JKT433" s="173"/>
      <c r="JKU433" s="173"/>
      <c r="JKV433" s="173"/>
      <c r="JKW433" s="173"/>
      <c r="JKX433" s="173"/>
      <c r="JKY433" s="173"/>
      <c r="JKZ433" s="173"/>
      <c r="JLA433" s="173"/>
      <c r="JLB433" s="125"/>
      <c r="JLC433" s="125"/>
      <c r="JLD433" s="134"/>
      <c r="JLE433" s="135"/>
      <c r="JLF433" s="135"/>
      <c r="JLG433" s="135"/>
      <c r="JLH433" s="135"/>
      <c r="JLI433" s="173"/>
      <c r="JLJ433" s="173"/>
      <c r="JLK433" s="173"/>
      <c r="JLL433" s="173"/>
      <c r="JLM433" s="173"/>
      <c r="JLN433" s="173"/>
      <c r="JLO433" s="173"/>
      <c r="JLP433" s="173"/>
      <c r="JLQ433" s="173"/>
      <c r="JLR433" s="173"/>
      <c r="JLS433" s="125"/>
      <c r="JLT433" s="125"/>
      <c r="JLU433" s="134"/>
      <c r="JLV433" s="135"/>
      <c r="JLW433" s="135"/>
      <c r="JLX433" s="135"/>
      <c r="JLY433" s="135"/>
      <c r="JLZ433" s="173"/>
      <c r="JMA433" s="173"/>
      <c r="JMB433" s="173"/>
      <c r="JMC433" s="173"/>
      <c r="JMD433" s="173"/>
      <c r="JME433" s="173"/>
      <c r="JMF433" s="173"/>
      <c r="JMG433" s="173"/>
      <c r="JMH433" s="173"/>
      <c r="JMI433" s="173"/>
      <c r="JMJ433" s="125"/>
      <c r="JMK433" s="125"/>
      <c r="JML433" s="134"/>
      <c r="JMM433" s="135"/>
      <c r="JMN433" s="135"/>
      <c r="JMO433" s="135"/>
      <c r="JMP433" s="135"/>
      <c r="JMQ433" s="173"/>
      <c r="JMR433" s="173"/>
      <c r="JMS433" s="173"/>
      <c r="JMT433" s="173"/>
      <c r="JMU433" s="173"/>
      <c r="JMV433" s="173"/>
      <c r="JMW433" s="173"/>
      <c r="JMX433" s="173"/>
      <c r="JMY433" s="173"/>
      <c r="JMZ433" s="173"/>
      <c r="JNA433" s="125"/>
      <c r="JNB433" s="125"/>
      <c r="JNC433" s="134"/>
      <c r="JND433" s="135"/>
      <c r="JNE433" s="135"/>
      <c r="JNF433" s="135"/>
      <c r="JNG433" s="135"/>
      <c r="JNH433" s="173"/>
      <c r="JNI433" s="173"/>
      <c r="JNJ433" s="173"/>
      <c r="JNK433" s="173"/>
      <c r="JNL433" s="173"/>
      <c r="JNM433" s="173"/>
      <c r="JNN433" s="173"/>
      <c r="JNO433" s="173"/>
      <c r="JNP433" s="173"/>
      <c r="JNQ433" s="173"/>
      <c r="JNR433" s="125"/>
      <c r="JNS433" s="125"/>
      <c r="JNT433" s="134"/>
      <c r="JNU433" s="135"/>
      <c r="JNV433" s="135"/>
      <c r="JNW433" s="135"/>
      <c r="JNX433" s="135"/>
      <c r="JNY433" s="173"/>
      <c r="JNZ433" s="173"/>
      <c r="JOA433" s="173"/>
      <c r="JOB433" s="173"/>
      <c r="JOC433" s="173"/>
      <c r="JOD433" s="173"/>
      <c r="JOE433" s="173"/>
      <c r="JOF433" s="173"/>
      <c r="JOG433" s="173"/>
      <c r="JOH433" s="173"/>
      <c r="JOI433" s="125"/>
      <c r="JOJ433" s="125"/>
      <c r="JOK433" s="134"/>
      <c r="JOL433" s="135"/>
      <c r="JOM433" s="135"/>
      <c r="JON433" s="135"/>
      <c r="JOO433" s="135"/>
      <c r="JOP433" s="173"/>
      <c r="JOQ433" s="173"/>
      <c r="JOR433" s="173"/>
      <c r="JOS433" s="173"/>
      <c r="JOT433" s="173"/>
      <c r="JOU433" s="173"/>
      <c r="JOV433" s="173"/>
      <c r="JOW433" s="173"/>
      <c r="JOX433" s="173"/>
      <c r="JOY433" s="173"/>
      <c r="JOZ433" s="125"/>
      <c r="JPA433" s="125"/>
      <c r="JPB433" s="134"/>
      <c r="JPC433" s="135"/>
      <c r="JPD433" s="135"/>
      <c r="JPE433" s="135"/>
      <c r="JPF433" s="135"/>
      <c r="JPG433" s="173"/>
      <c r="JPH433" s="173"/>
      <c r="JPI433" s="173"/>
      <c r="JPJ433" s="173"/>
      <c r="JPK433" s="173"/>
      <c r="JPL433" s="173"/>
      <c r="JPM433" s="173"/>
      <c r="JPN433" s="173"/>
      <c r="JPO433" s="173"/>
      <c r="JPP433" s="173"/>
      <c r="JPQ433" s="125"/>
      <c r="JPR433" s="125"/>
      <c r="JPS433" s="134"/>
      <c r="JPT433" s="135"/>
      <c r="JPU433" s="135"/>
      <c r="JPV433" s="135"/>
      <c r="JPW433" s="135"/>
      <c r="JPX433" s="173"/>
      <c r="JPY433" s="173"/>
      <c r="JPZ433" s="173"/>
      <c r="JQA433" s="173"/>
      <c r="JQB433" s="173"/>
      <c r="JQC433" s="173"/>
      <c r="JQD433" s="173"/>
      <c r="JQE433" s="173"/>
      <c r="JQF433" s="173"/>
      <c r="JQG433" s="173"/>
      <c r="JQH433" s="125"/>
      <c r="JQI433" s="125"/>
      <c r="JQJ433" s="134"/>
      <c r="JQK433" s="135"/>
      <c r="JQL433" s="135"/>
      <c r="JQM433" s="135"/>
      <c r="JQN433" s="135"/>
      <c r="JQO433" s="173"/>
      <c r="JQP433" s="173"/>
      <c r="JQQ433" s="173"/>
      <c r="JQR433" s="173"/>
      <c r="JQS433" s="173"/>
      <c r="JQT433" s="173"/>
      <c r="JQU433" s="173"/>
      <c r="JQV433" s="173"/>
      <c r="JQW433" s="173"/>
      <c r="JQX433" s="173"/>
      <c r="JQY433" s="125"/>
      <c r="JQZ433" s="125"/>
      <c r="JRA433" s="134"/>
      <c r="JRB433" s="135"/>
      <c r="JRC433" s="135"/>
      <c r="JRD433" s="135"/>
      <c r="JRE433" s="135"/>
      <c r="JRF433" s="173"/>
      <c r="JRG433" s="173"/>
      <c r="JRH433" s="173"/>
      <c r="JRI433" s="173"/>
      <c r="JRJ433" s="173"/>
      <c r="JRK433" s="173"/>
      <c r="JRL433" s="173"/>
      <c r="JRM433" s="173"/>
      <c r="JRN433" s="173"/>
      <c r="JRO433" s="173"/>
      <c r="JRP433" s="125"/>
      <c r="JRQ433" s="125"/>
      <c r="JRR433" s="134"/>
      <c r="JRS433" s="135"/>
      <c r="JRT433" s="135"/>
      <c r="JRU433" s="135"/>
      <c r="JRV433" s="135"/>
      <c r="JRW433" s="173"/>
      <c r="JRX433" s="173"/>
      <c r="JRY433" s="173"/>
      <c r="JRZ433" s="173"/>
      <c r="JSA433" s="173"/>
      <c r="JSB433" s="173"/>
      <c r="JSC433" s="173"/>
      <c r="JSD433" s="173"/>
      <c r="JSE433" s="173"/>
      <c r="JSF433" s="173"/>
      <c r="JSG433" s="125"/>
      <c r="JSH433" s="125"/>
      <c r="JSI433" s="134"/>
      <c r="JSJ433" s="135"/>
      <c r="JSK433" s="135"/>
      <c r="JSL433" s="135"/>
      <c r="JSM433" s="135"/>
      <c r="JSN433" s="173"/>
      <c r="JSO433" s="173"/>
      <c r="JSP433" s="173"/>
      <c r="JSQ433" s="173"/>
      <c r="JSR433" s="173"/>
      <c r="JSS433" s="173"/>
      <c r="JST433" s="173"/>
      <c r="JSU433" s="173"/>
      <c r="JSV433" s="173"/>
      <c r="JSW433" s="173"/>
      <c r="JSX433" s="125"/>
      <c r="JSY433" s="125"/>
      <c r="JSZ433" s="134"/>
      <c r="JTA433" s="135"/>
      <c r="JTB433" s="135"/>
      <c r="JTC433" s="135"/>
      <c r="JTD433" s="135"/>
      <c r="JTE433" s="173"/>
      <c r="JTF433" s="173"/>
      <c r="JTG433" s="173"/>
      <c r="JTH433" s="173"/>
      <c r="JTI433" s="173"/>
      <c r="JTJ433" s="173"/>
      <c r="JTK433" s="173"/>
      <c r="JTL433" s="173"/>
      <c r="JTM433" s="173"/>
      <c r="JTN433" s="173"/>
      <c r="JTO433" s="125"/>
      <c r="JTP433" s="125"/>
      <c r="JTQ433" s="134"/>
      <c r="JTR433" s="135"/>
      <c r="JTS433" s="135"/>
      <c r="JTT433" s="135"/>
      <c r="JTU433" s="135"/>
      <c r="JTV433" s="173"/>
      <c r="JTW433" s="173"/>
      <c r="JTX433" s="173"/>
      <c r="JTY433" s="173"/>
      <c r="JTZ433" s="173"/>
      <c r="JUA433" s="173"/>
      <c r="JUB433" s="173"/>
      <c r="JUC433" s="173"/>
      <c r="JUD433" s="173"/>
      <c r="JUE433" s="173"/>
      <c r="JUF433" s="125"/>
      <c r="JUG433" s="125"/>
      <c r="JUH433" s="134"/>
      <c r="JUI433" s="135"/>
      <c r="JUJ433" s="135"/>
      <c r="JUK433" s="135"/>
      <c r="JUL433" s="135"/>
      <c r="JUM433" s="173"/>
      <c r="JUN433" s="173"/>
      <c r="JUO433" s="173"/>
      <c r="JUP433" s="173"/>
      <c r="JUQ433" s="173"/>
      <c r="JUR433" s="173"/>
      <c r="JUS433" s="173"/>
      <c r="JUT433" s="173"/>
      <c r="JUU433" s="173"/>
      <c r="JUV433" s="173"/>
      <c r="JUW433" s="125"/>
      <c r="JUX433" s="125"/>
      <c r="JUY433" s="134"/>
      <c r="JUZ433" s="135"/>
      <c r="JVA433" s="135"/>
      <c r="JVB433" s="135"/>
      <c r="JVC433" s="135"/>
      <c r="JVD433" s="173"/>
      <c r="JVE433" s="173"/>
      <c r="JVF433" s="173"/>
      <c r="JVG433" s="173"/>
      <c r="JVH433" s="173"/>
      <c r="JVI433" s="173"/>
      <c r="JVJ433" s="173"/>
      <c r="JVK433" s="173"/>
      <c r="JVL433" s="173"/>
      <c r="JVM433" s="173"/>
      <c r="JVN433" s="125"/>
      <c r="JVO433" s="125"/>
      <c r="JVP433" s="134"/>
      <c r="JVQ433" s="135"/>
      <c r="JVR433" s="135"/>
      <c r="JVS433" s="135"/>
      <c r="JVT433" s="135"/>
      <c r="JVU433" s="173"/>
      <c r="JVV433" s="173"/>
      <c r="JVW433" s="173"/>
      <c r="JVX433" s="173"/>
      <c r="JVY433" s="173"/>
      <c r="JVZ433" s="173"/>
      <c r="JWA433" s="173"/>
      <c r="JWB433" s="173"/>
      <c r="JWC433" s="173"/>
      <c r="JWD433" s="173"/>
      <c r="JWE433" s="125"/>
      <c r="JWF433" s="125"/>
      <c r="JWG433" s="134"/>
      <c r="JWH433" s="135"/>
      <c r="JWI433" s="135"/>
      <c r="JWJ433" s="135"/>
      <c r="JWK433" s="135"/>
      <c r="JWL433" s="173"/>
      <c r="JWM433" s="173"/>
      <c r="JWN433" s="173"/>
      <c r="JWO433" s="173"/>
      <c r="JWP433" s="173"/>
      <c r="JWQ433" s="173"/>
      <c r="JWR433" s="173"/>
      <c r="JWS433" s="173"/>
      <c r="JWT433" s="173"/>
      <c r="JWU433" s="173"/>
      <c r="JWV433" s="125"/>
      <c r="JWW433" s="125"/>
      <c r="JWX433" s="134"/>
      <c r="JWY433" s="135"/>
      <c r="JWZ433" s="135"/>
      <c r="JXA433" s="135"/>
      <c r="JXB433" s="135"/>
      <c r="JXC433" s="173"/>
      <c r="JXD433" s="173"/>
      <c r="JXE433" s="173"/>
      <c r="JXF433" s="173"/>
      <c r="JXG433" s="173"/>
      <c r="JXH433" s="173"/>
      <c r="JXI433" s="173"/>
      <c r="JXJ433" s="173"/>
      <c r="JXK433" s="173"/>
      <c r="JXL433" s="173"/>
      <c r="JXM433" s="125"/>
      <c r="JXN433" s="125"/>
      <c r="JXO433" s="134"/>
      <c r="JXP433" s="135"/>
      <c r="JXQ433" s="135"/>
      <c r="JXR433" s="135"/>
      <c r="JXS433" s="135"/>
      <c r="JXT433" s="173"/>
      <c r="JXU433" s="173"/>
      <c r="JXV433" s="173"/>
      <c r="JXW433" s="173"/>
      <c r="JXX433" s="173"/>
      <c r="JXY433" s="173"/>
      <c r="JXZ433" s="173"/>
      <c r="JYA433" s="173"/>
      <c r="JYB433" s="173"/>
      <c r="JYC433" s="173"/>
      <c r="JYD433" s="125"/>
      <c r="JYE433" s="125"/>
      <c r="JYF433" s="134"/>
      <c r="JYG433" s="135"/>
      <c r="JYH433" s="135"/>
      <c r="JYI433" s="135"/>
      <c r="JYJ433" s="135"/>
      <c r="JYK433" s="173"/>
      <c r="JYL433" s="173"/>
      <c r="JYM433" s="173"/>
      <c r="JYN433" s="173"/>
      <c r="JYO433" s="173"/>
      <c r="JYP433" s="173"/>
      <c r="JYQ433" s="173"/>
      <c r="JYR433" s="173"/>
      <c r="JYS433" s="173"/>
      <c r="JYT433" s="173"/>
      <c r="JYU433" s="125"/>
      <c r="JYV433" s="125"/>
      <c r="JYW433" s="134"/>
      <c r="JYX433" s="135"/>
      <c r="JYY433" s="135"/>
      <c r="JYZ433" s="135"/>
      <c r="JZA433" s="135"/>
      <c r="JZB433" s="173"/>
      <c r="JZC433" s="173"/>
      <c r="JZD433" s="173"/>
      <c r="JZE433" s="173"/>
      <c r="JZF433" s="173"/>
      <c r="JZG433" s="173"/>
      <c r="JZH433" s="173"/>
      <c r="JZI433" s="173"/>
      <c r="JZJ433" s="173"/>
      <c r="JZK433" s="173"/>
      <c r="JZL433" s="125"/>
      <c r="JZM433" s="125"/>
      <c r="JZN433" s="134"/>
      <c r="JZO433" s="135"/>
      <c r="JZP433" s="135"/>
      <c r="JZQ433" s="135"/>
      <c r="JZR433" s="135"/>
      <c r="JZS433" s="173"/>
      <c r="JZT433" s="173"/>
      <c r="JZU433" s="173"/>
      <c r="JZV433" s="173"/>
      <c r="JZW433" s="173"/>
      <c r="JZX433" s="173"/>
      <c r="JZY433" s="173"/>
      <c r="JZZ433" s="173"/>
      <c r="KAA433" s="173"/>
      <c r="KAB433" s="173"/>
      <c r="KAC433" s="125"/>
      <c r="KAD433" s="125"/>
      <c r="KAE433" s="134"/>
      <c r="KAF433" s="135"/>
      <c r="KAG433" s="135"/>
      <c r="KAH433" s="135"/>
      <c r="KAI433" s="135"/>
      <c r="KAJ433" s="173"/>
      <c r="KAK433" s="173"/>
      <c r="KAL433" s="173"/>
      <c r="KAM433" s="173"/>
      <c r="KAN433" s="173"/>
      <c r="KAO433" s="173"/>
      <c r="KAP433" s="173"/>
      <c r="KAQ433" s="173"/>
      <c r="KAR433" s="173"/>
      <c r="KAS433" s="173"/>
      <c r="KAT433" s="125"/>
      <c r="KAU433" s="125"/>
      <c r="KAV433" s="134"/>
      <c r="KAW433" s="135"/>
      <c r="KAX433" s="135"/>
      <c r="KAY433" s="135"/>
      <c r="KAZ433" s="135"/>
      <c r="KBA433" s="173"/>
      <c r="KBB433" s="173"/>
      <c r="KBC433" s="173"/>
      <c r="KBD433" s="173"/>
      <c r="KBE433" s="173"/>
      <c r="KBF433" s="173"/>
      <c r="KBG433" s="173"/>
      <c r="KBH433" s="173"/>
      <c r="KBI433" s="173"/>
      <c r="KBJ433" s="173"/>
      <c r="KBK433" s="125"/>
      <c r="KBL433" s="125"/>
      <c r="KBM433" s="134"/>
      <c r="KBN433" s="135"/>
      <c r="KBO433" s="135"/>
      <c r="KBP433" s="135"/>
      <c r="KBQ433" s="135"/>
      <c r="KBR433" s="173"/>
      <c r="KBS433" s="173"/>
      <c r="KBT433" s="173"/>
      <c r="KBU433" s="173"/>
      <c r="KBV433" s="173"/>
      <c r="KBW433" s="173"/>
      <c r="KBX433" s="173"/>
      <c r="KBY433" s="173"/>
      <c r="KBZ433" s="173"/>
      <c r="KCA433" s="173"/>
      <c r="KCB433" s="125"/>
      <c r="KCC433" s="125"/>
      <c r="KCD433" s="134"/>
      <c r="KCE433" s="135"/>
      <c r="KCF433" s="135"/>
      <c r="KCG433" s="135"/>
      <c r="KCH433" s="135"/>
      <c r="KCI433" s="173"/>
      <c r="KCJ433" s="173"/>
      <c r="KCK433" s="173"/>
      <c r="KCL433" s="173"/>
      <c r="KCM433" s="173"/>
      <c r="KCN433" s="173"/>
      <c r="KCO433" s="173"/>
      <c r="KCP433" s="173"/>
      <c r="KCQ433" s="173"/>
      <c r="KCR433" s="173"/>
      <c r="KCS433" s="125"/>
      <c r="KCT433" s="125"/>
      <c r="KCU433" s="134"/>
      <c r="KCV433" s="135"/>
      <c r="KCW433" s="135"/>
      <c r="KCX433" s="135"/>
      <c r="KCY433" s="135"/>
      <c r="KCZ433" s="173"/>
      <c r="KDA433" s="173"/>
      <c r="KDB433" s="173"/>
      <c r="KDC433" s="173"/>
      <c r="KDD433" s="173"/>
      <c r="KDE433" s="173"/>
      <c r="KDF433" s="173"/>
      <c r="KDG433" s="173"/>
      <c r="KDH433" s="173"/>
      <c r="KDI433" s="173"/>
      <c r="KDJ433" s="125"/>
      <c r="KDK433" s="125"/>
      <c r="KDL433" s="134"/>
      <c r="KDM433" s="135"/>
      <c r="KDN433" s="135"/>
      <c r="KDO433" s="135"/>
      <c r="KDP433" s="135"/>
      <c r="KDQ433" s="173"/>
      <c r="KDR433" s="173"/>
      <c r="KDS433" s="173"/>
      <c r="KDT433" s="173"/>
      <c r="KDU433" s="173"/>
      <c r="KDV433" s="173"/>
      <c r="KDW433" s="173"/>
      <c r="KDX433" s="173"/>
      <c r="KDY433" s="173"/>
      <c r="KDZ433" s="173"/>
      <c r="KEA433" s="125"/>
      <c r="KEB433" s="125"/>
      <c r="KEC433" s="134"/>
      <c r="KED433" s="135"/>
      <c r="KEE433" s="135"/>
      <c r="KEF433" s="135"/>
      <c r="KEG433" s="135"/>
      <c r="KEH433" s="173"/>
      <c r="KEI433" s="173"/>
      <c r="KEJ433" s="173"/>
      <c r="KEK433" s="173"/>
      <c r="KEL433" s="173"/>
      <c r="KEM433" s="173"/>
      <c r="KEN433" s="173"/>
      <c r="KEO433" s="173"/>
      <c r="KEP433" s="173"/>
      <c r="KEQ433" s="173"/>
      <c r="KER433" s="125"/>
      <c r="KES433" s="125"/>
      <c r="KET433" s="134"/>
      <c r="KEU433" s="135"/>
      <c r="KEV433" s="135"/>
      <c r="KEW433" s="135"/>
      <c r="KEX433" s="135"/>
      <c r="KEY433" s="173"/>
      <c r="KEZ433" s="173"/>
      <c r="KFA433" s="173"/>
      <c r="KFB433" s="173"/>
      <c r="KFC433" s="173"/>
      <c r="KFD433" s="173"/>
      <c r="KFE433" s="173"/>
      <c r="KFF433" s="173"/>
      <c r="KFG433" s="173"/>
      <c r="KFH433" s="173"/>
      <c r="KFI433" s="125"/>
      <c r="KFJ433" s="125"/>
      <c r="KFK433" s="134"/>
      <c r="KFL433" s="135"/>
      <c r="KFM433" s="135"/>
      <c r="KFN433" s="135"/>
      <c r="KFO433" s="135"/>
      <c r="KFP433" s="173"/>
      <c r="KFQ433" s="173"/>
      <c r="KFR433" s="173"/>
      <c r="KFS433" s="173"/>
      <c r="KFT433" s="173"/>
      <c r="KFU433" s="173"/>
      <c r="KFV433" s="173"/>
      <c r="KFW433" s="173"/>
      <c r="KFX433" s="173"/>
      <c r="KFY433" s="173"/>
      <c r="KFZ433" s="125"/>
      <c r="KGA433" s="125"/>
      <c r="KGB433" s="134"/>
      <c r="KGC433" s="135"/>
      <c r="KGD433" s="135"/>
      <c r="KGE433" s="135"/>
      <c r="KGF433" s="135"/>
      <c r="KGG433" s="173"/>
      <c r="KGH433" s="173"/>
      <c r="KGI433" s="173"/>
      <c r="KGJ433" s="173"/>
      <c r="KGK433" s="173"/>
      <c r="KGL433" s="173"/>
      <c r="KGM433" s="173"/>
      <c r="KGN433" s="173"/>
      <c r="KGO433" s="173"/>
      <c r="KGP433" s="173"/>
      <c r="KGQ433" s="125"/>
      <c r="KGR433" s="125"/>
      <c r="KGS433" s="134"/>
      <c r="KGT433" s="135"/>
      <c r="KGU433" s="135"/>
      <c r="KGV433" s="135"/>
      <c r="KGW433" s="135"/>
      <c r="KGX433" s="173"/>
      <c r="KGY433" s="173"/>
      <c r="KGZ433" s="173"/>
      <c r="KHA433" s="173"/>
      <c r="KHB433" s="173"/>
      <c r="KHC433" s="173"/>
      <c r="KHD433" s="173"/>
      <c r="KHE433" s="173"/>
      <c r="KHF433" s="173"/>
      <c r="KHG433" s="173"/>
      <c r="KHH433" s="125"/>
      <c r="KHI433" s="125"/>
      <c r="KHJ433" s="134"/>
      <c r="KHK433" s="135"/>
      <c r="KHL433" s="135"/>
      <c r="KHM433" s="135"/>
      <c r="KHN433" s="135"/>
      <c r="KHO433" s="173"/>
      <c r="KHP433" s="173"/>
      <c r="KHQ433" s="173"/>
      <c r="KHR433" s="173"/>
      <c r="KHS433" s="173"/>
      <c r="KHT433" s="173"/>
      <c r="KHU433" s="173"/>
      <c r="KHV433" s="173"/>
      <c r="KHW433" s="173"/>
      <c r="KHX433" s="173"/>
      <c r="KHY433" s="125"/>
      <c r="KHZ433" s="125"/>
      <c r="KIA433" s="134"/>
      <c r="KIB433" s="135"/>
      <c r="KIC433" s="135"/>
      <c r="KID433" s="135"/>
      <c r="KIE433" s="135"/>
      <c r="KIF433" s="173"/>
      <c r="KIG433" s="173"/>
      <c r="KIH433" s="173"/>
      <c r="KII433" s="173"/>
      <c r="KIJ433" s="173"/>
      <c r="KIK433" s="173"/>
      <c r="KIL433" s="173"/>
      <c r="KIM433" s="173"/>
      <c r="KIN433" s="173"/>
      <c r="KIO433" s="173"/>
      <c r="KIP433" s="125"/>
      <c r="KIQ433" s="125"/>
      <c r="KIR433" s="134"/>
      <c r="KIS433" s="135"/>
      <c r="KIT433" s="135"/>
      <c r="KIU433" s="135"/>
      <c r="KIV433" s="135"/>
      <c r="KIW433" s="173"/>
      <c r="KIX433" s="173"/>
      <c r="KIY433" s="173"/>
      <c r="KIZ433" s="173"/>
      <c r="KJA433" s="173"/>
      <c r="KJB433" s="173"/>
      <c r="KJC433" s="173"/>
      <c r="KJD433" s="173"/>
      <c r="KJE433" s="173"/>
      <c r="KJF433" s="173"/>
      <c r="KJG433" s="125"/>
      <c r="KJH433" s="125"/>
      <c r="KJI433" s="134"/>
      <c r="KJJ433" s="135"/>
      <c r="KJK433" s="135"/>
      <c r="KJL433" s="135"/>
      <c r="KJM433" s="135"/>
      <c r="KJN433" s="173"/>
      <c r="KJO433" s="173"/>
      <c r="KJP433" s="173"/>
      <c r="KJQ433" s="173"/>
      <c r="KJR433" s="173"/>
      <c r="KJS433" s="173"/>
      <c r="KJT433" s="173"/>
      <c r="KJU433" s="173"/>
      <c r="KJV433" s="173"/>
      <c r="KJW433" s="173"/>
      <c r="KJX433" s="125"/>
      <c r="KJY433" s="125"/>
      <c r="KJZ433" s="134"/>
      <c r="KKA433" s="135"/>
      <c r="KKB433" s="135"/>
      <c r="KKC433" s="135"/>
      <c r="KKD433" s="135"/>
      <c r="KKE433" s="173"/>
      <c r="KKF433" s="173"/>
      <c r="KKG433" s="173"/>
      <c r="KKH433" s="173"/>
      <c r="KKI433" s="173"/>
      <c r="KKJ433" s="173"/>
      <c r="KKK433" s="173"/>
      <c r="KKL433" s="173"/>
      <c r="KKM433" s="173"/>
      <c r="KKN433" s="173"/>
      <c r="KKO433" s="125"/>
      <c r="KKP433" s="125"/>
      <c r="KKQ433" s="134"/>
      <c r="KKR433" s="135"/>
      <c r="KKS433" s="135"/>
      <c r="KKT433" s="135"/>
      <c r="KKU433" s="135"/>
      <c r="KKV433" s="173"/>
      <c r="KKW433" s="173"/>
      <c r="KKX433" s="173"/>
      <c r="KKY433" s="173"/>
      <c r="KKZ433" s="173"/>
      <c r="KLA433" s="173"/>
      <c r="KLB433" s="173"/>
      <c r="KLC433" s="173"/>
      <c r="KLD433" s="173"/>
      <c r="KLE433" s="173"/>
      <c r="KLF433" s="125"/>
      <c r="KLG433" s="125"/>
      <c r="KLH433" s="134"/>
      <c r="KLI433" s="135"/>
      <c r="KLJ433" s="135"/>
      <c r="KLK433" s="135"/>
      <c r="KLL433" s="135"/>
      <c r="KLM433" s="173"/>
      <c r="KLN433" s="173"/>
      <c r="KLO433" s="173"/>
      <c r="KLP433" s="173"/>
      <c r="KLQ433" s="173"/>
      <c r="KLR433" s="173"/>
      <c r="KLS433" s="173"/>
      <c r="KLT433" s="173"/>
      <c r="KLU433" s="173"/>
      <c r="KLV433" s="173"/>
      <c r="KLW433" s="125"/>
      <c r="KLX433" s="125"/>
      <c r="KLY433" s="134"/>
      <c r="KLZ433" s="135"/>
      <c r="KMA433" s="135"/>
      <c r="KMB433" s="135"/>
      <c r="KMC433" s="135"/>
      <c r="KMD433" s="173"/>
      <c r="KME433" s="173"/>
      <c r="KMF433" s="173"/>
      <c r="KMG433" s="173"/>
      <c r="KMH433" s="173"/>
      <c r="KMI433" s="173"/>
      <c r="KMJ433" s="173"/>
      <c r="KMK433" s="173"/>
      <c r="KML433" s="173"/>
      <c r="KMM433" s="173"/>
      <c r="KMN433" s="125"/>
      <c r="KMO433" s="125"/>
      <c r="KMP433" s="134"/>
      <c r="KMQ433" s="135"/>
      <c r="KMR433" s="135"/>
      <c r="KMS433" s="135"/>
      <c r="KMT433" s="135"/>
      <c r="KMU433" s="173"/>
      <c r="KMV433" s="173"/>
      <c r="KMW433" s="173"/>
      <c r="KMX433" s="173"/>
      <c r="KMY433" s="173"/>
      <c r="KMZ433" s="173"/>
      <c r="KNA433" s="173"/>
      <c r="KNB433" s="173"/>
      <c r="KNC433" s="173"/>
      <c r="KND433" s="173"/>
      <c r="KNE433" s="125"/>
      <c r="KNF433" s="125"/>
      <c r="KNG433" s="134"/>
      <c r="KNH433" s="135"/>
      <c r="KNI433" s="135"/>
      <c r="KNJ433" s="135"/>
      <c r="KNK433" s="135"/>
      <c r="KNL433" s="173"/>
      <c r="KNM433" s="173"/>
      <c r="KNN433" s="173"/>
      <c r="KNO433" s="173"/>
      <c r="KNP433" s="173"/>
      <c r="KNQ433" s="173"/>
      <c r="KNR433" s="173"/>
      <c r="KNS433" s="173"/>
      <c r="KNT433" s="173"/>
      <c r="KNU433" s="173"/>
      <c r="KNV433" s="125"/>
      <c r="KNW433" s="125"/>
      <c r="KNX433" s="134"/>
      <c r="KNY433" s="135"/>
      <c r="KNZ433" s="135"/>
      <c r="KOA433" s="135"/>
      <c r="KOB433" s="135"/>
      <c r="KOC433" s="173"/>
      <c r="KOD433" s="173"/>
      <c r="KOE433" s="173"/>
      <c r="KOF433" s="173"/>
      <c r="KOG433" s="173"/>
      <c r="KOH433" s="173"/>
      <c r="KOI433" s="173"/>
      <c r="KOJ433" s="173"/>
      <c r="KOK433" s="173"/>
      <c r="KOL433" s="173"/>
      <c r="KOM433" s="125"/>
      <c r="KON433" s="125"/>
      <c r="KOO433" s="134"/>
      <c r="KOP433" s="135"/>
      <c r="KOQ433" s="135"/>
      <c r="KOR433" s="135"/>
      <c r="KOS433" s="135"/>
      <c r="KOT433" s="173"/>
      <c r="KOU433" s="173"/>
      <c r="KOV433" s="173"/>
      <c r="KOW433" s="173"/>
      <c r="KOX433" s="173"/>
      <c r="KOY433" s="173"/>
      <c r="KOZ433" s="173"/>
      <c r="KPA433" s="173"/>
      <c r="KPB433" s="173"/>
      <c r="KPC433" s="173"/>
      <c r="KPD433" s="125"/>
      <c r="KPE433" s="125"/>
      <c r="KPF433" s="134"/>
      <c r="KPG433" s="135"/>
      <c r="KPH433" s="135"/>
      <c r="KPI433" s="135"/>
      <c r="KPJ433" s="135"/>
      <c r="KPK433" s="173"/>
      <c r="KPL433" s="173"/>
      <c r="KPM433" s="173"/>
      <c r="KPN433" s="173"/>
      <c r="KPO433" s="173"/>
      <c r="KPP433" s="173"/>
      <c r="KPQ433" s="173"/>
      <c r="KPR433" s="173"/>
      <c r="KPS433" s="173"/>
      <c r="KPT433" s="173"/>
      <c r="KPU433" s="125"/>
      <c r="KPV433" s="125"/>
      <c r="KPW433" s="134"/>
      <c r="KPX433" s="135"/>
      <c r="KPY433" s="135"/>
      <c r="KPZ433" s="135"/>
      <c r="KQA433" s="135"/>
      <c r="KQB433" s="173"/>
      <c r="KQC433" s="173"/>
      <c r="KQD433" s="173"/>
      <c r="KQE433" s="173"/>
      <c r="KQF433" s="173"/>
      <c r="KQG433" s="173"/>
      <c r="KQH433" s="173"/>
      <c r="KQI433" s="173"/>
      <c r="KQJ433" s="173"/>
      <c r="KQK433" s="173"/>
      <c r="KQL433" s="125"/>
      <c r="KQM433" s="125"/>
      <c r="KQN433" s="134"/>
      <c r="KQO433" s="135"/>
      <c r="KQP433" s="135"/>
      <c r="KQQ433" s="135"/>
      <c r="KQR433" s="135"/>
      <c r="KQS433" s="173"/>
      <c r="KQT433" s="173"/>
      <c r="KQU433" s="173"/>
      <c r="KQV433" s="173"/>
      <c r="KQW433" s="173"/>
      <c r="KQX433" s="173"/>
      <c r="KQY433" s="173"/>
      <c r="KQZ433" s="173"/>
      <c r="KRA433" s="173"/>
      <c r="KRB433" s="173"/>
      <c r="KRC433" s="125"/>
      <c r="KRD433" s="125"/>
      <c r="KRE433" s="134"/>
      <c r="KRF433" s="135"/>
      <c r="KRG433" s="135"/>
      <c r="KRH433" s="135"/>
      <c r="KRI433" s="135"/>
      <c r="KRJ433" s="173"/>
      <c r="KRK433" s="173"/>
      <c r="KRL433" s="173"/>
      <c r="KRM433" s="173"/>
      <c r="KRN433" s="173"/>
      <c r="KRO433" s="173"/>
      <c r="KRP433" s="173"/>
      <c r="KRQ433" s="173"/>
      <c r="KRR433" s="173"/>
      <c r="KRS433" s="173"/>
      <c r="KRT433" s="125"/>
      <c r="KRU433" s="125"/>
      <c r="KRV433" s="134"/>
      <c r="KRW433" s="135"/>
      <c r="KRX433" s="135"/>
      <c r="KRY433" s="135"/>
      <c r="KRZ433" s="135"/>
      <c r="KSA433" s="173"/>
      <c r="KSB433" s="173"/>
      <c r="KSC433" s="173"/>
      <c r="KSD433" s="173"/>
      <c r="KSE433" s="173"/>
      <c r="KSF433" s="173"/>
      <c r="KSG433" s="173"/>
      <c r="KSH433" s="173"/>
      <c r="KSI433" s="173"/>
      <c r="KSJ433" s="173"/>
      <c r="KSK433" s="125"/>
      <c r="KSL433" s="125"/>
      <c r="KSM433" s="134"/>
      <c r="KSN433" s="135"/>
      <c r="KSO433" s="135"/>
      <c r="KSP433" s="135"/>
      <c r="KSQ433" s="135"/>
      <c r="KSR433" s="173"/>
      <c r="KSS433" s="173"/>
      <c r="KST433" s="173"/>
      <c r="KSU433" s="173"/>
      <c r="KSV433" s="173"/>
      <c r="KSW433" s="173"/>
      <c r="KSX433" s="173"/>
      <c r="KSY433" s="173"/>
      <c r="KSZ433" s="173"/>
      <c r="KTA433" s="173"/>
      <c r="KTB433" s="125"/>
      <c r="KTC433" s="125"/>
      <c r="KTD433" s="134"/>
      <c r="KTE433" s="135"/>
      <c r="KTF433" s="135"/>
      <c r="KTG433" s="135"/>
      <c r="KTH433" s="135"/>
      <c r="KTI433" s="173"/>
      <c r="KTJ433" s="173"/>
      <c r="KTK433" s="173"/>
      <c r="KTL433" s="173"/>
      <c r="KTM433" s="173"/>
      <c r="KTN433" s="173"/>
      <c r="KTO433" s="173"/>
      <c r="KTP433" s="173"/>
      <c r="KTQ433" s="173"/>
      <c r="KTR433" s="173"/>
      <c r="KTS433" s="125"/>
      <c r="KTT433" s="125"/>
      <c r="KTU433" s="134"/>
      <c r="KTV433" s="135"/>
      <c r="KTW433" s="135"/>
      <c r="KTX433" s="135"/>
      <c r="KTY433" s="135"/>
      <c r="KTZ433" s="173"/>
      <c r="KUA433" s="173"/>
      <c r="KUB433" s="173"/>
      <c r="KUC433" s="173"/>
      <c r="KUD433" s="173"/>
      <c r="KUE433" s="173"/>
      <c r="KUF433" s="173"/>
      <c r="KUG433" s="173"/>
      <c r="KUH433" s="173"/>
      <c r="KUI433" s="173"/>
      <c r="KUJ433" s="125"/>
      <c r="KUK433" s="125"/>
      <c r="KUL433" s="134"/>
      <c r="KUM433" s="135"/>
      <c r="KUN433" s="135"/>
      <c r="KUO433" s="135"/>
      <c r="KUP433" s="135"/>
      <c r="KUQ433" s="173"/>
      <c r="KUR433" s="173"/>
      <c r="KUS433" s="173"/>
      <c r="KUT433" s="173"/>
      <c r="KUU433" s="173"/>
      <c r="KUV433" s="173"/>
      <c r="KUW433" s="173"/>
      <c r="KUX433" s="173"/>
      <c r="KUY433" s="173"/>
      <c r="KUZ433" s="173"/>
      <c r="KVA433" s="125"/>
      <c r="KVB433" s="125"/>
      <c r="KVC433" s="134"/>
      <c r="KVD433" s="135"/>
      <c r="KVE433" s="135"/>
      <c r="KVF433" s="135"/>
      <c r="KVG433" s="135"/>
      <c r="KVH433" s="173"/>
      <c r="KVI433" s="173"/>
      <c r="KVJ433" s="173"/>
      <c r="KVK433" s="173"/>
      <c r="KVL433" s="173"/>
      <c r="KVM433" s="173"/>
      <c r="KVN433" s="173"/>
      <c r="KVO433" s="173"/>
      <c r="KVP433" s="173"/>
      <c r="KVQ433" s="173"/>
      <c r="KVR433" s="125"/>
      <c r="KVS433" s="125"/>
      <c r="KVT433" s="134"/>
      <c r="KVU433" s="135"/>
      <c r="KVV433" s="135"/>
      <c r="KVW433" s="135"/>
      <c r="KVX433" s="135"/>
      <c r="KVY433" s="173"/>
      <c r="KVZ433" s="173"/>
      <c r="KWA433" s="173"/>
      <c r="KWB433" s="173"/>
      <c r="KWC433" s="173"/>
      <c r="KWD433" s="173"/>
      <c r="KWE433" s="173"/>
      <c r="KWF433" s="173"/>
      <c r="KWG433" s="173"/>
      <c r="KWH433" s="173"/>
      <c r="KWI433" s="125"/>
      <c r="KWJ433" s="125"/>
      <c r="KWK433" s="134"/>
      <c r="KWL433" s="135"/>
      <c r="KWM433" s="135"/>
      <c r="KWN433" s="135"/>
      <c r="KWO433" s="135"/>
      <c r="KWP433" s="173"/>
      <c r="KWQ433" s="173"/>
      <c r="KWR433" s="173"/>
      <c r="KWS433" s="173"/>
      <c r="KWT433" s="173"/>
      <c r="KWU433" s="173"/>
      <c r="KWV433" s="173"/>
      <c r="KWW433" s="173"/>
      <c r="KWX433" s="173"/>
      <c r="KWY433" s="173"/>
      <c r="KWZ433" s="125"/>
      <c r="KXA433" s="125"/>
      <c r="KXB433" s="134"/>
      <c r="KXC433" s="135"/>
      <c r="KXD433" s="135"/>
      <c r="KXE433" s="135"/>
      <c r="KXF433" s="135"/>
      <c r="KXG433" s="173"/>
      <c r="KXH433" s="173"/>
      <c r="KXI433" s="173"/>
      <c r="KXJ433" s="173"/>
      <c r="KXK433" s="173"/>
      <c r="KXL433" s="173"/>
      <c r="KXM433" s="173"/>
      <c r="KXN433" s="173"/>
      <c r="KXO433" s="173"/>
      <c r="KXP433" s="173"/>
      <c r="KXQ433" s="125"/>
      <c r="KXR433" s="125"/>
      <c r="KXS433" s="134"/>
      <c r="KXT433" s="135"/>
      <c r="KXU433" s="135"/>
      <c r="KXV433" s="135"/>
      <c r="KXW433" s="135"/>
      <c r="KXX433" s="173"/>
      <c r="KXY433" s="173"/>
      <c r="KXZ433" s="173"/>
      <c r="KYA433" s="173"/>
      <c r="KYB433" s="173"/>
      <c r="KYC433" s="173"/>
      <c r="KYD433" s="173"/>
      <c r="KYE433" s="173"/>
      <c r="KYF433" s="173"/>
      <c r="KYG433" s="173"/>
      <c r="KYH433" s="125"/>
      <c r="KYI433" s="125"/>
      <c r="KYJ433" s="134"/>
      <c r="KYK433" s="135"/>
      <c r="KYL433" s="135"/>
      <c r="KYM433" s="135"/>
      <c r="KYN433" s="135"/>
      <c r="KYO433" s="173"/>
      <c r="KYP433" s="173"/>
      <c r="KYQ433" s="173"/>
      <c r="KYR433" s="173"/>
      <c r="KYS433" s="173"/>
      <c r="KYT433" s="173"/>
      <c r="KYU433" s="173"/>
      <c r="KYV433" s="173"/>
      <c r="KYW433" s="173"/>
      <c r="KYX433" s="173"/>
      <c r="KYY433" s="125"/>
      <c r="KYZ433" s="125"/>
      <c r="KZA433" s="134"/>
      <c r="KZB433" s="135"/>
      <c r="KZC433" s="135"/>
      <c r="KZD433" s="135"/>
      <c r="KZE433" s="135"/>
      <c r="KZF433" s="173"/>
      <c r="KZG433" s="173"/>
      <c r="KZH433" s="173"/>
      <c r="KZI433" s="173"/>
      <c r="KZJ433" s="173"/>
      <c r="KZK433" s="173"/>
      <c r="KZL433" s="173"/>
      <c r="KZM433" s="173"/>
      <c r="KZN433" s="173"/>
      <c r="KZO433" s="173"/>
      <c r="KZP433" s="125"/>
      <c r="KZQ433" s="125"/>
      <c r="KZR433" s="134"/>
      <c r="KZS433" s="135"/>
      <c r="KZT433" s="135"/>
      <c r="KZU433" s="135"/>
      <c r="KZV433" s="135"/>
      <c r="KZW433" s="173"/>
      <c r="KZX433" s="173"/>
      <c r="KZY433" s="173"/>
      <c r="KZZ433" s="173"/>
      <c r="LAA433" s="173"/>
      <c r="LAB433" s="173"/>
      <c r="LAC433" s="173"/>
      <c r="LAD433" s="173"/>
      <c r="LAE433" s="173"/>
      <c r="LAF433" s="173"/>
      <c r="LAG433" s="125"/>
      <c r="LAH433" s="125"/>
      <c r="LAI433" s="134"/>
      <c r="LAJ433" s="135"/>
      <c r="LAK433" s="135"/>
      <c r="LAL433" s="135"/>
      <c r="LAM433" s="135"/>
      <c r="LAN433" s="173"/>
      <c r="LAO433" s="173"/>
      <c r="LAP433" s="173"/>
      <c r="LAQ433" s="173"/>
      <c r="LAR433" s="173"/>
      <c r="LAS433" s="173"/>
      <c r="LAT433" s="173"/>
      <c r="LAU433" s="173"/>
      <c r="LAV433" s="173"/>
      <c r="LAW433" s="173"/>
      <c r="LAX433" s="125"/>
      <c r="LAY433" s="125"/>
      <c r="LAZ433" s="134"/>
      <c r="LBA433" s="135"/>
      <c r="LBB433" s="135"/>
      <c r="LBC433" s="135"/>
      <c r="LBD433" s="135"/>
      <c r="LBE433" s="173"/>
      <c r="LBF433" s="173"/>
      <c r="LBG433" s="173"/>
      <c r="LBH433" s="173"/>
      <c r="LBI433" s="173"/>
      <c r="LBJ433" s="173"/>
      <c r="LBK433" s="173"/>
      <c r="LBL433" s="173"/>
      <c r="LBM433" s="173"/>
      <c r="LBN433" s="173"/>
      <c r="LBO433" s="125"/>
      <c r="LBP433" s="125"/>
      <c r="LBQ433" s="134"/>
      <c r="LBR433" s="135"/>
      <c r="LBS433" s="135"/>
      <c r="LBT433" s="135"/>
      <c r="LBU433" s="135"/>
      <c r="LBV433" s="173"/>
      <c r="LBW433" s="173"/>
      <c r="LBX433" s="173"/>
      <c r="LBY433" s="173"/>
      <c r="LBZ433" s="173"/>
      <c r="LCA433" s="173"/>
      <c r="LCB433" s="173"/>
      <c r="LCC433" s="173"/>
      <c r="LCD433" s="173"/>
      <c r="LCE433" s="173"/>
      <c r="LCF433" s="125"/>
      <c r="LCG433" s="125"/>
      <c r="LCH433" s="134"/>
      <c r="LCI433" s="135"/>
      <c r="LCJ433" s="135"/>
      <c r="LCK433" s="135"/>
      <c r="LCL433" s="135"/>
      <c r="LCM433" s="173"/>
      <c r="LCN433" s="173"/>
      <c r="LCO433" s="173"/>
      <c r="LCP433" s="173"/>
      <c r="LCQ433" s="173"/>
      <c r="LCR433" s="173"/>
      <c r="LCS433" s="173"/>
      <c r="LCT433" s="173"/>
      <c r="LCU433" s="173"/>
      <c r="LCV433" s="173"/>
      <c r="LCW433" s="125"/>
      <c r="LCX433" s="125"/>
      <c r="LCY433" s="134"/>
      <c r="LCZ433" s="135"/>
      <c r="LDA433" s="135"/>
      <c r="LDB433" s="135"/>
      <c r="LDC433" s="135"/>
      <c r="LDD433" s="173"/>
      <c r="LDE433" s="173"/>
      <c r="LDF433" s="173"/>
      <c r="LDG433" s="173"/>
      <c r="LDH433" s="173"/>
      <c r="LDI433" s="173"/>
      <c r="LDJ433" s="173"/>
      <c r="LDK433" s="173"/>
      <c r="LDL433" s="173"/>
      <c r="LDM433" s="173"/>
      <c r="LDN433" s="125"/>
      <c r="LDO433" s="125"/>
      <c r="LDP433" s="134"/>
      <c r="LDQ433" s="135"/>
      <c r="LDR433" s="135"/>
      <c r="LDS433" s="135"/>
      <c r="LDT433" s="135"/>
      <c r="LDU433" s="173"/>
      <c r="LDV433" s="173"/>
      <c r="LDW433" s="173"/>
      <c r="LDX433" s="173"/>
      <c r="LDY433" s="173"/>
      <c r="LDZ433" s="173"/>
      <c r="LEA433" s="173"/>
      <c r="LEB433" s="173"/>
      <c r="LEC433" s="173"/>
      <c r="LED433" s="173"/>
      <c r="LEE433" s="125"/>
      <c r="LEF433" s="125"/>
      <c r="LEG433" s="134"/>
      <c r="LEH433" s="135"/>
      <c r="LEI433" s="135"/>
      <c r="LEJ433" s="135"/>
      <c r="LEK433" s="135"/>
      <c r="LEL433" s="173"/>
      <c r="LEM433" s="173"/>
      <c r="LEN433" s="173"/>
      <c r="LEO433" s="173"/>
      <c r="LEP433" s="173"/>
      <c r="LEQ433" s="173"/>
      <c r="LER433" s="173"/>
      <c r="LES433" s="173"/>
      <c r="LET433" s="173"/>
      <c r="LEU433" s="173"/>
      <c r="LEV433" s="125"/>
      <c r="LEW433" s="125"/>
      <c r="LEX433" s="134"/>
      <c r="LEY433" s="135"/>
      <c r="LEZ433" s="135"/>
      <c r="LFA433" s="135"/>
      <c r="LFB433" s="135"/>
      <c r="LFC433" s="173"/>
      <c r="LFD433" s="173"/>
      <c r="LFE433" s="173"/>
      <c r="LFF433" s="173"/>
      <c r="LFG433" s="173"/>
      <c r="LFH433" s="173"/>
      <c r="LFI433" s="173"/>
      <c r="LFJ433" s="173"/>
      <c r="LFK433" s="173"/>
      <c r="LFL433" s="173"/>
      <c r="LFM433" s="125"/>
      <c r="LFN433" s="125"/>
      <c r="LFO433" s="134"/>
      <c r="LFP433" s="135"/>
      <c r="LFQ433" s="135"/>
      <c r="LFR433" s="135"/>
      <c r="LFS433" s="135"/>
      <c r="LFT433" s="173"/>
      <c r="LFU433" s="173"/>
      <c r="LFV433" s="173"/>
      <c r="LFW433" s="173"/>
      <c r="LFX433" s="173"/>
      <c r="LFY433" s="173"/>
      <c r="LFZ433" s="173"/>
      <c r="LGA433" s="173"/>
      <c r="LGB433" s="173"/>
      <c r="LGC433" s="173"/>
      <c r="LGD433" s="125"/>
      <c r="LGE433" s="125"/>
      <c r="LGF433" s="134"/>
      <c r="LGG433" s="135"/>
      <c r="LGH433" s="135"/>
      <c r="LGI433" s="135"/>
      <c r="LGJ433" s="135"/>
      <c r="LGK433" s="173"/>
      <c r="LGL433" s="173"/>
      <c r="LGM433" s="173"/>
      <c r="LGN433" s="173"/>
      <c r="LGO433" s="173"/>
      <c r="LGP433" s="173"/>
      <c r="LGQ433" s="173"/>
      <c r="LGR433" s="173"/>
      <c r="LGS433" s="173"/>
      <c r="LGT433" s="173"/>
      <c r="LGU433" s="125"/>
      <c r="LGV433" s="125"/>
      <c r="LGW433" s="134"/>
      <c r="LGX433" s="135"/>
      <c r="LGY433" s="135"/>
      <c r="LGZ433" s="135"/>
      <c r="LHA433" s="135"/>
      <c r="LHB433" s="173"/>
      <c r="LHC433" s="173"/>
      <c r="LHD433" s="173"/>
      <c r="LHE433" s="173"/>
      <c r="LHF433" s="173"/>
      <c r="LHG433" s="173"/>
      <c r="LHH433" s="173"/>
      <c r="LHI433" s="173"/>
      <c r="LHJ433" s="173"/>
      <c r="LHK433" s="173"/>
      <c r="LHL433" s="125"/>
      <c r="LHM433" s="125"/>
      <c r="LHN433" s="134"/>
      <c r="LHO433" s="135"/>
      <c r="LHP433" s="135"/>
      <c r="LHQ433" s="135"/>
      <c r="LHR433" s="135"/>
      <c r="LHS433" s="173"/>
      <c r="LHT433" s="173"/>
      <c r="LHU433" s="173"/>
      <c r="LHV433" s="173"/>
      <c r="LHW433" s="173"/>
      <c r="LHX433" s="173"/>
      <c r="LHY433" s="173"/>
      <c r="LHZ433" s="173"/>
      <c r="LIA433" s="173"/>
      <c r="LIB433" s="173"/>
      <c r="LIC433" s="125"/>
      <c r="LID433" s="125"/>
      <c r="LIE433" s="134"/>
      <c r="LIF433" s="135"/>
      <c r="LIG433" s="135"/>
      <c r="LIH433" s="135"/>
      <c r="LII433" s="135"/>
      <c r="LIJ433" s="173"/>
      <c r="LIK433" s="173"/>
      <c r="LIL433" s="173"/>
      <c r="LIM433" s="173"/>
      <c r="LIN433" s="173"/>
      <c r="LIO433" s="173"/>
      <c r="LIP433" s="173"/>
      <c r="LIQ433" s="173"/>
      <c r="LIR433" s="173"/>
      <c r="LIS433" s="173"/>
      <c r="LIT433" s="125"/>
      <c r="LIU433" s="125"/>
      <c r="LIV433" s="134"/>
      <c r="LIW433" s="135"/>
      <c r="LIX433" s="135"/>
      <c r="LIY433" s="135"/>
      <c r="LIZ433" s="135"/>
      <c r="LJA433" s="173"/>
      <c r="LJB433" s="173"/>
      <c r="LJC433" s="173"/>
      <c r="LJD433" s="173"/>
      <c r="LJE433" s="173"/>
      <c r="LJF433" s="173"/>
      <c r="LJG433" s="173"/>
      <c r="LJH433" s="173"/>
      <c r="LJI433" s="173"/>
      <c r="LJJ433" s="173"/>
      <c r="LJK433" s="125"/>
      <c r="LJL433" s="125"/>
      <c r="LJM433" s="134"/>
      <c r="LJN433" s="135"/>
      <c r="LJO433" s="135"/>
      <c r="LJP433" s="135"/>
      <c r="LJQ433" s="135"/>
      <c r="LJR433" s="173"/>
      <c r="LJS433" s="173"/>
      <c r="LJT433" s="173"/>
      <c r="LJU433" s="173"/>
      <c r="LJV433" s="173"/>
      <c r="LJW433" s="173"/>
      <c r="LJX433" s="173"/>
      <c r="LJY433" s="173"/>
      <c r="LJZ433" s="173"/>
      <c r="LKA433" s="173"/>
      <c r="LKB433" s="125"/>
      <c r="LKC433" s="125"/>
      <c r="LKD433" s="134"/>
      <c r="LKE433" s="135"/>
      <c r="LKF433" s="135"/>
      <c r="LKG433" s="135"/>
      <c r="LKH433" s="135"/>
      <c r="LKI433" s="173"/>
      <c r="LKJ433" s="173"/>
      <c r="LKK433" s="173"/>
      <c r="LKL433" s="173"/>
      <c r="LKM433" s="173"/>
      <c r="LKN433" s="173"/>
      <c r="LKO433" s="173"/>
      <c r="LKP433" s="173"/>
      <c r="LKQ433" s="173"/>
      <c r="LKR433" s="173"/>
      <c r="LKS433" s="125"/>
      <c r="LKT433" s="125"/>
      <c r="LKU433" s="134"/>
      <c r="LKV433" s="135"/>
      <c r="LKW433" s="135"/>
      <c r="LKX433" s="135"/>
      <c r="LKY433" s="135"/>
      <c r="LKZ433" s="173"/>
      <c r="LLA433" s="173"/>
      <c r="LLB433" s="173"/>
      <c r="LLC433" s="173"/>
      <c r="LLD433" s="173"/>
      <c r="LLE433" s="173"/>
      <c r="LLF433" s="173"/>
      <c r="LLG433" s="173"/>
      <c r="LLH433" s="173"/>
      <c r="LLI433" s="173"/>
      <c r="LLJ433" s="125"/>
      <c r="LLK433" s="125"/>
      <c r="LLL433" s="134"/>
      <c r="LLM433" s="135"/>
      <c r="LLN433" s="135"/>
      <c r="LLO433" s="135"/>
      <c r="LLP433" s="135"/>
      <c r="LLQ433" s="173"/>
      <c r="LLR433" s="173"/>
      <c r="LLS433" s="173"/>
      <c r="LLT433" s="173"/>
      <c r="LLU433" s="173"/>
      <c r="LLV433" s="173"/>
      <c r="LLW433" s="173"/>
      <c r="LLX433" s="173"/>
      <c r="LLY433" s="173"/>
      <c r="LLZ433" s="173"/>
      <c r="LMA433" s="125"/>
      <c r="LMB433" s="125"/>
      <c r="LMC433" s="134"/>
      <c r="LMD433" s="135"/>
      <c r="LME433" s="135"/>
      <c r="LMF433" s="135"/>
      <c r="LMG433" s="135"/>
      <c r="LMH433" s="173"/>
      <c r="LMI433" s="173"/>
      <c r="LMJ433" s="173"/>
      <c r="LMK433" s="173"/>
      <c r="LML433" s="173"/>
      <c r="LMM433" s="173"/>
      <c r="LMN433" s="173"/>
      <c r="LMO433" s="173"/>
      <c r="LMP433" s="173"/>
      <c r="LMQ433" s="173"/>
      <c r="LMR433" s="125"/>
      <c r="LMS433" s="125"/>
      <c r="LMT433" s="134"/>
      <c r="LMU433" s="135"/>
      <c r="LMV433" s="135"/>
      <c r="LMW433" s="135"/>
      <c r="LMX433" s="135"/>
      <c r="LMY433" s="173"/>
      <c r="LMZ433" s="173"/>
      <c r="LNA433" s="173"/>
      <c r="LNB433" s="173"/>
      <c r="LNC433" s="173"/>
      <c r="LND433" s="173"/>
      <c r="LNE433" s="173"/>
      <c r="LNF433" s="173"/>
      <c r="LNG433" s="173"/>
      <c r="LNH433" s="173"/>
      <c r="LNI433" s="125"/>
      <c r="LNJ433" s="125"/>
      <c r="LNK433" s="134"/>
      <c r="LNL433" s="135"/>
      <c r="LNM433" s="135"/>
      <c r="LNN433" s="135"/>
      <c r="LNO433" s="135"/>
      <c r="LNP433" s="173"/>
      <c r="LNQ433" s="173"/>
      <c r="LNR433" s="173"/>
      <c r="LNS433" s="173"/>
      <c r="LNT433" s="173"/>
      <c r="LNU433" s="173"/>
      <c r="LNV433" s="173"/>
      <c r="LNW433" s="173"/>
      <c r="LNX433" s="173"/>
      <c r="LNY433" s="173"/>
      <c r="LNZ433" s="125"/>
      <c r="LOA433" s="125"/>
      <c r="LOB433" s="134"/>
      <c r="LOC433" s="135"/>
      <c r="LOD433" s="135"/>
      <c r="LOE433" s="135"/>
      <c r="LOF433" s="135"/>
      <c r="LOG433" s="173"/>
      <c r="LOH433" s="173"/>
      <c r="LOI433" s="173"/>
      <c r="LOJ433" s="173"/>
      <c r="LOK433" s="173"/>
      <c r="LOL433" s="173"/>
      <c r="LOM433" s="173"/>
      <c r="LON433" s="173"/>
      <c r="LOO433" s="173"/>
      <c r="LOP433" s="173"/>
      <c r="LOQ433" s="125"/>
      <c r="LOR433" s="125"/>
      <c r="LOS433" s="134"/>
      <c r="LOT433" s="135"/>
      <c r="LOU433" s="135"/>
      <c r="LOV433" s="135"/>
      <c r="LOW433" s="135"/>
      <c r="LOX433" s="173"/>
      <c r="LOY433" s="173"/>
      <c r="LOZ433" s="173"/>
      <c r="LPA433" s="173"/>
      <c r="LPB433" s="173"/>
      <c r="LPC433" s="173"/>
      <c r="LPD433" s="173"/>
      <c r="LPE433" s="173"/>
      <c r="LPF433" s="173"/>
      <c r="LPG433" s="173"/>
      <c r="LPH433" s="125"/>
      <c r="LPI433" s="125"/>
      <c r="LPJ433" s="134"/>
      <c r="LPK433" s="135"/>
      <c r="LPL433" s="135"/>
      <c r="LPM433" s="135"/>
      <c r="LPN433" s="135"/>
      <c r="LPO433" s="173"/>
      <c r="LPP433" s="173"/>
      <c r="LPQ433" s="173"/>
      <c r="LPR433" s="173"/>
      <c r="LPS433" s="173"/>
      <c r="LPT433" s="173"/>
      <c r="LPU433" s="173"/>
      <c r="LPV433" s="173"/>
      <c r="LPW433" s="173"/>
      <c r="LPX433" s="173"/>
      <c r="LPY433" s="125"/>
      <c r="LPZ433" s="125"/>
      <c r="LQA433" s="134"/>
      <c r="LQB433" s="135"/>
      <c r="LQC433" s="135"/>
      <c r="LQD433" s="135"/>
      <c r="LQE433" s="135"/>
      <c r="LQF433" s="173"/>
      <c r="LQG433" s="173"/>
      <c r="LQH433" s="173"/>
      <c r="LQI433" s="173"/>
      <c r="LQJ433" s="173"/>
      <c r="LQK433" s="173"/>
      <c r="LQL433" s="173"/>
      <c r="LQM433" s="173"/>
      <c r="LQN433" s="173"/>
      <c r="LQO433" s="173"/>
      <c r="LQP433" s="125"/>
      <c r="LQQ433" s="125"/>
      <c r="LQR433" s="134"/>
      <c r="LQS433" s="135"/>
      <c r="LQT433" s="135"/>
      <c r="LQU433" s="135"/>
      <c r="LQV433" s="135"/>
      <c r="LQW433" s="173"/>
      <c r="LQX433" s="173"/>
      <c r="LQY433" s="173"/>
      <c r="LQZ433" s="173"/>
      <c r="LRA433" s="173"/>
      <c r="LRB433" s="173"/>
      <c r="LRC433" s="173"/>
      <c r="LRD433" s="173"/>
      <c r="LRE433" s="173"/>
      <c r="LRF433" s="173"/>
      <c r="LRG433" s="125"/>
      <c r="LRH433" s="125"/>
      <c r="LRI433" s="134"/>
      <c r="LRJ433" s="135"/>
      <c r="LRK433" s="135"/>
      <c r="LRL433" s="135"/>
      <c r="LRM433" s="135"/>
      <c r="LRN433" s="173"/>
      <c r="LRO433" s="173"/>
      <c r="LRP433" s="173"/>
      <c r="LRQ433" s="173"/>
      <c r="LRR433" s="173"/>
      <c r="LRS433" s="173"/>
      <c r="LRT433" s="173"/>
      <c r="LRU433" s="173"/>
      <c r="LRV433" s="173"/>
      <c r="LRW433" s="173"/>
      <c r="LRX433" s="125"/>
      <c r="LRY433" s="125"/>
      <c r="LRZ433" s="134"/>
      <c r="LSA433" s="135"/>
      <c r="LSB433" s="135"/>
      <c r="LSC433" s="135"/>
      <c r="LSD433" s="135"/>
      <c r="LSE433" s="173"/>
      <c r="LSF433" s="173"/>
      <c r="LSG433" s="173"/>
      <c r="LSH433" s="173"/>
      <c r="LSI433" s="173"/>
      <c r="LSJ433" s="173"/>
      <c r="LSK433" s="173"/>
      <c r="LSL433" s="173"/>
      <c r="LSM433" s="173"/>
      <c r="LSN433" s="173"/>
      <c r="LSO433" s="125"/>
      <c r="LSP433" s="125"/>
      <c r="LSQ433" s="134"/>
      <c r="LSR433" s="135"/>
      <c r="LSS433" s="135"/>
      <c r="LST433" s="135"/>
      <c r="LSU433" s="135"/>
      <c r="LSV433" s="173"/>
      <c r="LSW433" s="173"/>
      <c r="LSX433" s="173"/>
      <c r="LSY433" s="173"/>
      <c r="LSZ433" s="173"/>
      <c r="LTA433" s="173"/>
      <c r="LTB433" s="173"/>
      <c r="LTC433" s="173"/>
      <c r="LTD433" s="173"/>
      <c r="LTE433" s="173"/>
      <c r="LTF433" s="125"/>
      <c r="LTG433" s="125"/>
      <c r="LTH433" s="134"/>
      <c r="LTI433" s="135"/>
      <c r="LTJ433" s="135"/>
      <c r="LTK433" s="135"/>
      <c r="LTL433" s="135"/>
      <c r="LTM433" s="173"/>
      <c r="LTN433" s="173"/>
      <c r="LTO433" s="173"/>
      <c r="LTP433" s="173"/>
      <c r="LTQ433" s="173"/>
      <c r="LTR433" s="173"/>
      <c r="LTS433" s="173"/>
      <c r="LTT433" s="173"/>
      <c r="LTU433" s="173"/>
      <c r="LTV433" s="173"/>
      <c r="LTW433" s="125"/>
      <c r="LTX433" s="125"/>
      <c r="LTY433" s="134"/>
      <c r="LTZ433" s="135"/>
      <c r="LUA433" s="135"/>
      <c r="LUB433" s="135"/>
      <c r="LUC433" s="135"/>
      <c r="LUD433" s="173"/>
      <c r="LUE433" s="173"/>
      <c r="LUF433" s="173"/>
      <c r="LUG433" s="173"/>
      <c r="LUH433" s="173"/>
      <c r="LUI433" s="173"/>
      <c r="LUJ433" s="173"/>
      <c r="LUK433" s="173"/>
      <c r="LUL433" s="173"/>
      <c r="LUM433" s="173"/>
      <c r="LUN433" s="125"/>
      <c r="LUO433" s="125"/>
      <c r="LUP433" s="134"/>
      <c r="LUQ433" s="135"/>
      <c r="LUR433" s="135"/>
      <c r="LUS433" s="135"/>
      <c r="LUT433" s="135"/>
      <c r="LUU433" s="173"/>
      <c r="LUV433" s="173"/>
      <c r="LUW433" s="173"/>
      <c r="LUX433" s="173"/>
      <c r="LUY433" s="173"/>
      <c r="LUZ433" s="173"/>
      <c r="LVA433" s="173"/>
      <c r="LVB433" s="173"/>
      <c r="LVC433" s="173"/>
      <c r="LVD433" s="173"/>
      <c r="LVE433" s="125"/>
      <c r="LVF433" s="125"/>
      <c r="LVG433" s="134"/>
      <c r="LVH433" s="135"/>
      <c r="LVI433" s="135"/>
      <c r="LVJ433" s="135"/>
      <c r="LVK433" s="135"/>
      <c r="LVL433" s="173"/>
      <c r="LVM433" s="173"/>
      <c r="LVN433" s="173"/>
      <c r="LVO433" s="173"/>
      <c r="LVP433" s="173"/>
      <c r="LVQ433" s="173"/>
      <c r="LVR433" s="173"/>
      <c r="LVS433" s="173"/>
      <c r="LVT433" s="173"/>
      <c r="LVU433" s="173"/>
      <c r="LVV433" s="125"/>
      <c r="LVW433" s="125"/>
      <c r="LVX433" s="134"/>
      <c r="LVY433" s="135"/>
      <c r="LVZ433" s="135"/>
      <c r="LWA433" s="135"/>
      <c r="LWB433" s="135"/>
      <c r="LWC433" s="173"/>
      <c r="LWD433" s="173"/>
      <c r="LWE433" s="173"/>
      <c r="LWF433" s="173"/>
      <c r="LWG433" s="173"/>
      <c r="LWH433" s="173"/>
      <c r="LWI433" s="173"/>
      <c r="LWJ433" s="173"/>
      <c r="LWK433" s="173"/>
      <c r="LWL433" s="173"/>
      <c r="LWM433" s="125"/>
      <c r="LWN433" s="125"/>
      <c r="LWO433" s="134"/>
      <c r="LWP433" s="135"/>
      <c r="LWQ433" s="135"/>
      <c r="LWR433" s="135"/>
      <c r="LWS433" s="135"/>
      <c r="LWT433" s="173"/>
      <c r="LWU433" s="173"/>
      <c r="LWV433" s="173"/>
      <c r="LWW433" s="173"/>
      <c r="LWX433" s="173"/>
      <c r="LWY433" s="173"/>
      <c r="LWZ433" s="173"/>
      <c r="LXA433" s="173"/>
      <c r="LXB433" s="173"/>
      <c r="LXC433" s="173"/>
      <c r="LXD433" s="125"/>
      <c r="LXE433" s="125"/>
      <c r="LXF433" s="134"/>
      <c r="LXG433" s="135"/>
      <c r="LXH433" s="135"/>
      <c r="LXI433" s="135"/>
      <c r="LXJ433" s="135"/>
      <c r="LXK433" s="173"/>
      <c r="LXL433" s="173"/>
      <c r="LXM433" s="173"/>
      <c r="LXN433" s="173"/>
      <c r="LXO433" s="173"/>
      <c r="LXP433" s="173"/>
      <c r="LXQ433" s="173"/>
      <c r="LXR433" s="173"/>
      <c r="LXS433" s="173"/>
      <c r="LXT433" s="173"/>
      <c r="LXU433" s="125"/>
      <c r="LXV433" s="125"/>
      <c r="LXW433" s="134"/>
      <c r="LXX433" s="135"/>
      <c r="LXY433" s="135"/>
      <c r="LXZ433" s="135"/>
      <c r="LYA433" s="135"/>
      <c r="LYB433" s="173"/>
      <c r="LYC433" s="173"/>
      <c r="LYD433" s="173"/>
      <c r="LYE433" s="173"/>
      <c r="LYF433" s="173"/>
      <c r="LYG433" s="173"/>
      <c r="LYH433" s="173"/>
      <c r="LYI433" s="173"/>
      <c r="LYJ433" s="173"/>
      <c r="LYK433" s="173"/>
      <c r="LYL433" s="125"/>
      <c r="LYM433" s="125"/>
      <c r="LYN433" s="134"/>
      <c r="LYO433" s="135"/>
      <c r="LYP433" s="135"/>
      <c r="LYQ433" s="135"/>
      <c r="LYR433" s="135"/>
      <c r="LYS433" s="173"/>
      <c r="LYT433" s="173"/>
      <c r="LYU433" s="173"/>
      <c r="LYV433" s="173"/>
      <c r="LYW433" s="173"/>
      <c r="LYX433" s="173"/>
      <c r="LYY433" s="173"/>
      <c r="LYZ433" s="173"/>
      <c r="LZA433" s="173"/>
      <c r="LZB433" s="173"/>
      <c r="LZC433" s="125"/>
      <c r="LZD433" s="125"/>
      <c r="LZE433" s="134"/>
      <c r="LZF433" s="135"/>
      <c r="LZG433" s="135"/>
      <c r="LZH433" s="135"/>
      <c r="LZI433" s="135"/>
      <c r="LZJ433" s="173"/>
      <c r="LZK433" s="173"/>
      <c r="LZL433" s="173"/>
      <c r="LZM433" s="173"/>
      <c r="LZN433" s="173"/>
      <c r="LZO433" s="173"/>
      <c r="LZP433" s="173"/>
      <c r="LZQ433" s="173"/>
      <c r="LZR433" s="173"/>
      <c r="LZS433" s="173"/>
      <c r="LZT433" s="125"/>
      <c r="LZU433" s="125"/>
      <c r="LZV433" s="134"/>
      <c r="LZW433" s="135"/>
      <c r="LZX433" s="135"/>
      <c r="LZY433" s="135"/>
      <c r="LZZ433" s="135"/>
      <c r="MAA433" s="173"/>
      <c r="MAB433" s="173"/>
      <c r="MAC433" s="173"/>
      <c r="MAD433" s="173"/>
      <c r="MAE433" s="173"/>
      <c r="MAF433" s="173"/>
      <c r="MAG433" s="173"/>
      <c r="MAH433" s="173"/>
      <c r="MAI433" s="173"/>
      <c r="MAJ433" s="173"/>
      <c r="MAK433" s="125"/>
      <c r="MAL433" s="125"/>
      <c r="MAM433" s="134"/>
      <c r="MAN433" s="135"/>
      <c r="MAO433" s="135"/>
      <c r="MAP433" s="135"/>
      <c r="MAQ433" s="135"/>
      <c r="MAR433" s="173"/>
      <c r="MAS433" s="173"/>
      <c r="MAT433" s="173"/>
      <c r="MAU433" s="173"/>
      <c r="MAV433" s="173"/>
      <c r="MAW433" s="173"/>
      <c r="MAX433" s="173"/>
      <c r="MAY433" s="173"/>
      <c r="MAZ433" s="173"/>
      <c r="MBA433" s="173"/>
      <c r="MBB433" s="125"/>
      <c r="MBC433" s="125"/>
      <c r="MBD433" s="134"/>
      <c r="MBE433" s="135"/>
      <c r="MBF433" s="135"/>
      <c r="MBG433" s="135"/>
      <c r="MBH433" s="135"/>
      <c r="MBI433" s="173"/>
      <c r="MBJ433" s="173"/>
      <c r="MBK433" s="173"/>
      <c r="MBL433" s="173"/>
      <c r="MBM433" s="173"/>
      <c r="MBN433" s="173"/>
      <c r="MBO433" s="173"/>
      <c r="MBP433" s="173"/>
      <c r="MBQ433" s="173"/>
      <c r="MBR433" s="173"/>
      <c r="MBS433" s="125"/>
      <c r="MBT433" s="125"/>
      <c r="MBU433" s="134"/>
      <c r="MBV433" s="135"/>
      <c r="MBW433" s="135"/>
      <c r="MBX433" s="135"/>
      <c r="MBY433" s="135"/>
      <c r="MBZ433" s="173"/>
      <c r="MCA433" s="173"/>
      <c r="MCB433" s="173"/>
      <c r="MCC433" s="173"/>
      <c r="MCD433" s="173"/>
      <c r="MCE433" s="173"/>
      <c r="MCF433" s="173"/>
      <c r="MCG433" s="173"/>
      <c r="MCH433" s="173"/>
      <c r="MCI433" s="173"/>
      <c r="MCJ433" s="125"/>
      <c r="MCK433" s="125"/>
      <c r="MCL433" s="134"/>
      <c r="MCM433" s="135"/>
      <c r="MCN433" s="135"/>
      <c r="MCO433" s="135"/>
      <c r="MCP433" s="135"/>
      <c r="MCQ433" s="173"/>
      <c r="MCR433" s="173"/>
      <c r="MCS433" s="173"/>
      <c r="MCT433" s="173"/>
      <c r="MCU433" s="173"/>
      <c r="MCV433" s="173"/>
      <c r="MCW433" s="173"/>
      <c r="MCX433" s="173"/>
      <c r="MCY433" s="173"/>
      <c r="MCZ433" s="173"/>
      <c r="MDA433" s="125"/>
      <c r="MDB433" s="125"/>
      <c r="MDC433" s="134"/>
      <c r="MDD433" s="135"/>
      <c r="MDE433" s="135"/>
      <c r="MDF433" s="135"/>
      <c r="MDG433" s="135"/>
      <c r="MDH433" s="173"/>
      <c r="MDI433" s="173"/>
      <c r="MDJ433" s="173"/>
      <c r="MDK433" s="173"/>
      <c r="MDL433" s="173"/>
      <c r="MDM433" s="173"/>
      <c r="MDN433" s="173"/>
      <c r="MDO433" s="173"/>
      <c r="MDP433" s="173"/>
      <c r="MDQ433" s="173"/>
      <c r="MDR433" s="125"/>
      <c r="MDS433" s="125"/>
      <c r="MDT433" s="134"/>
      <c r="MDU433" s="135"/>
      <c r="MDV433" s="135"/>
      <c r="MDW433" s="135"/>
      <c r="MDX433" s="135"/>
      <c r="MDY433" s="173"/>
      <c r="MDZ433" s="173"/>
      <c r="MEA433" s="173"/>
      <c r="MEB433" s="173"/>
      <c r="MEC433" s="173"/>
      <c r="MED433" s="173"/>
      <c r="MEE433" s="173"/>
      <c r="MEF433" s="173"/>
      <c r="MEG433" s="173"/>
      <c r="MEH433" s="173"/>
      <c r="MEI433" s="125"/>
      <c r="MEJ433" s="125"/>
      <c r="MEK433" s="134"/>
      <c r="MEL433" s="135"/>
      <c r="MEM433" s="135"/>
      <c r="MEN433" s="135"/>
      <c r="MEO433" s="135"/>
      <c r="MEP433" s="173"/>
      <c r="MEQ433" s="173"/>
      <c r="MER433" s="173"/>
      <c r="MES433" s="173"/>
      <c r="MET433" s="173"/>
      <c r="MEU433" s="173"/>
      <c r="MEV433" s="173"/>
      <c r="MEW433" s="173"/>
      <c r="MEX433" s="173"/>
      <c r="MEY433" s="173"/>
      <c r="MEZ433" s="125"/>
      <c r="MFA433" s="125"/>
      <c r="MFB433" s="134"/>
      <c r="MFC433" s="135"/>
      <c r="MFD433" s="135"/>
      <c r="MFE433" s="135"/>
      <c r="MFF433" s="135"/>
      <c r="MFG433" s="173"/>
      <c r="MFH433" s="173"/>
      <c r="MFI433" s="173"/>
      <c r="MFJ433" s="173"/>
      <c r="MFK433" s="173"/>
      <c r="MFL433" s="173"/>
      <c r="MFM433" s="173"/>
      <c r="MFN433" s="173"/>
      <c r="MFO433" s="173"/>
      <c r="MFP433" s="173"/>
      <c r="MFQ433" s="125"/>
      <c r="MFR433" s="125"/>
      <c r="MFS433" s="134"/>
      <c r="MFT433" s="135"/>
      <c r="MFU433" s="135"/>
      <c r="MFV433" s="135"/>
      <c r="MFW433" s="135"/>
      <c r="MFX433" s="173"/>
      <c r="MFY433" s="173"/>
      <c r="MFZ433" s="173"/>
      <c r="MGA433" s="173"/>
      <c r="MGB433" s="173"/>
      <c r="MGC433" s="173"/>
      <c r="MGD433" s="173"/>
      <c r="MGE433" s="173"/>
      <c r="MGF433" s="173"/>
      <c r="MGG433" s="173"/>
      <c r="MGH433" s="125"/>
      <c r="MGI433" s="125"/>
      <c r="MGJ433" s="134"/>
      <c r="MGK433" s="135"/>
      <c r="MGL433" s="135"/>
      <c r="MGM433" s="135"/>
      <c r="MGN433" s="135"/>
      <c r="MGO433" s="173"/>
      <c r="MGP433" s="173"/>
      <c r="MGQ433" s="173"/>
      <c r="MGR433" s="173"/>
      <c r="MGS433" s="173"/>
      <c r="MGT433" s="173"/>
      <c r="MGU433" s="173"/>
      <c r="MGV433" s="173"/>
      <c r="MGW433" s="173"/>
      <c r="MGX433" s="173"/>
      <c r="MGY433" s="125"/>
      <c r="MGZ433" s="125"/>
      <c r="MHA433" s="134"/>
      <c r="MHB433" s="135"/>
      <c r="MHC433" s="135"/>
      <c r="MHD433" s="135"/>
      <c r="MHE433" s="135"/>
      <c r="MHF433" s="173"/>
      <c r="MHG433" s="173"/>
      <c r="MHH433" s="173"/>
      <c r="MHI433" s="173"/>
      <c r="MHJ433" s="173"/>
      <c r="MHK433" s="173"/>
      <c r="MHL433" s="173"/>
      <c r="MHM433" s="173"/>
      <c r="MHN433" s="173"/>
      <c r="MHO433" s="173"/>
      <c r="MHP433" s="125"/>
      <c r="MHQ433" s="125"/>
      <c r="MHR433" s="134"/>
      <c r="MHS433" s="135"/>
      <c r="MHT433" s="135"/>
      <c r="MHU433" s="135"/>
      <c r="MHV433" s="135"/>
      <c r="MHW433" s="173"/>
      <c r="MHX433" s="173"/>
      <c r="MHY433" s="173"/>
      <c r="MHZ433" s="173"/>
      <c r="MIA433" s="173"/>
      <c r="MIB433" s="173"/>
      <c r="MIC433" s="173"/>
      <c r="MID433" s="173"/>
      <c r="MIE433" s="173"/>
      <c r="MIF433" s="173"/>
      <c r="MIG433" s="125"/>
      <c r="MIH433" s="125"/>
      <c r="MII433" s="134"/>
      <c r="MIJ433" s="135"/>
      <c r="MIK433" s="135"/>
      <c r="MIL433" s="135"/>
      <c r="MIM433" s="135"/>
      <c r="MIN433" s="173"/>
      <c r="MIO433" s="173"/>
      <c r="MIP433" s="173"/>
      <c r="MIQ433" s="173"/>
      <c r="MIR433" s="173"/>
      <c r="MIS433" s="173"/>
      <c r="MIT433" s="173"/>
      <c r="MIU433" s="173"/>
      <c r="MIV433" s="173"/>
      <c r="MIW433" s="173"/>
      <c r="MIX433" s="125"/>
      <c r="MIY433" s="125"/>
      <c r="MIZ433" s="134"/>
      <c r="MJA433" s="135"/>
      <c r="MJB433" s="135"/>
      <c r="MJC433" s="135"/>
      <c r="MJD433" s="135"/>
      <c r="MJE433" s="173"/>
      <c r="MJF433" s="173"/>
      <c r="MJG433" s="173"/>
      <c r="MJH433" s="173"/>
      <c r="MJI433" s="173"/>
      <c r="MJJ433" s="173"/>
      <c r="MJK433" s="173"/>
      <c r="MJL433" s="173"/>
      <c r="MJM433" s="173"/>
      <c r="MJN433" s="173"/>
      <c r="MJO433" s="125"/>
      <c r="MJP433" s="125"/>
      <c r="MJQ433" s="134"/>
      <c r="MJR433" s="135"/>
      <c r="MJS433" s="135"/>
      <c r="MJT433" s="135"/>
      <c r="MJU433" s="135"/>
      <c r="MJV433" s="173"/>
      <c r="MJW433" s="173"/>
      <c r="MJX433" s="173"/>
      <c r="MJY433" s="173"/>
      <c r="MJZ433" s="173"/>
      <c r="MKA433" s="173"/>
      <c r="MKB433" s="173"/>
      <c r="MKC433" s="173"/>
      <c r="MKD433" s="173"/>
      <c r="MKE433" s="173"/>
      <c r="MKF433" s="125"/>
      <c r="MKG433" s="125"/>
      <c r="MKH433" s="134"/>
      <c r="MKI433" s="135"/>
      <c r="MKJ433" s="135"/>
      <c r="MKK433" s="135"/>
      <c r="MKL433" s="135"/>
      <c r="MKM433" s="173"/>
      <c r="MKN433" s="173"/>
      <c r="MKO433" s="173"/>
      <c r="MKP433" s="173"/>
      <c r="MKQ433" s="173"/>
      <c r="MKR433" s="173"/>
      <c r="MKS433" s="173"/>
      <c r="MKT433" s="173"/>
      <c r="MKU433" s="173"/>
      <c r="MKV433" s="173"/>
      <c r="MKW433" s="125"/>
      <c r="MKX433" s="125"/>
      <c r="MKY433" s="134"/>
      <c r="MKZ433" s="135"/>
      <c r="MLA433" s="135"/>
      <c r="MLB433" s="135"/>
      <c r="MLC433" s="135"/>
      <c r="MLD433" s="173"/>
      <c r="MLE433" s="173"/>
      <c r="MLF433" s="173"/>
      <c r="MLG433" s="173"/>
      <c r="MLH433" s="173"/>
      <c r="MLI433" s="173"/>
      <c r="MLJ433" s="173"/>
      <c r="MLK433" s="173"/>
      <c r="MLL433" s="173"/>
      <c r="MLM433" s="173"/>
      <c r="MLN433" s="125"/>
      <c r="MLO433" s="125"/>
      <c r="MLP433" s="134"/>
      <c r="MLQ433" s="135"/>
      <c r="MLR433" s="135"/>
      <c r="MLS433" s="135"/>
      <c r="MLT433" s="135"/>
      <c r="MLU433" s="173"/>
      <c r="MLV433" s="173"/>
      <c r="MLW433" s="173"/>
      <c r="MLX433" s="173"/>
      <c r="MLY433" s="173"/>
      <c r="MLZ433" s="173"/>
      <c r="MMA433" s="173"/>
      <c r="MMB433" s="173"/>
      <c r="MMC433" s="173"/>
      <c r="MMD433" s="173"/>
      <c r="MME433" s="125"/>
      <c r="MMF433" s="125"/>
      <c r="MMG433" s="134"/>
      <c r="MMH433" s="135"/>
      <c r="MMI433" s="135"/>
      <c r="MMJ433" s="135"/>
      <c r="MMK433" s="135"/>
      <c r="MML433" s="173"/>
      <c r="MMM433" s="173"/>
      <c r="MMN433" s="173"/>
      <c r="MMO433" s="173"/>
      <c r="MMP433" s="173"/>
      <c r="MMQ433" s="173"/>
      <c r="MMR433" s="173"/>
      <c r="MMS433" s="173"/>
      <c r="MMT433" s="173"/>
      <c r="MMU433" s="173"/>
      <c r="MMV433" s="125"/>
      <c r="MMW433" s="125"/>
      <c r="MMX433" s="134"/>
      <c r="MMY433" s="135"/>
      <c r="MMZ433" s="135"/>
      <c r="MNA433" s="135"/>
      <c r="MNB433" s="135"/>
      <c r="MNC433" s="173"/>
      <c r="MND433" s="173"/>
      <c r="MNE433" s="173"/>
      <c r="MNF433" s="173"/>
      <c r="MNG433" s="173"/>
      <c r="MNH433" s="173"/>
      <c r="MNI433" s="173"/>
      <c r="MNJ433" s="173"/>
      <c r="MNK433" s="173"/>
      <c r="MNL433" s="173"/>
      <c r="MNM433" s="125"/>
      <c r="MNN433" s="125"/>
      <c r="MNO433" s="134"/>
      <c r="MNP433" s="135"/>
      <c r="MNQ433" s="135"/>
      <c r="MNR433" s="135"/>
      <c r="MNS433" s="135"/>
      <c r="MNT433" s="173"/>
      <c r="MNU433" s="173"/>
      <c r="MNV433" s="173"/>
      <c r="MNW433" s="173"/>
      <c r="MNX433" s="173"/>
      <c r="MNY433" s="173"/>
      <c r="MNZ433" s="173"/>
      <c r="MOA433" s="173"/>
      <c r="MOB433" s="173"/>
      <c r="MOC433" s="173"/>
      <c r="MOD433" s="125"/>
      <c r="MOE433" s="125"/>
      <c r="MOF433" s="134"/>
      <c r="MOG433" s="135"/>
      <c r="MOH433" s="135"/>
      <c r="MOI433" s="135"/>
      <c r="MOJ433" s="135"/>
      <c r="MOK433" s="173"/>
      <c r="MOL433" s="173"/>
      <c r="MOM433" s="173"/>
      <c r="MON433" s="173"/>
      <c r="MOO433" s="173"/>
      <c r="MOP433" s="173"/>
      <c r="MOQ433" s="173"/>
      <c r="MOR433" s="173"/>
      <c r="MOS433" s="173"/>
      <c r="MOT433" s="173"/>
      <c r="MOU433" s="125"/>
      <c r="MOV433" s="125"/>
      <c r="MOW433" s="134"/>
      <c r="MOX433" s="135"/>
      <c r="MOY433" s="135"/>
      <c r="MOZ433" s="135"/>
      <c r="MPA433" s="135"/>
      <c r="MPB433" s="173"/>
      <c r="MPC433" s="173"/>
      <c r="MPD433" s="173"/>
      <c r="MPE433" s="173"/>
      <c r="MPF433" s="173"/>
      <c r="MPG433" s="173"/>
      <c r="MPH433" s="173"/>
      <c r="MPI433" s="173"/>
      <c r="MPJ433" s="173"/>
      <c r="MPK433" s="173"/>
      <c r="MPL433" s="125"/>
      <c r="MPM433" s="125"/>
      <c r="MPN433" s="134"/>
      <c r="MPO433" s="135"/>
      <c r="MPP433" s="135"/>
      <c r="MPQ433" s="135"/>
      <c r="MPR433" s="135"/>
      <c r="MPS433" s="173"/>
      <c r="MPT433" s="173"/>
      <c r="MPU433" s="173"/>
      <c r="MPV433" s="173"/>
      <c r="MPW433" s="173"/>
      <c r="MPX433" s="173"/>
      <c r="MPY433" s="173"/>
      <c r="MPZ433" s="173"/>
      <c r="MQA433" s="173"/>
      <c r="MQB433" s="173"/>
      <c r="MQC433" s="125"/>
      <c r="MQD433" s="125"/>
      <c r="MQE433" s="134"/>
      <c r="MQF433" s="135"/>
      <c r="MQG433" s="135"/>
      <c r="MQH433" s="135"/>
      <c r="MQI433" s="135"/>
      <c r="MQJ433" s="173"/>
      <c r="MQK433" s="173"/>
      <c r="MQL433" s="173"/>
      <c r="MQM433" s="173"/>
      <c r="MQN433" s="173"/>
      <c r="MQO433" s="173"/>
      <c r="MQP433" s="173"/>
      <c r="MQQ433" s="173"/>
      <c r="MQR433" s="173"/>
      <c r="MQS433" s="173"/>
      <c r="MQT433" s="125"/>
      <c r="MQU433" s="125"/>
      <c r="MQV433" s="134"/>
      <c r="MQW433" s="135"/>
      <c r="MQX433" s="135"/>
      <c r="MQY433" s="135"/>
      <c r="MQZ433" s="135"/>
      <c r="MRA433" s="173"/>
      <c r="MRB433" s="173"/>
      <c r="MRC433" s="173"/>
      <c r="MRD433" s="173"/>
      <c r="MRE433" s="173"/>
      <c r="MRF433" s="173"/>
      <c r="MRG433" s="173"/>
      <c r="MRH433" s="173"/>
      <c r="MRI433" s="173"/>
      <c r="MRJ433" s="173"/>
      <c r="MRK433" s="125"/>
      <c r="MRL433" s="125"/>
      <c r="MRM433" s="134"/>
      <c r="MRN433" s="135"/>
      <c r="MRO433" s="135"/>
      <c r="MRP433" s="135"/>
      <c r="MRQ433" s="135"/>
      <c r="MRR433" s="173"/>
      <c r="MRS433" s="173"/>
      <c r="MRT433" s="173"/>
      <c r="MRU433" s="173"/>
      <c r="MRV433" s="173"/>
      <c r="MRW433" s="173"/>
      <c r="MRX433" s="173"/>
      <c r="MRY433" s="173"/>
      <c r="MRZ433" s="173"/>
      <c r="MSA433" s="173"/>
      <c r="MSB433" s="125"/>
      <c r="MSC433" s="125"/>
      <c r="MSD433" s="134"/>
      <c r="MSE433" s="135"/>
      <c r="MSF433" s="135"/>
      <c r="MSG433" s="135"/>
      <c r="MSH433" s="135"/>
      <c r="MSI433" s="173"/>
      <c r="MSJ433" s="173"/>
      <c r="MSK433" s="173"/>
      <c r="MSL433" s="173"/>
      <c r="MSM433" s="173"/>
      <c r="MSN433" s="173"/>
      <c r="MSO433" s="173"/>
      <c r="MSP433" s="173"/>
      <c r="MSQ433" s="173"/>
      <c r="MSR433" s="173"/>
      <c r="MSS433" s="125"/>
      <c r="MST433" s="125"/>
      <c r="MSU433" s="134"/>
      <c r="MSV433" s="135"/>
      <c r="MSW433" s="135"/>
      <c r="MSX433" s="135"/>
      <c r="MSY433" s="135"/>
      <c r="MSZ433" s="173"/>
      <c r="MTA433" s="173"/>
      <c r="MTB433" s="173"/>
      <c r="MTC433" s="173"/>
      <c r="MTD433" s="173"/>
      <c r="MTE433" s="173"/>
      <c r="MTF433" s="173"/>
      <c r="MTG433" s="173"/>
      <c r="MTH433" s="173"/>
      <c r="MTI433" s="173"/>
      <c r="MTJ433" s="125"/>
      <c r="MTK433" s="125"/>
      <c r="MTL433" s="134"/>
      <c r="MTM433" s="135"/>
      <c r="MTN433" s="135"/>
      <c r="MTO433" s="135"/>
      <c r="MTP433" s="135"/>
      <c r="MTQ433" s="173"/>
      <c r="MTR433" s="173"/>
      <c r="MTS433" s="173"/>
      <c r="MTT433" s="173"/>
      <c r="MTU433" s="173"/>
      <c r="MTV433" s="173"/>
      <c r="MTW433" s="173"/>
      <c r="MTX433" s="173"/>
      <c r="MTY433" s="173"/>
      <c r="MTZ433" s="173"/>
      <c r="MUA433" s="125"/>
      <c r="MUB433" s="125"/>
      <c r="MUC433" s="134"/>
      <c r="MUD433" s="135"/>
      <c r="MUE433" s="135"/>
      <c r="MUF433" s="135"/>
      <c r="MUG433" s="135"/>
      <c r="MUH433" s="173"/>
      <c r="MUI433" s="173"/>
      <c r="MUJ433" s="173"/>
      <c r="MUK433" s="173"/>
      <c r="MUL433" s="173"/>
      <c r="MUM433" s="173"/>
      <c r="MUN433" s="173"/>
      <c r="MUO433" s="173"/>
      <c r="MUP433" s="173"/>
      <c r="MUQ433" s="173"/>
      <c r="MUR433" s="125"/>
      <c r="MUS433" s="125"/>
      <c r="MUT433" s="134"/>
      <c r="MUU433" s="135"/>
      <c r="MUV433" s="135"/>
      <c r="MUW433" s="135"/>
      <c r="MUX433" s="135"/>
      <c r="MUY433" s="173"/>
      <c r="MUZ433" s="173"/>
      <c r="MVA433" s="173"/>
      <c r="MVB433" s="173"/>
      <c r="MVC433" s="173"/>
      <c r="MVD433" s="173"/>
      <c r="MVE433" s="173"/>
      <c r="MVF433" s="173"/>
      <c r="MVG433" s="173"/>
      <c r="MVH433" s="173"/>
      <c r="MVI433" s="125"/>
      <c r="MVJ433" s="125"/>
      <c r="MVK433" s="134"/>
      <c r="MVL433" s="135"/>
      <c r="MVM433" s="135"/>
      <c r="MVN433" s="135"/>
      <c r="MVO433" s="135"/>
      <c r="MVP433" s="173"/>
      <c r="MVQ433" s="173"/>
      <c r="MVR433" s="173"/>
      <c r="MVS433" s="173"/>
      <c r="MVT433" s="173"/>
      <c r="MVU433" s="173"/>
      <c r="MVV433" s="173"/>
      <c r="MVW433" s="173"/>
      <c r="MVX433" s="173"/>
      <c r="MVY433" s="173"/>
      <c r="MVZ433" s="125"/>
      <c r="MWA433" s="125"/>
      <c r="MWB433" s="134"/>
      <c r="MWC433" s="135"/>
      <c r="MWD433" s="135"/>
      <c r="MWE433" s="135"/>
      <c r="MWF433" s="135"/>
      <c r="MWG433" s="173"/>
      <c r="MWH433" s="173"/>
      <c r="MWI433" s="173"/>
      <c r="MWJ433" s="173"/>
      <c r="MWK433" s="173"/>
      <c r="MWL433" s="173"/>
      <c r="MWM433" s="173"/>
      <c r="MWN433" s="173"/>
      <c r="MWO433" s="173"/>
      <c r="MWP433" s="173"/>
      <c r="MWQ433" s="125"/>
      <c r="MWR433" s="125"/>
      <c r="MWS433" s="134"/>
      <c r="MWT433" s="135"/>
      <c r="MWU433" s="135"/>
      <c r="MWV433" s="135"/>
      <c r="MWW433" s="135"/>
      <c r="MWX433" s="173"/>
      <c r="MWY433" s="173"/>
      <c r="MWZ433" s="173"/>
      <c r="MXA433" s="173"/>
      <c r="MXB433" s="173"/>
      <c r="MXC433" s="173"/>
      <c r="MXD433" s="173"/>
      <c r="MXE433" s="173"/>
      <c r="MXF433" s="173"/>
      <c r="MXG433" s="173"/>
      <c r="MXH433" s="125"/>
      <c r="MXI433" s="125"/>
      <c r="MXJ433" s="134"/>
      <c r="MXK433" s="135"/>
      <c r="MXL433" s="135"/>
      <c r="MXM433" s="135"/>
      <c r="MXN433" s="135"/>
      <c r="MXO433" s="173"/>
      <c r="MXP433" s="173"/>
      <c r="MXQ433" s="173"/>
      <c r="MXR433" s="173"/>
      <c r="MXS433" s="173"/>
      <c r="MXT433" s="173"/>
      <c r="MXU433" s="173"/>
      <c r="MXV433" s="173"/>
      <c r="MXW433" s="173"/>
      <c r="MXX433" s="173"/>
      <c r="MXY433" s="125"/>
      <c r="MXZ433" s="125"/>
      <c r="MYA433" s="134"/>
      <c r="MYB433" s="135"/>
      <c r="MYC433" s="135"/>
      <c r="MYD433" s="135"/>
      <c r="MYE433" s="135"/>
      <c r="MYF433" s="173"/>
      <c r="MYG433" s="173"/>
      <c r="MYH433" s="173"/>
      <c r="MYI433" s="173"/>
      <c r="MYJ433" s="173"/>
      <c r="MYK433" s="173"/>
      <c r="MYL433" s="173"/>
      <c r="MYM433" s="173"/>
      <c r="MYN433" s="173"/>
      <c r="MYO433" s="173"/>
      <c r="MYP433" s="125"/>
      <c r="MYQ433" s="125"/>
      <c r="MYR433" s="134"/>
      <c r="MYS433" s="135"/>
      <c r="MYT433" s="135"/>
      <c r="MYU433" s="135"/>
      <c r="MYV433" s="135"/>
      <c r="MYW433" s="173"/>
      <c r="MYX433" s="173"/>
      <c r="MYY433" s="173"/>
      <c r="MYZ433" s="173"/>
      <c r="MZA433" s="173"/>
      <c r="MZB433" s="173"/>
      <c r="MZC433" s="173"/>
      <c r="MZD433" s="173"/>
      <c r="MZE433" s="173"/>
      <c r="MZF433" s="173"/>
      <c r="MZG433" s="125"/>
      <c r="MZH433" s="125"/>
      <c r="MZI433" s="134"/>
      <c r="MZJ433" s="135"/>
      <c r="MZK433" s="135"/>
      <c r="MZL433" s="135"/>
      <c r="MZM433" s="135"/>
      <c r="MZN433" s="173"/>
      <c r="MZO433" s="173"/>
      <c r="MZP433" s="173"/>
      <c r="MZQ433" s="173"/>
      <c r="MZR433" s="173"/>
      <c r="MZS433" s="173"/>
      <c r="MZT433" s="173"/>
      <c r="MZU433" s="173"/>
      <c r="MZV433" s="173"/>
      <c r="MZW433" s="173"/>
      <c r="MZX433" s="125"/>
      <c r="MZY433" s="125"/>
      <c r="MZZ433" s="134"/>
      <c r="NAA433" s="135"/>
      <c r="NAB433" s="135"/>
      <c r="NAC433" s="135"/>
      <c r="NAD433" s="135"/>
      <c r="NAE433" s="173"/>
      <c r="NAF433" s="173"/>
      <c r="NAG433" s="173"/>
      <c r="NAH433" s="173"/>
      <c r="NAI433" s="173"/>
      <c r="NAJ433" s="173"/>
      <c r="NAK433" s="173"/>
      <c r="NAL433" s="173"/>
      <c r="NAM433" s="173"/>
      <c r="NAN433" s="173"/>
      <c r="NAO433" s="125"/>
      <c r="NAP433" s="125"/>
      <c r="NAQ433" s="134"/>
      <c r="NAR433" s="135"/>
      <c r="NAS433" s="135"/>
      <c r="NAT433" s="135"/>
      <c r="NAU433" s="135"/>
      <c r="NAV433" s="173"/>
      <c r="NAW433" s="173"/>
      <c r="NAX433" s="173"/>
      <c r="NAY433" s="173"/>
      <c r="NAZ433" s="173"/>
      <c r="NBA433" s="173"/>
      <c r="NBB433" s="173"/>
      <c r="NBC433" s="173"/>
      <c r="NBD433" s="173"/>
      <c r="NBE433" s="173"/>
      <c r="NBF433" s="125"/>
      <c r="NBG433" s="125"/>
      <c r="NBH433" s="134"/>
      <c r="NBI433" s="135"/>
      <c r="NBJ433" s="135"/>
      <c r="NBK433" s="135"/>
      <c r="NBL433" s="135"/>
      <c r="NBM433" s="173"/>
      <c r="NBN433" s="173"/>
      <c r="NBO433" s="173"/>
      <c r="NBP433" s="173"/>
      <c r="NBQ433" s="173"/>
      <c r="NBR433" s="173"/>
      <c r="NBS433" s="173"/>
      <c r="NBT433" s="173"/>
      <c r="NBU433" s="173"/>
      <c r="NBV433" s="173"/>
      <c r="NBW433" s="125"/>
      <c r="NBX433" s="125"/>
      <c r="NBY433" s="134"/>
      <c r="NBZ433" s="135"/>
      <c r="NCA433" s="135"/>
      <c r="NCB433" s="135"/>
      <c r="NCC433" s="135"/>
      <c r="NCD433" s="173"/>
      <c r="NCE433" s="173"/>
      <c r="NCF433" s="173"/>
      <c r="NCG433" s="173"/>
      <c r="NCH433" s="173"/>
      <c r="NCI433" s="173"/>
      <c r="NCJ433" s="173"/>
      <c r="NCK433" s="173"/>
      <c r="NCL433" s="173"/>
      <c r="NCM433" s="173"/>
      <c r="NCN433" s="125"/>
      <c r="NCO433" s="125"/>
      <c r="NCP433" s="134"/>
      <c r="NCQ433" s="135"/>
      <c r="NCR433" s="135"/>
      <c r="NCS433" s="135"/>
      <c r="NCT433" s="135"/>
      <c r="NCU433" s="173"/>
      <c r="NCV433" s="173"/>
      <c r="NCW433" s="173"/>
      <c r="NCX433" s="173"/>
      <c r="NCY433" s="173"/>
      <c r="NCZ433" s="173"/>
      <c r="NDA433" s="173"/>
      <c r="NDB433" s="173"/>
      <c r="NDC433" s="173"/>
      <c r="NDD433" s="173"/>
      <c r="NDE433" s="125"/>
      <c r="NDF433" s="125"/>
      <c r="NDG433" s="134"/>
      <c r="NDH433" s="135"/>
      <c r="NDI433" s="135"/>
      <c r="NDJ433" s="135"/>
      <c r="NDK433" s="135"/>
      <c r="NDL433" s="173"/>
      <c r="NDM433" s="173"/>
      <c r="NDN433" s="173"/>
      <c r="NDO433" s="173"/>
      <c r="NDP433" s="173"/>
      <c r="NDQ433" s="173"/>
      <c r="NDR433" s="173"/>
      <c r="NDS433" s="173"/>
      <c r="NDT433" s="173"/>
      <c r="NDU433" s="173"/>
      <c r="NDV433" s="125"/>
      <c r="NDW433" s="125"/>
      <c r="NDX433" s="134"/>
      <c r="NDY433" s="135"/>
      <c r="NDZ433" s="135"/>
      <c r="NEA433" s="135"/>
      <c r="NEB433" s="135"/>
      <c r="NEC433" s="173"/>
      <c r="NED433" s="173"/>
      <c r="NEE433" s="173"/>
      <c r="NEF433" s="173"/>
      <c r="NEG433" s="173"/>
      <c r="NEH433" s="173"/>
      <c r="NEI433" s="173"/>
      <c r="NEJ433" s="173"/>
      <c r="NEK433" s="173"/>
      <c r="NEL433" s="173"/>
      <c r="NEM433" s="125"/>
      <c r="NEN433" s="125"/>
      <c r="NEO433" s="134"/>
      <c r="NEP433" s="135"/>
      <c r="NEQ433" s="135"/>
      <c r="NER433" s="135"/>
      <c r="NES433" s="135"/>
      <c r="NET433" s="173"/>
      <c r="NEU433" s="173"/>
      <c r="NEV433" s="173"/>
      <c r="NEW433" s="173"/>
      <c r="NEX433" s="173"/>
      <c r="NEY433" s="173"/>
      <c r="NEZ433" s="173"/>
      <c r="NFA433" s="173"/>
      <c r="NFB433" s="173"/>
      <c r="NFC433" s="173"/>
      <c r="NFD433" s="125"/>
      <c r="NFE433" s="125"/>
      <c r="NFF433" s="134"/>
      <c r="NFG433" s="135"/>
      <c r="NFH433" s="135"/>
      <c r="NFI433" s="135"/>
      <c r="NFJ433" s="135"/>
      <c r="NFK433" s="173"/>
      <c r="NFL433" s="173"/>
      <c r="NFM433" s="173"/>
      <c r="NFN433" s="173"/>
      <c r="NFO433" s="173"/>
      <c r="NFP433" s="173"/>
      <c r="NFQ433" s="173"/>
      <c r="NFR433" s="173"/>
      <c r="NFS433" s="173"/>
      <c r="NFT433" s="173"/>
      <c r="NFU433" s="125"/>
      <c r="NFV433" s="125"/>
      <c r="NFW433" s="134"/>
      <c r="NFX433" s="135"/>
      <c r="NFY433" s="135"/>
      <c r="NFZ433" s="135"/>
      <c r="NGA433" s="135"/>
      <c r="NGB433" s="173"/>
      <c r="NGC433" s="173"/>
      <c r="NGD433" s="173"/>
      <c r="NGE433" s="173"/>
      <c r="NGF433" s="173"/>
      <c r="NGG433" s="173"/>
      <c r="NGH433" s="173"/>
      <c r="NGI433" s="173"/>
      <c r="NGJ433" s="173"/>
      <c r="NGK433" s="173"/>
      <c r="NGL433" s="125"/>
      <c r="NGM433" s="125"/>
      <c r="NGN433" s="134"/>
      <c r="NGO433" s="135"/>
      <c r="NGP433" s="135"/>
      <c r="NGQ433" s="135"/>
      <c r="NGR433" s="135"/>
      <c r="NGS433" s="173"/>
      <c r="NGT433" s="173"/>
      <c r="NGU433" s="173"/>
      <c r="NGV433" s="173"/>
      <c r="NGW433" s="173"/>
      <c r="NGX433" s="173"/>
      <c r="NGY433" s="173"/>
      <c r="NGZ433" s="173"/>
      <c r="NHA433" s="173"/>
      <c r="NHB433" s="173"/>
      <c r="NHC433" s="125"/>
      <c r="NHD433" s="125"/>
      <c r="NHE433" s="134"/>
      <c r="NHF433" s="135"/>
      <c r="NHG433" s="135"/>
      <c r="NHH433" s="135"/>
      <c r="NHI433" s="135"/>
      <c r="NHJ433" s="173"/>
      <c r="NHK433" s="173"/>
      <c r="NHL433" s="173"/>
      <c r="NHM433" s="173"/>
      <c r="NHN433" s="173"/>
      <c r="NHO433" s="173"/>
      <c r="NHP433" s="173"/>
      <c r="NHQ433" s="173"/>
      <c r="NHR433" s="173"/>
      <c r="NHS433" s="173"/>
      <c r="NHT433" s="125"/>
      <c r="NHU433" s="125"/>
      <c r="NHV433" s="134"/>
      <c r="NHW433" s="135"/>
      <c r="NHX433" s="135"/>
      <c r="NHY433" s="135"/>
      <c r="NHZ433" s="135"/>
      <c r="NIA433" s="173"/>
      <c r="NIB433" s="173"/>
      <c r="NIC433" s="173"/>
      <c r="NID433" s="173"/>
      <c r="NIE433" s="173"/>
      <c r="NIF433" s="173"/>
      <c r="NIG433" s="173"/>
      <c r="NIH433" s="173"/>
      <c r="NII433" s="173"/>
      <c r="NIJ433" s="173"/>
      <c r="NIK433" s="125"/>
      <c r="NIL433" s="125"/>
      <c r="NIM433" s="134"/>
      <c r="NIN433" s="135"/>
      <c r="NIO433" s="135"/>
      <c r="NIP433" s="135"/>
      <c r="NIQ433" s="135"/>
      <c r="NIR433" s="173"/>
      <c r="NIS433" s="173"/>
      <c r="NIT433" s="173"/>
      <c r="NIU433" s="173"/>
      <c r="NIV433" s="173"/>
      <c r="NIW433" s="173"/>
      <c r="NIX433" s="173"/>
      <c r="NIY433" s="173"/>
      <c r="NIZ433" s="173"/>
      <c r="NJA433" s="173"/>
      <c r="NJB433" s="125"/>
      <c r="NJC433" s="125"/>
      <c r="NJD433" s="134"/>
      <c r="NJE433" s="135"/>
      <c r="NJF433" s="135"/>
      <c r="NJG433" s="135"/>
      <c r="NJH433" s="135"/>
      <c r="NJI433" s="173"/>
      <c r="NJJ433" s="173"/>
      <c r="NJK433" s="173"/>
      <c r="NJL433" s="173"/>
      <c r="NJM433" s="173"/>
      <c r="NJN433" s="173"/>
      <c r="NJO433" s="173"/>
      <c r="NJP433" s="173"/>
      <c r="NJQ433" s="173"/>
      <c r="NJR433" s="173"/>
      <c r="NJS433" s="125"/>
      <c r="NJT433" s="125"/>
      <c r="NJU433" s="134"/>
      <c r="NJV433" s="135"/>
      <c r="NJW433" s="135"/>
      <c r="NJX433" s="135"/>
      <c r="NJY433" s="135"/>
      <c r="NJZ433" s="173"/>
      <c r="NKA433" s="173"/>
      <c r="NKB433" s="173"/>
      <c r="NKC433" s="173"/>
      <c r="NKD433" s="173"/>
      <c r="NKE433" s="173"/>
      <c r="NKF433" s="173"/>
      <c r="NKG433" s="173"/>
      <c r="NKH433" s="173"/>
      <c r="NKI433" s="173"/>
      <c r="NKJ433" s="125"/>
      <c r="NKK433" s="125"/>
      <c r="NKL433" s="134"/>
      <c r="NKM433" s="135"/>
      <c r="NKN433" s="135"/>
      <c r="NKO433" s="135"/>
      <c r="NKP433" s="135"/>
      <c r="NKQ433" s="173"/>
      <c r="NKR433" s="173"/>
      <c r="NKS433" s="173"/>
      <c r="NKT433" s="173"/>
      <c r="NKU433" s="173"/>
      <c r="NKV433" s="173"/>
      <c r="NKW433" s="173"/>
      <c r="NKX433" s="173"/>
      <c r="NKY433" s="173"/>
      <c r="NKZ433" s="173"/>
      <c r="NLA433" s="125"/>
      <c r="NLB433" s="125"/>
      <c r="NLC433" s="134"/>
      <c r="NLD433" s="135"/>
      <c r="NLE433" s="135"/>
      <c r="NLF433" s="135"/>
      <c r="NLG433" s="135"/>
      <c r="NLH433" s="173"/>
      <c r="NLI433" s="173"/>
      <c r="NLJ433" s="173"/>
      <c r="NLK433" s="173"/>
      <c r="NLL433" s="173"/>
      <c r="NLM433" s="173"/>
      <c r="NLN433" s="173"/>
      <c r="NLO433" s="173"/>
      <c r="NLP433" s="173"/>
      <c r="NLQ433" s="173"/>
      <c r="NLR433" s="125"/>
      <c r="NLS433" s="125"/>
      <c r="NLT433" s="134"/>
      <c r="NLU433" s="135"/>
      <c r="NLV433" s="135"/>
      <c r="NLW433" s="135"/>
      <c r="NLX433" s="135"/>
      <c r="NLY433" s="173"/>
      <c r="NLZ433" s="173"/>
      <c r="NMA433" s="173"/>
      <c r="NMB433" s="173"/>
      <c r="NMC433" s="173"/>
      <c r="NMD433" s="173"/>
      <c r="NME433" s="173"/>
      <c r="NMF433" s="173"/>
      <c r="NMG433" s="173"/>
      <c r="NMH433" s="173"/>
      <c r="NMI433" s="125"/>
      <c r="NMJ433" s="125"/>
      <c r="NMK433" s="134"/>
      <c r="NML433" s="135"/>
      <c r="NMM433" s="135"/>
      <c r="NMN433" s="135"/>
      <c r="NMO433" s="135"/>
      <c r="NMP433" s="173"/>
      <c r="NMQ433" s="173"/>
      <c r="NMR433" s="173"/>
      <c r="NMS433" s="173"/>
      <c r="NMT433" s="173"/>
      <c r="NMU433" s="173"/>
      <c r="NMV433" s="173"/>
      <c r="NMW433" s="173"/>
      <c r="NMX433" s="173"/>
      <c r="NMY433" s="173"/>
      <c r="NMZ433" s="125"/>
      <c r="NNA433" s="125"/>
      <c r="NNB433" s="134"/>
      <c r="NNC433" s="135"/>
      <c r="NND433" s="135"/>
      <c r="NNE433" s="135"/>
      <c r="NNF433" s="135"/>
      <c r="NNG433" s="173"/>
      <c r="NNH433" s="173"/>
      <c r="NNI433" s="173"/>
      <c r="NNJ433" s="173"/>
      <c r="NNK433" s="173"/>
      <c r="NNL433" s="173"/>
      <c r="NNM433" s="173"/>
      <c r="NNN433" s="173"/>
      <c r="NNO433" s="173"/>
      <c r="NNP433" s="173"/>
      <c r="NNQ433" s="125"/>
      <c r="NNR433" s="125"/>
      <c r="NNS433" s="134"/>
      <c r="NNT433" s="135"/>
      <c r="NNU433" s="135"/>
      <c r="NNV433" s="135"/>
      <c r="NNW433" s="135"/>
      <c r="NNX433" s="173"/>
      <c r="NNY433" s="173"/>
      <c r="NNZ433" s="173"/>
      <c r="NOA433" s="173"/>
      <c r="NOB433" s="173"/>
      <c r="NOC433" s="173"/>
      <c r="NOD433" s="173"/>
      <c r="NOE433" s="173"/>
      <c r="NOF433" s="173"/>
      <c r="NOG433" s="173"/>
      <c r="NOH433" s="125"/>
      <c r="NOI433" s="125"/>
      <c r="NOJ433" s="134"/>
      <c r="NOK433" s="135"/>
      <c r="NOL433" s="135"/>
      <c r="NOM433" s="135"/>
      <c r="NON433" s="135"/>
      <c r="NOO433" s="173"/>
      <c r="NOP433" s="173"/>
      <c r="NOQ433" s="173"/>
      <c r="NOR433" s="173"/>
      <c r="NOS433" s="173"/>
      <c r="NOT433" s="173"/>
      <c r="NOU433" s="173"/>
      <c r="NOV433" s="173"/>
      <c r="NOW433" s="173"/>
      <c r="NOX433" s="173"/>
      <c r="NOY433" s="125"/>
      <c r="NOZ433" s="125"/>
      <c r="NPA433" s="134"/>
      <c r="NPB433" s="135"/>
      <c r="NPC433" s="135"/>
      <c r="NPD433" s="135"/>
      <c r="NPE433" s="135"/>
      <c r="NPF433" s="173"/>
      <c r="NPG433" s="173"/>
      <c r="NPH433" s="173"/>
      <c r="NPI433" s="173"/>
      <c r="NPJ433" s="173"/>
      <c r="NPK433" s="173"/>
      <c r="NPL433" s="173"/>
      <c r="NPM433" s="173"/>
      <c r="NPN433" s="173"/>
      <c r="NPO433" s="173"/>
      <c r="NPP433" s="125"/>
      <c r="NPQ433" s="125"/>
      <c r="NPR433" s="134"/>
      <c r="NPS433" s="135"/>
      <c r="NPT433" s="135"/>
      <c r="NPU433" s="135"/>
      <c r="NPV433" s="135"/>
      <c r="NPW433" s="173"/>
      <c r="NPX433" s="173"/>
      <c r="NPY433" s="173"/>
      <c r="NPZ433" s="173"/>
      <c r="NQA433" s="173"/>
      <c r="NQB433" s="173"/>
      <c r="NQC433" s="173"/>
      <c r="NQD433" s="173"/>
      <c r="NQE433" s="173"/>
      <c r="NQF433" s="173"/>
      <c r="NQG433" s="125"/>
      <c r="NQH433" s="125"/>
      <c r="NQI433" s="134"/>
      <c r="NQJ433" s="135"/>
      <c r="NQK433" s="135"/>
      <c r="NQL433" s="135"/>
      <c r="NQM433" s="135"/>
      <c r="NQN433" s="173"/>
      <c r="NQO433" s="173"/>
      <c r="NQP433" s="173"/>
      <c r="NQQ433" s="173"/>
      <c r="NQR433" s="173"/>
      <c r="NQS433" s="173"/>
      <c r="NQT433" s="173"/>
      <c r="NQU433" s="173"/>
      <c r="NQV433" s="173"/>
      <c r="NQW433" s="173"/>
      <c r="NQX433" s="125"/>
      <c r="NQY433" s="125"/>
      <c r="NQZ433" s="134"/>
      <c r="NRA433" s="135"/>
      <c r="NRB433" s="135"/>
      <c r="NRC433" s="135"/>
      <c r="NRD433" s="135"/>
      <c r="NRE433" s="173"/>
      <c r="NRF433" s="173"/>
      <c r="NRG433" s="173"/>
      <c r="NRH433" s="173"/>
      <c r="NRI433" s="173"/>
      <c r="NRJ433" s="173"/>
      <c r="NRK433" s="173"/>
      <c r="NRL433" s="173"/>
      <c r="NRM433" s="173"/>
      <c r="NRN433" s="173"/>
      <c r="NRO433" s="125"/>
      <c r="NRP433" s="125"/>
      <c r="NRQ433" s="134"/>
      <c r="NRR433" s="135"/>
      <c r="NRS433" s="135"/>
      <c r="NRT433" s="135"/>
      <c r="NRU433" s="135"/>
      <c r="NRV433" s="173"/>
      <c r="NRW433" s="173"/>
      <c r="NRX433" s="173"/>
      <c r="NRY433" s="173"/>
      <c r="NRZ433" s="173"/>
      <c r="NSA433" s="173"/>
      <c r="NSB433" s="173"/>
      <c r="NSC433" s="173"/>
      <c r="NSD433" s="173"/>
      <c r="NSE433" s="173"/>
      <c r="NSF433" s="125"/>
      <c r="NSG433" s="125"/>
      <c r="NSH433" s="134"/>
      <c r="NSI433" s="135"/>
      <c r="NSJ433" s="135"/>
      <c r="NSK433" s="135"/>
      <c r="NSL433" s="135"/>
      <c r="NSM433" s="173"/>
      <c r="NSN433" s="173"/>
      <c r="NSO433" s="173"/>
      <c r="NSP433" s="173"/>
      <c r="NSQ433" s="173"/>
      <c r="NSR433" s="173"/>
      <c r="NSS433" s="173"/>
      <c r="NST433" s="173"/>
      <c r="NSU433" s="173"/>
      <c r="NSV433" s="173"/>
      <c r="NSW433" s="125"/>
      <c r="NSX433" s="125"/>
      <c r="NSY433" s="134"/>
      <c r="NSZ433" s="135"/>
      <c r="NTA433" s="135"/>
      <c r="NTB433" s="135"/>
      <c r="NTC433" s="135"/>
      <c r="NTD433" s="173"/>
      <c r="NTE433" s="173"/>
      <c r="NTF433" s="173"/>
      <c r="NTG433" s="173"/>
      <c r="NTH433" s="173"/>
      <c r="NTI433" s="173"/>
      <c r="NTJ433" s="173"/>
      <c r="NTK433" s="173"/>
      <c r="NTL433" s="173"/>
      <c r="NTM433" s="173"/>
      <c r="NTN433" s="125"/>
      <c r="NTO433" s="125"/>
      <c r="NTP433" s="134"/>
      <c r="NTQ433" s="135"/>
      <c r="NTR433" s="135"/>
      <c r="NTS433" s="135"/>
      <c r="NTT433" s="135"/>
      <c r="NTU433" s="173"/>
      <c r="NTV433" s="173"/>
      <c r="NTW433" s="173"/>
      <c r="NTX433" s="173"/>
      <c r="NTY433" s="173"/>
      <c r="NTZ433" s="173"/>
      <c r="NUA433" s="173"/>
      <c r="NUB433" s="173"/>
      <c r="NUC433" s="173"/>
      <c r="NUD433" s="173"/>
      <c r="NUE433" s="125"/>
      <c r="NUF433" s="125"/>
      <c r="NUG433" s="134"/>
      <c r="NUH433" s="135"/>
      <c r="NUI433" s="135"/>
      <c r="NUJ433" s="135"/>
      <c r="NUK433" s="135"/>
      <c r="NUL433" s="173"/>
      <c r="NUM433" s="173"/>
      <c r="NUN433" s="173"/>
      <c r="NUO433" s="173"/>
      <c r="NUP433" s="173"/>
      <c r="NUQ433" s="173"/>
      <c r="NUR433" s="173"/>
      <c r="NUS433" s="173"/>
      <c r="NUT433" s="173"/>
      <c r="NUU433" s="173"/>
      <c r="NUV433" s="125"/>
      <c r="NUW433" s="125"/>
      <c r="NUX433" s="134"/>
      <c r="NUY433" s="135"/>
      <c r="NUZ433" s="135"/>
      <c r="NVA433" s="135"/>
      <c r="NVB433" s="135"/>
      <c r="NVC433" s="173"/>
      <c r="NVD433" s="173"/>
      <c r="NVE433" s="173"/>
      <c r="NVF433" s="173"/>
      <c r="NVG433" s="173"/>
      <c r="NVH433" s="173"/>
      <c r="NVI433" s="173"/>
      <c r="NVJ433" s="173"/>
      <c r="NVK433" s="173"/>
      <c r="NVL433" s="173"/>
      <c r="NVM433" s="125"/>
      <c r="NVN433" s="125"/>
      <c r="NVO433" s="134"/>
      <c r="NVP433" s="135"/>
      <c r="NVQ433" s="135"/>
      <c r="NVR433" s="135"/>
      <c r="NVS433" s="135"/>
      <c r="NVT433" s="173"/>
      <c r="NVU433" s="173"/>
      <c r="NVV433" s="173"/>
      <c r="NVW433" s="173"/>
      <c r="NVX433" s="173"/>
      <c r="NVY433" s="173"/>
      <c r="NVZ433" s="173"/>
      <c r="NWA433" s="173"/>
      <c r="NWB433" s="173"/>
      <c r="NWC433" s="173"/>
      <c r="NWD433" s="125"/>
      <c r="NWE433" s="125"/>
      <c r="NWF433" s="134"/>
      <c r="NWG433" s="135"/>
      <c r="NWH433" s="135"/>
      <c r="NWI433" s="135"/>
      <c r="NWJ433" s="135"/>
      <c r="NWK433" s="173"/>
      <c r="NWL433" s="173"/>
      <c r="NWM433" s="173"/>
      <c r="NWN433" s="173"/>
      <c r="NWO433" s="173"/>
      <c r="NWP433" s="173"/>
      <c r="NWQ433" s="173"/>
      <c r="NWR433" s="173"/>
      <c r="NWS433" s="173"/>
      <c r="NWT433" s="173"/>
      <c r="NWU433" s="125"/>
      <c r="NWV433" s="125"/>
      <c r="NWW433" s="134"/>
      <c r="NWX433" s="135"/>
      <c r="NWY433" s="135"/>
      <c r="NWZ433" s="135"/>
      <c r="NXA433" s="135"/>
      <c r="NXB433" s="173"/>
      <c r="NXC433" s="173"/>
      <c r="NXD433" s="173"/>
      <c r="NXE433" s="173"/>
      <c r="NXF433" s="173"/>
      <c r="NXG433" s="173"/>
      <c r="NXH433" s="173"/>
      <c r="NXI433" s="173"/>
      <c r="NXJ433" s="173"/>
      <c r="NXK433" s="173"/>
      <c r="NXL433" s="125"/>
      <c r="NXM433" s="125"/>
      <c r="NXN433" s="134"/>
      <c r="NXO433" s="135"/>
      <c r="NXP433" s="135"/>
      <c r="NXQ433" s="135"/>
      <c r="NXR433" s="135"/>
      <c r="NXS433" s="173"/>
      <c r="NXT433" s="173"/>
      <c r="NXU433" s="173"/>
      <c r="NXV433" s="173"/>
      <c r="NXW433" s="173"/>
      <c r="NXX433" s="173"/>
      <c r="NXY433" s="173"/>
      <c r="NXZ433" s="173"/>
      <c r="NYA433" s="173"/>
      <c r="NYB433" s="173"/>
      <c r="NYC433" s="125"/>
      <c r="NYD433" s="125"/>
      <c r="NYE433" s="134"/>
      <c r="NYF433" s="135"/>
      <c r="NYG433" s="135"/>
      <c r="NYH433" s="135"/>
      <c r="NYI433" s="135"/>
      <c r="NYJ433" s="173"/>
      <c r="NYK433" s="173"/>
      <c r="NYL433" s="173"/>
      <c r="NYM433" s="173"/>
      <c r="NYN433" s="173"/>
      <c r="NYO433" s="173"/>
      <c r="NYP433" s="173"/>
      <c r="NYQ433" s="173"/>
      <c r="NYR433" s="173"/>
      <c r="NYS433" s="173"/>
      <c r="NYT433" s="125"/>
      <c r="NYU433" s="125"/>
      <c r="NYV433" s="134"/>
      <c r="NYW433" s="135"/>
      <c r="NYX433" s="135"/>
      <c r="NYY433" s="135"/>
      <c r="NYZ433" s="135"/>
      <c r="NZA433" s="173"/>
      <c r="NZB433" s="173"/>
      <c r="NZC433" s="173"/>
      <c r="NZD433" s="173"/>
      <c r="NZE433" s="173"/>
      <c r="NZF433" s="173"/>
      <c r="NZG433" s="173"/>
      <c r="NZH433" s="173"/>
      <c r="NZI433" s="173"/>
      <c r="NZJ433" s="173"/>
      <c r="NZK433" s="125"/>
      <c r="NZL433" s="125"/>
      <c r="NZM433" s="134"/>
      <c r="NZN433" s="135"/>
      <c r="NZO433" s="135"/>
      <c r="NZP433" s="135"/>
      <c r="NZQ433" s="135"/>
      <c r="NZR433" s="173"/>
      <c r="NZS433" s="173"/>
      <c r="NZT433" s="173"/>
      <c r="NZU433" s="173"/>
      <c r="NZV433" s="173"/>
      <c r="NZW433" s="173"/>
      <c r="NZX433" s="173"/>
      <c r="NZY433" s="173"/>
      <c r="NZZ433" s="173"/>
      <c r="OAA433" s="173"/>
      <c r="OAB433" s="125"/>
      <c r="OAC433" s="125"/>
      <c r="OAD433" s="134"/>
      <c r="OAE433" s="135"/>
      <c r="OAF433" s="135"/>
      <c r="OAG433" s="135"/>
      <c r="OAH433" s="135"/>
      <c r="OAI433" s="173"/>
      <c r="OAJ433" s="173"/>
      <c r="OAK433" s="173"/>
      <c r="OAL433" s="173"/>
      <c r="OAM433" s="173"/>
      <c r="OAN433" s="173"/>
      <c r="OAO433" s="173"/>
      <c r="OAP433" s="173"/>
      <c r="OAQ433" s="173"/>
      <c r="OAR433" s="173"/>
      <c r="OAS433" s="125"/>
      <c r="OAT433" s="125"/>
      <c r="OAU433" s="134"/>
      <c r="OAV433" s="135"/>
      <c r="OAW433" s="135"/>
      <c r="OAX433" s="135"/>
      <c r="OAY433" s="135"/>
      <c r="OAZ433" s="173"/>
      <c r="OBA433" s="173"/>
      <c r="OBB433" s="173"/>
      <c r="OBC433" s="173"/>
      <c r="OBD433" s="173"/>
      <c r="OBE433" s="173"/>
      <c r="OBF433" s="173"/>
      <c r="OBG433" s="173"/>
      <c r="OBH433" s="173"/>
      <c r="OBI433" s="173"/>
      <c r="OBJ433" s="125"/>
      <c r="OBK433" s="125"/>
      <c r="OBL433" s="134"/>
      <c r="OBM433" s="135"/>
      <c r="OBN433" s="135"/>
      <c r="OBO433" s="135"/>
      <c r="OBP433" s="135"/>
      <c r="OBQ433" s="173"/>
      <c r="OBR433" s="173"/>
      <c r="OBS433" s="173"/>
      <c r="OBT433" s="173"/>
      <c r="OBU433" s="173"/>
      <c r="OBV433" s="173"/>
      <c r="OBW433" s="173"/>
      <c r="OBX433" s="173"/>
      <c r="OBY433" s="173"/>
      <c r="OBZ433" s="173"/>
      <c r="OCA433" s="125"/>
      <c r="OCB433" s="125"/>
      <c r="OCC433" s="134"/>
      <c r="OCD433" s="135"/>
      <c r="OCE433" s="135"/>
      <c r="OCF433" s="135"/>
      <c r="OCG433" s="135"/>
      <c r="OCH433" s="173"/>
      <c r="OCI433" s="173"/>
      <c r="OCJ433" s="173"/>
      <c r="OCK433" s="173"/>
      <c r="OCL433" s="173"/>
      <c r="OCM433" s="173"/>
      <c r="OCN433" s="173"/>
      <c r="OCO433" s="173"/>
      <c r="OCP433" s="173"/>
      <c r="OCQ433" s="173"/>
      <c r="OCR433" s="125"/>
      <c r="OCS433" s="125"/>
      <c r="OCT433" s="134"/>
      <c r="OCU433" s="135"/>
      <c r="OCV433" s="135"/>
      <c r="OCW433" s="135"/>
      <c r="OCX433" s="135"/>
      <c r="OCY433" s="173"/>
      <c r="OCZ433" s="173"/>
      <c r="ODA433" s="173"/>
      <c r="ODB433" s="173"/>
      <c r="ODC433" s="173"/>
      <c r="ODD433" s="173"/>
      <c r="ODE433" s="173"/>
      <c r="ODF433" s="173"/>
      <c r="ODG433" s="173"/>
      <c r="ODH433" s="173"/>
      <c r="ODI433" s="125"/>
      <c r="ODJ433" s="125"/>
      <c r="ODK433" s="134"/>
      <c r="ODL433" s="135"/>
      <c r="ODM433" s="135"/>
      <c r="ODN433" s="135"/>
      <c r="ODO433" s="135"/>
      <c r="ODP433" s="173"/>
      <c r="ODQ433" s="173"/>
      <c r="ODR433" s="173"/>
      <c r="ODS433" s="173"/>
      <c r="ODT433" s="173"/>
      <c r="ODU433" s="173"/>
      <c r="ODV433" s="173"/>
      <c r="ODW433" s="173"/>
      <c r="ODX433" s="173"/>
      <c r="ODY433" s="173"/>
      <c r="ODZ433" s="125"/>
      <c r="OEA433" s="125"/>
      <c r="OEB433" s="134"/>
      <c r="OEC433" s="135"/>
      <c r="OED433" s="135"/>
      <c r="OEE433" s="135"/>
      <c r="OEF433" s="135"/>
      <c r="OEG433" s="173"/>
      <c r="OEH433" s="173"/>
      <c r="OEI433" s="173"/>
      <c r="OEJ433" s="173"/>
      <c r="OEK433" s="173"/>
      <c r="OEL433" s="173"/>
      <c r="OEM433" s="173"/>
      <c r="OEN433" s="173"/>
      <c r="OEO433" s="173"/>
      <c r="OEP433" s="173"/>
      <c r="OEQ433" s="125"/>
      <c r="OER433" s="125"/>
      <c r="OES433" s="134"/>
      <c r="OET433" s="135"/>
      <c r="OEU433" s="135"/>
      <c r="OEV433" s="135"/>
      <c r="OEW433" s="135"/>
      <c r="OEX433" s="173"/>
      <c r="OEY433" s="173"/>
      <c r="OEZ433" s="173"/>
      <c r="OFA433" s="173"/>
      <c r="OFB433" s="173"/>
      <c r="OFC433" s="173"/>
      <c r="OFD433" s="173"/>
      <c r="OFE433" s="173"/>
      <c r="OFF433" s="173"/>
      <c r="OFG433" s="173"/>
      <c r="OFH433" s="125"/>
      <c r="OFI433" s="125"/>
      <c r="OFJ433" s="134"/>
      <c r="OFK433" s="135"/>
      <c r="OFL433" s="135"/>
      <c r="OFM433" s="135"/>
      <c r="OFN433" s="135"/>
      <c r="OFO433" s="173"/>
      <c r="OFP433" s="173"/>
      <c r="OFQ433" s="173"/>
      <c r="OFR433" s="173"/>
      <c r="OFS433" s="173"/>
      <c r="OFT433" s="173"/>
      <c r="OFU433" s="173"/>
      <c r="OFV433" s="173"/>
      <c r="OFW433" s="173"/>
      <c r="OFX433" s="173"/>
      <c r="OFY433" s="125"/>
      <c r="OFZ433" s="125"/>
      <c r="OGA433" s="134"/>
      <c r="OGB433" s="135"/>
      <c r="OGC433" s="135"/>
      <c r="OGD433" s="135"/>
      <c r="OGE433" s="135"/>
      <c r="OGF433" s="173"/>
      <c r="OGG433" s="173"/>
      <c r="OGH433" s="173"/>
      <c r="OGI433" s="173"/>
      <c r="OGJ433" s="173"/>
      <c r="OGK433" s="173"/>
      <c r="OGL433" s="173"/>
      <c r="OGM433" s="173"/>
      <c r="OGN433" s="173"/>
      <c r="OGO433" s="173"/>
      <c r="OGP433" s="125"/>
      <c r="OGQ433" s="125"/>
      <c r="OGR433" s="134"/>
      <c r="OGS433" s="135"/>
      <c r="OGT433" s="135"/>
      <c r="OGU433" s="135"/>
      <c r="OGV433" s="135"/>
      <c r="OGW433" s="173"/>
      <c r="OGX433" s="173"/>
      <c r="OGY433" s="173"/>
      <c r="OGZ433" s="173"/>
      <c r="OHA433" s="173"/>
      <c r="OHB433" s="173"/>
      <c r="OHC433" s="173"/>
      <c r="OHD433" s="173"/>
      <c r="OHE433" s="173"/>
      <c r="OHF433" s="173"/>
      <c r="OHG433" s="125"/>
      <c r="OHH433" s="125"/>
      <c r="OHI433" s="134"/>
      <c r="OHJ433" s="135"/>
      <c r="OHK433" s="135"/>
      <c r="OHL433" s="135"/>
      <c r="OHM433" s="135"/>
      <c r="OHN433" s="173"/>
      <c r="OHO433" s="173"/>
      <c r="OHP433" s="173"/>
      <c r="OHQ433" s="173"/>
      <c r="OHR433" s="173"/>
      <c r="OHS433" s="173"/>
      <c r="OHT433" s="173"/>
      <c r="OHU433" s="173"/>
      <c r="OHV433" s="173"/>
      <c r="OHW433" s="173"/>
      <c r="OHX433" s="125"/>
      <c r="OHY433" s="125"/>
      <c r="OHZ433" s="134"/>
      <c r="OIA433" s="135"/>
      <c r="OIB433" s="135"/>
      <c r="OIC433" s="135"/>
      <c r="OID433" s="135"/>
      <c r="OIE433" s="173"/>
      <c r="OIF433" s="173"/>
      <c r="OIG433" s="173"/>
      <c r="OIH433" s="173"/>
      <c r="OII433" s="173"/>
      <c r="OIJ433" s="173"/>
      <c r="OIK433" s="173"/>
      <c r="OIL433" s="173"/>
      <c r="OIM433" s="173"/>
      <c r="OIN433" s="173"/>
      <c r="OIO433" s="125"/>
      <c r="OIP433" s="125"/>
      <c r="OIQ433" s="134"/>
      <c r="OIR433" s="135"/>
      <c r="OIS433" s="135"/>
      <c r="OIT433" s="135"/>
      <c r="OIU433" s="135"/>
      <c r="OIV433" s="173"/>
      <c r="OIW433" s="173"/>
      <c r="OIX433" s="173"/>
      <c r="OIY433" s="173"/>
      <c r="OIZ433" s="173"/>
      <c r="OJA433" s="173"/>
      <c r="OJB433" s="173"/>
      <c r="OJC433" s="173"/>
      <c r="OJD433" s="173"/>
      <c r="OJE433" s="173"/>
      <c r="OJF433" s="125"/>
      <c r="OJG433" s="125"/>
      <c r="OJH433" s="134"/>
      <c r="OJI433" s="135"/>
      <c r="OJJ433" s="135"/>
      <c r="OJK433" s="135"/>
      <c r="OJL433" s="135"/>
      <c r="OJM433" s="173"/>
      <c r="OJN433" s="173"/>
      <c r="OJO433" s="173"/>
      <c r="OJP433" s="173"/>
      <c r="OJQ433" s="173"/>
      <c r="OJR433" s="173"/>
      <c r="OJS433" s="173"/>
      <c r="OJT433" s="173"/>
      <c r="OJU433" s="173"/>
      <c r="OJV433" s="173"/>
      <c r="OJW433" s="125"/>
      <c r="OJX433" s="125"/>
      <c r="OJY433" s="134"/>
      <c r="OJZ433" s="135"/>
      <c r="OKA433" s="135"/>
      <c r="OKB433" s="135"/>
      <c r="OKC433" s="135"/>
      <c r="OKD433" s="173"/>
      <c r="OKE433" s="173"/>
      <c r="OKF433" s="173"/>
      <c r="OKG433" s="173"/>
      <c r="OKH433" s="173"/>
      <c r="OKI433" s="173"/>
      <c r="OKJ433" s="173"/>
      <c r="OKK433" s="173"/>
      <c r="OKL433" s="173"/>
      <c r="OKM433" s="173"/>
      <c r="OKN433" s="125"/>
      <c r="OKO433" s="125"/>
      <c r="OKP433" s="134"/>
      <c r="OKQ433" s="135"/>
      <c r="OKR433" s="135"/>
      <c r="OKS433" s="135"/>
      <c r="OKT433" s="135"/>
      <c r="OKU433" s="173"/>
      <c r="OKV433" s="173"/>
      <c r="OKW433" s="173"/>
      <c r="OKX433" s="173"/>
      <c r="OKY433" s="173"/>
      <c r="OKZ433" s="173"/>
      <c r="OLA433" s="173"/>
      <c r="OLB433" s="173"/>
      <c r="OLC433" s="173"/>
      <c r="OLD433" s="173"/>
      <c r="OLE433" s="125"/>
      <c r="OLF433" s="125"/>
      <c r="OLG433" s="134"/>
      <c r="OLH433" s="135"/>
      <c r="OLI433" s="135"/>
      <c r="OLJ433" s="135"/>
      <c r="OLK433" s="135"/>
      <c r="OLL433" s="173"/>
      <c r="OLM433" s="173"/>
      <c r="OLN433" s="173"/>
      <c r="OLO433" s="173"/>
      <c r="OLP433" s="173"/>
      <c r="OLQ433" s="173"/>
      <c r="OLR433" s="173"/>
      <c r="OLS433" s="173"/>
      <c r="OLT433" s="173"/>
      <c r="OLU433" s="173"/>
      <c r="OLV433" s="125"/>
      <c r="OLW433" s="125"/>
      <c r="OLX433" s="134"/>
      <c r="OLY433" s="135"/>
      <c r="OLZ433" s="135"/>
      <c r="OMA433" s="135"/>
      <c r="OMB433" s="135"/>
      <c r="OMC433" s="173"/>
      <c r="OMD433" s="173"/>
      <c r="OME433" s="173"/>
      <c r="OMF433" s="173"/>
      <c r="OMG433" s="173"/>
      <c r="OMH433" s="173"/>
      <c r="OMI433" s="173"/>
      <c r="OMJ433" s="173"/>
      <c r="OMK433" s="173"/>
      <c r="OML433" s="173"/>
      <c r="OMM433" s="125"/>
      <c r="OMN433" s="125"/>
      <c r="OMO433" s="134"/>
      <c r="OMP433" s="135"/>
      <c r="OMQ433" s="135"/>
      <c r="OMR433" s="135"/>
      <c r="OMS433" s="135"/>
      <c r="OMT433" s="173"/>
      <c r="OMU433" s="173"/>
      <c r="OMV433" s="173"/>
      <c r="OMW433" s="173"/>
      <c r="OMX433" s="173"/>
      <c r="OMY433" s="173"/>
      <c r="OMZ433" s="173"/>
      <c r="ONA433" s="173"/>
      <c r="ONB433" s="173"/>
      <c r="ONC433" s="173"/>
      <c r="OND433" s="125"/>
      <c r="ONE433" s="125"/>
      <c r="ONF433" s="134"/>
      <c r="ONG433" s="135"/>
      <c r="ONH433" s="135"/>
      <c r="ONI433" s="135"/>
      <c r="ONJ433" s="135"/>
      <c r="ONK433" s="173"/>
      <c r="ONL433" s="173"/>
      <c r="ONM433" s="173"/>
      <c r="ONN433" s="173"/>
      <c r="ONO433" s="173"/>
      <c r="ONP433" s="173"/>
      <c r="ONQ433" s="173"/>
      <c r="ONR433" s="173"/>
      <c r="ONS433" s="173"/>
      <c r="ONT433" s="173"/>
      <c r="ONU433" s="125"/>
      <c r="ONV433" s="125"/>
      <c r="ONW433" s="134"/>
      <c r="ONX433" s="135"/>
      <c r="ONY433" s="135"/>
      <c r="ONZ433" s="135"/>
      <c r="OOA433" s="135"/>
      <c r="OOB433" s="173"/>
      <c r="OOC433" s="173"/>
      <c r="OOD433" s="173"/>
      <c r="OOE433" s="173"/>
      <c r="OOF433" s="173"/>
      <c r="OOG433" s="173"/>
      <c r="OOH433" s="173"/>
      <c r="OOI433" s="173"/>
      <c r="OOJ433" s="173"/>
      <c r="OOK433" s="173"/>
      <c r="OOL433" s="125"/>
      <c r="OOM433" s="125"/>
      <c r="OON433" s="134"/>
      <c r="OOO433" s="135"/>
      <c r="OOP433" s="135"/>
      <c r="OOQ433" s="135"/>
      <c r="OOR433" s="135"/>
      <c r="OOS433" s="173"/>
      <c r="OOT433" s="173"/>
      <c r="OOU433" s="173"/>
      <c r="OOV433" s="173"/>
      <c r="OOW433" s="173"/>
      <c r="OOX433" s="173"/>
      <c r="OOY433" s="173"/>
      <c r="OOZ433" s="173"/>
      <c r="OPA433" s="173"/>
      <c r="OPB433" s="173"/>
      <c r="OPC433" s="125"/>
      <c r="OPD433" s="125"/>
      <c r="OPE433" s="134"/>
      <c r="OPF433" s="135"/>
      <c r="OPG433" s="135"/>
      <c r="OPH433" s="135"/>
      <c r="OPI433" s="135"/>
      <c r="OPJ433" s="173"/>
      <c r="OPK433" s="173"/>
      <c r="OPL433" s="173"/>
      <c r="OPM433" s="173"/>
      <c r="OPN433" s="173"/>
      <c r="OPO433" s="173"/>
      <c r="OPP433" s="173"/>
      <c r="OPQ433" s="173"/>
      <c r="OPR433" s="173"/>
      <c r="OPS433" s="173"/>
      <c r="OPT433" s="125"/>
      <c r="OPU433" s="125"/>
      <c r="OPV433" s="134"/>
      <c r="OPW433" s="135"/>
      <c r="OPX433" s="135"/>
      <c r="OPY433" s="135"/>
      <c r="OPZ433" s="135"/>
      <c r="OQA433" s="173"/>
      <c r="OQB433" s="173"/>
      <c r="OQC433" s="173"/>
      <c r="OQD433" s="173"/>
      <c r="OQE433" s="173"/>
      <c r="OQF433" s="173"/>
      <c r="OQG433" s="173"/>
      <c r="OQH433" s="173"/>
      <c r="OQI433" s="173"/>
      <c r="OQJ433" s="173"/>
      <c r="OQK433" s="125"/>
      <c r="OQL433" s="125"/>
      <c r="OQM433" s="134"/>
      <c r="OQN433" s="135"/>
      <c r="OQO433" s="135"/>
      <c r="OQP433" s="135"/>
      <c r="OQQ433" s="135"/>
      <c r="OQR433" s="173"/>
      <c r="OQS433" s="173"/>
      <c r="OQT433" s="173"/>
      <c r="OQU433" s="173"/>
      <c r="OQV433" s="173"/>
      <c r="OQW433" s="173"/>
      <c r="OQX433" s="173"/>
      <c r="OQY433" s="173"/>
      <c r="OQZ433" s="173"/>
      <c r="ORA433" s="173"/>
      <c r="ORB433" s="125"/>
      <c r="ORC433" s="125"/>
      <c r="ORD433" s="134"/>
      <c r="ORE433" s="135"/>
      <c r="ORF433" s="135"/>
      <c r="ORG433" s="135"/>
      <c r="ORH433" s="135"/>
      <c r="ORI433" s="173"/>
      <c r="ORJ433" s="173"/>
      <c r="ORK433" s="173"/>
      <c r="ORL433" s="173"/>
      <c r="ORM433" s="173"/>
      <c r="ORN433" s="173"/>
      <c r="ORO433" s="173"/>
      <c r="ORP433" s="173"/>
      <c r="ORQ433" s="173"/>
      <c r="ORR433" s="173"/>
      <c r="ORS433" s="125"/>
      <c r="ORT433" s="125"/>
      <c r="ORU433" s="134"/>
      <c r="ORV433" s="135"/>
      <c r="ORW433" s="135"/>
      <c r="ORX433" s="135"/>
      <c r="ORY433" s="135"/>
      <c r="ORZ433" s="173"/>
      <c r="OSA433" s="173"/>
      <c r="OSB433" s="173"/>
      <c r="OSC433" s="173"/>
      <c r="OSD433" s="173"/>
      <c r="OSE433" s="173"/>
      <c r="OSF433" s="173"/>
      <c r="OSG433" s="173"/>
      <c r="OSH433" s="173"/>
      <c r="OSI433" s="173"/>
      <c r="OSJ433" s="125"/>
      <c r="OSK433" s="125"/>
      <c r="OSL433" s="134"/>
      <c r="OSM433" s="135"/>
      <c r="OSN433" s="135"/>
      <c r="OSO433" s="135"/>
      <c r="OSP433" s="135"/>
      <c r="OSQ433" s="173"/>
      <c r="OSR433" s="173"/>
      <c r="OSS433" s="173"/>
      <c r="OST433" s="173"/>
      <c r="OSU433" s="173"/>
      <c r="OSV433" s="173"/>
      <c r="OSW433" s="173"/>
      <c r="OSX433" s="173"/>
      <c r="OSY433" s="173"/>
      <c r="OSZ433" s="173"/>
      <c r="OTA433" s="125"/>
      <c r="OTB433" s="125"/>
      <c r="OTC433" s="134"/>
      <c r="OTD433" s="135"/>
      <c r="OTE433" s="135"/>
      <c r="OTF433" s="135"/>
      <c r="OTG433" s="135"/>
      <c r="OTH433" s="173"/>
      <c r="OTI433" s="173"/>
      <c r="OTJ433" s="173"/>
      <c r="OTK433" s="173"/>
      <c r="OTL433" s="173"/>
      <c r="OTM433" s="173"/>
      <c r="OTN433" s="173"/>
      <c r="OTO433" s="173"/>
      <c r="OTP433" s="173"/>
      <c r="OTQ433" s="173"/>
      <c r="OTR433" s="125"/>
      <c r="OTS433" s="125"/>
      <c r="OTT433" s="134"/>
      <c r="OTU433" s="135"/>
      <c r="OTV433" s="135"/>
      <c r="OTW433" s="135"/>
      <c r="OTX433" s="135"/>
      <c r="OTY433" s="173"/>
      <c r="OTZ433" s="173"/>
      <c r="OUA433" s="173"/>
      <c r="OUB433" s="173"/>
      <c r="OUC433" s="173"/>
      <c r="OUD433" s="173"/>
      <c r="OUE433" s="173"/>
      <c r="OUF433" s="173"/>
      <c r="OUG433" s="173"/>
      <c r="OUH433" s="173"/>
      <c r="OUI433" s="125"/>
      <c r="OUJ433" s="125"/>
      <c r="OUK433" s="134"/>
      <c r="OUL433" s="135"/>
      <c r="OUM433" s="135"/>
      <c r="OUN433" s="135"/>
      <c r="OUO433" s="135"/>
      <c r="OUP433" s="173"/>
      <c r="OUQ433" s="173"/>
      <c r="OUR433" s="173"/>
      <c r="OUS433" s="173"/>
      <c r="OUT433" s="173"/>
      <c r="OUU433" s="173"/>
      <c r="OUV433" s="173"/>
      <c r="OUW433" s="173"/>
      <c r="OUX433" s="173"/>
      <c r="OUY433" s="173"/>
      <c r="OUZ433" s="125"/>
      <c r="OVA433" s="125"/>
      <c r="OVB433" s="134"/>
      <c r="OVC433" s="135"/>
      <c r="OVD433" s="135"/>
      <c r="OVE433" s="135"/>
      <c r="OVF433" s="135"/>
      <c r="OVG433" s="173"/>
      <c r="OVH433" s="173"/>
      <c r="OVI433" s="173"/>
      <c r="OVJ433" s="173"/>
      <c r="OVK433" s="173"/>
      <c r="OVL433" s="173"/>
      <c r="OVM433" s="173"/>
      <c r="OVN433" s="173"/>
      <c r="OVO433" s="173"/>
      <c r="OVP433" s="173"/>
      <c r="OVQ433" s="125"/>
      <c r="OVR433" s="125"/>
      <c r="OVS433" s="134"/>
      <c r="OVT433" s="135"/>
      <c r="OVU433" s="135"/>
      <c r="OVV433" s="135"/>
      <c r="OVW433" s="135"/>
      <c r="OVX433" s="173"/>
      <c r="OVY433" s="173"/>
      <c r="OVZ433" s="173"/>
      <c r="OWA433" s="173"/>
      <c r="OWB433" s="173"/>
      <c r="OWC433" s="173"/>
      <c r="OWD433" s="173"/>
      <c r="OWE433" s="173"/>
      <c r="OWF433" s="173"/>
      <c r="OWG433" s="173"/>
      <c r="OWH433" s="125"/>
      <c r="OWI433" s="125"/>
      <c r="OWJ433" s="134"/>
      <c r="OWK433" s="135"/>
      <c r="OWL433" s="135"/>
      <c r="OWM433" s="135"/>
      <c r="OWN433" s="135"/>
      <c r="OWO433" s="173"/>
      <c r="OWP433" s="173"/>
      <c r="OWQ433" s="173"/>
      <c r="OWR433" s="173"/>
      <c r="OWS433" s="173"/>
      <c r="OWT433" s="173"/>
      <c r="OWU433" s="173"/>
      <c r="OWV433" s="173"/>
      <c r="OWW433" s="173"/>
      <c r="OWX433" s="173"/>
      <c r="OWY433" s="125"/>
      <c r="OWZ433" s="125"/>
      <c r="OXA433" s="134"/>
      <c r="OXB433" s="135"/>
      <c r="OXC433" s="135"/>
      <c r="OXD433" s="135"/>
      <c r="OXE433" s="135"/>
      <c r="OXF433" s="173"/>
      <c r="OXG433" s="173"/>
      <c r="OXH433" s="173"/>
      <c r="OXI433" s="173"/>
      <c r="OXJ433" s="173"/>
      <c r="OXK433" s="173"/>
      <c r="OXL433" s="173"/>
      <c r="OXM433" s="173"/>
      <c r="OXN433" s="173"/>
      <c r="OXO433" s="173"/>
      <c r="OXP433" s="125"/>
      <c r="OXQ433" s="125"/>
      <c r="OXR433" s="134"/>
      <c r="OXS433" s="135"/>
      <c r="OXT433" s="135"/>
      <c r="OXU433" s="135"/>
      <c r="OXV433" s="135"/>
      <c r="OXW433" s="173"/>
      <c r="OXX433" s="173"/>
      <c r="OXY433" s="173"/>
      <c r="OXZ433" s="173"/>
      <c r="OYA433" s="173"/>
      <c r="OYB433" s="173"/>
      <c r="OYC433" s="173"/>
      <c r="OYD433" s="173"/>
      <c r="OYE433" s="173"/>
      <c r="OYF433" s="173"/>
      <c r="OYG433" s="125"/>
      <c r="OYH433" s="125"/>
      <c r="OYI433" s="134"/>
      <c r="OYJ433" s="135"/>
      <c r="OYK433" s="135"/>
      <c r="OYL433" s="135"/>
      <c r="OYM433" s="135"/>
      <c r="OYN433" s="173"/>
      <c r="OYO433" s="173"/>
      <c r="OYP433" s="173"/>
      <c r="OYQ433" s="173"/>
      <c r="OYR433" s="173"/>
      <c r="OYS433" s="173"/>
      <c r="OYT433" s="173"/>
      <c r="OYU433" s="173"/>
      <c r="OYV433" s="173"/>
      <c r="OYW433" s="173"/>
      <c r="OYX433" s="125"/>
      <c r="OYY433" s="125"/>
      <c r="OYZ433" s="134"/>
      <c r="OZA433" s="135"/>
      <c r="OZB433" s="135"/>
      <c r="OZC433" s="135"/>
      <c r="OZD433" s="135"/>
      <c r="OZE433" s="173"/>
      <c r="OZF433" s="173"/>
      <c r="OZG433" s="173"/>
      <c r="OZH433" s="173"/>
      <c r="OZI433" s="173"/>
      <c r="OZJ433" s="173"/>
      <c r="OZK433" s="173"/>
      <c r="OZL433" s="173"/>
      <c r="OZM433" s="173"/>
      <c r="OZN433" s="173"/>
      <c r="OZO433" s="125"/>
      <c r="OZP433" s="125"/>
      <c r="OZQ433" s="134"/>
      <c r="OZR433" s="135"/>
      <c r="OZS433" s="135"/>
      <c r="OZT433" s="135"/>
      <c r="OZU433" s="135"/>
      <c r="OZV433" s="173"/>
      <c r="OZW433" s="173"/>
      <c r="OZX433" s="173"/>
      <c r="OZY433" s="173"/>
      <c r="OZZ433" s="173"/>
      <c r="PAA433" s="173"/>
      <c r="PAB433" s="173"/>
      <c r="PAC433" s="173"/>
      <c r="PAD433" s="173"/>
      <c r="PAE433" s="173"/>
      <c r="PAF433" s="125"/>
      <c r="PAG433" s="125"/>
      <c r="PAH433" s="134"/>
      <c r="PAI433" s="135"/>
      <c r="PAJ433" s="135"/>
      <c r="PAK433" s="135"/>
      <c r="PAL433" s="135"/>
      <c r="PAM433" s="173"/>
      <c r="PAN433" s="173"/>
      <c r="PAO433" s="173"/>
      <c r="PAP433" s="173"/>
      <c r="PAQ433" s="173"/>
      <c r="PAR433" s="173"/>
      <c r="PAS433" s="173"/>
      <c r="PAT433" s="173"/>
      <c r="PAU433" s="173"/>
      <c r="PAV433" s="173"/>
      <c r="PAW433" s="125"/>
      <c r="PAX433" s="125"/>
      <c r="PAY433" s="134"/>
      <c r="PAZ433" s="135"/>
      <c r="PBA433" s="135"/>
      <c r="PBB433" s="135"/>
      <c r="PBC433" s="135"/>
      <c r="PBD433" s="173"/>
      <c r="PBE433" s="173"/>
      <c r="PBF433" s="173"/>
      <c r="PBG433" s="173"/>
      <c r="PBH433" s="173"/>
      <c r="PBI433" s="173"/>
      <c r="PBJ433" s="173"/>
      <c r="PBK433" s="173"/>
      <c r="PBL433" s="173"/>
      <c r="PBM433" s="173"/>
      <c r="PBN433" s="125"/>
      <c r="PBO433" s="125"/>
      <c r="PBP433" s="134"/>
      <c r="PBQ433" s="135"/>
      <c r="PBR433" s="135"/>
      <c r="PBS433" s="135"/>
      <c r="PBT433" s="135"/>
      <c r="PBU433" s="173"/>
      <c r="PBV433" s="173"/>
      <c r="PBW433" s="173"/>
      <c r="PBX433" s="173"/>
      <c r="PBY433" s="173"/>
      <c r="PBZ433" s="173"/>
      <c r="PCA433" s="173"/>
      <c r="PCB433" s="173"/>
      <c r="PCC433" s="173"/>
      <c r="PCD433" s="173"/>
      <c r="PCE433" s="125"/>
      <c r="PCF433" s="125"/>
      <c r="PCG433" s="134"/>
      <c r="PCH433" s="135"/>
      <c r="PCI433" s="135"/>
      <c r="PCJ433" s="135"/>
      <c r="PCK433" s="135"/>
      <c r="PCL433" s="173"/>
      <c r="PCM433" s="173"/>
      <c r="PCN433" s="173"/>
      <c r="PCO433" s="173"/>
      <c r="PCP433" s="173"/>
      <c r="PCQ433" s="173"/>
      <c r="PCR433" s="173"/>
      <c r="PCS433" s="173"/>
      <c r="PCT433" s="173"/>
      <c r="PCU433" s="173"/>
      <c r="PCV433" s="125"/>
      <c r="PCW433" s="125"/>
      <c r="PCX433" s="134"/>
      <c r="PCY433" s="135"/>
      <c r="PCZ433" s="135"/>
      <c r="PDA433" s="135"/>
      <c r="PDB433" s="135"/>
      <c r="PDC433" s="173"/>
      <c r="PDD433" s="173"/>
      <c r="PDE433" s="173"/>
      <c r="PDF433" s="173"/>
      <c r="PDG433" s="173"/>
      <c r="PDH433" s="173"/>
      <c r="PDI433" s="173"/>
      <c r="PDJ433" s="173"/>
      <c r="PDK433" s="173"/>
      <c r="PDL433" s="173"/>
      <c r="PDM433" s="125"/>
      <c r="PDN433" s="125"/>
      <c r="PDO433" s="134"/>
      <c r="PDP433" s="135"/>
      <c r="PDQ433" s="135"/>
      <c r="PDR433" s="135"/>
      <c r="PDS433" s="135"/>
      <c r="PDT433" s="173"/>
      <c r="PDU433" s="173"/>
      <c r="PDV433" s="173"/>
      <c r="PDW433" s="173"/>
      <c r="PDX433" s="173"/>
      <c r="PDY433" s="173"/>
      <c r="PDZ433" s="173"/>
      <c r="PEA433" s="173"/>
      <c r="PEB433" s="173"/>
      <c r="PEC433" s="173"/>
      <c r="PED433" s="125"/>
      <c r="PEE433" s="125"/>
      <c r="PEF433" s="134"/>
      <c r="PEG433" s="135"/>
      <c r="PEH433" s="135"/>
      <c r="PEI433" s="135"/>
      <c r="PEJ433" s="135"/>
      <c r="PEK433" s="173"/>
      <c r="PEL433" s="173"/>
      <c r="PEM433" s="173"/>
      <c r="PEN433" s="173"/>
      <c r="PEO433" s="173"/>
      <c r="PEP433" s="173"/>
      <c r="PEQ433" s="173"/>
      <c r="PER433" s="173"/>
      <c r="PES433" s="173"/>
      <c r="PET433" s="173"/>
      <c r="PEU433" s="125"/>
      <c r="PEV433" s="125"/>
      <c r="PEW433" s="134"/>
      <c r="PEX433" s="135"/>
      <c r="PEY433" s="135"/>
      <c r="PEZ433" s="135"/>
      <c r="PFA433" s="135"/>
      <c r="PFB433" s="173"/>
      <c r="PFC433" s="173"/>
      <c r="PFD433" s="173"/>
      <c r="PFE433" s="173"/>
      <c r="PFF433" s="173"/>
      <c r="PFG433" s="173"/>
      <c r="PFH433" s="173"/>
      <c r="PFI433" s="173"/>
      <c r="PFJ433" s="173"/>
      <c r="PFK433" s="173"/>
      <c r="PFL433" s="125"/>
      <c r="PFM433" s="125"/>
      <c r="PFN433" s="134"/>
      <c r="PFO433" s="135"/>
      <c r="PFP433" s="135"/>
      <c r="PFQ433" s="135"/>
      <c r="PFR433" s="135"/>
      <c r="PFS433" s="173"/>
      <c r="PFT433" s="173"/>
      <c r="PFU433" s="173"/>
      <c r="PFV433" s="173"/>
      <c r="PFW433" s="173"/>
      <c r="PFX433" s="173"/>
      <c r="PFY433" s="173"/>
      <c r="PFZ433" s="173"/>
      <c r="PGA433" s="173"/>
      <c r="PGB433" s="173"/>
      <c r="PGC433" s="125"/>
      <c r="PGD433" s="125"/>
      <c r="PGE433" s="134"/>
      <c r="PGF433" s="135"/>
      <c r="PGG433" s="135"/>
      <c r="PGH433" s="135"/>
      <c r="PGI433" s="135"/>
      <c r="PGJ433" s="173"/>
      <c r="PGK433" s="173"/>
      <c r="PGL433" s="173"/>
      <c r="PGM433" s="173"/>
      <c r="PGN433" s="173"/>
      <c r="PGO433" s="173"/>
      <c r="PGP433" s="173"/>
      <c r="PGQ433" s="173"/>
      <c r="PGR433" s="173"/>
      <c r="PGS433" s="173"/>
      <c r="PGT433" s="125"/>
      <c r="PGU433" s="125"/>
      <c r="PGV433" s="134"/>
      <c r="PGW433" s="135"/>
      <c r="PGX433" s="135"/>
      <c r="PGY433" s="135"/>
      <c r="PGZ433" s="135"/>
      <c r="PHA433" s="173"/>
      <c r="PHB433" s="173"/>
      <c r="PHC433" s="173"/>
      <c r="PHD433" s="173"/>
      <c r="PHE433" s="173"/>
      <c r="PHF433" s="173"/>
      <c r="PHG433" s="173"/>
      <c r="PHH433" s="173"/>
      <c r="PHI433" s="173"/>
      <c r="PHJ433" s="173"/>
      <c r="PHK433" s="125"/>
      <c r="PHL433" s="125"/>
      <c r="PHM433" s="134"/>
      <c r="PHN433" s="135"/>
      <c r="PHO433" s="135"/>
      <c r="PHP433" s="135"/>
      <c r="PHQ433" s="135"/>
      <c r="PHR433" s="173"/>
      <c r="PHS433" s="173"/>
      <c r="PHT433" s="173"/>
      <c r="PHU433" s="173"/>
      <c r="PHV433" s="173"/>
      <c r="PHW433" s="173"/>
      <c r="PHX433" s="173"/>
      <c r="PHY433" s="173"/>
      <c r="PHZ433" s="173"/>
      <c r="PIA433" s="173"/>
      <c r="PIB433" s="125"/>
      <c r="PIC433" s="125"/>
      <c r="PID433" s="134"/>
      <c r="PIE433" s="135"/>
      <c r="PIF433" s="135"/>
      <c r="PIG433" s="135"/>
      <c r="PIH433" s="135"/>
      <c r="PII433" s="173"/>
      <c r="PIJ433" s="173"/>
      <c r="PIK433" s="173"/>
      <c r="PIL433" s="173"/>
      <c r="PIM433" s="173"/>
      <c r="PIN433" s="173"/>
      <c r="PIO433" s="173"/>
      <c r="PIP433" s="173"/>
      <c r="PIQ433" s="173"/>
      <c r="PIR433" s="173"/>
      <c r="PIS433" s="125"/>
      <c r="PIT433" s="125"/>
      <c r="PIU433" s="134"/>
      <c r="PIV433" s="135"/>
      <c r="PIW433" s="135"/>
      <c r="PIX433" s="135"/>
      <c r="PIY433" s="135"/>
      <c r="PIZ433" s="173"/>
      <c r="PJA433" s="173"/>
      <c r="PJB433" s="173"/>
      <c r="PJC433" s="173"/>
      <c r="PJD433" s="173"/>
      <c r="PJE433" s="173"/>
      <c r="PJF433" s="173"/>
      <c r="PJG433" s="173"/>
      <c r="PJH433" s="173"/>
      <c r="PJI433" s="173"/>
      <c r="PJJ433" s="125"/>
      <c r="PJK433" s="125"/>
      <c r="PJL433" s="134"/>
      <c r="PJM433" s="135"/>
      <c r="PJN433" s="135"/>
      <c r="PJO433" s="135"/>
      <c r="PJP433" s="135"/>
      <c r="PJQ433" s="173"/>
      <c r="PJR433" s="173"/>
      <c r="PJS433" s="173"/>
      <c r="PJT433" s="173"/>
      <c r="PJU433" s="173"/>
      <c r="PJV433" s="173"/>
      <c r="PJW433" s="173"/>
      <c r="PJX433" s="173"/>
      <c r="PJY433" s="173"/>
      <c r="PJZ433" s="173"/>
      <c r="PKA433" s="125"/>
      <c r="PKB433" s="125"/>
      <c r="PKC433" s="134"/>
      <c r="PKD433" s="135"/>
      <c r="PKE433" s="135"/>
      <c r="PKF433" s="135"/>
      <c r="PKG433" s="135"/>
      <c r="PKH433" s="173"/>
      <c r="PKI433" s="173"/>
      <c r="PKJ433" s="173"/>
      <c r="PKK433" s="173"/>
      <c r="PKL433" s="173"/>
      <c r="PKM433" s="173"/>
      <c r="PKN433" s="173"/>
      <c r="PKO433" s="173"/>
      <c r="PKP433" s="173"/>
      <c r="PKQ433" s="173"/>
      <c r="PKR433" s="125"/>
      <c r="PKS433" s="125"/>
      <c r="PKT433" s="134"/>
      <c r="PKU433" s="135"/>
      <c r="PKV433" s="135"/>
      <c r="PKW433" s="135"/>
      <c r="PKX433" s="135"/>
      <c r="PKY433" s="173"/>
      <c r="PKZ433" s="173"/>
      <c r="PLA433" s="173"/>
      <c r="PLB433" s="173"/>
      <c r="PLC433" s="173"/>
      <c r="PLD433" s="173"/>
      <c r="PLE433" s="173"/>
      <c r="PLF433" s="173"/>
      <c r="PLG433" s="173"/>
      <c r="PLH433" s="173"/>
      <c r="PLI433" s="125"/>
      <c r="PLJ433" s="125"/>
      <c r="PLK433" s="134"/>
      <c r="PLL433" s="135"/>
      <c r="PLM433" s="135"/>
      <c r="PLN433" s="135"/>
      <c r="PLO433" s="135"/>
      <c r="PLP433" s="173"/>
      <c r="PLQ433" s="173"/>
      <c r="PLR433" s="173"/>
      <c r="PLS433" s="173"/>
      <c r="PLT433" s="173"/>
      <c r="PLU433" s="173"/>
      <c r="PLV433" s="173"/>
      <c r="PLW433" s="173"/>
      <c r="PLX433" s="173"/>
      <c r="PLY433" s="173"/>
      <c r="PLZ433" s="125"/>
      <c r="PMA433" s="125"/>
      <c r="PMB433" s="134"/>
      <c r="PMC433" s="135"/>
      <c r="PMD433" s="135"/>
      <c r="PME433" s="135"/>
      <c r="PMF433" s="135"/>
      <c r="PMG433" s="173"/>
      <c r="PMH433" s="173"/>
      <c r="PMI433" s="173"/>
      <c r="PMJ433" s="173"/>
      <c r="PMK433" s="173"/>
      <c r="PML433" s="173"/>
      <c r="PMM433" s="173"/>
      <c r="PMN433" s="173"/>
      <c r="PMO433" s="173"/>
      <c r="PMP433" s="173"/>
      <c r="PMQ433" s="125"/>
      <c r="PMR433" s="125"/>
      <c r="PMS433" s="134"/>
      <c r="PMT433" s="135"/>
      <c r="PMU433" s="135"/>
      <c r="PMV433" s="135"/>
      <c r="PMW433" s="135"/>
      <c r="PMX433" s="173"/>
      <c r="PMY433" s="173"/>
      <c r="PMZ433" s="173"/>
      <c r="PNA433" s="173"/>
      <c r="PNB433" s="173"/>
      <c r="PNC433" s="173"/>
      <c r="PND433" s="173"/>
      <c r="PNE433" s="173"/>
      <c r="PNF433" s="173"/>
      <c r="PNG433" s="173"/>
      <c r="PNH433" s="125"/>
      <c r="PNI433" s="125"/>
      <c r="PNJ433" s="134"/>
      <c r="PNK433" s="135"/>
      <c r="PNL433" s="135"/>
      <c r="PNM433" s="135"/>
      <c r="PNN433" s="135"/>
      <c r="PNO433" s="173"/>
      <c r="PNP433" s="173"/>
      <c r="PNQ433" s="173"/>
      <c r="PNR433" s="173"/>
      <c r="PNS433" s="173"/>
      <c r="PNT433" s="173"/>
      <c r="PNU433" s="173"/>
      <c r="PNV433" s="173"/>
      <c r="PNW433" s="173"/>
      <c r="PNX433" s="173"/>
      <c r="PNY433" s="125"/>
      <c r="PNZ433" s="125"/>
      <c r="POA433" s="134"/>
      <c r="POB433" s="135"/>
      <c r="POC433" s="135"/>
      <c r="POD433" s="135"/>
      <c r="POE433" s="135"/>
      <c r="POF433" s="173"/>
      <c r="POG433" s="173"/>
      <c r="POH433" s="173"/>
      <c r="POI433" s="173"/>
      <c r="POJ433" s="173"/>
      <c r="POK433" s="173"/>
      <c r="POL433" s="173"/>
      <c r="POM433" s="173"/>
      <c r="PON433" s="173"/>
      <c r="POO433" s="173"/>
      <c r="POP433" s="125"/>
      <c r="POQ433" s="125"/>
      <c r="POR433" s="134"/>
      <c r="POS433" s="135"/>
      <c r="POT433" s="135"/>
      <c r="POU433" s="135"/>
      <c r="POV433" s="135"/>
      <c r="POW433" s="173"/>
      <c r="POX433" s="173"/>
      <c r="POY433" s="173"/>
      <c r="POZ433" s="173"/>
      <c r="PPA433" s="173"/>
      <c r="PPB433" s="173"/>
      <c r="PPC433" s="173"/>
      <c r="PPD433" s="173"/>
      <c r="PPE433" s="173"/>
      <c r="PPF433" s="173"/>
      <c r="PPG433" s="125"/>
      <c r="PPH433" s="125"/>
      <c r="PPI433" s="134"/>
      <c r="PPJ433" s="135"/>
      <c r="PPK433" s="135"/>
      <c r="PPL433" s="135"/>
      <c r="PPM433" s="135"/>
      <c r="PPN433" s="173"/>
      <c r="PPO433" s="173"/>
      <c r="PPP433" s="173"/>
      <c r="PPQ433" s="173"/>
      <c r="PPR433" s="173"/>
      <c r="PPS433" s="173"/>
      <c r="PPT433" s="173"/>
      <c r="PPU433" s="173"/>
      <c r="PPV433" s="173"/>
      <c r="PPW433" s="173"/>
      <c r="PPX433" s="125"/>
      <c r="PPY433" s="125"/>
      <c r="PPZ433" s="134"/>
      <c r="PQA433" s="135"/>
      <c r="PQB433" s="135"/>
      <c r="PQC433" s="135"/>
      <c r="PQD433" s="135"/>
      <c r="PQE433" s="173"/>
      <c r="PQF433" s="173"/>
      <c r="PQG433" s="173"/>
      <c r="PQH433" s="173"/>
      <c r="PQI433" s="173"/>
      <c r="PQJ433" s="173"/>
      <c r="PQK433" s="173"/>
      <c r="PQL433" s="173"/>
      <c r="PQM433" s="173"/>
      <c r="PQN433" s="173"/>
      <c r="PQO433" s="125"/>
      <c r="PQP433" s="125"/>
      <c r="PQQ433" s="134"/>
      <c r="PQR433" s="135"/>
      <c r="PQS433" s="135"/>
      <c r="PQT433" s="135"/>
      <c r="PQU433" s="135"/>
      <c r="PQV433" s="173"/>
      <c r="PQW433" s="173"/>
      <c r="PQX433" s="173"/>
      <c r="PQY433" s="173"/>
      <c r="PQZ433" s="173"/>
      <c r="PRA433" s="173"/>
      <c r="PRB433" s="173"/>
      <c r="PRC433" s="173"/>
      <c r="PRD433" s="173"/>
      <c r="PRE433" s="173"/>
      <c r="PRF433" s="125"/>
      <c r="PRG433" s="125"/>
      <c r="PRH433" s="134"/>
      <c r="PRI433" s="135"/>
      <c r="PRJ433" s="135"/>
      <c r="PRK433" s="135"/>
      <c r="PRL433" s="135"/>
      <c r="PRM433" s="173"/>
      <c r="PRN433" s="173"/>
      <c r="PRO433" s="173"/>
      <c r="PRP433" s="173"/>
      <c r="PRQ433" s="173"/>
      <c r="PRR433" s="173"/>
      <c r="PRS433" s="173"/>
      <c r="PRT433" s="173"/>
      <c r="PRU433" s="173"/>
      <c r="PRV433" s="173"/>
      <c r="PRW433" s="125"/>
      <c r="PRX433" s="125"/>
      <c r="PRY433" s="134"/>
      <c r="PRZ433" s="135"/>
      <c r="PSA433" s="135"/>
      <c r="PSB433" s="135"/>
      <c r="PSC433" s="135"/>
      <c r="PSD433" s="173"/>
      <c r="PSE433" s="173"/>
      <c r="PSF433" s="173"/>
      <c r="PSG433" s="173"/>
      <c r="PSH433" s="173"/>
      <c r="PSI433" s="173"/>
      <c r="PSJ433" s="173"/>
      <c r="PSK433" s="173"/>
      <c r="PSL433" s="173"/>
      <c r="PSM433" s="173"/>
      <c r="PSN433" s="125"/>
      <c r="PSO433" s="125"/>
      <c r="PSP433" s="134"/>
      <c r="PSQ433" s="135"/>
      <c r="PSR433" s="135"/>
      <c r="PSS433" s="135"/>
      <c r="PST433" s="135"/>
      <c r="PSU433" s="173"/>
      <c r="PSV433" s="173"/>
      <c r="PSW433" s="173"/>
      <c r="PSX433" s="173"/>
      <c r="PSY433" s="173"/>
      <c r="PSZ433" s="173"/>
      <c r="PTA433" s="173"/>
      <c r="PTB433" s="173"/>
      <c r="PTC433" s="173"/>
      <c r="PTD433" s="173"/>
      <c r="PTE433" s="125"/>
      <c r="PTF433" s="125"/>
      <c r="PTG433" s="134"/>
      <c r="PTH433" s="135"/>
      <c r="PTI433" s="135"/>
      <c r="PTJ433" s="135"/>
      <c r="PTK433" s="135"/>
      <c r="PTL433" s="173"/>
      <c r="PTM433" s="173"/>
      <c r="PTN433" s="173"/>
      <c r="PTO433" s="173"/>
      <c r="PTP433" s="173"/>
      <c r="PTQ433" s="173"/>
      <c r="PTR433" s="173"/>
      <c r="PTS433" s="173"/>
      <c r="PTT433" s="173"/>
      <c r="PTU433" s="173"/>
      <c r="PTV433" s="125"/>
      <c r="PTW433" s="125"/>
      <c r="PTX433" s="134"/>
      <c r="PTY433" s="135"/>
      <c r="PTZ433" s="135"/>
      <c r="PUA433" s="135"/>
      <c r="PUB433" s="135"/>
      <c r="PUC433" s="173"/>
      <c r="PUD433" s="173"/>
      <c r="PUE433" s="173"/>
      <c r="PUF433" s="173"/>
      <c r="PUG433" s="173"/>
      <c r="PUH433" s="173"/>
      <c r="PUI433" s="173"/>
      <c r="PUJ433" s="173"/>
      <c r="PUK433" s="173"/>
      <c r="PUL433" s="173"/>
      <c r="PUM433" s="125"/>
      <c r="PUN433" s="125"/>
      <c r="PUO433" s="134"/>
      <c r="PUP433" s="135"/>
      <c r="PUQ433" s="135"/>
      <c r="PUR433" s="135"/>
      <c r="PUS433" s="135"/>
      <c r="PUT433" s="173"/>
      <c r="PUU433" s="173"/>
      <c r="PUV433" s="173"/>
      <c r="PUW433" s="173"/>
      <c r="PUX433" s="173"/>
      <c r="PUY433" s="173"/>
      <c r="PUZ433" s="173"/>
      <c r="PVA433" s="173"/>
      <c r="PVB433" s="173"/>
      <c r="PVC433" s="173"/>
      <c r="PVD433" s="125"/>
      <c r="PVE433" s="125"/>
      <c r="PVF433" s="134"/>
      <c r="PVG433" s="135"/>
      <c r="PVH433" s="135"/>
      <c r="PVI433" s="135"/>
      <c r="PVJ433" s="135"/>
      <c r="PVK433" s="173"/>
      <c r="PVL433" s="173"/>
      <c r="PVM433" s="173"/>
      <c r="PVN433" s="173"/>
      <c r="PVO433" s="173"/>
      <c r="PVP433" s="173"/>
      <c r="PVQ433" s="173"/>
      <c r="PVR433" s="173"/>
      <c r="PVS433" s="173"/>
      <c r="PVT433" s="173"/>
      <c r="PVU433" s="125"/>
      <c r="PVV433" s="125"/>
      <c r="PVW433" s="134"/>
      <c r="PVX433" s="135"/>
      <c r="PVY433" s="135"/>
      <c r="PVZ433" s="135"/>
      <c r="PWA433" s="135"/>
      <c r="PWB433" s="173"/>
      <c r="PWC433" s="173"/>
      <c r="PWD433" s="173"/>
      <c r="PWE433" s="173"/>
      <c r="PWF433" s="173"/>
      <c r="PWG433" s="173"/>
      <c r="PWH433" s="173"/>
      <c r="PWI433" s="173"/>
      <c r="PWJ433" s="173"/>
      <c r="PWK433" s="173"/>
      <c r="PWL433" s="125"/>
      <c r="PWM433" s="125"/>
      <c r="PWN433" s="134"/>
      <c r="PWO433" s="135"/>
      <c r="PWP433" s="135"/>
      <c r="PWQ433" s="135"/>
      <c r="PWR433" s="135"/>
      <c r="PWS433" s="173"/>
      <c r="PWT433" s="173"/>
      <c r="PWU433" s="173"/>
      <c r="PWV433" s="173"/>
      <c r="PWW433" s="173"/>
      <c r="PWX433" s="173"/>
      <c r="PWY433" s="173"/>
      <c r="PWZ433" s="173"/>
      <c r="PXA433" s="173"/>
      <c r="PXB433" s="173"/>
      <c r="PXC433" s="125"/>
      <c r="PXD433" s="125"/>
      <c r="PXE433" s="134"/>
      <c r="PXF433" s="135"/>
      <c r="PXG433" s="135"/>
      <c r="PXH433" s="135"/>
      <c r="PXI433" s="135"/>
      <c r="PXJ433" s="173"/>
      <c r="PXK433" s="173"/>
      <c r="PXL433" s="173"/>
      <c r="PXM433" s="173"/>
      <c r="PXN433" s="173"/>
      <c r="PXO433" s="173"/>
      <c r="PXP433" s="173"/>
      <c r="PXQ433" s="173"/>
      <c r="PXR433" s="173"/>
      <c r="PXS433" s="173"/>
      <c r="PXT433" s="125"/>
      <c r="PXU433" s="125"/>
      <c r="PXV433" s="134"/>
      <c r="PXW433" s="135"/>
      <c r="PXX433" s="135"/>
      <c r="PXY433" s="135"/>
      <c r="PXZ433" s="135"/>
      <c r="PYA433" s="173"/>
      <c r="PYB433" s="173"/>
      <c r="PYC433" s="173"/>
      <c r="PYD433" s="173"/>
      <c r="PYE433" s="173"/>
      <c r="PYF433" s="173"/>
      <c r="PYG433" s="173"/>
      <c r="PYH433" s="173"/>
      <c r="PYI433" s="173"/>
      <c r="PYJ433" s="173"/>
      <c r="PYK433" s="125"/>
      <c r="PYL433" s="125"/>
      <c r="PYM433" s="134"/>
      <c r="PYN433" s="135"/>
      <c r="PYO433" s="135"/>
      <c r="PYP433" s="135"/>
      <c r="PYQ433" s="135"/>
      <c r="PYR433" s="173"/>
      <c r="PYS433" s="173"/>
      <c r="PYT433" s="173"/>
      <c r="PYU433" s="173"/>
      <c r="PYV433" s="173"/>
      <c r="PYW433" s="173"/>
      <c r="PYX433" s="173"/>
      <c r="PYY433" s="173"/>
      <c r="PYZ433" s="173"/>
      <c r="PZA433" s="173"/>
      <c r="PZB433" s="125"/>
      <c r="PZC433" s="125"/>
      <c r="PZD433" s="134"/>
      <c r="PZE433" s="135"/>
      <c r="PZF433" s="135"/>
      <c r="PZG433" s="135"/>
      <c r="PZH433" s="135"/>
      <c r="PZI433" s="173"/>
      <c r="PZJ433" s="173"/>
      <c r="PZK433" s="173"/>
      <c r="PZL433" s="173"/>
      <c r="PZM433" s="173"/>
      <c r="PZN433" s="173"/>
      <c r="PZO433" s="173"/>
      <c r="PZP433" s="173"/>
      <c r="PZQ433" s="173"/>
      <c r="PZR433" s="173"/>
      <c r="PZS433" s="125"/>
      <c r="PZT433" s="125"/>
      <c r="PZU433" s="134"/>
      <c r="PZV433" s="135"/>
      <c r="PZW433" s="135"/>
      <c r="PZX433" s="135"/>
      <c r="PZY433" s="135"/>
      <c r="PZZ433" s="173"/>
      <c r="QAA433" s="173"/>
      <c r="QAB433" s="173"/>
      <c r="QAC433" s="173"/>
      <c r="QAD433" s="173"/>
      <c r="QAE433" s="173"/>
      <c r="QAF433" s="173"/>
      <c r="QAG433" s="173"/>
      <c r="QAH433" s="173"/>
      <c r="QAI433" s="173"/>
      <c r="QAJ433" s="125"/>
      <c r="QAK433" s="125"/>
      <c r="QAL433" s="134"/>
      <c r="QAM433" s="135"/>
      <c r="QAN433" s="135"/>
      <c r="QAO433" s="135"/>
      <c r="QAP433" s="135"/>
      <c r="QAQ433" s="173"/>
      <c r="QAR433" s="173"/>
      <c r="QAS433" s="173"/>
      <c r="QAT433" s="173"/>
      <c r="QAU433" s="173"/>
      <c r="QAV433" s="173"/>
      <c r="QAW433" s="173"/>
      <c r="QAX433" s="173"/>
      <c r="QAY433" s="173"/>
      <c r="QAZ433" s="173"/>
      <c r="QBA433" s="125"/>
      <c r="QBB433" s="125"/>
      <c r="QBC433" s="134"/>
      <c r="QBD433" s="135"/>
      <c r="QBE433" s="135"/>
      <c r="QBF433" s="135"/>
      <c r="QBG433" s="135"/>
      <c r="QBH433" s="173"/>
      <c r="QBI433" s="173"/>
      <c r="QBJ433" s="173"/>
      <c r="QBK433" s="173"/>
      <c r="QBL433" s="173"/>
      <c r="QBM433" s="173"/>
      <c r="QBN433" s="173"/>
      <c r="QBO433" s="173"/>
      <c r="QBP433" s="173"/>
      <c r="QBQ433" s="173"/>
      <c r="QBR433" s="125"/>
      <c r="QBS433" s="125"/>
      <c r="QBT433" s="134"/>
      <c r="QBU433" s="135"/>
      <c r="QBV433" s="135"/>
      <c r="QBW433" s="135"/>
      <c r="QBX433" s="135"/>
      <c r="QBY433" s="173"/>
      <c r="QBZ433" s="173"/>
      <c r="QCA433" s="173"/>
      <c r="QCB433" s="173"/>
      <c r="QCC433" s="173"/>
      <c r="QCD433" s="173"/>
      <c r="QCE433" s="173"/>
      <c r="QCF433" s="173"/>
      <c r="QCG433" s="173"/>
      <c r="QCH433" s="173"/>
      <c r="QCI433" s="125"/>
      <c r="QCJ433" s="125"/>
      <c r="QCK433" s="134"/>
      <c r="QCL433" s="135"/>
      <c r="QCM433" s="135"/>
      <c r="QCN433" s="135"/>
      <c r="QCO433" s="135"/>
      <c r="QCP433" s="173"/>
      <c r="QCQ433" s="173"/>
      <c r="QCR433" s="173"/>
      <c r="QCS433" s="173"/>
      <c r="QCT433" s="173"/>
      <c r="QCU433" s="173"/>
      <c r="QCV433" s="173"/>
      <c r="QCW433" s="173"/>
      <c r="QCX433" s="173"/>
      <c r="QCY433" s="173"/>
      <c r="QCZ433" s="125"/>
      <c r="QDA433" s="125"/>
      <c r="QDB433" s="134"/>
      <c r="QDC433" s="135"/>
      <c r="QDD433" s="135"/>
      <c r="QDE433" s="135"/>
      <c r="QDF433" s="135"/>
      <c r="QDG433" s="173"/>
      <c r="QDH433" s="173"/>
      <c r="QDI433" s="173"/>
      <c r="QDJ433" s="173"/>
      <c r="QDK433" s="173"/>
      <c r="QDL433" s="173"/>
      <c r="QDM433" s="173"/>
      <c r="QDN433" s="173"/>
      <c r="QDO433" s="173"/>
      <c r="QDP433" s="173"/>
      <c r="QDQ433" s="125"/>
      <c r="QDR433" s="125"/>
      <c r="QDS433" s="134"/>
      <c r="QDT433" s="135"/>
      <c r="QDU433" s="135"/>
      <c r="QDV433" s="135"/>
      <c r="QDW433" s="135"/>
      <c r="QDX433" s="173"/>
      <c r="QDY433" s="173"/>
      <c r="QDZ433" s="173"/>
      <c r="QEA433" s="173"/>
      <c r="QEB433" s="173"/>
      <c r="QEC433" s="173"/>
      <c r="QED433" s="173"/>
      <c r="QEE433" s="173"/>
      <c r="QEF433" s="173"/>
      <c r="QEG433" s="173"/>
      <c r="QEH433" s="125"/>
      <c r="QEI433" s="125"/>
      <c r="QEJ433" s="134"/>
      <c r="QEK433" s="135"/>
      <c r="QEL433" s="135"/>
      <c r="QEM433" s="135"/>
      <c r="QEN433" s="135"/>
      <c r="QEO433" s="173"/>
      <c r="QEP433" s="173"/>
      <c r="QEQ433" s="173"/>
      <c r="QER433" s="173"/>
      <c r="QES433" s="173"/>
      <c r="QET433" s="173"/>
      <c r="QEU433" s="173"/>
      <c r="QEV433" s="173"/>
      <c r="QEW433" s="173"/>
      <c r="QEX433" s="173"/>
      <c r="QEY433" s="125"/>
      <c r="QEZ433" s="125"/>
      <c r="QFA433" s="134"/>
      <c r="QFB433" s="135"/>
      <c r="QFC433" s="135"/>
      <c r="QFD433" s="135"/>
      <c r="QFE433" s="135"/>
      <c r="QFF433" s="173"/>
      <c r="QFG433" s="173"/>
      <c r="QFH433" s="173"/>
      <c r="QFI433" s="173"/>
      <c r="QFJ433" s="173"/>
      <c r="QFK433" s="173"/>
      <c r="QFL433" s="173"/>
      <c r="QFM433" s="173"/>
      <c r="QFN433" s="173"/>
      <c r="QFO433" s="173"/>
      <c r="QFP433" s="125"/>
      <c r="QFQ433" s="125"/>
      <c r="QFR433" s="134"/>
      <c r="QFS433" s="135"/>
      <c r="QFT433" s="135"/>
      <c r="QFU433" s="135"/>
      <c r="QFV433" s="135"/>
      <c r="QFW433" s="173"/>
      <c r="QFX433" s="173"/>
      <c r="QFY433" s="173"/>
      <c r="QFZ433" s="173"/>
      <c r="QGA433" s="173"/>
      <c r="QGB433" s="173"/>
      <c r="QGC433" s="173"/>
      <c r="QGD433" s="173"/>
      <c r="QGE433" s="173"/>
      <c r="QGF433" s="173"/>
      <c r="QGG433" s="125"/>
      <c r="QGH433" s="125"/>
      <c r="QGI433" s="134"/>
      <c r="QGJ433" s="135"/>
      <c r="QGK433" s="135"/>
      <c r="QGL433" s="135"/>
      <c r="QGM433" s="135"/>
      <c r="QGN433" s="173"/>
      <c r="QGO433" s="173"/>
      <c r="QGP433" s="173"/>
      <c r="QGQ433" s="173"/>
      <c r="QGR433" s="173"/>
      <c r="QGS433" s="173"/>
      <c r="QGT433" s="173"/>
      <c r="QGU433" s="173"/>
      <c r="QGV433" s="173"/>
      <c r="QGW433" s="173"/>
      <c r="QGX433" s="125"/>
      <c r="QGY433" s="125"/>
      <c r="QGZ433" s="134"/>
      <c r="QHA433" s="135"/>
      <c r="QHB433" s="135"/>
      <c r="QHC433" s="135"/>
      <c r="QHD433" s="135"/>
      <c r="QHE433" s="173"/>
      <c r="QHF433" s="173"/>
      <c r="QHG433" s="173"/>
      <c r="QHH433" s="173"/>
      <c r="QHI433" s="173"/>
      <c r="QHJ433" s="173"/>
      <c r="QHK433" s="173"/>
      <c r="QHL433" s="173"/>
      <c r="QHM433" s="173"/>
      <c r="QHN433" s="173"/>
      <c r="QHO433" s="125"/>
      <c r="QHP433" s="125"/>
      <c r="QHQ433" s="134"/>
      <c r="QHR433" s="135"/>
      <c r="QHS433" s="135"/>
      <c r="QHT433" s="135"/>
      <c r="QHU433" s="135"/>
      <c r="QHV433" s="173"/>
      <c r="QHW433" s="173"/>
      <c r="QHX433" s="173"/>
      <c r="QHY433" s="173"/>
      <c r="QHZ433" s="173"/>
      <c r="QIA433" s="173"/>
      <c r="QIB433" s="173"/>
      <c r="QIC433" s="173"/>
      <c r="QID433" s="173"/>
      <c r="QIE433" s="173"/>
      <c r="QIF433" s="125"/>
      <c r="QIG433" s="125"/>
      <c r="QIH433" s="134"/>
      <c r="QII433" s="135"/>
      <c r="QIJ433" s="135"/>
      <c r="QIK433" s="135"/>
      <c r="QIL433" s="135"/>
      <c r="QIM433" s="173"/>
      <c r="QIN433" s="173"/>
      <c r="QIO433" s="173"/>
      <c r="QIP433" s="173"/>
      <c r="QIQ433" s="173"/>
      <c r="QIR433" s="173"/>
      <c r="QIS433" s="173"/>
      <c r="QIT433" s="173"/>
      <c r="QIU433" s="173"/>
      <c r="QIV433" s="173"/>
      <c r="QIW433" s="125"/>
      <c r="QIX433" s="125"/>
      <c r="QIY433" s="134"/>
      <c r="QIZ433" s="135"/>
      <c r="QJA433" s="135"/>
      <c r="QJB433" s="135"/>
      <c r="QJC433" s="135"/>
      <c r="QJD433" s="173"/>
      <c r="QJE433" s="173"/>
      <c r="QJF433" s="173"/>
      <c r="QJG433" s="173"/>
      <c r="QJH433" s="173"/>
      <c r="QJI433" s="173"/>
      <c r="QJJ433" s="173"/>
      <c r="QJK433" s="173"/>
      <c r="QJL433" s="173"/>
      <c r="QJM433" s="173"/>
      <c r="QJN433" s="125"/>
      <c r="QJO433" s="125"/>
      <c r="QJP433" s="134"/>
      <c r="QJQ433" s="135"/>
      <c r="QJR433" s="135"/>
      <c r="QJS433" s="135"/>
      <c r="QJT433" s="135"/>
      <c r="QJU433" s="173"/>
      <c r="QJV433" s="173"/>
      <c r="QJW433" s="173"/>
      <c r="QJX433" s="173"/>
      <c r="QJY433" s="173"/>
      <c r="QJZ433" s="173"/>
      <c r="QKA433" s="173"/>
      <c r="QKB433" s="173"/>
      <c r="QKC433" s="173"/>
      <c r="QKD433" s="173"/>
      <c r="QKE433" s="125"/>
      <c r="QKF433" s="125"/>
      <c r="QKG433" s="134"/>
      <c r="QKH433" s="135"/>
      <c r="QKI433" s="135"/>
      <c r="QKJ433" s="135"/>
      <c r="QKK433" s="135"/>
      <c r="QKL433" s="173"/>
      <c r="QKM433" s="173"/>
      <c r="QKN433" s="173"/>
      <c r="QKO433" s="173"/>
      <c r="QKP433" s="173"/>
      <c r="QKQ433" s="173"/>
      <c r="QKR433" s="173"/>
      <c r="QKS433" s="173"/>
      <c r="QKT433" s="173"/>
      <c r="QKU433" s="173"/>
      <c r="QKV433" s="125"/>
      <c r="QKW433" s="125"/>
      <c r="QKX433" s="134"/>
      <c r="QKY433" s="135"/>
      <c r="QKZ433" s="135"/>
      <c r="QLA433" s="135"/>
      <c r="QLB433" s="135"/>
      <c r="QLC433" s="173"/>
      <c r="QLD433" s="173"/>
      <c r="QLE433" s="173"/>
      <c r="QLF433" s="173"/>
      <c r="QLG433" s="173"/>
      <c r="QLH433" s="173"/>
      <c r="QLI433" s="173"/>
      <c r="QLJ433" s="173"/>
      <c r="QLK433" s="173"/>
      <c r="QLL433" s="173"/>
      <c r="QLM433" s="125"/>
      <c r="QLN433" s="125"/>
      <c r="QLO433" s="134"/>
      <c r="QLP433" s="135"/>
      <c r="QLQ433" s="135"/>
      <c r="QLR433" s="135"/>
      <c r="QLS433" s="135"/>
      <c r="QLT433" s="173"/>
      <c r="QLU433" s="173"/>
      <c r="QLV433" s="173"/>
      <c r="QLW433" s="173"/>
      <c r="QLX433" s="173"/>
      <c r="QLY433" s="173"/>
      <c r="QLZ433" s="173"/>
      <c r="QMA433" s="173"/>
      <c r="QMB433" s="173"/>
      <c r="QMC433" s="173"/>
      <c r="QMD433" s="125"/>
      <c r="QME433" s="125"/>
      <c r="QMF433" s="134"/>
      <c r="QMG433" s="135"/>
      <c r="QMH433" s="135"/>
      <c r="QMI433" s="135"/>
      <c r="QMJ433" s="135"/>
      <c r="QMK433" s="173"/>
      <c r="QML433" s="173"/>
      <c r="QMM433" s="173"/>
      <c r="QMN433" s="173"/>
      <c r="QMO433" s="173"/>
      <c r="QMP433" s="173"/>
      <c r="QMQ433" s="173"/>
      <c r="QMR433" s="173"/>
      <c r="QMS433" s="173"/>
      <c r="QMT433" s="173"/>
      <c r="QMU433" s="125"/>
      <c r="QMV433" s="125"/>
      <c r="QMW433" s="134"/>
      <c r="QMX433" s="135"/>
      <c r="QMY433" s="135"/>
      <c r="QMZ433" s="135"/>
      <c r="QNA433" s="135"/>
      <c r="QNB433" s="173"/>
      <c r="QNC433" s="173"/>
      <c r="QND433" s="173"/>
      <c r="QNE433" s="173"/>
      <c r="QNF433" s="173"/>
      <c r="QNG433" s="173"/>
      <c r="QNH433" s="173"/>
      <c r="QNI433" s="173"/>
      <c r="QNJ433" s="173"/>
      <c r="QNK433" s="173"/>
      <c r="QNL433" s="125"/>
      <c r="QNM433" s="125"/>
      <c r="QNN433" s="134"/>
      <c r="QNO433" s="135"/>
      <c r="QNP433" s="135"/>
      <c r="QNQ433" s="135"/>
      <c r="QNR433" s="135"/>
      <c r="QNS433" s="173"/>
      <c r="QNT433" s="173"/>
      <c r="QNU433" s="173"/>
      <c r="QNV433" s="173"/>
      <c r="QNW433" s="173"/>
      <c r="QNX433" s="173"/>
      <c r="QNY433" s="173"/>
      <c r="QNZ433" s="173"/>
      <c r="QOA433" s="173"/>
      <c r="QOB433" s="173"/>
      <c r="QOC433" s="125"/>
      <c r="QOD433" s="125"/>
      <c r="QOE433" s="134"/>
      <c r="QOF433" s="135"/>
      <c r="QOG433" s="135"/>
      <c r="QOH433" s="135"/>
      <c r="QOI433" s="135"/>
      <c r="QOJ433" s="173"/>
      <c r="QOK433" s="173"/>
      <c r="QOL433" s="173"/>
      <c r="QOM433" s="173"/>
      <c r="QON433" s="173"/>
      <c r="QOO433" s="173"/>
      <c r="QOP433" s="173"/>
      <c r="QOQ433" s="173"/>
      <c r="QOR433" s="173"/>
      <c r="QOS433" s="173"/>
      <c r="QOT433" s="125"/>
      <c r="QOU433" s="125"/>
      <c r="QOV433" s="134"/>
      <c r="QOW433" s="135"/>
      <c r="QOX433" s="135"/>
      <c r="QOY433" s="135"/>
      <c r="QOZ433" s="135"/>
      <c r="QPA433" s="173"/>
      <c r="QPB433" s="173"/>
      <c r="QPC433" s="173"/>
      <c r="QPD433" s="173"/>
      <c r="QPE433" s="173"/>
      <c r="QPF433" s="173"/>
      <c r="QPG433" s="173"/>
      <c r="QPH433" s="173"/>
      <c r="QPI433" s="173"/>
      <c r="QPJ433" s="173"/>
      <c r="QPK433" s="125"/>
      <c r="QPL433" s="125"/>
      <c r="QPM433" s="134"/>
      <c r="QPN433" s="135"/>
      <c r="QPO433" s="135"/>
      <c r="QPP433" s="135"/>
      <c r="QPQ433" s="135"/>
      <c r="QPR433" s="173"/>
      <c r="QPS433" s="173"/>
      <c r="QPT433" s="173"/>
      <c r="QPU433" s="173"/>
      <c r="QPV433" s="173"/>
      <c r="QPW433" s="173"/>
      <c r="QPX433" s="173"/>
      <c r="QPY433" s="173"/>
      <c r="QPZ433" s="173"/>
      <c r="QQA433" s="173"/>
      <c r="QQB433" s="125"/>
      <c r="QQC433" s="125"/>
      <c r="QQD433" s="134"/>
      <c r="QQE433" s="135"/>
      <c r="QQF433" s="135"/>
      <c r="QQG433" s="135"/>
      <c r="QQH433" s="135"/>
      <c r="QQI433" s="173"/>
      <c r="QQJ433" s="173"/>
      <c r="QQK433" s="173"/>
      <c r="QQL433" s="173"/>
      <c r="QQM433" s="173"/>
      <c r="QQN433" s="173"/>
      <c r="QQO433" s="173"/>
      <c r="QQP433" s="173"/>
      <c r="QQQ433" s="173"/>
      <c r="QQR433" s="173"/>
      <c r="QQS433" s="125"/>
      <c r="QQT433" s="125"/>
      <c r="QQU433" s="134"/>
      <c r="QQV433" s="135"/>
      <c r="QQW433" s="135"/>
      <c r="QQX433" s="135"/>
      <c r="QQY433" s="135"/>
      <c r="QQZ433" s="173"/>
      <c r="QRA433" s="173"/>
      <c r="QRB433" s="173"/>
      <c r="QRC433" s="173"/>
      <c r="QRD433" s="173"/>
      <c r="QRE433" s="173"/>
      <c r="QRF433" s="173"/>
      <c r="QRG433" s="173"/>
      <c r="QRH433" s="173"/>
      <c r="QRI433" s="173"/>
      <c r="QRJ433" s="125"/>
      <c r="QRK433" s="125"/>
      <c r="QRL433" s="134"/>
      <c r="QRM433" s="135"/>
      <c r="QRN433" s="135"/>
      <c r="QRO433" s="135"/>
      <c r="QRP433" s="135"/>
      <c r="QRQ433" s="173"/>
      <c r="QRR433" s="173"/>
      <c r="QRS433" s="173"/>
      <c r="QRT433" s="173"/>
      <c r="QRU433" s="173"/>
      <c r="QRV433" s="173"/>
      <c r="QRW433" s="173"/>
      <c r="QRX433" s="173"/>
      <c r="QRY433" s="173"/>
      <c r="QRZ433" s="173"/>
      <c r="QSA433" s="125"/>
      <c r="QSB433" s="125"/>
      <c r="QSC433" s="134"/>
      <c r="QSD433" s="135"/>
      <c r="QSE433" s="135"/>
      <c r="QSF433" s="135"/>
      <c r="QSG433" s="135"/>
      <c r="QSH433" s="173"/>
      <c r="QSI433" s="173"/>
      <c r="QSJ433" s="173"/>
      <c r="QSK433" s="173"/>
      <c r="QSL433" s="173"/>
      <c r="QSM433" s="173"/>
      <c r="QSN433" s="173"/>
      <c r="QSO433" s="173"/>
      <c r="QSP433" s="173"/>
      <c r="QSQ433" s="173"/>
      <c r="QSR433" s="125"/>
      <c r="QSS433" s="125"/>
      <c r="QST433" s="134"/>
      <c r="QSU433" s="135"/>
      <c r="QSV433" s="135"/>
      <c r="QSW433" s="135"/>
      <c r="QSX433" s="135"/>
      <c r="QSY433" s="173"/>
      <c r="QSZ433" s="173"/>
      <c r="QTA433" s="173"/>
      <c r="QTB433" s="173"/>
      <c r="QTC433" s="173"/>
      <c r="QTD433" s="173"/>
      <c r="QTE433" s="173"/>
      <c r="QTF433" s="173"/>
      <c r="QTG433" s="173"/>
      <c r="QTH433" s="173"/>
      <c r="QTI433" s="125"/>
      <c r="QTJ433" s="125"/>
      <c r="QTK433" s="134"/>
      <c r="QTL433" s="135"/>
      <c r="QTM433" s="135"/>
      <c r="QTN433" s="135"/>
      <c r="QTO433" s="135"/>
      <c r="QTP433" s="173"/>
      <c r="QTQ433" s="173"/>
      <c r="QTR433" s="173"/>
      <c r="QTS433" s="173"/>
      <c r="QTT433" s="173"/>
      <c r="QTU433" s="173"/>
      <c r="QTV433" s="173"/>
      <c r="QTW433" s="173"/>
      <c r="QTX433" s="173"/>
      <c r="QTY433" s="173"/>
      <c r="QTZ433" s="125"/>
      <c r="QUA433" s="125"/>
      <c r="QUB433" s="134"/>
      <c r="QUC433" s="135"/>
      <c r="QUD433" s="135"/>
      <c r="QUE433" s="135"/>
      <c r="QUF433" s="135"/>
      <c r="QUG433" s="173"/>
      <c r="QUH433" s="173"/>
      <c r="QUI433" s="173"/>
      <c r="QUJ433" s="173"/>
      <c r="QUK433" s="173"/>
      <c r="QUL433" s="173"/>
      <c r="QUM433" s="173"/>
      <c r="QUN433" s="173"/>
      <c r="QUO433" s="173"/>
      <c r="QUP433" s="173"/>
      <c r="QUQ433" s="125"/>
      <c r="QUR433" s="125"/>
      <c r="QUS433" s="134"/>
      <c r="QUT433" s="135"/>
      <c r="QUU433" s="135"/>
      <c r="QUV433" s="135"/>
      <c r="QUW433" s="135"/>
      <c r="QUX433" s="173"/>
      <c r="QUY433" s="173"/>
      <c r="QUZ433" s="173"/>
      <c r="QVA433" s="173"/>
      <c r="QVB433" s="173"/>
      <c r="QVC433" s="173"/>
      <c r="QVD433" s="173"/>
      <c r="QVE433" s="173"/>
      <c r="QVF433" s="173"/>
      <c r="QVG433" s="173"/>
      <c r="QVH433" s="125"/>
      <c r="QVI433" s="125"/>
      <c r="QVJ433" s="134"/>
      <c r="QVK433" s="135"/>
      <c r="QVL433" s="135"/>
      <c r="QVM433" s="135"/>
      <c r="QVN433" s="135"/>
      <c r="QVO433" s="173"/>
      <c r="QVP433" s="173"/>
      <c r="QVQ433" s="173"/>
      <c r="QVR433" s="173"/>
      <c r="QVS433" s="173"/>
      <c r="QVT433" s="173"/>
      <c r="QVU433" s="173"/>
      <c r="QVV433" s="173"/>
      <c r="QVW433" s="173"/>
      <c r="QVX433" s="173"/>
      <c r="QVY433" s="125"/>
      <c r="QVZ433" s="125"/>
      <c r="QWA433" s="134"/>
      <c r="QWB433" s="135"/>
      <c r="QWC433" s="135"/>
      <c r="QWD433" s="135"/>
      <c r="QWE433" s="135"/>
      <c r="QWF433" s="173"/>
      <c r="QWG433" s="173"/>
      <c r="QWH433" s="173"/>
      <c r="QWI433" s="173"/>
      <c r="QWJ433" s="173"/>
      <c r="QWK433" s="173"/>
      <c r="QWL433" s="173"/>
      <c r="QWM433" s="173"/>
      <c r="QWN433" s="173"/>
      <c r="QWO433" s="173"/>
      <c r="QWP433" s="125"/>
      <c r="QWQ433" s="125"/>
      <c r="QWR433" s="134"/>
      <c r="QWS433" s="135"/>
      <c r="QWT433" s="135"/>
      <c r="QWU433" s="135"/>
      <c r="QWV433" s="135"/>
      <c r="QWW433" s="173"/>
      <c r="QWX433" s="173"/>
      <c r="QWY433" s="173"/>
      <c r="QWZ433" s="173"/>
      <c r="QXA433" s="173"/>
      <c r="QXB433" s="173"/>
      <c r="QXC433" s="173"/>
      <c r="QXD433" s="173"/>
      <c r="QXE433" s="173"/>
      <c r="QXF433" s="173"/>
      <c r="QXG433" s="125"/>
      <c r="QXH433" s="125"/>
      <c r="QXI433" s="134"/>
      <c r="QXJ433" s="135"/>
      <c r="QXK433" s="135"/>
      <c r="QXL433" s="135"/>
      <c r="QXM433" s="135"/>
      <c r="QXN433" s="173"/>
      <c r="QXO433" s="173"/>
      <c r="QXP433" s="173"/>
      <c r="QXQ433" s="173"/>
      <c r="QXR433" s="173"/>
      <c r="QXS433" s="173"/>
      <c r="QXT433" s="173"/>
      <c r="QXU433" s="173"/>
      <c r="QXV433" s="173"/>
      <c r="QXW433" s="173"/>
      <c r="QXX433" s="125"/>
      <c r="QXY433" s="125"/>
      <c r="QXZ433" s="134"/>
      <c r="QYA433" s="135"/>
      <c r="QYB433" s="135"/>
      <c r="QYC433" s="135"/>
      <c r="QYD433" s="135"/>
      <c r="QYE433" s="173"/>
      <c r="QYF433" s="173"/>
      <c r="QYG433" s="173"/>
      <c r="QYH433" s="173"/>
      <c r="QYI433" s="173"/>
      <c r="QYJ433" s="173"/>
      <c r="QYK433" s="173"/>
      <c r="QYL433" s="173"/>
      <c r="QYM433" s="173"/>
      <c r="QYN433" s="173"/>
      <c r="QYO433" s="125"/>
      <c r="QYP433" s="125"/>
      <c r="QYQ433" s="134"/>
      <c r="QYR433" s="135"/>
      <c r="QYS433" s="135"/>
      <c r="QYT433" s="135"/>
      <c r="QYU433" s="135"/>
      <c r="QYV433" s="173"/>
      <c r="QYW433" s="173"/>
      <c r="QYX433" s="173"/>
      <c r="QYY433" s="173"/>
      <c r="QYZ433" s="173"/>
      <c r="QZA433" s="173"/>
      <c r="QZB433" s="173"/>
      <c r="QZC433" s="173"/>
      <c r="QZD433" s="173"/>
      <c r="QZE433" s="173"/>
      <c r="QZF433" s="125"/>
      <c r="QZG433" s="125"/>
      <c r="QZH433" s="134"/>
      <c r="QZI433" s="135"/>
      <c r="QZJ433" s="135"/>
      <c r="QZK433" s="135"/>
      <c r="QZL433" s="135"/>
      <c r="QZM433" s="173"/>
      <c r="QZN433" s="173"/>
      <c r="QZO433" s="173"/>
      <c r="QZP433" s="173"/>
      <c r="QZQ433" s="173"/>
      <c r="QZR433" s="173"/>
      <c r="QZS433" s="173"/>
      <c r="QZT433" s="173"/>
      <c r="QZU433" s="173"/>
      <c r="QZV433" s="173"/>
      <c r="QZW433" s="125"/>
      <c r="QZX433" s="125"/>
      <c r="QZY433" s="134"/>
      <c r="QZZ433" s="135"/>
      <c r="RAA433" s="135"/>
      <c r="RAB433" s="135"/>
      <c r="RAC433" s="135"/>
      <c r="RAD433" s="173"/>
      <c r="RAE433" s="173"/>
      <c r="RAF433" s="173"/>
      <c r="RAG433" s="173"/>
      <c r="RAH433" s="173"/>
      <c r="RAI433" s="173"/>
      <c r="RAJ433" s="173"/>
      <c r="RAK433" s="173"/>
      <c r="RAL433" s="173"/>
      <c r="RAM433" s="173"/>
      <c r="RAN433" s="125"/>
      <c r="RAO433" s="125"/>
      <c r="RAP433" s="134"/>
      <c r="RAQ433" s="135"/>
      <c r="RAR433" s="135"/>
      <c r="RAS433" s="135"/>
      <c r="RAT433" s="135"/>
      <c r="RAU433" s="173"/>
      <c r="RAV433" s="173"/>
      <c r="RAW433" s="173"/>
      <c r="RAX433" s="173"/>
      <c r="RAY433" s="173"/>
      <c r="RAZ433" s="173"/>
      <c r="RBA433" s="173"/>
      <c r="RBB433" s="173"/>
      <c r="RBC433" s="173"/>
      <c r="RBD433" s="173"/>
      <c r="RBE433" s="125"/>
      <c r="RBF433" s="125"/>
      <c r="RBG433" s="134"/>
      <c r="RBH433" s="135"/>
      <c r="RBI433" s="135"/>
      <c r="RBJ433" s="135"/>
      <c r="RBK433" s="135"/>
      <c r="RBL433" s="173"/>
      <c r="RBM433" s="173"/>
      <c r="RBN433" s="173"/>
      <c r="RBO433" s="173"/>
      <c r="RBP433" s="173"/>
      <c r="RBQ433" s="173"/>
      <c r="RBR433" s="173"/>
      <c r="RBS433" s="173"/>
      <c r="RBT433" s="173"/>
      <c r="RBU433" s="173"/>
      <c r="RBV433" s="125"/>
      <c r="RBW433" s="125"/>
      <c r="RBX433" s="134"/>
      <c r="RBY433" s="135"/>
      <c r="RBZ433" s="135"/>
      <c r="RCA433" s="135"/>
      <c r="RCB433" s="135"/>
      <c r="RCC433" s="173"/>
      <c r="RCD433" s="173"/>
      <c r="RCE433" s="173"/>
      <c r="RCF433" s="173"/>
      <c r="RCG433" s="173"/>
      <c r="RCH433" s="173"/>
      <c r="RCI433" s="173"/>
      <c r="RCJ433" s="173"/>
      <c r="RCK433" s="173"/>
      <c r="RCL433" s="173"/>
      <c r="RCM433" s="125"/>
      <c r="RCN433" s="125"/>
      <c r="RCO433" s="134"/>
      <c r="RCP433" s="135"/>
      <c r="RCQ433" s="135"/>
      <c r="RCR433" s="135"/>
      <c r="RCS433" s="135"/>
      <c r="RCT433" s="173"/>
      <c r="RCU433" s="173"/>
      <c r="RCV433" s="173"/>
      <c r="RCW433" s="173"/>
      <c r="RCX433" s="173"/>
      <c r="RCY433" s="173"/>
      <c r="RCZ433" s="173"/>
      <c r="RDA433" s="173"/>
      <c r="RDB433" s="173"/>
      <c r="RDC433" s="173"/>
      <c r="RDD433" s="125"/>
      <c r="RDE433" s="125"/>
      <c r="RDF433" s="134"/>
      <c r="RDG433" s="135"/>
      <c r="RDH433" s="135"/>
      <c r="RDI433" s="135"/>
      <c r="RDJ433" s="135"/>
      <c r="RDK433" s="173"/>
      <c r="RDL433" s="173"/>
      <c r="RDM433" s="173"/>
      <c r="RDN433" s="173"/>
      <c r="RDO433" s="173"/>
      <c r="RDP433" s="173"/>
      <c r="RDQ433" s="173"/>
      <c r="RDR433" s="173"/>
      <c r="RDS433" s="173"/>
      <c r="RDT433" s="173"/>
      <c r="RDU433" s="125"/>
      <c r="RDV433" s="125"/>
      <c r="RDW433" s="134"/>
      <c r="RDX433" s="135"/>
      <c r="RDY433" s="135"/>
      <c r="RDZ433" s="135"/>
      <c r="REA433" s="135"/>
      <c r="REB433" s="173"/>
      <c r="REC433" s="173"/>
      <c r="RED433" s="173"/>
      <c r="REE433" s="173"/>
      <c r="REF433" s="173"/>
      <c r="REG433" s="173"/>
      <c r="REH433" s="173"/>
      <c r="REI433" s="173"/>
      <c r="REJ433" s="173"/>
      <c r="REK433" s="173"/>
      <c r="REL433" s="125"/>
      <c r="REM433" s="125"/>
      <c r="REN433" s="134"/>
      <c r="REO433" s="135"/>
      <c r="REP433" s="135"/>
      <c r="REQ433" s="135"/>
      <c r="RER433" s="135"/>
      <c r="RES433" s="173"/>
      <c r="RET433" s="173"/>
      <c r="REU433" s="173"/>
      <c r="REV433" s="173"/>
      <c r="REW433" s="173"/>
      <c r="REX433" s="173"/>
      <c r="REY433" s="173"/>
      <c r="REZ433" s="173"/>
      <c r="RFA433" s="173"/>
      <c r="RFB433" s="173"/>
      <c r="RFC433" s="125"/>
      <c r="RFD433" s="125"/>
      <c r="RFE433" s="134"/>
      <c r="RFF433" s="135"/>
      <c r="RFG433" s="135"/>
      <c r="RFH433" s="135"/>
      <c r="RFI433" s="135"/>
      <c r="RFJ433" s="173"/>
      <c r="RFK433" s="173"/>
      <c r="RFL433" s="173"/>
      <c r="RFM433" s="173"/>
      <c r="RFN433" s="173"/>
      <c r="RFO433" s="173"/>
      <c r="RFP433" s="173"/>
      <c r="RFQ433" s="173"/>
      <c r="RFR433" s="173"/>
      <c r="RFS433" s="173"/>
      <c r="RFT433" s="125"/>
      <c r="RFU433" s="125"/>
      <c r="RFV433" s="134"/>
      <c r="RFW433" s="135"/>
      <c r="RFX433" s="135"/>
      <c r="RFY433" s="135"/>
      <c r="RFZ433" s="135"/>
      <c r="RGA433" s="173"/>
      <c r="RGB433" s="173"/>
      <c r="RGC433" s="173"/>
      <c r="RGD433" s="173"/>
      <c r="RGE433" s="173"/>
      <c r="RGF433" s="173"/>
      <c r="RGG433" s="173"/>
      <c r="RGH433" s="173"/>
      <c r="RGI433" s="173"/>
      <c r="RGJ433" s="173"/>
      <c r="RGK433" s="125"/>
      <c r="RGL433" s="125"/>
      <c r="RGM433" s="134"/>
      <c r="RGN433" s="135"/>
      <c r="RGO433" s="135"/>
      <c r="RGP433" s="135"/>
      <c r="RGQ433" s="135"/>
      <c r="RGR433" s="173"/>
      <c r="RGS433" s="173"/>
      <c r="RGT433" s="173"/>
      <c r="RGU433" s="173"/>
      <c r="RGV433" s="173"/>
      <c r="RGW433" s="173"/>
      <c r="RGX433" s="173"/>
      <c r="RGY433" s="173"/>
      <c r="RGZ433" s="173"/>
      <c r="RHA433" s="173"/>
      <c r="RHB433" s="125"/>
      <c r="RHC433" s="125"/>
      <c r="RHD433" s="134"/>
      <c r="RHE433" s="135"/>
      <c r="RHF433" s="135"/>
      <c r="RHG433" s="135"/>
      <c r="RHH433" s="135"/>
      <c r="RHI433" s="173"/>
      <c r="RHJ433" s="173"/>
      <c r="RHK433" s="173"/>
      <c r="RHL433" s="173"/>
      <c r="RHM433" s="173"/>
      <c r="RHN433" s="173"/>
      <c r="RHO433" s="173"/>
      <c r="RHP433" s="173"/>
      <c r="RHQ433" s="173"/>
      <c r="RHR433" s="173"/>
      <c r="RHS433" s="125"/>
      <c r="RHT433" s="125"/>
      <c r="RHU433" s="134"/>
      <c r="RHV433" s="135"/>
      <c r="RHW433" s="135"/>
      <c r="RHX433" s="135"/>
      <c r="RHY433" s="135"/>
      <c r="RHZ433" s="173"/>
      <c r="RIA433" s="173"/>
      <c r="RIB433" s="173"/>
      <c r="RIC433" s="173"/>
      <c r="RID433" s="173"/>
      <c r="RIE433" s="173"/>
      <c r="RIF433" s="173"/>
      <c r="RIG433" s="173"/>
      <c r="RIH433" s="173"/>
      <c r="RII433" s="173"/>
      <c r="RIJ433" s="125"/>
      <c r="RIK433" s="125"/>
      <c r="RIL433" s="134"/>
      <c r="RIM433" s="135"/>
      <c r="RIN433" s="135"/>
      <c r="RIO433" s="135"/>
      <c r="RIP433" s="135"/>
      <c r="RIQ433" s="173"/>
      <c r="RIR433" s="173"/>
      <c r="RIS433" s="173"/>
      <c r="RIT433" s="173"/>
      <c r="RIU433" s="173"/>
      <c r="RIV433" s="173"/>
      <c r="RIW433" s="173"/>
      <c r="RIX433" s="173"/>
      <c r="RIY433" s="173"/>
      <c r="RIZ433" s="173"/>
      <c r="RJA433" s="125"/>
      <c r="RJB433" s="125"/>
      <c r="RJC433" s="134"/>
      <c r="RJD433" s="135"/>
      <c r="RJE433" s="135"/>
      <c r="RJF433" s="135"/>
      <c r="RJG433" s="135"/>
      <c r="RJH433" s="173"/>
      <c r="RJI433" s="173"/>
      <c r="RJJ433" s="173"/>
      <c r="RJK433" s="173"/>
      <c r="RJL433" s="173"/>
      <c r="RJM433" s="173"/>
      <c r="RJN433" s="173"/>
      <c r="RJO433" s="173"/>
      <c r="RJP433" s="173"/>
      <c r="RJQ433" s="173"/>
      <c r="RJR433" s="125"/>
      <c r="RJS433" s="125"/>
      <c r="RJT433" s="134"/>
      <c r="RJU433" s="135"/>
      <c r="RJV433" s="135"/>
      <c r="RJW433" s="135"/>
      <c r="RJX433" s="135"/>
      <c r="RJY433" s="173"/>
      <c r="RJZ433" s="173"/>
      <c r="RKA433" s="173"/>
      <c r="RKB433" s="173"/>
      <c r="RKC433" s="173"/>
      <c r="RKD433" s="173"/>
      <c r="RKE433" s="173"/>
      <c r="RKF433" s="173"/>
      <c r="RKG433" s="173"/>
      <c r="RKH433" s="173"/>
      <c r="RKI433" s="125"/>
      <c r="RKJ433" s="125"/>
      <c r="RKK433" s="134"/>
      <c r="RKL433" s="135"/>
      <c r="RKM433" s="135"/>
      <c r="RKN433" s="135"/>
      <c r="RKO433" s="135"/>
      <c r="RKP433" s="173"/>
      <c r="RKQ433" s="173"/>
      <c r="RKR433" s="173"/>
      <c r="RKS433" s="173"/>
      <c r="RKT433" s="173"/>
      <c r="RKU433" s="173"/>
      <c r="RKV433" s="173"/>
      <c r="RKW433" s="173"/>
      <c r="RKX433" s="173"/>
      <c r="RKY433" s="173"/>
      <c r="RKZ433" s="125"/>
      <c r="RLA433" s="125"/>
      <c r="RLB433" s="134"/>
      <c r="RLC433" s="135"/>
      <c r="RLD433" s="135"/>
      <c r="RLE433" s="135"/>
      <c r="RLF433" s="135"/>
      <c r="RLG433" s="173"/>
      <c r="RLH433" s="173"/>
      <c r="RLI433" s="173"/>
      <c r="RLJ433" s="173"/>
      <c r="RLK433" s="173"/>
      <c r="RLL433" s="173"/>
      <c r="RLM433" s="173"/>
      <c r="RLN433" s="173"/>
      <c r="RLO433" s="173"/>
      <c r="RLP433" s="173"/>
      <c r="RLQ433" s="125"/>
      <c r="RLR433" s="125"/>
      <c r="RLS433" s="134"/>
      <c r="RLT433" s="135"/>
      <c r="RLU433" s="135"/>
      <c r="RLV433" s="135"/>
      <c r="RLW433" s="135"/>
      <c r="RLX433" s="173"/>
      <c r="RLY433" s="173"/>
      <c r="RLZ433" s="173"/>
      <c r="RMA433" s="173"/>
      <c r="RMB433" s="173"/>
      <c r="RMC433" s="173"/>
      <c r="RMD433" s="173"/>
      <c r="RME433" s="173"/>
      <c r="RMF433" s="173"/>
      <c r="RMG433" s="173"/>
      <c r="RMH433" s="125"/>
      <c r="RMI433" s="125"/>
      <c r="RMJ433" s="134"/>
      <c r="RMK433" s="135"/>
      <c r="RML433" s="135"/>
      <c r="RMM433" s="135"/>
      <c r="RMN433" s="135"/>
      <c r="RMO433" s="173"/>
      <c r="RMP433" s="173"/>
      <c r="RMQ433" s="173"/>
      <c r="RMR433" s="173"/>
      <c r="RMS433" s="173"/>
      <c r="RMT433" s="173"/>
      <c r="RMU433" s="173"/>
      <c r="RMV433" s="173"/>
      <c r="RMW433" s="173"/>
      <c r="RMX433" s="173"/>
      <c r="RMY433" s="125"/>
      <c r="RMZ433" s="125"/>
      <c r="RNA433" s="134"/>
      <c r="RNB433" s="135"/>
      <c r="RNC433" s="135"/>
      <c r="RND433" s="135"/>
      <c r="RNE433" s="135"/>
      <c r="RNF433" s="173"/>
      <c r="RNG433" s="173"/>
      <c r="RNH433" s="173"/>
      <c r="RNI433" s="173"/>
      <c r="RNJ433" s="173"/>
      <c r="RNK433" s="173"/>
      <c r="RNL433" s="173"/>
      <c r="RNM433" s="173"/>
      <c r="RNN433" s="173"/>
      <c r="RNO433" s="173"/>
      <c r="RNP433" s="125"/>
      <c r="RNQ433" s="125"/>
      <c r="RNR433" s="134"/>
      <c r="RNS433" s="135"/>
      <c r="RNT433" s="135"/>
      <c r="RNU433" s="135"/>
      <c r="RNV433" s="135"/>
      <c r="RNW433" s="173"/>
      <c r="RNX433" s="173"/>
      <c r="RNY433" s="173"/>
      <c r="RNZ433" s="173"/>
      <c r="ROA433" s="173"/>
      <c r="ROB433" s="173"/>
      <c r="ROC433" s="173"/>
      <c r="ROD433" s="173"/>
      <c r="ROE433" s="173"/>
      <c r="ROF433" s="173"/>
      <c r="ROG433" s="125"/>
      <c r="ROH433" s="125"/>
      <c r="ROI433" s="134"/>
      <c r="ROJ433" s="135"/>
      <c r="ROK433" s="135"/>
      <c r="ROL433" s="135"/>
      <c r="ROM433" s="135"/>
      <c r="RON433" s="173"/>
      <c r="ROO433" s="173"/>
      <c r="ROP433" s="173"/>
      <c r="ROQ433" s="173"/>
      <c r="ROR433" s="173"/>
      <c r="ROS433" s="173"/>
      <c r="ROT433" s="173"/>
      <c r="ROU433" s="173"/>
      <c r="ROV433" s="173"/>
      <c r="ROW433" s="173"/>
      <c r="ROX433" s="125"/>
      <c r="ROY433" s="125"/>
      <c r="ROZ433" s="134"/>
      <c r="RPA433" s="135"/>
      <c r="RPB433" s="135"/>
      <c r="RPC433" s="135"/>
      <c r="RPD433" s="135"/>
      <c r="RPE433" s="173"/>
      <c r="RPF433" s="173"/>
      <c r="RPG433" s="173"/>
      <c r="RPH433" s="173"/>
      <c r="RPI433" s="173"/>
      <c r="RPJ433" s="173"/>
      <c r="RPK433" s="173"/>
      <c r="RPL433" s="173"/>
      <c r="RPM433" s="173"/>
      <c r="RPN433" s="173"/>
      <c r="RPO433" s="125"/>
      <c r="RPP433" s="125"/>
      <c r="RPQ433" s="134"/>
      <c r="RPR433" s="135"/>
      <c r="RPS433" s="135"/>
      <c r="RPT433" s="135"/>
      <c r="RPU433" s="135"/>
      <c r="RPV433" s="173"/>
      <c r="RPW433" s="173"/>
      <c r="RPX433" s="173"/>
      <c r="RPY433" s="173"/>
      <c r="RPZ433" s="173"/>
      <c r="RQA433" s="173"/>
      <c r="RQB433" s="173"/>
      <c r="RQC433" s="173"/>
      <c r="RQD433" s="173"/>
      <c r="RQE433" s="173"/>
      <c r="RQF433" s="125"/>
      <c r="RQG433" s="125"/>
      <c r="RQH433" s="134"/>
      <c r="RQI433" s="135"/>
      <c r="RQJ433" s="135"/>
      <c r="RQK433" s="135"/>
      <c r="RQL433" s="135"/>
      <c r="RQM433" s="173"/>
      <c r="RQN433" s="173"/>
      <c r="RQO433" s="173"/>
      <c r="RQP433" s="173"/>
      <c r="RQQ433" s="173"/>
      <c r="RQR433" s="173"/>
      <c r="RQS433" s="173"/>
      <c r="RQT433" s="173"/>
      <c r="RQU433" s="173"/>
      <c r="RQV433" s="173"/>
      <c r="RQW433" s="125"/>
      <c r="RQX433" s="125"/>
      <c r="RQY433" s="134"/>
      <c r="RQZ433" s="135"/>
      <c r="RRA433" s="135"/>
      <c r="RRB433" s="135"/>
      <c r="RRC433" s="135"/>
      <c r="RRD433" s="173"/>
      <c r="RRE433" s="173"/>
      <c r="RRF433" s="173"/>
      <c r="RRG433" s="173"/>
      <c r="RRH433" s="173"/>
      <c r="RRI433" s="173"/>
      <c r="RRJ433" s="173"/>
      <c r="RRK433" s="173"/>
      <c r="RRL433" s="173"/>
      <c r="RRM433" s="173"/>
      <c r="RRN433" s="125"/>
      <c r="RRO433" s="125"/>
      <c r="RRP433" s="134"/>
      <c r="RRQ433" s="135"/>
      <c r="RRR433" s="135"/>
      <c r="RRS433" s="135"/>
      <c r="RRT433" s="135"/>
      <c r="RRU433" s="173"/>
      <c r="RRV433" s="173"/>
      <c r="RRW433" s="173"/>
      <c r="RRX433" s="173"/>
      <c r="RRY433" s="173"/>
      <c r="RRZ433" s="173"/>
      <c r="RSA433" s="173"/>
      <c r="RSB433" s="173"/>
      <c r="RSC433" s="173"/>
      <c r="RSD433" s="173"/>
      <c r="RSE433" s="125"/>
      <c r="RSF433" s="125"/>
      <c r="RSG433" s="134"/>
      <c r="RSH433" s="135"/>
      <c r="RSI433" s="135"/>
      <c r="RSJ433" s="135"/>
      <c r="RSK433" s="135"/>
      <c r="RSL433" s="173"/>
      <c r="RSM433" s="173"/>
      <c r="RSN433" s="173"/>
      <c r="RSO433" s="173"/>
      <c r="RSP433" s="173"/>
      <c r="RSQ433" s="173"/>
      <c r="RSR433" s="173"/>
      <c r="RSS433" s="173"/>
      <c r="RST433" s="173"/>
      <c r="RSU433" s="173"/>
      <c r="RSV433" s="125"/>
      <c r="RSW433" s="125"/>
      <c r="RSX433" s="134"/>
      <c r="RSY433" s="135"/>
      <c r="RSZ433" s="135"/>
      <c r="RTA433" s="135"/>
      <c r="RTB433" s="135"/>
      <c r="RTC433" s="173"/>
      <c r="RTD433" s="173"/>
      <c r="RTE433" s="173"/>
      <c r="RTF433" s="173"/>
      <c r="RTG433" s="173"/>
      <c r="RTH433" s="173"/>
      <c r="RTI433" s="173"/>
      <c r="RTJ433" s="173"/>
      <c r="RTK433" s="173"/>
      <c r="RTL433" s="173"/>
      <c r="RTM433" s="125"/>
      <c r="RTN433" s="125"/>
      <c r="RTO433" s="134"/>
      <c r="RTP433" s="135"/>
      <c r="RTQ433" s="135"/>
      <c r="RTR433" s="135"/>
      <c r="RTS433" s="135"/>
      <c r="RTT433" s="173"/>
      <c r="RTU433" s="173"/>
      <c r="RTV433" s="173"/>
      <c r="RTW433" s="173"/>
      <c r="RTX433" s="173"/>
      <c r="RTY433" s="173"/>
      <c r="RTZ433" s="173"/>
      <c r="RUA433" s="173"/>
      <c r="RUB433" s="173"/>
      <c r="RUC433" s="173"/>
      <c r="RUD433" s="125"/>
      <c r="RUE433" s="125"/>
      <c r="RUF433" s="134"/>
      <c r="RUG433" s="135"/>
      <c r="RUH433" s="135"/>
      <c r="RUI433" s="135"/>
      <c r="RUJ433" s="135"/>
      <c r="RUK433" s="173"/>
      <c r="RUL433" s="173"/>
      <c r="RUM433" s="173"/>
      <c r="RUN433" s="173"/>
      <c r="RUO433" s="173"/>
      <c r="RUP433" s="173"/>
      <c r="RUQ433" s="173"/>
      <c r="RUR433" s="173"/>
      <c r="RUS433" s="173"/>
      <c r="RUT433" s="173"/>
      <c r="RUU433" s="125"/>
      <c r="RUV433" s="125"/>
      <c r="RUW433" s="134"/>
      <c r="RUX433" s="135"/>
      <c r="RUY433" s="135"/>
      <c r="RUZ433" s="135"/>
      <c r="RVA433" s="135"/>
      <c r="RVB433" s="173"/>
      <c r="RVC433" s="173"/>
      <c r="RVD433" s="173"/>
      <c r="RVE433" s="173"/>
      <c r="RVF433" s="173"/>
      <c r="RVG433" s="173"/>
      <c r="RVH433" s="173"/>
      <c r="RVI433" s="173"/>
      <c r="RVJ433" s="173"/>
      <c r="RVK433" s="173"/>
      <c r="RVL433" s="125"/>
      <c r="RVM433" s="125"/>
      <c r="RVN433" s="134"/>
      <c r="RVO433" s="135"/>
      <c r="RVP433" s="135"/>
      <c r="RVQ433" s="135"/>
      <c r="RVR433" s="135"/>
      <c r="RVS433" s="173"/>
      <c r="RVT433" s="173"/>
      <c r="RVU433" s="173"/>
      <c r="RVV433" s="173"/>
      <c r="RVW433" s="173"/>
      <c r="RVX433" s="173"/>
      <c r="RVY433" s="173"/>
      <c r="RVZ433" s="173"/>
      <c r="RWA433" s="173"/>
      <c r="RWB433" s="173"/>
      <c r="RWC433" s="125"/>
      <c r="RWD433" s="125"/>
      <c r="RWE433" s="134"/>
      <c r="RWF433" s="135"/>
      <c r="RWG433" s="135"/>
      <c r="RWH433" s="135"/>
      <c r="RWI433" s="135"/>
      <c r="RWJ433" s="173"/>
      <c r="RWK433" s="173"/>
      <c r="RWL433" s="173"/>
      <c r="RWM433" s="173"/>
      <c r="RWN433" s="173"/>
      <c r="RWO433" s="173"/>
      <c r="RWP433" s="173"/>
      <c r="RWQ433" s="173"/>
      <c r="RWR433" s="173"/>
      <c r="RWS433" s="173"/>
      <c r="RWT433" s="125"/>
      <c r="RWU433" s="125"/>
      <c r="RWV433" s="134"/>
      <c r="RWW433" s="135"/>
      <c r="RWX433" s="135"/>
      <c r="RWY433" s="135"/>
      <c r="RWZ433" s="135"/>
      <c r="RXA433" s="173"/>
      <c r="RXB433" s="173"/>
      <c r="RXC433" s="173"/>
      <c r="RXD433" s="173"/>
      <c r="RXE433" s="173"/>
      <c r="RXF433" s="173"/>
      <c r="RXG433" s="173"/>
      <c r="RXH433" s="173"/>
      <c r="RXI433" s="173"/>
      <c r="RXJ433" s="173"/>
      <c r="RXK433" s="125"/>
      <c r="RXL433" s="125"/>
      <c r="RXM433" s="134"/>
      <c r="RXN433" s="135"/>
      <c r="RXO433" s="135"/>
      <c r="RXP433" s="135"/>
      <c r="RXQ433" s="135"/>
      <c r="RXR433" s="173"/>
      <c r="RXS433" s="173"/>
      <c r="RXT433" s="173"/>
      <c r="RXU433" s="173"/>
      <c r="RXV433" s="173"/>
      <c r="RXW433" s="173"/>
      <c r="RXX433" s="173"/>
      <c r="RXY433" s="173"/>
      <c r="RXZ433" s="173"/>
      <c r="RYA433" s="173"/>
      <c r="RYB433" s="125"/>
      <c r="RYC433" s="125"/>
      <c r="RYD433" s="134"/>
      <c r="RYE433" s="135"/>
      <c r="RYF433" s="135"/>
      <c r="RYG433" s="135"/>
      <c r="RYH433" s="135"/>
      <c r="RYI433" s="173"/>
      <c r="RYJ433" s="173"/>
      <c r="RYK433" s="173"/>
      <c r="RYL433" s="173"/>
      <c r="RYM433" s="173"/>
      <c r="RYN433" s="173"/>
      <c r="RYO433" s="173"/>
      <c r="RYP433" s="173"/>
      <c r="RYQ433" s="173"/>
      <c r="RYR433" s="173"/>
      <c r="RYS433" s="125"/>
      <c r="RYT433" s="125"/>
      <c r="RYU433" s="134"/>
      <c r="RYV433" s="135"/>
      <c r="RYW433" s="135"/>
      <c r="RYX433" s="135"/>
      <c r="RYY433" s="135"/>
      <c r="RYZ433" s="173"/>
      <c r="RZA433" s="173"/>
      <c r="RZB433" s="173"/>
      <c r="RZC433" s="173"/>
      <c r="RZD433" s="173"/>
      <c r="RZE433" s="173"/>
      <c r="RZF433" s="173"/>
      <c r="RZG433" s="173"/>
      <c r="RZH433" s="173"/>
      <c r="RZI433" s="173"/>
      <c r="RZJ433" s="125"/>
      <c r="RZK433" s="125"/>
      <c r="RZL433" s="134"/>
      <c r="RZM433" s="135"/>
      <c r="RZN433" s="135"/>
      <c r="RZO433" s="135"/>
      <c r="RZP433" s="135"/>
      <c r="RZQ433" s="173"/>
      <c r="RZR433" s="173"/>
      <c r="RZS433" s="173"/>
      <c r="RZT433" s="173"/>
      <c r="RZU433" s="173"/>
      <c r="RZV433" s="173"/>
      <c r="RZW433" s="173"/>
      <c r="RZX433" s="173"/>
      <c r="RZY433" s="173"/>
      <c r="RZZ433" s="173"/>
      <c r="SAA433" s="125"/>
      <c r="SAB433" s="125"/>
      <c r="SAC433" s="134"/>
      <c r="SAD433" s="135"/>
      <c r="SAE433" s="135"/>
      <c r="SAF433" s="135"/>
      <c r="SAG433" s="135"/>
      <c r="SAH433" s="173"/>
      <c r="SAI433" s="173"/>
      <c r="SAJ433" s="173"/>
      <c r="SAK433" s="173"/>
      <c r="SAL433" s="173"/>
      <c r="SAM433" s="173"/>
      <c r="SAN433" s="173"/>
      <c r="SAO433" s="173"/>
      <c r="SAP433" s="173"/>
      <c r="SAQ433" s="173"/>
      <c r="SAR433" s="125"/>
      <c r="SAS433" s="125"/>
      <c r="SAT433" s="134"/>
      <c r="SAU433" s="135"/>
      <c r="SAV433" s="135"/>
      <c r="SAW433" s="135"/>
      <c r="SAX433" s="135"/>
      <c r="SAY433" s="173"/>
      <c r="SAZ433" s="173"/>
      <c r="SBA433" s="173"/>
      <c r="SBB433" s="173"/>
      <c r="SBC433" s="173"/>
      <c r="SBD433" s="173"/>
      <c r="SBE433" s="173"/>
      <c r="SBF433" s="173"/>
      <c r="SBG433" s="173"/>
      <c r="SBH433" s="173"/>
      <c r="SBI433" s="125"/>
      <c r="SBJ433" s="125"/>
      <c r="SBK433" s="134"/>
      <c r="SBL433" s="135"/>
      <c r="SBM433" s="135"/>
      <c r="SBN433" s="135"/>
      <c r="SBO433" s="135"/>
      <c r="SBP433" s="173"/>
      <c r="SBQ433" s="173"/>
      <c r="SBR433" s="173"/>
      <c r="SBS433" s="173"/>
      <c r="SBT433" s="173"/>
      <c r="SBU433" s="173"/>
      <c r="SBV433" s="173"/>
      <c r="SBW433" s="173"/>
      <c r="SBX433" s="173"/>
      <c r="SBY433" s="173"/>
      <c r="SBZ433" s="125"/>
      <c r="SCA433" s="125"/>
      <c r="SCB433" s="134"/>
      <c r="SCC433" s="135"/>
      <c r="SCD433" s="135"/>
      <c r="SCE433" s="135"/>
      <c r="SCF433" s="135"/>
      <c r="SCG433" s="173"/>
      <c r="SCH433" s="173"/>
      <c r="SCI433" s="173"/>
      <c r="SCJ433" s="173"/>
      <c r="SCK433" s="173"/>
      <c r="SCL433" s="173"/>
      <c r="SCM433" s="173"/>
      <c r="SCN433" s="173"/>
      <c r="SCO433" s="173"/>
      <c r="SCP433" s="173"/>
      <c r="SCQ433" s="125"/>
      <c r="SCR433" s="125"/>
      <c r="SCS433" s="134"/>
      <c r="SCT433" s="135"/>
      <c r="SCU433" s="135"/>
      <c r="SCV433" s="135"/>
      <c r="SCW433" s="135"/>
      <c r="SCX433" s="173"/>
      <c r="SCY433" s="173"/>
      <c r="SCZ433" s="173"/>
      <c r="SDA433" s="173"/>
      <c r="SDB433" s="173"/>
      <c r="SDC433" s="173"/>
      <c r="SDD433" s="173"/>
      <c r="SDE433" s="173"/>
      <c r="SDF433" s="173"/>
      <c r="SDG433" s="173"/>
      <c r="SDH433" s="125"/>
      <c r="SDI433" s="125"/>
      <c r="SDJ433" s="134"/>
      <c r="SDK433" s="135"/>
      <c r="SDL433" s="135"/>
      <c r="SDM433" s="135"/>
      <c r="SDN433" s="135"/>
      <c r="SDO433" s="173"/>
      <c r="SDP433" s="173"/>
      <c r="SDQ433" s="173"/>
      <c r="SDR433" s="173"/>
      <c r="SDS433" s="173"/>
      <c r="SDT433" s="173"/>
      <c r="SDU433" s="173"/>
      <c r="SDV433" s="173"/>
      <c r="SDW433" s="173"/>
      <c r="SDX433" s="173"/>
      <c r="SDY433" s="125"/>
      <c r="SDZ433" s="125"/>
      <c r="SEA433" s="134"/>
      <c r="SEB433" s="135"/>
      <c r="SEC433" s="135"/>
      <c r="SED433" s="135"/>
      <c r="SEE433" s="135"/>
      <c r="SEF433" s="173"/>
      <c r="SEG433" s="173"/>
      <c r="SEH433" s="173"/>
      <c r="SEI433" s="173"/>
      <c r="SEJ433" s="173"/>
      <c r="SEK433" s="173"/>
      <c r="SEL433" s="173"/>
      <c r="SEM433" s="173"/>
      <c r="SEN433" s="173"/>
      <c r="SEO433" s="173"/>
      <c r="SEP433" s="125"/>
      <c r="SEQ433" s="125"/>
      <c r="SER433" s="134"/>
      <c r="SES433" s="135"/>
      <c r="SET433" s="135"/>
      <c r="SEU433" s="135"/>
      <c r="SEV433" s="135"/>
      <c r="SEW433" s="173"/>
      <c r="SEX433" s="173"/>
      <c r="SEY433" s="173"/>
      <c r="SEZ433" s="173"/>
      <c r="SFA433" s="173"/>
      <c r="SFB433" s="173"/>
      <c r="SFC433" s="173"/>
      <c r="SFD433" s="173"/>
      <c r="SFE433" s="173"/>
      <c r="SFF433" s="173"/>
      <c r="SFG433" s="125"/>
      <c r="SFH433" s="125"/>
      <c r="SFI433" s="134"/>
      <c r="SFJ433" s="135"/>
      <c r="SFK433" s="135"/>
      <c r="SFL433" s="135"/>
      <c r="SFM433" s="135"/>
      <c r="SFN433" s="173"/>
      <c r="SFO433" s="173"/>
      <c r="SFP433" s="173"/>
      <c r="SFQ433" s="173"/>
      <c r="SFR433" s="173"/>
      <c r="SFS433" s="173"/>
      <c r="SFT433" s="173"/>
      <c r="SFU433" s="173"/>
      <c r="SFV433" s="173"/>
      <c r="SFW433" s="173"/>
      <c r="SFX433" s="125"/>
      <c r="SFY433" s="125"/>
      <c r="SFZ433" s="134"/>
      <c r="SGA433" s="135"/>
      <c r="SGB433" s="135"/>
      <c r="SGC433" s="135"/>
      <c r="SGD433" s="135"/>
      <c r="SGE433" s="173"/>
      <c r="SGF433" s="173"/>
      <c r="SGG433" s="173"/>
      <c r="SGH433" s="173"/>
      <c r="SGI433" s="173"/>
      <c r="SGJ433" s="173"/>
      <c r="SGK433" s="173"/>
      <c r="SGL433" s="173"/>
      <c r="SGM433" s="173"/>
      <c r="SGN433" s="173"/>
      <c r="SGO433" s="125"/>
      <c r="SGP433" s="125"/>
      <c r="SGQ433" s="134"/>
      <c r="SGR433" s="135"/>
      <c r="SGS433" s="135"/>
      <c r="SGT433" s="135"/>
      <c r="SGU433" s="135"/>
      <c r="SGV433" s="173"/>
      <c r="SGW433" s="173"/>
      <c r="SGX433" s="173"/>
      <c r="SGY433" s="173"/>
      <c r="SGZ433" s="173"/>
      <c r="SHA433" s="173"/>
      <c r="SHB433" s="173"/>
      <c r="SHC433" s="173"/>
      <c r="SHD433" s="173"/>
      <c r="SHE433" s="173"/>
      <c r="SHF433" s="125"/>
      <c r="SHG433" s="125"/>
      <c r="SHH433" s="134"/>
      <c r="SHI433" s="135"/>
      <c r="SHJ433" s="135"/>
      <c r="SHK433" s="135"/>
      <c r="SHL433" s="135"/>
      <c r="SHM433" s="173"/>
      <c r="SHN433" s="173"/>
      <c r="SHO433" s="173"/>
      <c r="SHP433" s="173"/>
      <c r="SHQ433" s="173"/>
      <c r="SHR433" s="173"/>
      <c r="SHS433" s="173"/>
      <c r="SHT433" s="173"/>
      <c r="SHU433" s="173"/>
      <c r="SHV433" s="173"/>
      <c r="SHW433" s="125"/>
      <c r="SHX433" s="125"/>
      <c r="SHY433" s="134"/>
      <c r="SHZ433" s="135"/>
      <c r="SIA433" s="135"/>
      <c r="SIB433" s="135"/>
      <c r="SIC433" s="135"/>
      <c r="SID433" s="173"/>
      <c r="SIE433" s="173"/>
      <c r="SIF433" s="173"/>
      <c r="SIG433" s="173"/>
      <c r="SIH433" s="173"/>
      <c r="SII433" s="173"/>
      <c r="SIJ433" s="173"/>
      <c r="SIK433" s="173"/>
      <c r="SIL433" s="173"/>
      <c r="SIM433" s="173"/>
      <c r="SIN433" s="125"/>
      <c r="SIO433" s="125"/>
      <c r="SIP433" s="134"/>
      <c r="SIQ433" s="135"/>
      <c r="SIR433" s="135"/>
      <c r="SIS433" s="135"/>
      <c r="SIT433" s="135"/>
      <c r="SIU433" s="173"/>
      <c r="SIV433" s="173"/>
      <c r="SIW433" s="173"/>
      <c r="SIX433" s="173"/>
      <c r="SIY433" s="173"/>
      <c r="SIZ433" s="173"/>
      <c r="SJA433" s="173"/>
      <c r="SJB433" s="173"/>
      <c r="SJC433" s="173"/>
      <c r="SJD433" s="173"/>
      <c r="SJE433" s="125"/>
      <c r="SJF433" s="125"/>
      <c r="SJG433" s="134"/>
      <c r="SJH433" s="135"/>
      <c r="SJI433" s="135"/>
      <c r="SJJ433" s="135"/>
      <c r="SJK433" s="135"/>
      <c r="SJL433" s="173"/>
      <c r="SJM433" s="173"/>
      <c r="SJN433" s="173"/>
      <c r="SJO433" s="173"/>
      <c r="SJP433" s="173"/>
      <c r="SJQ433" s="173"/>
      <c r="SJR433" s="173"/>
      <c r="SJS433" s="173"/>
      <c r="SJT433" s="173"/>
      <c r="SJU433" s="173"/>
      <c r="SJV433" s="125"/>
      <c r="SJW433" s="125"/>
      <c r="SJX433" s="134"/>
      <c r="SJY433" s="135"/>
      <c r="SJZ433" s="135"/>
      <c r="SKA433" s="135"/>
      <c r="SKB433" s="135"/>
      <c r="SKC433" s="173"/>
      <c r="SKD433" s="173"/>
      <c r="SKE433" s="173"/>
      <c r="SKF433" s="173"/>
      <c r="SKG433" s="173"/>
      <c r="SKH433" s="173"/>
      <c r="SKI433" s="173"/>
      <c r="SKJ433" s="173"/>
      <c r="SKK433" s="173"/>
      <c r="SKL433" s="173"/>
      <c r="SKM433" s="125"/>
      <c r="SKN433" s="125"/>
      <c r="SKO433" s="134"/>
      <c r="SKP433" s="135"/>
      <c r="SKQ433" s="135"/>
      <c r="SKR433" s="135"/>
      <c r="SKS433" s="135"/>
      <c r="SKT433" s="173"/>
      <c r="SKU433" s="173"/>
      <c r="SKV433" s="173"/>
      <c r="SKW433" s="173"/>
      <c r="SKX433" s="173"/>
      <c r="SKY433" s="173"/>
      <c r="SKZ433" s="173"/>
      <c r="SLA433" s="173"/>
      <c r="SLB433" s="173"/>
      <c r="SLC433" s="173"/>
      <c r="SLD433" s="125"/>
      <c r="SLE433" s="125"/>
      <c r="SLF433" s="134"/>
      <c r="SLG433" s="135"/>
      <c r="SLH433" s="135"/>
      <c r="SLI433" s="135"/>
      <c r="SLJ433" s="135"/>
      <c r="SLK433" s="173"/>
      <c r="SLL433" s="173"/>
      <c r="SLM433" s="173"/>
      <c r="SLN433" s="173"/>
      <c r="SLO433" s="173"/>
      <c r="SLP433" s="173"/>
      <c r="SLQ433" s="173"/>
      <c r="SLR433" s="173"/>
      <c r="SLS433" s="173"/>
      <c r="SLT433" s="173"/>
      <c r="SLU433" s="125"/>
      <c r="SLV433" s="125"/>
      <c r="SLW433" s="134"/>
      <c r="SLX433" s="135"/>
      <c r="SLY433" s="135"/>
      <c r="SLZ433" s="135"/>
      <c r="SMA433" s="135"/>
      <c r="SMB433" s="173"/>
      <c r="SMC433" s="173"/>
      <c r="SMD433" s="173"/>
      <c r="SME433" s="173"/>
      <c r="SMF433" s="173"/>
      <c r="SMG433" s="173"/>
      <c r="SMH433" s="173"/>
      <c r="SMI433" s="173"/>
      <c r="SMJ433" s="173"/>
      <c r="SMK433" s="173"/>
      <c r="SML433" s="125"/>
      <c r="SMM433" s="125"/>
      <c r="SMN433" s="134"/>
      <c r="SMO433" s="135"/>
      <c r="SMP433" s="135"/>
      <c r="SMQ433" s="135"/>
      <c r="SMR433" s="135"/>
      <c r="SMS433" s="173"/>
      <c r="SMT433" s="173"/>
      <c r="SMU433" s="173"/>
      <c r="SMV433" s="173"/>
      <c r="SMW433" s="173"/>
      <c r="SMX433" s="173"/>
      <c r="SMY433" s="173"/>
      <c r="SMZ433" s="173"/>
      <c r="SNA433" s="173"/>
      <c r="SNB433" s="173"/>
      <c r="SNC433" s="125"/>
      <c r="SND433" s="125"/>
      <c r="SNE433" s="134"/>
      <c r="SNF433" s="135"/>
      <c r="SNG433" s="135"/>
      <c r="SNH433" s="135"/>
      <c r="SNI433" s="135"/>
      <c r="SNJ433" s="173"/>
      <c r="SNK433" s="173"/>
      <c r="SNL433" s="173"/>
      <c r="SNM433" s="173"/>
      <c r="SNN433" s="173"/>
      <c r="SNO433" s="173"/>
      <c r="SNP433" s="173"/>
      <c r="SNQ433" s="173"/>
      <c r="SNR433" s="173"/>
      <c r="SNS433" s="173"/>
      <c r="SNT433" s="125"/>
      <c r="SNU433" s="125"/>
      <c r="SNV433" s="134"/>
      <c r="SNW433" s="135"/>
      <c r="SNX433" s="135"/>
      <c r="SNY433" s="135"/>
      <c r="SNZ433" s="135"/>
      <c r="SOA433" s="173"/>
      <c r="SOB433" s="173"/>
      <c r="SOC433" s="173"/>
      <c r="SOD433" s="173"/>
      <c r="SOE433" s="173"/>
      <c r="SOF433" s="173"/>
      <c r="SOG433" s="173"/>
      <c r="SOH433" s="173"/>
      <c r="SOI433" s="173"/>
      <c r="SOJ433" s="173"/>
      <c r="SOK433" s="125"/>
      <c r="SOL433" s="125"/>
      <c r="SOM433" s="134"/>
      <c r="SON433" s="135"/>
      <c r="SOO433" s="135"/>
      <c r="SOP433" s="135"/>
      <c r="SOQ433" s="135"/>
      <c r="SOR433" s="173"/>
      <c r="SOS433" s="173"/>
      <c r="SOT433" s="173"/>
      <c r="SOU433" s="173"/>
      <c r="SOV433" s="173"/>
      <c r="SOW433" s="173"/>
      <c r="SOX433" s="173"/>
      <c r="SOY433" s="173"/>
      <c r="SOZ433" s="173"/>
      <c r="SPA433" s="173"/>
      <c r="SPB433" s="125"/>
      <c r="SPC433" s="125"/>
      <c r="SPD433" s="134"/>
      <c r="SPE433" s="135"/>
      <c r="SPF433" s="135"/>
      <c r="SPG433" s="135"/>
      <c r="SPH433" s="135"/>
      <c r="SPI433" s="173"/>
      <c r="SPJ433" s="173"/>
      <c r="SPK433" s="173"/>
      <c r="SPL433" s="173"/>
      <c r="SPM433" s="173"/>
      <c r="SPN433" s="173"/>
      <c r="SPO433" s="173"/>
      <c r="SPP433" s="173"/>
      <c r="SPQ433" s="173"/>
      <c r="SPR433" s="173"/>
      <c r="SPS433" s="125"/>
      <c r="SPT433" s="125"/>
      <c r="SPU433" s="134"/>
      <c r="SPV433" s="135"/>
      <c r="SPW433" s="135"/>
      <c r="SPX433" s="135"/>
      <c r="SPY433" s="135"/>
      <c r="SPZ433" s="173"/>
      <c r="SQA433" s="173"/>
      <c r="SQB433" s="173"/>
      <c r="SQC433" s="173"/>
      <c r="SQD433" s="173"/>
      <c r="SQE433" s="173"/>
      <c r="SQF433" s="173"/>
      <c r="SQG433" s="173"/>
      <c r="SQH433" s="173"/>
      <c r="SQI433" s="173"/>
      <c r="SQJ433" s="125"/>
      <c r="SQK433" s="125"/>
      <c r="SQL433" s="134"/>
      <c r="SQM433" s="135"/>
      <c r="SQN433" s="135"/>
      <c r="SQO433" s="135"/>
      <c r="SQP433" s="135"/>
      <c r="SQQ433" s="173"/>
      <c r="SQR433" s="173"/>
      <c r="SQS433" s="173"/>
      <c r="SQT433" s="173"/>
      <c r="SQU433" s="173"/>
      <c r="SQV433" s="173"/>
      <c r="SQW433" s="173"/>
      <c r="SQX433" s="173"/>
      <c r="SQY433" s="173"/>
      <c r="SQZ433" s="173"/>
      <c r="SRA433" s="125"/>
      <c r="SRB433" s="125"/>
      <c r="SRC433" s="134"/>
      <c r="SRD433" s="135"/>
      <c r="SRE433" s="135"/>
      <c r="SRF433" s="135"/>
      <c r="SRG433" s="135"/>
      <c r="SRH433" s="173"/>
      <c r="SRI433" s="173"/>
      <c r="SRJ433" s="173"/>
      <c r="SRK433" s="173"/>
      <c r="SRL433" s="173"/>
      <c r="SRM433" s="173"/>
      <c r="SRN433" s="173"/>
      <c r="SRO433" s="173"/>
      <c r="SRP433" s="173"/>
      <c r="SRQ433" s="173"/>
      <c r="SRR433" s="125"/>
      <c r="SRS433" s="125"/>
      <c r="SRT433" s="134"/>
      <c r="SRU433" s="135"/>
      <c r="SRV433" s="135"/>
      <c r="SRW433" s="135"/>
      <c r="SRX433" s="135"/>
      <c r="SRY433" s="173"/>
      <c r="SRZ433" s="173"/>
      <c r="SSA433" s="173"/>
      <c r="SSB433" s="173"/>
      <c r="SSC433" s="173"/>
      <c r="SSD433" s="173"/>
      <c r="SSE433" s="173"/>
      <c r="SSF433" s="173"/>
      <c r="SSG433" s="173"/>
      <c r="SSH433" s="173"/>
      <c r="SSI433" s="125"/>
      <c r="SSJ433" s="125"/>
      <c r="SSK433" s="134"/>
      <c r="SSL433" s="135"/>
      <c r="SSM433" s="135"/>
      <c r="SSN433" s="135"/>
      <c r="SSO433" s="135"/>
      <c r="SSP433" s="173"/>
      <c r="SSQ433" s="173"/>
      <c r="SSR433" s="173"/>
      <c r="SSS433" s="173"/>
      <c r="SST433" s="173"/>
      <c r="SSU433" s="173"/>
      <c r="SSV433" s="173"/>
      <c r="SSW433" s="173"/>
      <c r="SSX433" s="173"/>
      <c r="SSY433" s="173"/>
      <c r="SSZ433" s="125"/>
      <c r="STA433" s="125"/>
      <c r="STB433" s="134"/>
      <c r="STC433" s="135"/>
      <c r="STD433" s="135"/>
      <c r="STE433" s="135"/>
      <c r="STF433" s="135"/>
      <c r="STG433" s="173"/>
      <c r="STH433" s="173"/>
      <c r="STI433" s="173"/>
      <c r="STJ433" s="173"/>
      <c r="STK433" s="173"/>
      <c r="STL433" s="173"/>
      <c r="STM433" s="173"/>
      <c r="STN433" s="173"/>
      <c r="STO433" s="173"/>
      <c r="STP433" s="173"/>
      <c r="STQ433" s="125"/>
      <c r="STR433" s="125"/>
      <c r="STS433" s="134"/>
      <c r="STT433" s="135"/>
      <c r="STU433" s="135"/>
      <c r="STV433" s="135"/>
      <c r="STW433" s="135"/>
      <c r="STX433" s="173"/>
      <c r="STY433" s="173"/>
      <c r="STZ433" s="173"/>
      <c r="SUA433" s="173"/>
      <c r="SUB433" s="173"/>
      <c r="SUC433" s="173"/>
      <c r="SUD433" s="173"/>
      <c r="SUE433" s="173"/>
      <c r="SUF433" s="173"/>
      <c r="SUG433" s="173"/>
      <c r="SUH433" s="125"/>
      <c r="SUI433" s="125"/>
      <c r="SUJ433" s="134"/>
      <c r="SUK433" s="135"/>
      <c r="SUL433" s="135"/>
      <c r="SUM433" s="135"/>
      <c r="SUN433" s="135"/>
      <c r="SUO433" s="173"/>
      <c r="SUP433" s="173"/>
      <c r="SUQ433" s="173"/>
      <c r="SUR433" s="173"/>
      <c r="SUS433" s="173"/>
      <c r="SUT433" s="173"/>
      <c r="SUU433" s="173"/>
      <c r="SUV433" s="173"/>
      <c r="SUW433" s="173"/>
      <c r="SUX433" s="173"/>
      <c r="SUY433" s="125"/>
      <c r="SUZ433" s="125"/>
      <c r="SVA433" s="134"/>
      <c r="SVB433" s="135"/>
      <c r="SVC433" s="135"/>
      <c r="SVD433" s="135"/>
      <c r="SVE433" s="135"/>
      <c r="SVF433" s="173"/>
      <c r="SVG433" s="173"/>
      <c r="SVH433" s="173"/>
      <c r="SVI433" s="173"/>
      <c r="SVJ433" s="173"/>
      <c r="SVK433" s="173"/>
      <c r="SVL433" s="173"/>
      <c r="SVM433" s="173"/>
      <c r="SVN433" s="173"/>
      <c r="SVO433" s="173"/>
      <c r="SVP433" s="125"/>
      <c r="SVQ433" s="125"/>
      <c r="SVR433" s="134"/>
      <c r="SVS433" s="135"/>
      <c r="SVT433" s="135"/>
      <c r="SVU433" s="135"/>
      <c r="SVV433" s="135"/>
      <c r="SVW433" s="173"/>
      <c r="SVX433" s="173"/>
      <c r="SVY433" s="173"/>
      <c r="SVZ433" s="173"/>
      <c r="SWA433" s="173"/>
      <c r="SWB433" s="173"/>
      <c r="SWC433" s="173"/>
      <c r="SWD433" s="173"/>
      <c r="SWE433" s="173"/>
      <c r="SWF433" s="173"/>
      <c r="SWG433" s="125"/>
      <c r="SWH433" s="125"/>
      <c r="SWI433" s="134"/>
      <c r="SWJ433" s="135"/>
      <c r="SWK433" s="135"/>
      <c r="SWL433" s="135"/>
      <c r="SWM433" s="135"/>
      <c r="SWN433" s="173"/>
      <c r="SWO433" s="173"/>
      <c r="SWP433" s="173"/>
      <c r="SWQ433" s="173"/>
      <c r="SWR433" s="173"/>
      <c r="SWS433" s="173"/>
      <c r="SWT433" s="173"/>
      <c r="SWU433" s="173"/>
      <c r="SWV433" s="173"/>
      <c r="SWW433" s="173"/>
      <c r="SWX433" s="125"/>
      <c r="SWY433" s="125"/>
      <c r="SWZ433" s="134"/>
      <c r="SXA433" s="135"/>
      <c r="SXB433" s="135"/>
      <c r="SXC433" s="135"/>
      <c r="SXD433" s="135"/>
      <c r="SXE433" s="173"/>
      <c r="SXF433" s="173"/>
      <c r="SXG433" s="173"/>
      <c r="SXH433" s="173"/>
      <c r="SXI433" s="173"/>
      <c r="SXJ433" s="173"/>
      <c r="SXK433" s="173"/>
      <c r="SXL433" s="173"/>
      <c r="SXM433" s="173"/>
      <c r="SXN433" s="173"/>
      <c r="SXO433" s="125"/>
      <c r="SXP433" s="125"/>
      <c r="SXQ433" s="134"/>
      <c r="SXR433" s="135"/>
      <c r="SXS433" s="135"/>
      <c r="SXT433" s="135"/>
      <c r="SXU433" s="135"/>
      <c r="SXV433" s="173"/>
      <c r="SXW433" s="173"/>
      <c r="SXX433" s="173"/>
      <c r="SXY433" s="173"/>
      <c r="SXZ433" s="173"/>
      <c r="SYA433" s="173"/>
      <c r="SYB433" s="173"/>
      <c r="SYC433" s="173"/>
      <c r="SYD433" s="173"/>
      <c r="SYE433" s="173"/>
      <c r="SYF433" s="125"/>
      <c r="SYG433" s="125"/>
      <c r="SYH433" s="134"/>
      <c r="SYI433" s="135"/>
      <c r="SYJ433" s="135"/>
      <c r="SYK433" s="135"/>
      <c r="SYL433" s="135"/>
      <c r="SYM433" s="173"/>
      <c r="SYN433" s="173"/>
      <c r="SYO433" s="173"/>
      <c r="SYP433" s="173"/>
      <c r="SYQ433" s="173"/>
      <c r="SYR433" s="173"/>
      <c r="SYS433" s="173"/>
      <c r="SYT433" s="173"/>
      <c r="SYU433" s="173"/>
      <c r="SYV433" s="173"/>
      <c r="SYW433" s="125"/>
      <c r="SYX433" s="125"/>
      <c r="SYY433" s="134"/>
      <c r="SYZ433" s="135"/>
      <c r="SZA433" s="135"/>
      <c r="SZB433" s="135"/>
      <c r="SZC433" s="135"/>
      <c r="SZD433" s="173"/>
      <c r="SZE433" s="173"/>
      <c r="SZF433" s="173"/>
      <c r="SZG433" s="173"/>
      <c r="SZH433" s="173"/>
      <c r="SZI433" s="173"/>
      <c r="SZJ433" s="173"/>
      <c r="SZK433" s="173"/>
      <c r="SZL433" s="173"/>
      <c r="SZM433" s="173"/>
      <c r="SZN433" s="125"/>
      <c r="SZO433" s="125"/>
      <c r="SZP433" s="134"/>
      <c r="SZQ433" s="135"/>
      <c r="SZR433" s="135"/>
      <c r="SZS433" s="135"/>
      <c r="SZT433" s="135"/>
      <c r="SZU433" s="173"/>
      <c r="SZV433" s="173"/>
      <c r="SZW433" s="173"/>
      <c r="SZX433" s="173"/>
      <c r="SZY433" s="173"/>
      <c r="SZZ433" s="173"/>
      <c r="TAA433" s="173"/>
      <c r="TAB433" s="173"/>
      <c r="TAC433" s="173"/>
      <c r="TAD433" s="173"/>
      <c r="TAE433" s="125"/>
      <c r="TAF433" s="125"/>
      <c r="TAG433" s="134"/>
      <c r="TAH433" s="135"/>
      <c r="TAI433" s="135"/>
      <c r="TAJ433" s="135"/>
      <c r="TAK433" s="135"/>
      <c r="TAL433" s="173"/>
      <c r="TAM433" s="173"/>
      <c r="TAN433" s="173"/>
      <c r="TAO433" s="173"/>
      <c r="TAP433" s="173"/>
      <c r="TAQ433" s="173"/>
      <c r="TAR433" s="173"/>
      <c r="TAS433" s="173"/>
      <c r="TAT433" s="173"/>
      <c r="TAU433" s="173"/>
      <c r="TAV433" s="125"/>
      <c r="TAW433" s="125"/>
      <c r="TAX433" s="134"/>
      <c r="TAY433" s="135"/>
      <c r="TAZ433" s="135"/>
      <c r="TBA433" s="135"/>
      <c r="TBB433" s="135"/>
      <c r="TBC433" s="173"/>
      <c r="TBD433" s="173"/>
      <c r="TBE433" s="173"/>
      <c r="TBF433" s="173"/>
      <c r="TBG433" s="173"/>
      <c r="TBH433" s="173"/>
      <c r="TBI433" s="173"/>
      <c r="TBJ433" s="173"/>
      <c r="TBK433" s="173"/>
      <c r="TBL433" s="173"/>
      <c r="TBM433" s="125"/>
      <c r="TBN433" s="125"/>
      <c r="TBO433" s="134"/>
      <c r="TBP433" s="135"/>
      <c r="TBQ433" s="135"/>
      <c r="TBR433" s="135"/>
      <c r="TBS433" s="135"/>
      <c r="TBT433" s="173"/>
      <c r="TBU433" s="173"/>
      <c r="TBV433" s="173"/>
      <c r="TBW433" s="173"/>
      <c r="TBX433" s="173"/>
      <c r="TBY433" s="173"/>
      <c r="TBZ433" s="173"/>
      <c r="TCA433" s="173"/>
      <c r="TCB433" s="173"/>
      <c r="TCC433" s="173"/>
      <c r="TCD433" s="125"/>
      <c r="TCE433" s="125"/>
      <c r="TCF433" s="134"/>
      <c r="TCG433" s="135"/>
      <c r="TCH433" s="135"/>
      <c r="TCI433" s="135"/>
      <c r="TCJ433" s="135"/>
      <c r="TCK433" s="173"/>
      <c r="TCL433" s="173"/>
      <c r="TCM433" s="173"/>
      <c r="TCN433" s="173"/>
      <c r="TCO433" s="173"/>
      <c r="TCP433" s="173"/>
      <c r="TCQ433" s="173"/>
      <c r="TCR433" s="173"/>
      <c r="TCS433" s="173"/>
      <c r="TCT433" s="173"/>
      <c r="TCU433" s="125"/>
      <c r="TCV433" s="125"/>
      <c r="TCW433" s="134"/>
      <c r="TCX433" s="135"/>
      <c r="TCY433" s="135"/>
      <c r="TCZ433" s="135"/>
      <c r="TDA433" s="135"/>
      <c r="TDB433" s="173"/>
      <c r="TDC433" s="173"/>
      <c r="TDD433" s="173"/>
      <c r="TDE433" s="173"/>
      <c r="TDF433" s="173"/>
      <c r="TDG433" s="173"/>
      <c r="TDH433" s="173"/>
      <c r="TDI433" s="173"/>
      <c r="TDJ433" s="173"/>
      <c r="TDK433" s="173"/>
      <c r="TDL433" s="125"/>
      <c r="TDM433" s="125"/>
      <c r="TDN433" s="134"/>
      <c r="TDO433" s="135"/>
      <c r="TDP433" s="135"/>
      <c r="TDQ433" s="135"/>
      <c r="TDR433" s="135"/>
      <c r="TDS433" s="173"/>
      <c r="TDT433" s="173"/>
      <c r="TDU433" s="173"/>
      <c r="TDV433" s="173"/>
      <c r="TDW433" s="173"/>
      <c r="TDX433" s="173"/>
      <c r="TDY433" s="173"/>
      <c r="TDZ433" s="173"/>
      <c r="TEA433" s="173"/>
      <c r="TEB433" s="173"/>
      <c r="TEC433" s="125"/>
      <c r="TED433" s="125"/>
      <c r="TEE433" s="134"/>
      <c r="TEF433" s="135"/>
      <c r="TEG433" s="135"/>
      <c r="TEH433" s="135"/>
      <c r="TEI433" s="135"/>
      <c r="TEJ433" s="173"/>
      <c r="TEK433" s="173"/>
      <c r="TEL433" s="173"/>
      <c r="TEM433" s="173"/>
      <c r="TEN433" s="173"/>
      <c r="TEO433" s="173"/>
      <c r="TEP433" s="173"/>
      <c r="TEQ433" s="173"/>
      <c r="TER433" s="173"/>
      <c r="TES433" s="173"/>
      <c r="TET433" s="125"/>
      <c r="TEU433" s="125"/>
      <c r="TEV433" s="134"/>
      <c r="TEW433" s="135"/>
      <c r="TEX433" s="135"/>
      <c r="TEY433" s="135"/>
      <c r="TEZ433" s="135"/>
      <c r="TFA433" s="173"/>
      <c r="TFB433" s="173"/>
      <c r="TFC433" s="173"/>
      <c r="TFD433" s="173"/>
      <c r="TFE433" s="173"/>
      <c r="TFF433" s="173"/>
      <c r="TFG433" s="173"/>
      <c r="TFH433" s="173"/>
      <c r="TFI433" s="173"/>
      <c r="TFJ433" s="173"/>
      <c r="TFK433" s="125"/>
      <c r="TFL433" s="125"/>
      <c r="TFM433" s="134"/>
      <c r="TFN433" s="135"/>
      <c r="TFO433" s="135"/>
      <c r="TFP433" s="135"/>
      <c r="TFQ433" s="135"/>
      <c r="TFR433" s="173"/>
      <c r="TFS433" s="173"/>
      <c r="TFT433" s="173"/>
      <c r="TFU433" s="173"/>
      <c r="TFV433" s="173"/>
      <c r="TFW433" s="173"/>
      <c r="TFX433" s="173"/>
      <c r="TFY433" s="173"/>
      <c r="TFZ433" s="173"/>
      <c r="TGA433" s="173"/>
      <c r="TGB433" s="125"/>
      <c r="TGC433" s="125"/>
      <c r="TGD433" s="134"/>
      <c r="TGE433" s="135"/>
      <c r="TGF433" s="135"/>
      <c r="TGG433" s="135"/>
      <c r="TGH433" s="135"/>
      <c r="TGI433" s="173"/>
      <c r="TGJ433" s="173"/>
      <c r="TGK433" s="173"/>
      <c r="TGL433" s="173"/>
      <c r="TGM433" s="173"/>
      <c r="TGN433" s="173"/>
      <c r="TGO433" s="173"/>
      <c r="TGP433" s="173"/>
      <c r="TGQ433" s="173"/>
      <c r="TGR433" s="173"/>
      <c r="TGS433" s="125"/>
      <c r="TGT433" s="125"/>
      <c r="TGU433" s="134"/>
      <c r="TGV433" s="135"/>
      <c r="TGW433" s="135"/>
      <c r="TGX433" s="135"/>
      <c r="TGY433" s="135"/>
      <c r="TGZ433" s="173"/>
      <c r="THA433" s="173"/>
      <c r="THB433" s="173"/>
      <c r="THC433" s="173"/>
      <c r="THD433" s="173"/>
      <c r="THE433" s="173"/>
      <c r="THF433" s="173"/>
      <c r="THG433" s="173"/>
      <c r="THH433" s="173"/>
      <c r="THI433" s="173"/>
      <c r="THJ433" s="125"/>
      <c r="THK433" s="125"/>
      <c r="THL433" s="134"/>
      <c r="THM433" s="135"/>
      <c r="THN433" s="135"/>
      <c r="THO433" s="135"/>
      <c r="THP433" s="135"/>
      <c r="THQ433" s="173"/>
      <c r="THR433" s="173"/>
      <c r="THS433" s="173"/>
      <c r="THT433" s="173"/>
      <c r="THU433" s="173"/>
      <c r="THV433" s="173"/>
      <c r="THW433" s="173"/>
      <c r="THX433" s="173"/>
      <c r="THY433" s="173"/>
      <c r="THZ433" s="173"/>
      <c r="TIA433" s="125"/>
      <c r="TIB433" s="125"/>
      <c r="TIC433" s="134"/>
      <c r="TID433" s="135"/>
      <c r="TIE433" s="135"/>
      <c r="TIF433" s="135"/>
      <c r="TIG433" s="135"/>
      <c r="TIH433" s="173"/>
      <c r="TII433" s="173"/>
      <c r="TIJ433" s="173"/>
      <c r="TIK433" s="173"/>
      <c r="TIL433" s="173"/>
      <c r="TIM433" s="173"/>
      <c r="TIN433" s="173"/>
      <c r="TIO433" s="173"/>
      <c r="TIP433" s="173"/>
      <c r="TIQ433" s="173"/>
      <c r="TIR433" s="125"/>
      <c r="TIS433" s="125"/>
      <c r="TIT433" s="134"/>
      <c r="TIU433" s="135"/>
      <c r="TIV433" s="135"/>
      <c r="TIW433" s="135"/>
      <c r="TIX433" s="135"/>
      <c r="TIY433" s="173"/>
      <c r="TIZ433" s="173"/>
      <c r="TJA433" s="173"/>
      <c r="TJB433" s="173"/>
      <c r="TJC433" s="173"/>
      <c r="TJD433" s="173"/>
      <c r="TJE433" s="173"/>
      <c r="TJF433" s="173"/>
      <c r="TJG433" s="173"/>
      <c r="TJH433" s="173"/>
      <c r="TJI433" s="125"/>
      <c r="TJJ433" s="125"/>
      <c r="TJK433" s="134"/>
      <c r="TJL433" s="135"/>
      <c r="TJM433" s="135"/>
      <c r="TJN433" s="135"/>
      <c r="TJO433" s="135"/>
      <c r="TJP433" s="173"/>
      <c r="TJQ433" s="173"/>
      <c r="TJR433" s="173"/>
      <c r="TJS433" s="173"/>
      <c r="TJT433" s="173"/>
      <c r="TJU433" s="173"/>
      <c r="TJV433" s="173"/>
      <c r="TJW433" s="173"/>
      <c r="TJX433" s="173"/>
      <c r="TJY433" s="173"/>
      <c r="TJZ433" s="125"/>
      <c r="TKA433" s="125"/>
      <c r="TKB433" s="134"/>
      <c r="TKC433" s="135"/>
      <c r="TKD433" s="135"/>
      <c r="TKE433" s="135"/>
      <c r="TKF433" s="135"/>
      <c r="TKG433" s="173"/>
      <c r="TKH433" s="173"/>
      <c r="TKI433" s="173"/>
      <c r="TKJ433" s="173"/>
      <c r="TKK433" s="173"/>
      <c r="TKL433" s="173"/>
      <c r="TKM433" s="173"/>
      <c r="TKN433" s="173"/>
      <c r="TKO433" s="173"/>
      <c r="TKP433" s="173"/>
      <c r="TKQ433" s="125"/>
      <c r="TKR433" s="125"/>
      <c r="TKS433" s="134"/>
      <c r="TKT433" s="135"/>
      <c r="TKU433" s="135"/>
      <c r="TKV433" s="135"/>
      <c r="TKW433" s="135"/>
      <c r="TKX433" s="173"/>
      <c r="TKY433" s="173"/>
      <c r="TKZ433" s="173"/>
      <c r="TLA433" s="173"/>
      <c r="TLB433" s="173"/>
      <c r="TLC433" s="173"/>
      <c r="TLD433" s="173"/>
      <c r="TLE433" s="173"/>
      <c r="TLF433" s="173"/>
      <c r="TLG433" s="173"/>
      <c r="TLH433" s="125"/>
      <c r="TLI433" s="125"/>
      <c r="TLJ433" s="134"/>
      <c r="TLK433" s="135"/>
      <c r="TLL433" s="135"/>
      <c r="TLM433" s="135"/>
      <c r="TLN433" s="135"/>
      <c r="TLO433" s="173"/>
      <c r="TLP433" s="173"/>
      <c r="TLQ433" s="173"/>
      <c r="TLR433" s="173"/>
      <c r="TLS433" s="173"/>
      <c r="TLT433" s="173"/>
      <c r="TLU433" s="173"/>
      <c r="TLV433" s="173"/>
      <c r="TLW433" s="173"/>
      <c r="TLX433" s="173"/>
      <c r="TLY433" s="125"/>
      <c r="TLZ433" s="125"/>
      <c r="TMA433" s="134"/>
      <c r="TMB433" s="135"/>
      <c r="TMC433" s="135"/>
      <c r="TMD433" s="135"/>
      <c r="TME433" s="135"/>
      <c r="TMF433" s="173"/>
      <c r="TMG433" s="173"/>
      <c r="TMH433" s="173"/>
      <c r="TMI433" s="173"/>
      <c r="TMJ433" s="173"/>
      <c r="TMK433" s="173"/>
      <c r="TML433" s="173"/>
      <c r="TMM433" s="173"/>
      <c r="TMN433" s="173"/>
      <c r="TMO433" s="173"/>
      <c r="TMP433" s="125"/>
      <c r="TMQ433" s="125"/>
      <c r="TMR433" s="134"/>
      <c r="TMS433" s="135"/>
      <c r="TMT433" s="135"/>
      <c r="TMU433" s="135"/>
      <c r="TMV433" s="135"/>
      <c r="TMW433" s="173"/>
      <c r="TMX433" s="173"/>
      <c r="TMY433" s="173"/>
      <c r="TMZ433" s="173"/>
      <c r="TNA433" s="173"/>
      <c r="TNB433" s="173"/>
      <c r="TNC433" s="173"/>
      <c r="TND433" s="173"/>
      <c r="TNE433" s="173"/>
      <c r="TNF433" s="173"/>
      <c r="TNG433" s="125"/>
      <c r="TNH433" s="125"/>
      <c r="TNI433" s="134"/>
      <c r="TNJ433" s="135"/>
      <c r="TNK433" s="135"/>
      <c r="TNL433" s="135"/>
      <c r="TNM433" s="135"/>
      <c r="TNN433" s="173"/>
      <c r="TNO433" s="173"/>
      <c r="TNP433" s="173"/>
      <c r="TNQ433" s="173"/>
      <c r="TNR433" s="173"/>
      <c r="TNS433" s="173"/>
      <c r="TNT433" s="173"/>
      <c r="TNU433" s="173"/>
      <c r="TNV433" s="173"/>
      <c r="TNW433" s="173"/>
      <c r="TNX433" s="125"/>
      <c r="TNY433" s="125"/>
      <c r="TNZ433" s="134"/>
      <c r="TOA433" s="135"/>
      <c r="TOB433" s="135"/>
      <c r="TOC433" s="135"/>
      <c r="TOD433" s="135"/>
      <c r="TOE433" s="173"/>
      <c r="TOF433" s="173"/>
      <c r="TOG433" s="173"/>
      <c r="TOH433" s="173"/>
      <c r="TOI433" s="173"/>
      <c r="TOJ433" s="173"/>
      <c r="TOK433" s="173"/>
      <c r="TOL433" s="173"/>
      <c r="TOM433" s="173"/>
      <c r="TON433" s="173"/>
      <c r="TOO433" s="125"/>
      <c r="TOP433" s="125"/>
      <c r="TOQ433" s="134"/>
      <c r="TOR433" s="135"/>
      <c r="TOS433" s="135"/>
      <c r="TOT433" s="135"/>
      <c r="TOU433" s="135"/>
      <c r="TOV433" s="173"/>
      <c r="TOW433" s="173"/>
      <c r="TOX433" s="173"/>
      <c r="TOY433" s="173"/>
      <c r="TOZ433" s="173"/>
      <c r="TPA433" s="173"/>
      <c r="TPB433" s="173"/>
      <c r="TPC433" s="173"/>
      <c r="TPD433" s="173"/>
      <c r="TPE433" s="173"/>
      <c r="TPF433" s="125"/>
      <c r="TPG433" s="125"/>
      <c r="TPH433" s="134"/>
      <c r="TPI433" s="135"/>
      <c r="TPJ433" s="135"/>
      <c r="TPK433" s="135"/>
      <c r="TPL433" s="135"/>
      <c r="TPM433" s="173"/>
      <c r="TPN433" s="173"/>
      <c r="TPO433" s="173"/>
      <c r="TPP433" s="173"/>
      <c r="TPQ433" s="173"/>
      <c r="TPR433" s="173"/>
      <c r="TPS433" s="173"/>
      <c r="TPT433" s="173"/>
      <c r="TPU433" s="173"/>
      <c r="TPV433" s="173"/>
      <c r="TPW433" s="125"/>
      <c r="TPX433" s="125"/>
      <c r="TPY433" s="134"/>
      <c r="TPZ433" s="135"/>
      <c r="TQA433" s="135"/>
      <c r="TQB433" s="135"/>
      <c r="TQC433" s="135"/>
      <c r="TQD433" s="173"/>
      <c r="TQE433" s="173"/>
      <c r="TQF433" s="173"/>
      <c r="TQG433" s="173"/>
      <c r="TQH433" s="173"/>
      <c r="TQI433" s="173"/>
      <c r="TQJ433" s="173"/>
      <c r="TQK433" s="173"/>
      <c r="TQL433" s="173"/>
      <c r="TQM433" s="173"/>
      <c r="TQN433" s="125"/>
      <c r="TQO433" s="125"/>
      <c r="TQP433" s="134"/>
      <c r="TQQ433" s="135"/>
      <c r="TQR433" s="135"/>
      <c r="TQS433" s="135"/>
      <c r="TQT433" s="135"/>
      <c r="TQU433" s="173"/>
      <c r="TQV433" s="173"/>
      <c r="TQW433" s="173"/>
      <c r="TQX433" s="173"/>
      <c r="TQY433" s="173"/>
      <c r="TQZ433" s="173"/>
      <c r="TRA433" s="173"/>
      <c r="TRB433" s="173"/>
      <c r="TRC433" s="173"/>
      <c r="TRD433" s="173"/>
      <c r="TRE433" s="125"/>
      <c r="TRF433" s="125"/>
      <c r="TRG433" s="134"/>
      <c r="TRH433" s="135"/>
      <c r="TRI433" s="135"/>
      <c r="TRJ433" s="135"/>
      <c r="TRK433" s="135"/>
      <c r="TRL433" s="173"/>
      <c r="TRM433" s="173"/>
      <c r="TRN433" s="173"/>
      <c r="TRO433" s="173"/>
      <c r="TRP433" s="173"/>
      <c r="TRQ433" s="173"/>
      <c r="TRR433" s="173"/>
      <c r="TRS433" s="173"/>
      <c r="TRT433" s="173"/>
      <c r="TRU433" s="173"/>
      <c r="TRV433" s="125"/>
      <c r="TRW433" s="125"/>
      <c r="TRX433" s="134"/>
      <c r="TRY433" s="135"/>
      <c r="TRZ433" s="135"/>
      <c r="TSA433" s="135"/>
      <c r="TSB433" s="135"/>
      <c r="TSC433" s="173"/>
      <c r="TSD433" s="173"/>
      <c r="TSE433" s="173"/>
      <c r="TSF433" s="173"/>
      <c r="TSG433" s="173"/>
      <c r="TSH433" s="173"/>
      <c r="TSI433" s="173"/>
      <c r="TSJ433" s="173"/>
      <c r="TSK433" s="173"/>
      <c r="TSL433" s="173"/>
      <c r="TSM433" s="125"/>
      <c r="TSN433" s="125"/>
      <c r="TSO433" s="134"/>
      <c r="TSP433" s="135"/>
      <c r="TSQ433" s="135"/>
      <c r="TSR433" s="135"/>
      <c r="TSS433" s="135"/>
      <c r="TST433" s="173"/>
      <c r="TSU433" s="173"/>
      <c r="TSV433" s="173"/>
      <c r="TSW433" s="173"/>
      <c r="TSX433" s="173"/>
      <c r="TSY433" s="173"/>
      <c r="TSZ433" s="173"/>
      <c r="TTA433" s="173"/>
      <c r="TTB433" s="173"/>
      <c r="TTC433" s="173"/>
      <c r="TTD433" s="125"/>
      <c r="TTE433" s="125"/>
      <c r="TTF433" s="134"/>
      <c r="TTG433" s="135"/>
      <c r="TTH433" s="135"/>
      <c r="TTI433" s="135"/>
      <c r="TTJ433" s="135"/>
      <c r="TTK433" s="173"/>
      <c r="TTL433" s="173"/>
      <c r="TTM433" s="173"/>
      <c r="TTN433" s="173"/>
      <c r="TTO433" s="173"/>
      <c r="TTP433" s="173"/>
      <c r="TTQ433" s="173"/>
      <c r="TTR433" s="173"/>
      <c r="TTS433" s="173"/>
      <c r="TTT433" s="173"/>
      <c r="TTU433" s="125"/>
      <c r="TTV433" s="125"/>
      <c r="TTW433" s="134"/>
      <c r="TTX433" s="135"/>
      <c r="TTY433" s="135"/>
      <c r="TTZ433" s="135"/>
      <c r="TUA433" s="135"/>
      <c r="TUB433" s="173"/>
      <c r="TUC433" s="173"/>
      <c r="TUD433" s="173"/>
      <c r="TUE433" s="173"/>
      <c r="TUF433" s="173"/>
      <c r="TUG433" s="173"/>
      <c r="TUH433" s="173"/>
      <c r="TUI433" s="173"/>
      <c r="TUJ433" s="173"/>
      <c r="TUK433" s="173"/>
      <c r="TUL433" s="125"/>
      <c r="TUM433" s="125"/>
      <c r="TUN433" s="134"/>
      <c r="TUO433" s="135"/>
      <c r="TUP433" s="135"/>
      <c r="TUQ433" s="135"/>
      <c r="TUR433" s="135"/>
      <c r="TUS433" s="173"/>
      <c r="TUT433" s="173"/>
      <c r="TUU433" s="173"/>
      <c r="TUV433" s="173"/>
      <c r="TUW433" s="173"/>
      <c r="TUX433" s="173"/>
      <c r="TUY433" s="173"/>
      <c r="TUZ433" s="173"/>
      <c r="TVA433" s="173"/>
      <c r="TVB433" s="173"/>
      <c r="TVC433" s="125"/>
      <c r="TVD433" s="125"/>
      <c r="TVE433" s="134"/>
      <c r="TVF433" s="135"/>
      <c r="TVG433" s="135"/>
      <c r="TVH433" s="135"/>
      <c r="TVI433" s="135"/>
      <c r="TVJ433" s="173"/>
      <c r="TVK433" s="173"/>
      <c r="TVL433" s="173"/>
      <c r="TVM433" s="173"/>
      <c r="TVN433" s="173"/>
      <c r="TVO433" s="173"/>
      <c r="TVP433" s="173"/>
      <c r="TVQ433" s="173"/>
      <c r="TVR433" s="173"/>
      <c r="TVS433" s="173"/>
      <c r="TVT433" s="125"/>
      <c r="TVU433" s="125"/>
      <c r="TVV433" s="134"/>
      <c r="TVW433" s="135"/>
      <c r="TVX433" s="135"/>
      <c r="TVY433" s="135"/>
      <c r="TVZ433" s="135"/>
      <c r="TWA433" s="173"/>
      <c r="TWB433" s="173"/>
      <c r="TWC433" s="173"/>
      <c r="TWD433" s="173"/>
      <c r="TWE433" s="173"/>
      <c r="TWF433" s="173"/>
      <c r="TWG433" s="173"/>
      <c r="TWH433" s="173"/>
      <c r="TWI433" s="173"/>
      <c r="TWJ433" s="173"/>
      <c r="TWK433" s="125"/>
      <c r="TWL433" s="125"/>
      <c r="TWM433" s="134"/>
      <c r="TWN433" s="135"/>
      <c r="TWO433" s="135"/>
      <c r="TWP433" s="135"/>
      <c r="TWQ433" s="135"/>
      <c r="TWR433" s="173"/>
      <c r="TWS433" s="173"/>
      <c r="TWT433" s="173"/>
      <c r="TWU433" s="173"/>
      <c r="TWV433" s="173"/>
      <c r="TWW433" s="173"/>
      <c r="TWX433" s="173"/>
      <c r="TWY433" s="173"/>
      <c r="TWZ433" s="173"/>
      <c r="TXA433" s="173"/>
      <c r="TXB433" s="125"/>
      <c r="TXC433" s="125"/>
      <c r="TXD433" s="134"/>
      <c r="TXE433" s="135"/>
      <c r="TXF433" s="135"/>
      <c r="TXG433" s="135"/>
      <c r="TXH433" s="135"/>
      <c r="TXI433" s="173"/>
      <c r="TXJ433" s="173"/>
      <c r="TXK433" s="173"/>
      <c r="TXL433" s="173"/>
      <c r="TXM433" s="173"/>
      <c r="TXN433" s="173"/>
      <c r="TXO433" s="173"/>
      <c r="TXP433" s="173"/>
      <c r="TXQ433" s="173"/>
      <c r="TXR433" s="173"/>
      <c r="TXS433" s="125"/>
      <c r="TXT433" s="125"/>
      <c r="TXU433" s="134"/>
      <c r="TXV433" s="135"/>
      <c r="TXW433" s="135"/>
      <c r="TXX433" s="135"/>
      <c r="TXY433" s="135"/>
      <c r="TXZ433" s="173"/>
      <c r="TYA433" s="173"/>
      <c r="TYB433" s="173"/>
      <c r="TYC433" s="173"/>
      <c r="TYD433" s="173"/>
      <c r="TYE433" s="173"/>
      <c r="TYF433" s="173"/>
      <c r="TYG433" s="173"/>
      <c r="TYH433" s="173"/>
      <c r="TYI433" s="173"/>
      <c r="TYJ433" s="125"/>
      <c r="TYK433" s="125"/>
      <c r="TYL433" s="134"/>
      <c r="TYM433" s="135"/>
      <c r="TYN433" s="135"/>
      <c r="TYO433" s="135"/>
      <c r="TYP433" s="135"/>
      <c r="TYQ433" s="173"/>
      <c r="TYR433" s="173"/>
      <c r="TYS433" s="173"/>
      <c r="TYT433" s="173"/>
      <c r="TYU433" s="173"/>
      <c r="TYV433" s="173"/>
      <c r="TYW433" s="173"/>
      <c r="TYX433" s="173"/>
      <c r="TYY433" s="173"/>
      <c r="TYZ433" s="173"/>
      <c r="TZA433" s="125"/>
      <c r="TZB433" s="125"/>
      <c r="TZC433" s="134"/>
      <c r="TZD433" s="135"/>
      <c r="TZE433" s="135"/>
      <c r="TZF433" s="135"/>
      <c r="TZG433" s="135"/>
      <c r="TZH433" s="173"/>
      <c r="TZI433" s="173"/>
      <c r="TZJ433" s="173"/>
      <c r="TZK433" s="173"/>
      <c r="TZL433" s="173"/>
      <c r="TZM433" s="173"/>
      <c r="TZN433" s="173"/>
      <c r="TZO433" s="173"/>
      <c r="TZP433" s="173"/>
      <c r="TZQ433" s="173"/>
      <c r="TZR433" s="125"/>
      <c r="TZS433" s="125"/>
      <c r="TZT433" s="134"/>
      <c r="TZU433" s="135"/>
      <c r="TZV433" s="135"/>
      <c r="TZW433" s="135"/>
      <c r="TZX433" s="135"/>
      <c r="TZY433" s="173"/>
      <c r="TZZ433" s="173"/>
      <c r="UAA433" s="173"/>
      <c r="UAB433" s="173"/>
      <c r="UAC433" s="173"/>
      <c r="UAD433" s="173"/>
      <c r="UAE433" s="173"/>
      <c r="UAF433" s="173"/>
      <c r="UAG433" s="173"/>
      <c r="UAH433" s="173"/>
      <c r="UAI433" s="125"/>
      <c r="UAJ433" s="125"/>
      <c r="UAK433" s="134"/>
      <c r="UAL433" s="135"/>
      <c r="UAM433" s="135"/>
      <c r="UAN433" s="135"/>
      <c r="UAO433" s="135"/>
      <c r="UAP433" s="173"/>
      <c r="UAQ433" s="173"/>
      <c r="UAR433" s="173"/>
      <c r="UAS433" s="173"/>
      <c r="UAT433" s="173"/>
      <c r="UAU433" s="173"/>
      <c r="UAV433" s="173"/>
      <c r="UAW433" s="173"/>
      <c r="UAX433" s="173"/>
      <c r="UAY433" s="173"/>
      <c r="UAZ433" s="125"/>
      <c r="UBA433" s="125"/>
      <c r="UBB433" s="134"/>
      <c r="UBC433" s="135"/>
      <c r="UBD433" s="135"/>
      <c r="UBE433" s="135"/>
      <c r="UBF433" s="135"/>
      <c r="UBG433" s="173"/>
      <c r="UBH433" s="173"/>
      <c r="UBI433" s="173"/>
      <c r="UBJ433" s="173"/>
      <c r="UBK433" s="173"/>
      <c r="UBL433" s="173"/>
      <c r="UBM433" s="173"/>
      <c r="UBN433" s="173"/>
      <c r="UBO433" s="173"/>
      <c r="UBP433" s="173"/>
      <c r="UBQ433" s="125"/>
      <c r="UBR433" s="125"/>
      <c r="UBS433" s="134"/>
      <c r="UBT433" s="135"/>
      <c r="UBU433" s="135"/>
      <c r="UBV433" s="135"/>
      <c r="UBW433" s="135"/>
      <c r="UBX433" s="173"/>
      <c r="UBY433" s="173"/>
      <c r="UBZ433" s="173"/>
      <c r="UCA433" s="173"/>
      <c r="UCB433" s="173"/>
      <c r="UCC433" s="173"/>
      <c r="UCD433" s="173"/>
      <c r="UCE433" s="173"/>
      <c r="UCF433" s="173"/>
      <c r="UCG433" s="173"/>
      <c r="UCH433" s="125"/>
      <c r="UCI433" s="125"/>
      <c r="UCJ433" s="134"/>
      <c r="UCK433" s="135"/>
      <c r="UCL433" s="135"/>
      <c r="UCM433" s="135"/>
      <c r="UCN433" s="135"/>
      <c r="UCO433" s="173"/>
      <c r="UCP433" s="173"/>
      <c r="UCQ433" s="173"/>
      <c r="UCR433" s="173"/>
      <c r="UCS433" s="173"/>
      <c r="UCT433" s="173"/>
      <c r="UCU433" s="173"/>
      <c r="UCV433" s="173"/>
      <c r="UCW433" s="173"/>
      <c r="UCX433" s="173"/>
      <c r="UCY433" s="125"/>
      <c r="UCZ433" s="125"/>
      <c r="UDA433" s="134"/>
      <c r="UDB433" s="135"/>
      <c r="UDC433" s="135"/>
      <c r="UDD433" s="135"/>
      <c r="UDE433" s="135"/>
      <c r="UDF433" s="173"/>
      <c r="UDG433" s="173"/>
      <c r="UDH433" s="173"/>
      <c r="UDI433" s="173"/>
      <c r="UDJ433" s="173"/>
      <c r="UDK433" s="173"/>
      <c r="UDL433" s="173"/>
      <c r="UDM433" s="173"/>
      <c r="UDN433" s="173"/>
      <c r="UDO433" s="173"/>
      <c r="UDP433" s="125"/>
      <c r="UDQ433" s="125"/>
      <c r="UDR433" s="134"/>
      <c r="UDS433" s="135"/>
      <c r="UDT433" s="135"/>
      <c r="UDU433" s="135"/>
      <c r="UDV433" s="135"/>
      <c r="UDW433" s="173"/>
      <c r="UDX433" s="173"/>
      <c r="UDY433" s="173"/>
      <c r="UDZ433" s="173"/>
      <c r="UEA433" s="173"/>
      <c r="UEB433" s="173"/>
      <c r="UEC433" s="173"/>
      <c r="UED433" s="173"/>
      <c r="UEE433" s="173"/>
      <c r="UEF433" s="173"/>
      <c r="UEG433" s="125"/>
      <c r="UEH433" s="125"/>
      <c r="UEI433" s="134"/>
      <c r="UEJ433" s="135"/>
      <c r="UEK433" s="135"/>
      <c r="UEL433" s="135"/>
      <c r="UEM433" s="135"/>
      <c r="UEN433" s="173"/>
      <c r="UEO433" s="173"/>
      <c r="UEP433" s="173"/>
      <c r="UEQ433" s="173"/>
      <c r="UER433" s="173"/>
      <c r="UES433" s="173"/>
      <c r="UET433" s="173"/>
      <c r="UEU433" s="173"/>
      <c r="UEV433" s="173"/>
      <c r="UEW433" s="173"/>
      <c r="UEX433" s="125"/>
      <c r="UEY433" s="125"/>
      <c r="UEZ433" s="134"/>
      <c r="UFA433" s="135"/>
      <c r="UFB433" s="135"/>
      <c r="UFC433" s="135"/>
      <c r="UFD433" s="135"/>
      <c r="UFE433" s="173"/>
      <c r="UFF433" s="173"/>
      <c r="UFG433" s="173"/>
      <c r="UFH433" s="173"/>
      <c r="UFI433" s="173"/>
      <c r="UFJ433" s="173"/>
      <c r="UFK433" s="173"/>
      <c r="UFL433" s="173"/>
      <c r="UFM433" s="173"/>
      <c r="UFN433" s="173"/>
      <c r="UFO433" s="125"/>
      <c r="UFP433" s="125"/>
      <c r="UFQ433" s="134"/>
      <c r="UFR433" s="135"/>
      <c r="UFS433" s="135"/>
      <c r="UFT433" s="135"/>
      <c r="UFU433" s="135"/>
      <c r="UFV433" s="173"/>
      <c r="UFW433" s="173"/>
      <c r="UFX433" s="173"/>
      <c r="UFY433" s="173"/>
      <c r="UFZ433" s="173"/>
      <c r="UGA433" s="173"/>
      <c r="UGB433" s="173"/>
      <c r="UGC433" s="173"/>
      <c r="UGD433" s="173"/>
      <c r="UGE433" s="173"/>
      <c r="UGF433" s="125"/>
      <c r="UGG433" s="125"/>
      <c r="UGH433" s="134"/>
      <c r="UGI433" s="135"/>
      <c r="UGJ433" s="135"/>
      <c r="UGK433" s="135"/>
      <c r="UGL433" s="135"/>
      <c r="UGM433" s="173"/>
      <c r="UGN433" s="173"/>
      <c r="UGO433" s="173"/>
      <c r="UGP433" s="173"/>
      <c r="UGQ433" s="173"/>
      <c r="UGR433" s="173"/>
      <c r="UGS433" s="173"/>
      <c r="UGT433" s="173"/>
      <c r="UGU433" s="173"/>
      <c r="UGV433" s="173"/>
      <c r="UGW433" s="125"/>
      <c r="UGX433" s="125"/>
      <c r="UGY433" s="134"/>
      <c r="UGZ433" s="135"/>
      <c r="UHA433" s="135"/>
      <c r="UHB433" s="135"/>
      <c r="UHC433" s="135"/>
      <c r="UHD433" s="173"/>
      <c r="UHE433" s="173"/>
      <c r="UHF433" s="173"/>
      <c r="UHG433" s="173"/>
      <c r="UHH433" s="173"/>
      <c r="UHI433" s="173"/>
      <c r="UHJ433" s="173"/>
      <c r="UHK433" s="173"/>
      <c r="UHL433" s="173"/>
      <c r="UHM433" s="173"/>
      <c r="UHN433" s="125"/>
      <c r="UHO433" s="125"/>
      <c r="UHP433" s="134"/>
      <c r="UHQ433" s="135"/>
      <c r="UHR433" s="135"/>
      <c r="UHS433" s="135"/>
      <c r="UHT433" s="135"/>
      <c r="UHU433" s="173"/>
      <c r="UHV433" s="173"/>
      <c r="UHW433" s="173"/>
      <c r="UHX433" s="173"/>
      <c r="UHY433" s="173"/>
      <c r="UHZ433" s="173"/>
      <c r="UIA433" s="173"/>
      <c r="UIB433" s="173"/>
      <c r="UIC433" s="173"/>
      <c r="UID433" s="173"/>
      <c r="UIE433" s="125"/>
      <c r="UIF433" s="125"/>
      <c r="UIG433" s="134"/>
      <c r="UIH433" s="135"/>
      <c r="UII433" s="135"/>
      <c r="UIJ433" s="135"/>
      <c r="UIK433" s="135"/>
      <c r="UIL433" s="173"/>
      <c r="UIM433" s="173"/>
      <c r="UIN433" s="173"/>
      <c r="UIO433" s="173"/>
      <c r="UIP433" s="173"/>
      <c r="UIQ433" s="173"/>
      <c r="UIR433" s="173"/>
      <c r="UIS433" s="173"/>
      <c r="UIT433" s="173"/>
      <c r="UIU433" s="173"/>
      <c r="UIV433" s="125"/>
      <c r="UIW433" s="125"/>
      <c r="UIX433" s="134"/>
      <c r="UIY433" s="135"/>
      <c r="UIZ433" s="135"/>
      <c r="UJA433" s="135"/>
      <c r="UJB433" s="135"/>
      <c r="UJC433" s="173"/>
      <c r="UJD433" s="173"/>
      <c r="UJE433" s="173"/>
      <c r="UJF433" s="173"/>
      <c r="UJG433" s="173"/>
      <c r="UJH433" s="173"/>
      <c r="UJI433" s="173"/>
      <c r="UJJ433" s="173"/>
      <c r="UJK433" s="173"/>
      <c r="UJL433" s="173"/>
      <c r="UJM433" s="125"/>
      <c r="UJN433" s="125"/>
      <c r="UJO433" s="134"/>
      <c r="UJP433" s="135"/>
      <c r="UJQ433" s="135"/>
      <c r="UJR433" s="135"/>
      <c r="UJS433" s="135"/>
      <c r="UJT433" s="173"/>
      <c r="UJU433" s="173"/>
      <c r="UJV433" s="173"/>
      <c r="UJW433" s="173"/>
      <c r="UJX433" s="173"/>
      <c r="UJY433" s="173"/>
      <c r="UJZ433" s="173"/>
      <c r="UKA433" s="173"/>
      <c r="UKB433" s="173"/>
      <c r="UKC433" s="173"/>
      <c r="UKD433" s="125"/>
      <c r="UKE433" s="125"/>
      <c r="UKF433" s="134"/>
      <c r="UKG433" s="135"/>
      <c r="UKH433" s="135"/>
      <c r="UKI433" s="135"/>
      <c r="UKJ433" s="135"/>
      <c r="UKK433" s="173"/>
      <c r="UKL433" s="173"/>
      <c r="UKM433" s="173"/>
      <c r="UKN433" s="173"/>
      <c r="UKO433" s="173"/>
      <c r="UKP433" s="173"/>
      <c r="UKQ433" s="173"/>
      <c r="UKR433" s="173"/>
      <c r="UKS433" s="173"/>
      <c r="UKT433" s="173"/>
      <c r="UKU433" s="125"/>
      <c r="UKV433" s="125"/>
      <c r="UKW433" s="134"/>
      <c r="UKX433" s="135"/>
      <c r="UKY433" s="135"/>
      <c r="UKZ433" s="135"/>
      <c r="ULA433" s="135"/>
      <c r="ULB433" s="173"/>
      <c r="ULC433" s="173"/>
      <c r="ULD433" s="173"/>
      <c r="ULE433" s="173"/>
      <c r="ULF433" s="173"/>
      <c r="ULG433" s="173"/>
      <c r="ULH433" s="173"/>
      <c r="ULI433" s="173"/>
      <c r="ULJ433" s="173"/>
      <c r="ULK433" s="173"/>
      <c r="ULL433" s="125"/>
      <c r="ULM433" s="125"/>
      <c r="ULN433" s="134"/>
      <c r="ULO433" s="135"/>
      <c r="ULP433" s="135"/>
      <c r="ULQ433" s="135"/>
      <c r="ULR433" s="135"/>
      <c r="ULS433" s="173"/>
      <c r="ULT433" s="173"/>
      <c r="ULU433" s="173"/>
      <c r="ULV433" s="173"/>
      <c r="ULW433" s="173"/>
      <c r="ULX433" s="173"/>
      <c r="ULY433" s="173"/>
      <c r="ULZ433" s="173"/>
      <c r="UMA433" s="173"/>
      <c r="UMB433" s="173"/>
      <c r="UMC433" s="125"/>
      <c r="UMD433" s="125"/>
      <c r="UME433" s="134"/>
      <c r="UMF433" s="135"/>
      <c r="UMG433" s="135"/>
      <c r="UMH433" s="135"/>
      <c r="UMI433" s="135"/>
      <c r="UMJ433" s="173"/>
      <c r="UMK433" s="173"/>
      <c r="UML433" s="173"/>
      <c r="UMM433" s="173"/>
      <c r="UMN433" s="173"/>
      <c r="UMO433" s="173"/>
      <c r="UMP433" s="173"/>
      <c r="UMQ433" s="173"/>
      <c r="UMR433" s="173"/>
      <c r="UMS433" s="173"/>
      <c r="UMT433" s="125"/>
      <c r="UMU433" s="125"/>
      <c r="UMV433" s="134"/>
      <c r="UMW433" s="135"/>
      <c r="UMX433" s="135"/>
      <c r="UMY433" s="135"/>
      <c r="UMZ433" s="135"/>
      <c r="UNA433" s="173"/>
      <c r="UNB433" s="173"/>
      <c r="UNC433" s="173"/>
      <c r="UND433" s="173"/>
      <c r="UNE433" s="173"/>
      <c r="UNF433" s="173"/>
      <c r="UNG433" s="173"/>
      <c r="UNH433" s="173"/>
      <c r="UNI433" s="173"/>
      <c r="UNJ433" s="173"/>
      <c r="UNK433" s="125"/>
      <c r="UNL433" s="125"/>
      <c r="UNM433" s="134"/>
      <c r="UNN433" s="135"/>
      <c r="UNO433" s="135"/>
      <c r="UNP433" s="135"/>
      <c r="UNQ433" s="135"/>
      <c r="UNR433" s="173"/>
      <c r="UNS433" s="173"/>
      <c r="UNT433" s="173"/>
      <c r="UNU433" s="173"/>
      <c r="UNV433" s="173"/>
      <c r="UNW433" s="173"/>
      <c r="UNX433" s="173"/>
      <c r="UNY433" s="173"/>
      <c r="UNZ433" s="173"/>
      <c r="UOA433" s="173"/>
      <c r="UOB433" s="125"/>
      <c r="UOC433" s="125"/>
      <c r="UOD433" s="134"/>
      <c r="UOE433" s="135"/>
      <c r="UOF433" s="135"/>
      <c r="UOG433" s="135"/>
      <c r="UOH433" s="135"/>
      <c r="UOI433" s="173"/>
      <c r="UOJ433" s="173"/>
      <c r="UOK433" s="173"/>
      <c r="UOL433" s="173"/>
      <c r="UOM433" s="173"/>
      <c r="UON433" s="173"/>
      <c r="UOO433" s="173"/>
      <c r="UOP433" s="173"/>
      <c r="UOQ433" s="173"/>
      <c r="UOR433" s="173"/>
      <c r="UOS433" s="125"/>
      <c r="UOT433" s="125"/>
      <c r="UOU433" s="134"/>
      <c r="UOV433" s="135"/>
      <c r="UOW433" s="135"/>
      <c r="UOX433" s="135"/>
      <c r="UOY433" s="135"/>
      <c r="UOZ433" s="173"/>
      <c r="UPA433" s="173"/>
      <c r="UPB433" s="173"/>
      <c r="UPC433" s="173"/>
      <c r="UPD433" s="173"/>
      <c r="UPE433" s="173"/>
      <c r="UPF433" s="173"/>
      <c r="UPG433" s="173"/>
      <c r="UPH433" s="173"/>
      <c r="UPI433" s="173"/>
      <c r="UPJ433" s="125"/>
      <c r="UPK433" s="125"/>
      <c r="UPL433" s="134"/>
      <c r="UPM433" s="135"/>
      <c r="UPN433" s="135"/>
      <c r="UPO433" s="135"/>
      <c r="UPP433" s="135"/>
      <c r="UPQ433" s="173"/>
      <c r="UPR433" s="173"/>
      <c r="UPS433" s="173"/>
      <c r="UPT433" s="173"/>
      <c r="UPU433" s="173"/>
      <c r="UPV433" s="173"/>
      <c r="UPW433" s="173"/>
      <c r="UPX433" s="173"/>
      <c r="UPY433" s="173"/>
      <c r="UPZ433" s="173"/>
      <c r="UQA433" s="125"/>
      <c r="UQB433" s="125"/>
      <c r="UQC433" s="134"/>
      <c r="UQD433" s="135"/>
      <c r="UQE433" s="135"/>
      <c r="UQF433" s="135"/>
      <c r="UQG433" s="135"/>
      <c r="UQH433" s="173"/>
      <c r="UQI433" s="173"/>
      <c r="UQJ433" s="173"/>
      <c r="UQK433" s="173"/>
      <c r="UQL433" s="173"/>
      <c r="UQM433" s="173"/>
      <c r="UQN433" s="173"/>
      <c r="UQO433" s="173"/>
      <c r="UQP433" s="173"/>
      <c r="UQQ433" s="173"/>
      <c r="UQR433" s="125"/>
      <c r="UQS433" s="125"/>
      <c r="UQT433" s="134"/>
      <c r="UQU433" s="135"/>
      <c r="UQV433" s="135"/>
      <c r="UQW433" s="135"/>
      <c r="UQX433" s="135"/>
      <c r="UQY433" s="173"/>
      <c r="UQZ433" s="173"/>
      <c r="URA433" s="173"/>
      <c r="URB433" s="173"/>
      <c r="URC433" s="173"/>
      <c r="URD433" s="173"/>
      <c r="URE433" s="173"/>
      <c r="URF433" s="173"/>
      <c r="URG433" s="173"/>
      <c r="URH433" s="173"/>
      <c r="URI433" s="125"/>
      <c r="URJ433" s="125"/>
      <c r="URK433" s="134"/>
      <c r="URL433" s="135"/>
      <c r="URM433" s="135"/>
      <c r="URN433" s="135"/>
      <c r="URO433" s="135"/>
      <c r="URP433" s="173"/>
      <c r="URQ433" s="173"/>
      <c r="URR433" s="173"/>
      <c r="URS433" s="173"/>
      <c r="URT433" s="173"/>
      <c r="URU433" s="173"/>
      <c r="URV433" s="173"/>
      <c r="URW433" s="173"/>
      <c r="URX433" s="173"/>
      <c r="URY433" s="173"/>
      <c r="URZ433" s="125"/>
      <c r="USA433" s="125"/>
      <c r="USB433" s="134"/>
      <c r="USC433" s="135"/>
      <c r="USD433" s="135"/>
      <c r="USE433" s="135"/>
      <c r="USF433" s="135"/>
      <c r="USG433" s="173"/>
      <c r="USH433" s="173"/>
      <c r="USI433" s="173"/>
      <c r="USJ433" s="173"/>
      <c r="USK433" s="173"/>
      <c r="USL433" s="173"/>
      <c r="USM433" s="173"/>
      <c r="USN433" s="173"/>
      <c r="USO433" s="173"/>
      <c r="USP433" s="173"/>
      <c r="USQ433" s="125"/>
      <c r="USR433" s="125"/>
      <c r="USS433" s="134"/>
      <c r="UST433" s="135"/>
      <c r="USU433" s="135"/>
      <c r="USV433" s="135"/>
      <c r="USW433" s="135"/>
      <c r="USX433" s="173"/>
      <c r="USY433" s="173"/>
      <c r="USZ433" s="173"/>
      <c r="UTA433" s="173"/>
      <c r="UTB433" s="173"/>
      <c r="UTC433" s="173"/>
      <c r="UTD433" s="173"/>
      <c r="UTE433" s="173"/>
      <c r="UTF433" s="173"/>
      <c r="UTG433" s="173"/>
      <c r="UTH433" s="125"/>
      <c r="UTI433" s="125"/>
      <c r="UTJ433" s="134"/>
      <c r="UTK433" s="135"/>
      <c r="UTL433" s="135"/>
      <c r="UTM433" s="135"/>
      <c r="UTN433" s="135"/>
      <c r="UTO433" s="173"/>
      <c r="UTP433" s="173"/>
      <c r="UTQ433" s="173"/>
      <c r="UTR433" s="173"/>
      <c r="UTS433" s="173"/>
      <c r="UTT433" s="173"/>
      <c r="UTU433" s="173"/>
      <c r="UTV433" s="173"/>
      <c r="UTW433" s="173"/>
      <c r="UTX433" s="173"/>
      <c r="UTY433" s="125"/>
      <c r="UTZ433" s="125"/>
      <c r="UUA433" s="134"/>
      <c r="UUB433" s="135"/>
      <c r="UUC433" s="135"/>
      <c r="UUD433" s="135"/>
      <c r="UUE433" s="135"/>
      <c r="UUF433" s="173"/>
      <c r="UUG433" s="173"/>
      <c r="UUH433" s="173"/>
      <c r="UUI433" s="173"/>
      <c r="UUJ433" s="173"/>
      <c r="UUK433" s="173"/>
      <c r="UUL433" s="173"/>
      <c r="UUM433" s="173"/>
      <c r="UUN433" s="173"/>
      <c r="UUO433" s="173"/>
      <c r="UUP433" s="125"/>
      <c r="UUQ433" s="125"/>
      <c r="UUR433" s="134"/>
      <c r="UUS433" s="135"/>
      <c r="UUT433" s="135"/>
      <c r="UUU433" s="135"/>
      <c r="UUV433" s="135"/>
      <c r="UUW433" s="173"/>
      <c r="UUX433" s="173"/>
      <c r="UUY433" s="173"/>
      <c r="UUZ433" s="173"/>
      <c r="UVA433" s="173"/>
      <c r="UVB433" s="173"/>
      <c r="UVC433" s="173"/>
      <c r="UVD433" s="173"/>
      <c r="UVE433" s="173"/>
      <c r="UVF433" s="173"/>
      <c r="UVG433" s="125"/>
      <c r="UVH433" s="125"/>
      <c r="UVI433" s="134"/>
      <c r="UVJ433" s="135"/>
      <c r="UVK433" s="135"/>
      <c r="UVL433" s="135"/>
      <c r="UVM433" s="135"/>
      <c r="UVN433" s="173"/>
      <c r="UVO433" s="173"/>
      <c r="UVP433" s="173"/>
      <c r="UVQ433" s="173"/>
      <c r="UVR433" s="173"/>
      <c r="UVS433" s="173"/>
      <c r="UVT433" s="173"/>
      <c r="UVU433" s="173"/>
      <c r="UVV433" s="173"/>
      <c r="UVW433" s="173"/>
      <c r="UVX433" s="125"/>
      <c r="UVY433" s="125"/>
      <c r="UVZ433" s="134"/>
      <c r="UWA433" s="135"/>
      <c r="UWB433" s="135"/>
      <c r="UWC433" s="135"/>
      <c r="UWD433" s="135"/>
      <c r="UWE433" s="173"/>
      <c r="UWF433" s="173"/>
      <c r="UWG433" s="173"/>
      <c r="UWH433" s="173"/>
      <c r="UWI433" s="173"/>
      <c r="UWJ433" s="173"/>
      <c r="UWK433" s="173"/>
      <c r="UWL433" s="173"/>
      <c r="UWM433" s="173"/>
      <c r="UWN433" s="173"/>
      <c r="UWO433" s="125"/>
      <c r="UWP433" s="125"/>
      <c r="UWQ433" s="134"/>
      <c r="UWR433" s="135"/>
      <c r="UWS433" s="135"/>
      <c r="UWT433" s="135"/>
      <c r="UWU433" s="135"/>
      <c r="UWV433" s="173"/>
      <c r="UWW433" s="173"/>
      <c r="UWX433" s="173"/>
      <c r="UWY433" s="173"/>
      <c r="UWZ433" s="173"/>
      <c r="UXA433" s="173"/>
      <c r="UXB433" s="173"/>
      <c r="UXC433" s="173"/>
      <c r="UXD433" s="173"/>
      <c r="UXE433" s="173"/>
      <c r="UXF433" s="125"/>
      <c r="UXG433" s="125"/>
      <c r="UXH433" s="134"/>
      <c r="UXI433" s="135"/>
      <c r="UXJ433" s="135"/>
      <c r="UXK433" s="135"/>
      <c r="UXL433" s="135"/>
      <c r="UXM433" s="173"/>
      <c r="UXN433" s="173"/>
      <c r="UXO433" s="173"/>
      <c r="UXP433" s="173"/>
      <c r="UXQ433" s="173"/>
      <c r="UXR433" s="173"/>
      <c r="UXS433" s="173"/>
      <c r="UXT433" s="173"/>
      <c r="UXU433" s="173"/>
      <c r="UXV433" s="173"/>
      <c r="UXW433" s="125"/>
      <c r="UXX433" s="125"/>
      <c r="UXY433" s="134"/>
      <c r="UXZ433" s="135"/>
      <c r="UYA433" s="135"/>
      <c r="UYB433" s="135"/>
      <c r="UYC433" s="135"/>
      <c r="UYD433" s="173"/>
      <c r="UYE433" s="173"/>
      <c r="UYF433" s="173"/>
      <c r="UYG433" s="173"/>
      <c r="UYH433" s="173"/>
      <c r="UYI433" s="173"/>
      <c r="UYJ433" s="173"/>
      <c r="UYK433" s="173"/>
      <c r="UYL433" s="173"/>
      <c r="UYM433" s="173"/>
      <c r="UYN433" s="125"/>
      <c r="UYO433" s="125"/>
      <c r="UYP433" s="134"/>
      <c r="UYQ433" s="135"/>
      <c r="UYR433" s="135"/>
      <c r="UYS433" s="135"/>
      <c r="UYT433" s="135"/>
      <c r="UYU433" s="173"/>
      <c r="UYV433" s="173"/>
      <c r="UYW433" s="173"/>
      <c r="UYX433" s="173"/>
      <c r="UYY433" s="173"/>
      <c r="UYZ433" s="173"/>
      <c r="UZA433" s="173"/>
      <c r="UZB433" s="173"/>
      <c r="UZC433" s="173"/>
      <c r="UZD433" s="173"/>
      <c r="UZE433" s="125"/>
      <c r="UZF433" s="125"/>
      <c r="UZG433" s="134"/>
      <c r="UZH433" s="135"/>
      <c r="UZI433" s="135"/>
      <c r="UZJ433" s="135"/>
      <c r="UZK433" s="135"/>
      <c r="UZL433" s="173"/>
      <c r="UZM433" s="173"/>
      <c r="UZN433" s="173"/>
      <c r="UZO433" s="173"/>
      <c r="UZP433" s="173"/>
      <c r="UZQ433" s="173"/>
      <c r="UZR433" s="173"/>
      <c r="UZS433" s="173"/>
      <c r="UZT433" s="173"/>
      <c r="UZU433" s="173"/>
      <c r="UZV433" s="125"/>
      <c r="UZW433" s="125"/>
      <c r="UZX433" s="134"/>
      <c r="UZY433" s="135"/>
      <c r="UZZ433" s="135"/>
      <c r="VAA433" s="135"/>
      <c r="VAB433" s="135"/>
      <c r="VAC433" s="173"/>
      <c r="VAD433" s="173"/>
      <c r="VAE433" s="173"/>
      <c r="VAF433" s="173"/>
      <c r="VAG433" s="173"/>
      <c r="VAH433" s="173"/>
      <c r="VAI433" s="173"/>
      <c r="VAJ433" s="173"/>
      <c r="VAK433" s="173"/>
      <c r="VAL433" s="173"/>
      <c r="VAM433" s="125"/>
      <c r="VAN433" s="125"/>
      <c r="VAO433" s="134"/>
      <c r="VAP433" s="135"/>
      <c r="VAQ433" s="135"/>
      <c r="VAR433" s="135"/>
      <c r="VAS433" s="135"/>
      <c r="VAT433" s="173"/>
      <c r="VAU433" s="173"/>
      <c r="VAV433" s="173"/>
      <c r="VAW433" s="173"/>
      <c r="VAX433" s="173"/>
      <c r="VAY433" s="173"/>
      <c r="VAZ433" s="173"/>
      <c r="VBA433" s="173"/>
      <c r="VBB433" s="173"/>
      <c r="VBC433" s="173"/>
      <c r="VBD433" s="125"/>
      <c r="VBE433" s="125"/>
      <c r="VBF433" s="134"/>
      <c r="VBG433" s="135"/>
      <c r="VBH433" s="135"/>
      <c r="VBI433" s="135"/>
      <c r="VBJ433" s="135"/>
      <c r="VBK433" s="173"/>
      <c r="VBL433" s="173"/>
      <c r="VBM433" s="173"/>
      <c r="VBN433" s="173"/>
      <c r="VBO433" s="173"/>
      <c r="VBP433" s="173"/>
      <c r="VBQ433" s="173"/>
      <c r="VBR433" s="173"/>
      <c r="VBS433" s="173"/>
      <c r="VBT433" s="173"/>
      <c r="VBU433" s="125"/>
      <c r="VBV433" s="125"/>
      <c r="VBW433" s="134"/>
      <c r="VBX433" s="135"/>
      <c r="VBY433" s="135"/>
      <c r="VBZ433" s="135"/>
      <c r="VCA433" s="135"/>
      <c r="VCB433" s="173"/>
      <c r="VCC433" s="173"/>
      <c r="VCD433" s="173"/>
      <c r="VCE433" s="173"/>
      <c r="VCF433" s="173"/>
      <c r="VCG433" s="173"/>
      <c r="VCH433" s="173"/>
      <c r="VCI433" s="173"/>
      <c r="VCJ433" s="173"/>
      <c r="VCK433" s="173"/>
      <c r="VCL433" s="125"/>
      <c r="VCM433" s="125"/>
      <c r="VCN433" s="134"/>
      <c r="VCO433" s="135"/>
      <c r="VCP433" s="135"/>
      <c r="VCQ433" s="135"/>
      <c r="VCR433" s="135"/>
      <c r="VCS433" s="173"/>
      <c r="VCT433" s="173"/>
      <c r="VCU433" s="173"/>
      <c r="VCV433" s="173"/>
      <c r="VCW433" s="173"/>
      <c r="VCX433" s="173"/>
      <c r="VCY433" s="173"/>
      <c r="VCZ433" s="173"/>
      <c r="VDA433" s="173"/>
      <c r="VDB433" s="173"/>
      <c r="VDC433" s="125"/>
      <c r="VDD433" s="125"/>
      <c r="VDE433" s="134"/>
      <c r="VDF433" s="135"/>
      <c r="VDG433" s="135"/>
      <c r="VDH433" s="135"/>
      <c r="VDI433" s="135"/>
      <c r="VDJ433" s="173"/>
      <c r="VDK433" s="173"/>
      <c r="VDL433" s="173"/>
      <c r="VDM433" s="173"/>
      <c r="VDN433" s="173"/>
      <c r="VDO433" s="173"/>
      <c r="VDP433" s="173"/>
      <c r="VDQ433" s="173"/>
      <c r="VDR433" s="173"/>
      <c r="VDS433" s="173"/>
      <c r="VDT433" s="125"/>
      <c r="VDU433" s="125"/>
      <c r="VDV433" s="134"/>
      <c r="VDW433" s="135"/>
      <c r="VDX433" s="135"/>
      <c r="VDY433" s="135"/>
      <c r="VDZ433" s="135"/>
      <c r="VEA433" s="173"/>
      <c r="VEB433" s="173"/>
      <c r="VEC433" s="173"/>
      <c r="VED433" s="173"/>
      <c r="VEE433" s="173"/>
      <c r="VEF433" s="173"/>
      <c r="VEG433" s="173"/>
      <c r="VEH433" s="173"/>
      <c r="VEI433" s="173"/>
      <c r="VEJ433" s="173"/>
      <c r="VEK433" s="125"/>
      <c r="VEL433" s="125"/>
      <c r="VEM433" s="134"/>
      <c r="VEN433" s="135"/>
      <c r="VEO433" s="135"/>
      <c r="VEP433" s="135"/>
      <c r="VEQ433" s="135"/>
      <c r="VER433" s="173"/>
      <c r="VES433" s="173"/>
      <c r="VET433" s="173"/>
      <c r="VEU433" s="173"/>
      <c r="VEV433" s="173"/>
      <c r="VEW433" s="173"/>
      <c r="VEX433" s="173"/>
      <c r="VEY433" s="173"/>
      <c r="VEZ433" s="173"/>
      <c r="VFA433" s="173"/>
      <c r="VFB433" s="125"/>
      <c r="VFC433" s="125"/>
      <c r="VFD433" s="134"/>
      <c r="VFE433" s="135"/>
      <c r="VFF433" s="135"/>
      <c r="VFG433" s="135"/>
      <c r="VFH433" s="135"/>
      <c r="VFI433" s="173"/>
      <c r="VFJ433" s="173"/>
      <c r="VFK433" s="173"/>
      <c r="VFL433" s="173"/>
      <c r="VFM433" s="173"/>
      <c r="VFN433" s="173"/>
      <c r="VFO433" s="173"/>
      <c r="VFP433" s="173"/>
      <c r="VFQ433" s="173"/>
      <c r="VFR433" s="173"/>
      <c r="VFS433" s="125"/>
      <c r="VFT433" s="125"/>
      <c r="VFU433" s="134"/>
      <c r="VFV433" s="135"/>
      <c r="VFW433" s="135"/>
      <c r="VFX433" s="135"/>
      <c r="VFY433" s="135"/>
      <c r="VFZ433" s="173"/>
      <c r="VGA433" s="173"/>
      <c r="VGB433" s="173"/>
      <c r="VGC433" s="173"/>
      <c r="VGD433" s="173"/>
      <c r="VGE433" s="173"/>
      <c r="VGF433" s="173"/>
      <c r="VGG433" s="173"/>
      <c r="VGH433" s="173"/>
      <c r="VGI433" s="173"/>
      <c r="VGJ433" s="125"/>
      <c r="VGK433" s="125"/>
      <c r="VGL433" s="134"/>
      <c r="VGM433" s="135"/>
      <c r="VGN433" s="135"/>
      <c r="VGO433" s="135"/>
      <c r="VGP433" s="135"/>
      <c r="VGQ433" s="173"/>
      <c r="VGR433" s="173"/>
      <c r="VGS433" s="173"/>
      <c r="VGT433" s="173"/>
      <c r="VGU433" s="173"/>
      <c r="VGV433" s="173"/>
      <c r="VGW433" s="173"/>
      <c r="VGX433" s="173"/>
      <c r="VGY433" s="173"/>
      <c r="VGZ433" s="173"/>
      <c r="VHA433" s="125"/>
      <c r="VHB433" s="125"/>
      <c r="VHC433" s="134"/>
      <c r="VHD433" s="135"/>
      <c r="VHE433" s="135"/>
      <c r="VHF433" s="135"/>
      <c r="VHG433" s="135"/>
      <c r="VHH433" s="173"/>
      <c r="VHI433" s="173"/>
      <c r="VHJ433" s="173"/>
      <c r="VHK433" s="173"/>
      <c r="VHL433" s="173"/>
      <c r="VHM433" s="173"/>
      <c r="VHN433" s="173"/>
      <c r="VHO433" s="173"/>
      <c r="VHP433" s="173"/>
      <c r="VHQ433" s="173"/>
      <c r="VHR433" s="125"/>
      <c r="VHS433" s="125"/>
      <c r="VHT433" s="134"/>
      <c r="VHU433" s="135"/>
      <c r="VHV433" s="135"/>
      <c r="VHW433" s="135"/>
      <c r="VHX433" s="135"/>
      <c r="VHY433" s="173"/>
      <c r="VHZ433" s="173"/>
      <c r="VIA433" s="173"/>
      <c r="VIB433" s="173"/>
      <c r="VIC433" s="173"/>
      <c r="VID433" s="173"/>
      <c r="VIE433" s="173"/>
      <c r="VIF433" s="173"/>
      <c r="VIG433" s="173"/>
      <c r="VIH433" s="173"/>
      <c r="VII433" s="125"/>
      <c r="VIJ433" s="125"/>
      <c r="VIK433" s="134"/>
      <c r="VIL433" s="135"/>
      <c r="VIM433" s="135"/>
      <c r="VIN433" s="135"/>
      <c r="VIO433" s="135"/>
      <c r="VIP433" s="173"/>
      <c r="VIQ433" s="173"/>
      <c r="VIR433" s="173"/>
      <c r="VIS433" s="173"/>
      <c r="VIT433" s="173"/>
      <c r="VIU433" s="173"/>
      <c r="VIV433" s="173"/>
      <c r="VIW433" s="173"/>
      <c r="VIX433" s="173"/>
      <c r="VIY433" s="173"/>
      <c r="VIZ433" s="125"/>
      <c r="VJA433" s="125"/>
      <c r="VJB433" s="134"/>
      <c r="VJC433" s="135"/>
      <c r="VJD433" s="135"/>
      <c r="VJE433" s="135"/>
      <c r="VJF433" s="135"/>
      <c r="VJG433" s="173"/>
      <c r="VJH433" s="173"/>
      <c r="VJI433" s="173"/>
      <c r="VJJ433" s="173"/>
      <c r="VJK433" s="173"/>
      <c r="VJL433" s="173"/>
      <c r="VJM433" s="173"/>
      <c r="VJN433" s="173"/>
      <c r="VJO433" s="173"/>
      <c r="VJP433" s="173"/>
      <c r="VJQ433" s="125"/>
      <c r="VJR433" s="125"/>
      <c r="VJS433" s="134"/>
      <c r="VJT433" s="135"/>
      <c r="VJU433" s="135"/>
      <c r="VJV433" s="135"/>
      <c r="VJW433" s="135"/>
      <c r="VJX433" s="173"/>
      <c r="VJY433" s="173"/>
      <c r="VJZ433" s="173"/>
      <c r="VKA433" s="173"/>
      <c r="VKB433" s="173"/>
      <c r="VKC433" s="173"/>
      <c r="VKD433" s="173"/>
      <c r="VKE433" s="173"/>
      <c r="VKF433" s="173"/>
      <c r="VKG433" s="173"/>
      <c r="VKH433" s="125"/>
      <c r="VKI433" s="125"/>
      <c r="VKJ433" s="134"/>
      <c r="VKK433" s="135"/>
      <c r="VKL433" s="135"/>
      <c r="VKM433" s="135"/>
      <c r="VKN433" s="135"/>
      <c r="VKO433" s="173"/>
      <c r="VKP433" s="173"/>
      <c r="VKQ433" s="173"/>
      <c r="VKR433" s="173"/>
      <c r="VKS433" s="173"/>
      <c r="VKT433" s="173"/>
      <c r="VKU433" s="173"/>
      <c r="VKV433" s="173"/>
      <c r="VKW433" s="173"/>
      <c r="VKX433" s="173"/>
      <c r="VKY433" s="125"/>
      <c r="VKZ433" s="125"/>
      <c r="VLA433" s="134"/>
      <c r="VLB433" s="135"/>
      <c r="VLC433" s="135"/>
      <c r="VLD433" s="135"/>
      <c r="VLE433" s="135"/>
      <c r="VLF433" s="173"/>
      <c r="VLG433" s="173"/>
      <c r="VLH433" s="173"/>
      <c r="VLI433" s="173"/>
      <c r="VLJ433" s="173"/>
      <c r="VLK433" s="173"/>
      <c r="VLL433" s="173"/>
      <c r="VLM433" s="173"/>
      <c r="VLN433" s="173"/>
      <c r="VLO433" s="173"/>
      <c r="VLP433" s="125"/>
      <c r="VLQ433" s="125"/>
      <c r="VLR433" s="134"/>
      <c r="VLS433" s="135"/>
      <c r="VLT433" s="135"/>
      <c r="VLU433" s="135"/>
      <c r="VLV433" s="135"/>
      <c r="VLW433" s="173"/>
      <c r="VLX433" s="173"/>
      <c r="VLY433" s="173"/>
      <c r="VLZ433" s="173"/>
      <c r="VMA433" s="173"/>
      <c r="VMB433" s="173"/>
      <c r="VMC433" s="173"/>
      <c r="VMD433" s="173"/>
      <c r="VME433" s="173"/>
      <c r="VMF433" s="173"/>
      <c r="VMG433" s="125"/>
      <c r="VMH433" s="125"/>
      <c r="VMI433" s="134"/>
      <c r="VMJ433" s="135"/>
      <c r="VMK433" s="135"/>
      <c r="VML433" s="135"/>
      <c r="VMM433" s="135"/>
      <c r="VMN433" s="173"/>
      <c r="VMO433" s="173"/>
      <c r="VMP433" s="173"/>
      <c r="VMQ433" s="173"/>
      <c r="VMR433" s="173"/>
      <c r="VMS433" s="173"/>
      <c r="VMT433" s="173"/>
      <c r="VMU433" s="173"/>
      <c r="VMV433" s="173"/>
      <c r="VMW433" s="173"/>
      <c r="VMX433" s="125"/>
      <c r="VMY433" s="125"/>
      <c r="VMZ433" s="134"/>
      <c r="VNA433" s="135"/>
      <c r="VNB433" s="135"/>
      <c r="VNC433" s="135"/>
      <c r="VND433" s="135"/>
      <c r="VNE433" s="173"/>
      <c r="VNF433" s="173"/>
      <c r="VNG433" s="173"/>
      <c r="VNH433" s="173"/>
      <c r="VNI433" s="173"/>
      <c r="VNJ433" s="173"/>
      <c r="VNK433" s="173"/>
      <c r="VNL433" s="173"/>
      <c r="VNM433" s="173"/>
      <c r="VNN433" s="173"/>
      <c r="VNO433" s="125"/>
      <c r="VNP433" s="125"/>
      <c r="VNQ433" s="134"/>
      <c r="VNR433" s="135"/>
      <c r="VNS433" s="135"/>
      <c r="VNT433" s="135"/>
      <c r="VNU433" s="135"/>
      <c r="VNV433" s="173"/>
      <c r="VNW433" s="173"/>
      <c r="VNX433" s="173"/>
      <c r="VNY433" s="173"/>
      <c r="VNZ433" s="173"/>
      <c r="VOA433" s="173"/>
      <c r="VOB433" s="173"/>
      <c r="VOC433" s="173"/>
      <c r="VOD433" s="173"/>
      <c r="VOE433" s="173"/>
      <c r="VOF433" s="125"/>
      <c r="VOG433" s="125"/>
      <c r="VOH433" s="134"/>
      <c r="VOI433" s="135"/>
      <c r="VOJ433" s="135"/>
      <c r="VOK433" s="135"/>
      <c r="VOL433" s="135"/>
      <c r="VOM433" s="173"/>
      <c r="VON433" s="173"/>
      <c r="VOO433" s="173"/>
      <c r="VOP433" s="173"/>
      <c r="VOQ433" s="173"/>
      <c r="VOR433" s="173"/>
      <c r="VOS433" s="173"/>
      <c r="VOT433" s="173"/>
      <c r="VOU433" s="173"/>
      <c r="VOV433" s="173"/>
      <c r="VOW433" s="125"/>
      <c r="VOX433" s="125"/>
      <c r="VOY433" s="134"/>
      <c r="VOZ433" s="135"/>
      <c r="VPA433" s="135"/>
      <c r="VPB433" s="135"/>
      <c r="VPC433" s="135"/>
      <c r="VPD433" s="173"/>
      <c r="VPE433" s="173"/>
      <c r="VPF433" s="173"/>
      <c r="VPG433" s="173"/>
      <c r="VPH433" s="173"/>
      <c r="VPI433" s="173"/>
      <c r="VPJ433" s="173"/>
      <c r="VPK433" s="173"/>
      <c r="VPL433" s="173"/>
      <c r="VPM433" s="173"/>
      <c r="VPN433" s="125"/>
      <c r="VPO433" s="125"/>
      <c r="VPP433" s="134"/>
      <c r="VPQ433" s="135"/>
      <c r="VPR433" s="135"/>
      <c r="VPS433" s="135"/>
      <c r="VPT433" s="135"/>
      <c r="VPU433" s="173"/>
      <c r="VPV433" s="173"/>
      <c r="VPW433" s="173"/>
      <c r="VPX433" s="173"/>
      <c r="VPY433" s="173"/>
      <c r="VPZ433" s="173"/>
      <c r="VQA433" s="173"/>
      <c r="VQB433" s="173"/>
      <c r="VQC433" s="173"/>
      <c r="VQD433" s="173"/>
      <c r="VQE433" s="125"/>
      <c r="VQF433" s="125"/>
      <c r="VQG433" s="134"/>
      <c r="VQH433" s="135"/>
      <c r="VQI433" s="135"/>
      <c r="VQJ433" s="135"/>
      <c r="VQK433" s="135"/>
      <c r="VQL433" s="173"/>
      <c r="VQM433" s="173"/>
      <c r="VQN433" s="173"/>
      <c r="VQO433" s="173"/>
      <c r="VQP433" s="173"/>
      <c r="VQQ433" s="173"/>
      <c r="VQR433" s="173"/>
      <c r="VQS433" s="173"/>
      <c r="VQT433" s="173"/>
      <c r="VQU433" s="173"/>
      <c r="VQV433" s="125"/>
      <c r="VQW433" s="125"/>
      <c r="VQX433" s="134"/>
      <c r="VQY433" s="135"/>
      <c r="VQZ433" s="135"/>
      <c r="VRA433" s="135"/>
      <c r="VRB433" s="135"/>
      <c r="VRC433" s="173"/>
      <c r="VRD433" s="173"/>
      <c r="VRE433" s="173"/>
      <c r="VRF433" s="173"/>
      <c r="VRG433" s="173"/>
      <c r="VRH433" s="173"/>
      <c r="VRI433" s="173"/>
      <c r="VRJ433" s="173"/>
      <c r="VRK433" s="173"/>
      <c r="VRL433" s="173"/>
      <c r="VRM433" s="125"/>
      <c r="VRN433" s="125"/>
      <c r="VRO433" s="134"/>
      <c r="VRP433" s="135"/>
      <c r="VRQ433" s="135"/>
      <c r="VRR433" s="135"/>
      <c r="VRS433" s="135"/>
      <c r="VRT433" s="173"/>
      <c r="VRU433" s="173"/>
      <c r="VRV433" s="173"/>
      <c r="VRW433" s="173"/>
      <c r="VRX433" s="173"/>
      <c r="VRY433" s="173"/>
      <c r="VRZ433" s="173"/>
      <c r="VSA433" s="173"/>
      <c r="VSB433" s="173"/>
      <c r="VSC433" s="173"/>
      <c r="VSD433" s="125"/>
      <c r="VSE433" s="125"/>
      <c r="VSF433" s="134"/>
      <c r="VSG433" s="135"/>
      <c r="VSH433" s="135"/>
      <c r="VSI433" s="135"/>
      <c r="VSJ433" s="135"/>
      <c r="VSK433" s="173"/>
      <c r="VSL433" s="173"/>
      <c r="VSM433" s="173"/>
      <c r="VSN433" s="173"/>
      <c r="VSO433" s="173"/>
      <c r="VSP433" s="173"/>
      <c r="VSQ433" s="173"/>
      <c r="VSR433" s="173"/>
      <c r="VSS433" s="173"/>
      <c r="VST433" s="173"/>
      <c r="VSU433" s="125"/>
      <c r="VSV433" s="125"/>
      <c r="VSW433" s="134"/>
      <c r="VSX433" s="135"/>
      <c r="VSY433" s="135"/>
      <c r="VSZ433" s="135"/>
      <c r="VTA433" s="135"/>
      <c r="VTB433" s="173"/>
      <c r="VTC433" s="173"/>
      <c r="VTD433" s="173"/>
      <c r="VTE433" s="173"/>
      <c r="VTF433" s="173"/>
      <c r="VTG433" s="173"/>
      <c r="VTH433" s="173"/>
      <c r="VTI433" s="173"/>
      <c r="VTJ433" s="173"/>
      <c r="VTK433" s="173"/>
      <c r="VTL433" s="125"/>
      <c r="VTM433" s="125"/>
      <c r="VTN433" s="134"/>
      <c r="VTO433" s="135"/>
      <c r="VTP433" s="135"/>
      <c r="VTQ433" s="135"/>
      <c r="VTR433" s="135"/>
      <c r="VTS433" s="173"/>
      <c r="VTT433" s="173"/>
      <c r="VTU433" s="173"/>
      <c r="VTV433" s="173"/>
      <c r="VTW433" s="173"/>
      <c r="VTX433" s="173"/>
      <c r="VTY433" s="173"/>
      <c r="VTZ433" s="173"/>
      <c r="VUA433" s="173"/>
      <c r="VUB433" s="173"/>
      <c r="VUC433" s="125"/>
      <c r="VUD433" s="125"/>
      <c r="VUE433" s="134"/>
      <c r="VUF433" s="135"/>
      <c r="VUG433" s="135"/>
      <c r="VUH433" s="135"/>
      <c r="VUI433" s="135"/>
      <c r="VUJ433" s="173"/>
      <c r="VUK433" s="173"/>
      <c r="VUL433" s="173"/>
      <c r="VUM433" s="173"/>
      <c r="VUN433" s="173"/>
      <c r="VUO433" s="173"/>
      <c r="VUP433" s="173"/>
      <c r="VUQ433" s="173"/>
      <c r="VUR433" s="173"/>
      <c r="VUS433" s="173"/>
      <c r="VUT433" s="125"/>
      <c r="VUU433" s="125"/>
      <c r="VUV433" s="134"/>
      <c r="VUW433" s="135"/>
      <c r="VUX433" s="135"/>
      <c r="VUY433" s="135"/>
      <c r="VUZ433" s="135"/>
      <c r="VVA433" s="173"/>
      <c r="VVB433" s="173"/>
      <c r="VVC433" s="173"/>
      <c r="VVD433" s="173"/>
      <c r="VVE433" s="173"/>
      <c r="VVF433" s="173"/>
      <c r="VVG433" s="173"/>
      <c r="VVH433" s="173"/>
      <c r="VVI433" s="173"/>
      <c r="VVJ433" s="173"/>
      <c r="VVK433" s="125"/>
      <c r="VVL433" s="125"/>
      <c r="VVM433" s="134"/>
      <c r="VVN433" s="135"/>
      <c r="VVO433" s="135"/>
      <c r="VVP433" s="135"/>
      <c r="VVQ433" s="135"/>
      <c r="VVR433" s="173"/>
      <c r="VVS433" s="173"/>
      <c r="VVT433" s="173"/>
      <c r="VVU433" s="173"/>
      <c r="VVV433" s="173"/>
      <c r="VVW433" s="173"/>
      <c r="VVX433" s="173"/>
      <c r="VVY433" s="173"/>
      <c r="VVZ433" s="173"/>
      <c r="VWA433" s="173"/>
      <c r="VWB433" s="125"/>
      <c r="VWC433" s="125"/>
      <c r="VWD433" s="134"/>
      <c r="VWE433" s="135"/>
      <c r="VWF433" s="135"/>
      <c r="VWG433" s="135"/>
      <c r="VWH433" s="135"/>
      <c r="VWI433" s="173"/>
      <c r="VWJ433" s="173"/>
      <c r="VWK433" s="173"/>
      <c r="VWL433" s="173"/>
      <c r="VWM433" s="173"/>
      <c r="VWN433" s="173"/>
      <c r="VWO433" s="173"/>
      <c r="VWP433" s="173"/>
      <c r="VWQ433" s="173"/>
      <c r="VWR433" s="173"/>
      <c r="VWS433" s="125"/>
      <c r="VWT433" s="125"/>
      <c r="VWU433" s="134"/>
      <c r="VWV433" s="135"/>
      <c r="VWW433" s="135"/>
      <c r="VWX433" s="135"/>
      <c r="VWY433" s="135"/>
      <c r="VWZ433" s="173"/>
      <c r="VXA433" s="173"/>
      <c r="VXB433" s="173"/>
      <c r="VXC433" s="173"/>
      <c r="VXD433" s="173"/>
      <c r="VXE433" s="173"/>
      <c r="VXF433" s="173"/>
      <c r="VXG433" s="173"/>
      <c r="VXH433" s="173"/>
      <c r="VXI433" s="173"/>
      <c r="VXJ433" s="125"/>
      <c r="VXK433" s="125"/>
      <c r="VXL433" s="134"/>
      <c r="VXM433" s="135"/>
      <c r="VXN433" s="135"/>
      <c r="VXO433" s="135"/>
      <c r="VXP433" s="135"/>
      <c r="VXQ433" s="173"/>
      <c r="VXR433" s="173"/>
      <c r="VXS433" s="173"/>
      <c r="VXT433" s="173"/>
      <c r="VXU433" s="173"/>
      <c r="VXV433" s="173"/>
      <c r="VXW433" s="173"/>
      <c r="VXX433" s="173"/>
      <c r="VXY433" s="173"/>
      <c r="VXZ433" s="173"/>
      <c r="VYA433" s="125"/>
      <c r="VYB433" s="125"/>
      <c r="VYC433" s="134"/>
      <c r="VYD433" s="135"/>
      <c r="VYE433" s="135"/>
      <c r="VYF433" s="135"/>
      <c r="VYG433" s="135"/>
      <c r="VYH433" s="173"/>
      <c r="VYI433" s="173"/>
      <c r="VYJ433" s="173"/>
      <c r="VYK433" s="173"/>
      <c r="VYL433" s="173"/>
      <c r="VYM433" s="173"/>
      <c r="VYN433" s="173"/>
      <c r="VYO433" s="173"/>
      <c r="VYP433" s="173"/>
      <c r="VYQ433" s="173"/>
      <c r="VYR433" s="125"/>
      <c r="VYS433" s="125"/>
      <c r="VYT433" s="134"/>
      <c r="VYU433" s="135"/>
      <c r="VYV433" s="135"/>
      <c r="VYW433" s="135"/>
      <c r="VYX433" s="135"/>
      <c r="VYY433" s="173"/>
      <c r="VYZ433" s="173"/>
      <c r="VZA433" s="173"/>
      <c r="VZB433" s="173"/>
      <c r="VZC433" s="173"/>
      <c r="VZD433" s="173"/>
      <c r="VZE433" s="173"/>
      <c r="VZF433" s="173"/>
      <c r="VZG433" s="173"/>
      <c r="VZH433" s="173"/>
      <c r="VZI433" s="125"/>
      <c r="VZJ433" s="125"/>
      <c r="VZK433" s="134"/>
      <c r="VZL433" s="135"/>
      <c r="VZM433" s="135"/>
      <c r="VZN433" s="135"/>
      <c r="VZO433" s="135"/>
      <c r="VZP433" s="173"/>
      <c r="VZQ433" s="173"/>
      <c r="VZR433" s="173"/>
      <c r="VZS433" s="173"/>
      <c r="VZT433" s="173"/>
      <c r="VZU433" s="173"/>
      <c r="VZV433" s="173"/>
      <c r="VZW433" s="173"/>
      <c r="VZX433" s="173"/>
      <c r="VZY433" s="173"/>
      <c r="VZZ433" s="125"/>
      <c r="WAA433" s="125"/>
      <c r="WAB433" s="134"/>
      <c r="WAC433" s="135"/>
      <c r="WAD433" s="135"/>
      <c r="WAE433" s="135"/>
      <c r="WAF433" s="135"/>
      <c r="WAG433" s="173"/>
      <c r="WAH433" s="173"/>
      <c r="WAI433" s="173"/>
      <c r="WAJ433" s="173"/>
      <c r="WAK433" s="173"/>
      <c r="WAL433" s="173"/>
      <c r="WAM433" s="173"/>
      <c r="WAN433" s="173"/>
      <c r="WAO433" s="173"/>
      <c r="WAP433" s="173"/>
      <c r="WAQ433" s="125"/>
      <c r="WAR433" s="125"/>
      <c r="WAS433" s="134"/>
      <c r="WAT433" s="135"/>
      <c r="WAU433" s="135"/>
      <c r="WAV433" s="135"/>
      <c r="WAW433" s="135"/>
      <c r="WAX433" s="173"/>
      <c r="WAY433" s="173"/>
      <c r="WAZ433" s="173"/>
      <c r="WBA433" s="173"/>
      <c r="WBB433" s="173"/>
      <c r="WBC433" s="173"/>
      <c r="WBD433" s="173"/>
      <c r="WBE433" s="173"/>
      <c r="WBF433" s="173"/>
      <c r="WBG433" s="173"/>
      <c r="WBH433" s="125"/>
      <c r="WBI433" s="125"/>
      <c r="WBJ433" s="134"/>
      <c r="WBK433" s="135"/>
      <c r="WBL433" s="135"/>
      <c r="WBM433" s="135"/>
      <c r="WBN433" s="135"/>
      <c r="WBO433" s="173"/>
      <c r="WBP433" s="173"/>
      <c r="WBQ433" s="173"/>
      <c r="WBR433" s="173"/>
      <c r="WBS433" s="173"/>
      <c r="WBT433" s="173"/>
      <c r="WBU433" s="173"/>
      <c r="WBV433" s="173"/>
      <c r="WBW433" s="173"/>
      <c r="WBX433" s="173"/>
      <c r="WBY433" s="125"/>
      <c r="WBZ433" s="125"/>
      <c r="WCA433" s="134"/>
      <c r="WCB433" s="135"/>
      <c r="WCC433" s="135"/>
      <c r="WCD433" s="135"/>
      <c r="WCE433" s="135"/>
      <c r="WCF433" s="173"/>
      <c r="WCG433" s="173"/>
      <c r="WCH433" s="173"/>
      <c r="WCI433" s="173"/>
      <c r="WCJ433" s="173"/>
      <c r="WCK433" s="173"/>
      <c r="WCL433" s="173"/>
      <c r="WCM433" s="173"/>
      <c r="WCN433" s="173"/>
      <c r="WCO433" s="173"/>
      <c r="WCP433" s="125"/>
      <c r="WCQ433" s="125"/>
      <c r="WCR433" s="134"/>
      <c r="WCS433" s="135"/>
      <c r="WCT433" s="135"/>
      <c r="WCU433" s="135"/>
      <c r="WCV433" s="135"/>
      <c r="WCW433" s="173"/>
      <c r="WCX433" s="173"/>
      <c r="WCY433" s="173"/>
      <c r="WCZ433" s="173"/>
      <c r="WDA433" s="173"/>
      <c r="WDB433" s="173"/>
      <c r="WDC433" s="173"/>
      <c r="WDD433" s="173"/>
      <c r="WDE433" s="173"/>
      <c r="WDF433" s="173"/>
      <c r="WDG433" s="125"/>
      <c r="WDH433" s="125"/>
      <c r="WDI433" s="134"/>
      <c r="WDJ433" s="135"/>
      <c r="WDK433" s="135"/>
      <c r="WDL433" s="135"/>
      <c r="WDM433" s="135"/>
      <c r="WDN433" s="173"/>
      <c r="WDO433" s="173"/>
      <c r="WDP433" s="173"/>
      <c r="WDQ433" s="173"/>
      <c r="WDR433" s="173"/>
      <c r="WDS433" s="173"/>
      <c r="WDT433" s="173"/>
      <c r="WDU433" s="173"/>
      <c r="WDV433" s="173"/>
      <c r="WDW433" s="173"/>
      <c r="WDX433" s="125"/>
      <c r="WDY433" s="125"/>
      <c r="WDZ433" s="134"/>
      <c r="WEA433" s="135"/>
      <c r="WEB433" s="135"/>
      <c r="WEC433" s="135"/>
      <c r="WED433" s="135"/>
      <c r="WEE433" s="173"/>
      <c r="WEF433" s="173"/>
      <c r="WEG433" s="173"/>
      <c r="WEH433" s="173"/>
      <c r="WEI433" s="173"/>
      <c r="WEJ433" s="173"/>
      <c r="WEK433" s="173"/>
      <c r="WEL433" s="173"/>
      <c r="WEM433" s="173"/>
      <c r="WEN433" s="173"/>
      <c r="WEO433" s="125"/>
      <c r="WEP433" s="125"/>
      <c r="WEQ433" s="134"/>
      <c r="WER433" s="135"/>
      <c r="WES433" s="135"/>
      <c r="WET433" s="135"/>
      <c r="WEU433" s="135"/>
      <c r="WEV433" s="173"/>
      <c r="WEW433" s="173"/>
      <c r="WEX433" s="173"/>
      <c r="WEY433" s="173"/>
      <c r="WEZ433" s="173"/>
      <c r="WFA433" s="173"/>
      <c r="WFB433" s="173"/>
      <c r="WFC433" s="173"/>
      <c r="WFD433" s="173"/>
      <c r="WFE433" s="173"/>
      <c r="WFF433" s="125"/>
      <c r="WFG433" s="125"/>
      <c r="WFH433" s="134"/>
      <c r="WFI433" s="135"/>
      <c r="WFJ433" s="135"/>
      <c r="WFK433" s="135"/>
      <c r="WFL433" s="135"/>
      <c r="WFM433" s="173"/>
      <c r="WFN433" s="173"/>
      <c r="WFO433" s="173"/>
      <c r="WFP433" s="173"/>
      <c r="WFQ433" s="173"/>
      <c r="WFR433" s="173"/>
      <c r="WFS433" s="173"/>
      <c r="WFT433" s="173"/>
      <c r="WFU433" s="173"/>
      <c r="WFV433" s="173"/>
      <c r="WFW433" s="125"/>
      <c r="WFX433" s="125"/>
      <c r="WFY433" s="134"/>
      <c r="WFZ433" s="135"/>
      <c r="WGA433" s="135"/>
      <c r="WGB433" s="135"/>
      <c r="WGC433" s="135"/>
      <c r="WGD433" s="173"/>
      <c r="WGE433" s="173"/>
      <c r="WGF433" s="173"/>
      <c r="WGG433" s="173"/>
      <c r="WGH433" s="173"/>
      <c r="WGI433" s="173"/>
      <c r="WGJ433" s="173"/>
      <c r="WGK433" s="173"/>
      <c r="WGL433" s="173"/>
      <c r="WGM433" s="173"/>
      <c r="WGN433" s="125"/>
      <c r="WGO433" s="125"/>
      <c r="WGP433" s="134"/>
      <c r="WGQ433" s="135"/>
      <c r="WGR433" s="135"/>
      <c r="WGS433" s="135"/>
      <c r="WGT433" s="135"/>
      <c r="WGU433" s="173"/>
      <c r="WGV433" s="173"/>
      <c r="WGW433" s="173"/>
      <c r="WGX433" s="173"/>
      <c r="WGY433" s="173"/>
      <c r="WGZ433" s="173"/>
      <c r="WHA433" s="173"/>
      <c r="WHB433" s="173"/>
      <c r="WHC433" s="173"/>
      <c r="WHD433" s="173"/>
      <c r="WHE433" s="125"/>
      <c r="WHF433" s="125"/>
      <c r="WHG433" s="134"/>
      <c r="WHH433" s="135"/>
      <c r="WHI433" s="135"/>
      <c r="WHJ433" s="135"/>
      <c r="WHK433" s="135"/>
      <c r="WHL433" s="173"/>
      <c r="WHM433" s="173"/>
      <c r="WHN433" s="173"/>
      <c r="WHO433" s="173"/>
      <c r="WHP433" s="173"/>
      <c r="WHQ433" s="173"/>
      <c r="WHR433" s="173"/>
      <c r="WHS433" s="173"/>
      <c r="WHT433" s="173"/>
      <c r="WHU433" s="173"/>
      <c r="WHV433" s="125"/>
      <c r="WHW433" s="125"/>
      <c r="WHX433" s="134"/>
      <c r="WHY433" s="135"/>
      <c r="WHZ433" s="135"/>
      <c r="WIA433" s="135"/>
      <c r="WIB433" s="135"/>
      <c r="WIC433" s="173"/>
      <c r="WID433" s="173"/>
      <c r="WIE433" s="173"/>
      <c r="WIF433" s="173"/>
      <c r="WIG433" s="173"/>
      <c r="WIH433" s="173"/>
      <c r="WII433" s="173"/>
      <c r="WIJ433" s="173"/>
      <c r="WIK433" s="173"/>
      <c r="WIL433" s="173"/>
      <c r="WIM433" s="125"/>
      <c r="WIN433" s="125"/>
      <c r="WIO433" s="134"/>
      <c r="WIP433" s="135"/>
      <c r="WIQ433" s="135"/>
      <c r="WIR433" s="135"/>
      <c r="WIS433" s="135"/>
      <c r="WIT433" s="173"/>
      <c r="WIU433" s="173"/>
      <c r="WIV433" s="173"/>
      <c r="WIW433" s="173"/>
      <c r="WIX433" s="173"/>
      <c r="WIY433" s="173"/>
      <c r="WIZ433" s="173"/>
      <c r="WJA433" s="173"/>
      <c r="WJB433" s="173"/>
      <c r="WJC433" s="173"/>
      <c r="WJD433" s="125"/>
      <c r="WJE433" s="125"/>
      <c r="WJF433" s="134"/>
      <c r="WJG433" s="135"/>
      <c r="WJH433" s="135"/>
      <c r="WJI433" s="135"/>
      <c r="WJJ433" s="135"/>
      <c r="WJK433" s="173"/>
      <c r="WJL433" s="173"/>
      <c r="WJM433" s="173"/>
      <c r="WJN433" s="173"/>
      <c r="WJO433" s="173"/>
      <c r="WJP433" s="173"/>
      <c r="WJQ433" s="173"/>
      <c r="WJR433" s="173"/>
      <c r="WJS433" s="173"/>
      <c r="WJT433" s="173"/>
      <c r="WJU433" s="125"/>
      <c r="WJV433" s="125"/>
      <c r="WJW433" s="134"/>
      <c r="WJX433" s="135"/>
      <c r="WJY433" s="135"/>
      <c r="WJZ433" s="135"/>
      <c r="WKA433" s="135"/>
      <c r="WKB433" s="173"/>
      <c r="WKC433" s="173"/>
      <c r="WKD433" s="173"/>
      <c r="WKE433" s="173"/>
      <c r="WKF433" s="173"/>
      <c r="WKG433" s="173"/>
      <c r="WKH433" s="173"/>
      <c r="WKI433" s="173"/>
      <c r="WKJ433" s="173"/>
      <c r="WKK433" s="173"/>
      <c r="WKL433" s="125"/>
      <c r="WKM433" s="125"/>
      <c r="WKN433" s="134"/>
      <c r="WKO433" s="135"/>
      <c r="WKP433" s="135"/>
      <c r="WKQ433" s="135"/>
      <c r="WKR433" s="135"/>
      <c r="WKS433" s="173"/>
      <c r="WKT433" s="173"/>
      <c r="WKU433" s="173"/>
      <c r="WKV433" s="173"/>
      <c r="WKW433" s="173"/>
      <c r="WKX433" s="173"/>
      <c r="WKY433" s="173"/>
      <c r="WKZ433" s="173"/>
      <c r="WLA433" s="173"/>
      <c r="WLB433" s="173"/>
      <c r="WLC433" s="125"/>
      <c r="WLD433" s="125"/>
      <c r="WLE433" s="134"/>
      <c r="WLF433" s="135"/>
      <c r="WLG433" s="135"/>
      <c r="WLH433" s="135"/>
      <c r="WLI433" s="135"/>
      <c r="WLJ433" s="173"/>
      <c r="WLK433" s="173"/>
      <c r="WLL433" s="173"/>
      <c r="WLM433" s="173"/>
      <c r="WLN433" s="173"/>
      <c r="WLO433" s="173"/>
      <c r="WLP433" s="173"/>
      <c r="WLQ433" s="173"/>
      <c r="WLR433" s="173"/>
      <c r="WLS433" s="173"/>
      <c r="WLT433" s="125"/>
      <c r="WLU433" s="125"/>
      <c r="WLV433" s="134"/>
      <c r="WLW433" s="135"/>
      <c r="WLX433" s="135"/>
      <c r="WLY433" s="135"/>
      <c r="WLZ433" s="135"/>
      <c r="WMA433" s="173"/>
      <c r="WMB433" s="173"/>
      <c r="WMC433" s="173"/>
      <c r="WMD433" s="173"/>
      <c r="WME433" s="173"/>
      <c r="WMF433" s="173"/>
      <c r="WMG433" s="173"/>
      <c r="WMH433" s="173"/>
      <c r="WMI433" s="173"/>
      <c r="WMJ433" s="173"/>
      <c r="WMK433" s="125"/>
      <c r="WML433" s="125"/>
      <c r="WMM433" s="134"/>
      <c r="WMN433" s="135"/>
      <c r="WMO433" s="135"/>
      <c r="WMP433" s="135"/>
      <c r="WMQ433" s="135"/>
      <c r="WMR433" s="173"/>
      <c r="WMS433" s="173"/>
      <c r="WMT433" s="173"/>
      <c r="WMU433" s="173"/>
      <c r="WMV433" s="173"/>
      <c r="WMW433" s="173"/>
      <c r="WMX433" s="173"/>
      <c r="WMY433" s="173"/>
      <c r="WMZ433" s="173"/>
      <c r="WNA433" s="173"/>
      <c r="WNB433" s="125"/>
      <c r="WNC433" s="125"/>
      <c r="WND433" s="134"/>
      <c r="WNE433" s="135"/>
      <c r="WNF433" s="135"/>
      <c r="WNG433" s="135"/>
      <c r="WNH433" s="135"/>
      <c r="WNI433" s="173"/>
      <c r="WNJ433" s="173"/>
      <c r="WNK433" s="173"/>
      <c r="WNL433" s="173"/>
      <c r="WNM433" s="173"/>
      <c r="WNN433" s="173"/>
      <c r="WNO433" s="173"/>
      <c r="WNP433" s="173"/>
      <c r="WNQ433" s="173"/>
      <c r="WNR433" s="173"/>
      <c r="WNS433" s="125"/>
      <c r="WNT433" s="125"/>
      <c r="WNU433" s="134"/>
      <c r="WNV433" s="135"/>
      <c r="WNW433" s="135"/>
      <c r="WNX433" s="135"/>
      <c r="WNY433" s="135"/>
      <c r="WNZ433" s="173"/>
      <c r="WOA433" s="173"/>
      <c r="WOB433" s="173"/>
      <c r="WOC433" s="173"/>
      <c r="WOD433" s="173"/>
      <c r="WOE433" s="173"/>
      <c r="WOF433" s="173"/>
      <c r="WOG433" s="173"/>
      <c r="WOH433" s="173"/>
      <c r="WOI433" s="173"/>
      <c r="WOJ433" s="125"/>
      <c r="WOK433" s="125"/>
      <c r="WOL433" s="134"/>
      <c r="WOM433" s="135"/>
      <c r="WON433" s="135"/>
      <c r="WOO433" s="135"/>
      <c r="WOP433" s="135"/>
      <c r="WOQ433" s="173"/>
      <c r="WOR433" s="173"/>
      <c r="WOS433" s="173"/>
      <c r="WOT433" s="173"/>
      <c r="WOU433" s="173"/>
      <c r="WOV433" s="173"/>
      <c r="WOW433" s="173"/>
      <c r="WOX433" s="173"/>
      <c r="WOY433" s="173"/>
      <c r="WOZ433" s="173"/>
      <c r="WPA433" s="125"/>
      <c r="WPB433" s="125"/>
      <c r="WPC433" s="134"/>
      <c r="WPD433" s="135"/>
      <c r="WPE433" s="135"/>
      <c r="WPF433" s="135"/>
      <c r="WPG433" s="135"/>
      <c r="WPH433" s="173"/>
      <c r="WPI433" s="173"/>
      <c r="WPJ433" s="173"/>
      <c r="WPK433" s="173"/>
      <c r="WPL433" s="173"/>
      <c r="WPM433" s="173"/>
      <c r="WPN433" s="173"/>
      <c r="WPO433" s="173"/>
      <c r="WPP433" s="173"/>
      <c r="WPQ433" s="173"/>
      <c r="WPR433" s="125"/>
      <c r="WPS433" s="125"/>
      <c r="WPT433" s="134"/>
      <c r="WPU433" s="135"/>
      <c r="WPV433" s="135"/>
      <c r="WPW433" s="135"/>
      <c r="WPX433" s="135"/>
      <c r="WPY433" s="173"/>
      <c r="WPZ433" s="173"/>
      <c r="WQA433" s="173"/>
      <c r="WQB433" s="173"/>
      <c r="WQC433" s="173"/>
      <c r="WQD433" s="173"/>
      <c r="WQE433" s="173"/>
      <c r="WQF433" s="173"/>
      <c r="WQG433" s="173"/>
      <c r="WQH433" s="173"/>
      <c r="WQI433" s="125"/>
      <c r="WQJ433" s="125"/>
      <c r="WQK433" s="134"/>
      <c r="WQL433" s="135"/>
      <c r="WQM433" s="135"/>
      <c r="WQN433" s="135"/>
      <c r="WQO433" s="135"/>
      <c r="WQP433" s="173"/>
      <c r="WQQ433" s="173"/>
      <c r="WQR433" s="173"/>
      <c r="WQS433" s="173"/>
      <c r="WQT433" s="173"/>
      <c r="WQU433" s="173"/>
      <c r="WQV433" s="173"/>
      <c r="WQW433" s="173"/>
      <c r="WQX433" s="173"/>
      <c r="WQY433" s="173"/>
      <c r="WQZ433" s="125"/>
      <c r="WRA433" s="125"/>
      <c r="WRB433" s="134"/>
      <c r="WRC433" s="135"/>
      <c r="WRD433" s="135"/>
      <c r="WRE433" s="135"/>
      <c r="WRF433" s="135"/>
      <c r="WRG433" s="173"/>
      <c r="WRH433" s="173"/>
      <c r="WRI433" s="173"/>
      <c r="WRJ433" s="173"/>
      <c r="WRK433" s="173"/>
      <c r="WRL433" s="173"/>
      <c r="WRM433" s="173"/>
      <c r="WRN433" s="173"/>
      <c r="WRO433" s="173"/>
      <c r="WRP433" s="173"/>
      <c r="WRQ433" s="125"/>
      <c r="WRR433" s="125"/>
      <c r="WRS433" s="134"/>
      <c r="WRT433" s="135"/>
      <c r="WRU433" s="135"/>
      <c r="WRV433" s="135"/>
      <c r="WRW433" s="135"/>
      <c r="WRX433" s="173"/>
      <c r="WRY433" s="173"/>
      <c r="WRZ433" s="173"/>
      <c r="WSA433" s="173"/>
      <c r="WSB433" s="173"/>
      <c r="WSC433" s="173"/>
      <c r="WSD433" s="173"/>
      <c r="WSE433" s="173"/>
      <c r="WSF433" s="173"/>
      <c r="WSG433" s="173"/>
      <c r="WSH433" s="125"/>
      <c r="WSI433" s="125"/>
      <c r="WSJ433" s="134"/>
      <c r="WSK433" s="135"/>
      <c r="WSL433" s="135"/>
      <c r="WSM433" s="135"/>
      <c r="WSN433" s="135"/>
      <c r="WSO433" s="173"/>
      <c r="WSP433" s="173"/>
      <c r="WSQ433" s="173"/>
      <c r="WSR433" s="173"/>
      <c r="WSS433" s="173"/>
      <c r="WST433" s="173"/>
      <c r="WSU433" s="173"/>
      <c r="WSV433" s="173"/>
      <c r="WSW433" s="173"/>
      <c r="WSX433" s="173"/>
      <c r="WSY433" s="125"/>
      <c r="WSZ433" s="125"/>
      <c r="WTA433" s="134"/>
      <c r="WTB433" s="135"/>
      <c r="WTC433" s="135"/>
      <c r="WTD433" s="135"/>
      <c r="WTE433" s="135"/>
      <c r="WTF433" s="173"/>
      <c r="WTG433" s="173"/>
      <c r="WTH433" s="173"/>
      <c r="WTI433" s="173"/>
      <c r="WTJ433" s="173"/>
      <c r="WTK433" s="173"/>
      <c r="WTL433" s="173"/>
      <c r="WTM433" s="173"/>
      <c r="WTN433" s="173"/>
      <c r="WTO433" s="173"/>
      <c r="WTP433" s="125"/>
      <c r="WTQ433" s="125"/>
      <c r="WTR433" s="134"/>
      <c r="WTS433" s="135"/>
      <c r="WTT433" s="135"/>
      <c r="WTU433" s="135"/>
      <c r="WTV433" s="135"/>
      <c r="WTW433" s="173"/>
      <c r="WTX433" s="173"/>
      <c r="WTY433" s="173"/>
      <c r="WTZ433" s="173"/>
      <c r="WUA433" s="173"/>
      <c r="WUB433" s="173"/>
      <c r="WUC433" s="173"/>
      <c r="WUD433" s="173"/>
      <c r="WUE433" s="173"/>
      <c r="WUF433" s="173"/>
      <c r="WUG433" s="125"/>
      <c r="WUH433" s="125"/>
      <c r="WUI433" s="134"/>
      <c r="WUJ433" s="135"/>
      <c r="WUK433" s="135"/>
      <c r="WUL433" s="135"/>
      <c r="WUM433" s="135"/>
      <c r="WUN433" s="173"/>
      <c r="WUO433" s="173"/>
      <c r="WUP433" s="173"/>
      <c r="WUQ433" s="173"/>
      <c r="WUR433" s="173"/>
      <c r="WUS433" s="173"/>
      <c r="WUT433" s="173"/>
      <c r="WUU433" s="173"/>
      <c r="WUV433" s="173"/>
      <c r="WUW433" s="173"/>
      <c r="WUX433" s="125"/>
      <c r="WUY433" s="125"/>
      <c r="WUZ433" s="134"/>
      <c r="WVA433" s="135"/>
      <c r="WVB433" s="135"/>
      <c r="WVC433" s="135"/>
      <c r="WVD433" s="135"/>
      <c r="WVE433" s="173"/>
      <c r="WVF433" s="173"/>
      <c r="WVG433" s="173"/>
      <c r="WVH433" s="173"/>
      <c r="WVI433" s="173"/>
      <c r="WVJ433" s="173"/>
      <c r="WVK433" s="173"/>
      <c r="WVL433" s="173"/>
      <c r="WVM433" s="173"/>
      <c r="WVN433" s="173"/>
      <c r="WVO433" s="125"/>
      <c r="WVP433" s="125"/>
      <c r="WVQ433" s="134"/>
      <c r="WVR433" s="135"/>
      <c r="WVS433" s="135"/>
      <c r="WVT433" s="135"/>
      <c r="WVU433" s="135"/>
      <c r="WVV433" s="173"/>
      <c r="WVW433" s="173"/>
      <c r="WVX433" s="173"/>
      <c r="WVY433" s="173"/>
      <c r="WVZ433" s="173"/>
      <c r="WWA433" s="173"/>
      <c r="WWB433" s="173"/>
      <c r="WWC433" s="173"/>
      <c r="WWD433" s="173"/>
      <c r="WWE433" s="173"/>
      <c r="WWF433" s="125"/>
      <c r="WWG433" s="125"/>
      <c r="WWH433" s="134"/>
      <c r="WWI433" s="135"/>
      <c r="WWJ433" s="135"/>
      <c r="WWK433" s="135"/>
      <c r="WWL433" s="135"/>
      <c r="WWM433" s="173"/>
      <c r="WWN433" s="173"/>
      <c r="WWO433" s="173"/>
      <c r="WWP433" s="173"/>
      <c r="WWQ433" s="173"/>
      <c r="WWR433" s="173"/>
      <c r="WWS433" s="173"/>
      <c r="WWT433" s="173"/>
      <c r="WWU433" s="173"/>
      <c r="WWV433" s="173"/>
      <c r="WWW433" s="125"/>
      <c r="WWX433" s="125"/>
      <c r="WWY433" s="134"/>
      <c r="WWZ433" s="135"/>
      <c r="WXA433" s="135"/>
      <c r="WXB433" s="135"/>
      <c r="WXC433" s="135"/>
      <c r="WXD433" s="173"/>
      <c r="WXE433" s="173"/>
      <c r="WXF433" s="173"/>
      <c r="WXG433" s="173"/>
      <c r="WXH433" s="173"/>
      <c r="WXI433" s="173"/>
      <c r="WXJ433" s="173"/>
      <c r="WXK433" s="173"/>
      <c r="WXL433" s="173"/>
      <c r="WXM433" s="173"/>
      <c r="WXN433" s="125"/>
      <c r="WXO433" s="125"/>
      <c r="WXP433" s="134"/>
      <c r="WXQ433" s="135"/>
      <c r="WXR433" s="135"/>
      <c r="WXS433" s="135"/>
      <c r="WXT433" s="135"/>
      <c r="WXU433" s="173"/>
      <c r="WXV433" s="173"/>
      <c r="WXW433" s="173"/>
      <c r="WXX433" s="173"/>
      <c r="WXY433" s="173"/>
      <c r="WXZ433" s="173"/>
      <c r="WYA433" s="173"/>
      <c r="WYB433" s="173"/>
      <c r="WYC433" s="173"/>
      <c r="WYD433" s="173"/>
      <c r="WYE433" s="125"/>
      <c r="WYF433" s="125"/>
      <c r="WYG433" s="134"/>
      <c r="WYH433" s="135"/>
      <c r="WYI433" s="135"/>
      <c r="WYJ433" s="135"/>
      <c r="WYK433" s="135"/>
      <c r="WYL433" s="173"/>
      <c r="WYM433" s="173"/>
      <c r="WYN433" s="173"/>
      <c r="WYO433" s="173"/>
      <c r="WYP433" s="173"/>
      <c r="WYQ433" s="173"/>
      <c r="WYR433" s="173"/>
      <c r="WYS433" s="173"/>
      <c r="WYT433" s="173"/>
      <c r="WYU433" s="173"/>
      <c r="WYV433" s="125"/>
      <c r="WYW433" s="125"/>
      <c r="WYX433" s="134"/>
      <c r="WYY433" s="135"/>
      <c r="WYZ433" s="135"/>
      <c r="WZA433" s="135"/>
      <c r="WZB433" s="135"/>
      <c r="WZC433" s="173"/>
      <c r="WZD433" s="173"/>
      <c r="WZE433" s="173"/>
      <c r="WZF433" s="173"/>
      <c r="WZG433" s="173"/>
      <c r="WZH433" s="173"/>
      <c r="WZI433" s="173"/>
      <c r="WZJ433" s="173"/>
      <c r="WZK433" s="173"/>
      <c r="WZL433" s="173"/>
      <c r="WZM433" s="125"/>
      <c r="WZN433" s="125"/>
      <c r="WZO433" s="134"/>
      <c r="WZP433" s="135"/>
      <c r="WZQ433" s="135"/>
      <c r="WZR433" s="135"/>
      <c r="WZS433" s="135"/>
      <c r="WZT433" s="173"/>
      <c r="WZU433" s="173"/>
      <c r="WZV433" s="173"/>
      <c r="WZW433" s="173"/>
      <c r="WZX433" s="173"/>
      <c r="WZY433" s="173"/>
      <c r="WZZ433" s="173"/>
      <c r="XAA433" s="173"/>
      <c r="XAB433" s="173"/>
      <c r="XAC433" s="173"/>
      <c r="XAD433" s="125"/>
      <c r="XAE433" s="125"/>
      <c r="XAF433" s="134"/>
      <c r="XAG433" s="135"/>
      <c r="XAH433" s="135"/>
      <c r="XAI433" s="135"/>
      <c r="XAJ433" s="135"/>
      <c r="XAK433" s="173"/>
      <c r="XAL433" s="173"/>
      <c r="XAM433" s="173"/>
      <c r="XAN433" s="173"/>
      <c r="XAO433" s="173"/>
      <c r="XAP433" s="173"/>
      <c r="XAQ433" s="173"/>
      <c r="XAR433" s="173"/>
      <c r="XAS433" s="173"/>
      <c r="XAT433" s="173"/>
      <c r="XAU433" s="125"/>
      <c r="XAV433" s="125"/>
      <c r="XAW433" s="134"/>
      <c r="XAX433" s="135"/>
      <c r="XAY433" s="135"/>
      <c r="XAZ433" s="135"/>
      <c r="XBA433" s="135"/>
      <c r="XBB433" s="173"/>
      <c r="XBC433" s="173"/>
      <c r="XBD433" s="173"/>
      <c r="XBE433" s="173"/>
      <c r="XBF433" s="173"/>
      <c r="XBG433" s="173"/>
      <c r="XBH433" s="173"/>
      <c r="XBI433" s="173"/>
      <c r="XBJ433" s="173"/>
      <c r="XBK433" s="173"/>
      <c r="XBL433" s="125"/>
      <c r="XBM433" s="125"/>
      <c r="XBN433" s="134"/>
      <c r="XBO433" s="135"/>
      <c r="XBP433" s="135"/>
      <c r="XBQ433" s="135"/>
      <c r="XBR433" s="135"/>
      <c r="XBS433" s="173"/>
      <c r="XBT433" s="173"/>
      <c r="XBU433" s="173"/>
      <c r="XBV433" s="173"/>
      <c r="XBW433" s="173"/>
      <c r="XBX433" s="173"/>
      <c r="XBY433" s="173"/>
      <c r="XBZ433" s="173"/>
      <c r="XCA433" s="173"/>
      <c r="XCB433" s="173"/>
      <c r="XCC433" s="125"/>
      <c r="XCD433" s="125"/>
      <c r="XCE433" s="134"/>
      <c r="XCF433" s="135"/>
      <c r="XCG433" s="135"/>
      <c r="XCH433" s="135"/>
      <c r="XCI433" s="135"/>
      <c r="XCJ433" s="173"/>
      <c r="XCK433" s="173"/>
      <c r="XCL433" s="173"/>
      <c r="XCM433" s="173"/>
      <c r="XCN433" s="173"/>
      <c r="XCO433" s="173"/>
      <c r="XCP433" s="173"/>
      <c r="XCQ433" s="173"/>
      <c r="XCR433" s="173"/>
      <c r="XCS433" s="173"/>
      <c r="XCT433" s="125"/>
      <c r="XCU433" s="125"/>
      <c r="XCV433" s="134"/>
      <c r="XCW433" s="135"/>
      <c r="XCX433" s="135"/>
      <c r="XCY433" s="135"/>
      <c r="XCZ433" s="135"/>
      <c r="XDA433" s="173"/>
      <c r="XDB433" s="173"/>
      <c r="XDC433" s="173"/>
      <c r="XDD433" s="173"/>
      <c r="XDE433" s="173"/>
      <c r="XDF433" s="173"/>
      <c r="XDG433" s="173"/>
      <c r="XDH433" s="173"/>
      <c r="XDI433" s="173"/>
      <c r="XDJ433" s="173"/>
      <c r="XDK433" s="125"/>
      <c r="XDL433" s="125"/>
      <c r="XDM433" s="134"/>
      <c r="XDN433" s="135"/>
      <c r="XDO433" s="135"/>
      <c r="XDP433" s="135"/>
      <c r="XDQ433" s="135"/>
      <c r="XDR433" s="173"/>
      <c r="XDS433" s="173"/>
      <c r="XDT433" s="173"/>
      <c r="XDU433" s="173"/>
      <c r="XDV433" s="173"/>
      <c r="XDW433" s="173"/>
      <c r="XDX433" s="173"/>
      <c r="XDY433" s="173"/>
      <c r="XDZ433" s="173"/>
      <c r="XEA433" s="173"/>
      <c r="XEB433" s="125"/>
      <c r="XEC433" s="125"/>
      <c r="XED433" s="134"/>
      <c r="XEE433" s="135"/>
      <c r="XEF433" s="135"/>
      <c r="XEG433" s="135"/>
      <c r="XEH433" s="135"/>
      <c r="XEI433" s="173"/>
      <c r="XEJ433" s="173"/>
      <c r="XEK433" s="173"/>
      <c r="XEL433" s="173"/>
      <c r="XEM433" s="173"/>
      <c r="XEN433" s="173"/>
      <c r="XEO433" s="173"/>
      <c r="XEP433" s="173"/>
      <c r="XEQ433" s="173"/>
      <c r="XER433" s="173"/>
      <c r="XES433" s="125"/>
      <c r="XET433" s="125"/>
      <c r="XEU433" s="134"/>
      <c r="XEV433" s="135"/>
      <c r="XEW433" s="135"/>
      <c r="XEX433" s="135"/>
      <c r="XEY433" s="135"/>
      <c r="XEZ433" s="173"/>
      <c r="XFA433" s="173"/>
      <c r="XFB433" s="173"/>
    </row>
    <row r="434" spans="1:16382" ht="11.25">
      <c r="C434" s="164" t="s">
        <v>184</v>
      </c>
      <c r="G434" s="164" t="s">
        <v>176</v>
      </c>
      <c r="I434" s="170">
        <f>I433/H433-1</f>
        <v>1.2349812137248035</v>
      </c>
      <c r="J434" s="170">
        <f>J433/I433-1</f>
        <v>6.4417229963048106E-2</v>
      </c>
      <c r="K434" s="170">
        <f>K433/J433-1</f>
        <v>0.20139563286709183</v>
      </c>
      <c r="L434" s="170">
        <f>L433/K433-1</f>
        <v>0.11549089923172251</v>
      </c>
      <c r="M434" s="170">
        <f>M433/L433-1</f>
        <v>0.22059900254260478</v>
      </c>
      <c r="N434" s="21">
        <f>(0.78*((M433/I433)^(1/4)-1)+0.22*($E457*N458+$E459*N460+$E461*N462))</f>
        <v>8.2609114725700053E-2</v>
      </c>
      <c r="O434" s="21">
        <f>(0.999*((N433/M433)^(1/1)-1)+0.001*($E457*O458+$E459*O460+$E461*O462))*1.2</f>
        <v>9.8998812210970039E-2</v>
      </c>
      <c r="P434" s="21">
        <f>(0.999*((O433/N433)^(1/1)-1)+0.001*($E457*P458+$E459*P460+$E461*P462))*0.5</f>
        <v>4.9471742882821808E-2</v>
      </c>
      <c r="Q434" s="21">
        <f>(0.999*((P433/O433)^(1/1)-1)+0.001*($E457*Q458+$E459*Q460+$E461*Q462))*1.8</f>
        <v>8.9087068874921793E-2</v>
      </c>
      <c r="R434" s="21">
        <f>(0.95*((Q433/P433)^(1/1)-1)+0.05*($E457*R458+$E459*R460+$E461*R462))</f>
        <v>8.8052778410795993E-2</v>
      </c>
      <c r="Z434" s="1"/>
    </row>
    <row r="435" spans="1:16382">
      <c r="A435" s="129" t="str">
        <f>'[7]Input sheet'!A162</f>
        <v>Turkey</v>
      </c>
      <c r="B435" s="129" t="str">
        <f>'[7]Input sheet'!B162</f>
        <v>Tourism Spend Factors</v>
      </c>
      <c r="C435" s="129" t="str">
        <f>'[7]Input sheet'!C162</f>
        <v>Average Overseas Tourism Expenditure per Resident by Sector</v>
      </c>
      <c r="D435" s="2" t="str">
        <f>'[7]Input sheet'!D162</f>
        <v>Accommodation</v>
      </c>
      <c r="E435"/>
      <c r="F435"/>
      <c r="G435" s="1" t="str">
        <f>Home!$B$2</f>
        <v>Foriant</v>
      </c>
      <c r="H435" s="203">
        <f t="shared" ref="H435:M435" si="319">(H39*1000)/H$498</f>
        <v>76303.425979472857</v>
      </c>
      <c r="I435" s="203">
        <f t="shared" si="319"/>
        <v>171924.05693040759</v>
      </c>
      <c r="J435" s="203">
        <f t="shared" si="319"/>
        <v>181484.36395228663</v>
      </c>
      <c r="K435" s="203">
        <f t="shared" si="319"/>
        <v>217341.99881864985</v>
      </c>
      <c r="L435" s="203">
        <f t="shared" si="319"/>
        <v>240919.66495235535</v>
      </c>
      <c r="M435" s="203">
        <f t="shared" si="319"/>
        <v>294851.14241246326</v>
      </c>
      <c r="N435" s="205">
        <f>N$433*N449</f>
        <v>317179.99236988905</v>
      </c>
      <c r="O435" s="205">
        <f>O$433*O449</f>
        <v>347953.93772533303</v>
      </c>
      <c r="P435" s="205">
        <f>P$433*P449</f>
        <v>363454.07390650903</v>
      </c>
      <c r="Q435" s="205">
        <f>Q$433*Q449</f>
        <v>394574.60254775599</v>
      </c>
      <c r="R435" s="205">
        <f>R$433*R449</f>
        <v>426848.74166616367</v>
      </c>
      <c r="S435" s="6"/>
      <c r="V435"/>
      <c r="Z435" s="1"/>
    </row>
    <row r="436" spans="1:16382" ht="11.25">
      <c r="C436" s="164" t="s">
        <v>184</v>
      </c>
      <c r="G436" s="164" t="s">
        <v>176</v>
      </c>
      <c r="I436" s="170">
        <f t="shared" ref="I436:R436" si="320">I435/H435-1</f>
        <v>1.253163009701014</v>
      </c>
      <c r="J436" s="170">
        <f t="shared" si="320"/>
        <v>5.5607732812801736E-2</v>
      </c>
      <c r="K436" s="170">
        <f t="shared" si="320"/>
        <v>0.19757974783871979</v>
      </c>
      <c r="L436" s="170">
        <f t="shared" si="320"/>
        <v>0.10848186849233277</v>
      </c>
      <c r="M436" s="170">
        <f t="shared" si="320"/>
        <v>0.22385668463706976</v>
      </c>
      <c r="N436" s="170">
        <f t="shared" si="320"/>
        <v>7.5729229925079578E-2</v>
      </c>
      <c r="O436" s="170">
        <f t="shared" si="320"/>
        <v>9.7023602042199508E-2</v>
      </c>
      <c r="P436" s="170">
        <f t="shared" si="320"/>
        <v>4.4546517514658657E-2</v>
      </c>
      <c r="Q436" s="170">
        <f t="shared" si="320"/>
        <v>8.5624376985940831E-2</v>
      </c>
      <c r="R436" s="170">
        <f t="shared" si="320"/>
        <v>8.1794770646703041E-2</v>
      </c>
      <c r="Y436" s="125"/>
      <c r="Z436" s="125"/>
      <c r="AA436" s="134"/>
      <c r="AB436" s="135"/>
      <c r="AC436" s="135"/>
    </row>
    <row r="437" spans="1:16382">
      <c r="A437" s="129" t="str">
        <f>'[7]Input sheet'!A163</f>
        <v>Turkey</v>
      </c>
      <c r="B437" s="129" t="str">
        <f>'[7]Input sheet'!B163</f>
        <v>Tourism Spend Factors</v>
      </c>
      <c r="C437" s="129" t="str">
        <f>'[7]Input sheet'!C163</f>
        <v>Average Overseas Tourism Expenditure per Resident by Sector</v>
      </c>
      <c r="D437" s="2" t="str">
        <f>'[7]Input sheet'!D163</f>
        <v>Entertainment &amp; Sightseeing</v>
      </c>
      <c r="E437"/>
      <c r="F437"/>
      <c r="G437" s="1" t="str">
        <f>Home!$B$2</f>
        <v>Foriant</v>
      </c>
      <c r="H437" s="203">
        <f t="shared" ref="H437:M437" si="321">(H41*1000)/H$498</f>
        <v>16860.695017045662</v>
      </c>
      <c r="I437" s="203">
        <f t="shared" si="321"/>
        <v>37347.199390385387</v>
      </c>
      <c r="J437" s="203">
        <f t="shared" si="321"/>
        <v>39974.915405248947</v>
      </c>
      <c r="K437" s="203">
        <f t="shared" si="321"/>
        <v>48106.252275746047</v>
      </c>
      <c r="L437" s="203">
        <f t="shared" si="321"/>
        <v>52959.626098336928</v>
      </c>
      <c r="M437" s="203">
        <f t="shared" si="321"/>
        <v>64363.008749948152</v>
      </c>
      <c r="N437" s="205">
        <f>N433*N450</f>
        <v>69510.368258070914</v>
      </c>
      <c r="O437" s="205">
        <f>O433*O450</f>
        <v>76047.144692128786</v>
      </c>
      <c r="P437" s="205">
        <f>P433*P450</f>
        <v>79344.414645559547</v>
      </c>
      <c r="Q437" s="205">
        <f>Q433*Q450</f>
        <v>86522.081021199469</v>
      </c>
      <c r="R437" s="205">
        <f>R433*R450</f>
        <v>94095.608102665341</v>
      </c>
      <c r="S437" s="6"/>
      <c r="V437"/>
      <c r="Z437" s="1"/>
    </row>
    <row r="438" spans="1:16382">
      <c r="C438" s="164" t="s">
        <v>184</v>
      </c>
      <c r="G438" s="164" t="s">
        <v>176</v>
      </c>
      <c r="I438" s="170">
        <f t="shared" ref="I438:R438" si="322">I437/H437-1</f>
        <v>1.2150450709551697</v>
      </c>
      <c r="J438" s="170">
        <f t="shared" si="322"/>
        <v>7.0359118160277179E-2</v>
      </c>
      <c r="K438" s="170">
        <f t="shared" si="322"/>
        <v>0.20341098381485012</v>
      </c>
      <c r="L438" s="170">
        <f t="shared" si="322"/>
        <v>0.10088862867078574</v>
      </c>
      <c r="M438" s="170">
        <f t="shared" si="322"/>
        <v>0.21532218959471328</v>
      </c>
      <c r="N438" s="170">
        <f t="shared" si="322"/>
        <v>7.9973879532580172E-2</v>
      </c>
      <c r="O438" s="170">
        <f t="shared" si="322"/>
        <v>9.4040307911890331E-2</v>
      </c>
      <c r="P438" s="170">
        <f t="shared" si="322"/>
        <v>4.3358234773698712E-2</v>
      </c>
      <c r="Q438" s="170">
        <f t="shared" si="322"/>
        <v>9.0462150457639279E-2</v>
      </c>
      <c r="R438" s="170">
        <f t="shared" si="322"/>
        <v>8.7532881688435316E-2</v>
      </c>
      <c r="Y438" s="6"/>
      <c r="Z438" s="1"/>
      <c r="AB438"/>
    </row>
    <row r="439" spans="1:16382">
      <c r="A439" s="129" t="str">
        <f>'[7]Input sheet'!A164</f>
        <v>Turkey</v>
      </c>
      <c r="B439" s="129" t="str">
        <f>'[7]Input sheet'!B164</f>
        <v>Tourism Spend Factors</v>
      </c>
      <c r="C439" s="129" t="str">
        <f>'[7]Input sheet'!C164</f>
        <v>Average Overseas Tourism Expenditure per Resident by Sector</v>
      </c>
      <c r="D439" s="2" t="str">
        <f>'[7]Input sheet'!D164</f>
        <v>Foodservice</v>
      </c>
      <c r="E439"/>
      <c r="F439"/>
      <c r="G439" s="1" t="str">
        <f>Home!$B$2</f>
        <v>Foriant</v>
      </c>
      <c r="H439" s="203">
        <f t="shared" ref="H439:M439" si="323">(H43*1000)/H$498</f>
        <v>46181.040147983273</v>
      </c>
      <c r="I439" s="203">
        <f t="shared" si="323"/>
        <v>103055.28357768148</v>
      </c>
      <c r="J439" s="203">
        <f t="shared" si="323"/>
        <v>109198.07173320778</v>
      </c>
      <c r="K439" s="203">
        <f t="shared" si="323"/>
        <v>131404.49703915609</v>
      </c>
      <c r="L439" s="203">
        <f t="shared" si="323"/>
        <v>144675.84691291966</v>
      </c>
      <c r="M439" s="203">
        <f t="shared" si="323"/>
        <v>176353.53805526803</v>
      </c>
      <c r="N439" s="205">
        <f>N433*N451</f>
        <v>189555.10749575502</v>
      </c>
      <c r="O439" s="205">
        <f>O433*O451</f>
        <v>206992.8421487016</v>
      </c>
      <c r="P439" s="205">
        <f>P433*P451</f>
        <v>216468.5518742268</v>
      </c>
      <c r="Q439" s="205">
        <f>Q433*Q451</f>
        <v>234904.60415570563</v>
      </c>
      <c r="R439" s="205">
        <f>R433*R451</f>
        <v>253638.89762429369</v>
      </c>
      <c r="S439" s="6"/>
      <c r="V439"/>
      <c r="Z439" s="1"/>
    </row>
    <row r="440" spans="1:16382">
      <c r="C440" s="164" t="s">
        <v>184</v>
      </c>
      <c r="G440" s="164" t="s">
        <v>176</v>
      </c>
      <c r="I440" s="170">
        <f t="shared" ref="I440:R440" si="324">I439/H439-1</f>
        <v>1.2315496413127436</v>
      </c>
      <c r="J440" s="170">
        <f t="shared" si="324"/>
        <v>5.9606727013622463E-2</v>
      </c>
      <c r="K440" s="170">
        <f t="shared" si="324"/>
        <v>0.20335913403492101</v>
      </c>
      <c r="L440" s="170">
        <f t="shared" si="324"/>
        <v>0.10099616202487316</v>
      </c>
      <c r="M440" s="170">
        <f t="shared" si="324"/>
        <v>0.21895632075625704</v>
      </c>
      <c r="N440" s="170">
        <f t="shared" si="324"/>
        <v>7.4858545998377934E-2</v>
      </c>
      <c r="O440" s="170">
        <f t="shared" si="324"/>
        <v>9.1992955944682819E-2</v>
      </c>
      <c r="P440" s="170">
        <f t="shared" si="324"/>
        <v>4.5777958441277633E-2</v>
      </c>
      <c r="Q440" s="170">
        <f t="shared" si="324"/>
        <v>8.5167347043512365E-2</v>
      </c>
      <c r="R440" s="170">
        <f t="shared" si="324"/>
        <v>7.9752772560260698E-2</v>
      </c>
      <c r="Y440" s="6"/>
      <c r="Z440" s="1"/>
      <c r="AB440"/>
    </row>
    <row r="441" spans="1:16382">
      <c r="A441" s="129" t="str">
        <f>'[7]Input sheet'!A165</f>
        <v>Turkey</v>
      </c>
      <c r="B441" s="129" t="str">
        <f>'[7]Input sheet'!B165</f>
        <v>Tourism Spend Factors</v>
      </c>
      <c r="C441" s="129" t="str">
        <f>'[7]Input sheet'!C165</f>
        <v>Average Overseas Tourism Expenditure per Resident by Sector</v>
      </c>
      <c r="D441" s="2" t="str">
        <f>'[7]Input sheet'!D165</f>
        <v>Retail</v>
      </c>
      <c r="E441"/>
      <c r="F441"/>
      <c r="G441" s="1" t="str">
        <f>Home!$B$2</f>
        <v>Foriant</v>
      </c>
      <c r="H441" s="203">
        <f t="shared" ref="H441:M441" si="325">(H45*1000)/H$498</f>
        <v>37822.539103292336</v>
      </c>
      <c r="I441" s="203">
        <f t="shared" si="325"/>
        <v>83428.229264684676</v>
      </c>
      <c r="J441" s="203">
        <f t="shared" si="325"/>
        <v>89554.317076978317</v>
      </c>
      <c r="K441" s="203">
        <f t="shared" si="325"/>
        <v>108170.38708573328</v>
      </c>
      <c r="L441" s="203">
        <f t="shared" si="325"/>
        <v>120070.87698941573</v>
      </c>
      <c r="M441" s="203">
        <f t="shared" si="325"/>
        <v>147677.09243533111</v>
      </c>
      <c r="N441" s="205">
        <f>N433*N452</f>
        <v>162093.4766187334</v>
      </c>
      <c r="O441" s="205">
        <f>O433*O452</f>
        <v>178202.03204675243</v>
      </c>
      <c r="P441" s="205">
        <f>P433*P452</f>
        <v>187122.46015715727</v>
      </c>
      <c r="Q441" s="205">
        <f>Q433*Q452</f>
        <v>205365.3411949969</v>
      </c>
      <c r="R441" s="205">
        <f>R433*R452</f>
        <v>224603.50838178079</v>
      </c>
      <c r="S441" s="6"/>
      <c r="V441"/>
      <c r="Z441" s="1"/>
    </row>
    <row r="442" spans="1:16382">
      <c r="C442" s="164" t="s">
        <v>184</v>
      </c>
      <c r="G442" s="164" t="s">
        <v>176</v>
      </c>
      <c r="I442" s="170">
        <f t="shared" ref="I442:R442" si="326">I441/H441-1</f>
        <v>1.2057807657186745</v>
      </c>
      <c r="J442" s="170">
        <f t="shared" si="326"/>
        <v>7.3429435891033901E-2</v>
      </c>
      <c r="K442" s="170">
        <f t="shared" si="326"/>
        <v>0.20787462420994318</v>
      </c>
      <c r="L442" s="170">
        <f t="shared" si="326"/>
        <v>0.11001615344364457</v>
      </c>
      <c r="M442" s="170">
        <f t="shared" si="326"/>
        <v>0.22991599743498892</v>
      </c>
      <c r="N442" s="170">
        <f t="shared" si="326"/>
        <v>9.7620991486647268E-2</v>
      </c>
      <c r="O442" s="170">
        <f t="shared" si="326"/>
        <v>9.9378184514535395E-2</v>
      </c>
      <c r="P442" s="170">
        <f t="shared" si="326"/>
        <v>5.0057948318257717E-2</v>
      </c>
      <c r="Q442" s="170">
        <f t="shared" si="326"/>
        <v>9.7491669479538245E-2</v>
      </c>
      <c r="R442" s="170">
        <f t="shared" si="326"/>
        <v>9.3677769943259381E-2</v>
      </c>
      <c r="Y442" s="6"/>
      <c r="Z442" s="1"/>
      <c r="AB442"/>
    </row>
    <row r="443" spans="1:16382">
      <c r="A443" s="129" t="str">
        <f>'[7]Input sheet'!A166</f>
        <v>Turkey</v>
      </c>
      <c r="B443" s="129" t="str">
        <f>'[7]Input sheet'!B166</f>
        <v>Tourism Spend Factors</v>
      </c>
      <c r="C443" s="129" t="str">
        <f>'[7]Input sheet'!C166</f>
        <v>Average Overseas Tourism Expenditure per Resident by Sector</v>
      </c>
      <c r="D443" s="2" t="str">
        <f>'[7]Input sheet'!D166</f>
        <v>Transportation</v>
      </c>
      <c r="E443"/>
      <c r="F443"/>
      <c r="G443" s="1" t="str">
        <f>Home!$B$2</f>
        <v>Foriant</v>
      </c>
      <c r="H443" s="203">
        <f t="shared" ref="H443:M443" si="327">(H47*1000)/H$498</f>
        <v>23226.773204952526</v>
      </c>
      <c r="I443" s="203">
        <f t="shared" si="327"/>
        <v>53705.472732913222</v>
      </c>
      <c r="J443" s="203">
        <f t="shared" si="327"/>
        <v>59871.90172094739</v>
      </c>
      <c r="K443" s="203">
        <f t="shared" si="327"/>
        <v>71208.261826778529</v>
      </c>
      <c r="L443" s="203">
        <f t="shared" si="327"/>
        <v>84138.601454035743</v>
      </c>
      <c r="M443" s="203">
        <f t="shared" si="327"/>
        <v>102137.00532746845</v>
      </c>
      <c r="N443" s="205">
        <f>N433*N453</f>
        <v>113402.0164096785</v>
      </c>
      <c r="O443" s="205">
        <f>O433*O453</f>
        <v>126161.77270477657</v>
      </c>
      <c r="P443" s="205">
        <f>P433*P453</f>
        <v>134480.30300083137</v>
      </c>
      <c r="Q443" s="205">
        <f>Q433*Q453</f>
        <v>146973.15318319309</v>
      </c>
      <c r="R443" s="205">
        <f>R433*R453</f>
        <v>163536.32687023011</v>
      </c>
      <c r="S443" s="6"/>
      <c r="V443"/>
      <c r="Z443" s="1"/>
    </row>
    <row r="444" spans="1:16382">
      <c r="C444" s="164" t="s">
        <v>184</v>
      </c>
      <c r="G444" s="164" t="s">
        <v>176</v>
      </c>
      <c r="I444" s="170">
        <f t="shared" ref="I444:R444" si="328">I443/H443-1</f>
        <v>1.3122227206946628</v>
      </c>
      <c r="J444" s="170">
        <f t="shared" si="328"/>
        <v>0.11481937825407296</v>
      </c>
      <c r="K444" s="170">
        <f t="shared" si="328"/>
        <v>0.18934357820581615</v>
      </c>
      <c r="L444" s="170">
        <f t="shared" si="328"/>
        <v>0.18158482310257207</v>
      </c>
      <c r="M444" s="170">
        <f t="shared" si="328"/>
        <v>0.21391375138633717</v>
      </c>
      <c r="N444" s="170">
        <f t="shared" si="328"/>
        <v>0.11029314053307648</v>
      </c>
      <c r="O444" s="170">
        <f t="shared" si="328"/>
        <v>0.11251789605752593</v>
      </c>
      <c r="P444" s="170">
        <f t="shared" si="328"/>
        <v>6.5935426537802933E-2</v>
      </c>
      <c r="Q444" s="170">
        <f t="shared" si="328"/>
        <v>9.2897248917445552E-2</v>
      </c>
      <c r="R444" s="170">
        <f t="shared" si="328"/>
        <v>0.11269523262110348</v>
      </c>
      <c r="Y444" s="6"/>
      <c r="Z444" s="1"/>
      <c r="AB444"/>
    </row>
    <row r="445" spans="1:16382">
      <c r="A445" s="129" t="str">
        <f>'[7]Input sheet'!A167</f>
        <v>Turkey</v>
      </c>
      <c r="B445" s="129" t="str">
        <f>'[7]Input sheet'!B167</f>
        <v>Tourism Spend Factors</v>
      </c>
      <c r="C445" s="129" t="str">
        <f>'[7]Input sheet'!C167</f>
        <v>Average Overseas Tourism Expenditure per Resident by Sector</v>
      </c>
      <c r="D445" s="2" t="str">
        <f>'[7]Input sheet'!D167</f>
        <v>Travel Intermediation</v>
      </c>
      <c r="E445"/>
      <c r="F445"/>
      <c r="G445" s="1" t="str">
        <f>Home!$B$2</f>
        <v>Foriant</v>
      </c>
      <c r="H445" s="203">
        <f t="shared" ref="H445:M445" si="329">(H49*1000)/H$498</f>
        <v>38601.088084160408</v>
      </c>
      <c r="I445" s="203">
        <f t="shared" si="329"/>
        <v>84410.068914767209</v>
      </c>
      <c r="J445" s="203">
        <f t="shared" si="329"/>
        <v>89113.006711388822</v>
      </c>
      <c r="K445" s="203">
        <f t="shared" si="329"/>
        <v>107775.46361900425</v>
      </c>
      <c r="L445" s="203">
        <f t="shared" si="329"/>
        <v>119260.12207281946</v>
      </c>
      <c r="M445" s="203">
        <f t="shared" si="329"/>
        <v>145139.38475198566</v>
      </c>
      <c r="N445" s="205">
        <f>N433*N454</f>
        <v>156101.71270905304</v>
      </c>
      <c r="O445" s="205">
        <f>O433*O454</f>
        <v>171535.30366023784</v>
      </c>
      <c r="P445" s="205">
        <f>P433*P454</f>
        <v>179512.10335546319</v>
      </c>
      <c r="Q445" s="205">
        <f>Q433*Q454</f>
        <v>196268.76597568812</v>
      </c>
      <c r="R445" s="205">
        <f>R433*R454</f>
        <v>212342.17264287968</v>
      </c>
      <c r="S445" s="6"/>
      <c r="V445"/>
      <c r="Z445" s="1"/>
    </row>
    <row r="446" spans="1:16382">
      <c r="C446" s="164" t="s">
        <v>184</v>
      </c>
      <c r="G446" s="164" t="s">
        <v>176</v>
      </c>
      <c r="I446" s="170">
        <f t="shared" ref="I446:R446" si="330">I445/H445-1</f>
        <v>1.1867277090928452</v>
      </c>
      <c r="J446" s="170">
        <f t="shared" si="330"/>
        <v>5.5715364968726533E-2</v>
      </c>
      <c r="K446" s="170">
        <f t="shared" si="330"/>
        <v>0.2094246125939585</v>
      </c>
      <c r="L446" s="170">
        <f t="shared" si="330"/>
        <v>0.10656097471697712</v>
      </c>
      <c r="M446" s="170">
        <f t="shared" si="330"/>
        <v>0.21699845874184587</v>
      </c>
      <c r="N446" s="170">
        <f t="shared" si="330"/>
        <v>7.5529657065859901E-2</v>
      </c>
      <c r="O446" s="170">
        <f t="shared" si="330"/>
        <v>9.8868812413034801E-2</v>
      </c>
      <c r="P446" s="170">
        <f t="shared" si="330"/>
        <v>4.650237895649223E-2</v>
      </c>
      <c r="Q446" s="170">
        <f t="shared" si="330"/>
        <v>9.334558677107152E-2</v>
      </c>
      <c r="R446" s="170">
        <f t="shared" si="330"/>
        <v>8.1894878114139535E-2</v>
      </c>
      <c r="Y446" s="6"/>
      <c r="Z446" s="1"/>
      <c r="AB446"/>
    </row>
    <row r="447" spans="1:16382">
      <c r="A447" s="129" t="str">
        <f>'[7]Input sheet'!A168</f>
        <v>Turkey</v>
      </c>
      <c r="B447" s="129" t="str">
        <f>'[7]Input sheet'!B168</f>
        <v>Tourism Spend Factors</v>
      </c>
      <c r="C447" s="129" t="str">
        <f>'[7]Input sheet'!C168</f>
        <v>Average Overseas Tourism Expenditure per Resident by Sector</v>
      </c>
      <c r="D447" s="2" t="str">
        <f>'[7]Input sheet'!D168</f>
        <v>Other Sectors</v>
      </c>
      <c r="E447"/>
      <c r="F447"/>
      <c r="G447" s="1" t="str">
        <f>Home!$B$2</f>
        <v>Foriant</v>
      </c>
      <c r="H447" s="203">
        <f t="shared" ref="H447:M447" si="331">(H51*1000)/H$498</f>
        <v>13743.981310691341</v>
      </c>
      <c r="I447" s="203">
        <f t="shared" si="331"/>
        <v>30997.819418937914</v>
      </c>
      <c r="J447" s="203">
        <f t="shared" si="331"/>
        <v>32058.793873527982</v>
      </c>
      <c r="K447" s="203">
        <f t="shared" si="331"/>
        <v>38338.715659783396</v>
      </c>
      <c r="L447" s="203">
        <f t="shared" si="331"/>
        <v>43745.178010782474</v>
      </c>
      <c r="M447" s="203">
        <f t="shared" si="331"/>
        <v>53000.784614879689</v>
      </c>
      <c r="N447" s="205">
        <f>N433*N455</f>
        <v>56927.160613306769</v>
      </c>
      <c r="O447" s="205">
        <f>O433*O455</f>
        <v>63287.750387601962</v>
      </c>
      <c r="P447" s="205">
        <f>P433*P455</f>
        <v>67689.759266863257</v>
      </c>
      <c r="Q447" s="205">
        <f>Q433*Q455</f>
        <v>72868.423238759729</v>
      </c>
      <c r="R447" s="205">
        <f>R433*R455</f>
        <v>80180.279414230681</v>
      </c>
      <c r="S447" s="6"/>
      <c r="V447"/>
      <c r="Z447" s="1"/>
    </row>
    <row r="448" spans="1:16382">
      <c r="A448" s="129"/>
      <c r="B448" s="129"/>
      <c r="C448" s="164" t="s">
        <v>184</v>
      </c>
      <c r="G448" s="164" t="s">
        <v>176</v>
      </c>
      <c r="J448" s="170">
        <f t="shared" ref="J448:R448" si="332">J447/I447-1</f>
        <v>3.4227390006081215E-2</v>
      </c>
      <c r="K448" s="170">
        <f t="shared" si="332"/>
        <v>0.19588764976716599</v>
      </c>
      <c r="L448" s="170">
        <f t="shared" si="332"/>
        <v>0.14101834810993319</v>
      </c>
      <c r="M448" s="170">
        <f t="shared" si="332"/>
        <v>0.21158004207494274</v>
      </c>
      <c r="N448" s="170">
        <f t="shared" si="332"/>
        <v>7.4081469301961356E-2</v>
      </c>
      <c r="O448" s="170">
        <f t="shared" si="332"/>
        <v>0.11173207491413861</v>
      </c>
      <c r="P448" s="170">
        <f t="shared" si="332"/>
        <v>6.9555464561490421E-2</v>
      </c>
      <c r="Q448" s="170">
        <f t="shared" si="332"/>
        <v>7.6505870725287473E-2</v>
      </c>
      <c r="R448" s="170">
        <f t="shared" si="332"/>
        <v>0.10034327422610767</v>
      </c>
      <c r="S448" s="6"/>
      <c r="V448"/>
      <c r="Y448" s="6"/>
      <c r="Z448" s="1"/>
      <c r="AB448"/>
    </row>
    <row r="449" spans="1:29" outlineLevel="1">
      <c r="A449" s="221"/>
      <c r="B449" s="221"/>
      <c r="C449" s="208" t="s">
        <v>374</v>
      </c>
      <c r="D449" s="175" t="s">
        <v>36</v>
      </c>
      <c r="E449" s="215"/>
      <c r="F449" s="215"/>
      <c r="G449" s="34"/>
      <c r="H449" s="56">
        <f>H435/H$433</f>
        <v>0.30190537309582671</v>
      </c>
      <c r="I449" s="56">
        <f>I435/I$433</f>
        <v>0.30436140353762259</v>
      </c>
      <c r="J449" s="56">
        <f t="shared" ref="J449:M449" si="333">J435/J$433</f>
        <v>0.30184239985971073</v>
      </c>
      <c r="K449" s="56">
        <f t="shared" si="333"/>
        <v>0.30088368495927126</v>
      </c>
      <c r="L449" s="56">
        <f t="shared" si="333"/>
        <v>0.29899312449094934</v>
      </c>
      <c r="M449" s="56">
        <f t="shared" si="333"/>
        <v>0.29979111346684828</v>
      </c>
      <c r="N449" s="56">
        <f>FORECAST(N$433,I449:M449,I$433:M$433)*0.9999</f>
        <v>0.29788596755883123</v>
      </c>
      <c r="O449" s="56">
        <f>FORECAST(O$433,J449:N449,J$433:N$433)*0.9995</f>
        <v>0.29735058263782976</v>
      </c>
      <c r="P449" s="56">
        <f>FORECAST(P$433,K449:O449,K$433:O$433)*0.996</f>
        <v>0.29595510091783322</v>
      </c>
      <c r="Q449" s="56">
        <f>FORECAST(Q$433,L449:P449,L$433:P$433)*0.997</f>
        <v>0.29501412810056399</v>
      </c>
      <c r="R449" s="56">
        <f>FORECAST(R$433,M449:Q449,M$433:Q$433)*1</f>
        <v>0.29331733476406147</v>
      </c>
      <c r="S449" s="6"/>
      <c r="V449"/>
      <c r="Z449" s="1"/>
    </row>
    <row r="450" spans="1:29" outlineLevel="1">
      <c r="A450" s="221"/>
      <c r="B450" s="221"/>
      <c r="C450" s="221"/>
      <c r="D450" s="175" t="s">
        <v>37</v>
      </c>
      <c r="E450" s="215"/>
      <c r="F450" s="215"/>
      <c r="G450" s="34"/>
      <c r="H450" s="56">
        <f>H437/H$433</f>
        <v>6.6711741372471503E-2</v>
      </c>
      <c r="I450" s="56">
        <f>I437/I$433</f>
        <v>6.6116669345805151E-2</v>
      </c>
      <c r="J450" s="56">
        <f t="shared" ref="J450:M450" si="334">J437/J$433</f>
        <v>6.6485751925612291E-2</v>
      </c>
      <c r="K450" s="56">
        <f t="shared" si="334"/>
        <v>6.6597282315344064E-2</v>
      </c>
      <c r="L450" s="56">
        <f t="shared" si="334"/>
        <v>6.572549435574572E-2</v>
      </c>
      <c r="M450" s="56">
        <f t="shared" si="334"/>
        <v>6.5441354241834004E-2</v>
      </c>
      <c r="N450" s="56">
        <f>FORECAST(N$433,I450:M450,I$433:M$433)*0.999</f>
        <v>6.5282060035423056E-2</v>
      </c>
      <c r="O450" s="56">
        <f>FORECAST(O$433,J450:N450,J$433:N$433)*1.001</f>
        <v>6.4987517974283607E-2</v>
      </c>
      <c r="P450" s="56">
        <f>FORECAST(P$433,K450:O450,K$433:O$433)*0.998</f>
        <v>6.4608944924726117E-2</v>
      </c>
      <c r="Q450" s="56">
        <f>FORECAST(Q$433,L450:P450,L$433:P$433)*1.003</f>
        <v>6.469052019339272E-2</v>
      </c>
      <c r="R450" s="56">
        <f>FORECAST(R$433,M450:Q450,M$433:Q$433)*1.006</f>
        <v>6.4659609570228399E-2</v>
      </c>
      <c r="S450" s="6"/>
      <c r="V450"/>
      <c r="Y450" s="6"/>
      <c r="Z450" s="1"/>
      <c r="AB450"/>
    </row>
    <row r="451" spans="1:29" outlineLevel="1">
      <c r="A451" s="221"/>
      <c r="B451" s="221"/>
      <c r="C451" s="221"/>
      <c r="D451" s="175" t="s">
        <v>38</v>
      </c>
      <c r="E451" s="215"/>
      <c r="F451" s="215"/>
      <c r="G451" s="34"/>
      <c r="H451" s="56">
        <f>H439/H$433</f>
        <v>0.18272186309931876</v>
      </c>
      <c r="I451" s="56">
        <f>I439/I$433</f>
        <v>0.18244131340134306</v>
      </c>
      <c r="J451" s="56">
        <f t="shared" ref="J451:M451" si="335">J439/J$433</f>
        <v>0.18161679229109692</v>
      </c>
      <c r="K451" s="56">
        <f t="shared" si="335"/>
        <v>0.18191361772811795</v>
      </c>
      <c r="L451" s="56">
        <f t="shared" si="335"/>
        <v>0.17954982427616567</v>
      </c>
      <c r="M451" s="56">
        <f t="shared" si="335"/>
        <v>0.17930818617432712</v>
      </c>
      <c r="N451" s="56">
        <f>FORECAST(N$433,I451:M451,I$433:M$433)*0.9975</f>
        <v>0.17802449070066795</v>
      </c>
      <c r="O451" s="56">
        <f>FORECAST(O$433,J451:N451,J$433:N$433)*0.997</f>
        <v>0.17688962687745896</v>
      </c>
      <c r="P451" s="56">
        <f>FORECAST(P$433,K451:O451,K$433:O$433)*0.999</f>
        <v>0.17626703541078861</v>
      </c>
      <c r="Q451" s="56">
        <f>FORECAST(Q$433,L451:P451,L$433:P$433)*0.9999</f>
        <v>0.17563263457489287</v>
      </c>
      <c r="R451" s="56">
        <f>FORECAST(R$433,M451:Q451,M$433:Q$433)*1.001</f>
        <v>0.17429285407578349</v>
      </c>
      <c r="S451" s="6"/>
      <c r="V451"/>
      <c r="Y451" s="6"/>
      <c r="Z451" s="1"/>
      <c r="AB451"/>
    </row>
    <row r="452" spans="1:29" outlineLevel="1">
      <c r="A452" s="221"/>
      <c r="B452" s="221"/>
      <c r="C452" s="221"/>
      <c r="D452" s="175" t="s">
        <v>39</v>
      </c>
      <c r="E452" s="215"/>
      <c r="F452" s="215"/>
      <c r="G452" s="34"/>
      <c r="H452" s="56">
        <f>H441/H$433</f>
        <v>0.14965026318061864</v>
      </c>
      <c r="I452" s="56">
        <f>I441/I$433</f>
        <v>0.14769505447359493</v>
      </c>
      <c r="J452" s="56">
        <f t="shared" ref="J452:M452" si="336">J441/J$433</f>
        <v>0.14894555870068951</v>
      </c>
      <c r="K452" s="56">
        <f t="shared" si="336"/>
        <v>0.14974880532401455</v>
      </c>
      <c r="L452" s="56">
        <f t="shared" si="336"/>
        <v>0.14901384940300971</v>
      </c>
      <c r="M452" s="56">
        <f t="shared" si="336"/>
        <v>0.15015129197906482</v>
      </c>
      <c r="N452" s="56">
        <f>FORECAST(N$433,I452:M452,I$433:M$433)*1.011</f>
        <v>0.15223334787535003</v>
      </c>
      <c r="O452" s="56">
        <f>FORECAST(O$433,J452:N452,J$433:N$433)*1.002</f>
        <v>0.15228589853802704</v>
      </c>
      <c r="P452" s="56">
        <f>FORECAST(P$433,K452:O452,K$433:O$433)*0.998</f>
        <v>0.15237096116317028</v>
      </c>
      <c r="Q452" s="56">
        <f>FORECAST(Q$433,L452:P452,L$433:P$433)*0.999</f>
        <v>0.15354682405688813</v>
      </c>
      <c r="R452" s="56">
        <f>FORECAST(R$433,M452:Q452,M$433:Q$433)*0.999</f>
        <v>0.15434062708032062</v>
      </c>
      <c r="S452" s="6"/>
      <c r="V452"/>
      <c r="Y452" s="6"/>
      <c r="Z452" s="1"/>
      <c r="AB452"/>
    </row>
    <row r="453" spans="1:29" outlineLevel="1">
      <c r="A453" s="221"/>
      <c r="B453" s="221"/>
      <c r="C453" s="221"/>
      <c r="D453" s="175" t="s">
        <v>40</v>
      </c>
      <c r="E453" s="215"/>
      <c r="F453" s="215"/>
      <c r="G453" s="34"/>
      <c r="H453" s="56">
        <f>H443/H$433</f>
        <v>9.1900036469395069E-2</v>
      </c>
      <c r="I453" s="56">
        <f>I443/I$433</f>
        <v>9.5076124601093867E-2</v>
      </c>
      <c r="J453" s="56">
        <f t="shared" ref="J453:M453" si="337">J443/J$433</f>
        <v>9.9578157071243414E-2</v>
      </c>
      <c r="K453" s="56">
        <f t="shared" si="337"/>
        <v>9.8579217705010103E-2</v>
      </c>
      <c r="L453" s="56">
        <f t="shared" si="337"/>
        <v>0.10442013251187253</v>
      </c>
      <c r="M453" s="56">
        <f t="shared" si="337"/>
        <v>0.10384822084378294</v>
      </c>
      <c r="N453" s="56">
        <f>FORECAST(N$433,I453:M453,I$433:M$433)*0.999</f>
        <v>0.10650378395218874</v>
      </c>
      <c r="O453" s="56">
        <f>FORECAST(O$433,J453:N453,J$433:N$433)*1.001</f>
        <v>0.10781391601896365</v>
      </c>
      <c r="P453" s="56">
        <f>FORECAST(P$433,K453:O453,K$433:O$433)*1.005</f>
        <v>0.109505256656745</v>
      </c>
      <c r="Q453" s="56">
        <f>FORECAST(Q$433,L453:P453,L$433:P$433)*0.999</f>
        <v>0.10988836169525765</v>
      </c>
      <c r="R453" s="56">
        <f>FORECAST(R$433,M453:Q453,M$433:Q$433)*0.998</f>
        <v>0.11237713703323</v>
      </c>
      <c r="S453" s="6"/>
      <c r="V453"/>
      <c r="Y453" s="6"/>
      <c r="Z453" s="1"/>
      <c r="AB453"/>
    </row>
    <row r="454" spans="1:29" outlineLevel="1">
      <c r="A454" s="221"/>
      <c r="B454" s="221"/>
      <c r="C454" s="221"/>
      <c r="D454" s="175" t="s">
        <v>41</v>
      </c>
      <c r="E454" s="215"/>
      <c r="F454" s="215"/>
      <c r="G454" s="34"/>
      <c r="H454" s="56">
        <f>H445/H$433</f>
        <v>0.15273070311532858</v>
      </c>
      <c r="I454" s="56">
        <f>I445/I$433</f>
        <v>0.14943322945203308</v>
      </c>
      <c r="J454" s="56">
        <f t="shared" ref="J454:M454" si="338">J445/J$433</f>
        <v>0.14821157712270897</v>
      </c>
      <c r="K454" s="56">
        <f t="shared" si="338"/>
        <v>0.14920208159554885</v>
      </c>
      <c r="L454" s="56">
        <f t="shared" si="338"/>
        <v>0.14800766277329869</v>
      </c>
      <c r="M454" s="56">
        <f t="shared" si="338"/>
        <v>0.14757106723983263</v>
      </c>
      <c r="N454" s="56">
        <f>FORECAST(N$433,I454:M454,I$433:M$433)*0.995</f>
        <v>0.14660606231965284</v>
      </c>
      <c r="O454" s="56">
        <f>FORECAST(O$433,J454:N454,J$433:N$433)*1</f>
        <v>0.14658872039146703</v>
      </c>
      <c r="P454" s="56">
        <f>FORECAST(P$433,K454:O454,K$433:O$433)*1.001</f>
        <v>0.14617396386153744</v>
      </c>
      <c r="Q454" s="56">
        <f>FORECAST(Q$433,L454:P454,L$433:P$433)*1.007</f>
        <v>0.14674552922012585</v>
      </c>
      <c r="R454" s="56">
        <f>FORECAST(R$433,M454:Q454,M$433:Q$433)*0.999</f>
        <v>0.14591501405041368</v>
      </c>
      <c r="S454" s="6"/>
      <c r="V454"/>
      <c r="Y454" s="6"/>
      <c r="Z454" s="1"/>
      <c r="AB454"/>
    </row>
    <row r="455" spans="1:29" outlineLevel="1">
      <c r="A455" s="221"/>
      <c r="B455" s="221"/>
      <c r="C455" s="221"/>
      <c r="D455" s="175" t="s">
        <v>42</v>
      </c>
      <c r="E455" s="215"/>
      <c r="F455" s="215"/>
      <c r="G455" s="34"/>
      <c r="H455" s="56">
        <f>H447/H$433</f>
        <v>5.4380019667040966E-2</v>
      </c>
      <c r="I455" s="56">
        <f>I447/I$433</f>
        <v>5.4876205188507637E-2</v>
      </c>
      <c r="J455" s="56">
        <f t="shared" ref="J455:M455" si="339">J447/J$433</f>
        <v>5.3319763028938094E-2</v>
      </c>
      <c r="K455" s="56">
        <f t="shared" si="339"/>
        <v>5.3075310372693141E-2</v>
      </c>
      <c r="L455" s="56">
        <f t="shared" si="339"/>
        <v>5.4289912188958282E-2</v>
      </c>
      <c r="M455" s="56">
        <f t="shared" si="339"/>
        <v>5.3888766054310373E-2</v>
      </c>
      <c r="N455" s="56">
        <f>1-SUM(N449:N454)</f>
        <v>5.3464287557886125E-2</v>
      </c>
      <c r="O455" s="56">
        <f>1-SUM(O449:O454)</f>
        <v>5.4083737561970047E-2</v>
      </c>
      <c r="P455" s="56">
        <f>1-SUM(P449:P454)</f>
        <v>5.5118737065199208E-2</v>
      </c>
      <c r="Q455" s="56">
        <f>1-SUM(Q449:Q454)</f>
        <v>5.4482002158878773E-2</v>
      </c>
      <c r="R455" s="56">
        <f>1-SUM(R449:R454)</f>
        <v>5.5097423425962466E-2</v>
      </c>
      <c r="S455" s="6"/>
      <c r="V455"/>
      <c r="Y455" s="6"/>
      <c r="Z455" s="1"/>
      <c r="AB455"/>
    </row>
    <row r="456" spans="1:29" ht="15" customHeight="1">
      <c r="A456" s="195"/>
      <c r="B456" s="195"/>
      <c r="C456" s="195"/>
      <c r="D456" s="196" t="s">
        <v>351</v>
      </c>
      <c r="E456" s="197" t="s">
        <v>352</v>
      </c>
      <c r="F456" s="197"/>
      <c r="G456" s="197"/>
      <c r="H456" s="197"/>
      <c r="I456" s="197"/>
      <c r="J456" s="197"/>
      <c r="K456" s="197"/>
      <c r="L456" s="198"/>
      <c r="M456" s="199"/>
      <c r="N456" s="200"/>
      <c r="O456" s="200"/>
      <c r="P456" s="200"/>
      <c r="Q456" s="200"/>
      <c r="R456" s="200"/>
      <c r="S456" s="200"/>
      <c r="T456" s="200"/>
      <c r="U456" s="200"/>
      <c r="V456" s="200"/>
      <c r="W456" s="222"/>
      <c r="X456" s="222"/>
      <c r="Y456" s="6"/>
      <c r="Z456" s="1"/>
      <c r="AB456"/>
    </row>
    <row r="457" spans="1:29" ht="15" customHeight="1">
      <c r="A457" s="23"/>
      <c r="B457" s="23"/>
      <c r="C457" s="23"/>
      <c r="D457" s="23" t="s">
        <v>375</v>
      </c>
      <c r="E457" s="41">
        <f>S458/$S$463</f>
        <v>0.67422989516069143</v>
      </c>
      <c r="F457" s="25"/>
      <c r="G457" s="25"/>
      <c r="H457" s="26">
        <f t="shared" ref="H457" si="340">H472</f>
        <v>463.625</v>
      </c>
      <c r="I457" s="26">
        <f t="shared" ref="I457:R457" si="341">I472</f>
        <v>486.61200000000002</v>
      </c>
      <c r="J457" s="26">
        <f t="shared" si="341"/>
        <v>406.41199999999998</v>
      </c>
      <c r="K457" s="26">
        <f t="shared" si="341"/>
        <v>462.46</v>
      </c>
      <c r="L457" s="26">
        <f t="shared" si="341"/>
        <v>538.62400000000002</v>
      </c>
      <c r="M457" s="26">
        <f t="shared" si="341"/>
        <v>526.19200000000001</v>
      </c>
      <c r="N457" s="26">
        <f t="shared" si="341"/>
        <v>576.01099999999997</v>
      </c>
      <c r="O457" s="26">
        <f t="shared" si="341"/>
        <v>602.94500000000005</v>
      </c>
      <c r="P457" s="26">
        <f t="shared" si="341"/>
        <v>632.94399999999996</v>
      </c>
      <c r="Q457" s="26">
        <f t="shared" si="341"/>
        <v>663.83399999999995</v>
      </c>
      <c r="R457" s="26">
        <f t="shared" si="341"/>
        <v>696.45500000000004</v>
      </c>
      <c r="S457" s="22" t="s">
        <v>182</v>
      </c>
      <c r="T457" s="223"/>
      <c r="U457" s="223"/>
      <c r="V457" s="223"/>
      <c r="W457" s="22"/>
      <c r="X457" s="222"/>
      <c r="Y457" s="6"/>
      <c r="Z457" s="1"/>
      <c r="AB457"/>
    </row>
    <row r="458" spans="1:29" ht="15" customHeight="1">
      <c r="A458" s="28"/>
      <c r="B458" s="28"/>
      <c r="C458" s="28"/>
      <c r="D458" s="28" t="s">
        <v>184</v>
      </c>
      <c r="E458" s="28"/>
      <c r="F458" s="28"/>
      <c r="G458" s="28"/>
      <c r="H458" s="28"/>
      <c r="I458" s="30">
        <f t="shared" ref="I458:R458" si="342">I457/H457-1</f>
        <v>4.9581019142626026E-2</v>
      </c>
      <c r="J458" s="30">
        <f t="shared" si="342"/>
        <v>-0.16481303379283707</v>
      </c>
      <c r="K458" s="30">
        <f t="shared" si="342"/>
        <v>0.13790931370136716</v>
      </c>
      <c r="L458" s="30">
        <f t="shared" si="342"/>
        <v>0.16469316265190503</v>
      </c>
      <c r="M458" s="30">
        <f t="shared" si="342"/>
        <v>-2.3081036121673004E-2</v>
      </c>
      <c r="N458" s="30">
        <f t="shared" si="342"/>
        <v>9.4678368352236308E-2</v>
      </c>
      <c r="O458" s="30">
        <f t="shared" si="342"/>
        <v>4.6759523689651861E-2</v>
      </c>
      <c r="P458" s="30">
        <f t="shared" si="342"/>
        <v>4.9754123510436177E-2</v>
      </c>
      <c r="Q458" s="30">
        <f t="shared" si="342"/>
        <v>4.8803685634116079E-2</v>
      </c>
      <c r="R458" s="30">
        <f t="shared" si="342"/>
        <v>4.9140297122473475E-2</v>
      </c>
      <c r="S458" s="27">
        <f>CORREL(K457:M457,K$434:M$434)</f>
        <v>-0.48286069570214518</v>
      </c>
      <c r="T458" s="224"/>
      <c r="U458" s="224"/>
      <c r="V458" s="224"/>
      <c r="W458" s="27"/>
      <c r="X458" s="224"/>
      <c r="Y458" s="6"/>
      <c r="Z458" s="1"/>
      <c r="AB458"/>
    </row>
    <row r="459" spans="1:29" ht="15" customHeight="1">
      <c r="A459" s="25"/>
      <c r="B459" s="25"/>
      <c r="C459" s="25"/>
      <c r="D459" s="25" t="s">
        <v>376</v>
      </c>
      <c r="E459" s="41">
        <f>S460/$S$463</f>
        <v>0.52168702826248914</v>
      </c>
      <c r="F459" s="25"/>
      <c r="G459" s="25"/>
      <c r="H459" s="26">
        <f>H474</f>
        <v>232432.95794830221</v>
      </c>
      <c r="I459" s="26">
        <f>I474</f>
        <v>243265.6213799479</v>
      </c>
      <c r="J459" s="26">
        <f t="shared" ref="J459:R459" si="343">J474</f>
        <v>209746.7</v>
      </c>
      <c r="K459" s="26">
        <f t="shared" si="343"/>
        <v>229862.9</v>
      </c>
      <c r="L459" s="26">
        <f t="shared" si="343"/>
        <v>267252.2</v>
      </c>
      <c r="M459" s="26">
        <f t="shared" si="343"/>
        <v>265907.5</v>
      </c>
      <c r="N459" s="26">
        <f t="shared" si="343"/>
        <v>272054.09999999998</v>
      </c>
      <c r="O459" s="26">
        <f t="shared" si="343"/>
        <v>275379.65496027685</v>
      </c>
      <c r="P459" s="26">
        <f t="shared" si="343"/>
        <v>279081.0614839106</v>
      </c>
      <c r="Q459" s="26">
        <f t="shared" si="343"/>
        <v>282894.02457884245</v>
      </c>
      <c r="R459" s="26">
        <f t="shared" si="343"/>
        <v>286919.55518451671</v>
      </c>
      <c r="S459" s="27"/>
      <c r="T459" s="223"/>
      <c r="U459" s="223"/>
      <c r="V459" s="223"/>
      <c r="W459" s="27"/>
      <c r="X459" s="225"/>
      <c r="Y459" s="200"/>
      <c r="Z459" s="200"/>
      <c r="AA459" s="200"/>
      <c r="AB459" s="200"/>
      <c r="AC459" s="222"/>
    </row>
    <row r="460" spans="1:29" ht="15" customHeight="1">
      <c r="A460" s="28"/>
      <c r="B460" s="28"/>
      <c r="C460" s="28"/>
      <c r="D460" s="28" t="s">
        <v>184</v>
      </c>
      <c r="E460" s="28"/>
      <c r="F460" s="28"/>
      <c r="G460" s="28"/>
      <c r="H460" s="28"/>
      <c r="I460" s="29">
        <f t="shared" ref="I460:R460" si="344">I459/H459-1</f>
        <v>4.6605539624269277E-2</v>
      </c>
      <c r="J460" s="29">
        <f t="shared" si="344"/>
        <v>-0.13778733381975039</v>
      </c>
      <c r="K460" s="29">
        <f t="shared" si="344"/>
        <v>9.5907110815092622E-2</v>
      </c>
      <c r="L460" s="29">
        <f t="shared" si="344"/>
        <v>0.16265913290052469</v>
      </c>
      <c r="M460" s="29">
        <f t="shared" si="344"/>
        <v>-5.0315769149890111E-3</v>
      </c>
      <c r="N460" s="29">
        <f t="shared" si="344"/>
        <v>2.3115557101623496E-2</v>
      </c>
      <c r="O460" s="29">
        <f t="shared" si="344"/>
        <v>1.2223873708489874E-2</v>
      </c>
      <c r="P460" s="29">
        <f t="shared" si="344"/>
        <v>1.3441103788759179E-2</v>
      </c>
      <c r="Q460" s="29">
        <f t="shared" si="344"/>
        <v>1.3662564828504697E-2</v>
      </c>
      <c r="R460" s="29">
        <f t="shared" si="344"/>
        <v>1.4229818433483254E-2</v>
      </c>
      <c r="S460" s="27">
        <f>CORREL(K459:M459,K$434:M$434)</f>
        <v>-0.37361464274077244</v>
      </c>
      <c r="T460" s="226"/>
      <c r="U460" s="226"/>
      <c r="V460" s="226"/>
      <c r="W460" s="27"/>
      <c r="X460" s="226"/>
      <c r="Y460" s="22"/>
      <c r="Z460" s="223"/>
      <c r="AA460" s="223"/>
      <c r="AB460" s="223"/>
      <c r="AC460" s="22"/>
    </row>
    <row r="461" spans="1:29" ht="15" customHeight="1">
      <c r="A461" s="25"/>
      <c r="B461" s="25"/>
      <c r="C461" s="25"/>
      <c r="D461" s="25" t="s">
        <v>377</v>
      </c>
      <c r="E461" s="41">
        <f>S462/$S$463</f>
        <v>-0.19591692342318051</v>
      </c>
      <c r="F461" s="25"/>
      <c r="G461" s="25"/>
      <c r="H461" s="26">
        <f>H484</f>
        <v>795</v>
      </c>
      <c r="I461" s="26">
        <f>I484</f>
        <v>585</v>
      </c>
      <c r="J461" s="26">
        <f t="shared" ref="J461:R461" si="345">J484</f>
        <v>3703</v>
      </c>
      <c r="K461" s="26">
        <f t="shared" si="345"/>
        <v>2300.7795682268879</v>
      </c>
      <c r="L461" s="26">
        <f t="shared" si="345"/>
        <v>-555.91333258334771</v>
      </c>
      <c r="M461" s="26">
        <f t="shared" si="345"/>
        <v>4638.6385889347321</v>
      </c>
      <c r="N461" s="26">
        <f t="shared" si="345"/>
        <v>10028.176570720738</v>
      </c>
      <c r="O461" s="26">
        <f t="shared" si="345"/>
        <v>13375.687927778468</v>
      </c>
      <c r="P461" s="26">
        <f t="shared" si="345"/>
        <v>13163.047203613693</v>
      </c>
      <c r="Q461" s="26">
        <f t="shared" si="345"/>
        <v>11113.013179920308</v>
      </c>
      <c r="R461" s="26">
        <f t="shared" si="345"/>
        <v>9533.5082397970764</v>
      </c>
      <c r="S461" s="25"/>
      <c r="T461" s="223"/>
      <c r="U461" s="223"/>
      <c r="V461" s="223"/>
      <c r="W461" s="225"/>
      <c r="X461" s="225"/>
      <c r="Y461" s="27"/>
      <c r="Z461" s="224"/>
      <c r="AA461" s="224"/>
      <c r="AB461" s="224"/>
      <c r="AC461" s="27"/>
    </row>
    <row r="462" spans="1:29" ht="15" customHeight="1">
      <c r="A462" s="28"/>
      <c r="B462" s="28"/>
      <c r="C462" s="28"/>
      <c r="D462" s="28" t="s">
        <v>184</v>
      </c>
      <c r="E462" s="28"/>
      <c r="F462" s="28"/>
      <c r="G462" s="28"/>
      <c r="H462" s="29"/>
      <c r="I462" s="29">
        <f t="shared" ref="I462:R462" si="346">I461/H461-1</f>
        <v>-0.26415094339622647</v>
      </c>
      <c r="J462" s="29">
        <f t="shared" si="346"/>
        <v>5.3299145299145296</v>
      </c>
      <c r="K462" s="29">
        <f t="shared" si="346"/>
        <v>-0.37867146415693009</v>
      </c>
      <c r="L462" s="29">
        <f t="shared" si="346"/>
        <v>-1.2416195537635821</v>
      </c>
      <c r="M462" s="29">
        <f t="shared" si="346"/>
        <v>-9.3441758221174958</v>
      </c>
      <c r="N462" s="29">
        <f t="shared" si="346"/>
        <v>1.1618792622996135</v>
      </c>
      <c r="O462" s="29">
        <f t="shared" si="346"/>
        <v>0.33381057198688113</v>
      </c>
      <c r="P462" s="29">
        <f t="shared" si="346"/>
        <v>-1.5897554227709332E-2</v>
      </c>
      <c r="Q462" s="29">
        <f t="shared" si="346"/>
        <v>-0.15574159934111476</v>
      </c>
      <c r="R462" s="29">
        <f t="shared" si="346"/>
        <v>-0.14213111372684961</v>
      </c>
      <c r="S462" s="27">
        <f>CORREL(J461:M461,J$433:M$433)</f>
        <v>0.14030908837317926</v>
      </c>
      <c r="T462" s="226"/>
      <c r="U462" s="226"/>
      <c r="V462" s="226"/>
      <c r="W462" s="27"/>
      <c r="X462" s="226"/>
      <c r="Y462" s="27"/>
      <c r="Z462" s="223"/>
      <c r="AA462" s="223"/>
      <c r="AB462" s="223"/>
      <c r="AC462" s="27"/>
    </row>
    <row r="463" spans="1:29" ht="15" customHeight="1">
      <c r="D463" s="218" t="s">
        <v>188</v>
      </c>
      <c r="E463" s="39">
        <f>E461+E459+E457</f>
        <v>1</v>
      </c>
      <c r="S463" s="1">
        <f>SUM(S458:S462)</f>
        <v>-0.71616625006973833</v>
      </c>
      <c r="Y463" s="27"/>
      <c r="Z463" s="226"/>
      <c r="AA463" s="226"/>
      <c r="AB463" s="226"/>
      <c r="AC463" s="27"/>
    </row>
    <row r="464" spans="1:29" ht="15" customHeight="1">
      <c r="Y464" s="25"/>
      <c r="Z464" s="223"/>
      <c r="AA464" s="223"/>
      <c r="AB464" s="223"/>
      <c r="AC464" s="225"/>
    </row>
    <row r="465" spans="3:29" ht="15" customHeight="1">
      <c r="K465" s="57"/>
      <c r="Y465" s="27"/>
      <c r="Z465" s="226"/>
      <c r="AA465" s="226"/>
      <c r="AB465" s="226"/>
      <c r="AC465" s="27"/>
    </row>
    <row r="466" spans="3:29" ht="15" customHeight="1">
      <c r="K466" s="57"/>
      <c r="Z466" s="1"/>
    </row>
    <row r="467" spans="3:29" ht="15" customHeight="1">
      <c r="H467" s="57"/>
      <c r="I467" s="57"/>
      <c r="J467" s="57"/>
      <c r="K467" s="57"/>
      <c r="L467" s="57"/>
      <c r="M467" s="57"/>
      <c r="N467" s="57"/>
      <c r="O467" s="57"/>
      <c r="P467" s="57"/>
      <c r="Q467" s="57"/>
      <c r="R467" s="57"/>
      <c r="Z467" s="1"/>
    </row>
    <row r="468" spans="3:29" ht="15" customHeight="1">
      <c r="C468" s="227" t="s">
        <v>378</v>
      </c>
      <c r="H468" s="57"/>
      <c r="I468" s="57"/>
      <c r="J468" s="57"/>
      <c r="K468" s="57"/>
      <c r="L468" s="57"/>
      <c r="M468" s="57"/>
      <c r="N468" s="57"/>
      <c r="O468" s="57"/>
      <c r="P468" s="57"/>
      <c r="Q468" s="57"/>
      <c r="R468" s="57"/>
      <c r="Z468" s="1"/>
    </row>
    <row r="469" spans="3:29" ht="15" customHeight="1">
      <c r="J469" s="187"/>
      <c r="K469" s="187"/>
      <c r="L469" s="187"/>
      <c r="M469" s="187"/>
      <c r="N469" s="187"/>
      <c r="O469" s="187"/>
      <c r="P469" s="187"/>
      <c r="Q469" s="187"/>
      <c r="R469" s="187"/>
      <c r="Z469" s="1"/>
    </row>
    <row r="470" spans="3:29" ht="15" customHeight="1">
      <c r="Z470" s="1"/>
    </row>
    <row r="471" spans="3:29" ht="15" customHeight="1">
      <c r="Z471" s="1"/>
    </row>
    <row r="472" spans="3:29" ht="15" customHeight="1">
      <c r="E472" s="1" t="s">
        <v>210</v>
      </c>
      <c r="F472" s="228" t="s">
        <v>957</v>
      </c>
      <c r="G472" s="1" t="s">
        <v>205</v>
      </c>
      <c r="H472" s="248">
        <v>463.625</v>
      </c>
      <c r="I472" s="248">
        <v>486.61200000000002</v>
      </c>
      <c r="J472" s="248">
        <v>406.41199999999998</v>
      </c>
      <c r="K472" s="248">
        <v>462.46</v>
      </c>
      <c r="L472" s="248">
        <v>538.62400000000002</v>
      </c>
      <c r="M472" s="728">
        <v>526.19200000000001</v>
      </c>
      <c r="N472" s="728">
        <v>576.01099999999997</v>
      </c>
      <c r="O472" s="728">
        <v>602.94500000000005</v>
      </c>
      <c r="P472" s="728">
        <v>632.94399999999996</v>
      </c>
      <c r="Q472" s="728">
        <v>663.83399999999995</v>
      </c>
      <c r="R472" s="728">
        <v>696.45500000000004</v>
      </c>
      <c r="S472" s="70" t="s">
        <v>958</v>
      </c>
      <c r="Z472" s="1"/>
    </row>
    <row r="473" spans="3:29" ht="15" customHeight="1">
      <c r="F473" s="58" t="s">
        <v>184</v>
      </c>
      <c r="G473" s="58"/>
      <c r="H473" s="231"/>
      <c r="I473" s="232">
        <f t="shared" ref="I473" si="347">I472/H472-1</f>
        <v>4.9581019142626026E-2</v>
      </c>
      <c r="J473" s="232">
        <f t="shared" ref="J473" si="348">J472/I472-1</f>
        <v>-0.16481303379283707</v>
      </c>
      <c r="K473" s="232">
        <f t="shared" ref="K473" si="349">K472/J472-1</f>
        <v>0.13790931370136716</v>
      </c>
      <c r="L473" s="232">
        <f t="shared" ref="L473" si="350">L472/K472-1</f>
        <v>0.16469316265190503</v>
      </c>
      <c r="M473" s="232">
        <f t="shared" ref="M473" si="351">M472/L472-1</f>
        <v>-2.3081036121673004E-2</v>
      </c>
      <c r="N473" s="232">
        <f t="shared" ref="N473" si="352">N472/M472-1</f>
        <v>9.4678368352236308E-2</v>
      </c>
      <c r="O473" s="232">
        <f t="shared" ref="O473" si="353">O472/N472-1</f>
        <v>4.6759523689651861E-2</v>
      </c>
      <c r="P473" s="232">
        <f t="shared" ref="P473" si="354">P472/O472-1</f>
        <v>4.9754123510436177E-2</v>
      </c>
      <c r="Q473" s="232">
        <f t="shared" ref="Q473" si="355">Q472/P472-1</f>
        <v>4.8803685634116079E-2</v>
      </c>
      <c r="R473" s="232">
        <f t="shared" ref="R473" si="356">R472/Q472-1</f>
        <v>4.9140297122473475E-2</v>
      </c>
      <c r="Z473" s="1"/>
    </row>
    <row r="474" spans="3:29" ht="15" customHeight="1">
      <c r="E474" s="70"/>
      <c r="F474" s="233" t="str">
        <f>"Annual Disposable Income"&amp;[7]Home!B1</f>
        <v>Annual Disposable IncomeTurkey</v>
      </c>
      <c r="G474" s="1" t="s">
        <v>180</v>
      </c>
      <c r="H474" s="234">
        <f>FORECAST(H472,I474:K474,I472:K472)</f>
        <v>232432.95794830221</v>
      </c>
      <c r="I474" s="234">
        <f>FORECAST(I472,J474:L474,J472:L472)</f>
        <v>243265.6213799479</v>
      </c>
      <c r="J474" s="235">
        <v>209746.7</v>
      </c>
      <c r="K474" s="235">
        <v>229862.9</v>
      </c>
      <c r="L474" s="235">
        <v>267252.2</v>
      </c>
      <c r="M474" s="236">
        <v>265907.5</v>
      </c>
      <c r="N474" s="236">
        <v>272054.09999999998</v>
      </c>
      <c r="O474" s="236">
        <f t="shared" ref="O474:R474" si="357">FORECAST(O472,L474:N474,L472:N472)</f>
        <v>275379.65496027685</v>
      </c>
      <c r="P474" s="236">
        <f t="shared" si="357"/>
        <v>279081.0614839106</v>
      </c>
      <c r="Q474" s="236">
        <f t="shared" si="357"/>
        <v>282894.02457884245</v>
      </c>
      <c r="R474" s="236">
        <f t="shared" si="357"/>
        <v>286919.55518451671</v>
      </c>
      <c r="S474" s="70" t="s">
        <v>792</v>
      </c>
      <c r="T474" s="237"/>
      <c r="U474" s="237"/>
      <c r="V474" s="237"/>
      <c r="W474" s="237"/>
      <c r="X474" s="237"/>
      <c r="Z474" s="1"/>
    </row>
    <row r="475" spans="3:29" ht="15" customHeight="1">
      <c r="F475" s="58" t="s">
        <v>184</v>
      </c>
      <c r="G475" s="58"/>
      <c r="H475" s="231"/>
      <c r="I475" s="232">
        <f t="shared" ref="I475" si="358">I474/H474-1</f>
        <v>4.6605539624269277E-2</v>
      </c>
      <c r="J475" s="232">
        <f t="shared" ref="J475" si="359">J474/I474-1</f>
        <v>-0.13778733381975039</v>
      </c>
      <c r="K475" s="232">
        <f t="shared" ref="K475" si="360">K474/J474-1</f>
        <v>9.5907110815092622E-2</v>
      </c>
      <c r="L475" s="232">
        <f t="shared" ref="L475" si="361">L474/K474-1</f>
        <v>0.16265913290052469</v>
      </c>
      <c r="M475" s="232">
        <f t="shared" ref="M475" si="362">M474/L474-1</f>
        <v>-5.0315769149890111E-3</v>
      </c>
      <c r="N475" s="232">
        <f t="shared" ref="N475" si="363">N474/M474-1</f>
        <v>2.3115557101623496E-2</v>
      </c>
      <c r="O475" s="232">
        <f t="shared" ref="O475" si="364">O474/N474-1</f>
        <v>1.2223873708489874E-2</v>
      </c>
      <c r="P475" s="232">
        <f t="shared" ref="P475" si="365">P474/O474-1</f>
        <v>1.3441103788759179E-2</v>
      </c>
      <c r="Q475" s="232">
        <f t="shared" ref="Q475" si="366">Q474/P474-1</f>
        <v>1.3662564828504697E-2</v>
      </c>
      <c r="R475" s="232">
        <f t="shared" ref="R475" si="367">R474/Q474-1</f>
        <v>1.4229818433483254E-2</v>
      </c>
      <c r="Y475" s="70"/>
      <c r="Z475" s="1"/>
    </row>
    <row r="476" spans="3:29" ht="15" customHeight="1">
      <c r="E476" s="1" t="s">
        <v>196</v>
      </c>
      <c r="F476" s="233" t="str">
        <f>"Government Travel and Tourism Spending of  "&amp;[7]Home!B1</f>
        <v>Government Travel and Tourism Spending of  Turkey</v>
      </c>
      <c r="G476" s="1" t="s">
        <v>205</v>
      </c>
      <c r="H476" s="726">
        <v>0.33600000000000002</v>
      </c>
      <c r="I476" s="726">
        <v>0.35599999999999998</v>
      </c>
      <c r="J476" s="726">
        <v>0.317</v>
      </c>
      <c r="K476" s="726">
        <v>0.34799999999999998</v>
      </c>
      <c r="L476" s="726">
        <v>0.40300000000000002</v>
      </c>
      <c r="M476" s="727">
        <v>0.39500000000000002</v>
      </c>
      <c r="N476" s="727">
        <v>0.40799999999999997</v>
      </c>
      <c r="O476" s="727">
        <v>0.42299999999999999</v>
      </c>
      <c r="P476" s="727">
        <v>0.435</v>
      </c>
      <c r="Q476" s="727">
        <v>0.44800000000000001</v>
      </c>
      <c r="R476" s="727">
        <v>0.46</v>
      </c>
      <c r="S476" s="70"/>
      <c r="Z476" s="1"/>
    </row>
    <row r="477" spans="3:29" ht="15" customHeight="1">
      <c r="F477" s="58" t="s">
        <v>184</v>
      </c>
      <c r="G477" s="58"/>
      <c r="H477" s="231"/>
      <c r="I477" s="232">
        <f t="shared" ref="I477" si="368">I476/H476-1</f>
        <v>5.9523809523809312E-2</v>
      </c>
      <c r="J477" s="232">
        <f t="shared" ref="J477" si="369">J476/I476-1</f>
        <v>-0.1095505617977528</v>
      </c>
      <c r="K477" s="232">
        <f t="shared" ref="K477" si="370">K476/J476-1</f>
        <v>9.7791798107255357E-2</v>
      </c>
      <c r="L477" s="232">
        <f t="shared" ref="L477" si="371">L476/K476-1</f>
        <v>0.15804597701149437</v>
      </c>
      <c r="M477" s="232">
        <f t="shared" ref="M477" si="372">M476/L476-1</f>
        <v>-1.9851116625310139E-2</v>
      </c>
      <c r="N477" s="232">
        <f t="shared" ref="N477" si="373">N476/M476-1</f>
        <v>3.2911392405063244E-2</v>
      </c>
      <c r="O477" s="232">
        <f t="shared" ref="O477" si="374">O476/N476-1</f>
        <v>3.6764705882353033E-2</v>
      </c>
      <c r="P477" s="232">
        <f t="shared" ref="P477" si="375">P476/O476-1</f>
        <v>2.8368794326241176E-2</v>
      </c>
      <c r="Q477" s="232">
        <f t="shared" ref="Q477" si="376">Q476/P476-1</f>
        <v>2.9885057471264354E-2</v>
      </c>
      <c r="R477" s="232">
        <f t="shared" ref="R477" si="377">R476/Q476-1</f>
        <v>2.6785714285714413E-2</v>
      </c>
      <c r="S477" s="6"/>
      <c r="Y477" s="70"/>
      <c r="Z477" s="237"/>
      <c r="AA477" s="237"/>
      <c r="AB477" s="237"/>
      <c r="AC477" s="237"/>
    </row>
    <row r="478" spans="3:29" ht="15" customHeight="1">
      <c r="E478" s="1" t="s">
        <v>196</v>
      </c>
      <c r="F478" s="233" t="str">
        <f>"Travel and tourism total contribution to GDP of "&amp; [7]Home!B1</f>
        <v>Travel and tourism total contribution to GDP of Turkey</v>
      </c>
      <c r="G478" s="1" t="s">
        <v>205</v>
      </c>
      <c r="H478" s="271">
        <v>43.343000000000004</v>
      </c>
      <c r="I478" s="271">
        <v>46.375999999999998</v>
      </c>
      <c r="J478" s="271">
        <v>42.408999999999999</v>
      </c>
      <c r="K478" s="271">
        <v>46.771999999999998</v>
      </c>
      <c r="L478" s="271">
        <v>55.003</v>
      </c>
      <c r="M478" s="272">
        <v>56.588000000000001</v>
      </c>
      <c r="N478" s="272">
        <v>58.281999999999996</v>
      </c>
      <c r="O478" s="272">
        <v>62.168999999999997</v>
      </c>
      <c r="P478" s="272">
        <v>65.19</v>
      </c>
      <c r="Q478" s="272">
        <v>68.13</v>
      </c>
      <c r="R478" s="272">
        <v>71.046000000000006</v>
      </c>
      <c r="S478" s="239"/>
      <c r="Z478" s="1"/>
    </row>
    <row r="479" spans="3:29" ht="15" customHeight="1">
      <c r="F479" s="58" t="s">
        <v>184</v>
      </c>
      <c r="G479" s="58"/>
      <c r="H479" s="58"/>
      <c r="I479" s="232">
        <f t="shared" ref="I479" si="378">I478/H478-1</f>
        <v>6.9976697505940821E-2</v>
      </c>
      <c r="J479" s="232">
        <f t="shared" ref="J479" si="379">J478/I478-1</f>
        <v>-8.5539934448852883E-2</v>
      </c>
      <c r="K479" s="232">
        <f t="shared" ref="K479" si="380">K478/J478-1</f>
        <v>0.10287910585017324</v>
      </c>
      <c r="L479" s="232">
        <f t="shared" ref="L479" si="381">L478/K478-1</f>
        <v>0.17598135636705736</v>
      </c>
      <c r="M479" s="232">
        <f t="shared" ref="M479" si="382">M478/L478-1</f>
        <v>2.8816610003090659E-2</v>
      </c>
      <c r="N479" s="232">
        <f t="shared" ref="N479" si="383">N478/M478-1</f>
        <v>2.9935675408213624E-2</v>
      </c>
      <c r="O479" s="232">
        <f t="shared" ref="O479" si="384">O478/N478-1</f>
        <v>6.669297553275455E-2</v>
      </c>
      <c r="P479" s="232">
        <f t="shared" ref="P479" si="385">P478/O478-1</f>
        <v>4.8593350383631773E-2</v>
      </c>
      <c r="Q479" s="232">
        <f t="shared" ref="Q479" si="386">Q478/P478-1</f>
        <v>4.5098941555453242E-2</v>
      </c>
      <c r="R479" s="232">
        <f t="shared" ref="R479" si="387">R478/Q478-1</f>
        <v>4.2800528401585325E-2</v>
      </c>
      <c r="Y479" s="70"/>
      <c r="Z479" s="1"/>
    </row>
    <row r="480" spans="3:29" ht="15" customHeight="1">
      <c r="E480" s="1" t="s">
        <v>196</v>
      </c>
      <c r="F480" s="233" t="str">
        <f>"Capital Investments in tourism  "&amp;[7]Home!B1</f>
        <v>Capital Investments in tourism  Turkey</v>
      </c>
      <c r="G480" s="1" t="s">
        <v>205</v>
      </c>
      <c r="H480" s="270">
        <v>2.5579999999999998</v>
      </c>
      <c r="I480" s="270">
        <v>2.9830000000000001</v>
      </c>
      <c r="J480" s="270">
        <v>2.0310000000000001</v>
      </c>
      <c r="K480" s="270">
        <v>2.5499999999999998</v>
      </c>
      <c r="L480" s="270">
        <v>2.7930000000000001</v>
      </c>
      <c r="M480" s="270">
        <v>2.9889999999999999</v>
      </c>
      <c r="N480" s="270">
        <v>2.9590000000000001</v>
      </c>
      <c r="O480" s="270">
        <v>3.165</v>
      </c>
      <c r="P480" s="270">
        <v>3.32</v>
      </c>
      <c r="Q480" s="270">
        <v>3.5129999999999999</v>
      </c>
      <c r="R480" s="270">
        <v>3.6440000000000001</v>
      </c>
      <c r="Y480" s="6"/>
      <c r="Z480" s="1"/>
    </row>
    <row r="481" spans="5:26" ht="15" customHeight="1">
      <c r="F481" s="58" t="s">
        <v>184</v>
      </c>
      <c r="G481" s="58"/>
      <c r="H481" s="58"/>
      <c r="I481" s="232">
        <f t="shared" ref="I481:R481" si="388">I480/H480-1</f>
        <v>0.16614542611415173</v>
      </c>
      <c r="J481" s="232">
        <f t="shared" si="388"/>
        <v>-0.31914180355346966</v>
      </c>
      <c r="K481" s="232">
        <f t="shared" si="388"/>
        <v>0.25553914327917271</v>
      </c>
      <c r="L481" s="232">
        <f t="shared" si="388"/>
        <v>9.5294117647058973E-2</v>
      </c>
      <c r="M481" s="232">
        <f t="shared" si="388"/>
        <v>7.0175438596491224E-2</v>
      </c>
      <c r="N481" s="232">
        <f t="shared" si="388"/>
        <v>-1.0036801605888157E-2</v>
      </c>
      <c r="O481" s="232">
        <f t="shared" si="388"/>
        <v>6.9618114227779637E-2</v>
      </c>
      <c r="P481" s="232">
        <f t="shared" si="388"/>
        <v>4.8973143759873494E-2</v>
      </c>
      <c r="Q481" s="232">
        <f t="shared" si="388"/>
        <v>5.8132530120482029E-2</v>
      </c>
      <c r="R481" s="232">
        <f t="shared" si="388"/>
        <v>3.729006547110747E-2</v>
      </c>
      <c r="Y481" s="239"/>
      <c r="Z481" s="1"/>
    </row>
    <row r="482" spans="5:26" ht="15" customHeight="1">
      <c r="E482" s="1" t="s">
        <v>379</v>
      </c>
      <c r="F482" s="66" t="str">
        <f>"Tourism related Construction Value Added of "&amp;[7]Home!B1</f>
        <v>Tourism related Construction Value Added of Turkey</v>
      </c>
      <c r="G482" s="1" t="s">
        <v>205</v>
      </c>
      <c r="H482" s="229">
        <f>H543+H545+H547+H549</f>
        <v>8849.1054436302129</v>
      </c>
      <c r="I482" s="229">
        <f>I543+I545+I547+I549</f>
        <v>9349.6370060136778</v>
      </c>
      <c r="J482" s="229">
        <f t="shared" ref="J482:R482" si="389">J543+J545+J547+J549</f>
        <v>7649.8597753853364</v>
      </c>
      <c r="K482" s="229">
        <f t="shared" si="389"/>
        <v>8895.3286634336091</v>
      </c>
      <c r="L482" s="229">
        <f t="shared" si="389"/>
        <v>11109.561702077232</v>
      </c>
      <c r="M482" s="229">
        <f t="shared" si="389"/>
        <v>11339.114735023979</v>
      </c>
      <c r="N482" s="229">
        <f t="shared" si="389"/>
        <v>11657.730903708954</v>
      </c>
      <c r="O482" s="229">
        <f t="shared" si="389"/>
        <v>11966.673770309319</v>
      </c>
      <c r="P482" s="229">
        <f t="shared" si="389"/>
        <v>12352.199082855839</v>
      </c>
      <c r="Q482" s="229">
        <f t="shared" si="389"/>
        <v>12861.847059563708</v>
      </c>
      <c r="R482" s="229">
        <f t="shared" si="389"/>
        <v>13295.657318777718</v>
      </c>
      <c r="S482" s="172"/>
      <c r="Z482" s="1"/>
    </row>
    <row r="483" spans="5:26" ht="15" customHeight="1">
      <c r="F483" s="58" t="s">
        <v>184</v>
      </c>
      <c r="G483" s="58"/>
      <c r="H483" s="58"/>
      <c r="I483" s="232">
        <f t="shared" ref="I483" si="390">I482/H482-1</f>
        <v>5.6562956060576708E-2</v>
      </c>
      <c r="J483" s="232">
        <f t="shared" ref="J483" si="391">J482/I482-1</f>
        <v>-0.18180141427255903</v>
      </c>
      <c r="K483" s="232">
        <f t="shared" ref="K483" si="392">K482/J482-1</f>
        <v>0.16280937489282743</v>
      </c>
      <c r="L483" s="232">
        <f t="shared" ref="L483" si="393">L482/K482-1</f>
        <v>0.24892087998341883</v>
      </c>
      <c r="M483" s="232">
        <f t="shared" ref="M483" si="394">M482/L482-1</f>
        <v>2.0662654306499384E-2</v>
      </c>
      <c r="N483" s="232">
        <f t="shared" ref="N483" si="395">N482/M482-1</f>
        <v>2.8098857462024007E-2</v>
      </c>
      <c r="O483" s="232">
        <f t="shared" ref="O483" si="396">O482/N482-1</f>
        <v>2.6501114938420223E-2</v>
      </c>
      <c r="P483" s="232">
        <f t="shared" ref="P483" si="397">P482/O482-1</f>
        <v>3.2216580809869999E-2</v>
      </c>
      <c r="Q483" s="232">
        <f t="shared" ref="Q483" si="398">Q482/P482-1</f>
        <v>4.1259695807140284E-2</v>
      </c>
      <c r="R483" s="232">
        <f t="shared" ref="R483" si="399">R482/Q482-1</f>
        <v>3.3728457289611491E-2</v>
      </c>
      <c r="Z483" s="1"/>
    </row>
    <row r="484" spans="5:26" ht="15" customHeight="1">
      <c r="E484" s="6"/>
      <c r="F484" s="66" t="s">
        <v>380</v>
      </c>
      <c r="G484" s="1" t="s">
        <v>200</v>
      </c>
      <c r="H484" s="374">
        <v>795</v>
      </c>
      <c r="I484" s="374">
        <v>585</v>
      </c>
      <c r="J484" s="374">
        <v>3703</v>
      </c>
      <c r="K484" s="377">
        <f>FORECAST(K498,H484:J484,H498:J498)</f>
        <v>2300.7795682268879</v>
      </c>
      <c r="L484" s="377">
        <f>FORECAST(L498,I484:K484,I498:K498)*-0.18</f>
        <v>-555.91333258334771</v>
      </c>
      <c r="M484" s="377">
        <f>FORECAST(M498,J484:L484,J498:L498)*-0.9</f>
        <v>4638.6385889347321</v>
      </c>
      <c r="N484" s="377">
        <f t="shared" ref="N484:R484" si="400">FORECAST(N498,K484:M484,K498:M498)</f>
        <v>10028.176570720738</v>
      </c>
      <c r="O484" s="377">
        <f t="shared" si="400"/>
        <v>13375.687927778468</v>
      </c>
      <c r="P484" s="377">
        <f t="shared" si="400"/>
        <v>13163.047203613693</v>
      </c>
      <c r="Q484" s="377">
        <f t="shared" si="400"/>
        <v>11113.013179920308</v>
      </c>
      <c r="R484" s="377">
        <f t="shared" si="400"/>
        <v>9533.5082397970764</v>
      </c>
      <c r="Z484" s="1"/>
    </row>
    <row r="485" spans="5:26" ht="15" customHeight="1">
      <c r="F485" s="58" t="s">
        <v>184</v>
      </c>
      <c r="G485" s="58"/>
      <c r="H485" s="232"/>
      <c r="I485" s="59">
        <f t="shared" ref="I485" si="401">I484/H484-1</f>
        <v>-0.26415094339622647</v>
      </c>
      <c r="J485" s="59">
        <f t="shared" ref="J485:R485" si="402">J484/I484-1</f>
        <v>5.3299145299145296</v>
      </c>
      <c r="K485" s="59">
        <f t="shared" si="402"/>
        <v>-0.37867146415693009</v>
      </c>
      <c r="L485" s="59">
        <f t="shared" si="402"/>
        <v>-1.2416195537635821</v>
      </c>
      <c r="M485" s="59">
        <f t="shared" si="402"/>
        <v>-9.3441758221174958</v>
      </c>
      <c r="N485" s="59">
        <f t="shared" si="402"/>
        <v>1.1618792622996135</v>
      </c>
      <c r="O485" s="59">
        <f t="shared" si="402"/>
        <v>0.33381057198688113</v>
      </c>
      <c r="P485" s="59">
        <f t="shared" si="402"/>
        <v>-1.5897554227709332E-2</v>
      </c>
      <c r="Q485" s="59">
        <f t="shared" si="402"/>
        <v>-0.15574159934111476</v>
      </c>
      <c r="R485" s="59">
        <f t="shared" si="402"/>
        <v>-0.14213111372684961</v>
      </c>
      <c r="Y485" s="172"/>
      <c r="Z485" s="1"/>
    </row>
    <row r="486" spans="5:26" ht="15" customHeight="1">
      <c r="E486" s="1" t="s">
        <v>381</v>
      </c>
      <c r="F486" s="240" t="s">
        <v>382</v>
      </c>
      <c r="G486" s="1" t="s">
        <v>205</v>
      </c>
      <c r="H486" s="271">
        <f>AVERAGE(H519:H528)</f>
        <v>2546.8991999999998</v>
      </c>
      <c r="I486" s="271">
        <f>AVERAGE(I519:I528)</f>
        <v>2602.0479999999998</v>
      </c>
      <c r="J486" s="271">
        <f t="shared" ref="J486:R486" si="403">AVERAGE(J519:J528)</f>
        <v>2578.2351000000003</v>
      </c>
      <c r="K486" s="271">
        <f t="shared" si="403"/>
        <v>2539.1658000000002</v>
      </c>
      <c r="L486" s="271">
        <f t="shared" si="403"/>
        <v>2628.8851999999997</v>
      </c>
      <c r="M486" s="271">
        <f t="shared" si="403"/>
        <v>2739.6408999999999</v>
      </c>
      <c r="N486" s="271">
        <f t="shared" si="403"/>
        <v>2796.4838</v>
      </c>
      <c r="O486" s="271">
        <f t="shared" si="403"/>
        <v>2915.0080000000003</v>
      </c>
      <c r="P486" s="271">
        <f t="shared" si="403"/>
        <v>3050.7901000000002</v>
      </c>
      <c r="Q486" s="271">
        <f t="shared" si="403"/>
        <v>3193.4398000000001</v>
      </c>
      <c r="R486" s="271">
        <f t="shared" si="403"/>
        <v>3341.7802999999999</v>
      </c>
      <c r="Z486" s="1"/>
    </row>
    <row r="487" spans="5:26" ht="15" customHeight="1">
      <c r="F487" s="58" t="s">
        <v>184</v>
      </c>
      <c r="G487" s="58"/>
      <c r="H487" s="58"/>
      <c r="I487" s="59">
        <f t="shared" ref="I487" si="404">I486/H486-1</f>
        <v>2.1653310818111615E-2</v>
      </c>
      <c r="J487" s="59">
        <f t="shared" ref="J487" si="405">J486/I486-1</f>
        <v>-9.1515990481342291E-3</v>
      </c>
      <c r="K487" s="59">
        <f t="shared" ref="K487" si="406">K486/J486-1</f>
        <v>-1.5153505589928562E-2</v>
      </c>
      <c r="L487" s="59">
        <f t="shared" ref="L487" si="407">L486/K486-1</f>
        <v>3.5334203067794778E-2</v>
      </c>
      <c r="M487" s="59">
        <f t="shared" ref="M487" si="408">M486/L486-1</f>
        <v>4.2130291577585854E-2</v>
      </c>
      <c r="N487" s="59">
        <f t="shared" ref="N487" si="409">N486/M486-1</f>
        <v>2.0748303180902372E-2</v>
      </c>
      <c r="O487" s="59">
        <f t="shared" ref="O487" si="410">O486/N486-1</f>
        <v>4.2383295765918705E-2</v>
      </c>
      <c r="P487" s="59">
        <f t="shared" ref="P487" si="411">P486/O486-1</f>
        <v>4.6580352438140737E-2</v>
      </c>
      <c r="Q487" s="59">
        <f t="shared" ref="Q487" si="412">Q486/P486-1</f>
        <v>4.6758280748321557E-2</v>
      </c>
      <c r="R487" s="59">
        <f t="shared" ref="R487" si="413">R486/Q486-1</f>
        <v>4.6451635004987279E-2</v>
      </c>
      <c r="Z487" s="1"/>
    </row>
    <row r="488" spans="5:26" ht="15" customHeight="1">
      <c r="E488" s="1" t="s">
        <v>381</v>
      </c>
      <c r="F488" s="241" t="s">
        <v>383</v>
      </c>
      <c r="G488" s="1" t="s">
        <v>205</v>
      </c>
      <c r="H488" s="270">
        <f>AVERAGE(H531:H540)</f>
        <v>1774384.0604708097</v>
      </c>
      <c r="I488" s="270">
        <f>AVERAGE(I531:I540)</f>
        <v>1806811.2303349308</v>
      </c>
      <c r="J488" s="270">
        <f t="shared" ref="J488:R488" si="414">AVERAGE(J531:J540)</f>
        <v>1753936.5899999999</v>
      </c>
      <c r="K488" s="270">
        <f t="shared" si="414"/>
        <v>1794033.31</v>
      </c>
      <c r="L488" s="270">
        <f t="shared" si="414"/>
        <v>1893690.25</v>
      </c>
      <c r="M488" s="270">
        <f t="shared" si="414"/>
        <v>1903441.02</v>
      </c>
      <c r="N488" s="270">
        <f t="shared" si="414"/>
        <v>1925372.9599999997</v>
      </c>
      <c r="O488" s="270">
        <f t="shared" si="414"/>
        <v>1994816.1647803902</v>
      </c>
      <c r="P488" s="270">
        <f t="shared" si="414"/>
        <v>2061243.7571628101</v>
      </c>
      <c r="Q488" s="270">
        <f t="shared" si="414"/>
        <v>2129732.0736294473</v>
      </c>
      <c r="R488" s="270">
        <f t="shared" si="414"/>
        <v>2204698.3350415463</v>
      </c>
      <c r="Z488" s="1"/>
    </row>
    <row r="489" spans="5:26" ht="15" customHeight="1">
      <c r="F489" s="58" t="s">
        <v>184</v>
      </c>
      <c r="G489" s="58"/>
      <c r="H489" s="58"/>
      <c r="I489" s="59">
        <f t="shared" ref="I489" si="415">I488/H488-1</f>
        <v>1.8275169725948226E-2</v>
      </c>
      <c r="J489" s="59">
        <f t="shared" ref="J489:R489" si="416">J488/I488-1</f>
        <v>-2.9264064472927509E-2</v>
      </c>
      <c r="K489" s="59">
        <f t="shared" si="416"/>
        <v>2.2860986097564817E-2</v>
      </c>
      <c r="L489" s="59">
        <f t="shared" si="416"/>
        <v>5.5549102374247372E-2</v>
      </c>
      <c r="M489" s="59">
        <f t="shared" si="416"/>
        <v>5.1490839116903331E-3</v>
      </c>
      <c r="N489" s="59">
        <f t="shared" si="416"/>
        <v>1.1522258777421746E-2</v>
      </c>
      <c r="O489" s="59">
        <f t="shared" si="416"/>
        <v>3.6067404198088626E-2</v>
      </c>
      <c r="P489" s="59">
        <f t="shared" si="416"/>
        <v>3.3300107325796136E-2</v>
      </c>
      <c r="Q489" s="59">
        <f t="shared" si="416"/>
        <v>3.3226694430797288E-2</v>
      </c>
      <c r="R489" s="59">
        <f t="shared" si="416"/>
        <v>3.5199855578238459E-2</v>
      </c>
      <c r="Z489" s="1"/>
    </row>
    <row r="490" spans="5:26" ht="15" customHeight="1">
      <c r="E490" s="1" t="s">
        <v>381</v>
      </c>
      <c r="F490" s="241" t="s">
        <v>384</v>
      </c>
      <c r="G490" s="1" t="s">
        <v>179</v>
      </c>
      <c r="H490" s="271">
        <f>(H506*1000000)/H500</f>
        <v>1444.078327765543</v>
      </c>
      <c r="I490" s="271">
        <f>(I506*1000000)/I500</f>
        <v>1474.4805167542204</v>
      </c>
      <c r="J490" s="271">
        <f t="shared" ref="J490:R490" si="417">(J506*1000000)/J500</f>
        <v>1324.6073321875938</v>
      </c>
      <c r="K490" s="271">
        <f t="shared" si="417"/>
        <v>1422.3294056687316</v>
      </c>
      <c r="L490" s="271">
        <f t="shared" si="417"/>
        <v>1638.5987555726563</v>
      </c>
      <c r="M490" s="272">
        <f t="shared" si="417"/>
        <v>1616.1934909522852</v>
      </c>
      <c r="N490" s="272">
        <f t="shared" si="417"/>
        <v>1545.4953351568606</v>
      </c>
      <c r="O490" s="272">
        <f t="shared" si="417"/>
        <v>1571.0674180515662</v>
      </c>
      <c r="P490" s="272">
        <f t="shared" si="417"/>
        <v>1585.7389789779522</v>
      </c>
      <c r="Q490" s="272">
        <f t="shared" si="417"/>
        <v>1601.6192274493546</v>
      </c>
      <c r="R490" s="272">
        <f t="shared" si="417"/>
        <v>1637.1000767469777</v>
      </c>
      <c r="Z490" s="1"/>
    </row>
    <row r="491" spans="5:26" ht="15" customHeight="1">
      <c r="F491" s="58" t="s">
        <v>184</v>
      </c>
      <c r="G491" s="58"/>
      <c r="H491" s="58"/>
      <c r="I491" s="59">
        <f t="shared" ref="I491" si="418">I490/H490-1</f>
        <v>2.1053005508170353E-2</v>
      </c>
      <c r="J491" s="59">
        <f t="shared" ref="J491:R491" si="419">J490/I490-1</f>
        <v>-0.10164473715566147</v>
      </c>
      <c r="K491" s="59">
        <f t="shared" si="419"/>
        <v>7.3774371548849471E-2</v>
      </c>
      <c r="L491" s="59">
        <f t="shared" si="419"/>
        <v>0.15205292743156229</v>
      </c>
      <c r="M491" s="59">
        <f t="shared" si="419"/>
        <v>-1.3673429534944881E-2</v>
      </c>
      <c r="N491" s="59">
        <f t="shared" si="419"/>
        <v>-4.3743621163681468E-2</v>
      </c>
      <c r="O491" s="59">
        <f t="shared" si="419"/>
        <v>1.6546205163479266E-2</v>
      </c>
      <c r="P491" s="59">
        <f t="shared" si="419"/>
        <v>9.3385941034800357E-3</v>
      </c>
      <c r="Q491" s="59">
        <f t="shared" si="419"/>
        <v>1.0014415160329637E-2</v>
      </c>
      <c r="R491" s="59">
        <f t="shared" si="419"/>
        <v>2.2153111482139165E-2</v>
      </c>
      <c r="Z491" s="1"/>
    </row>
    <row r="492" spans="5:26" ht="15" customHeight="1">
      <c r="E492" s="1" t="s">
        <v>196</v>
      </c>
      <c r="F492" s="242" t="s">
        <v>385</v>
      </c>
      <c r="G492" s="1" t="s">
        <v>200</v>
      </c>
      <c r="H492" s="724"/>
      <c r="I492" s="271"/>
      <c r="J492" s="271"/>
      <c r="K492" s="271"/>
      <c r="L492" s="271"/>
      <c r="M492" s="272"/>
      <c r="N492" s="272"/>
      <c r="O492" s="272"/>
      <c r="P492" s="272"/>
      <c r="Q492" s="272"/>
      <c r="R492" s="272"/>
      <c r="Z492" s="1"/>
    </row>
    <row r="493" spans="5:26" ht="15" customHeight="1">
      <c r="F493" s="58" t="s">
        <v>184</v>
      </c>
      <c r="G493" s="58"/>
      <c r="H493" s="58"/>
      <c r="I493" s="59" t="e">
        <f t="shared" ref="I493:R493" si="420">I492/H492-1</f>
        <v>#DIV/0!</v>
      </c>
      <c r="J493" s="59" t="e">
        <f t="shared" si="420"/>
        <v>#DIV/0!</v>
      </c>
      <c r="K493" s="59" t="e">
        <f t="shared" si="420"/>
        <v>#DIV/0!</v>
      </c>
      <c r="L493" s="59" t="e">
        <f t="shared" si="420"/>
        <v>#DIV/0!</v>
      </c>
      <c r="M493" s="59" t="e">
        <f t="shared" si="420"/>
        <v>#DIV/0!</v>
      </c>
      <c r="N493" s="59" t="e">
        <f t="shared" si="420"/>
        <v>#DIV/0!</v>
      </c>
      <c r="O493" s="59" t="e">
        <f t="shared" si="420"/>
        <v>#DIV/0!</v>
      </c>
      <c r="P493" s="59" t="e">
        <f t="shared" si="420"/>
        <v>#DIV/0!</v>
      </c>
      <c r="Q493" s="59" t="e">
        <f t="shared" si="420"/>
        <v>#DIV/0!</v>
      </c>
      <c r="R493" s="59" t="e">
        <f t="shared" si="420"/>
        <v>#DIV/0!</v>
      </c>
      <c r="Z493" s="1"/>
    </row>
    <row r="494" spans="5:26" ht="15" customHeight="1">
      <c r="E494" s="1" t="s">
        <v>196</v>
      </c>
      <c r="F494" s="242" t="s">
        <v>386</v>
      </c>
      <c r="G494" s="1" t="s">
        <v>200</v>
      </c>
      <c r="H494" s="725"/>
      <c r="Z494" s="1"/>
    </row>
    <row r="495" spans="5:26" ht="15" customHeight="1">
      <c r="F495" s="58" t="s">
        <v>184</v>
      </c>
      <c r="G495" s="58"/>
      <c r="H495" s="58"/>
      <c r="I495" s="59" t="e">
        <f t="shared" ref="I495:J495" si="421">I494/H494-1</f>
        <v>#DIV/0!</v>
      </c>
      <c r="J495" s="59" t="e">
        <f t="shared" si="421"/>
        <v>#DIV/0!</v>
      </c>
      <c r="K495" s="59" t="e">
        <f t="shared" ref="K495" si="422">K494/J494-1</f>
        <v>#DIV/0!</v>
      </c>
      <c r="L495" s="59" t="e">
        <f t="shared" ref="L495" si="423">L494/K494-1</f>
        <v>#DIV/0!</v>
      </c>
      <c r="M495" s="59" t="e">
        <f t="shared" ref="M495" si="424">M494/L494-1</f>
        <v>#DIV/0!</v>
      </c>
      <c r="N495" s="59" t="e">
        <f t="shared" ref="N495" si="425">N494/M494-1</f>
        <v>#DIV/0!</v>
      </c>
      <c r="O495" s="59" t="e">
        <f t="shared" ref="O495" si="426">O494/N494-1</f>
        <v>#DIV/0!</v>
      </c>
      <c r="P495" s="59" t="e">
        <f t="shared" ref="P495" si="427">P494/O494-1</f>
        <v>#DIV/0!</v>
      </c>
      <c r="Q495" s="59" t="e">
        <f t="shared" ref="Q495" si="428">Q494/P494-1</f>
        <v>#DIV/0!</v>
      </c>
      <c r="R495" s="59" t="e">
        <f t="shared" ref="R495" si="429">R494/Q494-1</f>
        <v>#DIV/0!</v>
      </c>
      <c r="Z495" s="1"/>
    </row>
    <row r="496" spans="5:26" ht="15" customHeight="1">
      <c r="E496" s="1" t="s">
        <v>268</v>
      </c>
      <c r="F496" s="242" t="s">
        <v>199</v>
      </c>
      <c r="G496" s="1" t="s">
        <v>200</v>
      </c>
      <c r="H496" s="271">
        <f>'Tourism Medium DB-LCU'!G12</f>
        <v>31041</v>
      </c>
      <c r="I496" s="271">
        <f>'Tourism Medium DB-LCU'!H12</f>
        <v>18121.427</v>
      </c>
      <c r="J496" s="271">
        <f>'Tourism Medium DB-LCU'!I12</f>
        <v>14843.013999999999</v>
      </c>
      <c r="K496" s="271">
        <f>'Tourism Medium DB-LCU'!J12</f>
        <v>14771.822</v>
      </c>
      <c r="L496" s="271">
        <f>'Tourism Medium DB-LCU'!K12</f>
        <v>15663.802</v>
      </c>
      <c r="M496" s="271">
        <f>'Tourism Medium DB-LCU'!L12</f>
        <v>14443.02</v>
      </c>
      <c r="N496" s="271">
        <f>'Tourism Medium DB-LCU'!M12</f>
        <v>13808.951337287452</v>
      </c>
      <c r="O496" s="271">
        <f>'Tourism Medium DB-LCU'!N12</f>
        <v>13666.405585739971</v>
      </c>
      <c r="P496" s="271">
        <f>'Tourism Medium DB-LCU'!O12</f>
        <v>13494.007109354587</v>
      </c>
      <c r="Q496" s="271">
        <f>'Tourism Medium DB-LCU'!P12</f>
        <v>13196.318682617461</v>
      </c>
      <c r="R496" s="271">
        <f>'Tourism Medium DB-LCU'!Q12</f>
        <v>12917.400924362986</v>
      </c>
      <c r="Y496" s="81"/>
      <c r="Z496" s="81"/>
    </row>
    <row r="497" spans="5:26" ht="15" customHeight="1">
      <c r="F497" s="58" t="s">
        <v>184</v>
      </c>
      <c r="G497" s="58"/>
      <c r="H497" s="58"/>
      <c r="I497" s="59">
        <f t="shared" ref="I497" si="430">I496/H496-1</f>
        <v>-0.41620994813311429</v>
      </c>
      <c r="J497" s="59">
        <f t="shared" ref="J497:R497" si="431">J496/I496-1</f>
        <v>-0.18091362231020769</v>
      </c>
      <c r="K497" s="59">
        <f t="shared" si="431"/>
        <v>-4.7963304487887992E-3</v>
      </c>
      <c r="L497" s="59">
        <f t="shared" si="431"/>
        <v>6.0383884939853694E-2</v>
      </c>
      <c r="M497" s="59">
        <f t="shared" si="431"/>
        <v>-7.7936506092199043E-2</v>
      </c>
      <c r="N497" s="59">
        <f t="shared" si="431"/>
        <v>-4.3901390617235747E-2</v>
      </c>
      <c r="O497" s="59">
        <f t="shared" si="431"/>
        <v>-1.0322706486956323E-2</v>
      </c>
      <c r="P497" s="59">
        <f t="shared" si="431"/>
        <v>-1.2614763648261085E-2</v>
      </c>
      <c r="Q497" s="59">
        <f t="shared" si="431"/>
        <v>-2.206078775004916E-2</v>
      </c>
      <c r="R497" s="59">
        <f t="shared" si="431"/>
        <v>-2.1136027778858701E-2</v>
      </c>
      <c r="Z497" s="1"/>
    </row>
    <row r="498" spans="5:26" ht="15" customHeight="1">
      <c r="E498" s="1" t="s">
        <v>268</v>
      </c>
      <c r="F498" s="65" t="s">
        <v>201</v>
      </c>
      <c r="G498" s="1" t="s">
        <v>200</v>
      </c>
      <c r="H498" s="271">
        <f>'Tourism Medium DB-LCU'!G13</f>
        <v>11183</v>
      </c>
      <c r="I498" s="271">
        <f>'Tourism Medium DB-LCU'!H13</f>
        <v>5057.7269999999999</v>
      </c>
      <c r="J498" s="271">
        <f>'Tourism Medium DB-LCU'!I13</f>
        <v>4556.2539999999999</v>
      </c>
      <c r="K498" s="271">
        <f>'Tourism Medium DB-LCU'!J13</f>
        <v>4398.1840000000002</v>
      </c>
      <c r="L498" s="271">
        <f>'Tourism Medium DB-LCU'!K13</f>
        <v>4414.1189999999997</v>
      </c>
      <c r="M498" s="271">
        <f>'Tourism Medium DB-LCU'!L13</f>
        <v>4050.88</v>
      </c>
      <c r="N498" s="271">
        <f>'Tourism Medium DB-LCU'!M13</f>
        <v>3559.9234253633458</v>
      </c>
      <c r="O498" s="271">
        <f>'Tourism Medium DB-LCU'!N13</f>
        <v>3303.85531372992</v>
      </c>
      <c r="P498" s="271">
        <f>'Tourism Medium DB-LCU'!O13</f>
        <v>3309.2935851823891</v>
      </c>
      <c r="Q498" s="271">
        <f>'Tourism Medium DB-LCU'!P13</f>
        <v>3475.0670408475485</v>
      </c>
      <c r="R498" s="271">
        <f>'Tourism Medium DB-LCU'!Q13</f>
        <v>3598.1082820115757</v>
      </c>
      <c r="Z498" s="1"/>
    </row>
    <row r="499" spans="5:26" ht="15" customHeight="1">
      <c r="F499" s="58" t="s">
        <v>184</v>
      </c>
      <c r="G499" s="58"/>
      <c r="H499" s="58"/>
      <c r="I499" s="59">
        <f t="shared" ref="I499" si="432">I498/H498-1</f>
        <v>-0.54773075203433785</v>
      </c>
      <c r="J499" s="59">
        <f t="shared" ref="J499:R499" si="433">J498/I498-1</f>
        <v>-9.9149875032796375E-2</v>
      </c>
      <c r="K499" s="59">
        <f t="shared" si="433"/>
        <v>-3.4692973657745929E-2</v>
      </c>
      <c r="L499" s="59">
        <f t="shared" si="433"/>
        <v>3.6230862555999277E-3</v>
      </c>
      <c r="M499" s="789">
        <f t="shared" si="433"/>
        <v>-8.2290259959008738E-2</v>
      </c>
      <c r="N499" s="789">
        <f t="shared" si="433"/>
        <v>-0.12119751131523382</v>
      </c>
      <c r="O499" s="59">
        <f t="shared" si="433"/>
        <v>-7.1930792052722348E-2</v>
      </c>
      <c r="P499" s="59">
        <f t="shared" si="433"/>
        <v>1.6460380180296497E-3</v>
      </c>
      <c r="Q499" s="59">
        <f t="shared" si="433"/>
        <v>5.0093305836454771E-2</v>
      </c>
      <c r="R499" s="59">
        <f t="shared" si="433"/>
        <v>3.5406868333112351E-2</v>
      </c>
      <c r="Z499" s="1"/>
    </row>
    <row r="500" spans="5:26" ht="15" customHeight="1">
      <c r="E500" s="1" t="s">
        <v>268</v>
      </c>
      <c r="F500" s="243" t="s">
        <v>202</v>
      </c>
      <c r="G500" s="1" t="s">
        <v>200</v>
      </c>
      <c r="H500" s="271">
        <f>'Tourism Medium DB-LCU'!G22</f>
        <v>8491.2291558126817</v>
      </c>
      <c r="I500" s="271">
        <f>'Tourism Medium DB-LCU'!H22</f>
        <v>8717.646556833155</v>
      </c>
      <c r="J500" s="271">
        <f>'Tourism Medium DB-LCU'!I22</f>
        <v>9244.2489954946413</v>
      </c>
      <c r="K500" s="271">
        <f>'Tourism Medium DB-LCU'!J22</f>
        <v>9353.6700759870073</v>
      </c>
      <c r="L500" s="271">
        <f>'Tourism Medium DB-LCU'!K22</f>
        <v>9959.1190000000006</v>
      </c>
      <c r="M500" s="271">
        <f>'Tourism Medium DB-LCU'!L22</f>
        <v>10913.915999999999</v>
      </c>
      <c r="N500" s="271">
        <f>'Tourism Medium DB-LCU'!M22</f>
        <v>11543.224747546275</v>
      </c>
      <c r="O500" s="271">
        <f>'Tourism Medium DB-LCU'!N22</f>
        <v>12121.058448030881</v>
      </c>
      <c r="P500" s="271">
        <f>'Tourism Medium DB-LCU'!O22</f>
        <v>12724.036091365158</v>
      </c>
      <c r="Q500" s="271">
        <f>'Tourism Medium DB-LCU'!P22</f>
        <v>13353.985537537084</v>
      </c>
      <c r="R500" s="271">
        <f>'Tourism Medium DB-LCU'!Q22</f>
        <v>13942.947242026106</v>
      </c>
      <c r="Z500" s="1"/>
    </row>
    <row r="501" spans="5:26" ht="15" customHeight="1">
      <c r="F501" s="58" t="s">
        <v>184</v>
      </c>
      <c r="G501" s="58"/>
      <c r="H501" s="58"/>
      <c r="I501" s="59">
        <f t="shared" ref="I501" si="434">I500/H500-1</f>
        <v>2.666485580188116E-2</v>
      </c>
      <c r="J501" s="59">
        <f t="shared" ref="J501:R501" si="435">J500/I500-1</f>
        <v>6.0406491044159072E-2</v>
      </c>
      <c r="K501" s="59">
        <f t="shared" si="435"/>
        <v>1.183666521160287E-2</v>
      </c>
      <c r="L501" s="59">
        <f t="shared" si="435"/>
        <v>6.4728488293308351E-2</v>
      </c>
      <c r="M501" s="59">
        <f t="shared" si="435"/>
        <v>9.5871632822140063E-2</v>
      </c>
      <c r="N501" s="59">
        <f t="shared" si="435"/>
        <v>5.766113167320297E-2</v>
      </c>
      <c r="O501" s="59">
        <f t="shared" si="435"/>
        <v>5.0058256087185171E-2</v>
      </c>
      <c r="P501" s="59">
        <f t="shared" si="435"/>
        <v>4.9746286260358152E-2</v>
      </c>
      <c r="Q501" s="59">
        <f t="shared" si="435"/>
        <v>4.9508618307002816E-2</v>
      </c>
      <c r="R501" s="59">
        <f t="shared" si="435"/>
        <v>4.4103814762528559E-2</v>
      </c>
      <c r="Z501" s="1"/>
    </row>
    <row r="502" spans="5:26" ht="15" customHeight="1">
      <c r="E502" s="1" t="s">
        <v>268</v>
      </c>
      <c r="F502" s="243" t="s">
        <v>387</v>
      </c>
      <c r="G502" s="1" t="s">
        <v>388</v>
      </c>
      <c r="H502" s="373">
        <f>'Tourism Medium DB-LCU'!G15</f>
        <v>3.0094713443510197</v>
      </c>
      <c r="I502" s="373">
        <f>'Tourism Medium DB-LCU'!H15</f>
        <v>5.1855739616973873</v>
      </c>
      <c r="J502" s="373">
        <f>'Tourism Medium DB-LCU'!I15</f>
        <v>6.2013685360668669</v>
      </c>
      <c r="K502" s="373">
        <f>'Tourism Medium DB-LCU'!J15</f>
        <v>7.4038260141504546</v>
      </c>
      <c r="L502" s="373">
        <f>'Tourism Medium DB-LCU'!K15</f>
        <v>6.8856207452060492</v>
      </c>
      <c r="M502" s="373">
        <f>'Tourism Medium DB-LCU'!L15</f>
        <v>7.8186653053523747</v>
      </c>
      <c r="N502" s="373">
        <f>'Tourism Medium DB-LCU'!M15</f>
        <v>7.8673910354855741</v>
      </c>
      <c r="O502" s="373">
        <f>'Tourism Medium DB-LCU'!N15</f>
        <v>8.3112573325738861</v>
      </c>
      <c r="P502" s="373">
        <f>'Tourism Medium DB-LCU'!O15</f>
        <v>8.5469523832598142</v>
      </c>
      <c r="Q502" s="373">
        <f>'Tourism Medium DB-LCU'!P15</f>
        <v>9.0107961746842591</v>
      </c>
      <c r="R502" s="373">
        <f>'Tourism Medium DB-LCU'!Q15</f>
        <v>9.345642697388735</v>
      </c>
      <c r="Z502" s="1"/>
    </row>
    <row r="503" spans="5:26" ht="15" customHeight="1">
      <c r="F503" s="58" t="s">
        <v>184</v>
      </c>
      <c r="G503" s="58"/>
      <c r="H503" s="58"/>
      <c r="I503" s="59">
        <f t="shared" ref="I503" si="436">I502/H502-1</f>
        <v>0.72308467778935936</v>
      </c>
      <c r="J503" s="59">
        <f t="shared" ref="J503:R503" si="437">J502/I502-1</f>
        <v>0.19588855194671284</v>
      </c>
      <c r="K503" s="59">
        <f t="shared" si="437"/>
        <v>0.19390195423641599</v>
      </c>
      <c r="L503" s="59">
        <f t="shared" si="437"/>
        <v>-6.9991551388970175E-2</v>
      </c>
      <c r="M503" s="59">
        <f t="shared" si="437"/>
        <v>0.13550623751619417</v>
      </c>
      <c r="N503" s="59">
        <f t="shared" si="437"/>
        <v>6.231975437015258E-3</v>
      </c>
      <c r="O503" s="59">
        <f t="shared" si="437"/>
        <v>5.6418486774874932E-2</v>
      </c>
      <c r="P503" s="59">
        <f t="shared" si="437"/>
        <v>2.8358531237166806E-2</v>
      </c>
      <c r="Q503" s="59">
        <f t="shared" si="437"/>
        <v>5.42700802139644E-2</v>
      </c>
      <c r="R503" s="59">
        <f t="shared" si="437"/>
        <v>3.7160592273213666E-2</v>
      </c>
      <c r="Z503" s="1"/>
    </row>
    <row r="504" spans="5:26" ht="15" customHeight="1">
      <c r="E504" s="1" t="s">
        <v>268</v>
      </c>
      <c r="F504" s="243" t="s">
        <v>389</v>
      </c>
      <c r="G504" s="1" t="s">
        <v>388</v>
      </c>
      <c r="H504" s="373">
        <f>'Tourism Medium DB-LCU'!G16</f>
        <v>7.1614951265313422</v>
      </c>
      <c r="I504" s="373">
        <f>'Tourism Medium DB-LCU'!H16</f>
        <v>16.188695040281928</v>
      </c>
      <c r="J504" s="373">
        <f>'Tourism Medium DB-LCU'!I16</f>
        <v>16.237022782311961</v>
      </c>
      <c r="K504" s="373">
        <f>'Tourism Medium DB-LCU'!J16</f>
        <v>18.387134326349237</v>
      </c>
      <c r="L504" s="373">
        <f>'Tourism Medium DB-LCU'!K16</f>
        <v>20.179791256194047</v>
      </c>
      <c r="M504" s="373">
        <f>'Tourism Medium DB-LCU'!L16</f>
        <v>22.61565421618047</v>
      </c>
      <c r="N504" s="373">
        <f>'Tourism Medium DB-LCU'!M16</f>
        <v>24.481030097771672</v>
      </c>
      <c r="O504" s="373">
        <f>'Tourism Medium DB-LCU'!N16</f>
        <v>26.416793512251058</v>
      </c>
      <c r="P504" s="373">
        <f>'Tourism Medium DB-LCU'!O16</f>
        <v>28.760538379980698</v>
      </c>
      <c r="Q504" s="373">
        <f>'Tourism Medium DB-LCU'!P16</f>
        <v>30.091620685579009</v>
      </c>
      <c r="R504" s="373">
        <f>'Tourism Medium DB-LCU'!Q16</f>
        <v>30.981991420973888</v>
      </c>
      <c r="Z504" s="1"/>
    </row>
    <row r="505" spans="5:26" ht="15" customHeight="1">
      <c r="F505" s="58" t="s">
        <v>184</v>
      </c>
      <c r="G505" s="58"/>
      <c r="H505" s="58"/>
      <c r="I505" s="59">
        <f t="shared" ref="I505" si="438">I504/H504-1</f>
        <v>1.2605188936465694</v>
      </c>
      <c r="J505" s="59">
        <f t="shared" ref="J505:R507" si="439">J504/I504-1</f>
        <v>2.9852771894078867E-3</v>
      </c>
      <c r="K505" s="59">
        <f t="shared" si="439"/>
        <v>0.13242030715012199</v>
      </c>
      <c r="L505" s="59">
        <f t="shared" si="439"/>
        <v>9.7495177770898556E-2</v>
      </c>
      <c r="M505" s="59">
        <f t="shared" si="439"/>
        <v>0.12070803553226805</v>
      </c>
      <c r="N505" s="59">
        <f t="shared" si="439"/>
        <v>8.2481623735501275E-2</v>
      </c>
      <c r="O505" s="59">
        <f t="shared" si="439"/>
        <v>7.9071975596957556E-2</v>
      </c>
      <c r="P505" s="59">
        <f t="shared" si="439"/>
        <v>8.872177717718488E-2</v>
      </c>
      <c r="Q505" s="59">
        <f t="shared" si="439"/>
        <v>4.6281550366415791E-2</v>
      </c>
      <c r="R505" s="59">
        <f t="shared" si="439"/>
        <v>2.9588660069132633E-2</v>
      </c>
      <c r="Z505" s="1"/>
    </row>
    <row r="506" spans="5:26" ht="15" customHeight="1">
      <c r="E506" s="1" t="s">
        <v>196</v>
      </c>
      <c r="F506" s="243" t="s">
        <v>258</v>
      </c>
      <c r="G506" s="1" t="s">
        <v>205</v>
      </c>
      <c r="H506" s="271">
        <v>12.262</v>
      </c>
      <c r="I506" s="271">
        <v>12.853999999999999</v>
      </c>
      <c r="J506" s="271">
        <v>12.244999999999999</v>
      </c>
      <c r="K506" s="271">
        <v>13.304</v>
      </c>
      <c r="L506" s="271">
        <v>16.318999999999999</v>
      </c>
      <c r="M506" s="272">
        <v>17.638999999999999</v>
      </c>
      <c r="N506" s="272">
        <v>17.84</v>
      </c>
      <c r="O506" s="272">
        <v>19.042999999999999</v>
      </c>
      <c r="P506" s="272">
        <v>20.177</v>
      </c>
      <c r="Q506" s="272">
        <v>21.388000000000002</v>
      </c>
      <c r="R506" s="272">
        <v>22.826000000000001</v>
      </c>
      <c r="Z506" s="1"/>
    </row>
    <row r="507" spans="5:26" ht="15" customHeight="1">
      <c r="F507" s="58" t="s">
        <v>184</v>
      </c>
      <c r="G507" s="58"/>
      <c r="H507" s="58"/>
      <c r="I507" s="59">
        <f t="shared" ref="I507" si="440">I506/H506-1</f>
        <v>4.8279236666122882E-2</v>
      </c>
      <c r="J507" s="59">
        <f t="shared" si="439"/>
        <v>-4.7378248016181734E-2</v>
      </c>
      <c r="K507" s="59">
        <f t="shared" si="439"/>
        <v>8.6484279297672551E-2</v>
      </c>
      <c r="L507" s="59">
        <f t="shared" si="439"/>
        <v>0.22662357185808779</v>
      </c>
      <c r="M507" s="59">
        <f t="shared" si="439"/>
        <v>8.0887309271401531E-2</v>
      </c>
      <c r="N507" s="59">
        <f t="shared" si="439"/>
        <v>1.1395203809739796E-2</v>
      </c>
      <c r="O507" s="59">
        <f t="shared" si="439"/>
        <v>6.7432735426008916E-2</v>
      </c>
      <c r="P507" s="59">
        <f t="shared" si="439"/>
        <v>5.9549440739379289E-2</v>
      </c>
      <c r="Q507" s="59">
        <f t="shared" si="439"/>
        <v>6.0018833325073295E-2</v>
      </c>
      <c r="R507" s="59">
        <f t="shared" si="439"/>
        <v>6.7233962969889705E-2</v>
      </c>
      <c r="Z507" s="1"/>
    </row>
    <row r="508" spans="5:26" ht="15" customHeight="1">
      <c r="F508" s="66" t="s">
        <v>390</v>
      </c>
      <c r="G508" s="1" t="s">
        <v>200</v>
      </c>
      <c r="H508" s="265"/>
      <c r="I508" s="265"/>
      <c r="J508" s="229"/>
      <c r="K508" s="229"/>
      <c r="L508" s="229"/>
      <c r="M508" s="230"/>
      <c r="N508" s="245"/>
      <c r="O508" s="245"/>
      <c r="P508" s="245"/>
      <c r="Q508" s="245"/>
      <c r="R508" s="245"/>
      <c r="Z508" s="1"/>
    </row>
    <row r="509" spans="5:26" ht="15" customHeight="1">
      <c r="F509" s="58" t="s">
        <v>184</v>
      </c>
      <c r="G509" s="58"/>
      <c r="H509" s="58"/>
      <c r="I509" s="59" t="e">
        <f t="shared" ref="I509:R509" si="441">I508/H508-1</f>
        <v>#DIV/0!</v>
      </c>
      <c r="J509" s="59" t="e">
        <f t="shared" si="441"/>
        <v>#DIV/0!</v>
      </c>
      <c r="K509" s="59" t="e">
        <f t="shared" si="441"/>
        <v>#DIV/0!</v>
      </c>
      <c r="L509" s="59" t="e">
        <f t="shared" si="441"/>
        <v>#DIV/0!</v>
      </c>
      <c r="M509" s="59" t="e">
        <f t="shared" si="441"/>
        <v>#DIV/0!</v>
      </c>
      <c r="N509" s="59" t="e">
        <f t="shared" si="441"/>
        <v>#DIV/0!</v>
      </c>
      <c r="O509" s="59" t="e">
        <f t="shared" si="441"/>
        <v>#DIV/0!</v>
      </c>
      <c r="P509" s="59" t="e">
        <f t="shared" si="441"/>
        <v>#DIV/0!</v>
      </c>
      <c r="Q509" s="59" t="e">
        <f t="shared" si="441"/>
        <v>#DIV/0!</v>
      </c>
      <c r="R509" s="59" t="e">
        <f t="shared" si="441"/>
        <v>#DIV/0!</v>
      </c>
      <c r="Z509" s="1"/>
    </row>
    <row r="510" spans="5:26" ht="15" customHeight="1">
      <c r="E510" s="1" t="s">
        <v>210</v>
      </c>
      <c r="F510" s="243" t="s">
        <v>391</v>
      </c>
      <c r="G510" s="165"/>
      <c r="H510" s="157">
        <v>6.1170000000000002E-2</v>
      </c>
      <c r="I510" s="157">
        <v>6.1669999999999996E-2</v>
      </c>
      <c r="J510" s="157">
        <v>8.3000000000000004E-2</v>
      </c>
      <c r="K510" s="157">
        <v>8.5749999999999993E-2</v>
      </c>
      <c r="L510" s="157">
        <v>7.8E-2</v>
      </c>
      <c r="M510" s="157">
        <v>7.9000000000000001E-2</v>
      </c>
      <c r="N510" s="157">
        <v>8.1000000000000003E-2</v>
      </c>
      <c r="O510" s="157">
        <v>7.8E-2</v>
      </c>
      <c r="P510" s="157">
        <v>6.9000000000000006E-2</v>
      </c>
      <c r="Q510" s="157">
        <v>6.6000000000000003E-2</v>
      </c>
      <c r="R510" s="157">
        <v>6.5000000000000002E-2</v>
      </c>
      <c r="S510" s="70"/>
      <c r="Z510" s="1"/>
    </row>
    <row r="511" spans="5:26" ht="15" customHeight="1">
      <c r="F511" s="58"/>
      <c r="G511" s="58"/>
      <c r="H511" s="58"/>
      <c r="I511" s="59">
        <f t="shared" ref="I511" si="442">I510/H510-1</f>
        <v>8.1739414745789496E-3</v>
      </c>
      <c r="J511" s="59">
        <f t="shared" ref="J511:R511" si="443">J510/I510-1</f>
        <v>0.34587319604345734</v>
      </c>
      <c r="K511" s="59">
        <f t="shared" si="443"/>
        <v>3.3132530120481896E-2</v>
      </c>
      <c r="L511" s="59">
        <f t="shared" si="443"/>
        <v>-9.0379008746355627E-2</v>
      </c>
      <c r="M511" s="59">
        <f t="shared" si="443"/>
        <v>1.2820512820512775E-2</v>
      </c>
      <c r="N511" s="59">
        <f t="shared" si="443"/>
        <v>2.5316455696202445E-2</v>
      </c>
      <c r="O511" s="59">
        <f t="shared" si="443"/>
        <v>-3.703703703703709E-2</v>
      </c>
      <c r="P511" s="59">
        <f t="shared" si="443"/>
        <v>-0.11538461538461531</v>
      </c>
      <c r="Q511" s="59">
        <f t="shared" si="443"/>
        <v>-4.3478260869565299E-2</v>
      </c>
      <c r="R511" s="59">
        <f t="shared" si="443"/>
        <v>-1.5151515151515138E-2</v>
      </c>
      <c r="Z511" s="1"/>
    </row>
    <row r="512" spans="5:26" ht="15" customHeight="1">
      <c r="E512" s="1" t="s">
        <v>210</v>
      </c>
      <c r="F512" s="243" t="s">
        <v>354</v>
      </c>
      <c r="G512" s="165"/>
      <c r="H512" s="157">
        <v>2.2120000000000001E-2</v>
      </c>
      <c r="I512" s="157">
        <v>3.4369999999999998E-2</v>
      </c>
      <c r="J512" s="157">
        <v>-4.9399999999999999E-3</v>
      </c>
      <c r="K512" s="157">
        <v>1.158E-2</v>
      </c>
      <c r="L512" s="157">
        <v>2.9609999999999997E-2</v>
      </c>
      <c r="M512" s="157">
        <v>8.8800000000000007E-3</v>
      </c>
      <c r="N512" s="157">
        <v>3.0000000000000001E-3</v>
      </c>
      <c r="O512" s="157">
        <v>2.3E-2</v>
      </c>
      <c r="P512" s="157">
        <v>2.6000000000000002E-2</v>
      </c>
      <c r="Q512" s="157">
        <v>2.4E-2</v>
      </c>
      <c r="R512" s="157">
        <v>2.1000000000000001E-2</v>
      </c>
      <c r="S512" s="70"/>
      <c r="Z512" s="1"/>
    </row>
    <row r="513" spans="5:26" ht="15" customHeight="1">
      <c r="F513" s="58"/>
      <c r="G513" s="58"/>
      <c r="H513" s="58"/>
      <c r="I513" s="59">
        <f t="shared" ref="I513" si="444">I512/H512-1</f>
        <v>0.55379746835443022</v>
      </c>
      <c r="J513" s="59">
        <f t="shared" ref="J513:R513" si="445">J512/I512-1</f>
        <v>-1.143729997090486</v>
      </c>
      <c r="K513" s="59">
        <f t="shared" si="445"/>
        <v>-3.3441295546558707</v>
      </c>
      <c r="L513" s="59">
        <f t="shared" si="445"/>
        <v>1.5569948186528495</v>
      </c>
      <c r="M513" s="59">
        <f t="shared" si="445"/>
        <v>-0.7001013171225936</v>
      </c>
      <c r="N513" s="59">
        <f t="shared" si="445"/>
        <v>-0.66216216216216217</v>
      </c>
      <c r="O513" s="59">
        <f t="shared" si="445"/>
        <v>6.6666666666666661</v>
      </c>
      <c r="P513" s="59">
        <f t="shared" si="445"/>
        <v>0.13043478260869579</v>
      </c>
      <c r="Q513" s="59">
        <f t="shared" si="445"/>
        <v>-7.6923076923076983E-2</v>
      </c>
      <c r="R513" s="59">
        <f t="shared" si="445"/>
        <v>-0.125</v>
      </c>
      <c r="Y513" s="70"/>
      <c r="Z513" s="1"/>
    </row>
    <row r="514" spans="5:26" ht="15" customHeight="1">
      <c r="F514" s="233" t="str">
        <f>"Travel and tourism direct contribution to GDP of "&amp; [7]Home!$B$1</f>
        <v>Travel and tourism direct contribution to GDP of Turkey</v>
      </c>
      <c r="G514" s="58"/>
      <c r="H514" s="58"/>
      <c r="I514" s="58"/>
      <c r="J514" s="59"/>
      <c r="K514" s="59"/>
      <c r="L514" s="59"/>
      <c r="M514" s="59"/>
      <c r="N514" s="59"/>
      <c r="O514" s="59"/>
      <c r="P514" s="59"/>
      <c r="Q514" s="59"/>
      <c r="R514" s="59"/>
      <c r="Z514" s="1"/>
    </row>
    <row r="515" spans="5:26" ht="15" customHeight="1">
      <c r="F515" s="58"/>
      <c r="G515" s="58"/>
      <c r="H515" s="58"/>
      <c r="I515" s="58"/>
      <c r="J515" s="59"/>
      <c r="K515" s="59"/>
      <c r="L515" s="59"/>
      <c r="M515" s="59"/>
      <c r="N515" s="59"/>
      <c r="O515" s="59"/>
      <c r="P515" s="59"/>
      <c r="Q515" s="59"/>
      <c r="R515" s="59"/>
      <c r="Y515" s="70"/>
      <c r="Z515" s="1"/>
    </row>
    <row r="516" spans="5:26" ht="15" customHeight="1">
      <c r="F516" s="233" t="str">
        <f>"Travel and tourism indirect contribution to GDP of "&amp; [7]Home!$B$1</f>
        <v>Travel and tourism indirect contribution to GDP of Turkey</v>
      </c>
      <c r="G516" s="58"/>
      <c r="H516" s="58"/>
      <c r="I516" s="58"/>
      <c r="J516" s="58"/>
      <c r="K516" s="58"/>
      <c r="L516" s="59"/>
      <c r="M516" s="59"/>
      <c r="N516" s="59"/>
      <c r="O516" s="59"/>
      <c r="P516" s="59"/>
      <c r="Q516" s="59"/>
      <c r="R516" s="59"/>
      <c r="Z516" s="1"/>
    </row>
    <row r="517" spans="5:26" ht="15" customHeight="1">
      <c r="F517" s="58"/>
      <c r="G517" s="58"/>
      <c r="H517" s="58"/>
      <c r="I517" s="58"/>
      <c r="J517" s="59"/>
      <c r="K517" s="59"/>
      <c r="L517" s="59"/>
      <c r="M517" s="59"/>
      <c r="N517" s="59"/>
      <c r="O517" s="59"/>
      <c r="P517" s="59"/>
      <c r="Q517" s="59"/>
      <c r="R517" s="59"/>
      <c r="Z517" s="1"/>
    </row>
    <row r="518" spans="5:26" ht="15" customHeight="1">
      <c r="E518" s="1" t="s">
        <v>311</v>
      </c>
      <c r="F518" s="246" t="s">
        <v>392</v>
      </c>
      <c r="Z518" s="1"/>
    </row>
    <row r="519" spans="5:26" ht="15" customHeight="1">
      <c r="E519" s="1" t="s">
        <v>210</v>
      </c>
      <c r="F519" s="5" t="s">
        <v>157</v>
      </c>
      <c r="G519" s="247" t="s">
        <v>393</v>
      </c>
      <c r="H519" s="247">
        <v>2812.953</v>
      </c>
      <c r="I519" s="247">
        <v>2813.953</v>
      </c>
      <c r="J519" s="247">
        <v>2657.3110000000001</v>
      </c>
      <c r="K519" s="247">
        <v>2180.654</v>
      </c>
      <c r="L519" s="247">
        <v>2263.0990000000002</v>
      </c>
      <c r="M519" s="247">
        <v>2417.5700000000002</v>
      </c>
      <c r="N519" s="247">
        <v>2452.6889999999999</v>
      </c>
      <c r="O519" s="247">
        <v>2577.739</v>
      </c>
      <c r="P519" s="247">
        <v>2705.96</v>
      </c>
      <c r="Q519" s="247">
        <v>2850.7330000000002</v>
      </c>
      <c r="R519" s="247">
        <v>3000.9670000000001</v>
      </c>
      <c r="Z519" s="1"/>
    </row>
    <row r="520" spans="5:26" ht="15" customHeight="1">
      <c r="E520" s="1" t="s">
        <v>210</v>
      </c>
      <c r="F520" s="238" t="s">
        <v>139</v>
      </c>
      <c r="G520" s="247" t="s">
        <v>393</v>
      </c>
      <c r="H520" s="248">
        <v>393.48</v>
      </c>
      <c r="I520" s="248">
        <v>453.88499999999999</v>
      </c>
      <c r="J520" s="248">
        <v>378.84899999999999</v>
      </c>
      <c r="K520" s="248">
        <v>420.94600000000003</v>
      </c>
      <c r="L520" s="248">
        <v>490.661</v>
      </c>
      <c r="M520" s="248">
        <v>501.101</v>
      </c>
      <c r="N520" s="248">
        <v>537.25800000000004</v>
      </c>
      <c r="O520" s="248">
        <v>546.548</v>
      </c>
      <c r="P520" s="248">
        <v>558.36500000000001</v>
      </c>
      <c r="Q520" s="248">
        <v>572.24900000000002</v>
      </c>
      <c r="R520" s="248">
        <v>589.32000000000005</v>
      </c>
      <c r="S520" s="1" t="s">
        <v>959</v>
      </c>
      <c r="Z520" s="1"/>
    </row>
    <row r="521" spans="5:26" ht="15" customHeight="1">
      <c r="E521" s="1" t="s">
        <v>210</v>
      </c>
      <c r="F521" s="5" t="s">
        <v>125</v>
      </c>
      <c r="G521" s="247" t="s">
        <v>393</v>
      </c>
      <c r="H521" s="247">
        <v>3327.5889999999999</v>
      </c>
      <c r="I521" s="247">
        <v>3328.5889999999999</v>
      </c>
      <c r="J521" s="247">
        <v>3640.7269999999999</v>
      </c>
      <c r="K521" s="247">
        <v>3307.1970000000001</v>
      </c>
      <c r="L521" s="247">
        <v>3286.451</v>
      </c>
      <c r="M521" s="247">
        <v>3577.0309999999999</v>
      </c>
      <c r="N521" s="247">
        <v>3478.7719999999999</v>
      </c>
      <c r="O521" s="247">
        <v>3581.127</v>
      </c>
      <c r="P521" s="247">
        <v>3664.3330000000001</v>
      </c>
      <c r="Q521" s="247">
        <v>3741.1419999999998</v>
      </c>
      <c r="R521" s="247">
        <v>3817.2620000000002</v>
      </c>
      <c r="Z521" s="1"/>
    </row>
    <row r="522" spans="5:26" ht="15" customHeight="1">
      <c r="E522" s="1" t="s">
        <v>210</v>
      </c>
      <c r="F522" s="238" t="s">
        <v>121</v>
      </c>
      <c r="G522" s="247" t="s">
        <v>393</v>
      </c>
      <c r="H522" s="247">
        <v>311.41800000000001</v>
      </c>
      <c r="I522" s="247">
        <v>343.88099999999997</v>
      </c>
      <c r="J522" s="247">
        <v>310.54500000000002</v>
      </c>
      <c r="K522" s="247">
        <v>313.13900000000001</v>
      </c>
      <c r="L522" s="247">
        <v>333.69600000000003</v>
      </c>
      <c r="M522" s="247">
        <v>313.637</v>
      </c>
      <c r="N522" s="247">
        <v>328.03500000000003</v>
      </c>
      <c r="O522" s="247">
        <v>331.947</v>
      </c>
      <c r="P522" s="247">
        <v>337.03699999999998</v>
      </c>
      <c r="Q522" s="247">
        <v>343.98200000000003</v>
      </c>
      <c r="R522" s="247">
        <v>344.62200000000001</v>
      </c>
      <c r="S522" s="1" t="s">
        <v>959</v>
      </c>
      <c r="Z522" s="1"/>
    </row>
    <row r="523" spans="5:26" ht="15" customHeight="1">
      <c r="E523" s="1" t="s">
        <v>210</v>
      </c>
      <c r="F523" s="238" t="s">
        <v>123</v>
      </c>
      <c r="G523" s="247" t="s">
        <v>393</v>
      </c>
      <c r="H523" s="247">
        <v>246.48099999999999</v>
      </c>
      <c r="I523" s="247">
        <v>273.25299999999999</v>
      </c>
      <c r="J523" s="247">
        <v>240.00399999999999</v>
      </c>
      <c r="K523" s="247">
        <v>237.24299999999999</v>
      </c>
      <c r="L523" s="247">
        <v>263.65600000000001</v>
      </c>
      <c r="M523" s="247">
        <v>250.126</v>
      </c>
      <c r="N523" s="247">
        <v>265.48500000000001</v>
      </c>
      <c r="O523" s="247">
        <v>273.02100000000002</v>
      </c>
      <c r="P523" s="247">
        <v>281.14</v>
      </c>
      <c r="Q523" s="247">
        <v>290.44600000000003</v>
      </c>
      <c r="R523" s="247">
        <v>300.17700000000002</v>
      </c>
      <c r="S523" s="1" t="s">
        <v>959</v>
      </c>
      <c r="Z523" s="1"/>
    </row>
    <row r="524" spans="5:26" ht="15" customHeight="1">
      <c r="E524" s="1" t="s">
        <v>210</v>
      </c>
      <c r="F524" s="5" t="s">
        <v>124</v>
      </c>
      <c r="G524" s="247" t="s">
        <v>393</v>
      </c>
      <c r="H524" s="247">
        <v>2585.7730000000001</v>
      </c>
      <c r="I524" s="247">
        <v>2586.7730000000001</v>
      </c>
      <c r="J524" s="247">
        <v>2842.5520000000001</v>
      </c>
      <c r="K524" s="247">
        <v>2631.9189999999999</v>
      </c>
      <c r="L524" s="247">
        <v>2562.759</v>
      </c>
      <c r="M524" s="247">
        <v>2776.3240000000001</v>
      </c>
      <c r="N524" s="247">
        <v>2712.0259999999998</v>
      </c>
      <c r="O524" s="247">
        <v>2786.9749999999999</v>
      </c>
      <c r="P524" s="247">
        <v>2884.6480000000001</v>
      </c>
      <c r="Q524" s="247">
        <v>2984.3989999999999</v>
      </c>
      <c r="R524" s="247">
        <v>3088.502</v>
      </c>
      <c r="Z524" s="1"/>
    </row>
    <row r="525" spans="5:26" ht="15" customHeight="1">
      <c r="E525" s="1" t="s">
        <v>210</v>
      </c>
      <c r="F525" s="5" t="s">
        <v>142</v>
      </c>
      <c r="G525" s="247" t="s">
        <v>393</v>
      </c>
      <c r="H525" s="247">
        <v>528.40099999999995</v>
      </c>
      <c r="I525" s="247">
        <v>529.40099999999995</v>
      </c>
      <c r="J525" s="247">
        <v>430.84699999999998</v>
      </c>
      <c r="K525" s="247">
        <v>469.75299999999999</v>
      </c>
      <c r="L525" s="247">
        <v>514.50300000000004</v>
      </c>
      <c r="M525" s="247">
        <v>470.35399999999998</v>
      </c>
      <c r="N525" s="247">
        <v>496.14499999999998</v>
      </c>
      <c r="O525" s="247">
        <v>522.93799999999999</v>
      </c>
      <c r="P525" s="247">
        <v>553.78399999999999</v>
      </c>
      <c r="Q525" s="247">
        <v>589.50099999999998</v>
      </c>
      <c r="R525" s="247">
        <v>623.40700000000004</v>
      </c>
      <c r="Z525" s="1"/>
    </row>
    <row r="526" spans="5:26" ht="15" customHeight="1">
      <c r="E526" s="1" t="s">
        <v>210</v>
      </c>
      <c r="F526" s="238" t="s">
        <v>137</v>
      </c>
      <c r="G526" s="247" t="s">
        <v>393</v>
      </c>
      <c r="H526" s="247">
        <v>783.69200000000001</v>
      </c>
      <c r="I526" s="247">
        <v>874.90599999999995</v>
      </c>
      <c r="J526" s="247">
        <v>798.4</v>
      </c>
      <c r="K526" s="247">
        <v>781.19600000000003</v>
      </c>
      <c r="L526" s="247">
        <v>837.59</v>
      </c>
      <c r="M526" s="247">
        <v>773.11599999999999</v>
      </c>
      <c r="N526" s="247">
        <v>808.89599999999996</v>
      </c>
      <c r="O526" s="247">
        <v>822.52099999999996</v>
      </c>
      <c r="P526" s="247">
        <v>841.73</v>
      </c>
      <c r="Q526" s="247">
        <v>861.39499999999998</v>
      </c>
      <c r="R526" s="247">
        <v>883.05600000000004</v>
      </c>
      <c r="S526" s="1" t="s">
        <v>959</v>
      </c>
      <c r="Z526" s="1"/>
    </row>
    <row r="527" spans="5:26" ht="15" customHeight="1">
      <c r="E527" s="1" t="s">
        <v>210</v>
      </c>
      <c r="F527" t="s">
        <v>170</v>
      </c>
      <c r="G527" s="247" t="s">
        <v>393</v>
      </c>
      <c r="H527">
        <v>14028.674999999999</v>
      </c>
      <c r="I527">
        <v>14291.55</v>
      </c>
      <c r="J527">
        <v>13973.65</v>
      </c>
      <c r="K527">
        <v>14498.924999999999</v>
      </c>
      <c r="L527">
        <v>15075.674999999999</v>
      </c>
      <c r="M527">
        <v>15684.75</v>
      </c>
      <c r="N527">
        <v>16237.745999999999</v>
      </c>
      <c r="O527">
        <v>17049.026999999998</v>
      </c>
      <c r="P527">
        <v>18012.185000000001</v>
      </c>
      <c r="Q527">
        <v>19020.508999999998</v>
      </c>
      <c r="R527">
        <v>20077.907999999999</v>
      </c>
      <c r="S527" s="1" t="s">
        <v>959</v>
      </c>
      <c r="Z527" s="1"/>
    </row>
    <row r="528" spans="5:26" ht="15" customHeight="1">
      <c r="E528" s="1" t="s">
        <v>210</v>
      </c>
      <c r="F528" s="114" t="s">
        <v>151</v>
      </c>
      <c r="G528" s="247" t="s">
        <v>393</v>
      </c>
      <c r="H528" s="247">
        <v>450.53</v>
      </c>
      <c r="I528" s="247">
        <v>524.28899999999999</v>
      </c>
      <c r="J528" s="247">
        <v>509.46600000000001</v>
      </c>
      <c r="K528" s="247">
        <v>550.68600000000004</v>
      </c>
      <c r="L528" s="247">
        <v>660.76199999999994</v>
      </c>
      <c r="M528" s="247">
        <v>632.4</v>
      </c>
      <c r="N528" s="247">
        <v>647.78599999999994</v>
      </c>
      <c r="O528" s="247">
        <v>658.23699999999997</v>
      </c>
      <c r="P528" s="247">
        <v>668.71900000000005</v>
      </c>
      <c r="Q528" s="247">
        <v>680.04200000000003</v>
      </c>
      <c r="R528" s="247">
        <v>692.58199999999999</v>
      </c>
      <c r="S528" s="1" t="s">
        <v>959</v>
      </c>
      <c r="Z528" s="1"/>
    </row>
    <row r="529" spans="5:29" ht="15" customHeight="1">
      <c r="F529" s="249"/>
      <c r="Z529" s="1"/>
    </row>
    <row r="530" spans="5:29" ht="15" customHeight="1">
      <c r="F530" s="250" t="s">
        <v>394</v>
      </c>
      <c r="G530" s="5"/>
      <c r="H530" s="5"/>
      <c r="I530" s="5"/>
      <c r="J530" s="5"/>
      <c r="K530" s="5"/>
      <c r="L530" s="5"/>
      <c r="M530"/>
      <c r="N530"/>
      <c r="O530"/>
      <c r="P530"/>
      <c r="Q530"/>
      <c r="R530"/>
      <c r="T530" s="2">
        <v>2008</v>
      </c>
      <c r="U530" s="2">
        <v>2009</v>
      </c>
      <c r="V530" s="2">
        <v>2010</v>
      </c>
      <c r="W530" s="2">
        <v>2011</v>
      </c>
      <c r="X530" s="2">
        <v>2012</v>
      </c>
      <c r="Z530" s="1"/>
    </row>
    <row r="531" spans="5:29" ht="15" customHeight="1">
      <c r="E531" s="1" t="s">
        <v>395</v>
      </c>
      <c r="F531" t="str">
        <f>F519</f>
        <v>United Kingdom</v>
      </c>
      <c r="G531" s="247" t="s">
        <v>396</v>
      </c>
      <c r="H531" s="730">
        <f>FORECAST(H519,I531:M531,I519:M519)</f>
        <v>1451983.6428998543</v>
      </c>
      <c r="I531" s="730">
        <f>FORECAST(I519,J531:N531,J519:N519)</f>
        <v>1467348.4830401763</v>
      </c>
      <c r="J531" s="253">
        <v>1397289.9</v>
      </c>
      <c r="K531" s="253">
        <v>1442129</v>
      </c>
      <c r="L531" s="253">
        <v>1540925.3</v>
      </c>
      <c r="M531">
        <v>1573570.4</v>
      </c>
      <c r="N531">
        <v>1586962</v>
      </c>
      <c r="O531" s="254">
        <f>FORECAST(O519,J531:N531,J519:N519)*1.08</f>
        <v>1609553.2975407506</v>
      </c>
      <c r="P531" s="254">
        <f>FORECAST(P519,K531:O531,K519:O519)*0.98</f>
        <v>1642351.7990315144</v>
      </c>
      <c r="Q531" s="254">
        <f t="shared" ref="Q531:R531" si="446">FORECAST(Q519,L531:P531,L519:P519)</f>
        <v>1674064.8037151871</v>
      </c>
      <c r="R531" s="254">
        <f t="shared" si="446"/>
        <v>1708399.5647859299</v>
      </c>
      <c r="S531" s="32"/>
      <c r="T531" s="32"/>
      <c r="U531" s="32"/>
      <c r="V531" s="32"/>
      <c r="W531" s="32"/>
      <c r="X531" s="32"/>
      <c r="Y531" s="32"/>
      <c r="Z531" s="32"/>
      <c r="AA531" s="32"/>
    </row>
    <row r="532" spans="5:29" ht="15" customHeight="1">
      <c r="E532" s="1" t="s">
        <v>395</v>
      </c>
      <c r="F532" t="str">
        <f t="shared" ref="F532:F540" si="447">F520</f>
        <v>Norway</v>
      </c>
      <c r="G532" s="247" t="s">
        <v>396</v>
      </c>
      <c r="H532" s="730">
        <f t="shared" ref="H532:I532" si="448">FORECAST(H520,I532:M532,I520:M520)</f>
        <v>177347.21400044856</v>
      </c>
      <c r="I532" s="730">
        <f t="shared" si="448"/>
        <v>198315.78646461797</v>
      </c>
      <c r="J532" s="256">
        <v>171814.8</v>
      </c>
      <c r="K532" s="256">
        <v>187905.4</v>
      </c>
      <c r="L532" s="729">
        <v>213626.1</v>
      </c>
      <c r="M532" s="729">
        <v>215046.9</v>
      </c>
      <c r="N532" s="729">
        <v>222941.7</v>
      </c>
      <c r="O532" s="254">
        <f t="shared" ref="O532:O540" si="449">FORECAST(O520,J532:N532,J520:N520)</f>
        <v>229139.95270212434</v>
      </c>
      <c r="P532" s="254">
        <f t="shared" ref="P532:P540" si="450">FORECAST(P520,K532:O532,K520:O520)</f>
        <v>232270.90625128048</v>
      </c>
      <c r="Q532" s="254">
        <f t="shared" ref="Q532:Q540" si="451">FORECAST(Q520,L532:P532,L520:P520)</f>
        <v>235163.8121550736</v>
      </c>
      <c r="R532" s="254">
        <f t="shared" ref="R532:R540" si="452">FORECAST(R520,M532:Q532,M520:Q520)</f>
        <v>240517.75221220028</v>
      </c>
      <c r="S532" s="32"/>
      <c r="T532" s="32"/>
      <c r="U532" s="32"/>
      <c r="V532" s="32"/>
      <c r="W532" s="32"/>
      <c r="X532" s="32"/>
      <c r="Y532" s="32"/>
      <c r="Z532" s="32"/>
      <c r="AA532" s="32"/>
    </row>
    <row r="533" spans="5:29" ht="15" customHeight="1">
      <c r="E533" s="1" t="s">
        <v>395</v>
      </c>
      <c r="F533" t="str">
        <f t="shared" si="447"/>
        <v>Germany</v>
      </c>
      <c r="G533" s="247" t="s">
        <v>396</v>
      </c>
      <c r="H533" s="730">
        <f t="shared" ref="H533:I533" si="453">FORECAST(H521,I533:M533,I521:M521)</f>
        <v>2273466.2583542187</v>
      </c>
      <c r="I533" s="730">
        <f t="shared" si="453"/>
        <v>2272305.7083369396</v>
      </c>
      <c r="J533" s="256">
        <v>2227885.9</v>
      </c>
      <c r="K533" s="256">
        <v>2183434.6</v>
      </c>
      <c r="L533" s="256">
        <v>2367951</v>
      </c>
      <c r="M533" s="729">
        <v>2237694</v>
      </c>
      <c r="N533" s="729">
        <v>2242025.6</v>
      </c>
      <c r="O533" s="254">
        <f>FORECAST(O521,J533:N533,J521:N521)*1.008</f>
        <v>2250155.930239154</v>
      </c>
      <c r="P533" s="254">
        <f>FORECAST(P521,K533:O533,K521:O521)*1.02</f>
        <v>2270039.3442403041</v>
      </c>
      <c r="Q533" s="254">
        <f>FORECAST(Q521,L533:P533,L521:P521)*1.04</f>
        <v>2296086.4501691628</v>
      </c>
      <c r="R533" s="254">
        <f t="shared" ref="R533" si="454">FORECAST(R521,M533:Q533,M521:Q521)*1.008</f>
        <v>2323619.1518317261</v>
      </c>
      <c r="S533" s="32"/>
      <c r="T533" s="32"/>
      <c r="U533" s="32"/>
      <c r="V533" s="32"/>
      <c r="W533" s="32"/>
      <c r="X533" s="32"/>
      <c r="Y533" s="32"/>
      <c r="Z533" s="32"/>
      <c r="AA533" s="32"/>
      <c r="AB533"/>
      <c r="AC533"/>
    </row>
    <row r="534" spans="5:29" ht="15" customHeight="1">
      <c r="E534" s="1" t="s">
        <v>395</v>
      </c>
      <c r="F534" t="str">
        <f t="shared" si="447"/>
        <v>Denmark</v>
      </c>
      <c r="G534" s="247" t="s">
        <v>396</v>
      </c>
      <c r="H534" s="730">
        <f t="shared" ref="H534:I534" si="455">FORECAST(H522,I534:M534,I522:M522)</f>
        <v>149831.98837363775</v>
      </c>
      <c r="I534" s="730">
        <f t="shared" si="455"/>
        <v>163483.107642719</v>
      </c>
      <c r="J534" s="256">
        <v>149860.4</v>
      </c>
      <c r="K534" s="256">
        <v>149207.79999999999</v>
      </c>
      <c r="L534" s="256">
        <v>161130.29999999999</v>
      </c>
      <c r="M534" s="729">
        <v>151329.60000000001</v>
      </c>
      <c r="N534" s="729">
        <v>153923.6</v>
      </c>
      <c r="O534" s="254">
        <f t="shared" si="449"/>
        <v>158330.4613003674</v>
      </c>
      <c r="P534" s="254">
        <f t="shared" si="450"/>
        <v>160712.88102395125</v>
      </c>
      <c r="Q534" s="254">
        <f t="shared" si="451"/>
        <v>163603.81546249529</v>
      </c>
      <c r="R534" s="254">
        <f>FORECAST(R522,M534:Q534,M522:Q522)*1.01</f>
        <v>164976.41102956343</v>
      </c>
      <c r="S534" s="32"/>
      <c r="T534" s="32"/>
      <c r="U534" s="32"/>
      <c r="V534" s="32"/>
      <c r="W534" s="32"/>
      <c r="X534" s="32"/>
      <c r="Y534" s="32"/>
      <c r="Z534" s="32"/>
      <c r="AA534" s="32"/>
      <c r="AB534"/>
      <c r="AC534"/>
    </row>
    <row r="535" spans="5:29" ht="15" customHeight="1">
      <c r="E535" s="1" t="s">
        <v>395</v>
      </c>
      <c r="F535" t="str">
        <f t="shared" si="447"/>
        <v>Finland</v>
      </c>
      <c r="G535" s="247" t="s">
        <v>396</v>
      </c>
      <c r="H535" s="730">
        <f t="shared" ref="H535:I535" si="456">FORECAST(H523,I535:M535,I523:M523)</f>
        <v>144112.68125625391</v>
      </c>
      <c r="I535" s="730">
        <f t="shared" si="456"/>
        <v>153679.80281244573</v>
      </c>
      <c r="J535" s="256">
        <v>141110.29999999999</v>
      </c>
      <c r="K535" s="256">
        <v>140173.9</v>
      </c>
      <c r="L535" s="729">
        <v>152420.5</v>
      </c>
      <c r="M535" s="729">
        <v>145940.6</v>
      </c>
      <c r="N535" s="729">
        <v>148381</v>
      </c>
      <c r="O535" s="254">
        <f t="shared" si="449"/>
        <v>153594.45990292844</v>
      </c>
      <c r="P535" s="254">
        <f t="shared" si="450"/>
        <v>156474.1738323936</v>
      </c>
      <c r="Q535" s="254">
        <f t="shared" si="451"/>
        <v>159291.90266498132</v>
      </c>
      <c r="R535" s="254">
        <f t="shared" si="452"/>
        <v>162641.96631934916</v>
      </c>
      <c r="S535" s="32"/>
      <c r="T535" s="32"/>
      <c r="U535" s="32"/>
      <c r="V535" s="32"/>
      <c r="W535" s="32"/>
      <c r="X535" s="32"/>
      <c r="Y535" s="32"/>
      <c r="Z535" s="32"/>
      <c r="AA535" s="32"/>
      <c r="AB535"/>
      <c r="AC535"/>
    </row>
    <row r="536" spans="5:29" ht="15" customHeight="1">
      <c r="E536" s="1" t="s">
        <v>395</v>
      </c>
      <c r="F536" t="str">
        <f t="shared" si="447"/>
        <v>France</v>
      </c>
      <c r="G536" s="247" t="s">
        <v>396</v>
      </c>
      <c r="H536" s="730">
        <f t="shared" ref="H536:I536" si="457">FORECAST(H524,I536:M536,I524:M524)</f>
        <v>1781028.8923379113</v>
      </c>
      <c r="I536" s="730">
        <f t="shared" si="457"/>
        <v>1777543.468140895</v>
      </c>
      <c r="J536" s="256">
        <v>1757878.1</v>
      </c>
      <c r="K536" s="256">
        <v>1708217.6</v>
      </c>
      <c r="L536" s="256">
        <v>1840264.3</v>
      </c>
      <c r="M536" s="729">
        <v>1727094.9</v>
      </c>
      <c r="N536" s="729">
        <v>1729280.9</v>
      </c>
      <c r="O536" s="254">
        <f t="shared" si="449"/>
        <v>1735256.9714116973</v>
      </c>
      <c r="P536" s="254">
        <f>FORECAST(P524,K536:O536,K524:O524)*1.05</f>
        <v>1765395.6241433166</v>
      </c>
      <c r="Q536" s="254">
        <f>FORECAST(Q524,L536:P536,L524:P524)*1.05</f>
        <v>1780925.2130489945</v>
      </c>
      <c r="R536" s="254">
        <f t="shared" si="452"/>
        <v>1804180.3711880033</v>
      </c>
      <c r="S536" s="32"/>
      <c r="T536" s="32"/>
      <c r="U536" s="32"/>
      <c r="V536" s="32"/>
      <c r="W536" s="32"/>
      <c r="X536" s="32"/>
      <c r="Y536" s="32"/>
      <c r="Z536" s="32"/>
      <c r="AA536" s="32"/>
      <c r="AB536"/>
      <c r="AC536"/>
    </row>
    <row r="537" spans="5:29" ht="15" customHeight="1">
      <c r="E537" s="1" t="s">
        <v>395</v>
      </c>
      <c r="F537" t="str">
        <f t="shared" si="447"/>
        <v>Poland</v>
      </c>
      <c r="G537" s="247" t="s">
        <v>396</v>
      </c>
      <c r="H537" s="730">
        <f t="shared" ref="H537:I537" si="458">FORECAST(H525,I537:M537,I525:M525)</f>
        <v>324003.72393589723</v>
      </c>
      <c r="I537" s="730">
        <f t="shared" si="458"/>
        <v>323839.91141413804</v>
      </c>
      <c r="J537" s="256">
        <v>271530.09999999998</v>
      </c>
      <c r="K537" s="729">
        <v>293974.59999999998</v>
      </c>
      <c r="L537" s="729">
        <v>315318.8</v>
      </c>
      <c r="M537" s="729">
        <v>299695.3</v>
      </c>
      <c r="N537" s="729">
        <v>304812.09999999998</v>
      </c>
      <c r="O537" s="254">
        <f t="shared" si="449"/>
        <v>320579.98921790114</v>
      </c>
      <c r="P537" s="254">
        <f t="shared" si="450"/>
        <v>332583.96159931272</v>
      </c>
      <c r="Q537" s="254">
        <f t="shared" si="451"/>
        <v>346830.36981255241</v>
      </c>
      <c r="R537" s="254">
        <f t="shared" si="452"/>
        <v>360883.28022945789</v>
      </c>
      <c r="S537" s="32"/>
      <c r="T537" s="32"/>
      <c r="U537" s="32"/>
      <c r="V537" s="32"/>
      <c r="W537" s="32"/>
      <c r="X537" s="32"/>
      <c r="Y537" s="32"/>
      <c r="Z537" s="32"/>
      <c r="AA537" s="32"/>
      <c r="AB537"/>
      <c r="AC537"/>
    </row>
    <row r="538" spans="5:29" ht="15" customHeight="1">
      <c r="E538" s="1" t="s">
        <v>395</v>
      </c>
      <c r="F538" t="str">
        <f t="shared" si="447"/>
        <v>Netherlands</v>
      </c>
      <c r="G538" s="247" t="s">
        <v>396</v>
      </c>
      <c r="H538" s="730">
        <f t="shared" ref="H538:I538" si="459">FORECAST(H526,I538:M538,I526:M526)</f>
        <v>374416.44895538897</v>
      </c>
      <c r="I538" s="730">
        <f t="shared" si="459"/>
        <v>403014.97674392606</v>
      </c>
      <c r="J538" s="256">
        <v>383235.5</v>
      </c>
      <c r="K538" s="256">
        <v>370660.7</v>
      </c>
      <c r="L538" s="256">
        <v>396535.8</v>
      </c>
      <c r="M538" s="729">
        <v>369334.6</v>
      </c>
      <c r="N538" s="729">
        <v>361838.3</v>
      </c>
      <c r="O538" s="254">
        <f t="shared" si="449"/>
        <v>384386.60213916859</v>
      </c>
      <c r="P538" s="254">
        <f t="shared" si="450"/>
        <v>390313.2839407642</v>
      </c>
      <c r="Q538" s="254">
        <f t="shared" si="451"/>
        <v>398515.76534605102</v>
      </c>
      <c r="R538" s="254">
        <f t="shared" si="452"/>
        <v>404064.76053333696</v>
      </c>
      <c r="S538" s="32"/>
      <c r="T538" s="32"/>
      <c r="U538" s="32"/>
      <c r="V538" s="32"/>
      <c r="W538" s="32"/>
      <c r="X538" s="32"/>
      <c r="Y538" s="32"/>
      <c r="Z538" s="32"/>
      <c r="AA538" s="32"/>
      <c r="AB538"/>
      <c r="AC538"/>
    </row>
    <row r="539" spans="5:29" ht="15" customHeight="1">
      <c r="E539" s="1" t="s">
        <v>395</v>
      </c>
      <c r="F539" t="str">
        <f t="shared" si="447"/>
        <v>United States of America</v>
      </c>
      <c r="G539" s="247" t="s">
        <v>396</v>
      </c>
      <c r="H539" s="730">
        <f t="shared" ref="H539:I539" si="460">FORECAST(H527,I539:M539,I527:M527)</f>
        <v>10775873.009554679</v>
      </c>
      <c r="I539" s="730">
        <f t="shared" si="460"/>
        <v>10972899.820215065</v>
      </c>
      <c r="J539" s="729">
        <v>10711200</v>
      </c>
      <c r="K539" s="729">
        <v>11114600</v>
      </c>
      <c r="L539" s="729">
        <v>11532700</v>
      </c>
      <c r="M539" s="729">
        <v>11913122.199999999</v>
      </c>
      <c r="N539" s="729">
        <v>12094316.699999999</v>
      </c>
      <c r="O539" s="254">
        <f t="shared" si="449"/>
        <v>12691731.015765578</v>
      </c>
      <c r="P539" s="254">
        <f t="shared" si="450"/>
        <v>13240368.744789017</v>
      </c>
      <c r="Q539" s="254">
        <f t="shared" si="451"/>
        <v>13815431.650358085</v>
      </c>
      <c r="R539" s="254">
        <f t="shared" si="452"/>
        <v>14443172.701097967</v>
      </c>
      <c r="S539" s="32"/>
      <c r="T539" s="32"/>
      <c r="U539" s="32"/>
      <c r="V539" s="32"/>
      <c r="W539" s="32"/>
      <c r="X539" s="32"/>
      <c r="Y539" s="32"/>
      <c r="Z539" s="32"/>
      <c r="AA539" s="32"/>
      <c r="AB539"/>
      <c r="AC539"/>
    </row>
    <row r="540" spans="5:29" ht="15" customHeight="1">
      <c r="E540" s="1" t="s">
        <v>395</v>
      </c>
      <c r="F540" t="str">
        <f t="shared" si="447"/>
        <v>Switzerland</v>
      </c>
      <c r="G540" s="247" t="s">
        <v>396</v>
      </c>
      <c r="H540" s="730">
        <f t="shared" ref="H540:I540" si="461">FORECAST(H528,I540:M540,I528:M528)</f>
        <v>291776.74503981083</v>
      </c>
      <c r="I540" s="730">
        <f t="shared" si="461"/>
        <v>335681.23853838438</v>
      </c>
      <c r="J540" s="729">
        <v>327560.90000000002</v>
      </c>
      <c r="K540" s="729">
        <v>350029.5</v>
      </c>
      <c r="L540" s="729">
        <v>416030.4</v>
      </c>
      <c r="M540" s="729">
        <v>401581.7</v>
      </c>
      <c r="N540" s="729">
        <v>409247.7</v>
      </c>
      <c r="O540" s="254">
        <f t="shared" si="449"/>
        <v>415432.96758423495</v>
      </c>
      <c r="P540" s="254">
        <f t="shared" si="450"/>
        <v>421926.85277624702</v>
      </c>
      <c r="Q540" s="254">
        <f t="shared" si="451"/>
        <v>427406.9535618918</v>
      </c>
      <c r="R540" s="254">
        <f t="shared" si="452"/>
        <v>434527.39118793095</v>
      </c>
      <c r="S540" s="32"/>
      <c r="T540" s="32"/>
      <c r="U540" s="32"/>
      <c r="V540" s="32"/>
      <c r="W540" s="32"/>
      <c r="X540" s="32"/>
      <c r="Y540" s="32"/>
      <c r="Z540" s="32"/>
      <c r="AA540" s="32"/>
      <c r="AB540"/>
      <c r="AC540"/>
    </row>
    <row r="541" spans="5:29" ht="15" customHeight="1">
      <c r="F541" s="249"/>
      <c r="J541" s="257"/>
      <c r="K541" s="257"/>
      <c r="L541" s="257"/>
      <c r="M541" s="257"/>
      <c r="N541" s="257"/>
      <c r="O541" s="257"/>
      <c r="P541" s="257"/>
      <c r="Q541" s="257"/>
      <c r="R541" s="257"/>
      <c r="T541" s="32"/>
      <c r="U541" s="32"/>
      <c r="V541" s="32"/>
      <c r="W541" s="255"/>
      <c r="X541" s="255"/>
      <c r="AA541"/>
      <c r="AB541"/>
      <c r="AC541"/>
    </row>
    <row r="542" spans="5:29" ht="15" customHeight="1">
      <c r="F542" s="246" t="s">
        <v>397</v>
      </c>
      <c r="AA542"/>
      <c r="AB542"/>
      <c r="AC542"/>
    </row>
    <row r="543" spans="5:29" ht="15" customHeight="1">
      <c r="F543" s="249" t="s">
        <v>217</v>
      </c>
      <c r="G543" s="1" t="s">
        <v>398</v>
      </c>
      <c r="H543" s="57">
        <v>332.9263213243558</v>
      </c>
      <c r="I543" s="57">
        <v>360.08189207253025</v>
      </c>
      <c r="J543" s="57">
        <v>281.4316027726091</v>
      </c>
      <c r="K543" s="57">
        <v>313.32534455805239</v>
      </c>
      <c r="L543" s="57">
        <v>408.9058802880275</v>
      </c>
      <c r="M543" s="57">
        <v>406.47762654034238</v>
      </c>
      <c r="N543" s="57">
        <v>411.93480693288217</v>
      </c>
      <c r="O543" s="57">
        <v>420.65235068101447</v>
      </c>
      <c r="P543" s="57">
        <v>429.33555436367953</v>
      </c>
      <c r="Q543" s="269">
        <v>445.33672774642224</v>
      </c>
      <c r="R543" s="269">
        <v>458.78081379948765</v>
      </c>
      <c r="AA543"/>
      <c r="AB543"/>
      <c r="AC543"/>
    </row>
    <row r="544" spans="5:29" ht="15" customHeight="1">
      <c r="F544" s="65"/>
      <c r="H544" s="57"/>
      <c r="I544" s="57"/>
      <c r="J544" s="57"/>
      <c r="K544" s="57"/>
      <c r="L544" s="57"/>
      <c r="M544" s="57"/>
      <c r="N544" s="57"/>
      <c r="O544" s="57"/>
      <c r="P544" s="57"/>
      <c r="Q544" s="57"/>
      <c r="R544" s="57"/>
      <c r="Z544" s="32"/>
      <c r="AA544" s="32"/>
      <c r="AB544" s="32"/>
      <c r="AC544"/>
    </row>
    <row r="545" spans="6:26" ht="15" customHeight="1">
      <c r="F545" s="249" t="s">
        <v>219</v>
      </c>
      <c r="G545" s="1" t="s">
        <v>398</v>
      </c>
      <c r="H545" s="57">
        <v>3352.5563662199788</v>
      </c>
      <c r="I545" s="57">
        <v>3575.774466344797</v>
      </c>
      <c r="J545" s="57">
        <v>2970.1520929340522</v>
      </c>
      <c r="K545" s="57">
        <v>3481.1879607048431</v>
      </c>
      <c r="L545" s="57">
        <v>4315.7678001812028</v>
      </c>
      <c r="M545" s="57">
        <v>4430.9904103577646</v>
      </c>
      <c r="N545" s="57">
        <v>4578.7175386170757</v>
      </c>
      <c r="O545" s="57">
        <v>4725.6793470402554</v>
      </c>
      <c r="P545" s="57">
        <v>4903.0097163102864</v>
      </c>
      <c r="Q545" s="269">
        <v>5139.5326319941996</v>
      </c>
      <c r="R545" s="269">
        <v>5346.2817357991134</v>
      </c>
      <c r="Z545" s="1"/>
    </row>
    <row r="546" spans="6:26" ht="15" customHeight="1">
      <c r="F546" s="243"/>
      <c r="H546" s="57"/>
      <c r="I546" s="57"/>
      <c r="J546" s="57"/>
      <c r="K546" s="57"/>
      <c r="L546" s="57"/>
      <c r="M546" s="57"/>
      <c r="N546" s="57"/>
      <c r="O546" s="57"/>
      <c r="P546" s="57"/>
      <c r="Q546" s="57"/>
      <c r="R546" s="57"/>
      <c r="Z546" s="1"/>
    </row>
    <row r="547" spans="6:26" ht="15" customHeight="1">
      <c r="F547" s="249" t="s">
        <v>220</v>
      </c>
      <c r="G547" s="1" t="s">
        <v>398</v>
      </c>
      <c r="H547" s="57">
        <v>3422.2180368904483</v>
      </c>
      <c r="I547" s="57">
        <v>3630.1628239966008</v>
      </c>
      <c r="J547" s="57">
        <v>2979.6196879489958</v>
      </c>
      <c r="K547" s="57">
        <v>3476.1003642862051</v>
      </c>
      <c r="L547" s="57">
        <v>4333.7345721572046</v>
      </c>
      <c r="M547" s="57">
        <v>4425.3219673013164</v>
      </c>
      <c r="N547" s="57">
        <v>4563.7242437981949</v>
      </c>
      <c r="O547" s="57">
        <v>4699.8027577369858</v>
      </c>
      <c r="P547" s="57">
        <v>4865.3922308339079</v>
      </c>
      <c r="Q547" s="269">
        <v>5068.9760861760033</v>
      </c>
      <c r="R547" s="269">
        <v>5228.6392354668305</v>
      </c>
      <c r="Z547" s="1"/>
    </row>
    <row r="548" spans="6:26" ht="15" customHeight="1">
      <c r="F548" s="243"/>
      <c r="H548" s="57"/>
      <c r="I548" s="57"/>
      <c r="J548" s="57"/>
      <c r="K548" s="57"/>
      <c r="L548" s="57"/>
      <c r="M548" s="57"/>
      <c r="N548" s="57"/>
      <c r="O548" s="57"/>
      <c r="P548" s="57"/>
      <c r="Q548" s="57"/>
      <c r="R548" s="57"/>
      <c r="Z548" s="1"/>
    </row>
    <row r="549" spans="6:26" ht="15" customHeight="1">
      <c r="F549" s="249" t="s">
        <v>221</v>
      </c>
      <c r="G549" s="1" t="s">
        <v>398</v>
      </c>
      <c r="H549" s="57">
        <v>1741.4047191954307</v>
      </c>
      <c r="I549" s="57">
        <v>1783.6178235997511</v>
      </c>
      <c r="J549" s="57">
        <v>1418.6563917296801</v>
      </c>
      <c r="K549" s="57">
        <v>1624.7149938845087</v>
      </c>
      <c r="L549" s="57">
        <v>2051.1534494507955</v>
      </c>
      <c r="M549" s="57">
        <v>2076.3247308245554</v>
      </c>
      <c r="N549" s="57">
        <v>2103.3543143608013</v>
      </c>
      <c r="O549" s="57">
        <v>2120.5393148510625</v>
      </c>
      <c r="P549" s="57">
        <v>2154.4615813479645</v>
      </c>
      <c r="Q549" s="269">
        <v>2208.001613647084</v>
      </c>
      <c r="R549" s="269">
        <v>2261.9555337122865</v>
      </c>
      <c r="Z549" s="1"/>
    </row>
    <row r="550" spans="6:26" ht="15" customHeight="1">
      <c r="F550" s="243"/>
      <c r="J550" s="187"/>
      <c r="K550" s="187"/>
      <c r="L550" s="187"/>
      <c r="M550" s="187"/>
      <c r="N550" s="187"/>
      <c r="O550" s="187"/>
      <c r="P550" s="187"/>
      <c r="Q550" s="187"/>
      <c r="R550" s="187"/>
      <c r="Z550" s="1"/>
    </row>
    <row r="551" spans="6:26" ht="15" customHeight="1">
      <c r="F551" s="249"/>
      <c r="Z551" s="1"/>
    </row>
    <row r="552" spans="6:26" ht="15" customHeight="1">
      <c r="F552" s="243"/>
      <c r="Z552" s="1"/>
    </row>
    <row r="553" spans="6:26" ht="15" customHeight="1">
      <c r="F553" s="249"/>
    </row>
    <row r="554" spans="6:26" ht="15" customHeight="1">
      <c r="F554" s="258"/>
      <c r="G554" s="259"/>
      <c r="H554" s="252"/>
      <c r="I554" s="252"/>
      <c r="J554" s="252"/>
      <c r="K554" s="252"/>
      <c r="L554" s="252"/>
      <c r="M554" s="252"/>
      <c r="N554" s="252"/>
      <c r="O554" s="252"/>
      <c r="P554" s="252"/>
      <c r="Q554" s="252"/>
      <c r="R554" s="67"/>
    </row>
    <row r="555" spans="6:26" ht="15" customHeight="1">
      <c r="F555" s="249"/>
    </row>
    <row r="556" spans="6:26" ht="15" customHeight="1">
      <c r="F556" s="65"/>
    </row>
    <row r="557" spans="6:26" ht="15" customHeight="1">
      <c r="F557" s="249"/>
    </row>
    <row r="558" spans="6:26" ht="15" customHeight="1">
      <c r="F558" s="243"/>
    </row>
    <row r="559" spans="6:26" ht="15" customHeight="1">
      <c r="F559" s="249"/>
    </row>
    <row r="560" spans="6:26" ht="15" customHeight="1">
      <c r="F560" s="243"/>
    </row>
    <row r="561" spans="6:6" ht="15" customHeight="1">
      <c r="F561" s="249"/>
    </row>
    <row r="562" spans="6:6" ht="15" customHeight="1">
      <c r="F562" s="243"/>
    </row>
    <row r="563" spans="6:6" ht="15" customHeight="1">
      <c r="F563" s="249"/>
    </row>
    <row r="564" spans="6:6" ht="15" customHeight="1">
      <c r="F564" s="243"/>
    </row>
    <row r="565" spans="6:6" ht="15" customHeight="1">
      <c r="F565" s="249"/>
    </row>
    <row r="566" spans="6:6" ht="15" customHeight="1">
      <c r="F566" s="243"/>
    </row>
    <row r="567" spans="6:6" ht="15" customHeight="1">
      <c r="F567" s="249"/>
    </row>
  </sheetData>
  <customSheetViews>
    <customSheetView guid="{BD5E9955-DC4B-4EA0-9160-9EF1C693DE04}" showGridLines="0" hiddenRows="1" hiddenColumns="1" topLeftCell="H1">
      <pane ySplit="1" topLeftCell="A337" activePane="bottomLeft" state="frozen"/>
      <selection pane="bottomLeft" activeCell="S21" sqref="S21"/>
      <pageMargins left="0.7" right="0.7" top="0.75" bottom="0.75" header="0.3" footer="0.3"/>
      <pageSetup orientation="portrait" r:id="rId1"/>
    </customSheetView>
    <customSheetView guid="{1ACDCC85-59E3-4410-927D-E7E5C71B61F5}" showGridLines="0" hiddenRows="1" hiddenColumns="1" topLeftCell="H1">
      <pane ySplit="1" topLeftCell="A393" activePane="bottomLeft" state="frozen"/>
      <selection pane="bottomLeft" activeCell="H1" sqref="H1:H1048576"/>
      <pageMargins left="0.7" right="0.7" top="0.75" bottom="0.75" header="0.3" footer="0.3"/>
      <pageSetup orientation="portrait" r:id="rId2"/>
    </customSheetView>
    <customSheetView guid="{28AA611C-F120-4D09-9666-0AAAA1997A5D}" showGridLines="0" hiddenColumns="1">
      <pane ySplit="1" topLeftCell="A35" activePane="bottomLeft" state="frozen"/>
      <selection pane="bottomLeft" activeCell="Y5" sqref="Y5"/>
      <pageMargins left="0.7" right="0.7" top="0.75" bottom="0.75" header="0.3" footer="0.3"/>
      <pageSetup orientation="portrait" r:id="rId3"/>
    </customSheetView>
    <customSheetView guid="{63078F6D-D19C-47E9-B618-80B24EAAED3A}" showGridLines="0" hiddenColumns="1">
      <pane ySplit="1" topLeftCell="A35" activePane="bottomLeft" state="frozen"/>
      <selection pane="bottomLeft" activeCell="E50" sqref="E50"/>
      <pageMargins left="0.7" right="0.7" top="0.75" bottom="0.75" header="0.3" footer="0.3"/>
      <pageSetup orientation="portrait" r:id="rId4"/>
    </customSheetView>
    <customSheetView guid="{92F60ACF-D6F3-4086-9F2B-BC0D304DAC43}" showGridLines="0" hiddenColumns="1">
      <pane ySplit="1" topLeftCell="A35" activePane="bottomLeft" state="frozen"/>
      <selection pane="bottomLeft" activeCell="E50" sqref="E50"/>
      <pageMargins left="0.7" right="0.7" top="0.75" bottom="0.75" header="0.3" footer="0.3"/>
      <pageSetup orientation="portrait" r:id="rId5"/>
    </customSheetView>
    <customSheetView guid="{9144D9B3-2327-4B3A-89B1-6A595780C3C5}" showGridLines="0" hiddenColumns="1" state="hidden">
      <pane ySplit="1" topLeftCell="A469" activePane="bottomLeft" state="frozen"/>
      <selection pane="bottomLeft" activeCell="H478" sqref="H478"/>
      <pageMargins left="0.7" right="0.7" top="0.75" bottom="0.75" header="0.3" footer="0.3"/>
      <pageSetup orientation="portrait" r:id="rId6"/>
    </customSheetView>
    <customSheetView guid="{513032B5-C585-49C2-98E7-9FDE6F7A4BA7}" showGridLines="0" hiddenRows="1" hiddenColumns="1" topLeftCell="H1">
      <pane ySplit="1" topLeftCell="A393" activePane="bottomLeft" state="frozen"/>
      <selection pane="bottomLeft"/>
      <pageMargins left="0.7" right="0.7" top="0.75" bottom="0.75" header="0.3" footer="0.3"/>
      <pageSetup orientation="portrait" r:id="rId7"/>
    </customSheetView>
    <customSheetView guid="{AF983ECA-536A-40E6-8A04-FF0A375E9ACC}" showGridLines="0" hiddenColumns="1" topLeftCell="G1">
      <pane ySplit="1" topLeftCell="A302" activePane="bottomLeft" state="frozen"/>
      <selection pane="bottomLeft" activeCell="M324" sqref="M324"/>
      <pageMargins left="0.7" right="0.7" top="0.75" bottom="0.75" header="0.3" footer="0.3"/>
      <pageSetup orientation="portrait" r:id="rId8"/>
    </customSheetView>
  </customSheetViews>
  <pageMargins left="0.7" right="0.7" top="0.75" bottom="0.75" header="0.3" footer="0.3"/>
  <pageSetup orientation="portrait" r:id="rId9"/>
  <legacyDrawing r:id="rId10"/>
</worksheet>
</file>

<file path=xl/worksheets/sheet28.xml><?xml version="1.0" encoding="utf-8"?>
<worksheet xmlns="http://schemas.openxmlformats.org/spreadsheetml/2006/main" xmlns:r="http://schemas.openxmlformats.org/officeDocument/2006/relationships">
  <dimension ref="A1:XEU396"/>
  <sheetViews>
    <sheetView showGridLines="0" topLeftCell="E1" workbookViewId="0">
      <selection activeCell="L13" sqref="L13"/>
    </sheetView>
  </sheetViews>
  <sheetFormatPr defaultRowHeight="15" customHeight="1"/>
  <cols>
    <col min="1" max="1" width="6.140625" style="1" customWidth="1"/>
    <col min="2" max="2" width="13" style="1" customWidth="1"/>
    <col min="3" max="3" width="19.85546875" style="1" customWidth="1"/>
    <col min="4" max="4" width="15" style="1" customWidth="1"/>
    <col min="5" max="5" width="10.85546875" style="1" customWidth="1"/>
    <col min="6" max="6" width="10.85546875" style="1" bestFit="1" customWidth="1"/>
    <col min="7" max="7" width="11.5703125" style="1" bestFit="1" customWidth="1"/>
    <col min="8" max="8" width="10.7109375" style="1" customWidth="1"/>
    <col min="9" max="9" width="10.28515625" style="1" customWidth="1"/>
    <col min="10" max="10" width="11" style="1" customWidth="1"/>
    <col min="11" max="11" width="10.85546875" style="1" customWidth="1"/>
    <col min="12" max="13" width="10.28515625" style="1" customWidth="1"/>
    <col min="14" max="14" width="10.5703125" style="1" customWidth="1"/>
    <col min="15" max="16384" width="9.140625" style="6"/>
  </cols>
  <sheetData>
    <row r="1" spans="1:14" ht="15" customHeight="1">
      <c r="A1" s="415"/>
      <c r="B1" s="415"/>
      <c r="C1" s="415"/>
      <c r="D1" s="415"/>
      <c r="E1" s="415"/>
      <c r="F1" s="15">
        <f>'Tourism Medium DB-LCU'!I1</f>
        <v>2009</v>
      </c>
      <c r="G1" s="15">
        <f>'Tourism Medium DB-LCU'!J1</f>
        <v>2010</v>
      </c>
      <c r="H1" s="15">
        <f>'Tourism Medium DB-LCU'!K1</f>
        <v>2011</v>
      </c>
      <c r="I1" s="15">
        <f>'Tourism Medium DB-LCU'!L1</f>
        <v>2012</v>
      </c>
      <c r="J1" s="15">
        <f>'Tourism Medium DB-LCU'!M1</f>
        <v>2013</v>
      </c>
      <c r="K1" s="15">
        <f>'Tourism Medium DB-LCU'!N1</f>
        <v>2014</v>
      </c>
      <c r="L1" s="15">
        <f>'Tourism Medium DB-LCU'!O1</f>
        <v>2015</v>
      </c>
      <c r="M1" s="15">
        <f>'Tourism Medium DB-LCU'!P1</f>
        <v>2016</v>
      </c>
      <c r="N1" s="15">
        <f>'Tourism Medium DB-LCU'!Q1</f>
        <v>2017</v>
      </c>
    </row>
    <row r="2" spans="1:14" ht="15" customHeight="1">
      <c r="A2" s="429" t="str">
        <f>'Tourism Medium DB-LCU'!A2</f>
        <v>Hungary</v>
      </c>
      <c r="B2" s="428" t="str">
        <f>'Tourism Medium DB-LCU'!B2</f>
        <v>Tourism Demand Factors</v>
      </c>
      <c r="C2" s="424"/>
      <c r="D2" s="424"/>
      <c r="E2" s="424"/>
      <c r="F2" s="425"/>
      <c r="G2" s="425"/>
      <c r="H2" s="425"/>
      <c r="I2" s="425"/>
      <c r="J2" s="427"/>
      <c r="K2" s="427"/>
      <c r="L2" s="427"/>
      <c r="M2" s="427"/>
      <c r="N2" s="427"/>
    </row>
    <row r="3" spans="1:14" ht="15" customHeight="1">
      <c r="A3" s="381" t="str">
        <f>'Tourism Medium DB-LCU'!A6</f>
        <v>Hungary</v>
      </c>
      <c r="B3" s="442" t="str">
        <f>'Tourism Medium DB-LCU'!B6</f>
        <v>Tourism Demand Factors</v>
      </c>
      <c r="C3" s="382" t="str">
        <f>'Tourism Medium DB-LCU'!C6</f>
        <v>Number of  Trips by Season</v>
      </c>
      <c r="D3" s="382"/>
      <c r="E3" s="382"/>
      <c r="F3" s="53">
        <f>'Tourism Medium DB-LCU'!I6/'Tourism Medium DB-LCU'!H6-1</f>
        <v>-0.16307264708625691</v>
      </c>
      <c r="G3" s="53">
        <f>'Tourism Medium DB-LCU'!J6/'Tourism Medium DB-LCU'!I6-1</f>
        <v>-1.1818074785089783E-2</v>
      </c>
      <c r="H3" s="53">
        <f>'Tourism Medium DB-LCU'!K6/'Tourism Medium DB-LCU'!J6-1</f>
        <v>4.7361226699668135E-2</v>
      </c>
      <c r="I3" s="53">
        <f>'Tourism Medium DB-LCU'!L6/'Tourism Medium DB-LCU'!K6-1</f>
        <v>-7.8893676292480563E-2</v>
      </c>
      <c r="J3" s="53">
        <f>'Tourism Medium DB-LCU'!M6/'Tourism Medium DB-LCU'!L6-1</f>
        <v>-6.0832233187656626E-2</v>
      </c>
      <c r="K3" s="53">
        <f>'Tourism Medium DB-LCU'!N6/'Tourism Medium DB-LCU'!M6-1</f>
        <v>-2.2949895639645446E-2</v>
      </c>
      <c r="L3" s="53">
        <f>'Tourism Medium DB-LCU'!O6/'Tourism Medium DB-LCU'!N6-1</f>
        <v>-9.8383994166012512E-3</v>
      </c>
      <c r="M3" s="53">
        <f>'Tourism Medium DB-LCU'!P6/'Tourism Medium DB-LCU'!O6-1</f>
        <v>-7.850539216670227E-3</v>
      </c>
      <c r="N3" s="53">
        <f>'Tourism Medium DB-LCU'!Q6/'Tourism Medium DB-LCU'!P6-1</f>
        <v>-9.349943650518E-3</v>
      </c>
    </row>
    <row r="4" spans="1:14" ht="15" customHeight="1">
      <c r="A4" s="381" t="str">
        <f>'Tourism Medium DB-LCU'!A7</f>
        <v>Hungary</v>
      </c>
      <c r="B4" s="442" t="str">
        <f>'Tourism Medium DB-LCU'!B7</f>
        <v>Tourism Demand Factors</v>
      </c>
      <c r="C4" s="382" t="str">
        <f>'Tourism Medium DB-LCU'!C7</f>
        <v>Number of  Trips by Season</v>
      </c>
      <c r="D4" s="382" t="str">
        <f>'Tourism Medium DB-LCU'!D7</f>
        <v>January - March</v>
      </c>
      <c r="E4" s="382"/>
      <c r="F4" s="53" t="e">
        <f>'Tourism Medium DB-LCU'!I7/'Tourism Medium DB-LCU'!H7-1</f>
        <v>#DIV/0!</v>
      </c>
      <c r="G4" s="53" t="e">
        <f>'Tourism Medium DB-LCU'!J7/'Tourism Medium DB-LCU'!I7-1</f>
        <v>#DIV/0!</v>
      </c>
      <c r="H4" s="53" t="e">
        <f>'Tourism Medium DB-LCU'!K7/'Tourism Medium DB-LCU'!J7-1</f>
        <v>#DIV/0!</v>
      </c>
      <c r="I4" s="53" t="e">
        <f>'Tourism Medium DB-LCU'!L7/'Tourism Medium DB-LCU'!K7-1</f>
        <v>#DIV/0!</v>
      </c>
      <c r="J4" s="53" t="e">
        <f>'Tourism Medium DB-LCU'!M7/'Tourism Medium DB-LCU'!L7-1</f>
        <v>#DIV/0!</v>
      </c>
      <c r="K4" s="53" t="e">
        <f>'Tourism Medium DB-LCU'!N7/'Tourism Medium DB-LCU'!M7-1</f>
        <v>#DIV/0!</v>
      </c>
      <c r="L4" s="53" t="e">
        <f>'Tourism Medium DB-LCU'!O7/'Tourism Medium DB-LCU'!N7-1</f>
        <v>#DIV/0!</v>
      </c>
      <c r="M4" s="53" t="e">
        <f>'Tourism Medium DB-LCU'!P7/'Tourism Medium DB-LCU'!O7-1</f>
        <v>#DIV/0!</v>
      </c>
      <c r="N4" s="53" t="e">
        <f>'Tourism Medium DB-LCU'!Q7/'Tourism Medium DB-LCU'!P7-1</f>
        <v>#DIV/0!</v>
      </c>
    </row>
    <row r="5" spans="1:14" ht="15" customHeight="1">
      <c r="A5" s="381" t="str">
        <f>'Tourism Medium DB-LCU'!A8</f>
        <v>Hungary</v>
      </c>
      <c r="B5" s="442" t="str">
        <f>'Tourism Medium DB-LCU'!B8</f>
        <v>Tourism Demand Factors</v>
      </c>
      <c r="C5" s="382" t="str">
        <f>'Tourism Medium DB-LCU'!C8</f>
        <v>Number of  Trips by Season</v>
      </c>
      <c r="D5" s="382" t="str">
        <f>'Tourism Medium DB-LCU'!D8</f>
        <v>April - June</v>
      </c>
      <c r="E5" s="382"/>
      <c r="F5" s="53" t="e">
        <f>'Tourism Medium DB-LCU'!I8/'Tourism Medium DB-LCU'!H8-1</f>
        <v>#DIV/0!</v>
      </c>
      <c r="G5" s="53" t="e">
        <f>'Tourism Medium DB-LCU'!J8/'Tourism Medium DB-LCU'!I8-1</f>
        <v>#DIV/0!</v>
      </c>
      <c r="H5" s="53" t="e">
        <f>'Tourism Medium DB-LCU'!K8/'Tourism Medium DB-LCU'!J8-1</f>
        <v>#DIV/0!</v>
      </c>
      <c r="I5" s="53" t="e">
        <f>'Tourism Medium DB-LCU'!L8/'Tourism Medium DB-LCU'!K8-1</f>
        <v>#DIV/0!</v>
      </c>
      <c r="J5" s="53" t="e">
        <f>'Tourism Medium DB-LCU'!M8/'Tourism Medium DB-LCU'!L8-1</f>
        <v>#DIV/0!</v>
      </c>
      <c r="K5" s="53" t="e">
        <f>'Tourism Medium DB-LCU'!N8/'Tourism Medium DB-LCU'!M8-1</f>
        <v>#DIV/0!</v>
      </c>
      <c r="L5" s="53" t="e">
        <f>'Tourism Medium DB-LCU'!O8/'Tourism Medium DB-LCU'!N8-1</f>
        <v>#DIV/0!</v>
      </c>
      <c r="M5" s="53" t="e">
        <f>'Tourism Medium DB-LCU'!P8/'Tourism Medium DB-LCU'!O8-1</f>
        <v>#DIV/0!</v>
      </c>
      <c r="N5" s="53" t="e">
        <f>'Tourism Medium DB-LCU'!Q8/'Tourism Medium DB-LCU'!P8-1</f>
        <v>#DIV/0!</v>
      </c>
    </row>
    <row r="6" spans="1:14" ht="15" customHeight="1">
      <c r="A6" s="381" t="str">
        <f>'Tourism Medium DB-LCU'!A9</f>
        <v>Hungary</v>
      </c>
      <c r="B6" s="442" t="str">
        <f>'Tourism Medium DB-LCU'!B9</f>
        <v>Tourism Demand Factors</v>
      </c>
      <c r="C6" s="382" t="str">
        <f>'Tourism Medium DB-LCU'!C9</f>
        <v>Number of  Trips by Season</v>
      </c>
      <c r="D6" s="382" t="str">
        <f>'Tourism Medium DB-LCU'!D9</f>
        <v>July - September</v>
      </c>
      <c r="E6" s="382"/>
      <c r="F6" s="53" t="e">
        <f>'Tourism Medium DB-LCU'!I9/'Tourism Medium DB-LCU'!H9-1</f>
        <v>#DIV/0!</v>
      </c>
      <c r="G6" s="53" t="e">
        <f>'Tourism Medium DB-LCU'!J9/'Tourism Medium DB-LCU'!I9-1</f>
        <v>#DIV/0!</v>
      </c>
      <c r="H6" s="53" t="e">
        <f>'Tourism Medium DB-LCU'!K9/'Tourism Medium DB-LCU'!J9-1</f>
        <v>#DIV/0!</v>
      </c>
      <c r="I6" s="53" t="e">
        <f>'Tourism Medium DB-LCU'!L9/'Tourism Medium DB-LCU'!K9-1</f>
        <v>#DIV/0!</v>
      </c>
      <c r="J6" s="53" t="e">
        <f>'Tourism Medium DB-LCU'!M9/'Tourism Medium DB-LCU'!L9-1</f>
        <v>#DIV/0!</v>
      </c>
      <c r="K6" s="53" t="e">
        <f>'Tourism Medium DB-LCU'!N9/'Tourism Medium DB-LCU'!M9-1</f>
        <v>#DIV/0!</v>
      </c>
      <c r="L6" s="53" t="e">
        <f>'Tourism Medium DB-LCU'!O9/'Tourism Medium DB-LCU'!N9-1</f>
        <v>#DIV/0!</v>
      </c>
      <c r="M6" s="53" t="e">
        <f>'Tourism Medium DB-LCU'!P9/'Tourism Medium DB-LCU'!O9-1</f>
        <v>#DIV/0!</v>
      </c>
      <c r="N6" s="53" t="e">
        <f>'Tourism Medium DB-LCU'!Q9/'Tourism Medium DB-LCU'!P9-1</f>
        <v>#DIV/0!</v>
      </c>
    </row>
    <row r="7" spans="1:14" ht="15" customHeight="1">
      <c r="A7" s="381" t="str">
        <f>'Tourism Medium DB-LCU'!A10</f>
        <v>Hungary</v>
      </c>
      <c r="B7" s="442" t="str">
        <f>'Tourism Medium DB-LCU'!B10</f>
        <v>Tourism Demand Factors</v>
      </c>
      <c r="C7" s="382" t="str">
        <f>'Tourism Medium DB-LCU'!C10</f>
        <v>Number of  Trips by Season</v>
      </c>
      <c r="D7" s="382" t="str">
        <f>'Tourism Medium DB-LCU'!D10</f>
        <v>October - December</v>
      </c>
      <c r="E7" s="382"/>
      <c r="F7" s="53" t="e">
        <f>'Tourism Medium DB-LCU'!I10/'Tourism Medium DB-LCU'!H10-1</f>
        <v>#DIV/0!</v>
      </c>
      <c r="G7" s="53" t="e">
        <f>'Tourism Medium DB-LCU'!J10/'Tourism Medium DB-LCU'!I10-1</f>
        <v>#DIV/0!</v>
      </c>
      <c r="H7" s="53" t="e">
        <f>'Tourism Medium DB-LCU'!K10/'Tourism Medium DB-LCU'!J10-1</f>
        <v>#DIV/0!</v>
      </c>
      <c r="I7" s="53" t="e">
        <f>'Tourism Medium DB-LCU'!L10/'Tourism Medium DB-LCU'!K10-1</f>
        <v>#DIV/0!</v>
      </c>
      <c r="J7" s="53" t="e">
        <f>'Tourism Medium DB-LCU'!M10/'Tourism Medium DB-LCU'!L10-1</f>
        <v>#DIV/0!</v>
      </c>
      <c r="K7" s="53" t="e">
        <f>'Tourism Medium DB-LCU'!N10/'Tourism Medium DB-LCU'!M10-1</f>
        <v>#DIV/0!</v>
      </c>
      <c r="L7" s="53" t="e">
        <f>'Tourism Medium DB-LCU'!O10/'Tourism Medium DB-LCU'!N10-1</f>
        <v>#DIV/0!</v>
      </c>
      <c r="M7" s="53" t="e">
        <f>'Tourism Medium DB-LCU'!P10/'Tourism Medium DB-LCU'!O10-1</f>
        <v>#DIV/0!</v>
      </c>
      <c r="N7" s="53" t="e">
        <f>'Tourism Medium DB-LCU'!Q10/'Tourism Medium DB-LCU'!P10-1</f>
        <v>#DIV/0!</v>
      </c>
    </row>
    <row r="8" spans="1:14" ht="15" customHeight="1">
      <c r="A8" s="381" t="str">
        <f>'Tourism Medium DB-LCU'!A11</f>
        <v>Hungary</v>
      </c>
      <c r="B8" s="442" t="str">
        <f>'Tourism Medium DB-LCU'!B11</f>
        <v>Tourism Demand Factors</v>
      </c>
      <c r="C8" s="382" t="str">
        <f>'Tourism Medium DB-LCU'!C11</f>
        <v>Number of Trips by Residents by Type</v>
      </c>
      <c r="D8" s="382"/>
      <c r="E8" s="382"/>
      <c r="F8" s="53">
        <f>'Tourism Medium DB-LCU'!I11/'Tourism Medium DB-LCU'!H11-1</f>
        <v>-0.16307264708625691</v>
      </c>
      <c r="G8" s="53">
        <f>'Tourism Medium DB-LCU'!J11/'Tourism Medium DB-LCU'!I11-1</f>
        <v>-1.1818074785089783E-2</v>
      </c>
      <c r="H8" s="53">
        <f>'Tourism Medium DB-LCU'!K11/'Tourism Medium DB-LCU'!J11-1</f>
        <v>4.7361226699668135E-2</v>
      </c>
      <c r="I8" s="53">
        <f>'Tourism Medium DB-LCU'!L11/'Tourism Medium DB-LCU'!K11-1</f>
        <v>-7.8893676292480563E-2</v>
      </c>
      <c r="J8" s="53">
        <f>'Tourism Medium DB-LCU'!M11/'Tourism Medium DB-LCU'!L11-1</f>
        <v>-6.0832233187656626E-2</v>
      </c>
      <c r="K8" s="53">
        <f>'Tourism Medium DB-LCU'!N11/'Tourism Medium DB-LCU'!M11-1</f>
        <v>-2.2949895639645446E-2</v>
      </c>
      <c r="L8" s="53">
        <f>'Tourism Medium DB-LCU'!O11/'Tourism Medium DB-LCU'!N11-1</f>
        <v>-9.8383994166012512E-3</v>
      </c>
      <c r="M8" s="53">
        <f>'Tourism Medium DB-LCU'!P11/'Tourism Medium DB-LCU'!O11-1</f>
        <v>-7.850539216670227E-3</v>
      </c>
      <c r="N8" s="53">
        <f>'Tourism Medium DB-LCU'!Q11/'Tourism Medium DB-LCU'!P11-1</f>
        <v>-9.349943650518E-3</v>
      </c>
    </row>
    <row r="9" spans="1:14" ht="15" customHeight="1">
      <c r="A9" s="381" t="str">
        <f>'Tourism Medium DB-LCU'!A12</f>
        <v>Hungary</v>
      </c>
      <c r="B9" s="442" t="str">
        <f>'Tourism Medium DB-LCU'!B12</f>
        <v>Tourism Demand Factors</v>
      </c>
      <c r="C9" s="382" t="str">
        <f>'Tourism Medium DB-LCU'!C12</f>
        <v>Number of Trips by Residents by Type</v>
      </c>
      <c r="D9" s="382" t="str">
        <f>'Tourism Medium DB-LCU'!D12</f>
        <v>Domestic Trips</v>
      </c>
      <c r="E9" s="382"/>
      <c r="F9" s="53">
        <f>'Tourism Medium DB-LCU'!I12/'Tourism Medium DB-LCU'!H12-1</f>
        <v>-0.18091362231020769</v>
      </c>
      <c r="G9" s="53">
        <f>'Tourism Medium DB-LCU'!J12/'Tourism Medium DB-LCU'!I12-1</f>
        <v>-4.7963304487887992E-3</v>
      </c>
      <c r="H9" s="53">
        <f>'Tourism Medium DB-LCU'!K12/'Tourism Medium DB-LCU'!J12-1</f>
        <v>6.0383884939853694E-2</v>
      </c>
      <c r="I9" s="53">
        <f>'Tourism Medium DB-LCU'!L12/'Tourism Medium DB-LCU'!K12-1</f>
        <v>-7.7936506092199043E-2</v>
      </c>
      <c r="J9" s="53">
        <f>'Tourism Medium DB-LCU'!M12/'Tourism Medium DB-LCU'!L12-1</f>
        <v>-4.3901390617235747E-2</v>
      </c>
      <c r="K9" s="53">
        <f>'Tourism Medium DB-LCU'!N12/'Tourism Medium DB-LCU'!M12-1</f>
        <v>-1.0322706486956323E-2</v>
      </c>
      <c r="L9" s="53">
        <f>'Tourism Medium DB-LCU'!O12/'Tourism Medium DB-LCU'!N12-1</f>
        <v>-1.2614763648261085E-2</v>
      </c>
      <c r="M9" s="53">
        <f>'Tourism Medium DB-LCU'!P12/'Tourism Medium DB-LCU'!O12-1</f>
        <v>-2.206078775004916E-2</v>
      </c>
      <c r="N9" s="53">
        <f>'Tourism Medium DB-LCU'!Q12/'Tourism Medium DB-LCU'!P12-1</f>
        <v>-2.1136027778858701E-2</v>
      </c>
    </row>
    <row r="10" spans="1:14" ht="15" customHeight="1">
      <c r="A10" s="381" t="str">
        <f>'Tourism Medium DB-LCU'!A13</f>
        <v>Hungary</v>
      </c>
      <c r="B10" s="442" t="str">
        <f>'Tourism Medium DB-LCU'!B13</f>
        <v>Tourism Demand Factors</v>
      </c>
      <c r="C10" s="382" t="str">
        <f>'Tourism Medium DB-LCU'!C13</f>
        <v>Number of Trips by Residents by Type</v>
      </c>
      <c r="D10" s="382" t="str">
        <f>'Tourism Medium DB-LCU'!D13</f>
        <v>International Trips</v>
      </c>
      <c r="E10" s="382"/>
      <c r="F10" s="53">
        <f>'Tourism Medium DB-LCU'!I13/'Tourism Medium DB-LCU'!H13-1</f>
        <v>-9.9149875032796375E-2</v>
      </c>
      <c r="G10" s="53">
        <f>'Tourism Medium DB-LCU'!J13/'Tourism Medium DB-LCU'!I13-1</f>
        <v>-3.4692973657745929E-2</v>
      </c>
      <c r="H10" s="53">
        <f>'Tourism Medium DB-LCU'!K13/'Tourism Medium DB-LCU'!J13-1</f>
        <v>3.6230862555999277E-3</v>
      </c>
      <c r="I10" s="53">
        <f>'Tourism Medium DB-LCU'!L13/'Tourism Medium DB-LCU'!K13-1</f>
        <v>-8.2290259959008738E-2</v>
      </c>
      <c r="J10" s="53">
        <f>'Tourism Medium DB-LCU'!M13/'Tourism Medium DB-LCU'!L13-1</f>
        <v>-0.12119751131523382</v>
      </c>
      <c r="K10" s="53">
        <f>'Tourism Medium DB-LCU'!N13/'Tourism Medium DB-LCU'!M13-1</f>
        <v>-7.1930792052722348E-2</v>
      </c>
      <c r="L10" s="53">
        <f>'Tourism Medium DB-LCU'!O13/'Tourism Medium DB-LCU'!N13-1</f>
        <v>1.6460380180296497E-3</v>
      </c>
      <c r="M10" s="53">
        <f>'Tourism Medium DB-LCU'!P13/'Tourism Medium DB-LCU'!O13-1</f>
        <v>5.0093305836454771E-2</v>
      </c>
      <c r="N10" s="53">
        <f>'Tourism Medium DB-LCU'!Q13/'Tourism Medium DB-LCU'!P13-1</f>
        <v>3.5406868333112351E-2</v>
      </c>
    </row>
    <row r="11" spans="1:14" ht="15" customHeight="1">
      <c r="A11" s="381" t="str">
        <f>'Tourism Medium DB-LCU'!A14</f>
        <v>Hungary</v>
      </c>
      <c r="B11" s="442" t="str">
        <f>'Tourism Medium DB-LCU'!B14</f>
        <v>Tourism Demand Factors</v>
      </c>
      <c r="C11" s="382" t="str">
        <f>'Tourism Medium DB-LCU'!C14</f>
        <v>Average Length of Tourism Trips by Type</v>
      </c>
      <c r="D11" s="382"/>
      <c r="E11" s="382"/>
      <c r="F11" s="53"/>
      <c r="G11" s="53"/>
      <c r="H11" s="53"/>
      <c r="I11" s="53"/>
      <c r="J11" s="53"/>
      <c r="K11" s="53"/>
      <c r="L11" s="53"/>
      <c r="M11" s="53"/>
      <c r="N11" s="53"/>
    </row>
    <row r="12" spans="1:14" ht="15" customHeight="1">
      <c r="A12" s="381" t="str">
        <f>'Tourism Medium DB-LCU'!A15</f>
        <v>Hungary</v>
      </c>
      <c r="B12" s="442" t="str">
        <f>'Tourism Medium DB-LCU'!B15</f>
        <v>Tourism Demand Factors</v>
      </c>
      <c r="C12" s="382" t="str">
        <f>'Tourism Medium DB-LCU'!C15</f>
        <v>Average Length of Tourism Trips by Type</v>
      </c>
      <c r="D12" s="382" t="str">
        <f>'Tourism Medium DB-LCU'!D15</f>
        <v>Domestic Trips</v>
      </c>
      <c r="E12" s="382"/>
      <c r="F12" s="53">
        <f>'Tourism Medium DB-LCU'!I15/'Tourism Medium DB-LCU'!H15-1</f>
        <v>0.19588855194671284</v>
      </c>
      <c r="G12" s="53">
        <f>'Tourism Medium DB-LCU'!J15/'Tourism Medium DB-LCU'!I15-1</f>
        <v>0.19390195423641599</v>
      </c>
      <c r="H12" s="53">
        <f>'Tourism Medium DB-LCU'!K15/'Tourism Medium DB-LCU'!J15-1</f>
        <v>-6.9991551388970175E-2</v>
      </c>
      <c r="I12" s="53">
        <f>'Tourism Medium DB-LCU'!L15/'Tourism Medium DB-LCU'!K15-1</f>
        <v>0.13550623751619417</v>
      </c>
      <c r="J12" s="53">
        <f>'Tourism Medium DB-LCU'!M15/'Tourism Medium DB-LCU'!L15-1</f>
        <v>6.231975437015258E-3</v>
      </c>
      <c r="K12" s="53">
        <f>'Tourism Medium DB-LCU'!N15/'Tourism Medium DB-LCU'!M15-1</f>
        <v>5.6418486774874932E-2</v>
      </c>
      <c r="L12" s="53">
        <f>'Tourism Medium DB-LCU'!O15/'Tourism Medium DB-LCU'!N15-1</f>
        <v>2.8358531237166806E-2</v>
      </c>
      <c r="M12" s="53">
        <f>'Tourism Medium DB-LCU'!P15/'Tourism Medium DB-LCU'!O15-1</f>
        <v>5.42700802139644E-2</v>
      </c>
      <c r="N12" s="53">
        <f>'Tourism Medium DB-LCU'!Q15/'Tourism Medium DB-LCU'!P15-1</f>
        <v>3.7160592273213666E-2</v>
      </c>
    </row>
    <row r="13" spans="1:14" ht="15" customHeight="1">
      <c r="A13" s="381" t="str">
        <f>'Tourism Medium DB-LCU'!A16</f>
        <v>Hungary</v>
      </c>
      <c r="B13" s="442" t="str">
        <f>'Tourism Medium DB-LCU'!B16</f>
        <v>Tourism Demand Factors</v>
      </c>
      <c r="C13" s="382" t="str">
        <f>'Tourism Medium DB-LCU'!C16</f>
        <v>Average Length of Tourism Trips by Type</v>
      </c>
      <c r="D13" s="382" t="str">
        <f>'Tourism Medium DB-LCU'!D16</f>
        <v>International Trips</v>
      </c>
      <c r="E13" s="382"/>
      <c r="F13" s="53">
        <f>'Tourism Medium DB-LCU'!I16/'Tourism Medium DB-LCU'!H16-1</f>
        <v>2.9852771894078867E-3</v>
      </c>
      <c r="G13" s="53">
        <f>'Tourism Medium DB-LCU'!J16/'Tourism Medium DB-LCU'!I16-1</f>
        <v>0.13242030715012199</v>
      </c>
      <c r="H13" s="53">
        <f>'Tourism Medium DB-LCU'!K16/'Tourism Medium DB-LCU'!J16-1</f>
        <v>9.7495177770898556E-2</v>
      </c>
      <c r="I13" s="53">
        <f>'Tourism Medium DB-LCU'!L16/'Tourism Medium DB-LCU'!K16-1</f>
        <v>0.12070803553226805</v>
      </c>
      <c r="J13" s="53">
        <f>'Tourism Medium DB-LCU'!M16/'Tourism Medium DB-LCU'!L16-1</f>
        <v>8.2481623735501275E-2</v>
      </c>
      <c r="K13" s="53">
        <f>'Tourism Medium DB-LCU'!N16/'Tourism Medium DB-LCU'!M16-1</f>
        <v>7.9071975596957556E-2</v>
      </c>
      <c r="L13" s="53">
        <f>'Tourism Medium DB-LCU'!O16/'Tourism Medium DB-LCU'!N16-1</f>
        <v>8.872177717718488E-2</v>
      </c>
      <c r="M13" s="53">
        <f>'Tourism Medium DB-LCU'!P16/'Tourism Medium DB-LCU'!O16-1</f>
        <v>4.6281550366415791E-2</v>
      </c>
      <c r="N13" s="53">
        <f>'Tourism Medium DB-LCU'!Q16/'Tourism Medium DB-LCU'!P16-1</f>
        <v>2.9588660069132633E-2</v>
      </c>
    </row>
    <row r="14" spans="1:14" ht="15" customHeight="1">
      <c r="A14" s="381" t="str">
        <f>'Tourism Medium DB-LCU'!A17</f>
        <v>Hungary</v>
      </c>
      <c r="B14" s="442" t="str">
        <f>'Tourism Medium DB-LCU'!B17</f>
        <v>Tourism Flows</v>
      </c>
      <c r="C14" s="382"/>
      <c r="D14" s="382"/>
      <c r="E14" s="382"/>
      <c r="F14" s="53"/>
      <c r="G14" s="53"/>
      <c r="H14" s="53"/>
      <c r="I14" s="53"/>
      <c r="J14" s="53"/>
      <c r="K14" s="53"/>
      <c r="L14" s="53"/>
      <c r="M14" s="53"/>
      <c r="N14" s="53"/>
    </row>
    <row r="15" spans="1:14" ht="15" customHeight="1">
      <c r="A15" s="381" t="str">
        <f>'Tourism Medium DB-LCU'!A18</f>
        <v>Hungary</v>
      </c>
      <c r="B15" s="442" t="str">
        <f>'Tourism Medium DB-LCU'!B18</f>
        <v>Tourism Flows</v>
      </c>
      <c r="C15" s="382" t="str">
        <f>'Tourism Medium DB-LCU'!C18</f>
        <v>Number of Domestic Trips by Purpose of Visit</v>
      </c>
      <c r="D15" s="382"/>
      <c r="E15" s="382"/>
      <c r="F15" s="53">
        <f>'Tourism Medium DB-LCU'!I18/'Tourism Medium DB-LCU'!H18-1</f>
        <v>-0.18091362231020769</v>
      </c>
      <c r="G15" s="53">
        <f>'Tourism Medium DB-LCU'!J18/'Tourism Medium DB-LCU'!I18-1</f>
        <v>-4.7963304487887992E-3</v>
      </c>
      <c r="H15" s="53">
        <f>'Tourism Medium DB-LCU'!K18/'Tourism Medium DB-LCU'!J18-1</f>
        <v>6.0383884939853694E-2</v>
      </c>
      <c r="I15" s="53">
        <f>'Tourism Medium DB-LCU'!L18/'Tourism Medium DB-LCU'!K18-1</f>
        <v>-7.7936506092199043E-2</v>
      </c>
      <c r="J15" s="53">
        <f>'Tourism Medium DB-LCU'!M18/'Tourism Medium DB-LCU'!L18-1</f>
        <v>-4.3901390617235747E-2</v>
      </c>
      <c r="K15" s="53">
        <f>'Tourism Medium DB-LCU'!N18/'Tourism Medium DB-LCU'!M18-1</f>
        <v>-1.0322706486956323E-2</v>
      </c>
      <c r="L15" s="53">
        <f>'Tourism Medium DB-LCU'!O18/'Tourism Medium DB-LCU'!N18-1</f>
        <v>-1.2614763648261085E-2</v>
      </c>
      <c r="M15" s="53">
        <f>'Tourism Medium DB-LCU'!P18/'Tourism Medium DB-LCU'!O18-1</f>
        <v>-2.206078775004916E-2</v>
      </c>
      <c r="N15" s="53">
        <f>'Tourism Medium DB-LCU'!Q18/'Tourism Medium DB-LCU'!P18-1</f>
        <v>-2.1136027778858701E-2</v>
      </c>
    </row>
    <row r="16" spans="1:14" ht="15" customHeight="1">
      <c r="A16" s="381" t="str">
        <f>'Tourism Medium DB-LCU'!A19</f>
        <v>Hungary</v>
      </c>
      <c r="B16" s="442" t="str">
        <f>'Tourism Medium DB-LCU'!B19</f>
        <v>Tourism Flows</v>
      </c>
      <c r="C16" s="382" t="str">
        <f>'Tourism Medium DB-LCU'!C19</f>
        <v>Number of Domestic Trips by Purpose of Visit</v>
      </c>
      <c r="D16" s="382" t="str">
        <f>'Tourism Medium DB-LCU'!D19</f>
        <v>Business</v>
      </c>
      <c r="E16" s="382"/>
      <c r="F16" s="53">
        <f>'Tourism Medium DB-LCU'!I19/'Tourism Medium DB-LCU'!H19-1</f>
        <v>-0.2966290871966506</v>
      </c>
      <c r="G16" s="53">
        <f>'Tourism Medium DB-LCU'!J19/'Tourism Medium DB-LCU'!I19-1</f>
        <v>-0.37445680881001731</v>
      </c>
      <c r="H16" s="53">
        <f>'Tourism Medium DB-LCU'!K19/'Tourism Medium DB-LCU'!J19-1</f>
        <v>-0.21577685059037233</v>
      </c>
      <c r="I16" s="53">
        <f>'Tourism Medium DB-LCU'!L19/'Tourism Medium DB-LCU'!K19-1</f>
        <v>0.23616151700692578</v>
      </c>
      <c r="J16" s="53">
        <f>'Tourism Medium DB-LCU'!M19/'Tourism Medium DB-LCU'!L19-1</f>
        <v>-8.5403219689832E-2</v>
      </c>
      <c r="K16" s="53">
        <f>'Tourism Medium DB-LCU'!N19/'Tourism Medium DB-LCU'!M19-1</f>
        <v>-0.11836544354075451</v>
      </c>
      <c r="L16" s="53">
        <f>'Tourism Medium DB-LCU'!O19/'Tourism Medium DB-LCU'!N19-1</f>
        <v>-5.7422522278888333E-2</v>
      </c>
      <c r="M16" s="53">
        <f>'Tourism Medium DB-LCU'!P19/'Tourism Medium DB-LCU'!O19-1</f>
        <v>1.0093167726667573E-2</v>
      </c>
      <c r="N16" s="53">
        <f>'Tourism Medium DB-LCU'!Q19/'Tourism Medium DB-LCU'!P19-1</f>
        <v>-2.9472896487747535E-2</v>
      </c>
    </row>
    <row r="17" spans="1:14" ht="15" customHeight="1">
      <c r="A17" s="381" t="str">
        <f>'Tourism Medium DB-LCU'!A20</f>
        <v>Hungary</v>
      </c>
      <c r="B17" s="442" t="str">
        <f>'Tourism Medium DB-LCU'!B20</f>
        <v>Tourism Flows</v>
      </c>
      <c r="C17" s="382" t="str">
        <f>'Tourism Medium DB-LCU'!C20</f>
        <v>Number of Domestic Trips by Purpose of Visit</v>
      </c>
      <c r="D17" s="382" t="str">
        <f>'Tourism Medium DB-LCU'!D20</f>
        <v>Leisure</v>
      </c>
      <c r="E17" s="382"/>
      <c r="F17" s="53" t="e">
        <f>'Tourism Medium DB-LCU'!I20/'Tourism Medium DB-LCU'!H20-1</f>
        <v>#DIV/0!</v>
      </c>
      <c r="G17" s="53" t="e">
        <f>'Tourism Medium DB-LCU'!J20/'Tourism Medium DB-LCU'!I20-1</f>
        <v>#DIV/0!</v>
      </c>
      <c r="H17" s="53" t="e">
        <f>'Tourism Medium DB-LCU'!K20/'Tourism Medium DB-LCU'!J20-1</f>
        <v>#DIV/0!</v>
      </c>
      <c r="I17" s="53" t="e">
        <f>'Tourism Medium DB-LCU'!L20/'Tourism Medium DB-LCU'!K20-1</f>
        <v>#DIV/0!</v>
      </c>
      <c r="J17" s="53" t="e">
        <f>'Tourism Medium DB-LCU'!M20/'Tourism Medium DB-LCU'!L20-1</f>
        <v>#DIV/0!</v>
      </c>
      <c r="K17" s="53" t="e">
        <f>'Tourism Medium DB-LCU'!N20/'Tourism Medium DB-LCU'!M20-1</f>
        <v>#DIV/0!</v>
      </c>
      <c r="L17" s="53" t="e">
        <f>'Tourism Medium DB-LCU'!O20/'Tourism Medium DB-LCU'!N20-1</f>
        <v>#DIV/0!</v>
      </c>
      <c r="M17" s="53" t="e">
        <f>'Tourism Medium DB-LCU'!P20/'Tourism Medium DB-LCU'!O20-1</f>
        <v>#DIV/0!</v>
      </c>
      <c r="N17" s="53" t="e">
        <f>'Tourism Medium DB-LCU'!Q20/'Tourism Medium DB-LCU'!P20-1</f>
        <v>#DIV/0!</v>
      </c>
    </row>
    <row r="18" spans="1:14" ht="15" customHeight="1">
      <c r="A18" s="381" t="str">
        <f>'Tourism Medium DB-LCU'!A21</f>
        <v>Hungary</v>
      </c>
      <c r="B18" s="442" t="str">
        <f>'Tourism Medium DB-LCU'!B21</f>
        <v>Tourism Flows</v>
      </c>
      <c r="C18" s="382" t="str">
        <f>'Tourism Medium DB-LCU'!C21</f>
        <v>Number of Domestic Trips by Purpose of Visit</v>
      </c>
      <c r="D18" s="382" t="str">
        <f>'Tourism Medium DB-LCU'!D21</f>
        <v>Other Personal</v>
      </c>
      <c r="E18" s="382"/>
      <c r="F18" s="53" t="e">
        <f>'Tourism Medium DB-LCU'!I21/'Tourism Medium DB-LCU'!H21-1</f>
        <v>#DIV/0!</v>
      </c>
      <c r="G18" s="53" t="e">
        <f>'Tourism Medium DB-LCU'!J21/'Tourism Medium DB-LCU'!I21-1</f>
        <v>#DIV/0!</v>
      </c>
      <c r="H18" s="53" t="e">
        <f>'Tourism Medium DB-LCU'!K21/'Tourism Medium DB-LCU'!J21-1</f>
        <v>#DIV/0!</v>
      </c>
      <c r="I18" s="53" t="e">
        <f>'Tourism Medium DB-LCU'!L21/'Tourism Medium DB-LCU'!K21-1</f>
        <v>#DIV/0!</v>
      </c>
      <c r="J18" s="53" t="e">
        <f>'Tourism Medium DB-LCU'!M21/'Tourism Medium DB-LCU'!L21-1</f>
        <v>#DIV/0!</v>
      </c>
      <c r="K18" s="53" t="e">
        <f>'Tourism Medium DB-LCU'!N21/'Tourism Medium DB-LCU'!M21-1</f>
        <v>#DIV/0!</v>
      </c>
      <c r="L18" s="53" t="e">
        <f>'Tourism Medium DB-LCU'!O21/'Tourism Medium DB-LCU'!N21-1</f>
        <v>#DIV/0!</v>
      </c>
      <c r="M18" s="53" t="e">
        <f>'Tourism Medium DB-LCU'!P21/'Tourism Medium DB-LCU'!O21-1</f>
        <v>#DIV/0!</v>
      </c>
      <c r="N18" s="53" t="e">
        <f>'Tourism Medium DB-LCU'!Q21/'Tourism Medium DB-LCU'!P21-1</f>
        <v>#DIV/0!</v>
      </c>
    </row>
    <row r="19" spans="1:14" ht="15" customHeight="1">
      <c r="A19" s="381" t="str">
        <f>'Tourism Medium DB-LCU'!A22</f>
        <v>Hungary</v>
      </c>
      <c r="B19" s="442" t="str">
        <f>'Tourism Medium DB-LCU'!B22</f>
        <v>Tourism Flows</v>
      </c>
      <c r="C19" s="382" t="str">
        <f>'Tourism Medium DB-LCU'!C22</f>
        <v>International Arrivals by Place of Origin</v>
      </c>
      <c r="D19" s="382"/>
      <c r="E19" s="382"/>
      <c r="F19" s="53">
        <f>'Tourism Medium DB-LCU'!I22/'Tourism Medium DB-LCU'!H22-1</f>
        <v>6.0406491044159072E-2</v>
      </c>
      <c r="G19" s="53">
        <f>'Tourism Medium DB-LCU'!J22/'Tourism Medium DB-LCU'!I22-1</f>
        <v>1.183666521160287E-2</v>
      </c>
      <c r="H19" s="53">
        <f>'Tourism Medium DB-LCU'!K22/'Tourism Medium DB-LCU'!J22-1</f>
        <v>6.4728488293308351E-2</v>
      </c>
      <c r="I19" s="53">
        <f>'Tourism Medium DB-LCU'!L22/'Tourism Medium DB-LCU'!K22-1</f>
        <v>9.5871632822140063E-2</v>
      </c>
      <c r="J19" s="53">
        <f>'Tourism Medium DB-LCU'!M22/'Tourism Medium DB-LCU'!L22-1</f>
        <v>5.766113167320297E-2</v>
      </c>
      <c r="K19" s="53">
        <f>'Tourism Medium DB-LCU'!N22/'Tourism Medium DB-LCU'!M22-1</f>
        <v>5.0058256087185171E-2</v>
      </c>
      <c r="L19" s="53">
        <f>'Tourism Medium DB-LCU'!O22/'Tourism Medium DB-LCU'!N22-1</f>
        <v>4.9746286260358152E-2</v>
      </c>
      <c r="M19" s="53">
        <f>'Tourism Medium DB-LCU'!P22/'Tourism Medium DB-LCU'!O22-1</f>
        <v>4.9508618307002816E-2</v>
      </c>
      <c r="N19" s="53">
        <f>'Tourism Medium DB-LCU'!Q22/'Tourism Medium DB-LCU'!P22-1</f>
        <v>4.4103814762528559E-2</v>
      </c>
    </row>
    <row r="20" spans="1:14" ht="15" customHeight="1">
      <c r="A20" s="381" t="str">
        <f>'Tourism Medium DB-LCU'!A23</f>
        <v>Hungary</v>
      </c>
      <c r="B20" s="442" t="str">
        <f>'Tourism Medium DB-LCU'!B23</f>
        <v>Tourism Flows</v>
      </c>
      <c r="C20" s="382" t="str">
        <f>'Tourism Medium DB-LCU'!C23</f>
        <v>International Arrivals by Place of Origin</v>
      </c>
      <c r="D20" s="382" t="str">
        <f>'Tourism Medium DB-LCU'!D23</f>
        <v>Africa</v>
      </c>
      <c r="E20" s="382"/>
      <c r="F20" s="53">
        <f>'Tourism Medium DB-LCU'!I23/'Tourism Medium DB-LCU'!H23-1</f>
        <v>6.5402480339716851E-2</v>
      </c>
      <c r="G20" s="53">
        <f>'Tourism Medium DB-LCU'!J23/'Tourism Medium DB-LCU'!I23-1</f>
        <v>1.9516374553721461E-2</v>
      </c>
      <c r="H20" s="53">
        <f>'Tourism Medium DB-LCU'!K23/'Tourism Medium DB-LCU'!J23-1</f>
        <v>6.7574504199653163E-2</v>
      </c>
      <c r="I20" s="53">
        <f>'Tourism Medium DB-LCU'!L23/'Tourism Medium DB-LCU'!K23-1</f>
        <v>9.9820147795629977E-2</v>
      </c>
      <c r="J20" s="53">
        <f>'Tourism Medium DB-LCU'!M23/'Tourism Medium DB-LCU'!L23-1</f>
        <v>6.1754450281604534E-2</v>
      </c>
      <c r="K20" s="53">
        <f>'Tourism Medium DB-LCU'!N23/'Tourism Medium DB-LCU'!M23-1</f>
        <v>5.9646339119470371E-2</v>
      </c>
      <c r="L20" s="53">
        <f>'Tourism Medium DB-LCU'!O23/'Tourism Medium DB-LCU'!N23-1</f>
        <v>6.2456978274976649E-2</v>
      </c>
      <c r="M20" s="53">
        <f>'Tourism Medium DB-LCU'!P23/'Tourism Medium DB-LCU'!O23-1</f>
        <v>5.2881302174409672E-2</v>
      </c>
      <c r="N20" s="53">
        <f>'Tourism Medium DB-LCU'!Q23/'Tourism Medium DB-LCU'!P23-1</f>
        <v>4.2912583069669274E-2</v>
      </c>
    </row>
    <row r="21" spans="1:14" ht="15" customHeight="1">
      <c r="A21" s="381" t="str">
        <f>'Tourism Medium DB-LCU'!A24</f>
        <v>Hungary</v>
      </c>
      <c r="B21" s="442" t="str">
        <f>'Tourism Medium DB-LCU'!B24</f>
        <v>Tourism Flows</v>
      </c>
      <c r="C21" s="382" t="str">
        <f>'Tourism Medium DB-LCU'!C24</f>
        <v>International Arrivals by Place of Origin</v>
      </c>
      <c r="D21" s="382" t="str">
        <f>'Tourism Medium DB-LCU'!D24</f>
        <v>Asia-Pacific</v>
      </c>
      <c r="E21" s="382"/>
      <c r="F21" s="53">
        <f>'Tourism Medium DB-LCU'!I24/'Tourism Medium DB-LCU'!H24-1</f>
        <v>6.2568719798354211E-2</v>
      </c>
      <c r="G21" s="53">
        <f>'Tourism Medium DB-LCU'!J24/'Tourism Medium DB-LCU'!I24-1</f>
        <v>1.3633605036456276E-2</v>
      </c>
      <c r="H21" s="53">
        <f>'Tourism Medium DB-LCU'!K24/'Tourism Medium DB-LCU'!J24-1</f>
        <v>7.3280975944929994E-2</v>
      </c>
      <c r="I21" s="53">
        <f>'Tourism Medium DB-LCU'!L24/'Tourism Medium DB-LCU'!K24-1</f>
        <v>0.10767412398675269</v>
      </c>
      <c r="J21" s="53">
        <f>'Tourism Medium DB-LCU'!M24/'Tourism Medium DB-LCU'!L24-1</f>
        <v>6.2698055863480429E-2</v>
      </c>
      <c r="K21" s="53">
        <f>'Tourism Medium DB-LCU'!N24/'Tourism Medium DB-LCU'!M24-1</f>
        <v>5.9362927564209134E-2</v>
      </c>
      <c r="L21" s="53">
        <f>'Tourism Medium DB-LCU'!O24/'Tourism Medium DB-LCU'!N24-1</f>
        <v>5.1900244892136849E-2</v>
      </c>
      <c r="M21" s="53">
        <f>'Tourism Medium DB-LCU'!P24/'Tourism Medium DB-LCU'!O24-1</f>
        <v>4.74693008297149E-2</v>
      </c>
      <c r="N21" s="53">
        <f>'Tourism Medium DB-LCU'!Q24/'Tourism Medium DB-LCU'!P24-1</f>
        <v>4.0839113105680225E-2</v>
      </c>
    </row>
    <row r="22" spans="1:14" ht="15" customHeight="1">
      <c r="A22" s="381" t="str">
        <f>'Tourism Medium DB-LCU'!A25</f>
        <v>Hungary</v>
      </c>
      <c r="B22" s="442" t="str">
        <f>'Tourism Medium DB-LCU'!B25</f>
        <v>Tourism Flows</v>
      </c>
      <c r="C22" s="382" t="str">
        <f>'Tourism Medium DB-LCU'!C25</f>
        <v>International Arrivals by Place of Origin</v>
      </c>
      <c r="D22" s="382" t="str">
        <f>'Tourism Medium DB-LCU'!D25</f>
        <v>Europe</v>
      </c>
      <c r="E22" s="382"/>
      <c r="F22" s="53">
        <f>'Tourism Medium DB-LCU'!I25/'Tourism Medium DB-LCU'!H25-1</f>
        <v>6.0700456647393652E-2</v>
      </c>
      <c r="G22" s="53">
        <f>'Tourism Medium DB-LCU'!J25/'Tourism Medium DB-LCU'!I25-1</f>
        <v>1.1403039813741689E-2</v>
      </c>
      <c r="H22" s="53">
        <f>'Tourism Medium DB-LCU'!K25/'Tourism Medium DB-LCU'!J25-1</f>
        <v>6.4253735615504848E-2</v>
      </c>
      <c r="I22" s="53">
        <f>'Tourism Medium DB-LCU'!L25/'Tourism Medium DB-LCU'!K25-1</f>
        <v>9.5210913664469432E-2</v>
      </c>
      <c r="J22" s="53">
        <f>'Tourism Medium DB-LCU'!M25/'Tourism Medium DB-LCU'!L25-1</f>
        <v>5.7543252294274483E-2</v>
      </c>
      <c r="K22" s="53">
        <f>'Tourism Medium DB-LCU'!N25/'Tourism Medium DB-LCU'!M25-1</f>
        <v>4.9612956567277378E-2</v>
      </c>
      <c r="L22" s="53">
        <f>'Tourism Medium DB-LCU'!O25/'Tourism Medium DB-LCU'!N25-1</f>
        <v>4.9485209977130351E-2</v>
      </c>
      <c r="M22" s="53">
        <f>'Tourism Medium DB-LCU'!P25/'Tourism Medium DB-LCU'!O25-1</f>
        <v>4.98446939659698E-2</v>
      </c>
      <c r="N22" s="53">
        <f>'Tourism Medium DB-LCU'!Q25/'Tourism Medium DB-LCU'!P25-1</f>
        <v>4.4403330376872052E-2</v>
      </c>
    </row>
    <row r="23" spans="1:14" ht="15" customHeight="1">
      <c r="A23" s="381" t="str">
        <f>'Tourism Medium DB-LCU'!A26</f>
        <v>Hungary</v>
      </c>
      <c r="B23" s="442" t="str">
        <f>'Tourism Medium DB-LCU'!B26</f>
        <v>Tourism Flows</v>
      </c>
      <c r="C23" s="382" t="str">
        <f>'Tourism Medium DB-LCU'!C26</f>
        <v>International Arrivals by Place of Origin</v>
      </c>
      <c r="D23" s="382" t="str">
        <f>'Tourism Medium DB-LCU'!D26</f>
        <v>Middle East</v>
      </c>
      <c r="E23" s="382"/>
      <c r="F23" s="53">
        <f>'Tourism Medium DB-LCU'!I26/'Tourism Medium DB-LCU'!H26-1</f>
        <v>5.8963313059158251E-2</v>
      </c>
      <c r="G23" s="53">
        <f>'Tourism Medium DB-LCU'!J26/'Tourism Medium DB-LCU'!I26-1</f>
        <v>1.4827606150006334E-2</v>
      </c>
      <c r="H23" s="53">
        <f>'Tourism Medium DB-LCU'!K26/'Tourism Medium DB-LCU'!J26-1</f>
        <v>6.8630293744576853E-2</v>
      </c>
      <c r="I23" s="53">
        <f>'Tourism Medium DB-LCU'!L26/'Tourism Medium DB-LCU'!K26-1</f>
        <v>0.10127958433787954</v>
      </c>
      <c r="J23" s="53">
        <f>'Tourism Medium DB-LCU'!M26/'Tourism Medium DB-LCU'!L26-1</f>
        <v>5.8718287870076935E-2</v>
      </c>
      <c r="K23" s="53">
        <f>'Tourism Medium DB-LCU'!N26/'Tourism Medium DB-LCU'!M26-1</f>
        <v>6.2685784122062271E-2</v>
      </c>
      <c r="L23" s="53">
        <f>'Tourism Medium DB-LCU'!O26/'Tourism Medium DB-LCU'!N26-1</f>
        <v>5.4319537767085535E-2</v>
      </c>
      <c r="M23" s="53">
        <f>'Tourism Medium DB-LCU'!P26/'Tourism Medium DB-LCU'!O26-1</f>
        <v>5.1695113618940525E-2</v>
      </c>
      <c r="N23" s="53">
        <f>'Tourism Medium DB-LCU'!Q26/'Tourism Medium DB-LCU'!P26-1</f>
        <v>4.8876820065141047E-2</v>
      </c>
    </row>
    <row r="24" spans="1:14" ht="15" customHeight="1">
      <c r="A24" s="381" t="str">
        <f>'Tourism Medium DB-LCU'!A27</f>
        <v>Hungary</v>
      </c>
      <c r="B24" s="442" t="str">
        <f>'Tourism Medium DB-LCU'!B27</f>
        <v>Tourism Flows</v>
      </c>
      <c r="C24" s="382" t="str">
        <f>'Tourism Medium DB-LCU'!C27</f>
        <v>International Arrivals by Place of Origin</v>
      </c>
      <c r="D24" s="382" t="str">
        <f>'Tourism Medium DB-LCU'!D27</f>
        <v>North America</v>
      </c>
      <c r="E24" s="382"/>
      <c r="F24" s="53">
        <f>'Tourism Medium DB-LCU'!I27/'Tourism Medium DB-LCU'!H27-1</f>
        <v>5.2881626296769735E-2</v>
      </c>
      <c r="G24" s="53">
        <f>'Tourism Medium DB-LCU'!J27/'Tourism Medium DB-LCU'!I27-1</f>
        <v>1.7630350164399733E-2</v>
      </c>
      <c r="H24" s="53">
        <f>'Tourism Medium DB-LCU'!K27/'Tourism Medium DB-LCU'!J27-1</f>
        <v>6.5888214491123032E-2</v>
      </c>
      <c r="I24" s="53">
        <f>'Tourism Medium DB-LCU'!L27/'Tourism Medium DB-LCU'!K27-1</f>
        <v>9.7483163091468983E-2</v>
      </c>
      <c r="J24" s="53">
        <f>'Tourism Medium DB-LCU'!M27/'Tourism Medium DB-LCU'!L27-1</f>
        <v>5.5568450342069919E-2</v>
      </c>
      <c r="K24" s="53">
        <f>'Tourism Medium DB-LCU'!N27/'Tourism Medium DB-LCU'!M27-1</f>
        <v>4.8942342484892931E-2</v>
      </c>
      <c r="L24" s="53">
        <f>'Tourism Medium DB-LCU'!O27/'Tourism Medium DB-LCU'!N27-1</f>
        <v>5.0984230259567331E-2</v>
      </c>
      <c r="M24" s="53">
        <f>'Tourism Medium DB-LCU'!P27/'Tourism Medium DB-LCU'!O27-1</f>
        <v>4.3790733583668473E-2</v>
      </c>
      <c r="N24" s="53">
        <f>'Tourism Medium DB-LCU'!Q27/'Tourism Medium DB-LCU'!P27-1</f>
        <v>4.0219533618820247E-2</v>
      </c>
    </row>
    <row r="25" spans="1:14" ht="15" customHeight="1">
      <c r="A25" s="381" t="str">
        <f>'Tourism Medium DB-LCU'!A28</f>
        <v>Hungary</v>
      </c>
      <c r="B25" s="442" t="str">
        <f>'Tourism Medium DB-LCU'!B28</f>
        <v>Tourism Flows</v>
      </c>
      <c r="C25" s="382" t="str">
        <f>'Tourism Medium DB-LCU'!C28</f>
        <v>International Arrivals by Place of Origin</v>
      </c>
      <c r="D25" s="382" t="str">
        <f>'Tourism Medium DB-LCU'!D28</f>
        <v>South &amp; Central America</v>
      </c>
      <c r="E25" s="382"/>
      <c r="F25" s="53">
        <f>'Tourism Medium DB-LCU'!I28/'Tourism Medium DB-LCU'!H28-1</f>
        <v>6.4909054622604323E-2</v>
      </c>
      <c r="G25" s="53">
        <f>'Tourism Medium DB-LCU'!J28/'Tourism Medium DB-LCU'!I28-1</f>
        <v>1.2581242009362059E-2</v>
      </c>
      <c r="H25" s="53">
        <f>'Tourism Medium DB-LCU'!K28/'Tourism Medium DB-LCU'!J28-1</f>
        <v>7.2456796116856292E-2</v>
      </c>
      <c r="I25" s="53">
        <f>'Tourism Medium DB-LCU'!L28/'Tourism Medium DB-LCU'!K28-1</f>
        <v>0.10654494632562028</v>
      </c>
      <c r="J25" s="53">
        <f>'Tourism Medium DB-LCU'!M28/'Tourism Medium DB-LCU'!L28-1</f>
        <v>5.8559897788142079E-2</v>
      </c>
      <c r="K25" s="53">
        <f>'Tourism Medium DB-LCU'!N28/'Tourism Medium DB-LCU'!M28-1</f>
        <v>5.4838668766771681E-2</v>
      </c>
      <c r="L25" s="53">
        <f>'Tourism Medium DB-LCU'!O28/'Tourism Medium DB-LCU'!N28-1</f>
        <v>5.6853195869918771E-2</v>
      </c>
      <c r="M25" s="53">
        <f>'Tourism Medium DB-LCU'!P28/'Tourism Medium DB-LCU'!O28-1</f>
        <v>5.8117685108796113E-2</v>
      </c>
      <c r="N25" s="53">
        <f>'Tourism Medium DB-LCU'!Q28/'Tourism Medium DB-LCU'!P28-1</f>
        <v>5.0537345751836549E-2</v>
      </c>
    </row>
    <row r="26" spans="1:14" ht="15" customHeight="1">
      <c r="A26" s="381" t="str">
        <f>'Tourism Medium DB-LCU'!A29</f>
        <v>Hungary</v>
      </c>
      <c r="B26" s="442" t="str">
        <f>'Tourism Medium DB-LCU'!B29</f>
        <v>Tourism Flows</v>
      </c>
      <c r="C26" s="382" t="str">
        <f>'Tourism Medium DB-LCU'!C29</f>
        <v>International Arrivals by Purpose of Visit</v>
      </c>
      <c r="D26" s="382"/>
      <c r="E26" s="382"/>
      <c r="F26" s="53">
        <f>'Tourism Medium DB-LCU'!I29/'Tourism Medium DB-LCU'!H29-1</f>
        <v>6.0406491044159072E-2</v>
      </c>
      <c r="G26" s="53">
        <f>'Tourism Medium DB-LCU'!J29/'Tourism Medium DB-LCU'!I29-1</f>
        <v>1.183666521160287E-2</v>
      </c>
      <c r="H26" s="53">
        <f>'Tourism Medium DB-LCU'!K29/'Tourism Medium DB-LCU'!J29-1</f>
        <v>6.4728488293308351E-2</v>
      </c>
      <c r="I26" s="53">
        <f>'Tourism Medium DB-LCU'!L29/'Tourism Medium DB-LCU'!K29-1</f>
        <v>9.5871632822140063E-2</v>
      </c>
      <c r="J26" s="53">
        <f>'Tourism Medium DB-LCU'!M29/'Tourism Medium DB-LCU'!L29-1</f>
        <v>5.766113167320297E-2</v>
      </c>
      <c r="K26" s="53">
        <f>'Tourism Medium DB-LCU'!N29/'Tourism Medium DB-LCU'!M29-1</f>
        <v>5.0058256087185171E-2</v>
      </c>
      <c r="L26" s="53">
        <f>'Tourism Medium DB-LCU'!O29/'Tourism Medium DB-LCU'!N29-1</f>
        <v>4.9746286260358152E-2</v>
      </c>
      <c r="M26" s="53">
        <f>'Tourism Medium DB-LCU'!P29/'Tourism Medium DB-LCU'!O29-1</f>
        <v>4.9508618307002816E-2</v>
      </c>
      <c r="N26" s="53">
        <f>'Tourism Medium DB-LCU'!Q29/'Tourism Medium DB-LCU'!P29-1</f>
        <v>4.4103814762528559E-2</v>
      </c>
    </row>
    <row r="27" spans="1:14" ht="15" customHeight="1">
      <c r="A27" s="381" t="str">
        <f>'Tourism Medium DB-LCU'!A30</f>
        <v>Hungary</v>
      </c>
      <c r="B27" s="442" t="str">
        <f>'Tourism Medium DB-LCU'!B30</f>
        <v>Tourism Flows</v>
      </c>
      <c r="C27" s="382" t="str">
        <f>'Tourism Medium DB-LCU'!C30</f>
        <v>International Arrivals by Purpose of Visit</v>
      </c>
      <c r="D27" s="382" t="str">
        <f>'Tourism Medium DB-LCU'!D30</f>
        <v>Business</v>
      </c>
      <c r="E27" s="382"/>
      <c r="F27" s="53" t="e">
        <f>'Tourism Medium DB-LCU'!I30/'Tourism Medium DB-LCU'!H30-1</f>
        <v>#DIV/0!</v>
      </c>
      <c r="G27" s="53" t="e">
        <f>'Tourism Medium DB-LCU'!J30/'Tourism Medium DB-LCU'!I30-1</f>
        <v>#DIV/0!</v>
      </c>
      <c r="H27" s="53" t="e">
        <f>'Tourism Medium DB-LCU'!K30/'Tourism Medium DB-LCU'!J30-1</f>
        <v>#DIV/0!</v>
      </c>
      <c r="I27" s="53" t="e">
        <f>'Tourism Medium DB-LCU'!L30/'Tourism Medium DB-LCU'!K30-1</f>
        <v>#DIV/0!</v>
      </c>
      <c r="J27" s="53" t="e">
        <f>'Tourism Medium DB-LCU'!M30/'Tourism Medium DB-LCU'!L30-1</f>
        <v>#DIV/0!</v>
      </c>
      <c r="K27" s="53" t="e">
        <f>'Tourism Medium DB-LCU'!N30/'Tourism Medium DB-LCU'!M30-1</f>
        <v>#DIV/0!</v>
      </c>
      <c r="L27" s="53" t="e">
        <f>'Tourism Medium DB-LCU'!O30/'Tourism Medium DB-LCU'!N30-1</f>
        <v>#DIV/0!</v>
      </c>
      <c r="M27" s="53" t="e">
        <f>'Tourism Medium DB-LCU'!P30/'Tourism Medium DB-LCU'!O30-1</f>
        <v>#DIV/0!</v>
      </c>
      <c r="N27" s="53" t="e">
        <f>'Tourism Medium DB-LCU'!Q30/'Tourism Medium DB-LCU'!P30-1</f>
        <v>#DIV/0!</v>
      </c>
    </row>
    <row r="28" spans="1:14" ht="15" customHeight="1">
      <c r="A28" s="381" t="str">
        <f>'Tourism Medium DB-LCU'!A31</f>
        <v>Hungary</v>
      </c>
      <c r="B28" s="442" t="str">
        <f>'Tourism Medium DB-LCU'!B31</f>
        <v>Tourism Flows</v>
      </c>
      <c r="C28" s="382" t="str">
        <f>'Tourism Medium DB-LCU'!C31</f>
        <v>International Arrivals by Purpose of Visit</v>
      </c>
      <c r="D28" s="382" t="str">
        <f>'Tourism Medium DB-LCU'!D31</f>
        <v>Leisure</v>
      </c>
      <c r="E28" s="382"/>
      <c r="F28" s="53" t="e">
        <f>'Tourism Medium DB-LCU'!I31/'Tourism Medium DB-LCU'!H31-1</f>
        <v>#VALUE!</v>
      </c>
      <c r="G28" s="53" t="e">
        <f>'Tourism Medium DB-LCU'!J31/'Tourism Medium DB-LCU'!I31-1</f>
        <v>#VALUE!</v>
      </c>
      <c r="H28" s="53" t="e">
        <f>'Tourism Medium DB-LCU'!K31/'Tourism Medium DB-LCU'!J31-1</f>
        <v>#VALUE!</v>
      </c>
      <c r="I28" s="53" t="e">
        <f>'Tourism Medium DB-LCU'!L31/'Tourism Medium DB-LCU'!K31-1</f>
        <v>#VALUE!</v>
      </c>
      <c r="J28" s="53" t="e">
        <f>'Tourism Medium DB-LCU'!M31/'Tourism Medium DB-LCU'!L31-1</f>
        <v>#VALUE!</v>
      </c>
      <c r="K28" s="53" t="e">
        <f>'Tourism Medium DB-LCU'!N31/'Tourism Medium DB-LCU'!M31-1</f>
        <v>#VALUE!</v>
      </c>
      <c r="L28" s="53" t="e">
        <f>'Tourism Medium DB-LCU'!O31/'Tourism Medium DB-LCU'!N31-1</f>
        <v>#VALUE!</v>
      </c>
      <c r="M28" s="53" t="e">
        <f>'Tourism Medium DB-LCU'!P31/'Tourism Medium DB-LCU'!O31-1</f>
        <v>#VALUE!</v>
      </c>
      <c r="N28" s="53" t="e">
        <f>'Tourism Medium DB-LCU'!Q31/'Tourism Medium DB-LCU'!P31-1</f>
        <v>#VALUE!</v>
      </c>
    </row>
    <row r="29" spans="1:14" ht="15" customHeight="1">
      <c r="A29" s="381" t="str">
        <f>'Tourism Medium DB-LCU'!A32</f>
        <v>Hungary</v>
      </c>
      <c r="B29" s="442" t="str">
        <f>'Tourism Medium DB-LCU'!B32</f>
        <v>Tourism Flows</v>
      </c>
      <c r="C29" s="382" t="str">
        <f>'Tourism Medium DB-LCU'!C32</f>
        <v>International Arrivals by Purpose of Visit</v>
      </c>
      <c r="D29" s="382" t="str">
        <f>'Tourism Medium DB-LCU'!D32</f>
        <v>Other Personal</v>
      </c>
      <c r="E29" s="382"/>
      <c r="F29" s="53" t="e">
        <f>'Tourism Medium DB-LCU'!I32/'Tourism Medium DB-LCU'!H32-1</f>
        <v>#DIV/0!</v>
      </c>
      <c r="G29" s="53" t="e">
        <f>'Tourism Medium DB-LCU'!J32/'Tourism Medium DB-LCU'!I32-1</f>
        <v>#DIV/0!</v>
      </c>
      <c r="H29" s="53" t="e">
        <f>'Tourism Medium DB-LCU'!K32/'Tourism Medium DB-LCU'!J32-1</f>
        <v>#DIV/0!</v>
      </c>
      <c r="I29" s="53" t="e">
        <f>'Tourism Medium DB-LCU'!L32/'Tourism Medium DB-LCU'!K32-1</f>
        <v>#DIV/0!</v>
      </c>
      <c r="J29" s="53" t="e">
        <f>'Tourism Medium DB-LCU'!M32/'Tourism Medium DB-LCU'!L32-1</f>
        <v>#VALUE!</v>
      </c>
      <c r="K29" s="53" t="e">
        <f>'Tourism Medium DB-LCU'!N32/'Tourism Medium DB-LCU'!M32-1</f>
        <v>#VALUE!</v>
      </c>
      <c r="L29" s="53" t="e">
        <f>'Tourism Medium DB-LCU'!O32/'Tourism Medium DB-LCU'!N32-1</f>
        <v>#VALUE!</v>
      </c>
      <c r="M29" s="53" t="e">
        <f>'Tourism Medium DB-LCU'!P32/'Tourism Medium DB-LCU'!O32-1</f>
        <v>#VALUE!</v>
      </c>
      <c r="N29" s="53" t="e">
        <f>'Tourism Medium DB-LCU'!Q32/'Tourism Medium DB-LCU'!P32-1</f>
        <v>#VALUE!</v>
      </c>
    </row>
    <row r="30" spans="1:14" ht="15" customHeight="1">
      <c r="A30" s="381" t="str">
        <f>'Tourism Medium DB-LCU'!A33</f>
        <v>Hungary</v>
      </c>
      <c r="B30" s="442" t="str">
        <f>'Tourism Medium DB-LCU'!B33</f>
        <v>Tourism Flows</v>
      </c>
      <c r="C30" s="382" t="str">
        <f>'Tourism Medium DB-LCU'!C33</f>
        <v>International Departures by Destination</v>
      </c>
      <c r="D30" s="382"/>
      <c r="E30" s="382"/>
      <c r="F30" s="53">
        <f>'Tourism Medium DB-LCU'!I33/'Tourism Medium DB-LCU'!H33-1</f>
        <v>-9.9149875032796375E-2</v>
      </c>
      <c r="G30" s="53">
        <f>'Tourism Medium DB-LCU'!J33/'Tourism Medium DB-LCU'!I33-1</f>
        <v>-3.4692973657745929E-2</v>
      </c>
      <c r="H30" s="53">
        <f>'Tourism Medium DB-LCU'!K33/'Tourism Medium DB-LCU'!J33-1</f>
        <v>3.6230862555999277E-3</v>
      </c>
      <c r="I30" s="53">
        <f>'Tourism Medium DB-LCU'!L33/'Tourism Medium DB-LCU'!K33-1</f>
        <v>-8.2290259959008738E-2</v>
      </c>
      <c r="J30" s="53">
        <f>'Tourism Medium DB-LCU'!M33/'Tourism Medium DB-LCU'!L33-1</f>
        <v>-0.12119751131523382</v>
      </c>
      <c r="K30" s="53">
        <f>'Tourism Medium DB-LCU'!N33/'Tourism Medium DB-LCU'!M33-1</f>
        <v>-7.1930792052722348E-2</v>
      </c>
      <c r="L30" s="53">
        <f>'Tourism Medium DB-LCU'!O33/'Tourism Medium DB-LCU'!N33-1</f>
        <v>1.6460380180296497E-3</v>
      </c>
      <c r="M30" s="53">
        <f>'Tourism Medium DB-LCU'!P33/'Tourism Medium DB-LCU'!O33-1</f>
        <v>5.0093305836454771E-2</v>
      </c>
      <c r="N30" s="53">
        <f>'Tourism Medium DB-LCU'!Q33/'Tourism Medium DB-LCU'!P33-1</f>
        <v>3.5406868333112351E-2</v>
      </c>
    </row>
    <row r="31" spans="1:14" ht="15" customHeight="1">
      <c r="A31" s="381" t="str">
        <f>'Tourism Medium DB-LCU'!A34</f>
        <v>Hungary</v>
      </c>
      <c r="B31" s="442" t="str">
        <f>'Tourism Medium DB-LCU'!B34</f>
        <v>Tourism Flows</v>
      </c>
      <c r="C31" s="382" t="str">
        <f>'Tourism Medium DB-LCU'!C34</f>
        <v>International Departures by Destination</v>
      </c>
      <c r="D31" s="382" t="str">
        <f>'Tourism Medium DB-LCU'!D34</f>
        <v>Africa</v>
      </c>
      <c r="E31" s="382"/>
      <c r="F31" s="53">
        <f>'Tourism Medium DB-LCU'!I34/'Tourism Medium DB-LCU'!H34-1</f>
        <v>-9.9148640763898732E-2</v>
      </c>
      <c r="G31" s="53">
        <f>'Tourism Medium DB-LCU'!J34/'Tourism Medium DB-LCU'!I34-1</f>
        <v>-6.5118918727388397E-2</v>
      </c>
      <c r="H31" s="53">
        <f>'Tourism Medium DB-LCU'!K34/'Tourism Medium DB-LCU'!J34-1</f>
        <v>7.021880332572783E-3</v>
      </c>
      <c r="I31" s="53">
        <f>'Tourism Medium DB-LCU'!L34/'Tourism Medium DB-LCU'!K34-1</f>
        <v>0.30301316431009262</v>
      </c>
      <c r="J31" s="53">
        <f>'Tourism Medium DB-LCU'!M34/'Tourism Medium DB-LCU'!L34-1</f>
        <v>4.759139805297341E-2</v>
      </c>
      <c r="K31" s="53">
        <f>'Tourism Medium DB-LCU'!N34/'Tourism Medium DB-LCU'!M34-1</f>
        <v>3.0731286206346686E-2</v>
      </c>
      <c r="L31" s="53">
        <f>'Tourism Medium DB-LCU'!O34/'Tourism Medium DB-LCU'!N34-1</f>
        <v>5.1871463975624366E-2</v>
      </c>
      <c r="M31" s="53">
        <f>'Tourism Medium DB-LCU'!P34/'Tourism Medium DB-LCU'!O34-1</f>
        <v>3.1375633229530742E-2</v>
      </c>
      <c r="N31" s="53">
        <f>'Tourism Medium DB-LCU'!Q34/'Tourism Medium DB-LCU'!P34-1</f>
        <v>3.0555421224709889E-2</v>
      </c>
    </row>
    <row r="32" spans="1:14" ht="15" customHeight="1">
      <c r="A32" s="381" t="str">
        <f>'Tourism Medium DB-LCU'!A35</f>
        <v>Hungary</v>
      </c>
      <c r="B32" s="442" t="str">
        <f>'Tourism Medium DB-LCU'!B35</f>
        <v>Tourism Flows</v>
      </c>
      <c r="C32" s="382" t="str">
        <f>'Tourism Medium DB-LCU'!C35</f>
        <v>International Departures by Destination</v>
      </c>
      <c r="D32" s="382" t="str">
        <f>'Tourism Medium DB-LCU'!D35</f>
        <v>Asia-Pacific</v>
      </c>
      <c r="E32" s="382"/>
      <c r="F32" s="53">
        <f>'Tourism Medium DB-LCU'!I35/'Tourism Medium DB-LCU'!H35-1</f>
        <v>0.18348238851803256</v>
      </c>
      <c r="G32" s="53">
        <f>'Tourism Medium DB-LCU'!J35/'Tourism Medium DB-LCU'!I35-1</f>
        <v>-5.349906262413795E-2</v>
      </c>
      <c r="H32" s="53">
        <f>'Tourism Medium DB-LCU'!K35/'Tourism Medium DB-LCU'!J35-1</f>
        <v>-0.45965271605559144</v>
      </c>
      <c r="I32" s="53">
        <f>'Tourism Medium DB-LCU'!L35/'Tourism Medium DB-LCU'!K35-1</f>
        <v>1.0130462576822152E-2</v>
      </c>
      <c r="J32" s="53">
        <f>'Tourism Medium DB-LCU'!M35/'Tourism Medium DB-LCU'!L35-1</f>
        <v>-0.57226598090055858</v>
      </c>
      <c r="K32" s="53">
        <f>'Tourism Medium DB-LCU'!N35/'Tourism Medium DB-LCU'!M35-1</f>
        <v>-0.47097750437558128</v>
      </c>
      <c r="L32" s="53">
        <f>'Tourism Medium DB-LCU'!O35/'Tourism Medium DB-LCU'!N35-1</f>
        <v>-0.4230723625754742</v>
      </c>
      <c r="M32" s="53">
        <f>'Tourism Medium DB-LCU'!P35/'Tourism Medium DB-LCU'!O35-1</f>
        <v>0.48903340842150289</v>
      </c>
      <c r="N32" s="53">
        <f>'Tourism Medium DB-LCU'!Q35/'Tourism Medium DB-LCU'!P35-1</f>
        <v>1.286833505449847E-2</v>
      </c>
    </row>
    <row r="33" spans="1:14" ht="15" customHeight="1">
      <c r="A33" s="381" t="str">
        <f>'Tourism Medium DB-LCU'!A36</f>
        <v>Hungary</v>
      </c>
      <c r="B33" s="442" t="str">
        <f>'Tourism Medium DB-LCU'!B36</f>
        <v>Tourism Flows</v>
      </c>
      <c r="C33" s="382" t="str">
        <f>'Tourism Medium DB-LCU'!C36</f>
        <v>International Departures by Destination</v>
      </c>
      <c r="D33" s="382" t="str">
        <f>'Tourism Medium DB-LCU'!D36</f>
        <v>Europe</v>
      </c>
      <c r="E33" s="382"/>
      <c r="F33" s="53">
        <f>'Tourism Medium DB-LCU'!I36/'Tourism Medium DB-LCU'!H36-1</f>
        <v>-0.18592463082817345</v>
      </c>
      <c r="G33" s="53">
        <f>'Tourism Medium DB-LCU'!J36/'Tourism Medium DB-LCU'!I36-1</f>
        <v>-2.594871909230978E-2</v>
      </c>
      <c r="H33" s="53">
        <f>'Tourism Medium DB-LCU'!K36/'Tourism Medium DB-LCU'!J36-1</f>
        <v>0.20327076058280324</v>
      </c>
      <c r="I33" s="53">
        <f>'Tourism Medium DB-LCU'!L36/'Tourism Medium DB-LCU'!K36-1</f>
        <v>-0.10441500300787643</v>
      </c>
      <c r="J33" s="53">
        <f>'Tourism Medium DB-LCU'!M36/'Tourism Medium DB-LCU'!L36-1</f>
        <v>-4.1769480996394881E-2</v>
      </c>
      <c r="K33" s="53">
        <f>'Tourism Medium DB-LCU'!N36/'Tourism Medium DB-LCU'!M36-1</f>
        <v>2.4472190277440298E-2</v>
      </c>
      <c r="L33" s="53">
        <f>'Tourism Medium DB-LCU'!O36/'Tourism Medium DB-LCU'!N36-1</f>
        <v>-7.430575665623218E-3</v>
      </c>
      <c r="M33" s="53">
        <f>'Tourism Medium DB-LCU'!P36/'Tourism Medium DB-LCU'!O36-1</f>
        <v>3.7143506264243342E-2</v>
      </c>
      <c r="N33" s="53">
        <f>'Tourism Medium DB-LCU'!Q36/'Tourism Medium DB-LCU'!P36-1</f>
        <v>3.596596497019533E-2</v>
      </c>
    </row>
    <row r="34" spans="1:14" ht="15" customHeight="1">
      <c r="A34" s="381" t="str">
        <f>'Tourism Medium DB-LCU'!A37</f>
        <v>Hungary</v>
      </c>
      <c r="B34" s="442" t="str">
        <f>'Tourism Medium DB-LCU'!B37</f>
        <v>Tourism Flows</v>
      </c>
      <c r="C34" s="382" t="str">
        <f>'Tourism Medium DB-LCU'!C37</f>
        <v>International Departures by Destination</v>
      </c>
      <c r="D34" s="382" t="str">
        <f>'Tourism Medium DB-LCU'!D37</f>
        <v>Middle East</v>
      </c>
      <c r="E34" s="382"/>
      <c r="F34" s="53">
        <f>'Tourism Medium DB-LCU'!I37/'Tourism Medium DB-LCU'!H37-1</f>
        <v>2.0472291034992374E-2</v>
      </c>
      <c r="G34" s="53">
        <f>'Tourism Medium DB-LCU'!J37/'Tourism Medium DB-LCU'!I37-1</f>
        <v>1.8378623637663294E-2</v>
      </c>
      <c r="H34" s="53">
        <f>'Tourism Medium DB-LCU'!K37/'Tourism Medium DB-LCU'!J37-1</f>
        <v>-0.46006023921490757</v>
      </c>
      <c r="I34" s="53">
        <f>'Tourism Medium DB-LCU'!L37/'Tourism Medium DB-LCU'!K37-1</f>
        <v>2.7092593053508196E-3</v>
      </c>
      <c r="J34" s="53">
        <f>'Tourism Medium DB-LCU'!M37/'Tourism Medium DB-LCU'!L37-1</f>
        <v>-0.28034832918277508</v>
      </c>
      <c r="K34" s="53">
        <f>'Tourism Medium DB-LCU'!N37/'Tourism Medium DB-LCU'!M37-1</f>
        <v>-2.5744993135197367</v>
      </c>
      <c r="L34" s="53">
        <f>'Tourism Medium DB-LCU'!O37/'Tourism Medium DB-LCU'!N37-1</f>
        <v>-0.56174215159436203</v>
      </c>
      <c r="M34" s="53">
        <f>'Tourism Medium DB-LCU'!P37/'Tourism Medium DB-LCU'!O37-1</f>
        <v>-0.14232497847241599</v>
      </c>
      <c r="N34" s="53">
        <f>'Tourism Medium DB-LCU'!Q37/'Tourism Medium DB-LCU'!P37-1</f>
        <v>-1.170091014375596E-2</v>
      </c>
    </row>
    <row r="35" spans="1:14" ht="15" customHeight="1">
      <c r="A35" s="381" t="str">
        <f>'Tourism Medium DB-LCU'!A38</f>
        <v>Hungary</v>
      </c>
      <c r="B35" s="442" t="str">
        <f>'Tourism Medium DB-LCU'!B38</f>
        <v>Tourism Flows</v>
      </c>
      <c r="C35" s="382" t="str">
        <f>'Tourism Medium DB-LCU'!C38</f>
        <v>International Departures by Destination</v>
      </c>
      <c r="D35" s="382" t="str">
        <f>'Tourism Medium DB-LCU'!D38</f>
        <v>North America</v>
      </c>
      <c r="E35" s="382"/>
      <c r="F35" s="53">
        <f>'Tourism Medium DB-LCU'!I38/'Tourism Medium DB-LCU'!H38-1</f>
        <v>0.24899879466542241</v>
      </c>
      <c r="G35" s="53">
        <f>'Tourism Medium DB-LCU'!J38/'Tourism Medium DB-LCU'!I38-1</f>
        <v>-0.18187902748809259</v>
      </c>
      <c r="H35" s="53">
        <f>'Tourism Medium DB-LCU'!K38/'Tourism Medium DB-LCU'!J38-1</f>
        <v>-6.3269344190559518E-2</v>
      </c>
      <c r="I35" s="53">
        <f>'Tourism Medium DB-LCU'!L38/'Tourism Medium DB-LCU'!K38-1</f>
        <v>-0.18655238598165957</v>
      </c>
      <c r="J35" s="53">
        <f>'Tourism Medium DB-LCU'!M38/'Tourism Medium DB-LCU'!L38-1</f>
        <v>-3.7324324406551534E-2</v>
      </c>
      <c r="K35" s="53">
        <f>'Tourism Medium DB-LCU'!N38/'Tourism Medium DB-LCU'!M38-1</f>
        <v>3.7583566993532269E-2</v>
      </c>
      <c r="L35" s="53">
        <f>'Tourism Medium DB-LCU'!O38/'Tourism Medium DB-LCU'!N38-1</f>
        <v>3.5357921715550633E-2</v>
      </c>
      <c r="M35" s="53">
        <f>'Tourism Medium DB-LCU'!P38/'Tourism Medium DB-LCU'!O38-1</f>
        <v>2.8464413523985987E-2</v>
      </c>
      <c r="N35" s="53">
        <f>'Tourism Medium DB-LCU'!Q38/'Tourism Medium DB-LCU'!P38-1</f>
        <v>2.330506902564955E-2</v>
      </c>
    </row>
    <row r="36" spans="1:14" ht="15" customHeight="1">
      <c r="A36" s="381" t="str">
        <f>'Tourism Medium DB-LCU'!A39</f>
        <v>Hungary</v>
      </c>
      <c r="B36" s="442" t="str">
        <f>'Tourism Medium DB-LCU'!B39</f>
        <v>Tourism Flows</v>
      </c>
      <c r="C36" s="382" t="str">
        <f>'Tourism Medium DB-LCU'!C39</f>
        <v>International Departures by Destination</v>
      </c>
      <c r="D36" s="382" t="str">
        <f>'Tourism Medium DB-LCU'!D39</f>
        <v>South &amp; Central America</v>
      </c>
      <c r="E36" s="382"/>
      <c r="F36" s="53">
        <f>'Tourism Medium DB-LCU'!I39/'Tourism Medium DB-LCU'!H39-1</f>
        <v>2.9053650737123737E-2</v>
      </c>
      <c r="G36" s="53">
        <f>'Tourism Medium DB-LCU'!J39/'Tourism Medium DB-LCU'!I39-1</f>
        <v>0.62152329531291461</v>
      </c>
      <c r="H36" s="53">
        <f>'Tourism Medium DB-LCU'!K39/'Tourism Medium DB-LCU'!J39-1</f>
        <v>-3.8639974694811507E-2</v>
      </c>
      <c r="I36" s="53">
        <f>'Tourism Medium DB-LCU'!L39/'Tourism Medium DB-LCU'!K39-1</f>
        <v>0.91620187729560598</v>
      </c>
      <c r="J36" s="53">
        <f>'Tourism Medium DB-LCU'!M39/'Tourism Medium DB-LCU'!L39-1</f>
        <v>0.13636484547727168</v>
      </c>
      <c r="K36" s="53">
        <f>'Tourism Medium DB-LCU'!N39/'Tourism Medium DB-LCU'!M39-1</f>
        <v>3.1927048436387384E-2</v>
      </c>
      <c r="L36" s="53">
        <f>'Tourism Medium DB-LCU'!O39/'Tourism Medium DB-LCU'!N39-1</f>
        <v>2.6977422890029246E-2</v>
      </c>
      <c r="M36" s="53">
        <f>'Tourism Medium DB-LCU'!P39/'Tourism Medium DB-LCU'!O39-1</f>
        <v>2.2331722783899499E-2</v>
      </c>
      <c r="N36" s="53">
        <f>'Tourism Medium DB-LCU'!Q39/'Tourism Medium DB-LCU'!P39-1</f>
        <v>1.7665392009636127E-2</v>
      </c>
    </row>
    <row r="37" spans="1:14" ht="15" customHeight="1">
      <c r="A37" s="381" t="str">
        <f>'Tourism Medium DB-LCU'!A40</f>
        <v>Hungary</v>
      </c>
      <c r="B37" s="442" t="str">
        <f>'Tourism Medium DB-LCU'!B40</f>
        <v>Tourism Flows</v>
      </c>
      <c r="C37" s="382" t="str">
        <f>'Tourism Medium DB-LCU'!C40</f>
        <v>International Departures by Purpose of Visit</v>
      </c>
      <c r="D37" s="382"/>
      <c r="E37" s="382"/>
      <c r="F37" s="53">
        <f>'Tourism Medium DB-LCU'!I40/'Tourism Medium DB-LCU'!H40-1</f>
        <v>-9.9149875032796375E-2</v>
      </c>
      <c r="G37" s="53">
        <f>'Tourism Medium DB-LCU'!J40/'Tourism Medium DB-LCU'!I40-1</f>
        <v>-3.4692973657745929E-2</v>
      </c>
      <c r="H37" s="53">
        <f>'Tourism Medium DB-LCU'!K40/'Tourism Medium DB-LCU'!J40-1</f>
        <v>3.6230862555999277E-3</v>
      </c>
      <c r="I37" s="53">
        <f>'Tourism Medium DB-LCU'!L40/'Tourism Medium DB-LCU'!K40-1</f>
        <v>-0.20736831676655854</v>
      </c>
      <c r="J37" s="53">
        <f>'Tourism Medium DB-LCU'!M40/'Tourism Medium DB-LCU'!L40-1</f>
        <v>1.7478383084960969E-2</v>
      </c>
      <c r="K37" s="53">
        <f>'Tourism Medium DB-LCU'!N40/'Tourism Medium DB-LCU'!M40-1</f>
        <v>-7.1930792052722348E-2</v>
      </c>
      <c r="L37" s="53">
        <f>'Tourism Medium DB-LCU'!O40/'Tourism Medium DB-LCU'!N40-1</f>
        <v>1.6460380180296497E-3</v>
      </c>
      <c r="M37" s="53">
        <f>'Tourism Medium DB-LCU'!P40/'Tourism Medium DB-LCU'!O40-1</f>
        <v>5.0093305836454771E-2</v>
      </c>
      <c r="N37" s="53">
        <f>'Tourism Medium DB-LCU'!Q40/'Tourism Medium DB-LCU'!P40-1</f>
        <v>3.5406868333112351E-2</v>
      </c>
    </row>
    <row r="38" spans="1:14" ht="15" customHeight="1">
      <c r="A38" s="381" t="str">
        <f>'Tourism Medium DB-LCU'!A41</f>
        <v>Hungary</v>
      </c>
      <c r="B38" s="442" t="str">
        <f>'Tourism Medium DB-LCU'!B41</f>
        <v>Tourism Flows</v>
      </c>
      <c r="C38" s="382" t="str">
        <f>'Tourism Medium DB-LCU'!C41</f>
        <v>International Departures by Purpose of Visit</v>
      </c>
      <c r="D38" s="382" t="str">
        <f>'Tourism Medium DB-LCU'!D41</f>
        <v>Business</v>
      </c>
      <c r="E38" s="382"/>
      <c r="F38" s="53">
        <f>'Tourism Medium DB-LCU'!I41/'Tourism Medium DB-LCU'!H41-1</f>
        <v>-7.2181768611658592E-2</v>
      </c>
      <c r="G38" s="53">
        <f>'Tourism Medium DB-LCU'!J41/'Tourism Medium DB-LCU'!I41-1</f>
        <v>-4.2886243252632794E-2</v>
      </c>
      <c r="H38" s="53">
        <f>'Tourism Medium DB-LCU'!K41/'Tourism Medium DB-LCU'!J41-1</f>
        <v>-2.7178631905990014E-2</v>
      </c>
      <c r="I38" s="53">
        <f>'Tourism Medium DB-LCU'!L41/'Tourism Medium DB-LCU'!K41-1</f>
        <v>-0.17303406600066251</v>
      </c>
      <c r="J38" s="53">
        <f>'Tourism Medium DB-LCU'!M41/'Tourism Medium DB-LCU'!L41-1</f>
        <v>1.7889654131824306E-2</v>
      </c>
      <c r="K38" s="53">
        <f>'Tourism Medium DB-LCU'!N41/'Tourism Medium DB-LCU'!M41-1</f>
        <v>-7.1786250683393282E-2</v>
      </c>
      <c r="L38" s="53">
        <f>'Tourism Medium DB-LCU'!O41/'Tourism Medium DB-LCU'!N41-1</f>
        <v>2.8290587241537324E-3</v>
      </c>
      <c r="M38" s="53">
        <f>'Tourism Medium DB-LCU'!P41/'Tourism Medium DB-LCU'!O41-1</f>
        <v>5.125863589789259E-2</v>
      </c>
      <c r="N38" s="53">
        <f>'Tourism Medium DB-LCU'!Q41/'Tourism Medium DB-LCU'!P41-1</f>
        <v>3.4669043722619142E-2</v>
      </c>
    </row>
    <row r="39" spans="1:14" ht="15" customHeight="1">
      <c r="A39" s="381" t="str">
        <f>'Tourism Medium DB-LCU'!A42</f>
        <v>Hungary</v>
      </c>
      <c r="B39" s="442" t="str">
        <f>'Tourism Medium DB-LCU'!B42</f>
        <v>Tourism Flows</v>
      </c>
      <c r="C39" s="382" t="str">
        <f>'Tourism Medium DB-LCU'!C42</f>
        <v>International Departures by Purpose of Visit</v>
      </c>
      <c r="D39" s="382" t="str">
        <f>'Tourism Medium DB-LCU'!D42</f>
        <v>Leisure</v>
      </c>
      <c r="E39" s="382"/>
      <c r="F39" s="53" t="e">
        <f>'Tourism Medium DB-LCU'!I42/'Tourism Medium DB-LCU'!H42-1</f>
        <v>#DIV/0!</v>
      </c>
      <c r="G39" s="53" t="e">
        <f>'Tourism Medium DB-LCU'!J42/'Tourism Medium DB-LCU'!I42-1</f>
        <v>#DIV/0!</v>
      </c>
      <c r="H39" s="53" t="e">
        <f>'Tourism Medium DB-LCU'!K42/'Tourism Medium DB-LCU'!J42-1</f>
        <v>#DIV/0!</v>
      </c>
      <c r="I39" s="53" t="e">
        <f>'Tourism Medium DB-LCU'!L42/'Tourism Medium DB-LCU'!K42-1</f>
        <v>#DIV/0!</v>
      </c>
      <c r="J39" s="53" t="e">
        <f>'Tourism Medium DB-LCU'!M42/'Tourism Medium DB-LCU'!L42-1</f>
        <v>#DIV/0!</v>
      </c>
      <c r="K39" s="53" t="e">
        <f>'Tourism Medium DB-LCU'!N42/'Tourism Medium DB-LCU'!M42-1</f>
        <v>#DIV/0!</v>
      </c>
      <c r="L39" s="53" t="e">
        <f>'Tourism Medium DB-LCU'!O42/'Tourism Medium DB-LCU'!N42-1</f>
        <v>#DIV/0!</v>
      </c>
      <c r="M39" s="53" t="e">
        <f>'Tourism Medium DB-LCU'!P42/'Tourism Medium DB-LCU'!O42-1</f>
        <v>#DIV/0!</v>
      </c>
      <c r="N39" s="53" t="e">
        <f>'Tourism Medium DB-LCU'!Q42/'Tourism Medium DB-LCU'!P42-1</f>
        <v>#DIV/0!</v>
      </c>
    </row>
    <row r="40" spans="1:14" ht="15" customHeight="1">
      <c r="A40" s="381" t="str">
        <f>'Tourism Medium DB-LCU'!A43</f>
        <v>Hungary</v>
      </c>
      <c r="B40" s="442" t="str">
        <f>'Tourism Medium DB-LCU'!B43</f>
        <v>Tourism Flows</v>
      </c>
      <c r="C40" s="382" t="str">
        <f>'Tourism Medium DB-LCU'!C43</f>
        <v>International Departures by Purpose of Visit</v>
      </c>
      <c r="D40" s="382" t="str">
        <f>'Tourism Medium DB-LCU'!D43</f>
        <v>Other Personal</v>
      </c>
      <c r="E40" s="382"/>
      <c r="F40" s="53" t="e">
        <f>'Tourism Medium DB-LCU'!I43/'Tourism Medium DB-LCU'!H43-1</f>
        <v>#DIV/0!</v>
      </c>
      <c r="G40" s="53" t="e">
        <f>'Tourism Medium DB-LCU'!J43/'Tourism Medium DB-LCU'!I43-1</f>
        <v>#DIV/0!</v>
      </c>
      <c r="H40" s="53" t="e">
        <f>'Tourism Medium DB-LCU'!K43/'Tourism Medium DB-LCU'!J43-1</f>
        <v>#DIV/0!</v>
      </c>
      <c r="I40" s="53" t="e">
        <f>'Tourism Medium DB-LCU'!L43/'Tourism Medium DB-LCU'!K43-1</f>
        <v>#DIV/0!</v>
      </c>
      <c r="J40" s="53" t="e">
        <f>'Tourism Medium DB-LCU'!M43/'Tourism Medium DB-LCU'!L43-1</f>
        <v>#DIV/0!</v>
      </c>
      <c r="K40" s="53" t="e">
        <f>'Tourism Medium DB-LCU'!N43/'Tourism Medium DB-LCU'!M43-1</f>
        <v>#DIV/0!</v>
      </c>
      <c r="L40" s="53" t="e">
        <f>'Tourism Medium DB-LCU'!O43/'Tourism Medium DB-LCU'!N43-1</f>
        <v>#DIV/0!</v>
      </c>
      <c r="M40" s="53" t="e">
        <f>'Tourism Medium DB-LCU'!P43/'Tourism Medium DB-LCU'!O43-1</f>
        <v>#DIV/0!</v>
      </c>
      <c r="N40" s="53" t="e">
        <f>'Tourism Medium DB-LCU'!Q43/'Tourism Medium DB-LCU'!P43-1</f>
        <v>#DIV/0!</v>
      </c>
    </row>
    <row r="41" spans="1:14" ht="15" customHeight="1">
      <c r="A41" s="381" t="str">
        <f>'Tourism Medium DB-LCU'!A44</f>
        <v>Hungary</v>
      </c>
      <c r="B41" s="442" t="str">
        <f>'Tourism Medium DB-LCU'!B44</f>
        <v>Tourism Flows</v>
      </c>
      <c r="C41" s="382" t="str">
        <f>'Tourism Medium DB-LCU'!C44</f>
        <v>Number of Overnight Stays</v>
      </c>
      <c r="D41" s="382"/>
      <c r="E41" s="382"/>
      <c r="F41" s="53">
        <f>'Tourism Medium DB-LCU'!I44/'Tourism Medium DB-LCU'!H44-1</f>
        <v>-5.5849369910377145E-2</v>
      </c>
      <c r="G41" s="53">
        <f>'Tourism Medium DB-LCU'!J44/'Tourism Medium DB-LCU'!I44-1</f>
        <v>0.14582567895583254</v>
      </c>
      <c r="H41" s="53">
        <f>'Tourism Medium DB-LCU'!K44/'Tourism Medium DB-LCU'!J44-1</f>
        <v>3.5182245397870071E-2</v>
      </c>
      <c r="I41" s="53">
        <f>'Tourism Medium DB-LCU'!L44/'Tourism Medium DB-LCU'!K44-1</f>
        <v>3.862998070264001E-2</v>
      </c>
      <c r="J41" s="53">
        <f>'Tourism Medium DB-LCU'!M44/'Tourism Medium DB-LCU'!L44-1</f>
        <v>-4.2766671223405495E-2</v>
      </c>
      <c r="K41" s="53">
        <f>'Tourism Medium DB-LCU'!N44/'Tourism Medium DB-LCU'!M44-1</f>
        <v>2.5901417561265072E-2</v>
      </c>
      <c r="L41" s="53">
        <f>'Tourism Medium DB-LCU'!O44/'Tourism Medium DB-LCU'!N44-1</f>
        <v>4.8030044619257195E-2</v>
      </c>
      <c r="M41" s="53">
        <f>'Tourism Medium DB-LCU'!P44/'Tourism Medium DB-LCU'!O44-1</f>
        <v>6.1612532246455576E-2</v>
      </c>
      <c r="N41" s="53">
        <f>'Tourism Medium DB-LCU'!Q44/'Tourism Medium DB-LCU'!P44-1</f>
        <v>3.9011305895646275E-2</v>
      </c>
    </row>
    <row r="42" spans="1:14" ht="15" customHeight="1">
      <c r="A42" s="381" t="str">
        <f>'Tourism Medium DB-LCU'!A45</f>
        <v>Hungary</v>
      </c>
      <c r="B42" s="442" t="str">
        <f>'Tourism Medium DB-LCU'!B45</f>
        <v>Tourism Flows</v>
      </c>
      <c r="C42" s="382" t="str">
        <f>'Tourism Medium DB-LCU'!C45</f>
        <v>Number of Overnight Stays</v>
      </c>
      <c r="D42" s="382" t="str">
        <f>'Tourism Medium DB-LCU'!D45</f>
        <v>International trips</v>
      </c>
      <c r="E42" s="382"/>
      <c r="F42" s="53">
        <f>'Tourism Medium DB-LCU'!I45/'Tourism Medium DB-LCU'!H45-1</f>
        <v>-9.6460587703656619E-2</v>
      </c>
      <c r="G42" s="53">
        <f>'Tourism Medium DB-LCU'!J45/'Tourism Medium DB-LCU'!I45-1</f>
        <v>9.3133279264666191E-2</v>
      </c>
      <c r="H42" s="53">
        <f>'Tourism Medium DB-LCU'!K45/'Tourism Medium DB-LCU'!J45-1</f>
        <v>0.10147149746506745</v>
      </c>
      <c r="I42" s="53">
        <f>'Tourism Medium DB-LCU'!L45/'Tourism Medium DB-LCU'!K45-1</f>
        <v>2.848467995016768E-2</v>
      </c>
      <c r="J42" s="53">
        <f>'Tourism Medium DB-LCU'!M45/'Tourism Medium DB-LCU'!L45-1</f>
        <v>-4.8712455105714647E-2</v>
      </c>
      <c r="K42" s="53">
        <f>'Tourism Medium DB-LCU'!N45/'Tourism Medium DB-LCU'!M45-1</f>
        <v>1.4534737103724105E-3</v>
      </c>
      <c r="L42" s="53">
        <f>'Tourism Medium DB-LCU'!O45/'Tourism Medium DB-LCU'!N45-1</f>
        <v>9.0513854613475608E-2</v>
      </c>
      <c r="M42" s="53">
        <f>'Tourism Medium DB-LCU'!P45/'Tourism Medium DB-LCU'!O45-1</f>
        <v>9.8693252059960601E-2</v>
      </c>
      <c r="N42" s="53">
        <f>'Tourism Medium DB-LCU'!Q45/'Tourism Medium DB-LCU'!P45-1</f>
        <v>6.6043170193465839E-2</v>
      </c>
    </row>
    <row r="43" spans="1:14" ht="15" customHeight="1">
      <c r="A43" s="381" t="str">
        <f>'Tourism Medium DB-LCU'!A46</f>
        <v>Hungary</v>
      </c>
      <c r="B43" s="442" t="str">
        <f>'Tourism Medium DB-LCU'!B46</f>
        <v>Tourism Flows</v>
      </c>
      <c r="C43" s="382" t="str">
        <f>'Tourism Medium DB-LCU'!C46</f>
        <v>Number of Overnight Stays</v>
      </c>
      <c r="D43" s="382" t="str">
        <f>'Tourism Medium DB-LCU'!D46</f>
        <v>Domestic Trips</v>
      </c>
      <c r="E43" s="382"/>
      <c r="F43" s="53">
        <f>'Tourism Medium DB-LCU'!I46/'Tourism Medium DB-LCU'!H46-1</f>
        <v>-2.0463977865276206E-2</v>
      </c>
      <c r="G43" s="53">
        <f>'Tourism Medium DB-LCU'!J46/'Tourism Medium DB-LCU'!I46-1</f>
        <v>0.18817560594044358</v>
      </c>
      <c r="H43" s="53">
        <f>'Tourism Medium DB-LCU'!K46/'Tourism Medium DB-LCU'!J46-1</f>
        <v>-1.3834028234949947E-2</v>
      </c>
      <c r="I43" s="53">
        <f>'Tourism Medium DB-LCU'!L46/'Tourism Medium DB-LCU'!K46-1</f>
        <v>4.7008848718283369E-2</v>
      </c>
      <c r="J43" s="53">
        <f>'Tourism Medium DB-LCU'!M46/'Tourism Medium DB-LCU'!L46-1</f>
        <v>-3.7943007568197906E-2</v>
      </c>
      <c r="K43" s="53">
        <f>'Tourism Medium DB-LCU'!N46/'Tourism Medium DB-LCU'!M46-1</f>
        <v>4.5513388808503308E-2</v>
      </c>
      <c r="L43" s="53">
        <f>'Tourism Medium DB-LCU'!O46/'Tourism Medium DB-LCU'!N46-1</f>
        <v>1.5386031419936996E-2</v>
      </c>
      <c r="M43" s="53">
        <f>'Tourism Medium DB-LCU'!P46/'Tourism Medium DB-LCU'!O46-1</f>
        <v>3.1012051743136926E-2</v>
      </c>
      <c r="N43" s="53">
        <f>'Tourism Medium DB-LCU'!Q46/'Tourism Medium DB-LCU'!P46-1</f>
        <v>1.5239137183789442E-2</v>
      </c>
    </row>
    <row r="44" spans="1:14" ht="15" customHeight="1">
      <c r="A44" s="429" t="str">
        <f>'Tourism Medium DB-LCU'!A47</f>
        <v>Hungary</v>
      </c>
      <c r="B44" s="428" t="str">
        <f>'Tourism Medium DB-LCU'!B47</f>
        <v>Tourism Receipts &amp; Expenditure</v>
      </c>
      <c r="C44" s="425"/>
      <c r="D44" s="425"/>
      <c r="E44" s="425"/>
      <c r="F44" s="426"/>
      <c r="G44" s="426"/>
      <c r="H44" s="426"/>
      <c r="I44" s="426"/>
      <c r="J44" s="426"/>
      <c r="K44" s="426"/>
      <c r="L44" s="426"/>
      <c r="M44" s="426"/>
      <c r="N44" s="426"/>
    </row>
    <row r="45" spans="1:14" ht="15" customHeight="1">
      <c r="A45" s="439" t="str">
        <f>'Tourism Medium DB-LCU'!A48</f>
        <v>Hungary</v>
      </c>
      <c r="B45" s="437" t="str">
        <f>'Tourism Medium DB-LCU'!B48</f>
        <v>Tourism Receipts &amp; Expenditure</v>
      </c>
      <c r="C45" s="433" t="str">
        <f>'Tourism Medium DB-LCU'!C48</f>
        <v>Domestic Tourist Expenditure by Sector</v>
      </c>
      <c r="D45" s="436"/>
      <c r="E45" s="436"/>
      <c r="F45" s="435">
        <f>'Tourism Medium DB-LCU'!I48/'Tourism Medium DB-LCU'!H48-1</f>
        <v>5.6260625427669186E-2</v>
      </c>
      <c r="G45" s="435">
        <f>'Tourism Medium DB-LCU'!J48/'Tourism Medium DB-LCU'!I48-1</f>
        <v>-3.3579517125154834E-2</v>
      </c>
      <c r="H45" s="435">
        <f>'Tourism Medium DB-LCU'!K48/'Tourism Medium DB-LCU'!J48-1</f>
        <v>4.4679820111482194E-2</v>
      </c>
      <c r="I45" s="435">
        <f>'Tourism Medium DB-LCU'!L48/'Tourism Medium DB-LCU'!K48-1</f>
        <v>2.6042475558419209E-2</v>
      </c>
      <c r="J45" s="435">
        <f>'Tourism Medium DB-LCU'!M48/'Tourism Medium DB-LCU'!L48-1</f>
        <v>3.4270133479754383E-2</v>
      </c>
      <c r="K45" s="435">
        <f>'Tourism Medium DB-LCU'!N48/'Tourism Medium DB-LCU'!M48-1</f>
        <v>-1.6907901989989149E-2</v>
      </c>
      <c r="L45" s="435">
        <f>'Tourism Medium DB-LCU'!O48/'Tourism Medium DB-LCU'!N48-1</f>
        <v>-6.8565127870512388E-4</v>
      </c>
      <c r="M45" s="435">
        <f>'Tourism Medium DB-LCU'!P48/'Tourism Medium DB-LCU'!O48-1</f>
        <v>1.54658934899079E-2</v>
      </c>
      <c r="N45" s="435">
        <f>'Tourism Medium DB-LCU'!Q48/'Tourism Medium DB-LCU'!P48-1</f>
        <v>5.9446107261877934E-3</v>
      </c>
    </row>
    <row r="46" spans="1:14" ht="15" customHeight="1">
      <c r="A46" s="4" t="str">
        <f>'Tourism Medium DB-LCU'!A49</f>
        <v>Hungary</v>
      </c>
      <c r="B46" s="4" t="str">
        <f>'Tourism Medium DB-LCU'!B49</f>
        <v>Tourism Receipts &amp; Expenditure</v>
      </c>
      <c r="C46" s="4" t="str">
        <f>'Tourism Medium DB-LCU'!C49</f>
        <v>Domestic Tourist Expenditure by Sector</v>
      </c>
      <c r="D46" s="421" t="str">
        <f>'Tourism Medium DB-LCU'!D49</f>
        <v>Accommodation</v>
      </c>
      <c r="E46" s="4"/>
      <c r="F46" s="53">
        <f>'Tourism Medium DB-LCU'!I49/'Tourism Medium DB-LCU'!H49-1</f>
        <v>5.1276508456297609E-2</v>
      </c>
      <c r="G46" s="53">
        <f>'Tourism Medium DB-LCU'!J49/'Tourism Medium DB-LCU'!I49-1</f>
        <v>-3.9324403206704384E-2</v>
      </c>
      <c r="H46" s="53">
        <f>'Tourism Medium DB-LCU'!K49/'Tourism Medium DB-LCU'!J49-1</f>
        <v>4.1552036218932775E-2</v>
      </c>
      <c r="I46" s="53">
        <f>'Tourism Medium DB-LCU'!L49/'Tourism Medium DB-LCU'!K49-1</f>
        <v>1.9886220705068958E-2</v>
      </c>
      <c r="J46" s="53">
        <f>'Tourism Medium DB-LCU'!M49/'Tourism Medium DB-LCU'!L49-1</f>
        <v>2.2559862849514944E-2</v>
      </c>
      <c r="K46" s="53">
        <f>'Tourism Medium DB-LCU'!N49/'Tourism Medium DB-LCU'!M49-1</f>
        <v>-1.9215879782009115E-2</v>
      </c>
      <c r="L46" s="53">
        <f>'Tourism Medium DB-LCU'!O49/'Tourism Medium DB-LCU'!N49-1</f>
        <v>1.2870733569159132E-3</v>
      </c>
      <c r="M46" s="53">
        <f>'Tourism Medium DB-LCU'!P49/'Tourism Medium DB-LCU'!O49-1</f>
        <v>1.0462827185611978E-2</v>
      </c>
      <c r="N46" s="53">
        <f>'Tourism Medium DB-LCU'!Q49/'Tourism Medium DB-LCU'!P49-1</f>
        <v>6.2283034553245464E-4</v>
      </c>
    </row>
    <row r="47" spans="1:14" ht="15" customHeight="1">
      <c r="A47" s="4" t="str">
        <f>'Tourism Medium DB-LCU'!A50</f>
        <v>Hungary</v>
      </c>
      <c r="B47" s="4" t="str">
        <f>'Tourism Medium DB-LCU'!B50</f>
        <v>Tourism Receipts &amp; Expenditure</v>
      </c>
      <c r="C47" s="4" t="str">
        <f>'Tourism Medium DB-LCU'!C50</f>
        <v>Domestic Tourist Expenditure by Sector</v>
      </c>
      <c r="D47" s="421" t="str">
        <f>'Tourism Medium DB-LCU'!D50</f>
        <v>Entertainment &amp; Sightseeing</v>
      </c>
      <c r="E47" s="4"/>
      <c r="F47" s="53">
        <f>'Tourism Medium DB-LCU'!I50/'Tourism Medium DB-LCU'!H50-1</f>
        <v>5.8164095177275277E-2</v>
      </c>
      <c r="G47" s="53">
        <f>'Tourism Medium DB-LCU'!J50/'Tourism Medium DB-LCU'!I50-1</f>
        <v>-3.6035613379974962E-2</v>
      </c>
      <c r="H47" s="53">
        <f>'Tourism Medium DB-LCU'!K50/'Tourism Medium DB-LCU'!J50-1</f>
        <v>4.7642067779176234E-2</v>
      </c>
      <c r="I47" s="53">
        <f>'Tourism Medium DB-LCU'!L50/'Tourism Medium DB-LCU'!K50-1</f>
        <v>2.9120602985094557E-2</v>
      </c>
      <c r="J47" s="53">
        <f>'Tourism Medium DB-LCU'!M50/'Tourism Medium DB-LCU'!L50-1</f>
        <v>3.5606829676230856E-2</v>
      </c>
      <c r="K47" s="53">
        <f>'Tourism Medium DB-LCU'!N50/'Tourism Medium DB-LCU'!M50-1</f>
        <v>-1.7743786333376477E-2</v>
      </c>
      <c r="L47" s="53">
        <f>'Tourism Medium DB-LCU'!O50/'Tourism Medium DB-LCU'!N50-1</f>
        <v>-6.7038126846763468E-3</v>
      </c>
      <c r="M47" s="53">
        <f>'Tourism Medium DB-LCU'!P50/'Tourism Medium DB-LCU'!O50-1</f>
        <v>1.6271875977915462E-2</v>
      </c>
      <c r="N47" s="53">
        <f>'Tourism Medium DB-LCU'!Q50/'Tourism Medium DB-LCU'!P50-1</f>
        <v>6.8336655782652578E-3</v>
      </c>
    </row>
    <row r="48" spans="1:14" ht="15" customHeight="1">
      <c r="A48" s="4" t="str">
        <f>'Tourism Medium DB-LCU'!A51</f>
        <v>Hungary</v>
      </c>
      <c r="B48" s="4" t="str">
        <f>'Tourism Medium DB-LCU'!B51</f>
        <v>Tourism Receipts &amp; Expenditure</v>
      </c>
      <c r="C48" s="4" t="str">
        <f>'Tourism Medium DB-LCU'!C51</f>
        <v>Domestic Tourist Expenditure by Sector</v>
      </c>
      <c r="D48" s="421" t="str">
        <f>'Tourism Medium DB-LCU'!D51</f>
        <v>Foodservice</v>
      </c>
      <c r="E48" s="4"/>
      <c r="F48" s="53">
        <f>'Tourism Medium DB-LCU'!I51/'Tourism Medium DB-LCU'!H51-1</f>
        <v>5.9695894551799356E-2</v>
      </c>
      <c r="G48" s="53">
        <f>'Tourism Medium DB-LCU'!J51/'Tourism Medium DB-LCU'!I51-1</f>
        <v>-3.1735884203978437E-2</v>
      </c>
      <c r="H48" s="53">
        <f>'Tourism Medium DB-LCU'!K51/'Tourism Medium DB-LCU'!J51-1</f>
        <v>4.0225958820801155E-2</v>
      </c>
      <c r="I48" s="53">
        <f>'Tourism Medium DB-LCU'!L51/'Tourism Medium DB-LCU'!K51-1</f>
        <v>3.6302900314003406E-2</v>
      </c>
      <c r="J48" s="53">
        <f>'Tourism Medium DB-LCU'!M51/'Tourism Medium DB-LCU'!L51-1</f>
        <v>3.2556545549859539E-2</v>
      </c>
      <c r="K48" s="53">
        <f>'Tourism Medium DB-LCU'!N51/'Tourism Medium DB-LCU'!M51-1</f>
        <v>-2.0428817177526204E-2</v>
      </c>
      <c r="L48" s="53">
        <f>'Tourism Medium DB-LCU'!O51/'Tourism Medium DB-LCU'!N51-1</f>
        <v>7.6799383605914429E-3</v>
      </c>
      <c r="M48" s="53">
        <f>'Tourism Medium DB-LCU'!P51/'Tourism Medium DB-LCU'!O51-1</f>
        <v>2.2121577667261638E-2</v>
      </c>
      <c r="N48" s="53">
        <f>'Tourism Medium DB-LCU'!Q51/'Tourism Medium DB-LCU'!P51-1</f>
        <v>4.9193073292133072E-3</v>
      </c>
    </row>
    <row r="49" spans="1:14" ht="15" customHeight="1">
      <c r="A49" s="4" t="str">
        <f>'Tourism Medium DB-LCU'!A52</f>
        <v>Hungary</v>
      </c>
      <c r="B49" s="4" t="str">
        <f>'Tourism Medium DB-LCU'!B52</f>
        <v>Tourism Receipts &amp; Expenditure</v>
      </c>
      <c r="C49" s="4" t="str">
        <f>'Tourism Medium DB-LCU'!C52</f>
        <v>Domestic Tourist Expenditure by Sector</v>
      </c>
      <c r="D49" s="421" t="str">
        <f>'Tourism Medium DB-LCU'!D52</f>
        <v>Retail</v>
      </c>
      <c r="E49" s="4"/>
      <c r="F49" s="53">
        <f>'Tourism Medium DB-LCU'!I52/'Tourism Medium DB-LCU'!H52-1</f>
        <v>5.1627723966512384E-2</v>
      </c>
      <c r="G49" s="53">
        <f>'Tourism Medium DB-LCU'!J52/'Tourism Medium DB-LCU'!I52-1</f>
        <v>-3.4547870448995655E-2</v>
      </c>
      <c r="H49" s="53">
        <f>'Tourism Medium DB-LCU'!K52/'Tourism Medium DB-LCU'!J52-1</f>
        <v>3.8418003007916868E-2</v>
      </c>
      <c r="I49" s="53">
        <f>'Tourism Medium DB-LCU'!L52/'Tourism Medium DB-LCU'!K52-1</f>
        <v>2.2964348131744083E-2</v>
      </c>
      <c r="J49" s="53">
        <f>'Tourism Medium DB-LCU'!M52/'Tourism Medium DB-LCU'!L52-1</f>
        <v>3.3264357277647205E-2</v>
      </c>
      <c r="K49" s="53">
        <f>'Tourism Medium DB-LCU'!N52/'Tourism Medium DB-LCU'!M52-1</f>
        <v>-1.2915267519332252E-2</v>
      </c>
      <c r="L49" s="53">
        <f>'Tourism Medium DB-LCU'!O52/'Tourism Medium DB-LCU'!N52-1</f>
        <v>3.7505617121080803E-4</v>
      </c>
      <c r="M49" s="53">
        <f>'Tourism Medium DB-LCU'!P52/'Tourism Medium DB-LCU'!O52-1</f>
        <v>1.0902497755400642E-2</v>
      </c>
      <c r="N49" s="53">
        <f>'Tourism Medium DB-LCU'!Q52/'Tourism Medium DB-LCU'!P52-1</f>
        <v>8.7671274190872506E-3</v>
      </c>
    </row>
    <row r="50" spans="1:14" ht="15" customHeight="1">
      <c r="A50" s="4" t="str">
        <f>'Tourism Medium DB-LCU'!A53</f>
        <v>Hungary</v>
      </c>
      <c r="B50" s="4" t="str">
        <f>'Tourism Medium DB-LCU'!B53</f>
        <v>Tourism Receipts &amp; Expenditure</v>
      </c>
      <c r="C50" s="4" t="str">
        <f>'Tourism Medium DB-LCU'!C53</f>
        <v>Domestic Tourist Expenditure by Sector</v>
      </c>
      <c r="D50" s="421" t="str">
        <f>'Tourism Medium DB-LCU'!D53</f>
        <v>Transportation</v>
      </c>
      <c r="E50" s="4"/>
      <c r="F50" s="53">
        <f>'Tourism Medium DB-LCU'!I53/'Tourism Medium DB-LCU'!H53-1</f>
        <v>5.430782241982568E-2</v>
      </c>
      <c r="G50" s="53">
        <f>'Tourism Medium DB-LCU'!J53/'Tourism Medium DB-LCU'!I53-1</f>
        <v>-3.2808221539774807E-2</v>
      </c>
      <c r="H50" s="53">
        <f>'Tourism Medium DB-LCU'!K53/'Tourism Medium DB-LCU'!J53-1</f>
        <v>4.7762319390938002E-2</v>
      </c>
      <c r="I50" s="53">
        <f>'Tourism Medium DB-LCU'!L53/'Tourism Medium DB-LCU'!K53-1</f>
        <v>1.9886220705068958E-2</v>
      </c>
      <c r="J50" s="53">
        <f>'Tourism Medium DB-LCU'!M53/'Tourism Medium DB-LCU'!L53-1</f>
        <v>3.3990623195276015E-2</v>
      </c>
      <c r="K50" s="53">
        <f>'Tourism Medium DB-LCU'!N53/'Tourism Medium DB-LCU'!M53-1</f>
        <v>-2.0534779539416403E-2</v>
      </c>
      <c r="L50" s="53">
        <f>'Tourism Medium DB-LCU'!O53/'Tourism Medium DB-LCU'!N53-1</f>
        <v>-4.0654701869236032E-4</v>
      </c>
      <c r="M50" s="53">
        <f>'Tourism Medium DB-LCU'!P53/'Tourism Medium DB-LCU'!O53-1</f>
        <v>1.3110379212888379E-2</v>
      </c>
      <c r="N50" s="53">
        <f>'Tourism Medium DB-LCU'!Q53/'Tourism Medium DB-LCU'!P53-1</f>
        <v>4.4578125752201547E-3</v>
      </c>
    </row>
    <row r="51" spans="1:14" ht="15" customHeight="1">
      <c r="A51" s="4" t="str">
        <f>'Tourism Medium DB-LCU'!A54</f>
        <v>Hungary</v>
      </c>
      <c r="B51" s="4" t="str">
        <f>'Tourism Medium DB-LCU'!B54</f>
        <v>Tourism Receipts &amp; Expenditure</v>
      </c>
      <c r="C51" s="4" t="str">
        <f>'Tourism Medium DB-LCU'!C54</f>
        <v>Domestic Tourist Expenditure by Sector</v>
      </c>
      <c r="D51" s="421" t="str">
        <f>'Tourism Medium DB-LCU'!D54</f>
        <v>Travel Intermediation</v>
      </c>
      <c r="E51" s="4"/>
      <c r="F51" s="53">
        <f>'Tourism Medium DB-LCU'!I54/'Tourism Medium DB-LCU'!H54-1</f>
        <v>5.0015523999898281E-2</v>
      </c>
      <c r="G51" s="53">
        <f>'Tourism Medium DB-LCU'!J54/'Tourism Medium DB-LCU'!I54-1</f>
        <v>-3.8774783812843605E-2</v>
      </c>
      <c r="H51" s="53">
        <f>'Tourism Medium DB-LCU'!K54/'Tourism Medium DB-LCU'!J54-1</f>
        <v>5.303725867237441E-2</v>
      </c>
      <c r="I51" s="53">
        <f>'Tourism Medium DB-LCU'!L54/'Tourism Medium DB-LCU'!K54-1</f>
        <v>3.8354985265120378E-2</v>
      </c>
      <c r="J51" s="53">
        <f>'Tourism Medium DB-LCU'!M54/'Tourism Medium DB-LCU'!L54-1</f>
        <v>3.3266829638757489E-2</v>
      </c>
      <c r="K51" s="53">
        <f>'Tourism Medium DB-LCU'!N54/'Tourism Medium DB-LCU'!M54-1</f>
        <v>-3.2938752431990181E-3</v>
      </c>
      <c r="L51" s="53">
        <f>'Tourism Medium DB-LCU'!O54/'Tourism Medium DB-LCU'!N54-1</f>
        <v>-1.0835186208922098E-2</v>
      </c>
      <c r="M51" s="53">
        <f>'Tourism Medium DB-LCU'!P54/'Tourism Medium DB-LCU'!O54-1</f>
        <v>2.6199366299614724E-2</v>
      </c>
      <c r="N51" s="53">
        <f>'Tourism Medium DB-LCU'!Q54/'Tourism Medium DB-LCU'!P54-1</f>
        <v>9.6221979103359168E-3</v>
      </c>
    </row>
    <row r="52" spans="1:14" ht="15" customHeight="1">
      <c r="A52" s="4" t="str">
        <f>'Tourism Medium DB-LCU'!A55</f>
        <v>Hungary</v>
      </c>
      <c r="B52" s="4" t="str">
        <f>'Tourism Medium DB-LCU'!B55</f>
        <v>Tourism Receipts &amp; Expenditure</v>
      </c>
      <c r="C52" s="4" t="str">
        <f>'Tourism Medium DB-LCU'!C55</f>
        <v>Domestic Tourist Expenditure by Sector</v>
      </c>
      <c r="D52" s="421" t="str">
        <f>'Tourism Medium DB-LCU'!D55</f>
        <v>Other Sectors</v>
      </c>
      <c r="E52" s="4"/>
      <c r="F52" s="53">
        <f>'Tourism Medium DB-LCU'!I55/'Tourism Medium DB-LCU'!H55-1</f>
        <v>6.4298467800222969E-2</v>
      </c>
      <c r="G52" s="53">
        <f>'Tourism Medium DB-LCU'!J55/'Tourism Medium DB-LCU'!I55-1</f>
        <v>-3.1058798614523764E-2</v>
      </c>
      <c r="H52" s="53">
        <f>'Tourism Medium DB-LCU'!K55/'Tourism Medium DB-LCU'!J55-1</f>
        <v>4.8496671036204919E-2</v>
      </c>
      <c r="I52" s="53">
        <f>'Tourism Medium DB-LCU'!L55/'Tourism Medium DB-LCU'!K55-1</f>
        <v>3.0858947475500109E-2</v>
      </c>
      <c r="J52" s="53">
        <f>'Tourism Medium DB-LCU'!M55/'Tourism Medium DB-LCU'!L55-1</f>
        <v>4.3054111576274146E-2</v>
      </c>
      <c r="K52" s="53">
        <f>'Tourism Medium DB-LCU'!N55/'Tourism Medium DB-LCU'!M55-1</f>
        <v>-1.2169057621141177E-2</v>
      </c>
      <c r="L52" s="53">
        <f>'Tourism Medium DB-LCU'!O55/'Tourism Medium DB-LCU'!N55-1</f>
        <v>-7.0415830260125434E-3</v>
      </c>
      <c r="M52" s="53">
        <f>'Tourism Medium DB-LCU'!P55/'Tourism Medium DB-LCU'!O55-1</f>
        <v>1.8252684802944952E-2</v>
      </c>
      <c r="N52" s="53">
        <f>'Tourism Medium DB-LCU'!Q55/'Tourism Medium DB-LCU'!P55-1</f>
        <v>8.6179808886410747E-3</v>
      </c>
    </row>
    <row r="53" spans="1:14" ht="15" customHeight="1">
      <c r="A53" s="439" t="str">
        <f>'Tourism Medium DB-LCU'!A56</f>
        <v>Hungary</v>
      </c>
      <c r="B53" s="437" t="str">
        <f>'Tourism Medium DB-LCU'!B56</f>
        <v>Tourism Receipts &amp; Expenditure</v>
      </c>
      <c r="C53" s="432" t="str">
        <f>'Tourism Medium DB-LCU'!C56</f>
        <v>Inbound Tourist Expenditure by Sector</v>
      </c>
      <c r="D53" s="437"/>
      <c r="E53" s="439"/>
      <c r="F53" s="435">
        <f>'Tourism Medium DB-LCU'!I56/'Tourism Medium DB-LCU'!H56-1</f>
        <v>8.9771891096394496E-2</v>
      </c>
      <c r="G53" s="435">
        <f>'Tourism Medium DB-LCU'!J56/'Tourism Medium DB-LCU'!I56-1</f>
        <v>1.7116812964213413E-2</v>
      </c>
      <c r="H53" s="435">
        <f>'Tourism Medium DB-LCU'!K56/'Tourism Medium DB-LCU'!J56-1</f>
        <v>9.3116916166008368E-2</v>
      </c>
      <c r="I53" s="435">
        <f>'Tourism Medium DB-LCU'!L56/'Tourism Medium DB-LCU'!K56-1</f>
        <v>0.13433695610894603</v>
      </c>
      <c r="J53" s="435">
        <f>'Tourism Medium DB-LCU'!M56/'Tourism Medium DB-LCU'!L56-1</f>
        <v>8.2864213850436963E-2</v>
      </c>
      <c r="K53" s="435">
        <f>'Tourism Medium DB-LCU'!N56/'Tourism Medium DB-LCU'!M56-1</f>
        <v>7.1464757676332535E-2</v>
      </c>
      <c r="L53" s="435">
        <f>'Tourism Medium DB-LCU'!O56/'Tourism Medium DB-LCU'!N56-1</f>
        <v>7.2756720331552449E-2</v>
      </c>
      <c r="M53" s="435">
        <f>'Tourism Medium DB-LCU'!P56/'Tourism Medium DB-LCU'!O56-1</f>
        <v>6.7695104263866268E-2</v>
      </c>
      <c r="N53" s="435">
        <f>'Tourism Medium DB-LCU'!Q56/'Tourism Medium DB-LCU'!P56-1</f>
        <v>5.9364617031126832E-2</v>
      </c>
    </row>
    <row r="54" spans="1:14" ht="15" customHeight="1">
      <c r="A54" s="4" t="str">
        <f>'Tourism Medium DB-LCU'!A57</f>
        <v>Hungary</v>
      </c>
      <c r="B54" s="4" t="str">
        <f>'Tourism Medium DB-LCU'!B57</f>
        <v>Tourism Receipts &amp; Expenditure</v>
      </c>
      <c r="C54" s="4" t="str">
        <f>'Tourism Medium DB-LCU'!C57</f>
        <v>Inbound Tourist Expenditure by Sector</v>
      </c>
      <c r="D54" s="421" t="str">
        <f>'Tourism Medium DB-LCU'!D57</f>
        <v>Accommodation</v>
      </c>
      <c r="E54" s="4"/>
      <c r="F54" s="53">
        <f>'Tourism Medium DB-LCU'!I57/'Tourism Medium DB-LCU'!H57-1</f>
        <v>9.4010144567583831E-2</v>
      </c>
      <c r="G54" s="53">
        <f>'Tourism Medium DB-LCU'!J57/'Tourism Medium DB-LCU'!I57-1</f>
        <v>1.9252961694800952E-2</v>
      </c>
      <c r="H54" s="53">
        <f>'Tourism Medium DB-LCU'!K57/'Tourism Medium DB-LCU'!J57-1</f>
        <v>9.5303149998340331E-2</v>
      </c>
      <c r="I54" s="53">
        <f>'Tourism Medium DB-LCU'!L57/'Tourism Medium DB-LCU'!K57-1</f>
        <v>0.12753093437229257</v>
      </c>
      <c r="J54" s="53">
        <f>'Tourism Medium DB-LCU'!M57/'Tourism Medium DB-LCU'!L57-1</f>
        <v>9.1161416055071998E-2</v>
      </c>
      <c r="K54" s="53">
        <f>'Tourism Medium DB-LCU'!N57/'Tourism Medium DB-LCU'!M57-1</f>
        <v>6.9235686056080326E-2</v>
      </c>
      <c r="L54" s="53">
        <f>'Tourism Medium DB-LCU'!O57/'Tourism Medium DB-LCU'!N57-1</f>
        <v>6.9690873841502299E-2</v>
      </c>
      <c r="M54" s="53">
        <f>'Tourism Medium DB-LCU'!P57/'Tourism Medium DB-LCU'!O57-1</f>
        <v>6.4774706688646821E-2</v>
      </c>
      <c r="N54" s="53">
        <f>'Tourism Medium DB-LCU'!Q57/'Tourism Medium DB-LCU'!P57-1</f>
        <v>5.8339445492787911E-2</v>
      </c>
    </row>
    <row r="55" spans="1:14" ht="15" customHeight="1">
      <c r="A55" s="4" t="str">
        <f>'Tourism Medium DB-LCU'!A58</f>
        <v>Hungary</v>
      </c>
      <c r="B55" s="4" t="str">
        <f>'Tourism Medium DB-LCU'!B58</f>
        <v>Tourism Receipts &amp; Expenditure</v>
      </c>
      <c r="C55" s="4" t="str">
        <f>'Tourism Medium DB-LCU'!C58</f>
        <v>Inbound Tourist Expenditure by Sector</v>
      </c>
      <c r="D55" s="421" t="str">
        <f>'Tourism Medium DB-LCU'!D58</f>
        <v>Entertainment &amp; Sightseeing</v>
      </c>
      <c r="E55" s="4"/>
      <c r="F55" s="53">
        <f>'Tourism Medium DB-LCU'!I58/'Tourism Medium DB-LCU'!H58-1</f>
        <v>9.6184774359108438E-2</v>
      </c>
      <c r="G55" s="53">
        <f>'Tourism Medium DB-LCU'!J58/'Tourism Medium DB-LCU'!I58-1</f>
        <v>2.1212963839003729E-2</v>
      </c>
      <c r="H55" s="53">
        <f>'Tourism Medium DB-LCU'!K58/'Tourism Medium DB-LCU'!J58-1</f>
        <v>9.088673793503621E-2</v>
      </c>
      <c r="I55" s="53">
        <f>'Tourism Medium DB-LCU'!L58/'Tourism Medium DB-LCU'!K58-1</f>
        <v>0.1400086408894905</v>
      </c>
      <c r="J55" s="53">
        <f>'Tourism Medium DB-LCU'!M58/'Tourism Medium DB-LCU'!L58-1</f>
        <v>8.8840297078007113E-2</v>
      </c>
      <c r="K55" s="53">
        <f>'Tourism Medium DB-LCU'!N58/'Tourism Medium DB-LCU'!M58-1</f>
        <v>6.8149693679797396E-2</v>
      </c>
      <c r="L55" s="53">
        <f>'Tourism Medium DB-LCU'!O58/'Tourism Medium DB-LCU'!N58-1</f>
        <v>7.5476971289456962E-2</v>
      </c>
      <c r="M55" s="53">
        <f>'Tourism Medium DB-LCU'!P58/'Tourism Medium DB-LCU'!O58-1</f>
        <v>7.7079348800086711E-2</v>
      </c>
      <c r="N55" s="53">
        <f>'Tourism Medium DB-LCU'!Q58/'Tourism Medium DB-LCU'!P58-1</f>
        <v>6.32294866580696E-2</v>
      </c>
    </row>
    <row r="56" spans="1:14" ht="15" customHeight="1">
      <c r="A56" s="4" t="str">
        <f>'Tourism Medium DB-LCU'!A59</f>
        <v>Hungary</v>
      </c>
      <c r="B56" s="4" t="str">
        <f>'Tourism Medium DB-LCU'!B59</f>
        <v>Tourism Receipts &amp; Expenditure</v>
      </c>
      <c r="C56" s="4" t="str">
        <f>'Tourism Medium DB-LCU'!C59</f>
        <v>Inbound Tourist Expenditure by Sector</v>
      </c>
      <c r="D56" s="421" t="str">
        <f>'Tourism Medium DB-LCU'!D59</f>
        <v>Foodservice</v>
      </c>
      <c r="E56" s="4"/>
      <c r="F56" s="53">
        <f>'Tourism Medium DB-LCU'!I59/'Tourism Medium DB-LCU'!H59-1</f>
        <v>8.8097533136761275E-2</v>
      </c>
      <c r="G56" s="53">
        <f>'Tourism Medium DB-LCU'!J59/'Tourism Medium DB-LCU'!I59-1</f>
        <v>2.4098381767763799E-2</v>
      </c>
      <c r="H56" s="53">
        <f>'Tourism Medium DB-LCU'!K59/'Tourism Medium DB-LCU'!J59-1</f>
        <v>8.674832195878035E-2</v>
      </c>
      <c r="I56" s="53">
        <f>'Tourism Medium DB-LCU'!L59/'Tourism Medium DB-LCU'!K59-1</f>
        <v>0.13660563002116399</v>
      </c>
      <c r="J56" s="53">
        <f>'Tourism Medium DB-LCU'!M59/'Tourism Medium DB-LCU'!L59-1</f>
        <v>8.3756187706722107E-2</v>
      </c>
      <c r="K56" s="53">
        <f>'Tourism Medium DB-LCU'!N59/'Tourism Medium DB-LCU'!M59-1</f>
        <v>7.6440926384427454E-2</v>
      </c>
      <c r="L56" s="53">
        <f>'Tourism Medium DB-LCU'!O59/'Tourism Medium DB-LCU'!N59-1</f>
        <v>6.7024678031091023E-2</v>
      </c>
      <c r="M56" s="53">
        <f>'Tourism Medium DB-LCU'!P59/'Tourism Medium DB-LCU'!O59-1</f>
        <v>6.9199063980180719E-2</v>
      </c>
      <c r="N56" s="53">
        <f>'Tourism Medium DB-LCU'!Q59/'Tourism Medium DB-LCU'!P59-1</f>
        <v>6.326669586420941E-2</v>
      </c>
    </row>
    <row r="57" spans="1:14" ht="15" customHeight="1">
      <c r="A57" s="4" t="str">
        <f>'Tourism Medium DB-LCU'!A60</f>
        <v>Hungary</v>
      </c>
      <c r="B57" s="4" t="str">
        <f>'Tourism Medium DB-LCU'!B60</f>
        <v>Tourism Receipts &amp; Expenditure</v>
      </c>
      <c r="C57" s="4" t="str">
        <f>'Tourism Medium DB-LCU'!C60</f>
        <v>Inbound Tourist Expenditure by Sector</v>
      </c>
      <c r="D57" s="421" t="str">
        <f>'Tourism Medium DB-LCU'!D60</f>
        <v>Retail</v>
      </c>
      <c r="E57" s="4"/>
      <c r="F57" s="53">
        <f>'Tourism Medium DB-LCU'!I60/'Tourism Medium DB-LCU'!H60-1</f>
        <v>9.6642109441094304E-2</v>
      </c>
      <c r="G57" s="53">
        <f>'Tourism Medium DB-LCU'!J60/'Tourism Medium DB-LCU'!I60-1</f>
        <v>1.6105848067456519E-2</v>
      </c>
      <c r="H57" s="53">
        <f>'Tourism Medium DB-LCU'!K60/'Tourism Medium DB-LCU'!J60-1</f>
        <v>9.860451720033625E-2</v>
      </c>
      <c r="I57" s="53">
        <f>'Tourism Medium DB-LCU'!L60/'Tourism Medium DB-LCU'!K60-1</f>
        <v>0.12866527132840133</v>
      </c>
      <c r="J57" s="53">
        <f>'Tourism Medium DB-LCU'!M60/'Tourism Medium DB-LCU'!L60-1</f>
        <v>8.2314729215350546E-2</v>
      </c>
      <c r="K57" s="53">
        <f>'Tourism Medium DB-LCU'!N60/'Tourism Medium DB-LCU'!M60-1</f>
        <v>6.8649222652373387E-2</v>
      </c>
      <c r="L57" s="53">
        <f>'Tourism Medium DB-LCU'!O60/'Tourism Medium DB-LCU'!N60-1</f>
        <v>6.9726004371154726E-2</v>
      </c>
      <c r="M57" s="53">
        <f>'Tourism Medium DB-LCU'!P60/'Tourism Medium DB-LCU'!O60-1</f>
        <v>6.5918006222638104E-2</v>
      </c>
      <c r="N57" s="53">
        <f>'Tourism Medium DB-LCU'!Q60/'Tourism Medium DB-LCU'!P60-1</f>
        <v>5.9021206911202162E-2</v>
      </c>
    </row>
    <row r="58" spans="1:14" ht="15" customHeight="1">
      <c r="A58" s="420" t="str">
        <f>'Tourism Medium DB-LCU'!A61</f>
        <v>Hungary</v>
      </c>
      <c r="B58" s="420" t="str">
        <f>'Tourism Medium DB-LCU'!B61</f>
        <v>Tourism Receipts &amp; Expenditure</v>
      </c>
      <c r="C58" s="420" t="str">
        <f>'Tourism Medium DB-LCU'!C61</f>
        <v>Inbound Tourist Expenditure by Sector</v>
      </c>
      <c r="D58" s="421" t="str">
        <f>'Tourism Medium DB-LCU'!D61</f>
        <v>Transportation</v>
      </c>
      <c r="F58" s="53">
        <f>'Tourism Medium DB-LCU'!I61/'Tourism Medium DB-LCU'!H61-1</f>
        <v>8.675679170425199E-2</v>
      </c>
      <c r="G58" s="53">
        <f>'Tourism Medium DB-LCU'!J61/'Tourism Medium DB-LCU'!I61-1</f>
        <v>1.4531360973963681E-2</v>
      </c>
      <c r="H58" s="53">
        <f>'Tourism Medium DB-LCU'!K61/'Tourism Medium DB-LCU'!J61-1</f>
        <v>9.0863825029935175E-2</v>
      </c>
      <c r="I58" s="53">
        <f>'Tourism Medium DB-LCU'!L61/'Tourism Medium DB-LCU'!K61-1</f>
        <v>0.14227731480170847</v>
      </c>
      <c r="J58" s="53">
        <f>'Tourism Medium DB-LCU'!M61/'Tourism Medium DB-LCU'!L61-1</f>
        <v>7.8110636126958344E-2</v>
      </c>
      <c r="K58" s="53">
        <f>'Tourism Medium DB-LCU'!N61/'Tourism Medium DB-LCU'!M61-1</f>
        <v>7.3206094711431469E-2</v>
      </c>
      <c r="L58" s="53">
        <f>'Tourism Medium DB-LCU'!O61/'Tourism Medium DB-LCU'!N61-1</f>
        <v>7.8723231878939925E-2</v>
      </c>
      <c r="M58" s="53">
        <f>'Tourism Medium DB-LCU'!P61/'Tourism Medium DB-LCU'!O61-1</f>
        <v>6.9273681255206609E-2</v>
      </c>
      <c r="N58" s="53">
        <f>'Tourism Medium DB-LCU'!Q61/'Tourism Medium DB-LCU'!P61-1</f>
        <v>5.8939107827790327E-2</v>
      </c>
    </row>
    <row r="59" spans="1:14" ht="15" customHeight="1">
      <c r="A59" s="420" t="str">
        <f>'Tourism Medium DB-LCU'!A62</f>
        <v>Hungary</v>
      </c>
      <c r="B59" s="420" t="str">
        <f>'Tourism Medium DB-LCU'!B62</f>
        <v>Tourism Receipts &amp; Expenditure</v>
      </c>
      <c r="C59" s="420" t="str">
        <f>'Tourism Medium DB-LCU'!C62</f>
        <v>Inbound Tourist Expenditure by Sector</v>
      </c>
      <c r="D59" s="421" t="str">
        <f>'Tourism Medium DB-LCU'!D62</f>
        <v>Travel Intermediation</v>
      </c>
      <c r="F59" s="53">
        <f>'Tourism Medium DB-LCU'!I62/'Tourism Medium DB-LCU'!H62-1</f>
        <v>8.529477074461389E-2</v>
      </c>
      <c r="G59" s="53">
        <f>'Tourism Medium DB-LCU'!J62/'Tourism Medium DB-LCU'!I62-1</f>
        <v>1.2806125110506272E-2</v>
      </c>
      <c r="H59" s="53">
        <f>'Tourism Medium DB-LCU'!K62/'Tourism Medium DB-LCU'!J62-1</f>
        <v>8.866499036621267E-2</v>
      </c>
      <c r="I59" s="53">
        <f>'Tourism Medium DB-LCU'!L62/'Tourism Medium DB-LCU'!K62-1</f>
        <v>0.12753093437229235</v>
      </c>
      <c r="J59" s="53">
        <f>'Tourism Medium DB-LCU'!M62/'Tourism Medium DB-LCU'!L62-1</f>
        <v>9.2969387739480158E-2</v>
      </c>
      <c r="K59" s="53">
        <f>'Tourism Medium DB-LCU'!N62/'Tourism Medium DB-LCU'!M62-1</f>
        <v>6.3163721088591362E-2</v>
      </c>
      <c r="L59" s="53">
        <f>'Tourism Medium DB-LCU'!O62/'Tourism Medium DB-LCU'!N62-1</f>
        <v>8.2394824414668388E-2</v>
      </c>
      <c r="M59" s="53">
        <f>'Tourism Medium DB-LCU'!P62/'Tourism Medium DB-LCU'!O62-1</f>
        <v>7.5668545223871009E-2</v>
      </c>
      <c r="N59" s="53">
        <f>'Tourism Medium DB-LCU'!Q62/'Tourism Medium DB-LCU'!P62-1</f>
        <v>6.4368328009534626E-2</v>
      </c>
    </row>
    <row r="60" spans="1:14" ht="15" customHeight="1">
      <c r="A60" s="420" t="str">
        <f>'Tourism Medium DB-LCU'!A63</f>
        <v>Hungary</v>
      </c>
      <c r="B60" s="420" t="str">
        <f>'Tourism Medium DB-LCU'!B63</f>
        <v>Tourism Receipts &amp; Expenditure</v>
      </c>
      <c r="C60" s="420" t="str">
        <f>'Tourism Medium DB-LCU'!C63</f>
        <v>Inbound Tourist Expenditure by Sector</v>
      </c>
      <c r="D60" s="421" t="str">
        <f>'Tourism Medium DB-LCU'!D63</f>
        <v>Other Sectors</v>
      </c>
      <c r="F60" s="53">
        <f>'Tourism Medium DB-LCU'!I63/'Tourism Medium DB-LCU'!H63-1</f>
        <v>7.4827647500197658E-2</v>
      </c>
      <c r="G60" s="53">
        <f>'Tourism Medium DB-LCU'!J63/'Tourism Medium DB-LCU'!I63-1</f>
        <v>1.0850753049276962E-2</v>
      </c>
      <c r="H60" s="53">
        <f>'Tourism Medium DB-LCU'!K63/'Tourism Medium DB-LCU'!J63-1</f>
        <v>9.5791519916607504E-2</v>
      </c>
      <c r="I60" s="53">
        <f>'Tourism Medium DB-LCU'!L63/'Tourism Medium DB-LCU'!K63-1</f>
        <v>0.12518651407690151</v>
      </c>
      <c r="J60" s="53">
        <f>'Tourism Medium DB-LCU'!M63/'Tourism Medium DB-LCU'!L63-1</f>
        <v>8.6719543899458351E-2</v>
      </c>
      <c r="K60" s="53">
        <f>'Tourism Medium DB-LCU'!N63/'Tourism Medium DB-LCU'!M63-1</f>
        <v>6.7328678199334746E-2</v>
      </c>
      <c r="L60" s="53">
        <f>'Tourism Medium DB-LCU'!O63/'Tourism Medium DB-LCU'!N63-1</f>
        <v>7.5133793142142746E-2</v>
      </c>
      <c r="M60" s="53">
        <f>'Tourism Medium DB-LCU'!P63/'Tourism Medium DB-LCU'!O63-1</f>
        <v>6.5252638830144649E-2</v>
      </c>
      <c r="N60" s="53">
        <f>'Tourism Medium DB-LCU'!Q63/'Tourism Medium DB-LCU'!P63-1</f>
        <v>5.3726725313083978E-2</v>
      </c>
    </row>
    <row r="61" spans="1:14" ht="15" customHeight="1">
      <c r="A61" s="432" t="str">
        <f>'Tourism Medium DB-LCU'!A64</f>
        <v>Hungary</v>
      </c>
      <c r="B61" s="432" t="str">
        <f>'Tourism Medium DB-LCU'!B64</f>
        <v>Tourism Receipts &amp; Expenditure</v>
      </c>
      <c r="C61" s="432" t="str">
        <f>'Tourism Medium DB-LCU'!C64</f>
        <v>Total Outbound Tourist Expenditure by Sector</v>
      </c>
      <c r="D61" s="433"/>
      <c r="E61" s="436"/>
      <c r="F61" s="435">
        <f>'Tourism Medium DB-LCU'!I64/'Tourism Medium DB-LCU'!H64-1</f>
        <v>-4.1119605370543377E-2</v>
      </c>
      <c r="G61" s="435">
        <f>'Tourism Medium DB-LCU'!J64/'Tourism Medium DB-LCU'!I64-1</f>
        <v>0.15971564582350273</v>
      </c>
      <c r="H61" s="435">
        <f>'Tourism Medium DB-LCU'!K64/'Tourism Medium DB-LCU'!J64-1</f>
        <v>0.11953241897697575</v>
      </c>
      <c r="I61" s="435">
        <f>'Tourism Medium DB-LCU'!L64/'Tourism Medium DB-LCU'!K64-1</f>
        <v>0.12015559331766723</v>
      </c>
      <c r="J61" s="435">
        <f>'Tourism Medium DB-LCU'!M64/'Tourism Medium DB-LCU'!L64-1</f>
        <v>-4.8600415706243294E-2</v>
      </c>
      <c r="K61" s="435">
        <f>'Tourism Medium DB-LCU'!N64/'Tourism Medium DB-LCU'!M64-1</f>
        <v>1.9946957183633707E-2</v>
      </c>
      <c r="L61" s="435">
        <f>'Tourism Medium DB-LCU'!O64/'Tourism Medium DB-LCU'!N64-1</f>
        <v>5.1199213270454846E-2</v>
      </c>
      <c r="M61" s="435">
        <f>'Tourism Medium DB-LCU'!P64/'Tourism Medium DB-LCU'!O64-1</f>
        <v>0.14364304049860133</v>
      </c>
      <c r="N61" s="435">
        <f>'Tourism Medium DB-LCU'!Q64/'Tourism Medium DB-LCU'!P64-1</f>
        <v>0.12657731987546406</v>
      </c>
    </row>
    <row r="62" spans="1:14" ht="15" customHeight="1">
      <c r="A62" s="420" t="str">
        <f>'Tourism Medium DB-LCU'!A65</f>
        <v>Hungary</v>
      </c>
      <c r="B62" s="420" t="str">
        <f>'Tourism Medium DB-LCU'!B65</f>
        <v>Tourism Receipts &amp; Expenditure</v>
      </c>
      <c r="C62" s="420" t="str">
        <f>'Tourism Medium DB-LCU'!C65</f>
        <v>Total Outbound Tourist Expenditure by Sector</v>
      </c>
      <c r="D62" s="421" t="str">
        <f>'Tourism Medium DB-LCU'!D65</f>
        <v>Accommodation</v>
      </c>
      <c r="F62" s="53">
        <f>'Tourism Medium DB-LCU'!I65/'Tourism Medium DB-LCU'!H65-1</f>
        <v>-4.9055641979240838E-2</v>
      </c>
      <c r="G62" s="53">
        <f>'Tourism Medium DB-LCU'!J65/'Tourism Medium DB-LCU'!I65-1</f>
        <v>0.15603214519390085</v>
      </c>
      <c r="H62" s="53">
        <f>'Tourism Medium DB-LCU'!K65/'Tourism Medium DB-LCU'!J65-1</f>
        <v>0.1124979939146491</v>
      </c>
      <c r="I62" s="53">
        <f>'Tourism Medium DB-LCU'!L65/'Tourism Medium DB-LCU'!K65-1</f>
        <v>0.12314519990571471</v>
      </c>
      <c r="J62" s="53">
        <f>'Tourism Medium DB-LCU'!M65/'Tourism Medium DB-LCU'!L65-1</f>
        <v>-5.4646475590893195E-2</v>
      </c>
      <c r="K62" s="53">
        <f>'Tourism Medium DB-LCU'!N65/'Tourism Medium DB-LCU'!M65-1</f>
        <v>1.8113825446773646E-2</v>
      </c>
      <c r="L62" s="53">
        <f>'Tourism Medium DB-LCU'!O65/'Tourism Medium DB-LCU'!N65-1</f>
        <v>4.6265880794088332E-2</v>
      </c>
      <c r="M62" s="53">
        <f>'Tourism Medium DB-LCU'!P65/'Tourism Medium DB-LCU'!O65-1</f>
        <v>0.14000689092580831</v>
      </c>
      <c r="N62" s="53">
        <f>'Tourism Medium DB-LCU'!Q65/'Tourism Medium DB-LCU'!P65-1</f>
        <v>0.12009773565444015</v>
      </c>
    </row>
    <row r="63" spans="1:14" ht="14.25" customHeight="1">
      <c r="A63" s="420" t="str">
        <f>'Tourism Medium DB-LCU'!A66</f>
        <v>Hungary</v>
      </c>
      <c r="B63" s="420" t="str">
        <f>'Tourism Medium DB-LCU'!B66</f>
        <v>Tourism Receipts &amp; Expenditure</v>
      </c>
      <c r="C63" s="420" t="str">
        <f>'Tourism Medium DB-LCU'!C66</f>
        <v>Total Outbound Tourist Expenditure by Sector</v>
      </c>
      <c r="D63" s="421" t="str">
        <f>'Tourism Medium DB-LCU'!D66</f>
        <v>Entertainment &amp; Sightseeing</v>
      </c>
      <c r="F63" s="53">
        <f>'Tourism Medium DB-LCU'!I66/'Tourism Medium DB-LCU'!H66-1</f>
        <v>-3.5766854645528312E-2</v>
      </c>
      <c r="G63" s="53">
        <f>'Tourism Medium DB-LCU'!J66/'Tourism Medium DB-LCU'!I66-1</f>
        <v>0.16166107825391962</v>
      </c>
      <c r="H63" s="53">
        <f>'Tourism Medium DB-LCU'!K66/'Tourism Medium DB-LCU'!J66-1</f>
        <v>0.10487724313026892</v>
      </c>
      <c r="I63" s="53">
        <f>'Tourism Medium DB-LCU'!L66/'Tourism Medium DB-LCU'!K66-1</f>
        <v>0.11531301067901256</v>
      </c>
      <c r="J63" s="53">
        <f>'Tourism Medium DB-LCU'!M66/'Tourism Medium DB-LCU'!L66-1</f>
        <v>-5.0916266952226508E-2</v>
      </c>
      <c r="K63" s="53">
        <f>'Tourism Medium DB-LCU'!N66/'Tourism Medium DB-LCU'!M66-1</f>
        <v>1.5345122026183766E-2</v>
      </c>
      <c r="L63" s="53">
        <f>'Tourism Medium DB-LCU'!O66/'Tourism Medium DB-LCU'!N66-1</f>
        <v>4.507564209456083E-2</v>
      </c>
      <c r="M63" s="53">
        <f>'Tourism Medium DB-LCU'!P66/'Tourism Medium DB-LCU'!O66-1</f>
        <v>0.14508700446359191</v>
      </c>
      <c r="N63" s="53">
        <f>'Tourism Medium DB-LCU'!Q66/'Tourism Medium DB-LCU'!P66-1</f>
        <v>0.12603901523830796</v>
      </c>
    </row>
    <row r="64" spans="1:14" ht="14.25" customHeight="1">
      <c r="A64" s="420" t="str">
        <f>'Tourism Medium DB-LCU'!A67</f>
        <v>Hungary</v>
      </c>
      <c r="B64" s="420" t="str">
        <f>'Tourism Medium DB-LCU'!B67</f>
        <v>Tourism Receipts &amp; Expenditure</v>
      </c>
      <c r="C64" s="420" t="str">
        <f>'Tourism Medium DB-LCU'!C67</f>
        <v>Total Outbound Tourist Expenditure by Sector</v>
      </c>
      <c r="D64" s="421" t="str">
        <f>'Tourism Medium DB-LCU'!D67</f>
        <v>Foodservice</v>
      </c>
      <c r="F64" s="53">
        <f>'Tourism Medium DB-LCU'!I67/'Tourism Medium DB-LCU'!H67-1</f>
        <v>-4.5453147553688567E-2</v>
      </c>
      <c r="G64" s="53">
        <f>'Tourism Medium DB-LCU'!J67/'Tourism Medium DB-LCU'!I67-1</f>
        <v>0.16161102729703924</v>
      </c>
      <c r="H64" s="53">
        <f>'Tourism Medium DB-LCU'!K67/'Tourism Medium DB-LCU'!J67-1</f>
        <v>0.10498516608697384</v>
      </c>
      <c r="I64" s="53">
        <f>'Tourism Medium DB-LCU'!L67/'Tourism Medium DB-LCU'!K67-1</f>
        <v>0.1186480882425478</v>
      </c>
      <c r="J64" s="53">
        <f>'Tourism Medium DB-LCU'!M67/'Tourism Medium DB-LCU'!L67-1</f>
        <v>-5.5411634792536191E-2</v>
      </c>
      <c r="K64" s="53">
        <f>'Tourism Medium DB-LCU'!N67/'Tourism Medium DB-LCU'!M67-1</f>
        <v>1.3445037707588092E-2</v>
      </c>
      <c r="L64" s="53">
        <f>'Tourism Medium DB-LCU'!O67/'Tourism Medium DB-LCU'!N67-1</f>
        <v>4.7499348719289625E-2</v>
      </c>
      <c r="M64" s="53">
        <f>'Tourism Medium DB-LCU'!P67/'Tourism Medium DB-LCU'!O67-1</f>
        <v>0.1395269668426975</v>
      </c>
      <c r="N64" s="53">
        <f>'Tourism Medium DB-LCU'!Q67/'Tourism Medium DB-LCU'!P67-1</f>
        <v>0.11798343681061474</v>
      </c>
    </row>
    <row r="65" spans="1:14" ht="14.25" customHeight="1">
      <c r="A65" s="420" t="str">
        <f>'Tourism Medium DB-LCU'!A68</f>
        <v>Hungary</v>
      </c>
      <c r="B65" s="420" t="str">
        <f>'Tourism Medium DB-LCU'!B68</f>
        <v>Tourism Receipts &amp; Expenditure</v>
      </c>
      <c r="C65" s="420" t="str">
        <f>'Tourism Medium DB-LCU'!C68</f>
        <v>Total Outbound Tourist Expenditure by Sector</v>
      </c>
      <c r="D65" s="421" t="str">
        <f>'Tourism Medium DB-LCU'!D68</f>
        <v>Retail</v>
      </c>
      <c r="F65" s="53">
        <f>'Tourism Medium DB-LCU'!I68/'Tourism Medium DB-LCU'!H68-1</f>
        <v>-3.3000958534087244E-2</v>
      </c>
      <c r="G65" s="53">
        <f>'Tourism Medium DB-LCU'!J68/'Tourism Medium DB-LCU'!I68-1</f>
        <v>0.16596986169036798</v>
      </c>
      <c r="H65" s="53">
        <f>'Tourism Medium DB-LCU'!K68/'Tourism Medium DB-LCU'!J68-1</f>
        <v>0.11403783771267983</v>
      </c>
      <c r="I65" s="53">
        <f>'Tourism Medium DB-LCU'!L68/'Tourism Medium DB-LCU'!K68-1</f>
        <v>0.12870589027832047</v>
      </c>
      <c r="J65" s="53">
        <f>'Tourism Medium DB-LCU'!M68/'Tourism Medium DB-LCU'!L68-1</f>
        <v>-3.5407941048893887E-2</v>
      </c>
      <c r="K65" s="53">
        <f>'Tourism Medium DB-LCU'!N68/'Tourism Medium DB-LCU'!M68-1</f>
        <v>2.0299040936920809E-2</v>
      </c>
      <c r="L65" s="53">
        <f>'Tourism Medium DB-LCU'!O68/'Tourism Medium DB-LCU'!N68-1</f>
        <v>5.1786383622324239E-2</v>
      </c>
      <c r="M65" s="53">
        <f>'Tourism Medium DB-LCU'!P68/'Tourism Medium DB-LCU'!O68-1</f>
        <v>0.15246865533173803</v>
      </c>
      <c r="N65" s="53">
        <f>'Tourism Medium DB-LCU'!Q68/'Tourism Medium DB-LCU'!P68-1</f>
        <v>0.1324014747424922</v>
      </c>
    </row>
    <row r="66" spans="1:14" ht="14.25" customHeight="1">
      <c r="A66" s="420" t="str">
        <f>'Tourism Medium DB-LCU'!A69</f>
        <v>Hungary</v>
      </c>
      <c r="B66" s="420" t="str">
        <f>'Tourism Medium DB-LCU'!B69</f>
        <v>Tourism Receipts &amp; Expenditure</v>
      </c>
      <c r="C66" s="420" t="str">
        <f>'Tourism Medium DB-LCU'!C69</f>
        <v>Total Outbound Tourist Expenditure by Sector</v>
      </c>
      <c r="D66" s="421" t="str">
        <f>'Tourism Medium DB-LCU'!D69</f>
        <v>Transportation</v>
      </c>
      <c r="F66" s="53">
        <f>'Tourism Medium DB-LCU'!I69/'Tourism Medium DB-LCU'!H69-1</f>
        <v>4.2851762160418527E-3</v>
      </c>
      <c r="G66" s="53">
        <f>'Tourism Medium DB-LCU'!J69/'Tourism Medium DB-LCU'!I69-1</f>
        <v>0.14808171277711257</v>
      </c>
      <c r="H66" s="53">
        <f>'Tourism Medium DB-LCU'!K69/'Tourism Medium DB-LCU'!J69-1</f>
        <v>0.18586580683498033</v>
      </c>
      <c r="I66" s="53">
        <f>'Tourism Medium DB-LCU'!L69/'Tourism Medium DB-LCU'!K69-1</f>
        <v>0.11402047321693987</v>
      </c>
      <c r="J66" s="53">
        <f>'Tourism Medium DB-LCU'!M69/'Tourism Medium DB-LCU'!L69-1</f>
        <v>-2.4271624929907532E-2</v>
      </c>
      <c r="K66" s="53">
        <f>'Tourism Medium DB-LCU'!N69/'Tourism Medium DB-LCU'!M69-1</f>
        <v>3.2493602621279871E-2</v>
      </c>
      <c r="L66" s="53">
        <f>'Tourism Medium DB-LCU'!O69/'Tourism Medium DB-LCU'!N69-1</f>
        <v>6.7689996774648931E-2</v>
      </c>
      <c r="M66" s="53">
        <f>'Tourism Medium DB-LCU'!P69/'Tourism Medium DB-LCU'!O69-1</f>
        <v>0.14764408505528714</v>
      </c>
      <c r="N66" s="53">
        <f>'Tourism Medium DB-LCU'!Q69/'Tourism Medium DB-LCU'!P69-1</f>
        <v>0.15209228621740079</v>
      </c>
    </row>
    <row r="67" spans="1:14" ht="14.25" customHeight="1">
      <c r="A67" s="420" t="str">
        <f>'Tourism Medium DB-LCU'!A70</f>
        <v>Hungary</v>
      </c>
      <c r="B67" s="420" t="str">
        <f>'Tourism Medium DB-LCU'!B70</f>
        <v>Tourism Receipts &amp; Expenditure</v>
      </c>
      <c r="C67" s="420" t="str">
        <f>'Tourism Medium DB-LCU'!C70</f>
        <v>Total Outbound Tourist Expenditure by Sector</v>
      </c>
      <c r="D67" s="421" t="str">
        <f>'Tourism Medium DB-LCU'!D70</f>
        <v>Travel Intermediation</v>
      </c>
      <c r="F67" s="53">
        <f>'Tourism Medium DB-LCU'!I70/'Tourism Medium DB-LCU'!H70-1</f>
        <v>-4.8958681538125437E-2</v>
      </c>
      <c r="G67" s="53">
        <f>'Tourism Medium DB-LCU'!J70/'Tourism Medium DB-LCU'!I70-1</f>
        <v>0.16746607636820654</v>
      </c>
      <c r="H67" s="53">
        <f>'Tourism Medium DB-LCU'!K70/'Tourism Medium DB-LCU'!J70-1</f>
        <v>0.11057014057545755</v>
      </c>
      <c r="I67" s="53">
        <f>'Tourism Medium DB-LCU'!L70/'Tourism Medium DB-LCU'!K70-1</f>
        <v>0.11685133920226631</v>
      </c>
      <c r="J67" s="53">
        <f>'Tourism Medium DB-LCU'!M70/'Tourism Medium DB-LCU'!L70-1</f>
        <v>-5.482186071624906E-2</v>
      </c>
      <c r="K67" s="53">
        <f>'Tourism Medium DB-LCU'!N70/'Tourism Medium DB-LCU'!M70-1</f>
        <v>1.9826308374130797E-2</v>
      </c>
      <c r="L67" s="53">
        <f>'Tourism Medium DB-LCU'!O70/'Tourism Medium DB-LCU'!N70-1</f>
        <v>4.8224961658213328E-2</v>
      </c>
      <c r="M67" s="53">
        <f>'Tourism Medium DB-LCU'!P70/'Tourism Medium DB-LCU'!O70-1</f>
        <v>0.14811488163413267</v>
      </c>
      <c r="N67" s="53">
        <f>'Tourism Medium DB-LCU'!Q70/'Tourism Medium DB-LCU'!P70-1</f>
        <v>0.12020138761379551</v>
      </c>
    </row>
    <row r="68" spans="1:14" ht="14.25" customHeight="1">
      <c r="A68" s="420" t="str">
        <f>'Tourism Medium DB-LCU'!A71</f>
        <v>Hungary</v>
      </c>
      <c r="B68" s="420" t="str">
        <f>'Tourism Medium DB-LCU'!B71</f>
        <v>Tourism Receipts &amp; Expenditure</v>
      </c>
      <c r="C68" s="420" t="str">
        <f>'Tourism Medium DB-LCU'!C71</f>
        <v>Total Outbound Tourist Expenditure by Sector</v>
      </c>
      <c r="D68" s="421" t="str">
        <f>'Tourism Medium DB-LCU'!D71</f>
        <v>Other Sectors</v>
      </c>
      <c r="F68" s="53">
        <f>'Tourism Medium DB-LCU'!I71/'Tourism Medium DB-LCU'!H71-1</f>
        <v>-6.8316126468516924E-2</v>
      </c>
      <c r="G68" s="53">
        <f>'Tourism Medium DB-LCU'!J71/'Tourism Medium DB-LCU'!I71-1</f>
        <v>0.15439875103617018</v>
      </c>
      <c r="H68" s="53">
        <f>'Tourism Medium DB-LCU'!K71/'Tourism Medium DB-LCU'!J71-1</f>
        <v>0.1451523560043575</v>
      </c>
      <c r="I68" s="53">
        <f>'Tourism Medium DB-LCU'!L71/'Tourism Medium DB-LCU'!K71-1</f>
        <v>0.11187880545144879</v>
      </c>
      <c r="J68" s="53">
        <f>'Tourism Medium DB-LCU'!M71/'Tourism Medium DB-LCU'!L71-1</f>
        <v>-5.6094531727245878E-2</v>
      </c>
      <c r="K68" s="53">
        <f>'Tourism Medium DB-LCU'!N71/'Tourism Medium DB-LCU'!M71-1</f>
        <v>3.1764306215148252E-2</v>
      </c>
      <c r="L68" s="53">
        <f>'Tourism Medium DB-LCU'!O71/'Tourism Medium DB-LCU'!N71-1</f>
        <v>7.1315993518549892E-2</v>
      </c>
      <c r="M68" s="53">
        <f>'Tourism Medium DB-LCU'!P71/'Tourism Medium DB-LCU'!O71-1</f>
        <v>0.13043160854226832</v>
      </c>
      <c r="N68" s="53">
        <f>'Tourism Medium DB-LCU'!Q71/'Tourism Medium DB-LCU'!P71-1</f>
        <v>0.13930298365785743</v>
      </c>
    </row>
    <row r="69" spans="1:14" ht="14.25" customHeight="1">
      <c r="A69" s="437" t="str">
        <f>'Tourism Medium DB-LCU'!A72</f>
        <v>Hungary</v>
      </c>
      <c r="B69" s="437" t="str">
        <f>'Tourism Medium DB-LCU'!B72</f>
        <v>Tourism Receipts &amp; Expenditure</v>
      </c>
      <c r="C69" s="433" t="str">
        <f>'Tourism Medium DB-LCU'!C72</f>
        <v>Outbound Tourist Expenditure by Location of Provider</v>
      </c>
      <c r="D69" s="436"/>
      <c r="E69" s="436"/>
      <c r="F69" s="435">
        <f>'Tourism Medium DB-LCU'!I72/'Tourism Medium DB-LCU'!H72-1</f>
        <v>-4.1119605370543377E-2</v>
      </c>
      <c r="G69" s="435">
        <f>'Tourism Medium DB-LCU'!J72/'Tourism Medium DB-LCU'!I72-1</f>
        <v>0.15971564582350273</v>
      </c>
      <c r="H69" s="435">
        <f>'Tourism Medium DB-LCU'!K72/'Tourism Medium DB-LCU'!J72-1</f>
        <v>0.11953241897697575</v>
      </c>
      <c r="I69" s="435">
        <f>'Tourism Medium DB-LCU'!L72/'Tourism Medium DB-LCU'!K72-1</f>
        <v>0.12015559331766723</v>
      </c>
      <c r="J69" s="435">
        <f>'Tourism Medium DB-LCU'!M72/'Tourism Medium DB-LCU'!L72-1</f>
        <v>-4.8600415706243294E-2</v>
      </c>
      <c r="K69" s="435">
        <f>'Tourism Medium DB-LCU'!N72/'Tourism Medium DB-LCU'!M72-1</f>
        <v>1.9946957183633707E-2</v>
      </c>
      <c r="L69" s="435">
        <f>'Tourism Medium DB-LCU'!O72/'Tourism Medium DB-LCU'!N72-1</f>
        <v>5.1199213270454846E-2</v>
      </c>
      <c r="M69" s="435">
        <f>'Tourism Medium DB-LCU'!P72/'Tourism Medium DB-LCU'!O72-1</f>
        <v>0.14364304049860133</v>
      </c>
      <c r="N69" s="435">
        <f>'Tourism Medium DB-LCU'!Q72/'Tourism Medium DB-LCU'!P72-1</f>
        <v>0.12657731987546406</v>
      </c>
    </row>
    <row r="70" spans="1:14" ht="14.25" customHeight="1">
      <c r="A70" s="420" t="str">
        <f>'Tourism Medium DB-LCU'!A73</f>
        <v>Hungary</v>
      </c>
      <c r="B70" s="420" t="str">
        <f>'Tourism Medium DB-LCU'!B73</f>
        <v>Tourism Receipts &amp; Expenditure</v>
      </c>
      <c r="C70" s="420" t="str">
        <f>'Tourism Medium DB-LCU'!C73</f>
        <v>Outbound Tourist Expenditure by Location of Provider</v>
      </c>
      <c r="D70" s="421" t="str">
        <f>'Tourism Medium DB-LCU'!D73</f>
        <v>Domestic Providers</v>
      </c>
      <c r="F70" s="53">
        <f>'Tourism Medium DB-LCU'!I73/'Tourism Medium DB-LCU'!H73-1</f>
        <v>-0.11060897999133323</v>
      </c>
      <c r="G70" s="53">
        <f>'Tourism Medium DB-LCU'!J73/'Tourism Medium DB-LCU'!I73-1</f>
        <v>1.1702497079349117E-2</v>
      </c>
      <c r="H70" s="53">
        <f>'Tourism Medium DB-LCU'!K73/'Tourism Medium DB-LCU'!J73-1</f>
        <v>6.17576287962045E-2</v>
      </c>
      <c r="I70" s="53">
        <f>'Tourism Medium DB-LCU'!L73/'Tourism Medium DB-LCU'!K73-1</f>
        <v>4.2095246550670762E-3</v>
      </c>
      <c r="J70" s="53">
        <f>'Tourism Medium DB-LCU'!M73/'Tourism Medium DB-LCU'!L73-1</f>
        <v>-9.2441178242842148E-2</v>
      </c>
      <c r="K70" s="53">
        <f>'Tourism Medium DB-LCU'!N73/'Tourism Medium DB-LCU'!M73-1</f>
        <v>-5.3582324639370515E-2</v>
      </c>
      <c r="L70" s="53">
        <f>'Tourism Medium DB-LCU'!O73/'Tourism Medium DB-LCU'!N73-1</f>
        <v>-2.5817942307750696E-2</v>
      </c>
      <c r="M70" s="53">
        <f>'Tourism Medium DB-LCU'!P73/'Tourism Medium DB-LCU'!O73-1</f>
        <v>5.8213471624680491E-2</v>
      </c>
      <c r="N70" s="53">
        <f>'Tourism Medium DB-LCU'!Q73/'Tourism Medium DB-LCU'!P73-1</f>
        <v>4.6027515381465545E-2</v>
      </c>
    </row>
    <row r="71" spans="1:14" ht="14.25" customHeight="1">
      <c r="A71" s="420" t="str">
        <f>'Tourism Medium DB-LCU'!A74</f>
        <v>Hungary</v>
      </c>
      <c r="B71" s="420" t="str">
        <f>'Tourism Medium DB-LCU'!B74</f>
        <v>Tourism Receipts &amp; Expenditure</v>
      </c>
      <c r="C71" s="420" t="str">
        <f>'Tourism Medium DB-LCU'!C74</f>
        <v>Outbound Tourist Expenditure by Location of Provider</v>
      </c>
      <c r="D71" s="421" t="str">
        <f>'Tourism Medium DB-LCU'!D74</f>
        <v>International Providers</v>
      </c>
      <c r="F71" s="53">
        <f>'Tourism Medium DB-LCU'!I74/'Tourism Medium DB-LCU'!H74-1</f>
        <v>-4.0523300873753776E-2</v>
      </c>
      <c r="G71" s="53">
        <f>'Tourism Medium DB-LCU'!J74/'Tourism Medium DB-LCU'!I74-1</f>
        <v>0.16089300313904586</v>
      </c>
      <c r="H71" s="53">
        <f>'Tourism Medium DB-LCU'!K74/'Tourism Medium DB-LCU'!J74-1</f>
        <v>0.11993292310265713</v>
      </c>
      <c r="I71" s="53">
        <f>'Tourism Medium DB-LCU'!L74/'Tourism Medium DB-LCU'!K74-1</f>
        <v>0.12091759867237428</v>
      </c>
      <c r="J71" s="53">
        <f>'Tourism Medium DB-LCU'!M74/'Tourism Medium DB-LCU'!L74-1</f>
        <v>-4.8342290305490865E-2</v>
      </c>
      <c r="K71" s="53">
        <f>'Tourism Medium DB-LCU'!N74/'Tourism Medium DB-LCU'!M74-1</f>
        <v>2.0359821149851687E-2</v>
      </c>
      <c r="L71" s="53">
        <f>'Tourism Medium DB-LCU'!O74/'Tourism Medium DB-LCU'!N74-1</f>
        <v>5.1600323395563752E-2</v>
      </c>
      <c r="M71" s="53">
        <f>'Tourism Medium DB-LCU'!P74/'Tourism Medium DB-LCU'!O74-1</f>
        <v>0.14405520803276173</v>
      </c>
      <c r="N71" s="53">
        <f>'Tourism Medium DB-LCU'!Q74/'Tourism Medium DB-LCU'!P74-1</f>
        <v>0.12693678466749203</v>
      </c>
    </row>
    <row r="72" spans="1:14" ht="14.25" customHeight="1">
      <c r="A72" s="437" t="str">
        <f>'Tourism Medium DB-LCU'!A75</f>
        <v>Hungary</v>
      </c>
      <c r="B72" s="437" t="str">
        <f>'Tourism Medium DB-LCU'!B75</f>
        <v>Tourism Receipts &amp; Expenditure</v>
      </c>
      <c r="C72" s="433" t="str">
        <f>'Tourism Medium DB-LCU'!C75</f>
        <v>Tourism Balance of Payments</v>
      </c>
      <c r="D72" s="436"/>
      <c r="E72" s="436"/>
      <c r="F72" s="435">
        <f>'Tourism Medium DB-LCU'!I75/'Tourism Medium DB-LCU'!H75-1</f>
        <v>-4.4385125294820083E-2</v>
      </c>
      <c r="G72" s="435">
        <f>'Tourism Medium DB-LCU'!J75/'Tourism Medium DB-LCU'!I75-1</f>
        <v>0.16575263987555111</v>
      </c>
      <c r="H72" s="435">
        <f>'Tourism Medium DB-LCU'!K75/'Tourism Medium DB-LCU'!J75-1</f>
        <v>0.12072373896165955</v>
      </c>
      <c r="I72" s="435">
        <f>'Tourism Medium DB-LCU'!L75/'Tourism Medium DB-LCU'!K75-1</f>
        <v>0.12053160425316456</v>
      </c>
      <c r="J72" s="435">
        <f>'Tourism Medium DB-LCU'!M75/'Tourism Medium DB-LCU'!L75-1</f>
        <v>-5.2162811737724857E-2</v>
      </c>
      <c r="K72" s="435">
        <f>'Tourism Medium DB-LCU'!N75/'Tourism Medium DB-LCU'!M75-1</f>
        <v>1.8659737124801845E-2</v>
      </c>
      <c r="L72" s="435">
        <f>'Tourism Medium DB-LCU'!O75/'Tourism Medium DB-LCU'!N75-1</f>
        <v>5.0860040031269094E-2</v>
      </c>
      <c r="M72" s="435">
        <f>'Tourism Medium DB-LCU'!P75/'Tourism Medium DB-LCU'!O75-1</f>
        <v>0.14678279847041353</v>
      </c>
      <c r="N72" s="435">
        <f>'Tourism Medium DB-LCU'!Q75/'Tourism Medium DB-LCU'!P75-1</f>
        <v>0.12918400979075773</v>
      </c>
    </row>
    <row r="73" spans="1:14" ht="14.25" customHeight="1">
      <c r="A73" s="1" t="str">
        <f>'Tourism Medium DB-LCU'!A76</f>
        <v>Hungary</v>
      </c>
      <c r="B73" s="1" t="str">
        <f>'Tourism Medium DB-LCU'!B76</f>
        <v>Tourism Spend Factors</v>
      </c>
      <c r="F73" s="53"/>
      <c r="G73" s="53"/>
      <c r="H73" s="53"/>
      <c r="I73" s="53"/>
      <c r="J73" s="53"/>
      <c r="K73" s="53"/>
      <c r="L73" s="53"/>
      <c r="M73" s="53"/>
      <c r="N73" s="53"/>
    </row>
    <row r="74" spans="1:14" ht="14.25" customHeight="1">
      <c r="A74" s="437" t="str">
        <f>'Tourism Medium DB-LCU'!A77</f>
        <v>Hungary</v>
      </c>
      <c r="B74" s="437" t="str">
        <f>'Tourism Medium DB-LCU'!B77</f>
        <v>Tourism Spend Factors</v>
      </c>
      <c r="C74" s="433" t="str">
        <f>'Tourism Medium DB-LCU'!C77</f>
        <v>Average National Tourism Spend per Day of Trip</v>
      </c>
      <c r="D74" s="438"/>
      <c r="E74" s="438"/>
      <c r="F74" s="435"/>
      <c r="G74" s="435"/>
      <c r="H74" s="435"/>
      <c r="I74" s="435"/>
      <c r="J74" s="435"/>
      <c r="K74" s="435"/>
      <c r="L74" s="435"/>
      <c r="M74" s="435"/>
      <c r="N74" s="435"/>
    </row>
    <row r="75" spans="1:14" ht="14.25" customHeight="1">
      <c r="A75" s="420" t="str">
        <f>'Tourism Medium DB-LCU'!A78</f>
        <v>Hungary</v>
      </c>
      <c r="B75" s="420" t="str">
        <f>'Tourism Medium DB-LCU'!B78</f>
        <v>Tourism Spend Factors</v>
      </c>
      <c r="C75" s="420" t="str">
        <f>'Tourism Medium DB-LCU'!C78</f>
        <v>Average National Tourism Spend per Day of Trip</v>
      </c>
      <c r="D75" s="421" t="str">
        <f>'Tourism Medium DB-LCU'!D78</f>
        <v>Domestic Trips</v>
      </c>
      <c r="E75" s="422"/>
      <c r="F75" s="53">
        <f>'Tourism Medium DB-LCU'!I78/'Tourism Medium DB-LCU'!H78-1</f>
        <v>7.8327495425576821E-2</v>
      </c>
      <c r="G75" s="53">
        <f>'Tourism Medium DB-LCU'!J78/'Tourism Medium DB-LCU'!I78-1</f>
        <v>-0.18663497378409688</v>
      </c>
      <c r="H75" s="53">
        <f>'Tourism Medium DB-LCU'!K78/'Tourism Medium DB-LCU'!J78-1</f>
        <v>5.9334686068819975E-2</v>
      </c>
      <c r="I75" s="53">
        <f>'Tourism Medium DB-LCU'!L78/'Tourism Medium DB-LCU'!K78-1</f>
        <v>-2.0025020023021312E-2</v>
      </c>
      <c r="J75" s="53">
        <f>'Tourism Medium DB-LCU'!M78/'Tourism Medium DB-LCU'!L78-1</f>
        <v>7.5061188283054303E-2</v>
      </c>
      <c r="K75" s="53">
        <f>'Tourism Medium DB-LCU'!N78/'Tourism Medium DB-LCU'!M78-1</f>
        <v>-5.9703961199032984E-2</v>
      </c>
      <c r="L75" s="53">
        <f>'Tourism Medium DB-LCU'!O78/'Tourism Medium DB-LCU'!N78-1</f>
        <v>-1.582815028109763E-2</v>
      </c>
      <c r="M75" s="53">
        <f>'Tourism Medium DB-LCU'!P78/'Tourism Medium DB-LCU'!O78-1</f>
        <v>-1.5078541736680218E-2</v>
      </c>
      <c r="N75" s="53">
        <f>'Tourism Medium DB-LCU'!Q78/'Tourism Medium DB-LCU'!P78-1</f>
        <v>-9.1550119742076497E-3</v>
      </c>
    </row>
    <row r="76" spans="1:14" ht="14.25" customHeight="1">
      <c r="A76" s="420" t="str">
        <f>'Tourism Medium DB-LCU'!A79</f>
        <v>Hungary</v>
      </c>
      <c r="B76" s="420" t="str">
        <f>'Tourism Medium DB-LCU'!B79</f>
        <v>Tourism Spend Factors</v>
      </c>
      <c r="C76" s="420" t="str">
        <f>'Tourism Medium DB-LCU'!C79</f>
        <v>Average National Tourism Spend per Day of Trip</v>
      </c>
      <c r="D76" s="421" t="str">
        <f>'Tourism Medium DB-LCU'!D79</f>
        <v>International Trips</v>
      </c>
      <c r="E76" s="422"/>
      <c r="F76" s="53">
        <f>'Tourism Medium DB-LCU'!I79/'Tourism Medium DB-LCU'!H79-1</f>
        <v>6.1249107211011733E-2</v>
      </c>
      <c r="G76" s="53">
        <f>'Tourism Medium DB-LCU'!J79/'Tourism Medium DB-LCU'!I79-1</f>
        <v>6.0909651020436772E-2</v>
      </c>
      <c r="H76" s="53">
        <f>'Tourism Medium DB-LCU'!K79/'Tourism Medium DB-LCU'!J79-1</f>
        <v>1.6397084766581749E-2</v>
      </c>
      <c r="I76" s="53">
        <f>'Tourism Medium DB-LCU'!L79/'Tourism Medium DB-LCU'!K79-1</f>
        <v>8.9132016406837655E-2</v>
      </c>
      <c r="J76" s="53">
        <f>'Tourism Medium DB-LCU'!M79/'Tourism Medium DB-LCU'!L79-1</f>
        <v>1.1777658613598696E-4</v>
      </c>
      <c r="K76" s="53">
        <f>'Tourism Medium DB-LCU'!N79/'Tourism Medium DB-LCU'!M79-1</f>
        <v>1.8466642693587332E-2</v>
      </c>
      <c r="L76" s="53">
        <f>'Tourism Medium DB-LCU'!O79/'Tourism Medium DB-LCU'!N79-1</f>
        <v>-3.6051482681029867E-2</v>
      </c>
      <c r="M76" s="53">
        <f>'Tourism Medium DB-LCU'!P79/'Tourism Medium DB-LCU'!O79-1</f>
        <v>4.0912045609057479E-2</v>
      </c>
      <c r="N76" s="53">
        <f>'Tourism Medium DB-LCU'!Q79/'Tourism Medium DB-LCU'!P79-1</f>
        <v>5.6783957136569141E-2</v>
      </c>
    </row>
    <row r="77" spans="1:14" ht="14.25" customHeight="1">
      <c r="A77" s="437" t="str">
        <f>'Tourism Medium DB-LCU'!A80</f>
        <v>Hungary</v>
      </c>
      <c r="B77" s="437" t="str">
        <f>'Tourism Medium DB-LCU'!B80</f>
        <v>Tourism Spend Factors</v>
      </c>
      <c r="C77" s="433" t="str">
        <f>'Tourism Medium DB-LCU'!C80</f>
        <v>Percentage of Total Resident Income Spent on Tourism</v>
      </c>
      <c r="D77" s="438"/>
      <c r="E77" s="438"/>
      <c r="F77" s="435">
        <f>'Tourism Medium DB-LCU'!I80/'Tourism Medium DB-LCU'!H80-1</f>
        <v>-4.9747632979681322E-2</v>
      </c>
      <c r="G77" s="435">
        <f>'Tourism Medium DB-LCU'!J80/'Tourism Medium DB-LCU'!I80-1</f>
        <v>2.133194761324142E-2</v>
      </c>
      <c r="H77" s="435">
        <f>'Tourism Medium DB-LCU'!K80/'Tourism Medium DB-LCU'!J80-1</f>
        <v>-6.831097141088982E-3</v>
      </c>
      <c r="I77" s="435">
        <f>'Tourism Medium DB-LCU'!L80/'Tourism Medium DB-LCU'!K80-1</f>
        <v>2.2989689120436196E-3</v>
      </c>
      <c r="J77" s="435">
        <f>'Tourism Medium DB-LCU'!M80/'Tourism Medium DB-LCU'!L80-1</f>
        <v>-6.9478133631601713E-2</v>
      </c>
      <c r="K77" s="435">
        <f>'Tourism Medium DB-LCU'!N80/'Tourism Medium DB-LCU'!M80-1</f>
        <v>8.9847733937624685E-3</v>
      </c>
      <c r="L77" s="435">
        <f>'Tourism Medium DB-LCU'!O80/'Tourism Medium DB-LCU'!N80-1</f>
        <v>6.1965499631206233E-2</v>
      </c>
      <c r="M77" s="435">
        <f>'Tourism Medium DB-LCU'!P80/'Tourism Medium DB-LCU'!O80-1</f>
        <v>0.14317955708353014</v>
      </c>
      <c r="N77" s="435">
        <f>'Tourism Medium DB-LCU'!Q80/'Tourism Medium DB-LCU'!P80-1</f>
        <v>0.10871174990072152</v>
      </c>
    </row>
    <row r="78" spans="1:14" ht="14.25" customHeight="1">
      <c r="A78" s="420" t="str">
        <f>'Tourism Medium DB-LCU'!A81</f>
        <v>Hungary</v>
      </c>
      <c r="B78" s="420" t="str">
        <f>'Tourism Medium DB-LCU'!B81</f>
        <v>Tourism Spend Factors</v>
      </c>
      <c r="C78" s="420" t="str">
        <f>'Tourism Medium DB-LCU'!C81</f>
        <v>Percentage of Total Resident Income Spent on Tourism</v>
      </c>
      <c r="D78" s="421" t="str">
        <f>'Tourism Medium DB-LCU'!D81</f>
        <v>Domestic Trips</v>
      </c>
      <c r="E78" s="422"/>
      <c r="F78" s="53">
        <f>'Tourism Medium DB-LCU'!I81/'Tourism Medium DB-LCU'!H81-1</f>
        <v>4.2043586664388677E-2</v>
      </c>
      <c r="G78" s="53">
        <f>'Tourism Medium DB-LCU'!J81/'Tourism Medium DB-LCU'!I81-1</f>
        <v>-0.14191371175596867</v>
      </c>
      <c r="H78" s="53">
        <f>'Tourism Medium DB-LCU'!K81/'Tourism Medium DB-LCU'!J81-1</f>
        <v>-7.0685609910829172E-2</v>
      </c>
      <c r="I78" s="53">
        <f>'Tourism Medium DB-LCU'!L81/'Tourism Medium DB-LCU'!K81-1</f>
        <v>-7.8941136880180229E-2</v>
      </c>
      <c r="J78" s="53">
        <f>'Tourism Medium DB-LCU'!M81/'Tourism Medium DB-LCU'!L81-1</f>
        <v>8.4748403473313694E-3</v>
      </c>
      <c r="K78" s="53">
        <f>'Tourism Medium DB-LCU'!N81/'Tourism Medium DB-LCU'!M81-1</f>
        <v>-2.6128479337847454E-2</v>
      </c>
      <c r="L78" s="53">
        <f>'Tourism Medium DB-LCU'!O81/'Tourism Medium DB-LCU'!N81-1</f>
        <v>1.1391517413229746E-2</v>
      </c>
      <c r="M78" s="53">
        <f>'Tourism Medium DB-LCU'!P81/'Tourism Medium DB-LCU'!O81-1</f>
        <v>1.906869213493656E-2</v>
      </c>
      <c r="N78" s="53">
        <f>'Tourism Medium DB-LCU'!Q81/'Tourism Medium DB-LCU'!P81-1</f>
        <v>-6.6754002821327596E-3</v>
      </c>
    </row>
    <row r="79" spans="1:14" ht="14.25" customHeight="1">
      <c r="A79" s="420" t="str">
        <f>'Tourism Medium DB-LCU'!A82</f>
        <v>Hungary</v>
      </c>
      <c r="B79" s="420" t="str">
        <f>'Tourism Medium DB-LCU'!B82</f>
        <v>Tourism Spend Factors</v>
      </c>
      <c r="C79" s="420" t="str">
        <f>'Tourism Medium DB-LCU'!C82</f>
        <v>Percentage of Total Resident Income Spent on Tourism</v>
      </c>
      <c r="D79" s="421" t="str">
        <f>'Tourism Medium DB-LCU'!D82</f>
        <v>International Trips</v>
      </c>
      <c r="E79" s="422"/>
      <c r="F79" s="53">
        <f>'Tourism Medium DB-LCU'!I82/'Tourism Medium DB-LCU'!H82-1</f>
        <v>-5.4025927363069437E-2</v>
      </c>
      <c r="G79" s="53">
        <f>'Tourism Medium DB-LCU'!J82/'Tourism Medium DB-LCU'!I82-1</f>
        <v>2.9713371743687045E-2</v>
      </c>
      <c r="H79" s="53">
        <f>'Tourism Medium DB-LCU'!K82/'Tourism Medium DB-LCU'!J82-1</f>
        <v>-4.0990865357989348E-3</v>
      </c>
      <c r="I79" s="53">
        <f>'Tourism Medium DB-LCU'!L82/'Tourism Medium DB-LCU'!K82-1</f>
        <v>5.5424233163092751E-3</v>
      </c>
      <c r="J79" s="53">
        <f>'Tourism Medium DB-LCU'!M82/'Tourism Medium DB-LCU'!L82-1</f>
        <v>-7.2328869587391154E-2</v>
      </c>
      <c r="K79" s="53">
        <f>'Tourism Medium DB-LCU'!N82/'Tourism Medium DB-LCU'!M82-1</f>
        <v>1.0380712242329393E-2</v>
      </c>
      <c r="L79" s="53">
        <f>'Tourism Medium DB-LCU'!O82/'Tourism Medium DB-LCU'!N82-1</f>
        <v>6.3903434163251616E-2</v>
      </c>
      <c r="M79" s="53">
        <f>'Tourism Medium DB-LCU'!P82/'Tourism Medium DB-LCU'!O82-1</f>
        <v>0.14770060227701265</v>
      </c>
      <c r="N79" s="53">
        <f>'Tourism Medium DB-LCU'!Q82/'Tourism Medium DB-LCU'!P82-1</f>
        <v>0.11244391926179675</v>
      </c>
    </row>
    <row r="80" spans="1:14" ht="14.25" customHeight="1">
      <c r="A80" s="437" t="str">
        <f>'Tourism Medium DB-LCU'!A83</f>
        <v>Hungary</v>
      </c>
      <c r="B80" s="437" t="str">
        <f>'Tourism Medium DB-LCU'!B83</f>
        <v>Tourism Spend Factors</v>
      </c>
      <c r="C80" s="433" t="str">
        <f>'Tourism Medium DB-LCU'!C83</f>
        <v>Total National Tourism Expenditure by Tourist Destination</v>
      </c>
      <c r="D80" s="438"/>
      <c r="E80" s="438"/>
      <c r="F80" s="435">
        <f>'Tourism Medium DB-LCU'!I83/'Tourism Medium DB-LCU'!H83-1</f>
        <v>-3.6782940418142784E-2</v>
      </c>
      <c r="G80" s="435">
        <f>'Tourism Medium DB-LCU'!J83/'Tourism Medium DB-LCU'!I83-1</f>
        <v>0.15027605907529851</v>
      </c>
      <c r="H80" s="435">
        <f>'Tourism Medium DB-LCU'!K83/'Tourism Medium DB-LCU'!J83-1</f>
        <v>0.11646125557079712</v>
      </c>
      <c r="I80" s="435">
        <f>'Tourism Medium DB-LCU'!L83/'Tourism Medium DB-LCU'!K83-1</f>
        <v>0.11654244532076152</v>
      </c>
      <c r="J80" s="435">
        <f>'Tourism Medium DB-LCU'!M83/'Tourism Medium DB-LCU'!L83-1</f>
        <v>-4.5676762145888228E-2</v>
      </c>
      <c r="K80" s="435">
        <f>'Tourism Medium DB-LCU'!N83/'Tourism Medium DB-LCU'!M83-1</f>
        <v>1.8537801640818197E-2</v>
      </c>
      <c r="L80" s="435">
        <f>'Tourism Medium DB-LCU'!O83/'Tourism Medium DB-LCU'!N83-1</f>
        <v>4.928441988785992E-2</v>
      </c>
      <c r="M80" s="435">
        <f>'Tourism Medium DB-LCU'!P83/'Tourism Medium DB-LCU'!O83-1</f>
        <v>0.13913797893372326</v>
      </c>
      <c r="N80" s="435">
        <f>'Tourism Medium DB-LCU'!Q83/'Tourism Medium DB-LCU'!P83-1</f>
        <v>0.12279773397156357</v>
      </c>
    </row>
    <row r="81" spans="1:14" ht="14.25" customHeight="1">
      <c r="A81" s="420" t="str">
        <f>'Tourism Medium DB-LCU'!A84</f>
        <v>Hungary</v>
      </c>
      <c r="B81" s="420" t="str">
        <f>'Tourism Medium DB-LCU'!B84</f>
        <v>Tourism Spend Factors</v>
      </c>
      <c r="C81" s="420" t="str">
        <f>'Tourism Medium DB-LCU'!C84</f>
        <v>Total National Tourism Expenditure by Tourist Destination</v>
      </c>
      <c r="D81" s="423" t="str">
        <f>'Tourism Medium DB-LCU'!D84</f>
        <v>Domestic Trips</v>
      </c>
      <c r="E81" s="422"/>
      <c r="F81" s="53">
        <f>'Tourism Medium DB-LCU'!I84/'Tourism Medium DB-LCU'!H84-1</f>
        <v>5.6260625427669186E-2</v>
      </c>
      <c r="G81" s="53">
        <f>'Tourism Medium DB-LCU'!J84/'Tourism Medium DB-LCU'!I84-1</f>
        <v>-3.3579517125154834E-2</v>
      </c>
      <c r="H81" s="53">
        <f>'Tourism Medium DB-LCU'!K84/'Tourism Medium DB-LCU'!J84-1</f>
        <v>4.4679820111482194E-2</v>
      </c>
      <c r="I81" s="53">
        <f>'Tourism Medium DB-LCU'!L84/'Tourism Medium DB-LCU'!K84-1</f>
        <v>2.6042475558419209E-2</v>
      </c>
      <c r="J81" s="53">
        <f>'Tourism Medium DB-LCU'!M84/'Tourism Medium DB-LCU'!L84-1</f>
        <v>3.4270133479754383E-2</v>
      </c>
      <c r="K81" s="53">
        <f>'Tourism Medium DB-LCU'!N84/'Tourism Medium DB-LCU'!M84-1</f>
        <v>-1.6907901989989149E-2</v>
      </c>
      <c r="L81" s="53">
        <f>'Tourism Medium DB-LCU'!O84/'Tourism Medium DB-LCU'!N84-1</f>
        <v>-6.8565127870512388E-4</v>
      </c>
      <c r="M81" s="53">
        <f>'Tourism Medium DB-LCU'!P84/'Tourism Medium DB-LCU'!O84-1</f>
        <v>1.54658934899079E-2</v>
      </c>
      <c r="N81" s="53">
        <f>'Tourism Medium DB-LCU'!Q84/'Tourism Medium DB-LCU'!P84-1</f>
        <v>5.9446107261877934E-3</v>
      </c>
    </row>
    <row r="82" spans="1:14" ht="14.25" customHeight="1">
      <c r="A82" s="420" t="str">
        <f>'Tourism Medium DB-LCU'!A85</f>
        <v>Hungary</v>
      </c>
      <c r="B82" s="420" t="str">
        <f>'Tourism Medium DB-LCU'!B85</f>
        <v>Tourism Spend Factors</v>
      </c>
      <c r="C82" s="420" t="str">
        <f>'Tourism Medium DB-LCU'!C85</f>
        <v>Total National Tourism Expenditure by Tourist Destination</v>
      </c>
      <c r="D82" s="423" t="str">
        <f>'Tourism Medium DB-LCU'!D85</f>
        <v>International Trips</v>
      </c>
      <c r="E82" s="422"/>
      <c r="F82" s="53">
        <f>'Tourism Medium DB-LCU'!I85/'Tourism Medium DB-LCU'!H85-1</f>
        <v>-4.1119605370543377E-2</v>
      </c>
      <c r="G82" s="53">
        <f>'Tourism Medium DB-LCU'!J85/'Tourism Medium DB-LCU'!I85-1</f>
        <v>0.15971564582350273</v>
      </c>
      <c r="H82" s="53">
        <f>'Tourism Medium DB-LCU'!K85/'Tourism Medium DB-LCU'!J85-1</f>
        <v>0.11953241897697575</v>
      </c>
      <c r="I82" s="53">
        <f>'Tourism Medium DB-LCU'!L85/'Tourism Medium DB-LCU'!K85-1</f>
        <v>0.12015559331766723</v>
      </c>
      <c r="J82" s="53">
        <f>'Tourism Medium DB-LCU'!M85/'Tourism Medium DB-LCU'!L85-1</f>
        <v>-4.8600415706243294E-2</v>
      </c>
      <c r="K82" s="53">
        <f>'Tourism Medium DB-LCU'!N85/'Tourism Medium DB-LCU'!M85-1</f>
        <v>1.9946957183633707E-2</v>
      </c>
      <c r="L82" s="53">
        <f>'Tourism Medium DB-LCU'!O85/'Tourism Medium DB-LCU'!N85-1</f>
        <v>5.1199213270454846E-2</v>
      </c>
      <c r="M82" s="53">
        <f>'Tourism Medium DB-LCU'!P85/'Tourism Medium DB-LCU'!O85-1</f>
        <v>0.14364304049860133</v>
      </c>
      <c r="N82" s="53">
        <f>'Tourism Medium DB-LCU'!Q85/'Tourism Medium DB-LCU'!P85-1</f>
        <v>0.12657731987546406</v>
      </c>
    </row>
    <row r="83" spans="1:14" ht="14.25" customHeight="1">
      <c r="A83" s="420" t="str">
        <f>'Tourism Medium DB-LCU'!A86</f>
        <v>Hungary</v>
      </c>
      <c r="B83" s="420" t="str">
        <f>'Tourism Medium DB-LCU'!B86</f>
        <v>Tourism Spend Factors</v>
      </c>
      <c r="C83" s="420" t="str">
        <f>'Tourism Medium DB-LCU'!C86</f>
        <v>Total National Tourism Expenditure by Tourist Destination</v>
      </c>
      <c r="D83" s="420" t="str">
        <f>'Tourism Medium DB-LCU'!D86</f>
        <v>International Trips</v>
      </c>
      <c r="E83" s="421" t="str">
        <f>'Tourism Medium DB-LCU'!E86</f>
        <v>Africa</v>
      </c>
      <c r="F83" s="53">
        <f>'Tourism Medium DB-LCU'!I86/'Tourism Medium DB-LCU'!H86-1</f>
        <v>-0.17478059034104021</v>
      </c>
      <c r="G83" s="53">
        <f>'Tourism Medium DB-LCU'!J86/'Tourism Medium DB-LCU'!I86-1</f>
        <v>-2.4483666977317742E-2</v>
      </c>
      <c r="H83" s="53">
        <f>'Tourism Medium DB-LCU'!K86/'Tourism Medium DB-LCU'!J86-1</f>
        <v>1.3073676879919822</v>
      </c>
      <c r="I83" s="53">
        <f>'Tourism Medium DB-LCU'!L86/'Tourism Medium DB-LCU'!K86-1</f>
        <v>0.62184715882763975</v>
      </c>
      <c r="J83" s="53">
        <f>'Tourism Medium DB-LCU'!M86/'Tourism Medium DB-LCU'!L86-1</f>
        <v>0.15342109384335556</v>
      </c>
      <c r="K83" s="53">
        <f>'Tourism Medium DB-LCU'!N86/'Tourism Medium DB-LCU'!M86-1</f>
        <v>0.33499966781820567</v>
      </c>
      <c r="L83" s="53">
        <f>'Tourism Medium DB-LCU'!O86/'Tourism Medium DB-LCU'!N86-1</f>
        <v>0.54912180656562048</v>
      </c>
      <c r="M83" s="53">
        <f>'Tourism Medium DB-LCU'!P86/'Tourism Medium DB-LCU'!O86-1</f>
        <v>0.55135070860422264</v>
      </c>
      <c r="N83" s="53">
        <f>'Tourism Medium DB-LCU'!Q86/'Tourism Medium DB-LCU'!P86-1</f>
        <v>0.57886254515326052</v>
      </c>
    </row>
    <row r="84" spans="1:14" ht="14.25" customHeight="1">
      <c r="A84" s="420" t="str">
        <f>'Tourism Medium DB-LCU'!A87</f>
        <v>Hungary</v>
      </c>
      <c r="B84" s="420" t="str">
        <f>'Tourism Medium DB-LCU'!B87</f>
        <v>Tourism Spend Factors</v>
      </c>
      <c r="C84" s="420" t="str">
        <f>'Tourism Medium DB-LCU'!C87</f>
        <v>Total National Tourism Expenditure by Tourist Destination</v>
      </c>
      <c r="D84" s="420" t="str">
        <f>'Tourism Medium DB-LCU'!D87</f>
        <v>International Trips</v>
      </c>
      <c r="E84" s="421" t="str">
        <f>'Tourism Medium DB-LCU'!E87</f>
        <v>Asia-Pacific</v>
      </c>
      <c r="F84" s="53">
        <f>'Tourism Medium DB-LCU'!I87/'Tourism Medium DB-LCU'!H87-1</f>
        <v>0.24705855277484412</v>
      </c>
      <c r="G84" s="53">
        <f>'Tourism Medium DB-LCU'!J87/'Tourism Medium DB-LCU'!I87-1</f>
        <v>0.16021086612315649</v>
      </c>
      <c r="H84" s="53">
        <f>'Tourism Medium DB-LCU'!K87/'Tourism Medium DB-LCU'!J87-1</f>
        <v>-0.28629308614842297</v>
      </c>
      <c r="I84" s="53">
        <f>'Tourism Medium DB-LCU'!L87/'Tourism Medium DB-LCU'!K87-1</f>
        <v>0.23089202626075056</v>
      </c>
      <c r="J84" s="53">
        <f>'Tourism Medium DB-LCU'!M87/'Tourism Medium DB-LCU'!L87-1</f>
        <v>-8.4343987473356252E-2</v>
      </c>
      <c r="K84" s="53">
        <f>'Tourism Medium DB-LCU'!N87/'Tourism Medium DB-LCU'!M87-1</f>
        <v>-7.1058085297897478E-2</v>
      </c>
      <c r="L84" s="53">
        <f>'Tourism Medium DB-LCU'!O87/'Tourism Medium DB-LCU'!N87-1</f>
        <v>-9.3588547637920128E-2</v>
      </c>
      <c r="M84" s="53">
        <f>'Tourism Medium DB-LCU'!P87/'Tourism Medium DB-LCU'!O87-1</f>
        <v>8.1395143128716096E-2</v>
      </c>
      <c r="N84" s="53">
        <f>'Tourism Medium DB-LCU'!Q87/'Tourism Medium DB-LCU'!P87-1</f>
        <v>1.7683914702183889E-2</v>
      </c>
    </row>
    <row r="85" spans="1:14" ht="14.25" customHeight="1">
      <c r="A85" s="420" t="str">
        <f>'Tourism Medium DB-LCU'!A88</f>
        <v>Hungary</v>
      </c>
      <c r="B85" s="420" t="str">
        <f>'Tourism Medium DB-LCU'!B88</f>
        <v>Tourism Spend Factors</v>
      </c>
      <c r="C85" s="420" t="str">
        <f>'Tourism Medium DB-LCU'!C88</f>
        <v>Total National Tourism Expenditure by Tourist Destination</v>
      </c>
      <c r="D85" s="420" t="str">
        <f>'Tourism Medium DB-LCU'!D88</f>
        <v>International Trips</v>
      </c>
      <c r="E85" s="421" t="str">
        <f>'Tourism Medium DB-LCU'!E88</f>
        <v>Europe</v>
      </c>
      <c r="F85" s="53">
        <f>'Tourism Medium DB-LCU'!I88/'Tourism Medium DB-LCU'!H88-1</f>
        <v>-0.12432723160813119</v>
      </c>
      <c r="G85" s="53">
        <f>'Tourism Medium DB-LCU'!J88/'Tourism Medium DB-LCU'!I88-1</f>
        <v>0.16410244891561221</v>
      </c>
      <c r="H85" s="53">
        <f>'Tourism Medium DB-LCU'!K88/'Tourism Medium DB-LCU'!J88-1</f>
        <v>0.30513465559568576</v>
      </c>
      <c r="I85" s="53">
        <f>'Tourism Medium DB-LCU'!L88/'Tourism Medium DB-LCU'!K88-1</f>
        <v>9.2055909622288823E-2</v>
      </c>
      <c r="J85" s="53">
        <f>'Tourism Medium DB-LCU'!M88/'Tourism Medium DB-LCU'!L88-1</f>
        <v>-3.8992770192156079E-2</v>
      </c>
      <c r="K85" s="53">
        <f>'Tourism Medium DB-LCU'!N88/'Tourism Medium DB-LCU'!M88-1</f>
        <v>5.7284384469548533E-2</v>
      </c>
      <c r="L85" s="53">
        <f>'Tourism Medium DB-LCU'!O88/'Tourism Medium DB-LCU'!N88-1</f>
        <v>9.7943885915484863E-2</v>
      </c>
      <c r="M85" s="53">
        <f>'Tourism Medium DB-LCU'!P88/'Tourism Medium DB-LCU'!O88-1</f>
        <v>0.16581349103531395</v>
      </c>
      <c r="N85" s="53">
        <f>'Tourism Medium DB-LCU'!Q88/'Tourism Medium DB-LCU'!P88-1</f>
        <v>0.16444252911304802</v>
      </c>
    </row>
    <row r="86" spans="1:14" ht="14.25" customHeight="1">
      <c r="A86" s="420" t="str">
        <f>'Tourism Medium DB-LCU'!A89</f>
        <v>Hungary</v>
      </c>
      <c r="B86" s="420" t="str">
        <f>'Tourism Medium DB-LCU'!B89</f>
        <v>Tourism Spend Factors</v>
      </c>
      <c r="C86" s="420" t="str">
        <f>'Tourism Medium DB-LCU'!C89</f>
        <v>Total National Tourism Expenditure by Tourist Destination</v>
      </c>
      <c r="D86" s="420" t="str">
        <f>'Tourism Medium DB-LCU'!D89</f>
        <v>International Trips</v>
      </c>
      <c r="E86" s="421" t="str">
        <f>'Tourism Medium DB-LCU'!E89</f>
        <v>Middle East</v>
      </c>
      <c r="F86" s="53">
        <f>'Tourism Medium DB-LCU'!I89/'Tourism Medium DB-LCU'!H89-1</f>
        <v>-0.681786867366588</v>
      </c>
      <c r="G86" s="53">
        <f>'Tourism Medium DB-LCU'!J89/'Tourism Medium DB-LCU'!I89-1</f>
        <v>0.67051480392476304</v>
      </c>
      <c r="H86" s="53">
        <f>'Tourism Medium DB-LCU'!K89/'Tourism Medium DB-LCU'!J89-1</f>
        <v>-0.24415856428646565</v>
      </c>
      <c r="I86" s="53">
        <f>'Tourism Medium DB-LCU'!L89/'Tourism Medium DB-LCU'!K89-1</f>
        <v>0.24451039854545575</v>
      </c>
      <c r="J86" s="53">
        <f>'Tourism Medium DB-LCU'!M89/'Tourism Medium DB-LCU'!L89-1</f>
        <v>-0.10917992442283753</v>
      </c>
      <c r="K86" s="53">
        <f>'Tourism Medium DB-LCU'!N89/'Tourism Medium DB-LCU'!M89-1</f>
        <v>-5.8922420545107435E-2</v>
      </c>
      <c r="L86" s="53">
        <f>'Tourism Medium DB-LCU'!O89/'Tourism Medium DB-LCU'!N89-1</f>
        <v>-5.8732988738783187E-2</v>
      </c>
      <c r="M86" s="53">
        <f>'Tourism Medium DB-LCU'!P89/'Tourism Medium DB-LCU'!O89-1</f>
        <v>0.10092907340326596</v>
      </c>
      <c r="N86" s="53">
        <f>'Tourism Medium DB-LCU'!Q89/'Tourism Medium DB-LCU'!P89-1</f>
        <v>4.653531613132933E-2</v>
      </c>
    </row>
    <row r="87" spans="1:14" ht="14.25" customHeight="1">
      <c r="A87" s="420" t="str">
        <f>'Tourism Medium DB-LCU'!A90</f>
        <v>Hungary</v>
      </c>
      <c r="B87" s="420" t="str">
        <f>'Tourism Medium DB-LCU'!B90</f>
        <v>Tourism Spend Factors</v>
      </c>
      <c r="C87" s="420" t="str">
        <f>'Tourism Medium DB-LCU'!C90</f>
        <v>Total National Tourism Expenditure by Tourist Destination</v>
      </c>
      <c r="D87" s="420" t="str">
        <f>'Tourism Medium DB-LCU'!D90</f>
        <v>International Trips</v>
      </c>
      <c r="E87" s="421" t="str">
        <f>'Tourism Medium DB-LCU'!E90</f>
        <v>North America</v>
      </c>
      <c r="F87" s="53">
        <f>'Tourism Medium DB-LCU'!I90/'Tourism Medium DB-LCU'!H90-1</f>
        <v>0.30766147925733223</v>
      </c>
      <c r="G87" s="53">
        <f>'Tourism Medium DB-LCU'!J90/'Tourism Medium DB-LCU'!I90-1</f>
        <v>0.11393855867048819</v>
      </c>
      <c r="H87" s="53">
        <f>'Tourism Medium DB-LCU'!K90/'Tourism Medium DB-LCU'!J90-1</f>
        <v>-7.8016598599887743E-2</v>
      </c>
      <c r="I87" s="53">
        <f>'Tourism Medium DB-LCU'!L90/'Tourism Medium DB-LCU'!K90-1</f>
        <v>1.6060857704915055E-2</v>
      </c>
      <c r="J87" s="53">
        <f>'Tourism Medium DB-LCU'!M90/'Tourism Medium DB-LCU'!L90-1</f>
        <v>-4.9020573379407351E-2</v>
      </c>
      <c r="K87" s="53">
        <f>'Tourism Medium DB-LCU'!N90/'Tourism Medium DB-LCU'!M90-1</f>
        <v>-5.8565866686953738E-2</v>
      </c>
      <c r="L87" s="53">
        <f>'Tourism Medium DB-LCU'!O90/'Tourism Medium DB-LCU'!N90-1</f>
        <v>-4.1439778198707256E-2</v>
      </c>
      <c r="M87" s="53">
        <f>'Tourism Medium DB-LCU'!P90/'Tourism Medium DB-LCU'!O90-1</f>
        <v>6.7837198019065514E-2</v>
      </c>
      <c r="N87" s="53">
        <f>'Tourism Medium DB-LCU'!Q90/'Tourism Medium DB-LCU'!P90-1</f>
        <v>6.0073954227751081E-2</v>
      </c>
    </row>
    <row r="88" spans="1:14" ht="14.25" customHeight="1">
      <c r="A88" s="420" t="str">
        <f>'Tourism Medium DB-LCU'!A91</f>
        <v>Hungary</v>
      </c>
      <c r="B88" s="420" t="str">
        <f>'Tourism Medium DB-LCU'!B91</f>
        <v>Tourism Spend Factors</v>
      </c>
      <c r="C88" s="420" t="str">
        <f>'Tourism Medium DB-LCU'!C91</f>
        <v>Total National Tourism Expenditure by Tourist Destination</v>
      </c>
      <c r="D88" s="420" t="str">
        <f>'Tourism Medium DB-LCU'!D91</f>
        <v>International Trips</v>
      </c>
      <c r="E88" s="421" t="str">
        <f>'Tourism Medium DB-LCU'!E91</f>
        <v>South &amp; Central America</v>
      </c>
      <c r="F88" s="53">
        <f>'Tourism Medium DB-LCU'!I91/'Tourism Medium DB-LCU'!H91-1</f>
        <v>-1.4581297186892208</v>
      </c>
      <c r="G88" s="53">
        <f>'Tourism Medium DB-LCU'!J91/'Tourism Medium DB-LCU'!I91-1</f>
        <v>-0.5461771510846033</v>
      </c>
      <c r="H88" s="53">
        <f>'Tourism Medium DB-LCU'!K91/'Tourism Medium DB-LCU'!J91-1</f>
        <v>-3.4458481184944687</v>
      </c>
      <c r="I88" s="53">
        <f>'Tourism Medium DB-LCU'!L91/'Tourism Medium DB-LCU'!K91-1</f>
        <v>0.40608593304345808</v>
      </c>
      <c r="J88" s="53">
        <f>'Tourism Medium DB-LCU'!M91/'Tourism Medium DB-LCU'!L91-1</f>
        <v>0.20837019968261794</v>
      </c>
      <c r="K88" s="53">
        <f>'Tourism Medium DB-LCU'!N91/'Tourism Medium DB-LCU'!M91-1</f>
        <v>0.88316175266436869</v>
      </c>
      <c r="L88" s="53">
        <f>'Tourism Medium DB-LCU'!O91/'Tourism Medium DB-LCU'!N91-1</f>
        <v>0.77589125067879294</v>
      </c>
      <c r="M88" s="53">
        <f>'Tourism Medium DB-LCU'!P91/'Tourism Medium DB-LCU'!O91-1</f>
        <v>0.57203961255295011</v>
      </c>
      <c r="N88" s="53">
        <f>'Tourism Medium DB-LCU'!Q91/'Tourism Medium DB-LCU'!P91-1</f>
        <v>0.62866529904181534</v>
      </c>
    </row>
    <row r="89" spans="1:14" ht="14.25" customHeight="1">
      <c r="A89" s="437" t="str">
        <f>'Tourism Medium DB-LCU'!A92</f>
        <v>Hungary</v>
      </c>
      <c r="B89" s="437" t="str">
        <f>'Tourism Medium DB-LCU'!B92</f>
        <v>Tourism Spend Factors</v>
      </c>
      <c r="C89" s="433" t="str">
        <f>'Tourism Medium DB-LCU'!C92</f>
        <v>Total National Tourism Expenditure by Sector</v>
      </c>
      <c r="D89" s="433"/>
      <c r="E89" s="436"/>
      <c r="F89" s="435">
        <f>'Tourism Medium DB-LCU'!I92/'Tourism Medium DB-LCU'!H92-1</f>
        <v>-3.6782940418142784E-2</v>
      </c>
      <c r="G89" s="435">
        <f>'Tourism Medium DB-LCU'!J92/'Tourism Medium DB-LCU'!I92-1</f>
        <v>0.15027605907529851</v>
      </c>
      <c r="H89" s="435">
        <f>'Tourism Medium DB-LCU'!K92/'Tourism Medium DB-LCU'!J92-1</f>
        <v>0.11646125557079712</v>
      </c>
      <c r="I89" s="435">
        <f>'Tourism Medium DB-LCU'!L92/'Tourism Medium DB-LCU'!K92-1</f>
        <v>0.11654244532076152</v>
      </c>
      <c r="J89" s="435">
        <f>'Tourism Medium DB-LCU'!M92/'Tourism Medium DB-LCU'!L92-1</f>
        <v>-4.5676762145888228E-2</v>
      </c>
      <c r="K89" s="435">
        <f>'Tourism Medium DB-LCU'!N92/'Tourism Medium DB-LCU'!M92-1</f>
        <v>1.8537801640818197E-2</v>
      </c>
      <c r="L89" s="435">
        <f>'Tourism Medium DB-LCU'!O92/'Tourism Medium DB-LCU'!N92-1</f>
        <v>4.928441988785992E-2</v>
      </c>
      <c r="M89" s="435">
        <f>'Tourism Medium DB-LCU'!P92/'Tourism Medium DB-LCU'!O92-1</f>
        <v>0.13913797893372326</v>
      </c>
      <c r="N89" s="435">
        <f>'Tourism Medium DB-LCU'!Q92/'Tourism Medium DB-LCU'!P92-1</f>
        <v>0.12279773397156357</v>
      </c>
    </row>
    <row r="90" spans="1:14" ht="14.25" customHeight="1">
      <c r="A90" s="420" t="str">
        <f>'Tourism Medium DB-LCU'!A93</f>
        <v>Hungary</v>
      </c>
      <c r="B90" s="420" t="str">
        <f>'Tourism Medium DB-LCU'!B93</f>
        <v>Tourism Spend Factors</v>
      </c>
      <c r="C90" s="420" t="str">
        <f>'Tourism Medium DB-LCU'!C93</f>
        <v>Total National Tourism Expenditure by Sector</v>
      </c>
      <c r="D90" s="423" t="str">
        <f>'Tourism Medium DB-LCU'!D93</f>
        <v>Accommodation</v>
      </c>
      <c r="F90" s="53">
        <f>'Tourism Medium DB-LCU'!I93/'Tourism Medium DB-LCU'!H93-1</f>
        <v>-4.760878720697892E-2</v>
      </c>
      <c r="G90" s="53">
        <f>'Tourism Medium DB-LCU'!J93/'Tourism Medium DB-LCU'!I93-1</f>
        <v>0.15292247469150944</v>
      </c>
      <c r="H90" s="53">
        <f>'Tourism Medium DB-LCU'!K93/'Tourism Medium DB-LCU'!J93-1</f>
        <v>0.11155699156084564</v>
      </c>
      <c r="I90" s="53">
        <f>'Tourism Medium DB-LCU'!L93/'Tourism Medium DB-LCU'!K93-1</f>
        <v>0.12186186466828719</v>
      </c>
      <c r="J90" s="53">
        <f>'Tourism Medium DB-LCU'!M93/'Tourism Medium DB-LCU'!L93-1</f>
        <v>-5.3774152061588421E-2</v>
      </c>
      <c r="K90" s="53">
        <f>'Tourism Medium DB-LCU'!N93/'Tourism Medium DB-LCU'!M93-1</f>
        <v>1.7658026701051321E-2</v>
      </c>
      <c r="L90" s="53">
        <f>'Tourism Medium DB-LCU'!O93/'Tourism Medium DB-LCU'!N93-1</f>
        <v>4.5736585460933066E-2</v>
      </c>
      <c r="M90" s="53">
        <f>'Tourism Medium DB-LCU'!P93/'Tourism Medium DB-LCU'!O93-1</f>
        <v>0.13854725698933468</v>
      </c>
      <c r="N90" s="53">
        <f>'Tourism Medium DB-LCU'!Q93/'Tourism Medium DB-LCU'!P93-1</f>
        <v>0.11890299838764085</v>
      </c>
    </row>
    <row r="91" spans="1:14" ht="14.25" customHeight="1">
      <c r="A91" s="420" t="str">
        <f>'Tourism Medium DB-LCU'!A94</f>
        <v>Hungary</v>
      </c>
      <c r="B91" s="420" t="str">
        <f>'Tourism Medium DB-LCU'!B94</f>
        <v>Tourism Spend Factors</v>
      </c>
      <c r="C91" s="420" t="str">
        <f>'Tourism Medium DB-LCU'!C94</f>
        <v>Total National Tourism Expenditure by Sector</v>
      </c>
      <c r="D91" s="423" t="str">
        <f>'Tourism Medium DB-LCU'!D94</f>
        <v>Entertainment &amp; Sightseeing</v>
      </c>
      <c r="F91" s="53">
        <f>'Tourism Medium DB-LCU'!I94/'Tourism Medium DB-LCU'!H94-1</f>
        <v>-3.2636665977436641E-2</v>
      </c>
      <c r="G91" s="53">
        <f>'Tourism Medium DB-LCU'!J94/'Tourism Medium DB-LCU'!I94-1</f>
        <v>0.15445457475862634</v>
      </c>
      <c r="H91" s="53">
        <f>'Tourism Medium DB-LCU'!K94/'Tourism Medium DB-LCU'!J94-1</f>
        <v>0.10313514602978668</v>
      </c>
      <c r="I91" s="53">
        <f>'Tourism Medium DB-LCU'!L94/'Tourism Medium DB-LCU'!K94-1</f>
        <v>0.11282150110560929</v>
      </c>
      <c r="J91" s="53">
        <f>'Tourism Medium DB-LCU'!M94/'Tourism Medium DB-LCU'!L94-1</f>
        <v>-4.8603316301310873E-2</v>
      </c>
      <c r="K91" s="53">
        <f>'Tourism Medium DB-LCU'!N94/'Tourism Medium DB-LCU'!M94-1</f>
        <v>1.438229111495648E-2</v>
      </c>
      <c r="L91" s="53">
        <f>'Tourism Medium DB-LCU'!O94/'Tourism Medium DB-LCU'!N94-1</f>
        <v>4.3616665972187052E-2</v>
      </c>
      <c r="M91" s="53">
        <f>'Tourism Medium DB-LCU'!P94/'Tourism Medium DB-LCU'!O94-1</f>
        <v>0.14163242374497487</v>
      </c>
      <c r="N91" s="53">
        <f>'Tourism Medium DB-LCU'!Q94/'Tourism Medium DB-LCU'!P94-1</f>
        <v>0.12319319258519568</v>
      </c>
    </row>
    <row r="92" spans="1:14" ht="14.25" customHeight="1">
      <c r="A92" s="420" t="str">
        <f>'Tourism Medium DB-LCU'!A95</f>
        <v>Hungary</v>
      </c>
      <c r="B92" s="420" t="str">
        <f>'Tourism Medium DB-LCU'!B95</f>
        <v>Tourism Spend Factors</v>
      </c>
      <c r="C92" s="420" t="str">
        <f>'Tourism Medium DB-LCU'!C95</f>
        <v>Total National Tourism Expenditure by Sector</v>
      </c>
      <c r="D92" s="423" t="str">
        <f>'Tourism Medium DB-LCU'!D95</f>
        <v>Foodservice</v>
      </c>
      <c r="F92" s="53">
        <f>'Tourism Medium DB-LCU'!I95/'Tourism Medium DB-LCU'!H95-1</f>
        <v>-4.1329226924785911E-2</v>
      </c>
      <c r="G92" s="53">
        <f>'Tourism Medium DB-LCU'!J95/'Tourism Medium DB-LCU'!I95-1</f>
        <v>0.15322890523155608</v>
      </c>
      <c r="H92" s="53">
        <f>'Tourism Medium DB-LCU'!K95/'Tourism Medium DB-LCU'!J95-1</f>
        <v>0.1026279652670925</v>
      </c>
      <c r="I92" s="53">
        <f>'Tourism Medium DB-LCU'!L95/'Tourism Medium DB-LCU'!K95-1</f>
        <v>0.11582039711554359</v>
      </c>
      <c r="J92" s="53">
        <f>'Tourism Medium DB-LCU'!M95/'Tourism Medium DB-LCU'!L95-1</f>
        <v>-5.2606125121366865E-2</v>
      </c>
      <c r="K92" s="53">
        <f>'Tourism Medium DB-LCU'!N95/'Tourism Medium DB-LCU'!M95-1</f>
        <v>1.2267610530575679E-2</v>
      </c>
      <c r="L92" s="53">
        <f>'Tourism Medium DB-LCU'!O95/'Tourism Medium DB-LCU'!N95-1</f>
        <v>4.6159965302808192E-2</v>
      </c>
      <c r="M92" s="53">
        <f>'Tourism Medium DB-LCU'!P95/'Tourism Medium DB-LCU'!O95-1</f>
        <v>0.13572312333751202</v>
      </c>
      <c r="N92" s="53">
        <f>'Tourism Medium DB-LCU'!Q95/'Tourism Medium DB-LCU'!P95-1</f>
        <v>0.11468666004671491</v>
      </c>
    </row>
    <row r="93" spans="1:14" ht="14.25" customHeight="1">
      <c r="A93" s="420" t="str">
        <f>'Tourism Medium DB-LCU'!A96</f>
        <v>Hungary</v>
      </c>
      <c r="B93" s="420" t="str">
        <f>'Tourism Medium DB-LCU'!B96</f>
        <v>Tourism Spend Factors</v>
      </c>
      <c r="C93" s="420" t="str">
        <f>'Tourism Medium DB-LCU'!C96</f>
        <v>Total National Tourism Expenditure by Sector</v>
      </c>
      <c r="D93" s="423" t="str">
        <f>'Tourism Medium DB-LCU'!D96</f>
        <v>Retail</v>
      </c>
      <c r="F93" s="53">
        <f>'Tourism Medium DB-LCU'!I96/'Tourism Medium DB-LCU'!H96-1</f>
        <v>-2.8704172246722393E-2</v>
      </c>
      <c r="G93" s="53">
        <f>'Tourism Medium DB-LCU'!J96/'Tourism Medium DB-LCU'!I96-1</f>
        <v>0.15494712428666402</v>
      </c>
      <c r="H93" s="53">
        <f>'Tourism Medium DB-LCU'!K96/'Tourism Medium DB-LCU'!J96-1</f>
        <v>0.11056294785162479</v>
      </c>
      <c r="I93" s="53">
        <f>'Tourism Medium DB-LCU'!L96/'Tourism Medium DB-LCU'!K96-1</f>
        <v>0.1241625005785334</v>
      </c>
      <c r="J93" s="53">
        <f>'Tourism Medium DB-LCU'!M96/'Tourism Medium DB-LCU'!L96-1</f>
        <v>-3.2722922218468842E-2</v>
      </c>
      <c r="K93" s="53">
        <f>'Tourism Medium DB-LCU'!N96/'Tourism Medium DB-LCU'!M96-1</f>
        <v>1.8911801200977019E-2</v>
      </c>
      <c r="L93" s="53">
        <f>'Tourism Medium DB-LCU'!O96/'Tourism Medium DB-LCU'!N96-1</f>
        <v>4.9706193808224608E-2</v>
      </c>
      <c r="M93" s="53">
        <f>'Tourism Medium DB-LCU'!P96/'Tourism Medium DB-LCU'!O96-1</f>
        <v>0.14700983642718102</v>
      </c>
      <c r="N93" s="53">
        <f>'Tourism Medium DB-LCU'!Q96/'Tourism Medium DB-LCU'!P96-1</f>
        <v>0.12819981857368834</v>
      </c>
    </row>
    <row r="94" spans="1:14" ht="14.25" customHeight="1">
      <c r="A94" s="420" t="str">
        <f>'Tourism Medium DB-LCU'!A97</f>
        <v>Hungary</v>
      </c>
      <c r="B94" s="420" t="str">
        <f>'Tourism Medium DB-LCU'!B97</f>
        <v>Tourism Spend Factors</v>
      </c>
      <c r="C94" s="420" t="str">
        <f>'Tourism Medium DB-LCU'!C97</f>
        <v>Total National Tourism Expenditure by Sector</v>
      </c>
      <c r="D94" s="423" t="str">
        <f>'Tourism Medium DB-LCU'!D97</f>
        <v>Transportation</v>
      </c>
      <c r="F94" s="53">
        <f>'Tourism Medium DB-LCU'!I97/'Tourism Medium DB-LCU'!H97-1</f>
        <v>1.1004136144363574E-2</v>
      </c>
      <c r="G94" s="53">
        <f>'Tourism Medium DB-LCU'!J97/'Tourism Medium DB-LCU'!I97-1</f>
        <v>0.12274418217482741</v>
      </c>
      <c r="H94" s="53">
        <f>'Tourism Medium DB-LCU'!K97/'Tourism Medium DB-LCU'!J97-1</f>
        <v>0.1692015360618524</v>
      </c>
      <c r="I94" s="53">
        <f>'Tourism Medium DB-LCU'!L97/'Tourism Medium DB-LCU'!K97-1</f>
        <v>0.10384152874895336</v>
      </c>
      <c r="J94" s="53">
        <f>'Tourism Medium DB-LCU'!M97/'Tourism Medium DB-LCU'!L97-1</f>
        <v>-1.8450762969496659E-2</v>
      </c>
      <c r="K94" s="53">
        <f>'Tourism Medium DB-LCU'!N97/'Tourism Medium DB-LCU'!M97-1</f>
        <v>2.6912590704500916E-2</v>
      </c>
      <c r="L94" s="53">
        <f>'Tourism Medium DB-LCU'!O97/'Tourism Medium DB-LCU'!N97-1</f>
        <v>6.0854262325260589E-2</v>
      </c>
      <c r="M94" s="53">
        <f>'Tourism Medium DB-LCU'!P97/'Tourism Medium DB-LCU'!O97-1</f>
        <v>0.13491905268491111</v>
      </c>
      <c r="N94" s="53">
        <f>'Tourism Medium DB-LCU'!Q97/'Tourism Medium DB-LCU'!P97-1</f>
        <v>0.13962685093687965</v>
      </c>
    </row>
    <row r="95" spans="1:14" ht="14.25" customHeight="1">
      <c r="A95" s="420" t="str">
        <f>'Tourism Medium DB-LCU'!A98</f>
        <v>Hungary</v>
      </c>
      <c r="B95" s="420" t="str">
        <f>'Tourism Medium DB-LCU'!B98</f>
        <v>Tourism Spend Factors</v>
      </c>
      <c r="C95" s="420" t="str">
        <f>'Tourism Medium DB-LCU'!C98</f>
        <v>Total National Tourism Expenditure by Sector</v>
      </c>
      <c r="D95" s="423" t="str">
        <f>'Tourism Medium DB-LCU'!D98</f>
        <v>Travel Intermediation</v>
      </c>
      <c r="F95" s="53">
        <f>'Tourism Medium DB-LCU'!I98/'Tourism Medium DB-LCU'!H98-1</f>
        <v>-4.7998585356343049E-2</v>
      </c>
      <c r="G95" s="53">
        <f>'Tourism Medium DB-LCU'!J98/'Tourism Medium DB-LCU'!I98-1</f>
        <v>0.16525946650156698</v>
      </c>
      <c r="H95" s="53">
        <f>'Tourism Medium DB-LCU'!K98/'Tourism Medium DB-LCU'!J98-1</f>
        <v>0.11006236771034317</v>
      </c>
      <c r="I95" s="53">
        <f>'Tourism Medium DB-LCU'!L98/'Tourism Medium DB-LCU'!K98-1</f>
        <v>0.11619413670882417</v>
      </c>
      <c r="J95" s="53">
        <f>'Tourism Medium DB-LCU'!M98/'Tourism Medium DB-LCU'!L98-1</f>
        <v>-5.4135778777719135E-2</v>
      </c>
      <c r="K95" s="53">
        <f>'Tourism Medium DB-LCU'!N98/'Tourism Medium DB-LCU'!M98-1</f>
        <v>1.9629596397713556E-2</v>
      </c>
      <c r="L95" s="53">
        <f>'Tourism Medium DB-LCU'!O98/'Tourism Medium DB-LCU'!N98-1</f>
        <v>4.7733761218507365E-2</v>
      </c>
      <c r="M95" s="53">
        <f>'Tourism Medium DB-LCU'!P98/'Tourism Medium DB-LCU'!O98-1</f>
        <v>0.1471575973774486</v>
      </c>
      <c r="N95" s="53">
        <f>'Tourism Medium DB-LCU'!Q98/'Tourism Medium DB-LCU'!P98-1</f>
        <v>0.11942466849111733</v>
      </c>
    </row>
    <row r="96" spans="1:14" ht="14.25" customHeight="1">
      <c r="A96" s="420" t="str">
        <f>'Tourism Medium DB-LCU'!A99</f>
        <v>Hungary</v>
      </c>
      <c r="B96" s="420" t="str">
        <f>'Tourism Medium DB-LCU'!B99</f>
        <v>Tourism Spend Factors</v>
      </c>
      <c r="C96" s="420" t="str">
        <f>'Tourism Medium DB-LCU'!C99</f>
        <v>Total National Tourism Expenditure by Sector</v>
      </c>
      <c r="D96" s="423" t="str">
        <f>'Tourism Medium DB-LCU'!D99</f>
        <v>Other Sectors</v>
      </c>
      <c r="F96" s="53">
        <f>'Tourism Medium DB-LCU'!I99/'Tourism Medium DB-LCU'!H99-1</f>
        <v>-5.0868934682042122E-2</v>
      </c>
      <c r="G96" s="53">
        <f>'Tourism Medium DB-LCU'!J99/'Tourism Medium DB-LCU'!I99-1</f>
        <v>0.1270387581436454</v>
      </c>
      <c r="H96" s="53">
        <f>'Tourism Medium DB-LCU'!K99/'Tourism Medium DB-LCU'!J99-1</f>
        <v>0.13289328846550319</v>
      </c>
      <c r="I96" s="53">
        <f>'Tourism Medium DB-LCU'!L99/'Tourism Medium DB-LCU'!K99-1</f>
        <v>0.10236838834972839</v>
      </c>
      <c r="J96" s="53">
        <f>'Tourism Medium DB-LCU'!M99/'Tourism Medium DB-LCU'!L99-1</f>
        <v>-4.5211062423970549E-2</v>
      </c>
      <c r="K96" s="53">
        <f>'Tourism Medium DB-LCU'!N99/'Tourism Medium DB-LCU'!M99-1</f>
        <v>2.6495957679660176E-2</v>
      </c>
      <c r="L96" s="53">
        <f>'Tourism Medium DB-LCU'!O99/'Tourism Medium DB-LCU'!N99-1</f>
        <v>6.2273537201977147E-2</v>
      </c>
      <c r="M96" s="53">
        <f>'Tourism Medium DB-LCU'!P99/'Tourism Medium DB-LCU'!O99-1</f>
        <v>0.11833088353333032</v>
      </c>
      <c r="N96" s="53">
        <f>'Tourism Medium DB-LCU'!Q99/'Tourism Medium DB-LCU'!P99-1</f>
        <v>0.1264675330613183</v>
      </c>
    </row>
    <row r="97" spans="1:14" ht="14.25" customHeight="1">
      <c r="A97" s="437" t="str">
        <f>'Tourism Medium DB-LCU'!A100</f>
        <v>Hungary</v>
      </c>
      <c r="B97" s="437" t="str">
        <f>'Tourism Medium DB-LCU'!B100</f>
        <v>Tourism Spend Factors</v>
      </c>
      <c r="C97" s="433" t="str">
        <f>'Tourism Medium DB-LCU'!C100</f>
        <v>Average Expenditure per Domestic Tourist by Sector</v>
      </c>
      <c r="D97" s="438"/>
      <c r="E97" s="438"/>
      <c r="F97" s="435">
        <f>'Tourism Medium DB-LCU'!I100/'Tourism Medium DB-LCU'!H100-1</f>
        <v>0.28955950702881839</v>
      </c>
      <c r="G97" s="435">
        <f>'Tourism Medium DB-LCU'!J100/'Tourism Medium DB-LCU'!I100-1</f>
        <v>-2.892190569327957E-2</v>
      </c>
      <c r="H97" s="435">
        <f>'Tourism Medium DB-LCU'!K100/'Tourism Medium DB-LCU'!J100-1</f>
        <v>-1.4809792049284232E-2</v>
      </c>
      <c r="I97" s="435">
        <f>'Tourism Medium DB-LCU'!L100/'Tourism Medium DB-LCU'!K100-1</f>
        <v>0.11276770237366684</v>
      </c>
      <c r="J97" s="435">
        <f>'Tourism Medium DB-LCU'!M100/'Tourism Medium DB-LCU'!L100-1</f>
        <v>8.176094320172278E-2</v>
      </c>
      <c r="K97" s="435">
        <f>'Tourism Medium DB-LCU'!N100/'Tourism Medium DB-LCU'!M100-1</f>
        <v>-6.653881569473663E-3</v>
      </c>
      <c r="L97" s="435">
        <f>'Tourism Medium DB-LCU'!O100/'Tourism Medium DB-LCU'!N100-1</f>
        <v>1.2081517861896041E-2</v>
      </c>
      <c r="M97" s="435">
        <f>'Tourism Medium DB-LCU'!P100/'Tourism Medium DB-LCU'!O100-1</f>
        <v>3.8373224807725315E-2</v>
      </c>
      <c r="N97" s="435">
        <f>'Tourism Medium DB-LCU'!Q100/'Tourism Medium DB-LCU'!P100-1</f>
        <v>2.7665374631776096E-2</v>
      </c>
    </row>
    <row r="98" spans="1:14" ht="14.25" customHeight="1">
      <c r="A98" s="420" t="str">
        <f>'Tourism Medium DB-LCU'!A101</f>
        <v>Hungary</v>
      </c>
      <c r="B98" s="420" t="str">
        <f>'Tourism Medium DB-LCU'!B101</f>
        <v>Tourism Spend Factors</v>
      </c>
      <c r="C98" s="420" t="str">
        <f>'Tourism Medium DB-LCU'!C101</f>
        <v>Average Expenditure per Domestic Tourist by Sector</v>
      </c>
      <c r="D98" s="423" t="str">
        <f>'Tourism Medium DB-LCU'!D101</f>
        <v>Accommodation</v>
      </c>
      <c r="E98" s="422"/>
      <c r="F98" s="53">
        <f>'Tourism Medium DB-LCU'!I101/'Tourism Medium DB-LCU'!H101-1</f>
        <v>0.28347453588642302</v>
      </c>
      <c r="G98" s="53">
        <f>'Tourism Medium DB-LCU'!J101/'Tourism Medium DB-LCU'!I101-1</f>
        <v>-3.4694478943677942E-2</v>
      </c>
      <c r="H98" s="53">
        <f>'Tourism Medium DB-LCU'!K101/'Tourism Medium DB-LCU'!J101-1</f>
        <v>-1.7759463330573877E-2</v>
      </c>
      <c r="I98" s="53">
        <f>'Tourism Medium DB-LCU'!L101/'Tourism Medium DB-LCU'!K101-1</f>
        <v>0.10609109615942502</v>
      </c>
      <c r="J98" s="53">
        <f>'Tourism Medium DB-LCU'!M101/'Tourism Medium DB-LCU'!L101-1</f>
        <v>6.9512969493446652E-2</v>
      </c>
      <c r="K98" s="53">
        <f>'Tourism Medium DB-LCU'!N101/'Tourism Medium DB-LCU'!M101-1</f>
        <v>-8.9859324381231787E-3</v>
      </c>
      <c r="L98" s="53">
        <f>'Tourism Medium DB-LCU'!O101/'Tourism Medium DB-LCU'!N101-1</f>
        <v>1.4079445887344111E-2</v>
      </c>
      <c r="M98" s="53">
        <f>'Tourism Medium DB-LCU'!P101/'Tourism Medium DB-LCU'!O101-1</f>
        <v>3.3257297108308048E-2</v>
      </c>
      <c r="N98" s="53">
        <f>'Tourism Medium DB-LCU'!Q101/'Tourism Medium DB-LCU'!P101-1</f>
        <v>2.2228684211370142E-2</v>
      </c>
    </row>
    <row r="99" spans="1:14" ht="14.25" customHeight="1">
      <c r="A99" s="420" t="str">
        <f>'Tourism Medium DB-LCU'!A102</f>
        <v>Hungary</v>
      </c>
      <c r="B99" s="420" t="str">
        <f>'Tourism Medium DB-LCU'!B102</f>
        <v>Tourism Spend Factors</v>
      </c>
      <c r="C99" s="420" t="str">
        <f>'Tourism Medium DB-LCU'!C102</f>
        <v>Average Expenditure per Domestic Tourist by Sector</v>
      </c>
      <c r="D99" s="423" t="str">
        <f>'Tourism Medium DB-LCU'!D102</f>
        <v>Entertainment &amp; Sightseeing</v>
      </c>
      <c r="E99" s="422"/>
      <c r="F99" s="53">
        <f>'Tourism Medium DB-LCU'!I102/'Tourism Medium DB-LCU'!H102-1</f>
        <v>0.29188340082250441</v>
      </c>
      <c r="G99" s="53">
        <f>'Tourism Medium DB-LCU'!J102/'Tourism Medium DB-LCU'!I102-1</f>
        <v>-3.1389838971628281E-2</v>
      </c>
      <c r="H99" s="53">
        <f>'Tourism Medium DB-LCU'!K102/'Tourism Medium DB-LCU'!J102-1</f>
        <v>-1.2016230481850743E-2</v>
      </c>
      <c r="I99" s="53">
        <f>'Tourism Medium DB-LCU'!L102/'Tourism Medium DB-LCU'!K102-1</f>
        <v>0.11610600548078809</v>
      </c>
      <c r="J99" s="53">
        <f>'Tourism Medium DB-LCU'!M102/'Tourism Medium DB-LCU'!L102-1</f>
        <v>8.3159016772124783E-2</v>
      </c>
      <c r="K99" s="53">
        <f>'Tourism Medium DB-LCU'!N102/'Tourism Medium DB-LCU'!M102-1</f>
        <v>-7.4984845010211965E-3</v>
      </c>
      <c r="L99" s="53">
        <f>'Tourism Medium DB-LCU'!O102/'Tourism Medium DB-LCU'!N102-1</f>
        <v>5.9864688532560439E-3</v>
      </c>
      <c r="M99" s="53">
        <f>'Tourism Medium DB-LCU'!P102/'Tourism Medium DB-LCU'!O102-1</f>
        <v>3.9197389007208816E-2</v>
      </c>
      <c r="N99" s="53">
        <f>'Tourism Medium DB-LCU'!Q102/'Tourism Medium DB-LCU'!P102-1</f>
        <v>2.8573626316696243E-2</v>
      </c>
    </row>
    <row r="100" spans="1:14" ht="14.25" customHeight="1">
      <c r="A100" s="420" t="str">
        <f>'Tourism Medium DB-LCU'!A103</f>
        <v>Hungary</v>
      </c>
      <c r="B100" s="420" t="str">
        <f>'Tourism Medium DB-LCU'!B103</f>
        <v>Tourism Spend Factors</v>
      </c>
      <c r="C100" s="420" t="str">
        <f>'Tourism Medium DB-LCU'!C103</f>
        <v>Average Expenditure per Domestic Tourist by Sector</v>
      </c>
      <c r="D100" s="423" t="str">
        <f>'Tourism Medium DB-LCU'!D103</f>
        <v>Foodservice</v>
      </c>
      <c r="E100" s="422"/>
      <c r="F100" s="53">
        <f>'Tourism Medium DB-LCU'!I103/'Tourism Medium DB-LCU'!H103-1</f>
        <v>0.29375353249145553</v>
      </c>
      <c r="G100" s="53">
        <f>'Tourism Medium DB-LCU'!J103/'Tourism Medium DB-LCU'!I103-1</f>
        <v>-2.7069387482602347E-2</v>
      </c>
      <c r="H100" s="53">
        <f>'Tourism Medium DB-LCU'!K103/'Tourism Medium DB-LCU'!J103-1</f>
        <v>-1.9010026845321271E-2</v>
      </c>
      <c r="I100" s="53">
        <f>'Tourism Medium DB-LCU'!L103/'Tourism Medium DB-LCU'!K103-1</f>
        <v>0.12389537939740358</v>
      </c>
      <c r="J100" s="53">
        <f>'Tourism Medium DB-LCU'!M103/'Tourism Medium DB-LCU'!L103-1</f>
        <v>7.996867207709335E-2</v>
      </c>
      <c r="K100" s="53">
        <f>'Tourism Medium DB-LCU'!N103/'Tourism Medium DB-LCU'!M103-1</f>
        <v>-1.0211521226981324E-2</v>
      </c>
      <c r="L100" s="53">
        <f>'Tourism Medium DB-LCU'!O103/'Tourism Medium DB-LCU'!N103-1</f>
        <v>2.0553985680238362E-2</v>
      </c>
      <c r="M100" s="53">
        <f>'Tourism Medium DB-LCU'!P103/'Tourism Medium DB-LCU'!O103-1</f>
        <v>4.5179050869286641E-2</v>
      </c>
      <c r="N100" s="53">
        <f>'Tourism Medium DB-LCU'!Q103/'Tourism Medium DB-LCU'!P103-1</f>
        <v>2.6617932468134375E-2</v>
      </c>
    </row>
    <row r="101" spans="1:14" ht="14.25" customHeight="1">
      <c r="A101" s="420" t="str">
        <f>'Tourism Medium DB-LCU'!A104</f>
        <v>Hungary</v>
      </c>
      <c r="B101" s="420" t="str">
        <f>'Tourism Medium DB-LCU'!B104</f>
        <v>Tourism Spend Factors</v>
      </c>
      <c r="C101" s="420" t="str">
        <f>'Tourism Medium DB-LCU'!C104</f>
        <v>Average Expenditure per Domestic Tourist by Sector</v>
      </c>
      <c r="D101" s="423" t="str">
        <f>'Tourism Medium DB-LCU'!D104</f>
        <v>Retail</v>
      </c>
      <c r="E101" s="422"/>
      <c r="F101" s="53">
        <f>'Tourism Medium DB-LCU'!I104/'Tourism Medium DB-LCU'!H104-1</f>
        <v>0.28390332522999095</v>
      </c>
      <c r="G101" s="53">
        <f>'Tourism Medium DB-LCU'!J104/'Tourism Medium DB-LCU'!I104-1</f>
        <v>-2.9894925943775297E-2</v>
      </c>
      <c r="H101" s="53">
        <f>'Tourism Medium DB-LCU'!K104/'Tourism Medium DB-LCU'!J104-1</f>
        <v>-2.0715028060976914E-2</v>
      </c>
      <c r="I101" s="53">
        <f>'Tourism Medium DB-LCU'!L104/'Tourism Medium DB-LCU'!K104-1</f>
        <v>0.10942939926654605</v>
      </c>
      <c r="J101" s="53">
        <f>'Tourism Medium DB-LCU'!M104/'Tourism Medium DB-LCU'!L104-1</f>
        <v>8.070898455202169E-2</v>
      </c>
      <c r="K101" s="53">
        <f>'Tourism Medium DB-LCU'!N104/'Tourism Medium DB-LCU'!M104-1</f>
        <v>-2.6196024192624012E-3</v>
      </c>
      <c r="L101" s="53">
        <f>'Tourism Medium DB-LCU'!O104/'Tourism Medium DB-LCU'!N104-1</f>
        <v>1.3155776834852695E-2</v>
      </c>
      <c r="M101" s="53">
        <f>'Tourism Medium DB-LCU'!P104/'Tourism Medium DB-LCU'!O104-1</f>
        <v>3.3706885962381028E-2</v>
      </c>
      <c r="N101" s="53">
        <f>'Tourism Medium DB-LCU'!Q104/'Tourism Medium DB-LCU'!P104-1</f>
        <v>3.0548836249527644E-2</v>
      </c>
    </row>
    <row r="102" spans="1:14" ht="14.25" customHeight="1">
      <c r="A102" s="420" t="str">
        <f>'Tourism Medium DB-LCU'!A105</f>
        <v>Hungary</v>
      </c>
      <c r="B102" s="420" t="str">
        <f>'Tourism Medium DB-LCU'!B105</f>
        <v>Tourism Spend Factors</v>
      </c>
      <c r="C102" s="420" t="str">
        <f>'Tourism Medium DB-LCU'!C105</f>
        <v>Average Expenditure per Domestic Tourist by Sector</v>
      </c>
      <c r="D102" s="423" t="str">
        <f>'Tourism Medium DB-LCU'!D105</f>
        <v>Transportation</v>
      </c>
      <c r="E102" s="422"/>
      <c r="F102" s="53">
        <f>'Tourism Medium DB-LCU'!I105/'Tourism Medium DB-LCU'!H105-1</f>
        <v>0.28717538361884176</v>
      </c>
      <c r="G102" s="53">
        <f>'Tourism Medium DB-LCU'!J105/'Tourism Medium DB-LCU'!I105-1</f>
        <v>-2.8146892890394959E-2</v>
      </c>
      <c r="H102" s="53">
        <f>'Tourism Medium DB-LCU'!K105/'Tourism Medium DB-LCU'!J105-1</f>
        <v>-1.1902826634932806E-2</v>
      </c>
      <c r="I102" s="53">
        <f>'Tourism Medium DB-LCU'!L105/'Tourism Medium DB-LCU'!K105-1</f>
        <v>0.10609109615942502</v>
      </c>
      <c r="J102" s="53">
        <f>'Tourism Medium DB-LCU'!M105/'Tourism Medium DB-LCU'!L105-1</f>
        <v>8.1468598581894369E-2</v>
      </c>
      <c r="K102" s="53">
        <f>'Tourism Medium DB-LCU'!N105/'Tourism Medium DB-LCU'!M105-1</f>
        <v>-1.0318588816168872E-2</v>
      </c>
      <c r="L102" s="53">
        <f>'Tourism Medium DB-LCU'!O105/'Tourism Medium DB-LCU'!N105-1</f>
        <v>1.2364187938110449E-2</v>
      </c>
      <c r="M102" s="53">
        <f>'Tourism Medium DB-LCU'!P105/'Tourism Medium DB-LCU'!O105-1</f>
        <v>3.5964573791881227E-2</v>
      </c>
      <c r="N102" s="53">
        <f>'Tourism Medium DB-LCU'!Q105/'Tourism Medium DB-LCU'!P105-1</f>
        <v>2.6146472932294662E-2</v>
      </c>
    </row>
    <row r="103" spans="1:14" ht="14.25" customHeight="1">
      <c r="A103" s="420" t="str">
        <f>'Tourism Medium DB-LCU'!A106</f>
        <v>Hungary</v>
      </c>
      <c r="B103" s="420" t="str">
        <f>'Tourism Medium DB-LCU'!B106</f>
        <v>Tourism Spend Factors</v>
      </c>
      <c r="C103" s="420" t="str">
        <f>'Tourism Medium DB-LCU'!C106</f>
        <v>Average Expenditure per Domestic Tourist by Sector</v>
      </c>
      <c r="D103" s="423" t="str">
        <f>'Tourism Medium DB-LCU'!D106</f>
        <v>Travel Intermediation</v>
      </c>
      <c r="E103" s="422"/>
      <c r="F103" s="53">
        <f>'Tourism Medium DB-LCU'!I106/'Tourism Medium DB-LCU'!H106-1</f>
        <v>0.28193503469247583</v>
      </c>
      <c r="G103" s="53">
        <f>'Tourism Medium DB-LCU'!J106/'Tourism Medium DB-LCU'!I106-1</f>
        <v>-3.4142210688770103E-2</v>
      </c>
      <c r="H103" s="53">
        <f>'Tourism Medium DB-LCU'!K106/'Tourism Medium DB-LCU'!J106-1</f>
        <v>-6.9282703856784478E-3</v>
      </c>
      <c r="I103" s="53">
        <f>'Tourism Medium DB-LCU'!L106/'Tourism Medium DB-LCU'!K106-1</f>
        <v>0.12612091480215071</v>
      </c>
      <c r="J103" s="53">
        <f>'Tourism Medium DB-LCU'!M106/'Tourism Medium DB-LCU'!L106-1</f>
        <v>8.0711570437082214E-2</v>
      </c>
      <c r="K103" s="53">
        <f>'Tourism Medium DB-LCU'!N106/'Tourism Medium DB-LCU'!M106-1</f>
        <v>7.1021445978689535E-3</v>
      </c>
      <c r="L103" s="53">
        <f>'Tourism Medium DB-LCU'!O106/'Tourism Medium DB-LCU'!N106-1</f>
        <v>1.8023131943054604E-3</v>
      </c>
      <c r="M103" s="53">
        <f>'Tourism Medium DB-LCU'!P106/'Tourism Medium DB-LCU'!O106-1</f>
        <v>4.9348828071462014E-2</v>
      </c>
      <c r="N103" s="53">
        <f>'Tourism Medium DB-LCU'!Q106/'Tourism Medium DB-LCU'!P106-1</f>
        <v>3.1422369769520619E-2</v>
      </c>
    </row>
    <row r="104" spans="1:14" ht="14.25" customHeight="1">
      <c r="A104" s="420" t="str">
        <f>'Tourism Medium DB-LCU'!A107</f>
        <v>Hungary</v>
      </c>
      <c r="B104" s="420" t="str">
        <f>'Tourism Medium DB-LCU'!B107</f>
        <v>Tourism Spend Factors</v>
      </c>
      <c r="C104" s="420" t="str">
        <f>'Tourism Medium DB-LCU'!C107</f>
        <v>Average Expenditure per Domestic Tourist by Sector</v>
      </c>
      <c r="D104" s="423" t="str">
        <f>'Tourism Medium DB-LCU'!D107</f>
        <v>Other Sectors</v>
      </c>
      <c r="E104" s="422"/>
      <c r="F104" s="53">
        <f>'Tourism Medium DB-LCU'!I107/'Tourism Medium DB-LCU'!H107-1</f>
        <v>0.29937268741062906</v>
      </c>
      <c r="G104" s="53">
        <f>'Tourism Medium DB-LCU'!J107/'Tourism Medium DB-LCU'!I107-1</f>
        <v>-2.6389038715641022E-2</v>
      </c>
      <c r="H104" s="53">
        <f>'Tourism Medium DB-LCU'!K107/'Tourism Medium DB-LCU'!J107-1</f>
        <v>-1.121029286891051E-2</v>
      </c>
      <c r="I104" s="53">
        <f>'Tourism Medium DB-LCU'!L107/'Tourism Medium DB-LCU'!K107-1</f>
        <v>0.11799128182226637</v>
      </c>
      <c r="J104" s="53">
        <f>'Tourism Medium DB-LCU'!M107/'Tourism Medium DB-LCU'!L107-1</f>
        <v>9.094825715691246E-2</v>
      </c>
      <c r="K104" s="53">
        <f>'Tourism Medium DB-LCU'!N107/'Tourism Medium DB-LCU'!M107-1</f>
        <v>-1.8656092711099026E-3</v>
      </c>
      <c r="L104" s="53">
        <f>'Tourism Medium DB-LCU'!O107/'Tourism Medium DB-LCU'!N107-1</f>
        <v>5.6443831820300883E-3</v>
      </c>
      <c r="M104" s="53">
        <f>'Tourism Medium DB-LCU'!P107/'Tourism Medium DB-LCU'!O107-1</f>
        <v>4.1222881798802735E-2</v>
      </c>
      <c r="N104" s="53">
        <f>'Tourism Medium DB-LCU'!Q107/'Tourism Medium DB-LCU'!P107-1</f>
        <v>3.0396469286723127E-2</v>
      </c>
    </row>
    <row r="105" spans="1:14" ht="14.25" customHeight="1">
      <c r="A105" s="432" t="str">
        <f>'Tourism Medium DB-LCU'!A108</f>
        <v>Hungary</v>
      </c>
      <c r="B105" s="432" t="str">
        <f>'Tourism Medium DB-LCU'!B108</f>
        <v>Tourism Spend Factors</v>
      </c>
      <c r="C105" s="433" t="str">
        <f>'Tourism Medium DB-LCU'!C108</f>
        <v>Average Expenditure per International Tourist by Sector</v>
      </c>
      <c r="D105" s="434"/>
      <c r="E105" s="434"/>
      <c r="F105" s="435">
        <f>'Tourism Medium DB-LCU'!I108/'Tourism Medium DB-LCU'!H108-1</f>
        <v>2.7692587984179173E-2</v>
      </c>
      <c r="G105" s="435">
        <f>'Tourism Medium DB-LCU'!J108/'Tourism Medium DB-LCU'!I108-1</f>
        <v>5.2183795410363221E-3</v>
      </c>
      <c r="H105" s="435">
        <f>'Tourism Medium DB-LCU'!K108/'Tourism Medium DB-LCU'!J108-1</f>
        <v>2.6662598197409793E-2</v>
      </c>
      <c r="I105" s="435">
        <f>'Tourism Medium DB-LCU'!L108/'Tourism Medium DB-LCU'!K108-1</f>
        <v>3.5100208943038558E-2</v>
      </c>
      <c r="J105" s="435">
        <f>'Tourism Medium DB-LCU'!M108/'Tourism Medium DB-LCU'!L108-1</f>
        <v>2.3829070977925859E-2</v>
      </c>
      <c r="K105" s="435">
        <f>'Tourism Medium DB-LCU'!N108/'Tourism Medium DB-LCU'!M108-1</f>
        <v>2.0386013314074525E-2</v>
      </c>
      <c r="L105" s="435">
        <f>'Tourism Medium DB-LCU'!O108/'Tourism Medium DB-LCU'!N108-1</f>
        <v>2.1919995690736993E-2</v>
      </c>
      <c r="M105" s="435">
        <f>'Tourism Medium DB-LCU'!P108/'Tourism Medium DB-LCU'!O108-1</f>
        <v>1.7328572285762345E-2</v>
      </c>
      <c r="N105" s="435">
        <f>'Tourism Medium DB-LCU'!Q108/'Tourism Medium DB-LCU'!P108-1</f>
        <v>1.4616173270154409E-2</v>
      </c>
    </row>
    <row r="106" spans="1:14" ht="14.25" customHeight="1">
      <c r="A106" s="420" t="str">
        <f>'Tourism Medium DB-LCU'!A109</f>
        <v>Hungary</v>
      </c>
      <c r="B106" s="420" t="str">
        <f>'Tourism Medium DB-LCU'!B109</f>
        <v>Tourism Spend Factors</v>
      </c>
      <c r="C106" s="420" t="str">
        <f>'Tourism Medium DB-LCU'!C109</f>
        <v>Average Expenditure per International Tourist by Sector</v>
      </c>
      <c r="D106" s="423" t="str">
        <f>'Tourism Medium DB-LCU'!D109</f>
        <v>Accommodation</v>
      </c>
      <c r="E106" s="422"/>
      <c r="F106" s="53">
        <f>'Tourism Medium DB-LCU'!I109/'Tourism Medium DB-LCU'!H109-1</f>
        <v>3.1689407606639408E-2</v>
      </c>
      <c r="G106" s="53">
        <f>'Tourism Medium DB-LCU'!J109/'Tourism Medium DB-LCU'!I109-1</f>
        <v>7.3295391817487232E-3</v>
      </c>
      <c r="H106" s="53">
        <f>'Tourism Medium DB-LCU'!K109/'Tourism Medium DB-LCU'!J109-1</f>
        <v>2.8715923393804577E-2</v>
      </c>
      <c r="I106" s="53">
        <f>'Tourism Medium DB-LCU'!L109/'Tourism Medium DB-LCU'!K109-1</f>
        <v>2.8889607689380536E-2</v>
      </c>
      <c r="J106" s="53">
        <f>'Tourism Medium DB-LCU'!M109/'Tourism Medium DB-LCU'!L109-1</f>
        <v>3.1673929748058383E-2</v>
      </c>
      <c r="K106" s="53">
        <f>'Tourism Medium DB-LCU'!N109/'Tourism Medium DB-LCU'!M109-1</f>
        <v>1.8263205739037502E-2</v>
      </c>
      <c r="L106" s="53">
        <f>'Tourism Medium DB-LCU'!O109/'Tourism Medium DB-LCU'!N109-1</f>
        <v>1.8999436189667485E-2</v>
      </c>
      <c r="M106" s="53">
        <f>'Tourism Medium DB-LCU'!P109/'Tourism Medium DB-LCU'!O109-1</f>
        <v>1.4545939037899469E-2</v>
      </c>
      <c r="N106" s="53">
        <f>'Tourism Medium DB-LCU'!Q109/'Tourism Medium DB-LCU'!P109-1</f>
        <v>1.3634305831453419E-2</v>
      </c>
    </row>
    <row r="107" spans="1:14" ht="14.25" customHeight="1">
      <c r="A107" s="420" t="str">
        <f>'Tourism Medium DB-LCU'!A110</f>
        <v>Hungary</v>
      </c>
      <c r="B107" s="420" t="str">
        <f>'Tourism Medium DB-LCU'!B110</f>
        <v>Tourism Spend Factors</v>
      </c>
      <c r="C107" s="420" t="str">
        <f>'Tourism Medium DB-LCU'!C110</f>
        <v>Average Expenditure per International Tourist by Sector</v>
      </c>
      <c r="D107" s="423" t="str">
        <f>'Tourism Medium DB-LCU'!D110</f>
        <v>Entertainment &amp; Sightseeing</v>
      </c>
      <c r="E107" s="422"/>
      <c r="F107" s="53">
        <f>'Tourism Medium DB-LCU'!I110/'Tourism Medium DB-LCU'!H110-1</f>
        <v>3.3740158719435254E-2</v>
      </c>
      <c r="G107" s="53">
        <f>'Tourism Medium DB-LCU'!J110/'Tourism Medium DB-LCU'!I110-1</f>
        <v>9.266612833643384E-3</v>
      </c>
      <c r="H107" s="53">
        <f>'Tourism Medium DB-LCU'!K110/'Tourism Medium DB-LCU'!J110-1</f>
        <v>2.4568000132745516E-2</v>
      </c>
      <c r="I107" s="53">
        <f>'Tourism Medium DB-LCU'!L110/'Tourism Medium DB-LCU'!K110-1</f>
        <v>4.0275709987753538E-2</v>
      </c>
      <c r="J107" s="53">
        <f>'Tourism Medium DB-LCU'!M110/'Tourism Medium DB-LCU'!L110-1</f>
        <v>2.9479352574372397E-2</v>
      </c>
      <c r="K107" s="53">
        <f>'Tourism Medium DB-LCU'!N110/'Tourism Medium DB-LCU'!M110-1</f>
        <v>1.7228984666075586E-2</v>
      </c>
      <c r="L107" s="53">
        <f>'Tourism Medium DB-LCU'!O110/'Tourism Medium DB-LCU'!N110-1</f>
        <v>2.4511337040078907E-2</v>
      </c>
      <c r="M107" s="53">
        <f>'Tourism Medium DB-LCU'!P110/'Tourism Medium DB-LCU'!O110-1</f>
        <v>2.627013252883903E-2</v>
      </c>
      <c r="N107" s="53">
        <f>'Tourism Medium DB-LCU'!Q110/'Tourism Medium DB-LCU'!P110-1</f>
        <v>1.8317787585031331E-2</v>
      </c>
    </row>
    <row r="108" spans="1:14" ht="14.25" customHeight="1">
      <c r="A108" s="420" t="str">
        <f>'Tourism Medium DB-LCU'!A111</f>
        <v>Hungary</v>
      </c>
      <c r="B108" s="420" t="str">
        <f>'Tourism Medium DB-LCU'!B111</f>
        <v>Tourism Spend Factors</v>
      </c>
      <c r="C108" s="420" t="str">
        <f>'Tourism Medium DB-LCU'!C111</f>
        <v>Average Expenditure per International Tourist by Sector</v>
      </c>
      <c r="D108" s="423" t="str">
        <f>'Tourism Medium DB-LCU'!D111</f>
        <v>Foodservice</v>
      </c>
      <c r="E108" s="422"/>
      <c r="F108" s="53">
        <f>'Tourism Medium DB-LCU'!I111/'Tourism Medium DB-LCU'!H111-1</f>
        <v>2.6113610513017083E-2</v>
      </c>
      <c r="G108" s="53">
        <f>'Tourism Medium DB-LCU'!J111/'Tourism Medium DB-LCU'!I111-1</f>
        <v>1.2118276573419795E-2</v>
      </c>
      <c r="H108" s="53">
        <f>'Tourism Medium DB-LCU'!K111/'Tourism Medium DB-LCU'!J111-1</f>
        <v>2.0681172625303113E-2</v>
      </c>
      <c r="I108" s="53">
        <f>'Tourism Medium DB-LCU'!L111/'Tourism Medium DB-LCU'!K111-1</f>
        <v>3.7170409360924639E-2</v>
      </c>
      <c r="J108" s="53">
        <f>'Tourism Medium DB-LCU'!M111/'Tourism Medium DB-LCU'!L111-1</f>
        <v>2.4672416572818046E-2</v>
      </c>
      <c r="K108" s="53">
        <f>'Tourism Medium DB-LCU'!N111/'Tourism Medium DB-LCU'!M111-1</f>
        <v>2.5124958681389087E-2</v>
      </c>
      <c r="L108" s="53">
        <f>'Tourism Medium DB-LCU'!O111/'Tourism Medium DB-LCU'!N111-1</f>
        <v>1.6459588375669076E-2</v>
      </c>
      <c r="M108" s="53">
        <f>'Tourism Medium DB-LCU'!P111/'Tourism Medium DB-LCU'!O111-1</f>
        <v>1.8761585497926836E-2</v>
      </c>
      <c r="N108" s="53">
        <f>'Tourism Medium DB-LCU'!Q111/'Tourism Medium DB-LCU'!P111-1</f>
        <v>1.835342504331261E-2</v>
      </c>
    </row>
    <row r="109" spans="1:14" ht="14.25" customHeight="1">
      <c r="A109" s="420" t="str">
        <f>'Tourism Medium DB-LCU'!A112</f>
        <v>Hungary</v>
      </c>
      <c r="B109" s="420" t="str">
        <f>'Tourism Medium DB-LCU'!B112</f>
        <v>Tourism Spend Factors</v>
      </c>
      <c r="C109" s="420" t="str">
        <f>'Tourism Medium DB-LCU'!C112</f>
        <v>Average Expenditure per International Tourist by Sector</v>
      </c>
      <c r="D109" s="423" t="str">
        <f>'Tourism Medium DB-LCU'!D112</f>
        <v>Retail</v>
      </c>
      <c r="E109" s="422"/>
      <c r="F109" s="53">
        <f>'Tourism Medium DB-LCU'!I112/'Tourism Medium DB-LCU'!H112-1</f>
        <v>3.4171441520746137E-2</v>
      </c>
      <c r="G109" s="53">
        <f>'Tourism Medium DB-LCU'!J112/'Tourism Medium DB-LCU'!I112-1</f>
        <v>4.2192411113712858E-3</v>
      </c>
      <c r="H109" s="53">
        <f>'Tourism Medium DB-LCU'!K112/'Tourism Medium DB-LCU'!J112-1</f>
        <v>3.1816589186346445E-2</v>
      </c>
      <c r="I109" s="53">
        <f>'Tourism Medium DB-LCU'!L112/'Tourism Medium DB-LCU'!K112-1</f>
        <v>2.9924707898323355E-2</v>
      </c>
      <c r="J109" s="53">
        <f>'Tourism Medium DB-LCU'!M112/'Tourism Medium DB-LCU'!L112-1</f>
        <v>2.3309542918672044E-2</v>
      </c>
      <c r="K109" s="53">
        <f>'Tourism Medium DB-LCU'!N112/'Tourism Medium DB-LCU'!M112-1</f>
        <v>1.770470015107839E-2</v>
      </c>
      <c r="L109" s="53">
        <f>'Tourism Medium DB-LCU'!O112/'Tourism Medium DB-LCU'!N112-1</f>
        <v>1.9032901923352163E-2</v>
      </c>
      <c r="M109" s="53">
        <f>'Tourism Medium DB-LCU'!P112/'Tourism Medium DB-LCU'!O112-1</f>
        <v>1.5635305541469302E-2</v>
      </c>
      <c r="N109" s="53">
        <f>'Tourism Medium DB-LCU'!Q112/'Tourism Medium DB-LCU'!P112-1</f>
        <v>1.4287269079719334E-2</v>
      </c>
    </row>
    <row r="110" spans="1:14" ht="14.25" customHeight="1">
      <c r="A110" s="420" t="str">
        <f>'Tourism Medium DB-LCU'!A113</f>
        <v>Hungary</v>
      </c>
      <c r="B110" s="420" t="str">
        <f>'Tourism Medium DB-LCU'!B113</f>
        <v>Tourism Spend Factors</v>
      </c>
      <c r="C110" s="420" t="str">
        <f>'Tourism Medium DB-LCU'!C113</f>
        <v>Average Expenditure per International Tourist by Sector</v>
      </c>
      <c r="D110" s="423" t="str">
        <f>'Tourism Medium DB-LCU'!D113</f>
        <v>Transportation</v>
      </c>
      <c r="E110" s="422"/>
      <c r="F110" s="53">
        <f>'Tourism Medium DB-LCU'!I113/'Tourism Medium DB-LCU'!H113-1</f>
        <v>2.4849244966566042E-2</v>
      </c>
      <c r="G110" s="53">
        <f>'Tourism Medium DB-LCU'!J113/'Tourism Medium DB-LCU'!I113-1</f>
        <v>2.6631726789592136E-3</v>
      </c>
      <c r="H110" s="53">
        <f>'Tourism Medium DB-LCU'!K113/'Tourism Medium DB-LCU'!J113-1</f>
        <v>2.4546480181553143E-2</v>
      </c>
      <c r="I110" s="53">
        <f>'Tourism Medium DB-LCU'!L113/'Tourism Medium DB-LCU'!K113-1</f>
        <v>4.2345910405639842E-2</v>
      </c>
      <c r="J110" s="53">
        <f>'Tourism Medium DB-LCU'!M113/'Tourism Medium DB-LCU'!L113-1</f>
        <v>1.9334646836652425E-2</v>
      </c>
      <c r="K110" s="53">
        <f>'Tourism Medium DB-LCU'!N113/'Tourism Medium DB-LCU'!M113-1</f>
        <v>2.204433753085433E-2</v>
      </c>
      <c r="L110" s="53">
        <f>'Tourism Medium DB-LCU'!O113/'Tourism Medium DB-LCU'!N113-1</f>
        <v>2.7603761020970063E-2</v>
      </c>
      <c r="M110" s="53">
        <f>'Tourism Medium DB-LCU'!P113/'Tourism Medium DB-LCU'!O113-1</f>
        <v>1.8832682841697368E-2</v>
      </c>
      <c r="N110" s="53">
        <f>'Tourism Medium DB-LCU'!Q113/'Tourism Medium DB-LCU'!P113-1</f>
        <v>1.4208637929970402E-2</v>
      </c>
    </row>
    <row r="111" spans="1:14" ht="14.25" customHeight="1">
      <c r="A111" s="420" t="str">
        <f>'Tourism Medium DB-LCU'!A114</f>
        <v>Hungary</v>
      </c>
      <c r="B111" s="420" t="str">
        <f>'Tourism Medium DB-LCU'!B114</f>
        <v>Tourism Spend Factors</v>
      </c>
      <c r="C111" s="420" t="str">
        <f>'Tourism Medium DB-LCU'!C114</f>
        <v>Average Expenditure per International Tourist by Sector</v>
      </c>
      <c r="D111" s="423" t="str">
        <f>'Tourism Medium DB-LCU'!D114</f>
        <v>Travel Intermediation</v>
      </c>
      <c r="E111" s="422"/>
      <c r="F111" s="53">
        <f>'Tourism Medium DB-LCU'!I114/'Tourism Medium DB-LCU'!H114-1</f>
        <v>2.3470508631032505E-2</v>
      </c>
      <c r="G111" s="53">
        <f>'Tourism Medium DB-LCU'!J114/'Tourism Medium DB-LCU'!I114-1</f>
        <v>9.5811896547615127E-4</v>
      </c>
      <c r="H111" s="53">
        <f>'Tourism Medium DB-LCU'!K114/'Tourism Medium DB-LCU'!J114-1</f>
        <v>2.2481320201428012E-2</v>
      </c>
      <c r="I111" s="53">
        <f>'Tourism Medium DB-LCU'!L114/'Tourism Medium DB-LCU'!K114-1</f>
        <v>2.8889607689380536E-2</v>
      </c>
      <c r="J111" s="53">
        <f>'Tourism Medium DB-LCU'!M114/'Tourism Medium DB-LCU'!L114-1</f>
        <v>3.3383335180730445E-2</v>
      </c>
      <c r="K111" s="53">
        <f>'Tourism Medium DB-LCU'!N114/'Tourism Medium DB-LCU'!M114-1</f>
        <v>1.2480702785234721E-2</v>
      </c>
      <c r="L111" s="53">
        <f>'Tourism Medium DB-LCU'!O114/'Tourism Medium DB-LCU'!N114-1</f>
        <v>3.1101360949432832E-2</v>
      </c>
      <c r="M111" s="53">
        <f>'Tourism Medium DB-LCU'!P114/'Tourism Medium DB-LCU'!O114-1</f>
        <v>2.4925880989017157E-2</v>
      </c>
      <c r="N111" s="53">
        <f>'Tourism Medium DB-LCU'!Q114/'Tourism Medium DB-LCU'!P114-1</f>
        <v>1.9408523329277116E-2</v>
      </c>
    </row>
    <row r="112" spans="1:14" ht="14.25" customHeight="1">
      <c r="A112" s="420" t="str">
        <f>'Tourism Medium DB-LCU'!A115</f>
        <v>Hungary</v>
      </c>
      <c r="B112" s="420" t="str">
        <f>'Tourism Medium DB-LCU'!B115</f>
        <v>Tourism Spend Factors</v>
      </c>
      <c r="C112" s="420" t="str">
        <f>'Tourism Medium DB-LCU'!C115</f>
        <v>Average Expenditure per International Tourist by Sector</v>
      </c>
      <c r="D112" s="423" t="str">
        <f>'Tourism Medium DB-LCU'!D115</f>
        <v>Other Sectors</v>
      </c>
      <c r="E112" s="422"/>
      <c r="F112" s="53">
        <f>'Tourism Medium DB-LCU'!I115/'Tourism Medium DB-LCU'!H115-1</f>
        <v>1.3599649358839949E-2</v>
      </c>
      <c r="G112" s="53">
        <f>'Tourism Medium DB-LCU'!J115/'Tourism Medium DB-LCU'!I115-1</f>
        <v>-9.7437876707062721E-4</v>
      </c>
      <c r="H112" s="53">
        <f>'Tourism Medium DB-LCU'!K115/'Tourism Medium DB-LCU'!J115-1</f>
        <v>2.9174603633543406E-2</v>
      </c>
      <c r="I112" s="53">
        <f>'Tourism Medium DB-LCU'!L115/'Tourism Medium DB-LCU'!K115-1</f>
        <v>2.6750287512478543E-2</v>
      </c>
      <c r="J112" s="53">
        <f>'Tourism Medium DB-LCU'!M115/'Tourism Medium DB-LCU'!L115-1</f>
        <v>2.7474217739556606E-2</v>
      </c>
      <c r="K112" s="53">
        <f>'Tourism Medium DB-LCU'!N115/'Tourism Medium DB-LCU'!M115-1</f>
        <v>1.6447108540914801E-2</v>
      </c>
      <c r="L112" s="53">
        <f>'Tourism Medium DB-LCU'!O115/'Tourism Medium DB-LCU'!N115-1</f>
        <v>2.4184421716056503E-2</v>
      </c>
      <c r="M112" s="53">
        <f>'Tourism Medium DB-LCU'!P115/'Tourism Medium DB-LCU'!O115-1</f>
        <v>1.5001325618972938E-2</v>
      </c>
      <c r="N112" s="53">
        <f>'Tourism Medium DB-LCU'!Q115/'Tourism Medium DB-LCU'!P115-1</f>
        <v>9.2164307940429957E-3</v>
      </c>
    </row>
    <row r="113" spans="1:14" ht="14.25" customHeight="1">
      <c r="A113" s="432" t="str">
        <f>'Tourism Medium DB-LCU'!A116</f>
        <v>Hungary</v>
      </c>
      <c r="B113" s="432" t="str">
        <f>'Tourism Medium DB-LCU'!B116</f>
        <v>Tourism Spend Factors</v>
      </c>
      <c r="C113" s="433" t="str">
        <f>'Tourism Medium DB-LCU'!C116</f>
        <v>Average Overseas Tourism Expenditure per Resident by Sector</v>
      </c>
      <c r="D113" s="434"/>
      <c r="E113" s="434"/>
      <c r="F113" s="435">
        <f>'Tourism Medium DB-LCU'!I116/'Tourism Medium DB-LCU'!H116-1</f>
        <v>6.4417229963048106E-2</v>
      </c>
      <c r="G113" s="435">
        <f>'Tourism Medium DB-LCU'!J116/'Tourism Medium DB-LCU'!I116-1</f>
        <v>0.20139563286709183</v>
      </c>
      <c r="H113" s="435">
        <f>'Tourism Medium DB-LCU'!K116/'Tourism Medium DB-LCU'!J116-1</f>
        <v>0.11549089923172251</v>
      </c>
      <c r="I113" s="435">
        <f>'Tourism Medium DB-LCU'!L116/'Tourism Medium DB-LCU'!K116-1</f>
        <v>0.22059900254260478</v>
      </c>
      <c r="J113" s="435">
        <f>'Tourism Medium DB-LCU'!M116/'Tourism Medium DB-LCU'!L116-1</f>
        <v>8.2609114725699984E-2</v>
      </c>
      <c r="K113" s="435">
        <f>'Tourism Medium DB-LCU'!N116/'Tourism Medium DB-LCU'!M116-1</f>
        <v>9.8998812210969955E-2</v>
      </c>
      <c r="L113" s="435">
        <f>'Tourism Medium DB-LCU'!O116/'Tourism Medium DB-LCU'!N116-1</f>
        <v>4.9471742882821745E-2</v>
      </c>
      <c r="M113" s="435">
        <f>'Tourism Medium DB-LCU'!P116/'Tourism Medium DB-LCU'!O116-1</f>
        <v>8.9087068874921904E-2</v>
      </c>
      <c r="N113" s="435">
        <f>'Tourism Medium DB-LCU'!Q116/'Tourism Medium DB-LCU'!P116-1</f>
        <v>8.8052778410796062E-2</v>
      </c>
    </row>
    <row r="114" spans="1:14" ht="14.25" customHeight="1">
      <c r="A114" s="420" t="str">
        <f>'Tourism Medium DB-LCU'!A117</f>
        <v>Hungary</v>
      </c>
      <c r="B114" s="420" t="str">
        <f>'Tourism Medium DB-LCU'!B117</f>
        <v>Tourism Spend Factors</v>
      </c>
      <c r="C114" s="420" t="str">
        <f>'Tourism Medium DB-LCU'!C117</f>
        <v>Average Overseas Tourism Expenditure per Resident by Sector</v>
      </c>
      <c r="D114" s="423" t="str">
        <f>'Tourism Medium DB-LCU'!D117</f>
        <v>Accommodation</v>
      </c>
      <c r="E114" s="422"/>
      <c r="F114" s="53">
        <f>'Tourism Medium DB-LCU'!I117/'Tourism Medium DB-LCU'!H117-1</f>
        <v>5.5607732812801736E-2</v>
      </c>
      <c r="G114" s="53">
        <f>'Tourism Medium DB-LCU'!J117/'Tourism Medium DB-LCU'!I117-1</f>
        <v>0.19757974783871979</v>
      </c>
      <c r="H114" s="53">
        <f>'Tourism Medium DB-LCU'!K117/'Tourism Medium DB-LCU'!J117-1</f>
        <v>0.10848186849233277</v>
      </c>
      <c r="I114" s="53">
        <f>'Tourism Medium DB-LCU'!L117/'Tourism Medium DB-LCU'!K117-1</f>
        <v>0.22385668463706976</v>
      </c>
      <c r="J114" s="53">
        <f>'Tourism Medium DB-LCU'!M117/'Tourism Medium DB-LCU'!L117-1</f>
        <v>7.5729229925079578E-2</v>
      </c>
      <c r="K114" s="53">
        <f>'Tourism Medium DB-LCU'!N117/'Tourism Medium DB-LCU'!M117-1</f>
        <v>9.7023602042199508E-2</v>
      </c>
      <c r="L114" s="53">
        <f>'Tourism Medium DB-LCU'!O117/'Tourism Medium DB-LCU'!N117-1</f>
        <v>4.4546517514658657E-2</v>
      </c>
      <c r="M114" s="53">
        <f>'Tourism Medium DB-LCU'!P117/'Tourism Medium DB-LCU'!O117-1</f>
        <v>8.5624376985940831E-2</v>
      </c>
      <c r="N114" s="53">
        <f>'Tourism Medium DB-LCU'!Q117/'Tourism Medium DB-LCU'!P117-1</f>
        <v>8.1794770646703041E-2</v>
      </c>
    </row>
    <row r="115" spans="1:14" ht="14.25" customHeight="1">
      <c r="A115" s="420" t="str">
        <f>'Tourism Medium DB-LCU'!A118</f>
        <v>Hungary</v>
      </c>
      <c r="B115" s="420" t="str">
        <f>'Tourism Medium DB-LCU'!B118</f>
        <v>Tourism Spend Factors</v>
      </c>
      <c r="C115" s="420" t="str">
        <f>'Tourism Medium DB-LCU'!C118</f>
        <v>Average Overseas Tourism Expenditure per Resident by Sector</v>
      </c>
      <c r="D115" s="423" t="str">
        <f>'Tourism Medium DB-LCU'!D118</f>
        <v>Entertainment &amp; Sightseeing</v>
      </c>
      <c r="E115" s="422"/>
      <c r="F115" s="53">
        <f>'Tourism Medium DB-LCU'!I118/'Tourism Medium DB-LCU'!H118-1</f>
        <v>7.0359118160277179E-2</v>
      </c>
      <c r="G115" s="53">
        <f>'Tourism Medium DB-LCU'!J118/'Tourism Medium DB-LCU'!I118-1</f>
        <v>0.20341098381485012</v>
      </c>
      <c r="H115" s="53">
        <f>'Tourism Medium DB-LCU'!K118/'Tourism Medium DB-LCU'!J118-1</f>
        <v>0.10088862867078574</v>
      </c>
      <c r="I115" s="53">
        <f>'Tourism Medium DB-LCU'!L118/'Tourism Medium DB-LCU'!K118-1</f>
        <v>0.21532218959471328</v>
      </c>
      <c r="J115" s="53">
        <f>'Tourism Medium DB-LCU'!M118/'Tourism Medium DB-LCU'!L118-1</f>
        <v>7.9973879532580172E-2</v>
      </c>
      <c r="K115" s="53">
        <f>'Tourism Medium DB-LCU'!N118/'Tourism Medium DB-LCU'!M118-1</f>
        <v>9.4040307911890331E-2</v>
      </c>
      <c r="L115" s="53">
        <f>'Tourism Medium DB-LCU'!O118/'Tourism Medium DB-LCU'!N118-1</f>
        <v>4.3358234773698712E-2</v>
      </c>
      <c r="M115" s="53">
        <f>'Tourism Medium DB-LCU'!P118/'Tourism Medium DB-LCU'!O118-1</f>
        <v>9.0462150457639279E-2</v>
      </c>
      <c r="N115" s="53">
        <f>'Tourism Medium DB-LCU'!Q118/'Tourism Medium DB-LCU'!P118-1</f>
        <v>8.7532881688435316E-2</v>
      </c>
    </row>
    <row r="116" spans="1:14" ht="14.25" customHeight="1">
      <c r="A116" s="420" t="str">
        <f>'Tourism Medium DB-LCU'!A119</f>
        <v>Hungary</v>
      </c>
      <c r="B116" s="420" t="str">
        <f>'Tourism Medium DB-LCU'!B119</f>
        <v>Tourism Spend Factors</v>
      </c>
      <c r="C116" s="420" t="str">
        <f>'Tourism Medium DB-LCU'!C119</f>
        <v>Average Overseas Tourism Expenditure per Resident by Sector</v>
      </c>
      <c r="D116" s="423" t="str">
        <f>'Tourism Medium DB-LCU'!D119</f>
        <v>Foodservice</v>
      </c>
      <c r="E116" s="422"/>
      <c r="F116" s="53">
        <f>'Tourism Medium DB-LCU'!I119/'Tourism Medium DB-LCU'!H119-1</f>
        <v>5.9606727013622463E-2</v>
      </c>
      <c r="G116" s="53">
        <f>'Tourism Medium DB-LCU'!J119/'Tourism Medium DB-LCU'!I119-1</f>
        <v>0.20335913403492101</v>
      </c>
      <c r="H116" s="53">
        <f>'Tourism Medium DB-LCU'!K119/'Tourism Medium DB-LCU'!J119-1</f>
        <v>0.10099616202487316</v>
      </c>
      <c r="I116" s="53">
        <f>'Tourism Medium DB-LCU'!L119/'Tourism Medium DB-LCU'!K119-1</f>
        <v>0.21895632075625704</v>
      </c>
      <c r="J116" s="53">
        <f>'Tourism Medium DB-LCU'!M119/'Tourism Medium DB-LCU'!L119-1</f>
        <v>7.4858545998377934E-2</v>
      </c>
      <c r="K116" s="53">
        <f>'Tourism Medium DB-LCU'!N119/'Tourism Medium DB-LCU'!M119-1</f>
        <v>9.1992955944682819E-2</v>
      </c>
      <c r="L116" s="53">
        <f>'Tourism Medium DB-LCU'!O119/'Tourism Medium DB-LCU'!N119-1</f>
        <v>4.5777958441277633E-2</v>
      </c>
      <c r="M116" s="53">
        <f>'Tourism Medium DB-LCU'!P119/'Tourism Medium DB-LCU'!O119-1</f>
        <v>8.5167347043512365E-2</v>
      </c>
      <c r="N116" s="53">
        <f>'Tourism Medium DB-LCU'!Q119/'Tourism Medium DB-LCU'!P119-1</f>
        <v>7.9752772560260698E-2</v>
      </c>
    </row>
    <row r="117" spans="1:14" ht="14.25" customHeight="1">
      <c r="A117" s="420" t="str">
        <f>'Tourism Medium DB-LCU'!A120</f>
        <v>Hungary</v>
      </c>
      <c r="B117" s="420" t="str">
        <f>'Tourism Medium DB-LCU'!B120</f>
        <v>Tourism Spend Factors</v>
      </c>
      <c r="C117" s="420" t="str">
        <f>'Tourism Medium DB-LCU'!C120</f>
        <v>Average Overseas Tourism Expenditure per Resident by Sector</v>
      </c>
      <c r="D117" s="423" t="str">
        <f>'Tourism Medium DB-LCU'!D120</f>
        <v>Retail</v>
      </c>
      <c r="E117" s="422"/>
      <c r="F117" s="53">
        <f>'Tourism Medium DB-LCU'!I120/'Tourism Medium DB-LCU'!H120-1</f>
        <v>7.3429435891033901E-2</v>
      </c>
      <c r="G117" s="53">
        <f>'Tourism Medium DB-LCU'!J120/'Tourism Medium DB-LCU'!I120-1</f>
        <v>0.20787462420994318</v>
      </c>
      <c r="H117" s="53">
        <f>'Tourism Medium DB-LCU'!K120/'Tourism Medium DB-LCU'!J120-1</f>
        <v>0.11001615344364457</v>
      </c>
      <c r="I117" s="53">
        <f>'Tourism Medium DB-LCU'!L120/'Tourism Medium DB-LCU'!K120-1</f>
        <v>0.22991599743498892</v>
      </c>
      <c r="J117" s="53">
        <f>'Tourism Medium DB-LCU'!M120/'Tourism Medium DB-LCU'!L120-1</f>
        <v>9.7620991486647268E-2</v>
      </c>
      <c r="K117" s="53">
        <f>'Tourism Medium DB-LCU'!N120/'Tourism Medium DB-LCU'!M120-1</f>
        <v>9.9378184514535395E-2</v>
      </c>
      <c r="L117" s="53">
        <f>'Tourism Medium DB-LCU'!O120/'Tourism Medium DB-LCU'!N120-1</f>
        <v>5.0057948318257717E-2</v>
      </c>
      <c r="M117" s="53">
        <f>'Tourism Medium DB-LCU'!P120/'Tourism Medium DB-LCU'!O120-1</f>
        <v>9.7491669479538245E-2</v>
      </c>
      <c r="N117" s="53">
        <f>'Tourism Medium DB-LCU'!Q120/'Tourism Medium DB-LCU'!P120-1</f>
        <v>9.3677769943259381E-2</v>
      </c>
    </row>
    <row r="118" spans="1:14" ht="14.25" customHeight="1">
      <c r="A118" s="420" t="str">
        <f>'Tourism Medium DB-LCU'!A121</f>
        <v>Hungary</v>
      </c>
      <c r="B118" s="420" t="str">
        <f>'Tourism Medium DB-LCU'!B121</f>
        <v>Tourism Spend Factors</v>
      </c>
      <c r="C118" s="420" t="str">
        <f>'Tourism Medium DB-LCU'!C121</f>
        <v>Average Overseas Tourism Expenditure per Resident by Sector</v>
      </c>
      <c r="D118" s="423" t="str">
        <f>'Tourism Medium DB-LCU'!D121</f>
        <v>Transportation</v>
      </c>
      <c r="E118" s="422"/>
      <c r="F118" s="53">
        <f>'Tourism Medium DB-LCU'!I121/'Tourism Medium DB-LCU'!H121-1</f>
        <v>0.11481937825407296</v>
      </c>
      <c r="G118" s="53">
        <f>'Tourism Medium DB-LCU'!J121/'Tourism Medium DB-LCU'!I121-1</f>
        <v>0.18934357820581615</v>
      </c>
      <c r="H118" s="53">
        <f>'Tourism Medium DB-LCU'!K121/'Tourism Medium DB-LCU'!J121-1</f>
        <v>0.18158482310257207</v>
      </c>
      <c r="I118" s="53">
        <f>'Tourism Medium DB-LCU'!L121/'Tourism Medium DB-LCU'!K121-1</f>
        <v>0.21391375138633717</v>
      </c>
      <c r="J118" s="53">
        <f>'Tourism Medium DB-LCU'!M121/'Tourism Medium DB-LCU'!L121-1</f>
        <v>0.11029314053307648</v>
      </c>
      <c r="K118" s="53">
        <f>'Tourism Medium DB-LCU'!N121/'Tourism Medium DB-LCU'!M121-1</f>
        <v>0.11251789605752593</v>
      </c>
      <c r="L118" s="53">
        <f>'Tourism Medium DB-LCU'!O121/'Tourism Medium DB-LCU'!N121-1</f>
        <v>6.5935426537802933E-2</v>
      </c>
      <c r="M118" s="53">
        <f>'Tourism Medium DB-LCU'!P121/'Tourism Medium DB-LCU'!O121-1</f>
        <v>9.2897248917445552E-2</v>
      </c>
      <c r="N118" s="53">
        <f>'Tourism Medium DB-LCU'!Q121/'Tourism Medium DB-LCU'!P121-1</f>
        <v>0.11269523262110348</v>
      </c>
    </row>
    <row r="119" spans="1:14" ht="14.25" customHeight="1">
      <c r="A119" s="420" t="str">
        <f>'Tourism Medium DB-LCU'!A122</f>
        <v>Hungary</v>
      </c>
      <c r="B119" s="420" t="str">
        <f>'Tourism Medium DB-LCU'!B122</f>
        <v>Tourism Spend Factors</v>
      </c>
      <c r="C119" s="420" t="str">
        <f>'Tourism Medium DB-LCU'!C122</f>
        <v>Average Overseas Tourism Expenditure per Resident by Sector</v>
      </c>
      <c r="D119" s="423" t="str">
        <f>'Tourism Medium DB-LCU'!D122</f>
        <v>Travel Intermediation</v>
      </c>
      <c r="E119" s="422"/>
      <c r="F119" s="53">
        <f>'Tourism Medium DB-LCU'!I122/'Tourism Medium DB-LCU'!H122-1</f>
        <v>5.5715364968726533E-2</v>
      </c>
      <c r="G119" s="53">
        <f>'Tourism Medium DB-LCU'!J122/'Tourism Medium DB-LCU'!I122-1</f>
        <v>0.2094246125939585</v>
      </c>
      <c r="H119" s="53">
        <f>'Tourism Medium DB-LCU'!K122/'Tourism Medium DB-LCU'!J122-1</f>
        <v>0.10656097471697712</v>
      </c>
      <c r="I119" s="53">
        <f>'Tourism Medium DB-LCU'!L122/'Tourism Medium DB-LCU'!K122-1</f>
        <v>0.21699845874184587</v>
      </c>
      <c r="J119" s="53">
        <f>'Tourism Medium DB-LCU'!M122/'Tourism Medium DB-LCU'!L122-1</f>
        <v>0</v>
      </c>
      <c r="K119" s="53">
        <f>'Tourism Medium DB-LCU'!N122/'Tourism Medium DB-LCU'!M122-1</f>
        <v>7.5529657065859901E-2</v>
      </c>
      <c r="L119" s="53">
        <f>'Tourism Medium DB-LCU'!O122/'Tourism Medium DB-LCU'!N122-1</f>
        <v>9.8868812413034801E-2</v>
      </c>
      <c r="M119" s="53">
        <f>'Tourism Medium DB-LCU'!P122/'Tourism Medium DB-LCU'!O122-1</f>
        <v>4.650237895649223E-2</v>
      </c>
      <c r="N119" s="53">
        <f>'Tourism Medium DB-LCU'!Q122/'Tourism Medium DB-LCU'!P122-1</f>
        <v>9.334558677107152E-2</v>
      </c>
    </row>
    <row r="120" spans="1:14" ht="14.25" customHeight="1">
      <c r="A120" s="420" t="str">
        <f>'Tourism Medium DB-LCU'!A123</f>
        <v>Hungary</v>
      </c>
      <c r="B120" s="420" t="str">
        <f>'Tourism Medium DB-LCU'!B123</f>
        <v>Tourism Spend Factors</v>
      </c>
      <c r="C120" s="420" t="str">
        <f>'Tourism Medium DB-LCU'!C123</f>
        <v>Average Overseas Tourism Expenditure per Resident by Sector</v>
      </c>
      <c r="D120" s="423" t="str">
        <f>'Tourism Medium DB-LCU'!D123</f>
        <v>Other Sectors</v>
      </c>
      <c r="E120" s="422"/>
      <c r="F120" s="53">
        <f>'Tourism Medium DB-LCU'!I123/'Tourism Medium DB-LCU'!H123-1</f>
        <v>3.4227390006081215E-2</v>
      </c>
      <c r="G120" s="53">
        <f>'Tourism Medium DB-LCU'!J123/'Tourism Medium DB-LCU'!I123-1</f>
        <v>0.19588764976716599</v>
      </c>
      <c r="H120" s="53">
        <f>'Tourism Medium DB-LCU'!K123/'Tourism Medium DB-LCU'!J123-1</f>
        <v>0.14101834810993319</v>
      </c>
      <c r="I120" s="53">
        <f>'Tourism Medium DB-LCU'!L123/'Tourism Medium DB-LCU'!K123-1</f>
        <v>0.21158004207494274</v>
      </c>
      <c r="J120" s="53">
        <f>'Tourism Medium DB-LCU'!M123/'Tourism Medium DB-LCU'!L123-1</f>
        <v>7.4081469301961356E-2</v>
      </c>
      <c r="K120" s="53">
        <f>'Tourism Medium DB-LCU'!N123/'Tourism Medium DB-LCU'!M123-1</f>
        <v>0.11173207491413861</v>
      </c>
      <c r="L120" s="53">
        <f>'Tourism Medium DB-LCU'!O123/'Tourism Medium DB-LCU'!N123-1</f>
        <v>6.9555464561490421E-2</v>
      </c>
      <c r="M120" s="53">
        <f>'Tourism Medium DB-LCU'!P123/'Tourism Medium DB-LCU'!O123-1</f>
        <v>7.6505870725287473E-2</v>
      </c>
      <c r="N120" s="53">
        <f>'Tourism Medium DB-LCU'!Q123/'Tourism Medium DB-LCU'!P123-1</f>
        <v>0.10034327422610767</v>
      </c>
    </row>
    <row r="121" spans="1:14" ht="14.25" customHeight="1">
      <c r="A121" s="430" t="str">
        <f>'Tourism Medium DB-LCU'!A124</f>
        <v>Hungary</v>
      </c>
      <c r="B121" s="431" t="str">
        <f>'Tourism Medium DB-LCU'!B124</f>
        <v>Passenger Airlines</v>
      </c>
      <c r="C121" s="425"/>
      <c r="D121" s="425"/>
      <c r="E121" s="425"/>
      <c r="F121" s="426"/>
      <c r="G121" s="426"/>
      <c r="H121" s="426"/>
      <c r="I121" s="426"/>
      <c r="J121" s="426"/>
      <c r="K121" s="426"/>
      <c r="L121" s="426"/>
      <c r="M121" s="426"/>
      <c r="N121" s="426"/>
    </row>
    <row r="122" spans="1:14" ht="14.25" customHeight="1">
      <c r="A122" s="4" t="str">
        <f>'Tourism Medium DB-LCU'!A125</f>
        <v>Hungary</v>
      </c>
      <c r="B122" s="1" t="str">
        <f>'Tourism Medium DB-LCU'!B125</f>
        <v>Passenger Airlines</v>
      </c>
      <c r="C122" s="1" t="str">
        <f>'Tourism Medium DB-LCU'!C125</f>
        <v>Number of Seats Available</v>
      </c>
      <c r="F122" s="53">
        <f>'Tourism Medium DB-LCU'!I125/'Tourism Medium DB-LCU'!H125-1</f>
        <v>-0.12171808261958639</v>
      </c>
      <c r="G122" s="53">
        <f>'Tourism Medium DB-LCU'!J125/'Tourism Medium DB-LCU'!I125-1</f>
        <v>3.6199398610730071E-2</v>
      </c>
      <c r="H122" s="53">
        <f>'Tourism Medium DB-LCU'!K125/'Tourism Medium DB-LCU'!J125-1</f>
        <v>0.11007345148925296</v>
      </c>
      <c r="I122" s="53">
        <f>'Tourism Medium DB-LCU'!L125/'Tourism Medium DB-LCU'!K125-1</f>
        <v>2.0181200664632915E-3</v>
      </c>
      <c r="J122" s="53">
        <f>'Tourism Medium DB-LCU'!M125/'Tourism Medium DB-LCU'!L125-1</f>
        <v>3.5858304289057896E-2</v>
      </c>
      <c r="K122" s="53">
        <f>'Tourism Medium DB-LCU'!N125/'Tourism Medium DB-LCU'!M125-1</f>
        <v>1.4838150140479289E-2</v>
      </c>
      <c r="L122" s="53">
        <f>'Tourism Medium DB-LCU'!O125/'Tourism Medium DB-LCU'!N125-1</f>
        <v>2.7880042546537753E-2</v>
      </c>
      <c r="M122" s="53">
        <f>'Tourism Medium DB-LCU'!P125/'Tourism Medium DB-LCU'!O125-1</f>
        <v>2.7772180692544834E-2</v>
      </c>
      <c r="N122" s="53">
        <f>'Tourism Medium DB-LCU'!Q125/'Tourism Medium DB-LCU'!P125-1</f>
        <v>3.3496283736586641E-2</v>
      </c>
    </row>
    <row r="123" spans="1:14" ht="14.25" customHeight="1">
      <c r="A123" s="4" t="str">
        <f>'Tourism Medium DB-LCU'!A126</f>
        <v>Hungary</v>
      </c>
      <c r="B123" s="4" t="str">
        <f>'Tourism Medium DB-LCU'!B126</f>
        <v>Passenger Airlines</v>
      </c>
      <c r="C123" s="1" t="str">
        <f>'Tourism Medium DB-LCU'!C126</f>
        <v>Number of Seats Sold by Passenger Type</v>
      </c>
      <c r="F123" s="53">
        <f>'Tourism Medium DB-LCU'!I126/'Tourism Medium DB-LCU'!H126-1</f>
        <v>-9.3343767403671785E-2</v>
      </c>
      <c r="G123" s="53">
        <f>'Tourism Medium DB-LCU'!J126/'Tourism Medium DB-LCU'!I126-1</f>
        <v>5.7818002608891472E-2</v>
      </c>
      <c r="H123" s="53">
        <f>'Tourism Medium DB-LCU'!K126/'Tourism Medium DB-LCU'!J126-1</f>
        <v>0.11630129089260399</v>
      </c>
      <c r="I123" s="53">
        <f>'Tourism Medium DB-LCU'!L126/'Tourism Medium DB-LCU'!K126-1</f>
        <v>2.154432954879093E-2</v>
      </c>
      <c r="J123" s="53">
        <f>'Tourism Medium DB-LCU'!M126/'Tourism Medium DB-LCU'!L126-1</f>
        <v>2.4741566662585868E-2</v>
      </c>
      <c r="K123" s="53">
        <f>'Tourism Medium DB-LCU'!N126/'Tourism Medium DB-LCU'!M126-1</f>
        <v>2.3302877205472861E-2</v>
      </c>
      <c r="L123" s="53">
        <f>'Tourism Medium DB-LCU'!O126/'Tourism Medium DB-LCU'!N126-1</f>
        <v>2.9895950112444725E-2</v>
      </c>
      <c r="M123" s="53">
        <f>'Tourism Medium DB-LCU'!P126/'Tourism Medium DB-LCU'!O126-1</f>
        <v>3.3089121156980372E-2</v>
      </c>
      <c r="N123" s="53">
        <f>'Tourism Medium DB-LCU'!Q126/'Tourism Medium DB-LCU'!P126-1</f>
        <v>3.4007372397658164E-2</v>
      </c>
    </row>
    <row r="124" spans="1:14" ht="14.25" customHeight="1">
      <c r="A124" s="4" t="str">
        <f>'Tourism Medium DB-LCU'!A127</f>
        <v>Hungary</v>
      </c>
      <c r="B124" s="4" t="str">
        <f>'Tourism Medium DB-LCU'!B127</f>
        <v>Passenger Airlines</v>
      </c>
      <c r="C124" s="4" t="str">
        <f>'Tourism Medium DB-LCU'!C127</f>
        <v>Number of Seats Sold by Passenger Type</v>
      </c>
      <c r="D124" s="1" t="str">
        <f>'Tourism Medium DB-LCU'!D127</f>
        <v>Business</v>
      </c>
      <c r="F124" s="53">
        <f>'Tourism Medium DB-LCU'!I127/'Tourism Medium DB-LCU'!H127-1</f>
        <v>-4.7933037381452936E-2</v>
      </c>
      <c r="G124" s="53">
        <f>'Tourism Medium DB-LCU'!J127/'Tourism Medium DB-LCU'!I127-1</f>
        <v>2.8274039816728047E-2</v>
      </c>
      <c r="H124" s="53">
        <f>'Tourism Medium DB-LCU'!K127/'Tourism Medium DB-LCU'!J127-1</f>
        <v>5.8507480744734108E-2</v>
      </c>
      <c r="I124" s="53">
        <f>'Tourism Medium DB-LCU'!L127/'Tourism Medium DB-LCU'!K127-1</f>
        <v>1.1430029256228824E-2</v>
      </c>
      <c r="J124" s="53">
        <f>'Tourism Medium DB-LCU'!M127/'Tourism Medium DB-LCU'!L127-1</f>
        <v>1.4979330215810105E-2</v>
      </c>
      <c r="K124" s="53">
        <f>'Tourism Medium DB-LCU'!N127/'Tourism Medium DB-LCU'!M127-1</f>
        <v>1.564765044956995E-2</v>
      </c>
      <c r="L124" s="53">
        <f>'Tourism Medium DB-LCU'!O127/'Tourism Medium DB-LCU'!N127-1</f>
        <v>1.5586632755733909E-2</v>
      </c>
      <c r="M124" s="53">
        <f>'Tourism Medium DB-LCU'!P127/'Tourism Medium DB-LCU'!O127-1</f>
        <v>2.3602275605142609E-2</v>
      </c>
      <c r="N124" s="53">
        <f>'Tourism Medium DB-LCU'!Q127/'Tourism Medium DB-LCU'!P127-1</f>
        <v>2.4679042409792462E-2</v>
      </c>
    </row>
    <row r="125" spans="1:14" ht="14.25" customHeight="1">
      <c r="A125" s="4" t="str">
        <f>'Tourism Medium DB-LCU'!A128</f>
        <v>Hungary</v>
      </c>
      <c r="B125" s="4" t="str">
        <f>'Tourism Medium DB-LCU'!B128</f>
        <v>Passenger Airlines</v>
      </c>
      <c r="C125" s="4" t="str">
        <f>'Tourism Medium DB-LCU'!C128</f>
        <v>Number of Seats Sold by Passenger Type</v>
      </c>
      <c r="D125" s="1" t="str">
        <f>'Tourism Medium DB-LCU'!D128</f>
        <v>Leisure</v>
      </c>
      <c r="F125" s="53">
        <f>'Tourism Medium DB-LCU'!I128/'Tourism Medium DB-LCU'!H128-1</f>
        <v>-0.12587717512588426</v>
      </c>
      <c r="G125" s="53">
        <f>'Tourism Medium DB-LCU'!J128/'Tourism Medium DB-LCU'!I128-1</f>
        <v>8.0871395641080257E-2</v>
      </c>
      <c r="H125" s="53">
        <f>'Tourism Medium DB-LCU'!K128/'Tourism Medium DB-LCU'!J128-1</f>
        <v>0.15920375944327669</v>
      </c>
      <c r="I125" s="53">
        <f>'Tourism Medium DB-LCU'!L128/'Tourism Medium DB-LCU'!K128-1</f>
        <v>2.8400331760527697E-2</v>
      </c>
      <c r="J125" s="53">
        <f>'Tourism Medium DB-LCU'!M128/'Tourism Medium DB-LCU'!L128-1</f>
        <v>3.124972429376971E-2</v>
      </c>
      <c r="K125" s="53">
        <f>'Tourism Medium DB-LCU'!N128/'Tourism Medium DB-LCU'!M128-1</f>
        <v>2.8325842217287178E-2</v>
      </c>
      <c r="L125" s="53">
        <f>'Tourism Medium DB-LCU'!O128/'Tourism Medium DB-LCU'!N128-1</f>
        <v>3.9169229136983619E-2</v>
      </c>
      <c r="M125" s="53">
        <f>'Tourism Medium DB-LCU'!P128/'Tourism Medium DB-LCU'!O128-1</f>
        <v>3.9097633251188535E-2</v>
      </c>
      <c r="N125" s="53">
        <f>'Tourism Medium DB-LCU'!Q128/'Tourism Medium DB-LCU'!P128-1</f>
        <v>3.9827384628237983E-2</v>
      </c>
    </row>
    <row r="126" spans="1:14" ht="14.25" customHeight="1">
      <c r="A126" s="4" t="str">
        <f>'Tourism Medium DB-LCU'!A129</f>
        <v>Hungary</v>
      </c>
      <c r="B126" s="4" t="str">
        <f>'Tourism Medium DB-LCU'!B129</f>
        <v>Passenger Airlines</v>
      </c>
      <c r="C126" s="1" t="str">
        <f>'Tourism Medium DB-LCU'!C129</f>
        <v>Load Factor</v>
      </c>
      <c r="F126" s="53">
        <f>'Tourism Medium DB-LCU'!I129/'Tourism Medium DB-LCU'!H129-1</f>
        <v>2.7941176470588136E-2</v>
      </c>
      <c r="G126" s="53">
        <f>'Tourism Medium DB-LCU'!J129/'Tourism Medium DB-LCU'!I129-1</f>
        <v>3.9889958734525388E-2</v>
      </c>
      <c r="H126" s="53">
        <f>'Tourism Medium DB-LCU'!K129/'Tourism Medium DB-LCU'!J129-1</f>
        <v>-9.2592592592593004E-3</v>
      </c>
      <c r="I126" s="53">
        <f>'Tourism Medium DB-LCU'!L129/'Tourism Medium DB-LCU'!K129-1</f>
        <v>2.4032042723631575E-2</v>
      </c>
      <c r="J126" s="53">
        <f>'Tourism Medium DB-LCU'!M129/'Tourism Medium DB-LCU'!L129-1</f>
        <v>9.2496870739950943E-3</v>
      </c>
      <c r="K126" s="53">
        <f>'Tourism Medium DB-LCU'!N129/'Tourism Medium DB-LCU'!M129-1</f>
        <v>3.2710656275869443E-3</v>
      </c>
      <c r="L126" s="53">
        <f>'Tourism Medium DB-LCU'!O129/'Tourism Medium DB-LCU'!N129-1</f>
        <v>7.7330661697088132E-3</v>
      </c>
      <c r="M126" s="53">
        <f>'Tourism Medium DB-LCU'!P129/'Tourism Medium DB-LCU'!O129-1</f>
        <v>1.9155022806414124E-3</v>
      </c>
      <c r="N126" s="53">
        <f>'Tourism Medium DB-LCU'!Q129/'Tourism Medium DB-LCU'!P129-1</f>
        <v>6.286504246668434E-3</v>
      </c>
    </row>
    <row r="127" spans="1:14" ht="14.25" customHeight="1">
      <c r="A127" s="4" t="str">
        <f>'Tourism Medium DB-LCU'!A130</f>
        <v>Hungary</v>
      </c>
      <c r="B127" s="4" t="str">
        <f>'Tourism Medium DB-LCU'!B130</f>
        <v>Passenger Airlines</v>
      </c>
      <c r="C127" s="1" t="str">
        <f>'Tourism Medium DB-LCU'!C130</f>
        <v>Number of Passenger Kilometers Available</v>
      </c>
      <c r="F127" s="53">
        <f>'Tourism Medium DB-LCU'!I130/'Tourism Medium DB-LCU'!H130-1</f>
        <v>-0.11165068100244557</v>
      </c>
      <c r="G127" s="53">
        <f>'Tourism Medium DB-LCU'!J130/'Tourism Medium DB-LCU'!I130-1</f>
        <v>2.3970088849520232E-2</v>
      </c>
      <c r="H127" s="53">
        <f>'Tourism Medium DB-LCU'!K130/'Tourism Medium DB-LCU'!J130-1</f>
        <v>0.12899683106390913</v>
      </c>
      <c r="I127" s="53">
        <f>'Tourism Medium DB-LCU'!L130/'Tourism Medium DB-LCU'!K130-1</f>
        <v>5.2227973435425845E-3</v>
      </c>
      <c r="J127" s="53">
        <f>'Tourism Medium DB-LCU'!M130/'Tourism Medium DB-LCU'!L130-1</f>
        <v>2.2269683959807107E-2</v>
      </c>
      <c r="K127" s="53">
        <f>'Tourism Medium DB-LCU'!N130/'Tourism Medium DB-LCU'!M130-1</f>
        <v>2.81316742787181E-2</v>
      </c>
      <c r="L127" s="53">
        <f>'Tourism Medium DB-LCU'!O130/'Tourism Medium DB-LCU'!N130-1</f>
        <v>2.7980353108285394E-2</v>
      </c>
      <c r="M127" s="53">
        <f>'Tourism Medium DB-LCU'!P130/'Tourism Medium DB-LCU'!O130-1</f>
        <v>3.5573530410230481E-2</v>
      </c>
      <c r="N127" s="53">
        <f>'Tourism Medium DB-LCU'!Q130/'Tourism Medium DB-LCU'!P130-1</f>
        <v>3.8512803505521997E-2</v>
      </c>
    </row>
    <row r="128" spans="1:14" ht="14.25" customHeight="1">
      <c r="A128" s="4" t="str">
        <f>'Tourism Medium DB-LCU'!A131</f>
        <v>Hungary</v>
      </c>
      <c r="B128" s="4" t="str">
        <f>'Tourism Medium DB-LCU'!B131</f>
        <v>Passenger Airlines</v>
      </c>
      <c r="C128" s="1" t="str">
        <f>'Tourism Medium DB-LCU'!C131</f>
        <v>Number of Revenue-Generating Passenger Kilometers</v>
      </c>
      <c r="F128" s="53">
        <f>'Tourism Medium DB-LCU'!I131/'Tourism Medium DB-LCU'!H131-1</f>
        <v>-8.6829155912808154E-2</v>
      </c>
      <c r="G128" s="53">
        <f>'Tourism Medium DB-LCU'!J131/'Tourism Medium DB-LCU'!I131-1</f>
        <v>6.4816213439115922E-2</v>
      </c>
      <c r="H128" s="53">
        <f>'Tourism Medium DB-LCU'!K131/'Tourism Medium DB-LCU'!J131-1</f>
        <v>0.11854315670220639</v>
      </c>
      <c r="I128" s="53">
        <f>'Tourism Medium DB-LCU'!L131/'Tourism Medium DB-LCU'!K131-1</f>
        <v>2.9380354556070909E-2</v>
      </c>
      <c r="J128" s="53">
        <f>'Tourism Medium DB-LCU'!M131/'Tourism Medium DB-LCU'!L131-1</f>
        <v>3.1725358641667034E-2</v>
      </c>
      <c r="K128" s="53">
        <f>'Tourism Medium DB-LCU'!N131/'Tourism Medium DB-LCU'!M131-1</f>
        <v>3.1494760459084503E-2</v>
      </c>
      <c r="L128" s="53">
        <f>'Tourism Medium DB-LCU'!O131/'Tourism Medium DB-LCU'!N131-1</f>
        <v>3.5929793200032423E-2</v>
      </c>
      <c r="M128" s="53">
        <f>'Tourism Medium DB-LCU'!P131/'Tourism Medium DB-LCU'!O131-1</f>
        <v>3.7557173869503302E-2</v>
      </c>
      <c r="N128" s="53">
        <f>'Tourism Medium DB-LCU'!Q131/'Tourism Medium DB-LCU'!P131-1</f>
        <v>4.5041418654979015E-2</v>
      </c>
    </row>
    <row r="129" spans="1:14 16373:16375" ht="14.25" customHeight="1">
      <c r="A129" s="4" t="str">
        <f>'Tourism Medium DB-LCU'!A132</f>
        <v>Hungary</v>
      </c>
      <c r="B129" s="4" t="str">
        <f>'Tourism Medium DB-LCU'!B132</f>
        <v>Passenger Airlines</v>
      </c>
      <c r="C129" s="1" t="str">
        <f>'Tourism Medium DB-LCU'!C132</f>
        <v>Revenue per Passenger</v>
      </c>
      <c r="F129" s="53">
        <f>'Tourism Medium DB-LCU'!I132/'Tourism Medium DB-LCU'!H132-1</f>
        <v>-6.3386234608097447E-2</v>
      </c>
      <c r="G129" s="53">
        <f>'Tourism Medium DB-LCU'!J132/'Tourism Medium DB-LCU'!I132-1</f>
        <v>-0.11262487408027466</v>
      </c>
      <c r="H129" s="53">
        <f>'Tourism Medium DB-LCU'!K132/'Tourism Medium DB-LCU'!J132-1</f>
        <v>-6.6243909994634032E-2</v>
      </c>
      <c r="I129" s="53">
        <f>'Tourism Medium DB-LCU'!L132/'Tourism Medium DB-LCU'!K132-1</f>
        <v>1.2184285401158235E-2</v>
      </c>
      <c r="J129" s="53">
        <f>'Tourism Medium DB-LCU'!M132/'Tourism Medium DB-LCU'!L132-1</f>
        <v>4.2760382714928102E-3</v>
      </c>
      <c r="K129" s="53">
        <f>'Tourism Medium DB-LCU'!N132/'Tourism Medium DB-LCU'!M132-1</f>
        <v>2.2262430282442569E-3</v>
      </c>
      <c r="L129" s="53">
        <f>'Tourism Medium DB-LCU'!O132/'Tourism Medium DB-LCU'!N132-1</f>
        <v>2.9303096330997036E-3</v>
      </c>
      <c r="M129" s="53">
        <f>'Tourism Medium DB-LCU'!P132/'Tourism Medium DB-LCU'!O132-1</f>
        <v>5.3845032085009237E-3</v>
      </c>
      <c r="N129" s="53">
        <f>'Tourism Medium DB-LCU'!Q132/'Tourism Medium DB-LCU'!P132-1</f>
        <v>6.9987309101291473E-3</v>
      </c>
    </row>
    <row r="130" spans="1:14 16373:16375" ht="14.25" customHeight="1">
      <c r="A130" s="4" t="str">
        <f>'Tourism Medium DB-LCU'!A133</f>
        <v>Hungary</v>
      </c>
      <c r="B130" s="4" t="str">
        <f>'Tourism Medium DB-LCU'!B133</f>
        <v>Passenger Airlines</v>
      </c>
      <c r="C130" s="1" t="str">
        <f>'Tourism Medium DB-LCU'!C133</f>
        <v>Total Revenue</v>
      </c>
      <c r="F130" s="53">
        <f>'Tourism Medium DB-LCU'!I133/'Tourism Medium DB-LCU'!H133-1</f>
        <v>-0.1508132920719164</v>
      </c>
      <c r="G130" s="53">
        <f>'Tourism Medium DB-LCU'!J133/'Tourism Medium DB-LCU'!I133-1</f>
        <v>-6.1318616734782561E-2</v>
      </c>
      <c r="H130" s="53">
        <f>'Tourism Medium DB-LCU'!K133/'Tourism Medium DB-LCU'!J133-1</f>
        <v>4.2353128651820615E-2</v>
      </c>
      <c r="I130" s="53">
        <f>'Tourism Medium DB-LCU'!L133/'Tourism Medium DB-LCU'!K133-1</f>
        <v>3.3991117209948296E-2</v>
      </c>
      <c r="J130" s="53">
        <f>'Tourism Medium DB-LCU'!M133/'Tourism Medium DB-LCU'!L133-1</f>
        <v>2.9123400820024514E-2</v>
      </c>
      <c r="K130" s="53">
        <f>'Tourism Medium DB-LCU'!N133/'Tourism Medium DB-LCU'!M133-1</f>
        <v>2.5580998101633723E-2</v>
      </c>
      <c r="L130" s="53">
        <f>'Tourism Medium DB-LCU'!O133/'Tourism Medium DB-LCU'!N133-1</f>
        <v>3.2913864136149718E-2</v>
      </c>
      <c r="M130" s="53">
        <f>'Tourism Medium DB-LCU'!P133/'Tourism Medium DB-LCU'!O133-1</f>
        <v>3.8651792844517585E-2</v>
      </c>
      <c r="N130" s="53">
        <f>'Tourism Medium DB-LCU'!Q133/'Tourism Medium DB-LCU'!P133-1</f>
        <v>4.1244111756159052E-2</v>
      </c>
    </row>
    <row r="131" spans="1:14 16373:16375" s="15" customFormat="1" ht="14.25" customHeight="1">
      <c r="A131" s="430" t="str">
        <f>'Tourism Medium DB-LCU'!A134</f>
        <v>Hungary</v>
      </c>
      <c r="B131" s="431" t="str">
        <f>'Tourism Medium DB-LCU'!B134</f>
        <v>Car Rental</v>
      </c>
      <c r="C131" s="425"/>
      <c r="D131" s="425"/>
      <c r="E131" s="425"/>
      <c r="F131" s="426"/>
      <c r="G131" s="426"/>
      <c r="H131" s="426"/>
      <c r="I131" s="426"/>
      <c r="J131" s="426"/>
      <c r="K131" s="426"/>
      <c r="L131" s="426"/>
      <c r="M131" s="426"/>
      <c r="N131" s="426"/>
      <c r="XES131" s="6"/>
      <c r="XET131" s="6"/>
      <c r="XEU131" s="6"/>
    </row>
    <row r="132" spans="1:14 16373:16375" ht="14.25" customHeight="1">
      <c r="A132" s="441" t="str">
        <f>'Tourism Medium DB-LCU'!A135</f>
        <v>Hungary</v>
      </c>
      <c r="B132" s="2" t="str">
        <f>'Tourism Medium DB-LCU'!B135</f>
        <v>Car Rental</v>
      </c>
      <c r="C132" s="2" t="str">
        <f>'Tourism Medium DB-LCU'!C135</f>
        <v>Market Value by Customer Type</v>
      </c>
      <c r="D132" s="2"/>
      <c r="E132" s="2"/>
      <c r="F132" s="440">
        <f>'Tourism Medium DB-LCU'!I135/'Tourism Medium DB-LCU'!H135-1</f>
        <v>-7.3063026896828531E-2</v>
      </c>
      <c r="G132" s="440">
        <f>'Tourism Medium DB-LCU'!J135/'Tourism Medium DB-LCU'!I135-1</f>
        <v>0.12319529836519427</v>
      </c>
      <c r="H132" s="440">
        <f>'Tourism Medium DB-LCU'!K135/'Tourism Medium DB-LCU'!J135-1</f>
        <v>4.9369369369369309E-2</v>
      </c>
      <c r="I132" s="440">
        <f>'Tourism Medium DB-LCU'!L135/'Tourism Medium DB-LCU'!K135-1</f>
        <v>-3.3997252747252849E-2</v>
      </c>
      <c r="J132" s="440">
        <f>'Tourism Medium DB-LCU'!M135/'Tourism Medium DB-LCU'!L135-1</f>
        <v>3.093098037525821E-2</v>
      </c>
      <c r="K132" s="440">
        <f>'Tourism Medium DB-LCU'!N135/'Tourism Medium DB-LCU'!M135-1</f>
        <v>3.4230458030390265E-2</v>
      </c>
      <c r="L132" s="440">
        <f>'Tourism Medium DB-LCU'!O135/'Tourism Medium DB-LCU'!N135-1</f>
        <v>3.0986659382999271E-2</v>
      </c>
      <c r="M132" s="440">
        <f>'Tourism Medium DB-LCU'!P135/'Tourism Medium DB-LCU'!O135-1</f>
        <v>3.8878035070377681E-2</v>
      </c>
      <c r="N132" s="440">
        <f>'Tourism Medium DB-LCU'!Q135/'Tourism Medium DB-LCU'!P135-1</f>
        <v>3.4536119631578988E-2</v>
      </c>
    </row>
    <row r="133" spans="1:14 16373:16375" ht="14.25" customHeight="1">
      <c r="A133" s="4" t="str">
        <f>'Tourism Medium DB-LCU'!A136</f>
        <v>Hungary</v>
      </c>
      <c r="B133" s="4" t="str">
        <f>'Tourism Medium DB-LCU'!B136</f>
        <v>Car Rental</v>
      </c>
      <c r="C133" s="4" t="str">
        <f>'Tourism Medium DB-LCU'!C136</f>
        <v>Market Value by Customer Type</v>
      </c>
      <c r="D133" s="1" t="str">
        <f>'Tourism Medium DB-LCU'!D136</f>
        <v>Business</v>
      </c>
      <c r="F133" s="53">
        <f>'Tourism Medium DB-LCU'!I136/'Tourism Medium DB-LCU'!H136-1</f>
        <v>-0.40936897682596385</v>
      </c>
      <c r="G133" s="53">
        <f>'Tourism Medium DB-LCU'!J136/'Tourism Medium DB-LCU'!I136-1</f>
        <v>0.16106741071526542</v>
      </c>
      <c r="H133" s="53">
        <f>'Tourism Medium DB-LCU'!K136/'Tourism Medium DB-LCU'!J136-1</f>
        <v>0.73282020685131632</v>
      </c>
      <c r="I133" s="53">
        <f>'Tourism Medium DB-LCU'!L136/'Tourism Medium DB-LCU'!K136-1</f>
        <v>4.7540627894804954E-2</v>
      </c>
      <c r="J133" s="53">
        <f>'Tourism Medium DB-LCU'!M136/'Tourism Medium DB-LCU'!L136-1</f>
        <v>6.8131714589396264E-2</v>
      </c>
      <c r="K133" s="53">
        <f>'Tourism Medium DB-LCU'!N136/'Tourism Medium DB-LCU'!M136-1</f>
        <v>0.21696375870411622</v>
      </c>
      <c r="L133" s="53">
        <f>'Tourism Medium DB-LCU'!O136/'Tourism Medium DB-LCU'!N136-1</f>
        <v>0.26385497451189432</v>
      </c>
      <c r="M133" s="53">
        <f>'Tourism Medium DB-LCU'!P136/'Tourism Medium DB-LCU'!O136-1</f>
        <v>0.18212534704831129</v>
      </c>
      <c r="N133" s="53">
        <f>'Tourism Medium DB-LCU'!Q136/'Tourism Medium DB-LCU'!P136-1</f>
        <v>0.18127741918309548</v>
      </c>
    </row>
    <row r="134" spans="1:14 16373:16375" ht="14.25" customHeight="1">
      <c r="A134" s="4" t="str">
        <f>'Tourism Medium DB-LCU'!A137</f>
        <v>Hungary</v>
      </c>
      <c r="B134" s="4" t="str">
        <f>'Tourism Medium DB-LCU'!B137</f>
        <v>Car Rental</v>
      </c>
      <c r="C134" s="4" t="str">
        <f>'Tourism Medium DB-LCU'!C137</f>
        <v>Market Value by Customer Type</v>
      </c>
      <c r="D134" s="1" t="str">
        <f>'Tourism Medium DB-LCU'!D137</f>
        <v>Leisure</v>
      </c>
      <c r="F134" s="53">
        <f>'Tourism Medium DB-LCU'!I137/'Tourism Medium DB-LCU'!H137-1</f>
        <v>0.11530482125991082</v>
      </c>
      <c r="G134" s="53">
        <f>'Tourism Medium DB-LCU'!J137/'Tourism Medium DB-LCU'!I137-1</f>
        <v>-0.16158482266407892</v>
      </c>
      <c r="H134" s="53">
        <f>'Tourism Medium DB-LCU'!K137/'Tourism Medium DB-LCU'!J137-1</f>
        <v>-8.6748137129950109E-2</v>
      </c>
      <c r="I134" s="53">
        <f>'Tourism Medium DB-LCU'!L137/'Tourism Medium DB-LCU'!K137-1</f>
        <v>6.8641097370234494E-2</v>
      </c>
      <c r="J134" s="53">
        <f>'Tourism Medium DB-LCU'!M137/'Tourism Medium DB-LCU'!L137-1</f>
        <v>-2.8826927035603411E-3</v>
      </c>
      <c r="K134" s="53">
        <f>'Tourism Medium DB-LCU'!N137/'Tourism Medium DB-LCU'!M137-1</f>
        <v>-5.1414858169120059E-2</v>
      </c>
      <c r="L134" s="53">
        <f>'Tourism Medium DB-LCU'!O137/'Tourism Medium DB-LCU'!N137-1</f>
        <v>-5.8083434291500424E-3</v>
      </c>
      <c r="M134" s="53">
        <f>'Tourism Medium DB-LCU'!P137/'Tourism Medium DB-LCU'!O137-1</f>
        <v>2.4036575162415641E-2</v>
      </c>
      <c r="N134" s="53">
        <f>'Tourism Medium DB-LCU'!Q137/'Tourism Medium DB-LCU'!P137-1</f>
        <v>-7.8465142413211009E-3</v>
      </c>
    </row>
    <row r="135" spans="1:14 16373:16375" ht="14.25" customHeight="1">
      <c r="A135" s="4" t="str">
        <f>'Tourism Medium DB-LCU'!A138</f>
        <v>Hungary</v>
      </c>
      <c r="B135" s="4" t="str">
        <f>'Tourism Medium DB-LCU'!B138</f>
        <v>Car Rental</v>
      </c>
      <c r="C135" s="4" t="str">
        <f>'Tourism Medium DB-LCU'!C138</f>
        <v>Market Value by Customer Type</v>
      </c>
      <c r="D135" s="1" t="str">
        <f>'Tourism Medium DB-LCU'!D138</f>
        <v>Insurance Replacement</v>
      </c>
      <c r="F135" s="53">
        <f>'Tourism Medium DB-LCU'!I138/'Tourism Medium DB-LCU'!H138-1</f>
        <v>-0.12260536398467436</v>
      </c>
      <c r="G135" s="53">
        <f>'Tourism Medium DB-LCU'!J138/'Tourism Medium DB-LCU'!I138-1</f>
        <v>-8.733624454148492E-3</v>
      </c>
      <c r="H135" s="53">
        <f>'Tourism Medium DB-LCU'!K138/'Tourism Medium DB-LCU'!J138-1</f>
        <v>0.18942731277533031</v>
      </c>
      <c r="I135" s="53">
        <f>'Tourism Medium DB-LCU'!L138/'Tourism Medium DB-LCU'!K138-1</f>
        <v>3.3333333333333437E-2</v>
      </c>
      <c r="J135" s="53">
        <f>'Tourism Medium DB-LCU'!M138/'Tourism Medium DB-LCU'!L138-1</f>
        <v>3.551626033048394E-2</v>
      </c>
      <c r="K135" s="53">
        <f>'Tourism Medium DB-LCU'!N138/'Tourism Medium DB-LCU'!M138-1</f>
        <v>8.7064249494329005E-2</v>
      </c>
      <c r="L135" s="53">
        <f>'Tourism Medium DB-LCU'!O138/'Tourism Medium DB-LCU'!N138-1</f>
        <v>0.1352562392283978</v>
      </c>
      <c r="M135" s="53">
        <f>'Tourism Medium DB-LCU'!P138/'Tourism Medium DB-LCU'!O138-1</f>
        <v>0.11369958704928651</v>
      </c>
      <c r="N135" s="53">
        <f>'Tourism Medium DB-LCU'!Q138/'Tourism Medium DB-LCU'!P138-1</f>
        <v>0.11029478354911126</v>
      </c>
    </row>
    <row r="136" spans="1:14 16373:16375" ht="14.25" customHeight="1">
      <c r="A136" s="4" t="str">
        <f>'Tourism Medium DB-LCU'!A139</f>
        <v>Hungary</v>
      </c>
      <c r="B136" s="4" t="str">
        <f>'Tourism Medium DB-LCU'!B139</f>
        <v>Car Rental</v>
      </c>
      <c r="C136" s="2" t="str">
        <f>'Tourism Medium DB-LCU'!C139</f>
        <v>Market Value by Rental Location</v>
      </c>
      <c r="D136" s="2"/>
      <c r="E136" s="2"/>
      <c r="F136" s="440">
        <f>'Tourism Medium DB-LCU'!I139/'Tourism Medium DB-LCU'!H139-1</f>
        <v>-7.3063026896828531E-2</v>
      </c>
      <c r="G136" s="440">
        <f>'Tourism Medium DB-LCU'!J139/'Tourism Medium DB-LCU'!I139-1</f>
        <v>0.12319529836519427</v>
      </c>
      <c r="H136" s="440">
        <f>'Tourism Medium DB-LCU'!K139/'Tourism Medium DB-LCU'!J139-1</f>
        <v>4.9369369369369309E-2</v>
      </c>
      <c r="I136" s="440">
        <f>'Tourism Medium DB-LCU'!L139/'Tourism Medium DB-LCU'!K139-1</f>
        <v>-3.3997252747252849E-2</v>
      </c>
      <c r="J136" s="440">
        <f>'Tourism Medium DB-LCU'!M139/'Tourism Medium DB-LCU'!L139-1</f>
        <v>3.093098037525821E-2</v>
      </c>
      <c r="K136" s="440">
        <f>'Tourism Medium DB-LCU'!N139/'Tourism Medium DB-LCU'!M139-1</f>
        <v>3.4230458030390265E-2</v>
      </c>
      <c r="L136" s="440">
        <f>'Tourism Medium DB-LCU'!O139/'Tourism Medium DB-LCU'!N139-1</f>
        <v>3.0986659382999271E-2</v>
      </c>
      <c r="M136" s="440">
        <f>'Tourism Medium DB-LCU'!P139/'Tourism Medium DB-LCU'!O139-1</f>
        <v>3.8878035070377681E-2</v>
      </c>
      <c r="N136" s="440">
        <f>'Tourism Medium DB-LCU'!Q139/'Tourism Medium DB-LCU'!P139-1</f>
        <v>3.4536119631578988E-2</v>
      </c>
    </row>
    <row r="137" spans="1:14 16373:16375" ht="14.25" customHeight="1">
      <c r="A137" s="4" t="str">
        <f>'Tourism Medium DB-LCU'!A140</f>
        <v>Hungary</v>
      </c>
      <c r="B137" s="4" t="str">
        <f>'Tourism Medium DB-LCU'!B140</f>
        <v>Car Rental</v>
      </c>
      <c r="C137" s="4" t="str">
        <f>'Tourism Medium DB-LCU'!C140</f>
        <v>Market Value by Rental Location</v>
      </c>
      <c r="D137" s="1" t="str">
        <f>'Tourism Medium DB-LCU'!D140</f>
        <v>Airport</v>
      </c>
      <c r="F137" s="53">
        <f>'Tourism Medium DB-LCU'!I140/'Tourism Medium DB-LCU'!H140-1</f>
        <v>-5.7401707368802568E-2</v>
      </c>
      <c r="G137" s="53">
        <f>'Tourism Medium DB-LCU'!J140/'Tourism Medium DB-LCU'!I140-1</f>
        <v>9.5179811464950692E-2</v>
      </c>
      <c r="H137" s="53">
        <f>'Tourism Medium DB-LCU'!K140/'Tourism Medium DB-LCU'!J140-1</f>
        <v>3.9118134323990805E-2</v>
      </c>
      <c r="I137" s="53">
        <f>'Tourism Medium DB-LCU'!L140/'Tourism Medium DB-LCU'!K140-1</f>
        <v>-2.7203691242910777E-2</v>
      </c>
      <c r="J137" s="53">
        <f>'Tourism Medium DB-LCU'!M140/'Tourism Medium DB-LCU'!L140-1</f>
        <v>2.8019287947359084E-2</v>
      </c>
      <c r="K137" s="53">
        <f>'Tourism Medium DB-LCU'!N140/'Tourism Medium DB-LCU'!M140-1</f>
        <v>2.6272763314329373E-2</v>
      </c>
      <c r="L137" s="53">
        <f>'Tourism Medium DB-LCU'!O140/'Tourism Medium DB-LCU'!N140-1</f>
        <v>2.8576113387017044E-2</v>
      </c>
      <c r="M137" s="53">
        <f>'Tourism Medium DB-LCU'!P140/'Tourism Medium DB-LCU'!O140-1</f>
        <v>3.8388010189625676E-2</v>
      </c>
      <c r="N137" s="53">
        <f>'Tourism Medium DB-LCU'!Q140/'Tourism Medium DB-LCU'!P140-1</f>
        <v>3.2116321788081548E-2</v>
      </c>
    </row>
    <row r="138" spans="1:14 16373:16375" ht="14.25" customHeight="1">
      <c r="A138" s="4" t="str">
        <f>'Tourism Medium DB-LCU'!A141</f>
        <v>Hungary</v>
      </c>
      <c r="B138" s="4" t="str">
        <f>'Tourism Medium DB-LCU'!B141</f>
        <v>Car Rental</v>
      </c>
      <c r="C138" s="4" t="str">
        <f>'Tourism Medium DB-LCU'!C141</f>
        <v>Market Value by Rental Location</v>
      </c>
      <c r="D138" s="1" t="str">
        <f>'Tourism Medium DB-LCU'!D141</f>
        <v>Non-Airport</v>
      </c>
      <c r="F138" s="53">
        <f>'Tourism Medium DB-LCU'!I141/'Tourism Medium DB-LCU'!H141-1</f>
        <v>-7.6545836275746848E-2</v>
      </c>
      <c r="G138" s="53">
        <f>'Tourism Medium DB-LCU'!J141/'Tourism Medium DB-LCU'!I141-1</f>
        <v>0.12955462064337175</v>
      </c>
      <c r="H138" s="53">
        <f>'Tourism Medium DB-LCU'!K141/'Tourism Medium DB-LCU'!J141-1</f>
        <v>5.1625514558639729E-2</v>
      </c>
      <c r="I138" s="53">
        <f>'Tourism Medium DB-LCU'!L141/'Tourism Medium DB-LCU'!K141-1</f>
        <v>-3.5474632606559808E-2</v>
      </c>
      <c r="J138" s="53">
        <f>'Tourism Medium DB-LCU'!M141/'Tourism Medium DB-LCU'!L141-1</f>
        <v>3.1569609056886883E-2</v>
      </c>
      <c r="K138" s="53">
        <f>'Tourism Medium DB-LCU'!N141/'Tourism Medium DB-LCU'!M141-1</f>
        <v>3.596983181641078E-2</v>
      </c>
      <c r="L138" s="53">
        <f>'Tourism Medium DB-LCU'!O141/'Tourism Medium DB-LCU'!N141-1</f>
        <v>3.1508618831609825E-2</v>
      </c>
      <c r="M138" s="53">
        <f>'Tourism Medium DB-LCU'!P141/'Tourism Medium DB-LCU'!O141-1</f>
        <v>3.8983839304047807E-2</v>
      </c>
      <c r="N138" s="53">
        <f>'Tourism Medium DB-LCU'!Q141/'Tourism Medium DB-LCU'!P141-1</f>
        <v>3.5058293184785372E-2</v>
      </c>
    </row>
    <row r="139" spans="1:14 16373:16375" ht="14.25" customHeight="1">
      <c r="A139" s="4" t="str">
        <f>'Tourism Medium DB-LCU'!A142</f>
        <v>Hungary</v>
      </c>
      <c r="B139" s="4" t="str">
        <f>'Tourism Medium DB-LCU'!B142</f>
        <v>Car Rental</v>
      </c>
      <c r="C139" s="1" t="str">
        <f>'Tourism Medium DB-LCU'!C142</f>
        <v>Fleet Size by Type of Car</v>
      </c>
      <c r="F139" s="53">
        <f>'Tourism Medium DB-LCU'!I142/'Tourism Medium DB-LCU'!H142-1</f>
        <v>0.13898290185046802</v>
      </c>
      <c r="G139" s="53">
        <f>'Tourism Medium DB-LCU'!J142/'Tourism Medium DB-LCU'!I142-1</f>
        <v>1.7288619611777856E-2</v>
      </c>
      <c r="H139" s="53">
        <f>'Tourism Medium DB-LCU'!K142/'Tourism Medium DB-LCU'!J142-1</f>
        <v>8.6453472933500253E-2</v>
      </c>
      <c r="I139" s="53">
        <f>'Tourism Medium DB-LCU'!L142/'Tourism Medium DB-LCU'!K142-1</f>
        <v>-2.0565642458100553E-2</v>
      </c>
      <c r="J139" s="53">
        <f>'Tourism Medium DB-LCU'!M142/'Tourism Medium DB-LCU'!L142-1</f>
        <v>1.5552188294140068E-2</v>
      </c>
      <c r="K139" s="53">
        <f>'Tourism Medium DB-LCU'!N142/'Tourism Medium DB-LCU'!M142-1</f>
        <v>1.0103509857498416E-2</v>
      </c>
      <c r="L139" s="53">
        <f>'Tourism Medium DB-LCU'!O142/'Tourism Medium DB-LCU'!N142-1</f>
        <v>1.1600497728437853E-2</v>
      </c>
      <c r="M139" s="53">
        <f>'Tourism Medium DB-LCU'!P142/'Tourism Medium DB-LCU'!O142-1</f>
        <v>1.8408249334221027E-2</v>
      </c>
      <c r="N139" s="53">
        <f>'Tourism Medium DB-LCU'!Q142/'Tourism Medium DB-LCU'!P142-1</f>
        <v>1.3926970951470219E-2</v>
      </c>
    </row>
    <row r="140" spans="1:14 16373:16375" ht="14.25" customHeight="1">
      <c r="A140" s="4" t="str">
        <f>'Tourism Medium DB-LCU'!A143</f>
        <v>Hungary</v>
      </c>
      <c r="B140" s="4" t="str">
        <f>'Tourism Medium DB-LCU'!B143</f>
        <v>Car Rental</v>
      </c>
      <c r="C140" s="1" t="str">
        <f>'Tourism Medium DB-LCU'!C143</f>
        <v>Number of Rental Occasions</v>
      </c>
      <c r="F140" s="53">
        <f>'Tourism Medium DB-LCU'!I143/'Tourism Medium DB-LCU'!H143-1</f>
        <v>0.11591832533684365</v>
      </c>
      <c r="G140" s="53">
        <f>'Tourism Medium DB-LCU'!J143/'Tourism Medium DB-LCU'!I143-1</f>
        <v>9.3530512886899064E-3</v>
      </c>
      <c r="H140" s="53">
        <f>'Tourism Medium DB-LCU'!K143/'Tourism Medium DB-LCU'!J143-1</f>
        <v>9.940141567612315E-2</v>
      </c>
      <c r="I140" s="53">
        <f>'Tourism Medium DB-LCU'!L143/'Tourism Medium DB-LCU'!K143-1</f>
        <v>-1.8694935611920482E-2</v>
      </c>
      <c r="J140" s="53">
        <f>'Tourism Medium DB-LCU'!M143/'Tourism Medium DB-LCU'!L143-1</f>
        <v>1.6121439273103944E-2</v>
      </c>
      <c r="K140" s="53">
        <f>'Tourism Medium DB-LCU'!N143/'Tourism Medium DB-LCU'!M143-1</f>
        <v>1.5334610235905322E-2</v>
      </c>
      <c r="L140" s="53">
        <f>'Tourism Medium DB-LCU'!O143/'Tourism Medium DB-LCU'!N143-1</f>
        <v>1.3738692240331973E-2</v>
      </c>
      <c r="M140" s="53">
        <f>'Tourism Medium DB-LCU'!P143/'Tourism Medium DB-LCU'!O143-1</f>
        <v>1.5447883493986181E-2</v>
      </c>
      <c r="N140" s="53">
        <f>'Tourism Medium DB-LCU'!Q143/'Tourism Medium DB-LCU'!P143-1</f>
        <v>1.0000671073449263E-2</v>
      </c>
    </row>
    <row r="141" spans="1:14 16373:16375" ht="14.25" customHeight="1">
      <c r="A141" s="4" t="str">
        <f>'Tourism Medium DB-LCU'!A144</f>
        <v>Hungary</v>
      </c>
      <c r="B141" s="4" t="str">
        <f>'Tourism Medium DB-LCU'!B144</f>
        <v>Car Rental</v>
      </c>
      <c r="C141" s="1" t="str">
        <f>'Tourism Medium DB-LCU'!C144</f>
        <v>Number of Rental Days</v>
      </c>
      <c r="F141" s="53">
        <f>'Tourism Medium DB-LCU'!I144/'Tourism Medium DB-LCU'!H144-1</f>
        <v>0.16335246927476721</v>
      </c>
      <c r="G141" s="53">
        <f>'Tourism Medium DB-LCU'!J144/'Tourism Medium DB-LCU'!I144-1</f>
        <v>1.9428516547067343E-2</v>
      </c>
      <c r="H141" s="53">
        <f>'Tourism Medium DB-LCU'!K144/'Tourism Medium DB-LCU'!J144-1</f>
        <v>7.4335016829872202E-2</v>
      </c>
      <c r="I141" s="53">
        <f>'Tourism Medium DB-LCU'!L144/'Tourism Medium DB-LCU'!K144-1</f>
        <v>-1.9109563009137576E-3</v>
      </c>
      <c r="J141" s="53">
        <f>'Tourism Medium DB-LCU'!M144/'Tourism Medium DB-LCU'!L144-1</f>
        <v>2.7414785497726246E-2</v>
      </c>
      <c r="K141" s="53">
        <f>'Tourism Medium DB-LCU'!N144/'Tourism Medium DB-LCU'!M144-1</f>
        <v>2.945153739277151E-2</v>
      </c>
      <c r="L141" s="53">
        <f>'Tourism Medium DB-LCU'!O144/'Tourism Medium DB-LCU'!N144-1</f>
        <v>2.4287651895009921E-2</v>
      </c>
      <c r="M141" s="53">
        <f>'Tourism Medium DB-LCU'!P144/'Tourism Medium DB-LCU'!O144-1</f>
        <v>2.7668254506244994E-2</v>
      </c>
      <c r="N141" s="53">
        <f>'Tourism Medium DB-LCU'!Q144/'Tourism Medium DB-LCU'!P144-1</f>
        <v>2.1167328270164543E-2</v>
      </c>
    </row>
    <row r="142" spans="1:14 16373:16375" ht="14.25" customHeight="1">
      <c r="A142" s="4" t="str">
        <f>'Tourism Medium DB-LCU'!A145</f>
        <v>Hungary</v>
      </c>
      <c r="B142" s="4" t="str">
        <f>'Tourism Medium DB-LCU'!B145</f>
        <v>Car Rental</v>
      </c>
      <c r="C142" s="1" t="str">
        <f>'Tourism Medium DB-LCU'!C145</f>
        <v>Average Rental Length</v>
      </c>
      <c r="F142" s="53">
        <f>'Tourism Medium DB-LCU'!I145/'Tourism Medium DB-LCU'!H145-1</f>
        <v>4.2506824075682514E-2</v>
      </c>
      <c r="G142" s="53">
        <f>'Tourism Medium DB-LCU'!J145/'Tourism Medium DB-LCU'!I145-1</f>
        <v>9.9821021450461345E-3</v>
      </c>
      <c r="H142" s="53">
        <f>'Tourism Medium DB-LCU'!K145/'Tourism Medium DB-LCU'!J145-1</f>
        <v>-2.2800042358354755E-2</v>
      </c>
      <c r="I142" s="53">
        <f>'Tourism Medium DB-LCU'!L145/'Tourism Medium DB-LCU'!K145-1</f>
        <v>1.7103732488604528E-2</v>
      </c>
      <c r="J142" s="53">
        <f>'Tourism Medium DB-LCU'!M145/'Tourism Medium DB-LCU'!L145-1</f>
        <v>1.1114169810944263E-2</v>
      </c>
      <c r="K142" s="53">
        <f>'Tourism Medium DB-LCU'!N145/'Tourism Medium DB-LCU'!M145-1</f>
        <v>1.3903719044489504E-2</v>
      </c>
      <c r="L142" s="53">
        <f>'Tourism Medium DB-LCU'!O145/'Tourism Medium DB-LCU'!N145-1</f>
        <v>1.040599489338323E-2</v>
      </c>
      <c r="M142" s="53">
        <f>'Tourism Medium DB-LCU'!P145/'Tourism Medium DB-LCU'!O145-1</f>
        <v>1.2034464014254009E-2</v>
      </c>
      <c r="N142" s="53">
        <f>'Tourism Medium DB-LCU'!Q145/'Tourism Medium DB-LCU'!P145-1</f>
        <v>1.1056088888383497E-2</v>
      </c>
    </row>
    <row r="143" spans="1:14 16373:16375" ht="14.25" customHeight="1">
      <c r="A143" s="4" t="str">
        <f>'Tourism Medium DB-LCU'!A146</f>
        <v>Hungary</v>
      </c>
      <c r="B143" s="4" t="str">
        <f>'Tourism Medium DB-LCU'!B146</f>
        <v>Car Rental</v>
      </c>
      <c r="C143" s="1" t="str">
        <f>'Tourism Medium DB-LCU'!C146</f>
        <v>Utilization Rate</v>
      </c>
      <c r="F143" s="53">
        <f>'Tourism Medium DB-LCU'!I146/'Tourism Medium DB-LCU'!H146-1</f>
        <v>2.1395902769661079E-2</v>
      </c>
      <c r="G143" s="53">
        <f>'Tourism Medium DB-LCU'!J146/'Tourism Medium DB-LCU'!I146-1</f>
        <v>2.103529808586746E-3</v>
      </c>
      <c r="H143" s="53">
        <f>'Tourism Medium DB-LCU'!K146/'Tourism Medium DB-LCU'!J146-1</f>
        <v>-1.1154141806834494E-2</v>
      </c>
      <c r="I143" s="53">
        <f>'Tourism Medium DB-LCU'!L146/'Tourism Medium DB-LCU'!K146-1</f>
        <v>1.9046387349535676E-2</v>
      </c>
      <c r="J143" s="53">
        <f>'Tourism Medium DB-LCU'!M146/'Tourism Medium DB-LCU'!L146-1</f>
        <v>1.1680933132065308E-2</v>
      </c>
      <c r="K143" s="53">
        <f>'Tourism Medium DB-LCU'!N146/'Tourism Medium DB-LCU'!M146-1</f>
        <v>1.9154499857150897E-2</v>
      </c>
      <c r="L143" s="53">
        <f>'Tourism Medium DB-LCU'!O146/'Tourism Medium DB-LCU'!N146-1</f>
        <v>1.2541664614698522E-2</v>
      </c>
      <c r="M143" s="53">
        <f>'Tourism Medium DB-LCU'!P146/'Tourism Medium DB-LCU'!O146-1</f>
        <v>9.0926258483055022E-3</v>
      </c>
      <c r="N143" s="53">
        <f>'Tourism Medium DB-LCU'!Q146/'Tourism Medium DB-LCU'!P146-1</f>
        <v>7.1409061265030882E-3</v>
      </c>
    </row>
    <row r="144" spans="1:14 16373:16375" ht="14.25" customHeight="1">
      <c r="A144" s="4" t="str">
        <f>'Tourism Medium DB-LCU'!A147</f>
        <v>Hungary</v>
      </c>
      <c r="B144" s="4" t="str">
        <f>'Tourism Medium DB-LCU'!B147</f>
        <v>Car Rental</v>
      </c>
      <c r="C144" s="1" t="str">
        <f>'Tourism Medium DB-LCU'!C147</f>
        <v>Average Revenue per Day</v>
      </c>
      <c r="F144" s="53">
        <f>'Tourism Medium DB-LCU'!I147/'Tourism Medium DB-LCU'!H147-1</f>
        <v>-0.20321914674662345</v>
      </c>
      <c r="G144" s="53">
        <f>'Tourism Medium DB-LCU'!J147/'Tourism Medium DB-LCU'!I147-1</f>
        <v>0.10178916925886883</v>
      </c>
      <c r="H144" s="53">
        <f>'Tourism Medium DB-LCU'!K147/'Tourism Medium DB-LCU'!J147-1</f>
        <v>-2.3238233018012644E-2</v>
      </c>
      <c r="I144" s="53">
        <f>'Tourism Medium DB-LCU'!L147/'Tourism Medium DB-LCU'!K147-1</f>
        <v>-3.2147729352304921E-2</v>
      </c>
      <c r="J144" s="53">
        <f>'Tourism Medium DB-LCU'!M147/'Tourism Medium DB-LCU'!L147-1</f>
        <v>3.4223713023835423E-3</v>
      </c>
      <c r="K144" s="53">
        <f>'Tourism Medium DB-LCU'!N147/'Tourism Medium DB-LCU'!M147-1</f>
        <v>4.6422006904005553E-3</v>
      </c>
      <c r="L144" s="53">
        <f>'Tourism Medium DB-LCU'!O147/'Tourism Medium DB-LCU'!N147-1</f>
        <v>6.5401623026459799E-3</v>
      </c>
      <c r="M144" s="53">
        <f>'Tourism Medium DB-LCU'!P147/'Tourism Medium DB-LCU'!O147-1</f>
        <v>1.0907975910493084E-2</v>
      </c>
      <c r="N144" s="53">
        <f>'Tourism Medium DB-LCU'!Q147/'Tourism Medium DB-LCU'!P147-1</f>
        <v>1.3091675567079575E-2</v>
      </c>
    </row>
    <row r="145" spans="1:14 16373:16375" s="15" customFormat="1" ht="14.25" customHeight="1">
      <c r="A145" s="430" t="str">
        <f>'Tourism Medium DB-LCU'!A148</f>
        <v>Hungary</v>
      </c>
      <c r="B145" s="431" t="str">
        <f>'Tourism Medium DB-LCU'!B148</f>
        <v>Hotels</v>
      </c>
      <c r="C145" s="425"/>
      <c r="D145" s="425"/>
      <c r="E145" s="425"/>
      <c r="F145" s="426"/>
      <c r="G145" s="426"/>
      <c r="H145" s="426"/>
      <c r="I145" s="426"/>
      <c r="J145" s="426"/>
      <c r="K145" s="426"/>
      <c r="L145" s="426"/>
      <c r="M145" s="426"/>
      <c r="N145" s="426"/>
      <c r="XES145" s="6"/>
      <c r="XET145" s="6"/>
      <c r="XEU145" s="6"/>
    </row>
    <row r="146" spans="1:14 16373:16375" ht="14.25" customHeight="1">
      <c r="A146" s="4" t="str">
        <f>'Tourism Medium DB-LCU'!A149</f>
        <v>Hungary</v>
      </c>
      <c r="B146" s="4" t="str">
        <f>'Tourism Medium DB-LCU'!B149</f>
        <v>Hotels</v>
      </c>
      <c r="C146" s="1" t="str">
        <f>'Tourism Medium DB-LCU'!C149</f>
        <v>Number of Establishments</v>
      </c>
      <c r="F146" s="53">
        <f>'Tourism Medium DB-LCU'!I149/'Tourism Medium DB-LCU'!H149-1</f>
        <v>2.4647258439006947E-2</v>
      </c>
      <c r="G146" s="53">
        <f>'Tourism Medium DB-LCU'!J149/'Tourism Medium DB-LCU'!I149-1</f>
        <v>-1.1678577653826072E-2</v>
      </c>
      <c r="H146" s="53">
        <f>'Tourism Medium DB-LCU'!K149/'Tourism Medium DB-LCU'!J149-1</f>
        <v>-2.2927689594356315E-2</v>
      </c>
      <c r="I146" s="53">
        <f>'Tourism Medium DB-LCU'!L149/'Tourism Medium DB-LCU'!K149-1</f>
        <v>0.41949458483754509</v>
      </c>
      <c r="J146" s="53">
        <f>'Tourism Medium DB-LCU'!M149/'Tourism Medium DB-LCU'!L149-1</f>
        <v>3.4450506621497068E-2</v>
      </c>
      <c r="K146" s="53">
        <f>'Tourism Medium DB-LCU'!N149/'Tourism Medium DB-LCU'!M149-1</f>
        <v>8.6932366987042764E-2</v>
      </c>
      <c r="L146" s="53">
        <f>'Tourism Medium DB-LCU'!O149/'Tourism Medium DB-LCU'!N149-1</f>
        <v>9.2442463916203366E-2</v>
      </c>
      <c r="M146" s="53">
        <f>'Tourism Medium DB-LCU'!P149/'Tourism Medium DB-LCU'!O149-1</f>
        <v>0.10162189411506883</v>
      </c>
      <c r="N146" s="53">
        <f>'Tourism Medium DB-LCU'!Q149/'Tourism Medium DB-LCU'!P149-1</f>
        <v>4.7765402967739901E-2</v>
      </c>
    </row>
    <row r="147" spans="1:14 16373:16375" ht="14.25" customHeight="1">
      <c r="A147" s="4" t="str">
        <f>'Tourism Medium DB-LCU'!A150</f>
        <v>Hungary</v>
      </c>
      <c r="B147" s="4" t="str">
        <f>'Tourism Medium DB-LCU'!B150</f>
        <v>Hotels</v>
      </c>
      <c r="C147" s="1" t="str">
        <f>'Tourism Medium DB-LCU'!C150</f>
        <v>Number of Rooms</v>
      </c>
      <c r="F147" s="53">
        <f>'Tourism Medium DB-LCU'!I150/'Tourism Medium DB-LCU'!H150-1</f>
        <v>2.2715186507634932E-2</v>
      </c>
      <c r="G147" s="53">
        <f>'Tourism Medium DB-LCU'!J150/'Tourism Medium DB-LCU'!I150-1</f>
        <v>2.702421631258356E-2</v>
      </c>
      <c r="H147" s="53">
        <f>'Tourism Medium DB-LCU'!K150/'Tourism Medium DB-LCU'!J150-1</f>
        <v>-4.4843698013858124E-2</v>
      </c>
      <c r="I147" s="53">
        <f>'Tourism Medium DB-LCU'!L150/'Tourism Medium DB-LCU'!K150-1</f>
        <v>6.3956746278150511E-2</v>
      </c>
      <c r="J147" s="53">
        <f>'Tourism Medium DB-LCU'!M150/'Tourism Medium DB-LCU'!L150-1</f>
        <v>-2.0429498513931832E-2</v>
      </c>
      <c r="K147" s="53">
        <f>'Tourism Medium DB-LCU'!N150/'Tourism Medium DB-LCU'!M150-1</f>
        <v>4.4260202062656129E-2</v>
      </c>
      <c r="L147" s="53">
        <f>'Tourism Medium DB-LCU'!O150/'Tourism Medium DB-LCU'!N150-1</f>
        <v>3.9776869892872213E-2</v>
      </c>
      <c r="M147" s="53">
        <f>'Tourism Medium DB-LCU'!P150/'Tourism Medium DB-LCU'!O150-1</f>
        <v>6.1904740714657791E-5</v>
      </c>
      <c r="N147" s="53">
        <f>'Tourism Medium DB-LCU'!Q150/'Tourism Medium DB-LCU'!P150-1</f>
        <v>-7.3039749562350265E-3</v>
      </c>
    </row>
    <row r="148" spans="1:14 16373:16375" ht="14.25" customHeight="1">
      <c r="A148" s="4" t="str">
        <f>'Tourism Medium DB-LCU'!A151</f>
        <v>Hungary</v>
      </c>
      <c r="B148" s="4" t="str">
        <f>'Tourism Medium DB-LCU'!B151</f>
        <v>Hotels</v>
      </c>
      <c r="C148" s="1" t="str">
        <f>'Tourism Medium DB-LCU'!C151</f>
        <v>Room Occupancy Rate</v>
      </c>
      <c r="F148" s="53">
        <f>'Tourism Medium DB-LCU'!I151/'Tourism Medium DB-LCU'!H151-1</f>
        <v>-0.11134020618556695</v>
      </c>
      <c r="G148" s="53">
        <f>'Tourism Medium DB-LCU'!J151/'Tourism Medium DB-LCU'!I151-1</f>
        <v>2.7842227378190199E-2</v>
      </c>
      <c r="H148" s="53">
        <f>'Tourism Medium DB-LCU'!K151/'Tourism Medium DB-LCU'!J151-1</f>
        <v>3.6117381489842115E-2</v>
      </c>
      <c r="I148" s="53">
        <f>'Tourism Medium DB-LCU'!L151/'Tourism Medium DB-LCU'!K151-1</f>
        <v>3.9215686274509887E-2</v>
      </c>
      <c r="J148" s="53">
        <f>'Tourism Medium DB-LCU'!M151/'Tourism Medium DB-LCU'!L151-1</f>
        <v>3.036939520728632E-2</v>
      </c>
      <c r="K148" s="53">
        <f>'Tourism Medium DB-LCU'!N151/'Tourism Medium DB-LCU'!M151-1</f>
        <v>-1.5315130998016624E-2</v>
      </c>
      <c r="L148" s="53">
        <f>'Tourism Medium DB-LCU'!O151/'Tourism Medium DB-LCU'!N151-1</f>
        <v>-8.9412197638650825E-2</v>
      </c>
      <c r="M148" s="53">
        <f>'Tourism Medium DB-LCU'!P151/'Tourism Medium DB-LCU'!O151-1</f>
        <v>5.0831695276087885E-3</v>
      </c>
      <c r="N148" s="53">
        <f>'Tourism Medium DB-LCU'!Q151/'Tourism Medium DB-LCU'!P151-1</f>
        <v>1.0329879939942277E-2</v>
      </c>
    </row>
    <row r="149" spans="1:14 16373:16375" ht="14.25" customHeight="1">
      <c r="A149" s="4" t="str">
        <f>'Tourism Medium DB-LCU'!A152</f>
        <v>Hungary</v>
      </c>
      <c r="B149" s="4" t="str">
        <f>'Tourism Medium DB-LCU'!B152</f>
        <v>Hotels</v>
      </c>
      <c r="C149" s="1" t="str">
        <f>'Tourism Medium DB-LCU'!C152</f>
        <v>Number of Rooms Nights Available</v>
      </c>
      <c r="F149" s="53">
        <f>'Tourism Medium DB-LCU'!I152/'Tourism Medium DB-LCU'!H152-1</f>
        <v>2.2715186507634932E-2</v>
      </c>
      <c r="G149" s="53">
        <f>'Tourism Medium DB-LCU'!J152/'Tourism Medium DB-LCU'!I152-1</f>
        <v>2.702421631258356E-2</v>
      </c>
      <c r="H149" s="53">
        <f>'Tourism Medium DB-LCU'!K152/'Tourism Medium DB-LCU'!J152-1</f>
        <v>-4.4843698013858235E-2</v>
      </c>
      <c r="I149" s="53">
        <f>'Tourism Medium DB-LCU'!L152/'Tourism Medium DB-LCU'!K152-1</f>
        <v>6.3956746278150511E-2</v>
      </c>
      <c r="J149" s="53">
        <f>'Tourism Medium DB-LCU'!M152/'Tourism Medium DB-LCU'!L152-1</f>
        <v>-2.0429498513931943E-2</v>
      </c>
      <c r="K149" s="53">
        <f>'Tourism Medium DB-LCU'!N152/'Tourism Medium DB-LCU'!M152-1</f>
        <v>4.4260202062656129E-2</v>
      </c>
      <c r="L149" s="53">
        <f>'Tourism Medium DB-LCU'!O152/'Tourism Medium DB-LCU'!N152-1</f>
        <v>3.9776869892872435E-2</v>
      </c>
      <c r="M149" s="53">
        <f>'Tourism Medium DB-LCU'!P152/'Tourism Medium DB-LCU'!O152-1</f>
        <v>6.1904740714657791E-5</v>
      </c>
      <c r="N149" s="53">
        <f>'Tourism Medium DB-LCU'!Q152/'Tourism Medium DB-LCU'!P152-1</f>
        <v>-7.3039749562351375E-3</v>
      </c>
    </row>
    <row r="150" spans="1:14 16373:16375" ht="14.25" customHeight="1">
      <c r="A150" s="4" t="str">
        <f>'Tourism Medium DB-LCU'!A153</f>
        <v>Hungary</v>
      </c>
      <c r="B150" s="4" t="str">
        <f>'Tourism Medium DB-LCU'!B153</f>
        <v>Hotels</v>
      </c>
      <c r="C150" s="1" t="str">
        <f>'Tourism Medium DB-LCU'!C153</f>
        <v>Number of Rooms Nights Occupied</v>
      </c>
      <c r="F150" s="53">
        <f>'Tourism Medium DB-LCU'!I153/'Tourism Medium DB-LCU'!H153-1</f>
        <v>-9.1154133227235645E-2</v>
      </c>
      <c r="G150" s="53">
        <f>'Tourism Medium DB-LCU'!J153/'Tourism Medium DB-LCU'!I153-1</f>
        <v>5.5618858066066146E-2</v>
      </c>
      <c r="H150" s="53">
        <f>'Tourism Medium DB-LCU'!K153/'Tourism Medium DB-LCU'!J153-1</f>
        <v>-1.0345953472598035E-2</v>
      </c>
      <c r="I150" s="53">
        <f>'Tourism Medium DB-LCU'!L153/'Tourism Medium DB-LCU'!K153-1</f>
        <v>0.10568054024984308</v>
      </c>
      <c r="J150" s="53">
        <f>'Tourism Medium DB-LCU'!M153/'Tourism Medium DB-LCU'!L153-1</f>
        <v>9.3194651790979854E-3</v>
      </c>
      <c r="K150" s="53">
        <f>'Tourism Medium DB-LCU'!N153/'Tourism Medium DB-LCU'!M153-1</f>
        <v>2.8267220272051086E-2</v>
      </c>
      <c r="L150" s="53">
        <f>'Tourism Medium DB-LCU'!O153/'Tourism Medium DB-LCU'!N153-1</f>
        <v>-5.3191865098086932E-2</v>
      </c>
      <c r="M150" s="53">
        <f>'Tourism Medium DB-LCU'!P153/'Tourism Medium DB-LCU'!O153-1</f>
        <v>5.1453889406150033E-3</v>
      </c>
      <c r="N150" s="53">
        <f>'Tourism Medium DB-LCU'!Q153/'Tourism Medium DB-LCU'!P153-1</f>
        <v>2.9504557993249581E-3</v>
      </c>
    </row>
    <row r="151" spans="1:14 16373:16375" ht="14.25" customHeight="1">
      <c r="A151" s="4" t="str">
        <f>'Tourism Medium DB-LCU'!A154</f>
        <v>Hungary</v>
      </c>
      <c r="B151" s="4" t="str">
        <f>'Tourism Medium DB-LCU'!B154</f>
        <v>Hotels</v>
      </c>
      <c r="C151" s="1" t="str">
        <f>'Tourism Medium DB-LCU'!C154</f>
        <v>Revenue per Available Room</v>
      </c>
      <c r="F151" s="53">
        <f>'Tourism Medium DB-LCU'!I154/'Tourism Medium DB-LCU'!H154-1</f>
        <v>-4.888502891028379E-3</v>
      </c>
      <c r="G151" s="53">
        <f>'Tourism Medium DB-LCU'!J154/'Tourism Medium DB-LCU'!I154-1</f>
        <v>-2.0212464898849536E-2</v>
      </c>
      <c r="H151" s="53">
        <f>'Tourism Medium DB-LCU'!K154/'Tourism Medium DB-LCU'!J154-1</f>
        <v>5.446204206798777E-2</v>
      </c>
      <c r="I151" s="53">
        <f>'Tourism Medium DB-LCU'!L154/'Tourism Medium DB-LCU'!K154-1</f>
        <v>5.211413605741444E-2</v>
      </c>
      <c r="J151" s="53">
        <f>'Tourism Medium DB-LCU'!M154/'Tourism Medium DB-LCU'!L154-1</f>
        <v>1.5262671504738368E-2</v>
      </c>
      <c r="K151" s="53">
        <f>'Tourism Medium DB-LCU'!N154/'Tourism Medium DB-LCU'!M154-1</f>
        <v>-1.0178005015311076E-3</v>
      </c>
      <c r="L151" s="53">
        <f>'Tourism Medium DB-LCU'!O154/'Tourism Medium DB-LCU'!N154-1</f>
        <v>-2.0720523611668207E-2</v>
      </c>
      <c r="M151" s="53">
        <f>'Tourism Medium DB-LCU'!P154/'Tourism Medium DB-LCU'!O154-1</f>
        <v>1.9232514243251009E-2</v>
      </c>
      <c r="N151" s="53">
        <f>'Tourism Medium DB-LCU'!Q154/'Tourism Medium DB-LCU'!P154-1</f>
        <v>3.0466818716086141E-3</v>
      </c>
    </row>
    <row r="152" spans="1:14 16373:16375" ht="14.25" customHeight="1">
      <c r="A152" s="4" t="str">
        <f>'Tourism Medium DB-LCU'!A155</f>
        <v>Hungary</v>
      </c>
      <c r="B152" s="4" t="str">
        <f>'Tourism Medium DB-LCU'!B155</f>
        <v>Hotels</v>
      </c>
      <c r="C152" s="1" t="str">
        <f>'Tourism Medium DB-LCU'!C155</f>
        <v>Revenue per Occupied Room</v>
      </c>
      <c r="F152" s="53">
        <f>'Tourism Medium DB-LCU'!I155/'Tourism Medium DB-LCU'!H155-1</f>
        <v>0.11978903967018839</v>
      </c>
      <c r="G152" s="53">
        <f>'Tourism Medium DB-LCU'!J155/'Tourism Medium DB-LCU'!I155-1</f>
        <v>-4.6752985037029737E-2</v>
      </c>
      <c r="H152" s="53">
        <f>'Tourism Medium DB-LCU'!K155/'Tourism Medium DB-LCU'!J155-1</f>
        <v>1.7705195285661501E-2</v>
      </c>
      <c r="I152" s="53">
        <f>'Tourism Medium DB-LCU'!L155/'Tourism Medium DB-LCU'!K155-1</f>
        <v>1.2411715828832603E-2</v>
      </c>
      <c r="J152" s="53">
        <f>'Tourism Medium DB-LCU'!M155/'Tourism Medium DB-LCU'!L155-1</f>
        <v>-1.4661463910725536E-2</v>
      </c>
      <c r="K152" s="53">
        <f>'Tourism Medium DB-LCU'!N155/'Tourism Medium DB-LCU'!M155-1</f>
        <v>1.4519701628985526E-2</v>
      </c>
      <c r="L152" s="53">
        <f>'Tourism Medium DB-LCU'!O155/'Tourism Medium DB-LCU'!N155-1</f>
        <v>7.5436628789503191E-2</v>
      </c>
      <c r="M152" s="53">
        <f>'Tourism Medium DB-LCU'!P155/'Tourism Medium DB-LCU'!O155-1</f>
        <v>1.4077784948177685E-2</v>
      </c>
      <c r="N152" s="53">
        <f>'Tourism Medium DB-LCU'!Q155/'Tourism Medium DB-LCU'!P155-1</f>
        <v>-7.2087327247677413E-3</v>
      </c>
    </row>
    <row r="153" spans="1:14 16373:16375" ht="14.25" customHeight="1">
      <c r="A153" s="4" t="str">
        <f>'Tourism Medium DB-LCU'!A156</f>
        <v>Hungary</v>
      </c>
      <c r="B153" s="4" t="str">
        <f>'Tourism Medium DB-LCU'!B156</f>
        <v>Hotels</v>
      </c>
      <c r="C153" s="1" t="str">
        <f>'Tourism Medium DB-LCU'!C156</f>
        <v>Total Revenue Per Available Room</v>
      </c>
      <c r="F153" s="53">
        <f>'Tourism Medium DB-LCU'!I156/'Tourism Medium DB-LCU'!H156-1</f>
        <v>-4.3151817640733059E-3</v>
      </c>
      <c r="G153" s="53">
        <f>'Tourism Medium DB-LCU'!J156/'Tourism Medium DB-LCU'!I156-1</f>
        <v>-2.0295628488991246E-2</v>
      </c>
      <c r="H153" s="53">
        <f>'Tourism Medium DB-LCU'!K156/'Tourism Medium DB-LCU'!J156-1</f>
        <v>5.4594774231844667E-2</v>
      </c>
      <c r="I153" s="53">
        <f>'Tourism Medium DB-LCU'!L156/'Tourism Medium DB-LCU'!K156-1</f>
        <v>5.1092946001720652E-2</v>
      </c>
      <c r="J153" s="53">
        <f>'Tourism Medium DB-LCU'!M156/'Tourism Medium DB-LCU'!L156-1</f>
        <v>244.82364233851015</v>
      </c>
      <c r="K153" s="53">
        <f>'Tourism Medium DB-LCU'!N156/'Tourism Medium DB-LCU'!M156-1</f>
        <v>-1.0198807282493227E-3</v>
      </c>
      <c r="L153" s="53">
        <f>'Tourism Medium DB-LCU'!O156/'Tourism Medium DB-LCU'!N156-1</f>
        <v>-2.0682316619325292E-2</v>
      </c>
      <c r="M153" s="53">
        <f>'Tourism Medium DB-LCU'!P156/'Tourism Medium DB-LCU'!O156-1</f>
        <v>1.9283623416640028E-2</v>
      </c>
      <c r="N153" s="53">
        <f>'Tourism Medium DB-LCU'!Q156/'Tourism Medium DB-LCU'!P156-1</f>
        <v>3.1226755112738758E-3</v>
      </c>
    </row>
    <row r="154" spans="1:14 16373:16375" ht="14.25" customHeight="1">
      <c r="A154" s="4" t="str">
        <f>'Tourism Medium DB-LCU'!A157</f>
        <v>Hungary</v>
      </c>
      <c r="B154" s="4" t="str">
        <f>'Tourism Medium DB-LCU'!B157</f>
        <v>Hotels</v>
      </c>
      <c r="C154" s="1" t="str">
        <f>'Tourism Medium DB-LCU'!C157</f>
        <v>Total Room Revenue</v>
      </c>
      <c r="F154" s="53">
        <f>'Tourism Medium DB-LCU'!I157/'Tourism Medium DB-LCU'!H157-1</f>
        <v>1.7715640361693819E-2</v>
      </c>
      <c r="G154" s="53">
        <f>'Tourism Medium DB-LCU'!J157/'Tourism Medium DB-LCU'!I157-1</f>
        <v>6.2655253900969488E-3</v>
      </c>
      <c r="H154" s="53">
        <f>'Tourism Medium DB-LCU'!K157/'Tourism Medium DB-LCU'!J157-1</f>
        <v>7.1760646864147404E-3</v>
      </c>
      <c r="I154" s="53">
        <f>'Tourism Medium DB-LCU'!L157/'Tourism Medium DB-LCU'!K157-1</f>
        <v>0.11940393291289397</v>
      </c>
      <c r="J154" s="53">
        <f>'Tourism Medium DB-LCU'!M157/'Tourism Medium DB-LCU'!L157-1</f>
        <v>362.00029795708343</v>
      </c>
      <c r="K154" s="53">
        <f>'Tourism Medium DB-LCU'!N157/'Tourism Medium DB-LCU'!M157-1</f>
        <v>4.3197353505267433E-2</v>
      </c>
      <c r="L154" s="53">
        <f>'Tourism Medium DB-LCU'!O157/'Tourism Medium DB-LCU'!N157-1</f>
        <v>1.8232148709390605E-2</v>
      </c>
      <c r="M154" s="53">
        <f>'Tourism Medium DB-LCU'!P157/'Tourism Medium DB-LCU'!O157-1</f>
        <v>1.9295609567773209E-2</v>
      </c>
      <c r="N154" s="53">
        <f>'Tourism Medium DB-LCU'!Q157/'Tourism Medium DB-LCU'!P157-1</f>
        <v>-4.2795459727161811E-3</v>
      </c>
    </row>
    <row r="155" spans="1:14 16373:16375" ht="14.25" customHeight="1">
      <c r="A155" s="4" t="str">
        <f>'Tourism Medium DB-LCU'!A158</f>
        <v>Hungary</v>
      </c>
      <c r="B155" s="4" t="str">
        <f>'Tourism Medium DB-LCU'!B158</f>
        <v>Hotels</v>
      </c>
      <c r="C155" s="1" t="str">
        <f>'Tourism Medium DB-LCU'!C158</f>
        <v>Total Non Room Revenue</v>
      </c>
      <c r="F155" s="53">
        <f>'Tourism Medium DB-LCU'!I158/'Tourism Medium DB-LCU'!H158-1</f>
        <v>1.945131602188277E-2</v>
      </c>
      <c r="G155" s="53">
        <f>'Tourism Medium DB-LCU'!J158/'Tourism Medium DB-LCU'!I158-1</f>
        <v>6.0129797151797781E-3</v>
      </c>
      <c r="H155" s="53">
        <f>'Tourism Medium DB-LCU'!K158/'Tourism Medium DB-LCU'!J158-1</f>
        <v>7.5509934740982665E-3</v>
      </c>
      <c r="I155" s="53">
        <f>'Tourism Medium DB-LCU'!L158/'Tourism Medium DB-LCU'!K158-1</f>
        <v>0.11619159116304978</v>
      </c>
      <c r="J155" s="53">
        <f>'Tourism Medium DB-LCU'!M158/'Tourism Medium DB-LCU'!L158-1</f>
        <v>2.0645129812876029E-2</v>
      </c>
      <c r="K155" s="53">
        <f>'Tourism Medium DB-LCU'!N158/'Tourism Medium DB-LCU'!M158-1</f>
        <v>4.1679179618120399E-2</v>
      </c>
      <c r="L155" s="53">
        <f>'Tourism Medium DB-LCU'!O158/'Tourism Medium DB-LCU'!N158-1</f>
        <v>4.60367525898977E-2</v>
      </c>
      <c r="M155" s="53">
        <f>'Tourism Medium DB-LCU'!P158/'Tourism Medium DB-LCU'!O158-1</f>
        <v>5.4119417171279549E-2</v>
      </c>
      <c r="N155" s="53">
        <f>'Tourism Medium DB-LCU'!Q158/'Tourism Medium DB-LCU'!P158-1</f>
        <v>4.5422716584553324E-2</v>
      </c>
    </row>
    <row r="156" spans="1:14 16373:16375" ht="14.25" customHeight="1">
      <c r="A156" s="4" t="str">
        <f>'Tourism Medium DB-LCU'!A159</f>
        <v>Hungary</v>
      </c>
      <c r="B156" s="4" t="str">
        <f>'Tourism Medium DB-LCU'!B159</f>
        <v>Hotels</v>
      </c>
      <c r="C156" s="1" t="str">
        <f>'Tourism Medium DB-LCU'!C159</f>
        <v>Total  Revenue</v>
      </c>
      <c r="F156" s="53">
        <f>'Tourism Medium DB-LCU'!I159/'Tourism Medium DB-LCU'!H159-1</f>
        <v>1.8301984584976339E-2</v>
      </c>
      <c r="G156" s="53">
        <f>'Tourism Medium DB-LCU'!J159/'Tourism Medium DB-LCU'!I159-1</f>
        <v>6.1801143691060378E-3</v>
      </c>
      <c r="H156" s="53">
        <f>'Tourism Medium DB-LCU'!K159/'Tourism Medium DB-LCU'!J159-1</f>
        <v>7.3028446491989474E-3</v>
      </c>
      <c r="I156" s="53">
        <f>'Tourism Medium DB-LCU'!L159/'Tourism Medium DB-LCU'!K159-1</f>
        <v>0.11831743086390634</v>
      </c>
      <c r="J156" s="53">
        <f>'Tourism Medium DB-LCU'!M159/'Tourism Medium DB-LCU'!L159-1</f>
        <v>239.80158860266624</v>
      </c>
      <c r="K156" s="53">
        <f>'Tourism Medium DB-LCU'!N159/'Tourism Medium DB-LCU'!M159-1</f>
        <v>4.3195181207294597E-2</v>
      </c>
      <c r="L156" s="53">
        <f>'Tourism Medium DB-LCU'!O159/'Tourism Medium DB-LCU'!N159-1</f>
        <v>1.8271875456296938E-2</v>
      </c>
      <c r="M156" s="53">
        <f>'Tourism Medium DB-LCU'!P159/'Tourism Medium DB-LCU'!O159-1</f>
        <v>1.9346721905062481E-2</v>
      </c>
      <c r="N156" s="53">
        <f>'Tourism Medium DB-LCU'!Q159/'Tourism Medium DB-LCU'!P159-1</f>
        <v>-4.2041073886920355E-3</v>
      </c>
    </row>
    <row r="157" spans="1:14 16373:16375" ht="14.25" customHeight="1">
      <c r="A157" s="4" t="str">
        <f>'Tourism Medium DB-LCU'!A160</f>
        <v>Hungary</v>
      </c>
      <c r="B157" s="4" t="str">
        <f>'Tourism Medium DB-LCU'!B160</f>
        <v>Hotels</v>
      </c>
      <c r="C157" s="1" t="str">
        <f>'Tourism Medium DB-LCU'!C160</f>
        <v>Number of Guests by Customer Type</v>
      </c>
      <c r="F157" s="53">
        <f>'Tourism Medium DB-LCU'!I160/'Tourism Medium DB-LCU'!H160-1</f>
        <v>-8.1302515360466843E-2</v>
      </c>
      <c r="G157" s="53">
        <f>'Tourism Medium DB-LCU'!J160/'Tourism Medium DB-LCU'!I160-1</f>
        <v>4.7030738570483122E-2</v>
      </c>
      <c r="H157" s="53">
        <f>'Tourism Medium DB-LCU'!K160/'Tourism Medium DB-LCU'!J160-1</f>
        <v>4.7475926410373681E-2</v>
      </c>
      <c r="I157" s="53">
        <f>'Tourism Medium DB-LCU'!L160/'Tourism Medium DB-LCU'!K160-1</f>
        <v>-0.36041624451700982</v>
      </c>
      <c r="J157" s="53">
        <f>'Tourism Medium DB-LCU'!M160/'Tourism Medium DB-LCU'!L160-1</f>
        <v>-8.4638056960891439E-2</v>
      </c>
      <c r="K157" s="53">
        <f>'Tourism Medium DB-LCU'!N160/'Tourism Medium DB-LCU'!M160-1</f>
        <v>-0.12891603456727996</v>
      </c>
      <c r="L157" s="53">
        <f>'Tourism Medium DB-LCU'!O160/'Tourism Medium DB-LCU'!N160-1</f>
        <v>-0.20082119249337715</v>
      </c>
      <c r="M157" s="53">
        <f>'Tourism Medium DB-LCU'!P160/'Tourism Medium DB-LCU'!O160-1</f>
        <v>-3.0965423723582131E-2</v>
      </c>
      <c r="N157" s="53">
        <f>'Tourism Medium DB-LCU'!Q160/'Tourism Medium DB-LCU'!P160-1</f>
        <v>-3.6618998521027013E-2</v>
      </c>
    </row>
    <row r="158" spans="1:14 16373:16375" ht="14.25" customHeight="1">
      <c r="A158" s="4" t="str">
        <f>'Tourism Medium DB-LCU'!A161</f>
        <v>Hungary</v>
      </c>
      <c r="B158" s="4" t="str">
        <f>'Tourism Medium DB-LCU'!B161</f>
        <v>Hotels</v>
      </c>
      <c r="C158" s="1" t="str">
        <f>'Tourism Medium DB-LCU'!C161</f>
        <v>Number of Guests by Customer Type</v>
      </c>
      <c r="D158" s="1" t="str">
        <f>'Tourism Medium DB-LCU'!D161</f>
        <v>Business</v>
      </c>
      <c r="F158" s="53">
        <f>'Tourism Medium DB-LCU'!I161/'Tourism Medium DB-LCU'!H161-1</f>
        <v>-0.22164060913889028</v>
      </c>
      <c r="G158" s="53">
        <f>'Tourism Medium DB-LCU'!J161/'Tourism Medium DB-LCU'!I161-1</f>
        <v>-0.33773776467569672</v>
      </c>
      <c r="H158" s="53">
        <f>'Tourism Medium DB-LCU'!K161/'Tourism Medium DB-LCU'!J161-1</f>
        <v>-0.24158163979395952</v>
      </c>
      <c r="I158" s="53">
        <f>'Tourism Medium DB-LCU'!L161/'Tourism Medium DB-LCU'!K161-1</f>
        <v>0.29395779348214446</v>
      </c>
      <c r="J158" s="53">
        <f>'Tourism Medium DB-LCU'!M161/'Tourism Medium DB-LCU'!L161-1</f>
        <v>-0.11151547664424866</v>
      </c>
      <c r="K158" s="53">
        <f>'Tourism Medium DB-LCU'!N161/'Tourism Medium DB-LCU'!M161-1</f>
        <v>-0.13119651830942491</v>
      </c>
      <c r="L158" s="53">
        <f>'Tourism Medium DB-LCU'!O161/'Tourism Medium DB-LCU'!N161-1</f>
        <v>-0.19352823432308897</v>
      </c>
      <c r="M158" s="53">
        <f>'Tourism Medium DB-LCU'!P161/'Tourism Medium DB-LCU'!O161-1</f>
        <v>-1.2971300678882414E-2</v>
      </c>
      <c r="N158" s="53">
        <f>'Tourism Medium DB-LCU'!Q161/'Tourism Medium DB-LCU'!P161-1</f>
        <v>-3.6737920438786098E-2</v>
      </c>
    </row>
    <row r="159" spans="1:14 16373:16375" ht="14.25" customHeight="1">
      <c r="A159" s="4" t="str">
        <f>'Tourism Medium DB-LCU'!A162</f>
        <v>Hungary</v>
      </c>
      <c r="B159" s="4" t="str">
        <f>'Tourism Medium DB-LCU'!B162</f>
        <v>Hotels</v>
      </c>
      <c r="C159" s="1" t="str">
        <f>'Tourism Medium DB-LCU'!C162</f>
        <v>Number of Guests by Customer Type</v>
      </c>
      <c r="D159" s="1" t="str">
        <f>'Tourism Medium DB-LCU'!D162</f>
        <v>Leisure</v>
      </c>
      <c r="F159" s="53">
        <f>'Tourism Medium DB-LCU'!I162/'Tourism Medium DB-LCU'!H162-1</f>
        <v>-4.2537448131255706E-3</v>
      </c>
      <c r="G159" s="53">
        <f>'Tourism Medium DB-LCU'!J162/'Tourism Medium DB-LCU'!I162-1</f>
        <v>6.4138487042110448E-2</v>
      </c>
      <c r="H159" s="53">
        <f>'Tourism Medium DB-LCU'!K162/'Tourism Medium DB-LCU'!J162-1</f>
        <v>2.8699905740692477E-2</v>
      </c>
      <c r="I159" s="53">
        <f>'Tourism Medium DB-LCU'!L162/'Tourism Medium DB-LCU'!K162-1</f>
        <v>1.9395576044007434E-2</v>
      </c>
      <c r="J159" s="53">
        <f>'Tourism Medium DB-LCU'!M162/'Tourism Medium DB-LCU'!L162-1</f>
        <v>-0.77949669616232475</v>
      </c>
      <c r="K159" s="53">
        <f>'Tourism Medium DB-LCU'!N162/'Tourism Medium DB-LCU'!M162-1</f>
        <v>-0.12886550742803038</v>
      </c>
      <c r="L159" s="53">
        <f>'Tourism Medium DB-LCU'!O162/'Tourism Medium DB-LCU'!N162-1</f>
        <v>-0.20098234527080494</v>
      </c>
      <c r="M159" s="53">
        <f>'Tourism Medium DB-LCU'!P162/'Tourism Medium DB-LCU'!O162-1</f>
        <v>-3.1366749958024576E-2</v>
      </c>
      <c r="N159" s="53">
        <f>'Tourism Medium DB-LCU'!Q162/'Tourism Medium DB-LCU'!P162-1</f>
        <v>-3.6616295812721966E-2</v>
      </c>
    </row>
    <row r="160" spans="1:14 16373:16375" s="15" customFormat="1" ht="14.25" customHeight="1">
      <c r="A160" s="430" t="str">
        <f>'Tourism Medium DB-LCU'!A163</f>
        <v>Hungary</v>
      </c>
      <c r="B160" s="431" t="str">
        <f>'Tourism Medium DB-LCU'!B163</f>
        <v xml:space="preserve">Travel Intermediaries </v>
      </c>
      <c r="C160" s="425"/>
      <c r="D160" s="425"/>
      <c r="E160" s="425"/>
      <c r="F160" s="426"/>
      <c r="G160" s="426"/>
      <c r="H160" s="426"/>
      <c r="I160" s="426"/>
      <c r="J160" s="426"/>
      <c r="K160" s="426"/>
      <c r="L160" s="426"/>
      <c r="M160" s="426"/>
      <c r="N160" s="426"/>
      <c r="XES160" s="6"/>
      <c r="XET160" s="6"/>
      <c r="XEU160" s="6"/>
    </row>
    <row r="161" spans="1:14" ht="14.25" customHeight="1">
      <c r="A161" s="4" t="str">
        <f>'Tourism Medium DB-LCU'!A164</f>
        <v>Hungary</v>
      </c>
      <c r="B161" s="4" t="str">
        <f>'Tourism Medium DB-LCU'!B164</f>
        <v xml:space="preserve">Travel Intermediaries </v>
      </c>
      <c r="C161" s="1" t="str">
        <f>'Tourism Medium DB-LCU'!C164</f>
        <v>Market Value by Product</v>
      </c>
      <c r="F161" s="53">
        <f>'Tourism Medium DB-LCU'!I164/'Tourism Medium DB-LCU'!H164-1</f>
        <v>-5.9712080753894781E-2</v>
      </c>
      <c r="G161" s="53">
        <f>'Tourism Medium DB-LCU'!J164/'Tourism Medium DB-LCU'!I164-1</f>
        <v>5.1964341641445699E-2</v>
      </c>
      <c r="H161" s="53">
        <f>'Tourism Medium DB-LCU'!K164/'Tourism Medium DB-LCU'!J164-1</f>
        <v>3.8965199470832212E-2</v>
      </c>
      <c r="I161" s="53">
        <f>'Tourism Medium DB-LCU'!L164/'Tourism Medium DB-LCU'!K164-1</f>
        <v>3.2696602239017825E-2</v>
      </c>
      <c r="J161" s="53">
        <f>'Tourism Medium DB-LCU'!M164/'Tourism Medium DB-LCU'!L164-1</f>
        <v>2.5832835162093781E-2</v>
      </c>
      <c r="K161" s="53">
        <f>'Tourism Medium DB-LCU'!N164/'Tourism Medium DB-LCU'!M164-1</f>
        <v>-1.6928310376670086E-2</v>
      </c>
      <c r="L161" s="53">
        <f>'Tourism Medium DB-LCU'!O164/'Tourism Medium DB-LCU'!N164-1</f>
        <v>-2.174039970541175E-2</v>
      </c>
      <c r="M161" s="53">
        <f>'Tourism Medium DB-LCU'!P164/'Tourism Medium DB-LCU'!O164-1</f>
        <v>3.6478672117417954E-2</v>
      </c>
      <c r="N161" s="53">
        <f>'Tourism Medium DB-LCU'!Q164/'Tourism Medium DB-LCU'!P164-1</f>
        <v>1.1036398547650483E-2</v>
      </c>
    </row>
    <row r="162" spans="1:14" ht="14.25" customHeight="1">
      <c r="A162" s="4" t="str">
        <f>'Tourism Medium DB-LCU'!A165</f>
        <v>Hungary</v>
      </c>
      <c r="B162" s="4" t="str">
        <f>'Tourism Medium DB-LCU'!B165</f>
        <v xml:space="preserve">Travel Intermediaries </v>
      </c>
      <c r="C162" s="1" t="str">
        <f>'Tourism Medium DB-LCU'!C165</f>
        <v>Market Value by Product</v>
      </c>
      <c r="D162" s="1" t="str">
        <f>'Tourism Medium DB-LCU'!D165</f>
        <v>Accommodation Only</v>
      </c>
      <c r="F162" s="53">
        <f>'Tourism Medium DB-LCU'!I165/'Tourism Medium DB-LCU'!H165-1</f>
        <v>-5.3983344852675419E-2</v>
      </c>
      <c r="G162" s="53">
        <f>'Tourism Medium DB-LCU'!J165/'Tourism Medium DB-LCU'!I165-1</f>
        <v>4.1460958940679804E-2</v>
      </c>
      <c r="H162" s="53">
        <f>'Tourism Medium DB-LCU'!K165/'Tourism Medium DB-LCU'!J165-1</f>
        <v>3.1402833861906565E-2</v>
      </c>
      <c r="I162" s="53">
        <f>'Tourism Medium DB-LCU'!L165/'Tourism Medium DB-LCU'!K165-1</f>
        <v>2.6544053400867851E-2</v>
      </c>
      <c r="J162" s="53">
        <f>'Tourism Medium DB-LCU'!M165/'Tourism Medium DB-LCU'!L165-1</f>
        <v>1.8356337302430248E-2</v>
      </c>
      <c r="K162" s="53">
        <f>'Tourism Medium DB-LCU'!N165/'Tourism Medium DB-LCU'!M165-1</f>
        <v>-2.4427571838135376E-2</v>
      </c>
      <c r="L162" s="53">
        <f>'Tourism Medium DB-LCU'!O165/'Tourism Medium DB-LCU'!N165-1</f>
        <v>-2.8625865626292324E-2</v>
      </c>
      <c r="M162" s="53">
        <f>'Tourism Medium DB-LCU'!P165/'Tourism Medium DB-LCU'!O165-1</f>
        <v>2.9245698224603434E-2</v>
      </c>
      <c r="N162" s="53">
        <f>'Tourism Medium DB-LCU'!Q165/'Tourism Medium DB-LCU'!P165-1</f>
        <v>3.7231557601264953E-3</v>
      </c>
    </row>
    <row r="163" spans="1:14" ht="14.25" customHeight="1">
      <c r="A163" s="4" t="str">
        <f>'Tourism Medium DB-LCU'!A166</f>
        <v>Hungary</v>
      </c>
      <c r="B163" s="4" t="str">
        <f>'Tourism Medium DB-LCU'!B166</f>
        <v xml:space="preserve">Travel Intermediaries </v>
      </c>
      <c r="C163" s="4" t="str">
        <f>'Tourism Medium DB-LCU'!C166</f>
        <v>Market Value by Product</v>
      </c>
      <c r="D163" s="1" t="str">
        <f>'Tourism Medium DB-LCU'!D166</f>
        <v>Travel Only</v>
      </c>
      <c r="F163" s="53">
        <f>'Tourism Medium DB-LCU'!I166/'Tourism Medium DB-LCU'!H166-1</f>
        <v>-6.9019880762329233E-2</v>
      </c>
      <c r="G163" s="53">
        <f>'Tourism Medium DB-LCU'!J166/'Tourism Medium DB-LCU'!I166-1</f>
        <v>6.9150274458251726E-2</v>
      </c>
      <c r="H163" s="53">
        <f>'Tourism Medium DB-LCU'!K166/'Tourism Medium DB-LCU'!J166-1</f>
        <v>5.1018495760804194E-2</v>
      </c>
      <c r="I163" s="53">
        <f>'Tourism Medium DB-LCU'!L166/'Tourism Medium DB-LCU'!K166-1</f>
        <v>4.2319839507849233E-2</v>
      </c>
      <c r="J163" s="53">
        <f>'Tourism Medium DB-LCU'!M166/'Tourism Medium DB-LCU'!L166-1</f>
        <v>3.3314237385678069E-2</v>
      </c>
      <c r="K163" s="53">
        <f>'Tourism Medium DB-LCU'!N166/'Tourism Medium DB-LCU'!M166-1</f>
        <v>-5.9053815461408421E-3</v>
      </c>
      <c r="L163" s="53">
        <f>'Tourism Medium DB-LCU'!O166/'Tourism Medium DB-LCU'!N166-1</f>
        <v>-1.2099717269167254E-2</v>
      </c>
      <c r="M163" s="53">
        <f>'Tourism Medium DB-LCU'!P166/'Tourism Medium DB-LCU'!O166-1</f>
        <v>4.6241082517765042E-2</v>
      </c>
      <c r="N163" s="53">
        <f>'Tourism Medium DB-LCU'!Q166/'Tourism Medium DB-LCU'!P166-1</f>
        <v>2.0584518862077905E-2</v>
      </c>
    </row>
    <row r="164" spans="1:14" ht="14.25" customHeight="1">
      <c r="A164" s="4" t="str">
        <f>'Tourism Medium DB-LCU'!A167</f>
        <v>Hungary</v>
      </c>
      <c r="B164" s="4" t="str">
        <f>'Tourism Medium DB-LCU'!B167</f>
        <v xml:space="preserve">Travel Intermediaries </v>
      </c>
      <c r="C164" s="4" t="str">
        <f>'Tourism Medium DB-LCU'!C167</f>
        <v>Market Value by Product</v>
      </c>
      <c r="D164" s="4" t="str">
        <f>'Tourism Medium DB-LCU'!D167</f>
        <v>Travel Only</v>
      </c>
      <c r="E164" s="1" t="str">
        <f>'Tourism Medium DB-LCU'!E167</f>
        <v>Flight</v>
      </c>
      <c r="F164" s="53">
        <f>'Tourism Medium DB-LCU'!I167/'Tourism Medium DB-LCU'!H167-1</f>
        <v>-6.7292228846761004E-2</v>
      </c>
      <c r="G164" s="53">
        <f>'Tourism Medium DB-LCU'!J167/'Tourism Medium DB-LCU'!I167-1</f>
        <v>6.7828125184562937E-2</v>
      </c>
      <c r="H164" s="53">
        <f>'Tourism Medium DB-LCU'!K167/'Tourism Medium DB-LCU'!J167-1</f>
        <v>5.0104986663234374E-2</v>
      </c>
      <c r="I164" s="53">
        <f>'Tourism Medium DB-LCU'!L167/'Tourism Medium DB-LCU'!K167-1</f>
        <v>4.1598239518084279E-2</v>
      </c>
      <c r="J164" s="53">
        <f>'Tourism Medium DB-LCU'!M167/'Tourism Medium DB-LCU'!L167-1</f>
        <v>3.3121677520297599E-2</v>
      </c>
      <c r="K164" s="53">
        <f>'Tourism Medium DB-LCU'!N167/'Tourism Medium DB-LCU'!M167-1</f>
        <v>-6.6471602708710886E-3</v>
      </c>
      <c r="L164" s="53">
        <f>'Tourism Medium DB-LCU'!O167/'Tourism Medium DB-LCU'!N167-1</f>
        <v>-1.2715707690822198E-2</v>
      </c>
      <c r="M164" s="53">
        <f>'Tourism Medium DB-LCU'!P167/'Tourism Medium DB-LCU'!O167-1</f>
        <v>4.5652971630812278E-2</v>
      </c>
      <c r="N164" s="53">
        <f>'Tourism Medium DB-LCU'!Q167/'Tourism Medium DB-LCU'!P167-1</f>
        <v>2.0044048622898991E-2</v>
      </c>
    </row>
    <row r="165" spans="1:14" ht="14.25" customHeight="1">
      <c r="A165" s="4" t="str">
        <f>'Tourism Medium DB-LCU'!A168</f>
        <v>Hungary</v>
      </c>
      <c r="B165" s="4" t="str">
        <f>'Tourism Medium DB-LCU'!B168</f>
        <v xml:space="preserve">Travel Intermediaries </v>
      </c>
      <c r="C165" s="4" t="str">
        <f>'Tourism Medium DB-LCU'!C168</f>
        <v>Market Value by Product</v>
      </c>
      <c r="D165" s="4" t="str">
        <f>'Tourism Medium DB-LCU'!D168</f>
        <v>Travel Only</v>
      </c>
      <c r="E165" s="1" t="str">
        <f>'Tourism Medium DB-LCU'!E168</f>
        <v>Other Travel</v>
      </c>
      <c r="F165" s="53">
        <f>'Tourism Medium DB-LCU'!I168/'Tourism Medium DB-LCU'!H168-1</f>
        <v>-9.1179218816417218E-2</v>
      </c>
      <c r="G165" s="53">
        <f>'Tourism Medium DB-LCU'!J168/'Tourism Medium DB-LCU'!I168-1</f>
        <v>8.6554246375017518E-2</v>
      </c>
      <c r="H165" s="53">
        <f>'Tourism Medium DB-LCU'!K168/'Tourism Medium DB-LCU'!J168-1</f>
        <v>6.283613428972612E-2</v>
      </c>
      <c r="I165" s="53">
        <f>'Tourism Medium DB-LCU'!L168/'Tourism Medium DB-LCU'!K168-1</f>
        <v>5.1543020967441233E-2</v>
      </c>
      <c r="J165" s="53">
        <f>'Tourism Medium DB-LCU'!M168/'Tourism Medium DB-LCU'!L168-1</f>
        <v>3.5752178436925908E-2</v>
      </c>
      <c r="K165" s="53">
        <f>'Tourism Medium DB-LCU'!N168/'Tourism Medium DB-LCU'!M168-1</f>
        <v>3.46219862151953E-3</v>
      </c>
      <c r="L165" s="53">
        <f>'Tourism Medium DB-LCU'!O168/'Tourism Medium DB-LCU'!N168-1</f>
        <v>-4.3990293133585601E-3</v>
      </c>
      <c r="M165" s="53">
        <f>'Tourism Medium DB-LCU'!P168/'Tourism Medium DB-LCU'!O168-1</f>
        <v>5.3531824037815756E-2</v>
      </c>
      <c r="N165" s="53">
        <f>'Tourism Medium DB-LCU'!Q168/'Tourism Medium DB-LCU'!P168-1</f>
        <v>2.7234557737715104E-2</v>
      </c>
    </row>
    <row r="166" spans="1:14" ht="14.25" customHeight="1">
      <c r="A166" s="4" t="str">
        <f>'Tourism Medium DB-LCU'!A169</f>
        <v>Hungary</v>
      </c>
      <c r="B166" s="4" t="str">
        <f>'Tourism Medium DB-LCU'!B169</f>
        <v xml:space="preserve">Travel Intermediaries </v>
      </c>
      <c r="C166" s="4" t="str">
        <f>'Tourism Medium DB-LCU'!C169</f>
        <v>Market Value by Product</v>
      </c>
      <c r="D166" s="1" t="str">
        <f>'Tourism Medium DB-LCU'!D169</f>
        <v>Car Rental Only</v>
      </c>
      <c r="F166" s="53">
        <f>'Tourism Medium DB-LCU'!I169/'Tourism Medium DB-LCU'!H169-1</f>
        <v>-5.9115255407866996E-2</v>
      </c>
      <c r="G166" s="53">
        <f>'Tourism Medium DB-LCU'!J169/'Tourism Medium DB-LCU'!I169-1</f>
        <v>4.615526099049827E-2</v>
      </c>
      <c r="H166" s="53">
        <f>'Tourism Medium DB-LCU'!K169/'Tourism Medium DB-LCU'!J169-1</f>
        <v>3.4801467769202343E-2</v>
      </c>
      <c r="I166" s="53">
        <f>'Tourism Medium DB-LCU'!L169/'Tourism Medium DB-LCU'!K169-1</f>
        <v>2.9320221444285144E-2</v>
      </c>
      <c r="J166" s="53">
        <f>'Tourism Medium DB-LCU'!M169/'Tourism Medium DB-LCU'!L169-1</f>
        <v>2.2710506878191428E-2</v>
      </c>
      <c r="K166" s="53">
        <f>'Tourism Medium DB-LCU'!N169/'Tourism Medium DB-LCU'!M169-1</f>
        <v>-2.0822446897945102E-2</v>
      </c>
      <c r="L166" s="53">
        <f>'Tourism Medium DB-LCU'!O169/'Tourism Medium DB-LCU'!N169-1</f>
        <v>-2.4258583912486698E-2</v>
      </c>
      <c r="M166" s="53">
        <f>'Tourism Medium DB-LCU'!P169/'Tourism Medium DB-LCU'!O169-1</f>
        <v>4.0381282377838001E-2</v>
      </c>
      <c r="N166" s="53">
        <f>'Tourism Medium DB-LCU'!Q169/'Tourism Medium DB-LCU'!P169-1</f>
        <v>8.5526382573564153E-3</v>
      </c>
    </row>
    <row r="167" spans="1:14" ht="14.25" customHeight="1">
      <c r="A167" s="4" t="str">
        <f>'Tourism Medium DB-LCU'!A170</f>
        <v>Hungary</v>
      </c>
      <c r="B167" s="4" t="str">
        <f>'Tourism Medium DB-LCU'!B170</f>
        <v xml:space="preserve">Travel Intermediaries </v>
      </c>
      <c r="C167" s="4" t="str">
        <f>'Tourism Medium DB-LCU'!C170</f>
        <v>Market Value by Product</v>
      </c>
      <c r="D167" s="1" t="str">
        <f>'Tourism Medium DB-LCU'!D170</f>
        <v>Tourism Packages</v>
      </c>
      <c r="F167" s="53">
        <f>'Tourism Medium DB-LCU'!I170/'Tourism Medium DB-LCU'!H170-1</f>
        <v>-5.9563873627245356E-2</v>
      </c>
      <c r="G167" s="53">
        <f>'Tourism Medium DB-LCU'!J170/'Tourism Medium DB-LCU'!I170-1</f>
        <v>5.498267727195949E-2</v>
      </c>
      <c r="H167" s="53">
        <f>'Tourism Medium DB-LCU'!K170/'Tourism Medium DB-LCU'!J170-1</f>
        <v>4.1110527348497516E-2</v>
      </c>
      <c r="I167" s="53">
        <f>'Tourism Medium DB-LCU'!L170/'Tourism Medium DB-LCU'!K170-1</f>
        <v>3.4425711984624741E-2</v>
      </c>
      <c r="J167" s="53">
        <f>'Tourism Medium DB-LCU'!M170/'Tourism Medium DB-LCU'!L170-1</f>
        <v>2.6539990135288738E-2</v>
      </c>
      <c r="K167" s="53">
        <f>'Tourism Medium DB-LCU'!N170/'Tourism Medium DB-LCU'!M170-1</f>
        <v>-1.5135042543893418E-2</v>
      </c>
      <c r="L167" s="53">
        <f>'Tourism Medium DB-LCU'!O170/'Tourism Medium DB-LCU'!N170-1</f>
        <v>-2.0211335655936469E-2</v>
      </c>
      <c r="M167" s="53">
        <f>'Tourism Medium DB-LCU'!P170/'Tourism Medium DB-LCU'!O170-1</f>
        <v>3.7968743309862329E-2</v>
      </c>
      <c r="N167" s="53">
        <f>'Tourism Medium DB-LCU'!Q170/'Tourism Medium DB-LCU'!P170-1</f>
        <v>1.3442495101600116E-2</v>
      </c>
    </row>
    <row r="168" spans="1:14" ht="14.25" customHeight="1">
      <c r="A168" s="4" t="str">
        <f>'Tourism Medium DB-LCU'!A171</f>
        <v>Hungary</v>
      </c>
      <c r="B168" s="4" t="str">
        <f>'Tourism Medium DB-LCU'!B171</f>
        <v xml:space="preserve">Travel Intermediaries </v>
      </c>
      <c r="C168" s="4" t="str">
        <f>'Tourism Medium DB-LCU'!C171</f>
        <v>Market Value by Product</v>
      </c>
      <c r="D168" s="4" t="str">
        <f>'Tourism Medium DB-LCU'!D171</f>
        <v>Tourism Packages</v>
      </c>
      <c r="E168" s="1" t="str">
        <f>'Tourism Medium DB-LCU'!E171</f>
        <v>Dynamic Package</v>
      </c>
      <c r="F168" s="53">
        <f>'Tourism Medium DB-LCU'!I171/'Tourism Medium DB-LCU'!H171-1</f>
        <v>0.22846066352225325</v>
      </c>
      <c r="G168" s="53">
        <f>'Tourism Medium DB-LCU'!J171/'Tourism Medium DB-LCU'!I171-1</f>
        <v>0.20527298105210345</v>
      </c>
      <c r="H168" s="53">
        <f>'Tourism Medium DB-LCU'!K171/'Tourism Medium DB-LCU'!J171-1</f>
        <v>0.16986055897717112</v>
      </c>
      <c r="I168" s="53">
        <f>'Tourism Medium DB-LCU'!L171/'Tourism Medium DB-LCU'!K171-1</f>
        <v>0.10790727572314496</v>
      </c>
      <c r="J168" s="53">
        <f>'Tourism Medium DB-LCU'!M171/'Tourism Medium DB-LCU'!L171-1</f>
        <v>9.3306808844317857E-2</v>
      </c>
      <c r="K168" s="53">
        <f>'Tourism Medium DB-LCU'!N171/'Tourism Medium DB-LCU'!M171-1</f>
        <v>4.2230234066829686E-2</v>
      </c>
      <c r="L168" s="53">
        <f>'Tourism Medium DB-LCU'!O171/'Tourism Medium DB-LCU'!N171-1</f>
        <v>3.3060145471400793E-2</v>
      </c>
      <c r="M168" s="53">
        <f>'Tourism Medium DB-LCU'!P171/'Tourism Medium DB-LCU'!O171-1</f>
        <v>8.484324917274888E-2</v>
      </c>
      <c r="N168" s="53">
        <f>'Tourism Medium DB-LCU'!Q171/'Tourism Medium DB-LCU'!P171-1</f>
        <v>5.5962589141678176E-2</v>
      </c>
    </row>
    <row r="169" spans="1:14" ht="14.25" customHeight="1">
      <c r="A169" s="4" t="str">
        <f>'Tourism Medium DB-LCU'!A172</f>
        <v>Hungary</v>
      </c>
      <c r="B169" s="4" t="str">
        <f>'Tourism Medium DB-LCU'!B172</f>
        <v xml:space="preserve">Travel Intermediaries </v>
      </c>
      <c r="C169" s="4" t="str">
        <f>'Tourism Medium DB-LCU'!C172</f>
        <v>Market Value by Product</v>
      </c>
      <c r="D169" s="4" t="str">
        <f>'Tourism Medium DB-LCU'!D172</f>
        <v>Tourism Packages</v>
      </c>
      <c r="E169" s="1" t="str">
        <f>'Tourism Medium DB-LCU'!E172</f>
        <v>Static Package</v>
      </c>
      <c r="F169" s="53">
        <f>'Tourism Medium DB-LCU'!I172/'Tourism Medium DB-LCU'!H172-1</f>
        <v>-9.4548864907820551E-2</v>
      </c>
      <c r="G169" s="53">
        <f>'Tourism Medium DB-LCU'!J172/'Tourism Medium DB-LCU'!I172-1</f>
        <v>3.0215330666294449E-2</v>
      </c>
      <c r="H169" s="53">
        <f>'Tourism Medium DB-LCU'!K172/'Tourism Medium DB-LCU'!J172-1</f>
        <v>1.6287583969953223E-2</v>
      </c>
      <c r="I169" s="53">
        <f>'Tourism Medium DB-LCU'!L172/'Tourism Medium DB-LCU'!K172-1</f>
        <v>1.8117670725559254E-2</v>
      </c>
      <c r="J169" s="53">
        <f>'Tourism Medium DB-LCU'!M172/'Tourism Medium DB-LCU'!L172-1</f>
        <v>1.0415368434357752E-2</v>
      </c>
      <c r="K169" s="53">
        <f>'Tourism Medium DB-LCU'!N172/'Tourism Medium DB-LCU'!M172-1</f>
        <v>-3.0125678326596073E-2</v>
      </c>
      <c r="L169" s="53">
        <f>'Tourism Medium DB-LCU'!O172/'Tourism Medium DB-LCU'!N172-1</f>
        <v>-3.5170727515292377E-2</v>
      </c>
      <c r="M169" s="53">
        <f>'Tourism Medium DB-LCU'!P172/'Tourism Medium DB-LCU'!O172-1</f>
        <v>2.3874849167128342E-2</v>
      </c>
      <c r="N169" s="53">
        <f>'Tourism Medium DB-LCU'!Q172/'Tourism Medium DB-LCU'!P172-1</f>
        <v>-1.0342890534131843E-4</v>
      </c>
    </row>
    <row r="170" spans="1:14" ht="14.25" customHeight="1">
      <c r="A170" s="4" t="str">
        <f>'Tourism Medium DB-LCU'!A173</f>
        <v>Hungary</v>
      </c>
      <c r="B170" s="4" t="str">
        <f>'Tourism Medium DB-LCU'!B173</f>
        <v xml:space="preserve">Travel Intermediaries </v>
      </c>
      <c r="C170" s="4" t="str">
        <f>'Tourism Medium DB-LCU'!C173</f>
        <v>Market Value by Product</v>
      </c>
      <c r="D170" s="1" t="str">
        <f>'Tourism Medium DB-LCU'!D173</f>
        <v>Other Products</v>
      </c>
      <c r="F170" s="53">
        <f>'Tourism Medium DB-LCU'!I173/'Tourism Medium DB-LCU'!H173-1</f>
        <v>-3.8018105283346371E-2</v>
      </c>
      <c r="G170" s="53">
        <f>'Tourism Medium DB-LCU'!J173/'Tourism Medium DB-LCU'!I173-1</f>
        <v>5.5713986742984556E-3</v>
      </c>
      <c r="H170" s="53">
        <f>'Tourism Medium DB-LCU'!K173/'Tourism Medium DB-LCU'!J173-1</f>
        <v>4.3704264661514891E-3</v>
      </c>
      <c r="I170" s="53">
        <f>'Tourism Medium DB-LCU'!L173/'Tourism Medium DB-LCU'!K173-1</f>
        <v>3.793644422816822E-3</v>
      </c>
      <c r="J170" s="53">
        <f>'Tourism Medium DB-LCU'!M173/'Tourism Medium DB-LCU'!L173-1</f>
        <v>7.1838287025201009E-3</v>
      </c>
      <c r="K170" s="53">
        <f>'Tourism Medium DB-LCU'!N173/'Tourism Medium DB-LCU'!M173-1</f>
        <v>-5.13138668843518E-2</v>
      </c>
      <c r="L170" s="53">
        <f>'Tourism Medium DB-LCU'!O173/'Tourism Medium DB-LCU'!N173-1</f>
        <v>-5.3116522077267248E-2</v>
      </c>
      <c r="M170" s="53">
        <f>'Tourism Medium DB-LCU'!P173/'Tourism Medium DB-LCU'!O173-1</f>
        <v>1.9725947159288104E-3</v>
      </c>
      <c r="N170" s="53">
        <f>'Tourism Medium DB-LCU'!Q173/'Tourism Medium DB-LCU'!P173-1</f>
        <v>-2.5485434398153983E-2</v>
      </c>
    </row>
    <row r="171" spans="1:14" ht="14.25" customHeight="1">
      <c r="A171" s="4" t="str">
        <f>'Tourism Medium DB-LCU'!A174</f>
        <v>Hungary</v>
      </c>
      <c r="B171" s="4" t="str">
        <f>'Tourism Medium DB-LCU'!B174</f>
        <v xml:space="preserve">Travel Intermediaries </v>
      </c>
      <c r="C171" s="1" t="str">
        <f>'Tourism Medium DB-LCU'!C174</f>
        <v>Market Value by Channel</v>
      </c>
      <c r="F171" s="53">
        <f>'Tourism Medium DB-LCU'!I174/'Tourism Medium DB-LCU'!H174-1</f>
        <v>-5.9712080753894781E-2</v>
      </c>
      <c r="G171" s="53">
        <f>'Tourism Medium DB-LCU'!J174/'Tourism Medium DB-LCU'!I174-1</f>
        <v>5.1964341641445699E-2</v>
      </c>
      <c r="H171" s="53">
        <f>'Tourism Medium DB-LCU'!K174/'Tourism Medium DB-LCU'!J174-1</f>
        <v>3.8965199470832212E-2</v>
      </c>
      <c r="I171" s="53">
        <f>'Tourism Medium DB-LCU'!L174/'Tourism Medium DB-LCU'!K174-1</f>
        <v>3.2696602239017825E-2</v>
      </c>
      <c r="J171" s="53">
        <f>'Tourism Medium DB-LCU'!M174/'Tourism Medium DB-LCU'!L174-1</f>
        <v>2.5832835162093781E-2</v>
      </c>
      <c r="K171" s="53">
        <f>'Tourism Medium DB-LCU'!N174/'Tourism Medium DB-LCU'!M174-1</f>
        <v>-1.6928310376670086E-2</v>
      </c>
      <c r="L171" s="53">
        <f>'Tourism Medium DB-LCU'!O174/'Tourism Medium DB-LCU'!N174-1</f>
        <v>-2.174039970541175E-2</v>
      </c>
      <c r="M171" s="53">
        <f>'Tourism Medium DB-LCU'!P174/'Tourism Medium DB-LCU'!O174-1</f>
        <v>3.6478672117417954E-2</v>
      </c>
      <c r="N171" s="53">
        <f>'Tourism Medium DB-LCU'!Q174/'Tourism Medium DB-LCU'!P174-1</f>
        <v>1.1036398547650483E-2</v>
      </c>
    </row>
    <row r="172" spans="1:14" ht="14.25" customHeight="1">
      <c r="A172" s="4" t="str">
        <f>'Tourism Medium DB-LCU'!A175</f>
        <v>Hungary</v>
      </c>
      <c r="B172" s="4" t="str">
        <f>'Tourism Medium DB-LCU'!B175</f>
        <v xml:space="preserve">Travel Intermediaries </v>
      </c>
      <c r="C172" s="4" t="str">
        <f>'Tourism Medium DB-LCU'!C175</f>
        <v>Market Value by Channel</v>
      </c>
      <c r="D172" s="1" t="str">
        <f>'Tourism Medium DB-LCU'!D175</f>
        <v>Online</v>
      </c>
      <c r="F172" s="53">
        <f>'Tourism Medium DB-LCU'!I175/'Tourism Medium DB-LCU'!H175-1</f>
        <v>0.20582885821747388</v>
      </c>
      <c r="G172" s="53">
        <f>'Tourism Medium DB-LCU'!J175/'Tourism Medium DB-LCU'!I175-1</f>
        <v>0.18840924171842199</v>
      </c>
      <c r="H172" s="53">
        <f>'Tourism Medium DB-LCU'!K175/'Tourism Medium DB-LCU'!J175-1</f>
        <v>0.15811838205453821</v>
      </c>
      <c r="I172" s="53">
        <f>'Tourism Medium DB-LCU'!L175/'Tourism Medium DB-LCU'!K175-1</f>
        <v>0.10146626764055955</v>
      </c>
      <c r="J172" s="53">
        <f>'Tourism Medium DB-LCU'!M175/'Tourism Medium DB-LCU'!L175-1</f>
        <v>7.5307677310938903E-2</v>
      </c>
      <c r="K172" s="53">
        <f>'Tourism Medium DB-LCU'!N175/'Tourism Medium DB-LCU'!M175-1</f>
        <v>2.2660427526931759E-2</v>
      </c>
      <c r="L172" s="53">
        <f>'Tourism Medium DB-LCU'!O175/'Tourism Medium DB-LCU'!N175-1</f>
        <v>1.7763657949790401E-2</v>
      </c>
      <c r="M172" s="53">
        <f>'Tourism Medium DB-LCU'!P175/'Tourism Medium DB-LCU'!O175-1</f>
        <v>6.9680034561581561E-2</v>
      </c>
      <c r="N172" s="53">
        <f>'Tourism Medium DB-LCU'!Q175/'Tourism Medium DB-LCU'!P175-1</f>
        <v>4.4120800346930666E-2</v>
      </c>
    </row>
    <row r="173" spans="1:14" ht="14.25" customHeight="1">
      <c r="A173" s="4" t="str">
        <f>'Tourism Medium DB-LCU'!A176</f>
        <v>Hungary</v>
      </c>
      <c r="B173" s="4" t="str">
        <f>'Tourism Medium DB-LCU'!B176</f>
        <v xml:space="preserve">Travel Intermediaries </v>
      </c>
      <c r="C173" s="4" t="str">
        <f>'Tourism Medium DB-LCU'!C176</f>
        <v>Market Value by Channel</v>
      </c>
      <c r="D173" s="1" t="str">
        <f>'Tourism Medium DB-LCU'!D176</f>
        <v>In-Store</v>
      </c>
      <c r="F173" s="53">
        <f>'Tourism Medium DB-LCU'!I176/'Tourism Medium DB-LCU'!H176-1</f>
        <v>-0.15803932397539056</v>
      </c>
      <c r="G173" s="53">
        <f>'Tourism Medium DB-LCU'!J176/'Tourism Medium DB-LCU'!I176-1</f>
        <v>-2.0394823802821871E-2</v>
      </c>
      <c r="H173" s="53">
        <f>'Tourism Medium DB-LCU'!K176/'Tourism Medium DB-LCU'!J176-1</f>
        <v>-3.7692686387518326E-2</v>
      </c>
      <c r="I173" s="53">
        <f>'Tourism Medium DB-LCU'!L176/'Tourism Medium DB-LCU'!K176-1</f>
        <v>-2.0549432431332448E-2</v>
      </c>
      <c r="J173" s="53">
        <f>'Tourism Medium DB-LCU'!M176/'Tourism Medium DB-LCU'!L176-1</f>
        <v>-1.7245950817593503E-2</v>
      </c>
      <c r="K173" s="53">
        <f>'Tourism Medium DB-LCU'!N176/'Tourism Medium DB-LCU'!M176-1</f>
        <v>-5.4645436995967356E-2</v>
      </c>
      <c r="L173" s="53">
        <f>'Tourism Medium DB-LCU'!O176/'Tourism Medium DB-LCU'!N176-1</f>
        <v>-6.2454550028021361E-2</v>
      </c>
      <c r="M173" s="53">
        <f>'Tourism Medium DB-LCU'!P176/'Tourism Medium DB-LCU'!O176-1</f>
        <v>-6.6751000658626936E-4</v>
      </c>
      <c r="N173" s="53">
        <f>'Tourism Medium DB-LCU'!Q176/'Tourism Medium DB-LCU'!P176-1</f>
        <v>-2.8584602779433865E-2</v>
      </c>
    </row>
    <row r="174" spans="1:14" ht="14.25" customHeight="1">
      <c r="A174" s="4" t="str">
        <f>'Tourism Medium DB-LCU'!A177</f>
        <v>Hungary</v>
      </c>
      <c r="B174" s="4" t="str">
        <f>'Tourism Medium DB-LCU'!B177</f>
        <v xml:space="preserve">Travel Intermediaries </v>
      </c>
      <c r="C174" s="1" t="str">
        <f>'Tourism Medium DB-LCU'!C177</f>
        <v>Market Value by Destination</v>
      </c>
      <c r="F174" s="53">
        <f>'Tourism Medium DB-LCU'!I177/'Tourism Medium DB-LCU'!H177-1</f>
        <v>-5.9712080753894781E-2</v>
      </c>
      <c r="G174" s="53">
        <f>'Tourism Medium DB-LCU'!J177/'Tourism Medium DB-LCU'!I177-1</f>
        <v>5.1964341641445699E-2</v>
      </c>
      <c r="H174" s="53">
        <f>'Tourism Medium DB-LCU'!K177/'Tourism Medium DB-LCU'!J177-1</f>
        <v>3.8965199470832212E-2</v>
      </c>
      <c r="I174" s="53">
        <f>'Tourism Medium DB-LCU'!L177/'Tourism Medium DB-LCU'!K177-1</f>
        <v>3.2696602239017825E-2</v>
      </c>
      <c r="J174" s="53">
        <f>'Tourism Medium DB-LCU'!M177/'Tourism Medium DB-LCU'!L177-1</f>
        <v>2.5832835162093781E-2</v>
      </c>
      <c r="K174" s="53">
        <f>'Tourism Medium DB-LCU'!N177/'Tourism Medium DB-LCU'!M177-1</f>
        <v>-1.6928310376670086E-2</v>
      </c>
      <c r="L174" s="53">
        <f>'Tourism Medium DB-LCU'!O177/'Tourism Medium DB-LCU'!N177-1</f>
        <v>-2.174039970541175E-2</v>
      </c>
      <c r="M174" s="53">
        <f>'Tourism Medium DB-LCU'!P177/'Tourism Medium DB-LCU'!O177-1</f>
        <v>3.6478672117417954E-2</v>
      </c>
      <c r="N174" s="53">
        <f>'Tourism Medium DB-LCU'!Q177/'Tourism Medium DB-LCU'!P177-1</f>
        <v>1.1036398547650483E-2</v>
      </c>
    </row>
    <row r="175" spans="1:14" ht="14.25" customHeight="1">
      <c r="A175" s="4" t="str">
        <f>'Tourism Medium DB-LCU'!A178</f>
        <v>Hungary</v>
      </c>
      <c r="B175" s="4" t="str">
        <f>'Tourism Medium DB-LCU'!B178</f>
        <v xml:space="preserve">Travel Intermediaries </v>
      </c>
      <c r="C175" s="4" t="str">
        <f>'Tourism Medium DB-LCU'!C178</f>
        <v>Market Value by Destination &amp; Channel</v>
      </c>
      <c r="D175" s="1" t="str">
        <f>'Tourism Medium DB-LCU'!D178</f>
        <v>Domestic Trips</v>
      </c>
      <c r="F175" s="53">
        <f>'Tourism Medium DB-LCU'!I178/'Tourism Medium DB-LCU'!H178-1</f>
        <v>-4.4006857320824988E-2</v>
      </c>
      <c r="G175" s="53">
        <f>'Tourism Medium DB-LCU'!J178/'Tourism Medium DB-LCU'!I178-1</f>
        <v>5.5894587667941753E-2</v>
      </c>
      <c r="H175" s="53">
        <f>'Tourism Medium DB-LCU'!K178/'Tourism Medium DB-LCU'!J178-1</f>
        <v>4.4698124441277187E-2</v>
      </c>
      <c r="I175" s="53">
        <f>'Tourism Medium DB-LCU'!L178/'Tourism Medium DB-LCU'!K178-1</f>
        <v>6.1500576090643078E-2</v>
      </c>
      <c r="J175" s="53">
        <f>'Tourism Medium DB-LCU'!M178/'Tourism Medium DB-LCU'!L178-1</f>
        <v>3.9595252238116663E-2</v>
      </c>
      <c r="K175" s="53">
        <f>'Tourism Medium DB-LCU'!N178/'Tourism Medium DB-LCU'!M178-1</f>
        <v>-4.5457074901245065E-3</v>
      </c>
      <c r="L175" s="53">
        <f>'Tourism Medium DB-LCU'!O178/'Tourism Medium DB-LCU'!N178-1</f>
        <v>-7.2397035855856773E-3</v>
      </c>
      <c r="M175" s="53">
        <f>'Tourism Medium DB-LCU'!P178/'Tourism Medium DB-LCU'!O178-1</f>
        <v>5.4267377474955358E-2</v>
      </c>
      <c r="N175" s="53">
        <f>'Tourism Medium DB-LCU'!Q178/'Tourism Medium DB-LCU'!P178-1</f>
        <v>2.5694241614493407E-2</v>
      </c>
    </row>
    <row r="176" spans="1:14" ht="14.25" customHeight="1">
      <c r="A176" s="4" t="str">
        <f>'Tourism Medium DB-LCU'!A179</f>
        <v>Hungary</v>
      </c>
      <c r="B176" s="4" t="str">
        <f>'Tourism Medium DB-LCU'!B179</f>
        <v xml:space="preserve">Travel Intermediaries </v>
      </c>
      <c r="C176" s="4" t="str">
        <f>'Tourism Medium DB-LCU'!C179</f>
        <v>Market Value by Destination &amp; Channel</v>
      </c>
      <c r="D176" s="1" t="str">
        <f>'Tourism Medium DB-LCU'!D179</f>
        <v>International Trips</v>
      </c>
      <c r="F176" s="53">
        <f>'Tourism Medium DB-LCU'!I179/'Tourism Medium DB-LCU'!H179-1</f>
        <v>-7.8519605001590276E-2</v>
      </c>
      <c r="G176" s="53">
        <f>'Tourism Medium DB-LCU'!J179/'Tourism Medium DB-LCU'!I179-1</f>
        <v>4.7081463054476469E-2</v>
      </c>
      <c r="H176" s="53">
        <f>'Tourism Medium DB-LCU'!K179/'Tourism Medium DB-LCU'!J179-1</f>
        <v>3.178275066821401E-2</v>
      </c>
      <c r="I176" s="53">
        <f>'Tourism Medium DB-LCU'!L179/'Tourism Medium DB-LCU'!K179-1</f>
        <v>-3.8419420527447956E-3</v>
      </c>
      <c r="J176" s="53">
        <f>'Tourism Medium DB-LCU'!M179/'Tourism Medium DB-LCU'!L179-1</f>
        <v>7.2297261928908618E-3</v>
      </c>
      <c r="K176" s="53">
        <f>'Tourism Medium DB-LCU'!N179/'Tourism Medium DB-LCU'!M179-1</f>
        <v>-3.4204124111146816E-2</v>
      </c>
      <c r="L176" s="53">
        <f>'Tourism Medium DB-LCU'!O179/'Tourism Medium DB-LCU'!N179-1</f>
        <v>-4.2592576395878767E-2</v>
      </c>
      <c r="M176" s="53">
        <f>'Tourism Medium DB-LCU'!P179/'Tourism Medium DB-LCU'!O179-1</f>
        <v>9.9537268776515031E-3</v>
      </c>
      <c r="N176" s="53">
        <f>'Tourism Medium DB-LCU'!Q179/'Tourism Medium DB-LCU'!P179-1</f>
        <v>-1.1779076403697908E-2</v>
      </c>
    </row>
    <row r="177" spans="1:14" ht="14.25" customHeight="1">
      <c r="A177" s="4" t="str">
        <f>'Tourism Medium DB-LCU'!A180</f>
        <v>Hungary</v>
      </c>
      <c r="B177" s="4" t="str">
        <f>'Tourism Medium DB-LCU'!B180</f>
        <v xml:space="preserve">Travel Intermediaries </v>
      </c>
      <c r="C177" s="1" t="str">
        <f>'Tourism Medium DB-LCU'!C180</f>
        <v>Market Value by Customer Type</v>
      </c>
      <c r="F177" s="53">
        <f>'Tourism Medium DB-LCU'!I180/'Tourism Medium DB-LCU'!H180-1</f>
        <v>-5.9712080753894781E-2</v>
      </c>
      <c r="G177" s="53">
        <f>'Tourism Medium DB-LCU'!J180/'Tourism Medium DB-LCU'!I180-1</f>
        <v>5.1964341641445699E-2</v>
      </c>
      <c r="H177" s="53">
        <f>'Tourism Medium DB-LCU'!K180/'Tourism Medium DB-LCU'!J180-1</f>
        <v>3.8965199470832212E-2</v>
      </c>
      <c r="I177" s="53">
        <f>'Tourism Medium DB-LCU'!L180/'Tourism Medium DB-LCU'!K180-1</f>
        <v>3.2696602239017825E-2</v>
      </c>
      <c r="J177" s="53">
        <f>'Tourism Medium DB-LCU'!M180/'Tourism Medium DB-LCU'!L180-1</f>
        <v>2.5832835162093781E-2</v>
      </c>
      <c r="K177" s="53">
        <f>'Tourism Medium DB-LCU'!N180/'Tourism Medium DB-LCU'!M180-1</f>
        <v>-1.6928310376670086E-2</v>
      </c>
      <c r="L177" s="53">
        <f>'Tourism Medium DB-LCU'!O180/'Tourism Medium DB-LCU'!N180-1</f>
        <v>-2.174039970541175E-2</v>
      </c>
      <c r="M177" s="53">
        <f>'Tourism Medium DB-LCU'!P180/'Tourism Medium DB-LCU'!O180-1</f>
        <v>3.6478672117417954E-2</v>
      </c>
      <c r="N177" s="53">
        <f>'Tourism Medium DB-LCU'!Q180/'Tourism Medium DB-LCU'!P180-1</f>
        <v>1.1036398547650483E-2</v>
      </c>
    </row>
    <row r="178" spans="1:14" ht="14.25" customHeight="1">
      <c r="A178" s="4" t="str">
        <f>'Tourism Medium DB-LCU'!A181</f>
        <v>Hungary</v>
      </c>
      <c r="B178" s="4" t="str">
        <f>'Tourism Medium DB-LCU'!B181</f>
        <v xml:space="preserve">Travel Intermediaries </v>
      </c>
      <c r="C178" s="4" t="str">
        <f>'Tourism Medium DB-LCU'!C181</f>
        <v>Market Value by Customer Type</v>
      </c>
      <c r="D178" s="1" t="str">
        <f>'Tourism Medium DB-LCU'!D181</f>
        <v>Business</v>
      </c>
      <c r="F178" s="53" t="e">
        <f>'Tourism Medium DB-LCU'!I181/'Tourism Medium DB-LCU'!H181-1</f>
        <v>#VALUE!</v>
      </c>
      <c r="G178" s="53" t="e">
        <f>'Tourism Medium DB-LCU'!J181/'Tourism Medium DB-LCU'!I181-1</f>
        <v>#VALUE!</v>
      </c>
      <c r="H178" s="53" t="e">
        <f>'Tourism Medium DB-LCU'!K181/'Tourism Medium DB-LCU'!J181-1</f>
        <v>#VALUE!</v>
      </c>
      <c r="I178" s="53" t="e">
        <f>'Tourism Medium DB-LCU'!L181/'Tourism Medium DB-LCU'!K181-1</f>
        <v>#VALUE!</v>
      </c>
      <c r="J178" s="53" t="e">
        <f>'Tourism Medium DB-LCU'!M181/'Tourism Medium DB-LCU'!L181-1</f>
        <v>#VALUE!</v>
      </c>
      <c r="K178" s="53" t="e">
        <f>'Tourism Medium DB-LCU'!N181/'Tourism Medium DB-LCU'!M181-1</f>
        <v>#VALUE!</v>
      </c>
      <c r="L178" s="53" t="e">
        <f>'Tourism Medium DB-LCU'!O181/'Tourism Medium DB-LCU'!N181-1</f>
        <v>#VALUE!</v>
      </c>
      <c r="M178" s="53" t="e">
        <f>'Tourism Medium DB-LCU'!P181/'Tourism Medium DB-LCU'!O181-1</f>
        <v>#VALUE!</v>
      </c>
      <c r="N178" s="53" t="e">
        <f>'Tourism Medium DB-LCU'!Q181/'Tourism Medium DB-LCU'!P181-1</f>
        <v>#VALUE!</v>
      </c>
    </row>
    <row r="179" spans="1:14" ht="14.25" customHeight="1">
      <c r="A179" s="4" t="str">
        <f>'Tourism Medium DB-LCU'!A182</f>
        <v>Hungary</v>
      </c>
      <c r="B179" s="4" t="str">
        <f>'Tourism Medium DB-LCU'!B182</f>
        <v xml:space="preserve">Travel Intermediaries </v>
      </c>
      <c r="C179" s="4" t="str">
        <f>'Tourism Medium DB-LCU'!C182</f>
        <v>Market Value by Customer Type</v>
      </c>
      <c r="D179" s="1" t="str">
        <f>'Tourism Medium DB-LCU'!D182</f>
        <v>Leisure</v>
      </c>
      <c r="F179" s="53" t="e">
        <f>'Tourism Medium DB-LCU'!I182/'Tourism Medium DB-LCU'!H182-1</f>
        <v>#VALUE!</v>
      </c>
      <c r="G179" s="53" t="e">
        <f>'Tourism Medium DB-LCU'!J182/'Tourism Medium DB-LCU'!I182-1</f>
        <v>#VALUE!</v>
      </c>
      <c r="H179" s="53" t="e">
        <f>'Tourism Medium DB-LCU'!K182/'Tourism Medium DB-LCU'!J182-1</f>
        <v>#VALUE!</v>
      </c>
      <c r="I179" s="53" t="e">
        <f>'Tourism Medium DB-LCU'!L182/'Tourism Medium DB-LCU'!K182-1</f>
        <v>#VALUE!</v>
      </c>
      <c r="J179" s="53" t="e">
        <f>'Tourism Medium DB-LCU'!M182/'Tourism Medium DB-LCU'!L182-1</f>
        <v>#VALUE!</v>
      </c>
      <c r="K179" s="53" t="e">
        <f>'Tourism Medium DB-LCU'!N182/'Tourism Medium DB-LCU'!M182-1</f>
        <v>#VALUE!</v>
      </c>
      <c r="L179" s="53" t="e">
        <f>'Tourism Medium DB-LCU'!O182/'Tourism Medium DB-LCU'!N182-1</f>
        <v>#VALUE!</v>
      </c>
      <c r="M179" s="53" t="e">
        <f>'Tourism Medium DB-LCU'!P182/'Tourism Medium DB-LCU'!O182-1</f>
        <v>#VALUE!</v>
      </c>
      <c r="N179" s="53" t="e">
        <f>'Tourism Medium DB-LCU'!Q182/'Tourism Medium DB-LCU'!P182-1</f>
        <v>#VALUE!</v>
      </c>
    </row>
    <row r="180" spans="1:14" ht="14.25" customHeight="1">
      <c r="F180" s="6"/>
      <c r="G180" s="6"/>
      <c r="H180" s="6"/>
      <c r="I180" s="6"/>
      <c r="J180" s="6"/>
      <c r="K180" s="6"/>
      <c r="L180" s="6"/>
      <c r="M180" s="6"/>
    </row>
    <row r="181" spans="1:14" ht="14.25" customHeight="1">
      <c r="F181" s="6"/>
      <c r="G181" s="6"/>
      <c r="H181" s="6"/>
      <c r="I181" s="6"/>
      <c r="J181" s="6"/>
      <c r="K181" s="6"/>
      <c r="L181" s="6"/>
      <c r="M181" s="6"/>
    </row>
    <row r="182" spans="1:14" ht="14.25" customHeight="1">
      <c r="F182" s="6"/>
      <c r="G182" s="6"/>
      <c r="H182" s="6"/>
      <c r="I182" s="6"/>
      <c r="J182" s="6"/>
      <c r="K182" s="6"/>
      <c r="L182" s="6"/>
      <c r="M182" s="6"/>
    </row>
    <row r="183" spans="1:14" ht="14.25" customHeight="1">
      <c r="F183" s="6"/>
      <c r="G183" s="6"/>
      <c r="H183" s="6"/>
      <c r="I183" s="6"/>
      <c r="J183" s="6"/>
      <c r="K183" s="6"/>
      <c r="L183" s="6"/>
      <c r="M183" s="6"/>
    </row>
    <row r="184" spans="1:14" ht="14.25" customHeight="1">
      <c r="F184" s="6"/>
      <c r="G184" s="6"/>
      <c r="H184" s="6"/>
      <c r="I184" s="6"/>
      <c r="J184" s="6"/>
      <c r="K184" s="6"/>
      <c r="L184" s="6"/>
      <c r="M184" s="6"/>
    </row>
    <row r="185" spans="1:14" ht="14.25" customHeight="1">
      <c r="F185" s="6"/>
      <c r="G185" s="6"/>
      <c r="H185" s="6"/>
      <c r="I185" s="6"/>
      <c r="J185" s="6"/>
      <c r="K185" s="6"/>
      <c r="L185" s="6"/>
      <c r="M185" s="6"/>
    </row>
    <row r="186" spans="1:14" ht="14.25" customHeight="1">
      <c r="F186" s="6"/>
      <c r="G186" s="6"/>
      <c r="H186" s="6"/>
      <c r="I186" s="6"/>
      <c r="J186" s="6"/>
      <c r="K186" s="6"/>
      <c r="L186" s="6"/>
      <c r="M186" s="6"/>
    </row>
    <row r="187" spans="1:14" ht="14.25" customHeight="1">
      <c r="F187" s="6"/>
      <c r="G187" s="6"/>
      <c r="H187" s="6"/>
      <c r="I187" s="6"/>
      <c r="J187" s="6"/>
      <c r="K187" s="6"/>
      <c r="L187" s="6"/>
      <c r="M187" s="6"/>
    </row>
    <row r="188" spans="1:14" ht="14.25" customHeight="1">
      <c r="F188" s="6"/>
      <c r="G188" s="6"/>
      <c r="H188" s="6"/>
      <c r="I188" s="6"/>
      <c r="J188" s="6"/>
      <c r="K188" s="6"/>
      <c r="L188" s="6"/>
      <c r="M188" s="6"/>
    </row>
    <row r="189" spans="1:14" ht="14.25" customHeight="1">
      <c r="F189" s="6"/>
      <c r="G189" s="6"/>
      <c r="H189" s="6"/>
      <c r="I189" s="6"/>
      <c r="J189" s="6"/>
      <c r="K189" s="6"/>
      <c r="L189" s="6"/>
      <c r="M189" s="6"/>
    </row>
    <row r="190" spans="1:14" ht="23.25" customHeight="1">
      <c r="F190" s="6"/>
      <c r="G190" s="6"/>
      <c r="H190" s="6"/>
      <c r="I190" s="6"/>
      <c r="J190" s="6"/>
      <c r="K190" s="6"/>
      <c r="L190" s="6"/>
      <c r="M190" s="6"/>
    </row>
    <row r="191" spans="1:14" ht="14.25" customHeight="1">
      <c r="F191" s="6"/>
      <c r="G191" s="6"/>
      <c r="H191" s="6"/>
      <c r="I191" s="6"/>
      <c r="J191" s="6"/>
      <c r="K191" s="6"/>
      <c r="L191" s="6"/>
      <c r="M191" s="6"/>
    </row>
    <row r="192" spans="1:14" ht="14.25" customHeight="1">
      <c r="F192" s="6"/>
      <c r="G192" s="6"/>
      <c r="H192" s="6"/>
      <c r="I192" s="6"/>
      <c r="J192" s="6"/>
      <c r="K192" s="6"/>
      <c r="L192" s="6"/>
      <c r="M192" s="6"/>
    </row>
    <row r="193" spans="6:13" ht="14.25" customHeight="1">
      <c r="F193" s="6"/>
      <c r="G193" s="6"/>
      <c r="H193" s="6"/>
      <c r="I193" s="6"/>
      <c r="J193" s="6"/>
      <c r="K193" s="6"/>
      <c r="L193" s="6"/>
      <c r="M193" s="6"/>
    </row>
    <row r="194" spans="6:13" ht="14.25" customHeight="1"/>
    <row r="195" spans="6:13" ht="14.25" customHeight="1"/>
    <row r="196" spans="6:13" ht="14.25" customHeight="1"/>
    <row r="197" spans="6:13" ht="14.25" customHeight="1"/>
    <row r="198" spans="6:13" ht="14.25" customHeight="1"/>
    <row r="199" spans="6:13" ht="14.25" customHeight="1"/>
    <row r="200" spans="6:13" ht="24" customHeight="1"/>
    <row r="201" spans="6:13" ht="14.25" customHeight="1"/>
    <row r="202" spans="6:13" ht="14.25" customHeight="1"/>
    <row r="203" spans="6:13" ht="14.25" customHeight="1"/>
    <row r="204" spans="6:13" ht="14.25" customHeight="1"/>
    <row r="205" spans="6:13" ht="14.25" customHeight="1"/>
    <row r="206" spans="6:13" ht="14.25" customHeight="1"/>
    <row r="207" spans="6:13" ht="14.25" customHeight="1"/>
    <row r="208" spans="6:13"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1.25"/>
    <row r="231" ht="11.25"/>
    <row r="232" ht="11.25"/>
    <row r="233" ht="11.25"/>
    <row r="234" ht="11.25"/>
    <row r="235" ht="11.25"/>
    <row r="236" ht="11.25"/>
    <row r="237" ht="11.25"/>
    <row r="238" ht="11.25"/>
    <row r="239" ht="11.25"/>
    <row r="240" ht="11.25"/>
    <row r="241" ht="11.25"/>
    <row r="242" ht="11.25"/>
    <row r="243" ht="11.25"/>
    <row r="244" ht="11.25"/>
    <row r="245" ht="11.25"/>
    <row r="246" ht="11.25"/>
    <row r="247" ht="11.25"/>
    <row r="248" ht="11.25"/>
    <row r="249" ht="11.25"/>
    <row r="250" ht="11.25"/>
    <row r="251" ht="11.25"/>
    <row r="252" ht="11.25"/>
    <row r="253" ht="11.25"/>
    <row r="254" ht="11.25"/>
    <row r="255" ht="11.25"/>
    <row r="256" ht="11.25"/>
    <row r="257" ht="11.25"/>
    <row r="258" ht="11.25"/>
    <row r="259" ht="11.25"/>
    <row r="260" ht="11.25"/>
    <row r="261" ht="11.25"/>
    <row r="262" ht="11.25"/>
    <row r="263" ht="11.25"/>
    <row r="264" ht="11.25"/>
    <row r="265" ht="11.25"/>
    <row r="266" ht="11.25"/>
    <row r="267" ht="11.25"/>
    <row r="268" ht="11.25"/>
    <row r="269" ht="11.25"/>
    <row r="270" ht="11.25"/>
    <row r="271" ht="11.25"/>
    <row r="272" ht="11.25"/>
    <row r="273" ht="11.25"/>
    <row r="274" ht="11.25"/>
    <row r="275" ht="11.25"/>
    <row r="276" ht="11.25"/>
    <row r="277" ht="11.25"/>
    <row r="278" ht="11.25"/>
    <row r="279" ht="11.25"/>
    <row r="280" ht="11.25"/>
    <row r="281" ht="11.25"/>
    <row r="282" ht="11.25"/>
    <row r="283" ht="11.25"/>
    <row r="284" ht="11.25"/>
    <row r="285" ht="11.25"/>
    <row r="286" ht="11.25"/>
    <row r="287" ht="11.25"/>
    <row r="288" ht="11.25"/>
    <row r="289" ht="11.25"/>
    <row r="290" ht="11.25"/>
    <row r="291" ht="11.25"/>
    <row r="292" ht="11.25"/>
    <row r="293" ht="11.25"/>
    <row r="294" ht="11.25"/>
    <row r="295" ht="11.25"/>
    <row r="296" ht="11.25"/>
    <row r="297" ht="11.25"/>
    <row r="298" ht="11.25"/>
    <row r="299" ht="11.25"/>
    <row r="300" ht="11.25"/>
    <row r="301" ht="11.25"/>
    <row r="302" ht="11.25"/>
    <row r="303" ht="11.25"/>
    <row r="304" ht="11.25"/>
    <row r="305" ht="11.25"/>
    <row r="306" ht="11.25"/>
    <row r="307" ht="11.25"/>
    <row r="308" ht="11.25"/>
    <row r="309" ht="11.25"/>
    <row r="310" ht="11.25"/>
    <row r="311" ht="11.25"/>
    <row r="312" ht="11.25"/>
    <row r="313" ht="11.25"/>
    <row r="314" ht="11.25"/>
    <row r="315" ht="11.25"/>
    <row r="316" ht="11.25"/>
    <row r="317" ht="11.25"/>
    <row r="318" ht="11.25"/>
    <row r="319" ht="11.25"/>
    <row r="320" ht="11.25"/>
    <row r="321" ht="11.25"/>
    <row r="322" ht="11.25"/>
    <row r="323" ht="11.25"/>
    <row r="324" ht="11.25"/>
    <row r="325" ht="11.25"/>
    <row r="326" ht="11.25"/>
    <row r="327" ht="11.25"/>
    <row r="328" ht="11.25"/>
    <row r="329" ht="11.25"/>
    <row r="330" ht="11.25"/>
    <row r="331" ht="11.25"/>
    <row r="332" ht="11.25"/>
    <row r="333" ht="11.25"/>
    <row r="334" ht="11.25"/>
    <row r="335" ht="11.25"/>
    <row r="336" ht="11.25"/>
    <row r="337" ht="11.25"/>
    <row r="338" ht="11.25"/>
    <row r="339" ht="11.25"/>
    <row r="340" ht="11.25"/>
    <row r="341" ht="11.25"/>
    <row r="342" ht="11.25"/>
    <row r="343" ht="11.25"/>
    <row r="344" ht="11.25"/>
    <row r="345" ht="11.25"/>
    <row r="346" ht="11.25"/>
    <row r="347" ht="11.25"/>
    <row r="348" ht="11.25"/>
    <row r="349" ht="11.25"/>
    <row r="350" ht="11.25"/>
    <row r="351" ht="11.25"/>
    <row r="352" ht="11.25"/>
    <row r="353" ht="11.25"/>
    <row r="354" ht="11.25"/>
    <row r="355" ht="11.25"/>
    <row r="356" ht="11.25"/>
    <row r="357" ht="11.25"/>
    <row r="358" ht="11.25"/>
    <row r="359" ht="11.25"/>
    <row r="360" ht="11.25"/>
    <row r="361" ht="11.25"/>
    <row r="362" ht="11.25"/>
    <row r="363" ht="11.25"/>
    <row r="364" ht="11.25"/>
    <row r="365" ht="11.25"/>
    <row r="366" ht="11.25"/>
    <row r="367" ht="11.25"/>
    <row r="368" ht="11.25"/>
    <row r="369" ht="11.25"/>
    <row r="370" ht="11.25"/>
    <row r="371" ht="11.25"/>
    <row r="372" ht="11.25"/>
    <row r="373" ht="11.25"/>
    <row r="374" ht="11.25"/>
    <row r="375" ht="11.25"/>
    <row r="376" ht="11.25"/>
    <row r="377" ht="11.25"/>
    <row r="378" ht="11.25"/>
    <row r="379" ht="11.25"/>
    <row r="380" ht="11.25"/>
    <row r="381" ht="11.25"/>
    <row r="382" ht="11.25"/>
    <row r="383" ht="11.25"/>
    <row r="384" ht="11.25"/>
    <row r="385" ht="11.25"/>
    <row r="386" ht="11.25"/>
    <row r="387" ht="11.25"/>
    <row r="388" ht="11.25"/>
    <row r="389" ht="11.25"/>
    <row r="390" ht="11.25"/>
    <row r="391" ht="11.25"/>
    <row r="392" ht="11.25"/>
    <row r="393" ht="11.25"/>
    <row r="394" ht="11.25"/>
    <row r="395" ht="11.25"/>
    <row r="396" ht="11.25"/>
  </sheetData>
  <customSheetViews>
    <customSheetView guid="{BD5E9955-DC4B-4EA0-9160-9EF1C693DE04}" showGridLines="0" topLeftCell="E1">
      <selection activeCell="L13" sqref="L13"/>
      <pageMargins left="0.7" right="0.7" top="0.75" bottom="0.75" header="0.3" footer="0.3"/>
      <pageSetup orientation="portrait" r:id="rId1"/>
    </customSheetView>
    <customSheetView guid="{1ACDCC85-59E3-4410-927D-E7E5C71B61F5}" showGridLines="0" topLeftCell="B118">
      <selection activeCell="M123" sqref="M123"/>
      <pageMargins left="0.7" right="0.7" top="0.75" bottom="0.75" header="0.3" footer="0.3"/>
      <pageSetup orientation="portrait" r:id="rId2"/>
    </customSheetView>
    <customSheetView guid="{28AA611C-F120-4D09-9666-0AAAA1997A5D}" showGridLines="0" hiddenColumns="1" topLeftCell="C1">
      <pane xSplit="6" ySplit="1" topLeftCell="J2" activePane="bottomRight" state="frozen"/>
      <selection pane="bottomRight" activeCell="M36" sqref="M36"/>
      <pageMargins left="0.7" right="0.7" top="0.75" bottom="0.75" header="0.3" footer="0.3"/>
      <pageSetup orientation="portrait" r:id="rId3"/>
    </customSheetView>
    <customSheetView guid="{63078F6D-D19C-47E9-B618-80B24EAAED3A}">
      <pane xSplit="5" ySplit="1" topLeftCell="F115" activePane="bottomRight" state="frozen"/>
      <selection pane="bottomRight" activeCell="A160" sqref="A160:N160"/>
      <pageMargins left="0.7" right="0.7" top="0.75" bottom="0.75" header="0.3" footer="0.3"/>
      <pageSetup orientation="portrait" r:id="rId4"/>
    </customSheetView>
    <customSheetView guid="{92F60ACF-D6F3-4086-9F2B-BC0D304DAC43}">
      <pane xSplit="5" ySplit="1" topLeftCell="F115" activePane="bottomRight" state="frozen"/>
      <selection pane="bottomRight" activeCell="A160" sqref="A160:N160"/>
      <pageMargins left="0.7" right="0.7" top="0.75" bottom="0.75" header="0.3" footer="0.3"/>
      <pageSetup orientation="portrait" r:id="rId5"/>
    </customSheetView>
    <customSheetView guid="{9144D9B3-2327-4B3A-89B1-6A595780C3C5}" showGridLines="0" state="hidden">
      <selection activeCell="I13" sqref="I13"/>
      <pageMargins left="0.7" right="0.7" top="0.75" bottom="0.75" header="0.3" footer="0.3"/>
      <pageSetup orientation="portrait" r:id="rId6"/>
    </customSheetView>
    <customSheetView guid="{513032B5-C585-49C2-98E7-9FDE6F7A4BA7}" showGridLines="0" topLeftCell="A140">
      <pageMargins left="0.7" right="0.7" top="0.75" bottom="0.75" header="0.3" footer="0.3"/>
      <pageSetup orientation="portrait" r:id="rId7"/>
    </customSheetView>
    <customSheetView guid="{AF983ECA-536A-40E6-8A04-FF0A375E9ACC}" showGridLines="0" topLeftCell="B84">
      <selection activeCell="N56" sqref="N56"/>
      <pageMargins left="0.7" right="0.7" top="0.75" bottom="0.75" header="0.3" footer="0.3"/>
      <pageSetup orientation="portrait" r:id="rId8"/>
    </customSheetView>
  </customSheetViews>
  <conditionalFormatting sqref="F1:N1048576">
    <cfRule type="cellIs" dxfId="4" priority="3" operator="greaterThan">
      <formula>0.2</formula>
    </cfRule>
    <cfRule type="cellIs" dxfId="3" priority="4" operator="greaterThan">
      <formula>0.1</formula>
    </cfRule>
    <cfRule type="cellIs" dxfId="2" priority="5" operator="lessThan">
      <formula>0</formula>
    </cfRule>
  </conditionalFormatting>
  <conditionalFormatting sqref="I1:N1048576">
    <cfRule type="cellIs" dxfId="1" priority="2" operator="greaterThan">
      <formula>0.1</formula>
    </cfRule>
    <cfRule type="cellIs" dxfId="0" priority="1" operator="lessThan">
      <formula>0</formula>
    </cfRule>
  </conditionalFormatting>
  <pageMargins left="0.7" right="0.7" top="0.75" bottom="0.75" header="0.3" footer="0.3"/>
  <pageSetup orientation="portrait" r:id="rId9"/>
</worksheet>
</file>

<file path=xl/worksheets/sheet29.xml><?xml version="1.0" encoding="utf-8"?>
<worksheet xmlns="http://schemas.openxmlformats.org/spreadsheetml/2006/main" xmlns:r="http://schemas.openxmlformats.org/officeDocument/2006/relationships">
  <dimension ref="A1:W282"/>
  <sheetViews>
    <sheetView showGridLines="0" topLeftCell="A223" workbookViewId="0">
      <selection activeCell="G243" sqref="G243"/>
    </sheetView>
  </sheetViews>
  <sheetFormatPr defaultRowHeight="15"/>
  <cols>
    <col min="7" max="7" width="10.7109375" bestFit="1" customWidth="1"/>
    <col min="8" max="10" width="10" bestFit="1" customWidth="1"/>
    <col min="12" max="12" width="1.5703125" customWidth="1"/>
    <col min="13" max="13" width="9" customWidth="1"/>
    <col min="19" max="19" width="18.85546875" hidden="1" customWidth="1"/>
  </cols>
  <sheetData>
    <row r="1" spans="1:18">
      <c r="A1" s="3" t="s">
        <v>106</v>
      </c>
      <c r="B1" s="3" t="s">
        <v>0</v>
      </c>
      <c r="C1" s="3" t="s">
        <v>1</v>
      </c>
      <c r="D1" s="3" t="s">
        <v>2</v>
      </c>
      <c r="E1" s="3" t="s">
        <v>313</v>
      </c>
      <c r="F1" s="3">
        <v>2007</v>
      </c>
      <c r="G1" s="156">
        <v>2008</v>
      </c>
      <c r="H1" s="156">
        <v>2009</v>
      </c>
      <c r="I1" s="156">
        <v>2010</v>
      </c>
      <c r="J1" s="156">
        <v>2011</v>
      </c>
      <c r="K1" s="156">
        <v>2012</v>
      </c>
      <c r="N1" s="879" t="s">
        <v>166</v>
      </c>
      <c r="O1" s="879"/>
      <c r="P1" s="879"/>
      <c r="Q1" s="879"/>
      <c r="R1" s="879"/>
    </row>
    <row r="2" spans="1:18">
      <c r="A2" s="122" t="str">
        <f>Home!$B$1</f>
        <v>Hungary</v>
      </c>
      <c r="B2" s="122" t="s">
        <v>314</v>
      </c>
      <c r="C2" s="123"/>
      <c r="D2" s="123"/>
      <c r="E2" s="123"/>
      <c r="F2" s="123"/>
      <c r="G2" s="123"/>
      <c r="H2" s="123"/>
      <c r="I2" s="124"/>
      <c r="J2" s="124"/>
      <c r="K2" s="124"/>
    </row>
    <row r="3" spans="1:18">
      <c r="A3" s="125" t="str">
        <f>Home!$B$1</f>
        <v>Hungary</v>
      </c>
      <c r="B3" s="126" t="s">
        <v>314</v>
      </c>
      <c r="C3" s="127" t="s">
        <v>35</v>
      </c>
      <c r="D3" s="128"/>
      <c r="E3" s="1" t="str">
        <f>Home!$B$2&amp;" Million"</f>
        <v>Foriant Million</v>
      </c>
      <c r="F3" s="1">
        <f>'Working Sheet_EI'!B10</f>
        <v>124398.04478439735</v>
      </c>
      <c r="G3" s="1">
        <f>'Working Sheet_EI'!C10</f>
        <v>133159.4462424785</v>
      </c>
      <c r="H3" s="1">
        <f>'Working Sheet_EI'!D10</f>
        <v>140651.07996968244</v>
      </c>
      <c r="I3" s="1">
        <f>'Working Sheet_EI'!E10</f>
        <v>135928.08462116896</v>
      </c>
      <c r="J3" s="1">
        <f>'Working Sheet_EI'!F10</f>
        <v>142001.32699014113</v>
      </c>
      <c r="K3" s="129"/>
    </row>
    <row r="4" spans="1:18">
      <c r="A4" s="125" t="str">
        <f>Home!$B$1</f>
        <v>Hungary</v>
      </c>
      <c r="B4" s="126" t="s">
        <v>314</v>
      </c>
      <c r="C4" s="127" t="s">
        <v>43</v>
      </c>
      <c r="D4" s="128"/>
      <c r="E4" s="1" t="str">
        <f>Home!$B$2&amp;" Million"</f>
        <v>Foriant Million</v>
      </c>
      <c r="F4" s="71">
        <f>'Working Sheet_EI'!B22</f>
        <v>75814</v>
      </c>
      <c r="G4" s="71">
        <f>'Working Sheet_EI'!C22</f>
        <v>81540</v>
      </c>
      <c r="H4" s="71">
        <f>'Working Sheet_EI'!D22</f>
        <v>88860</v>
      </c>
      <c r="I4" s="71">
        <f>'Working Sheet_EI'!E22</f>
        <v>90381</v>
      </c>
      <c r="J4" s="71">
        <f>'Working Sheet_EI'!F22</f>
        <v>98797</v>
      </c>
      <c r="K4" s="129"/>
    </row>
    <row r="5" spans="1:18">
      <c r="A5" s="125" t="str">
        <f>Home!$B$1</f>
        <v>Hungary</v>
      </c>
      <c r="B5" s="126" t="s">
        <v>314</v>
      </c>
      <c r="C5" s="127" t="s">
        <v>47</v>
      </c>
      <c r="D5" s="128"/>
      <c r="E5" s="1" t="str">
        <f>Home!$B$2&amp;" Million"</f>
        <v>Foriant Million</v>
      </c>
      <c r="F5" s="1">
        <f>'Working Sheet_EI'!B16</f>
        <v>2804517.3524490898</v>
      </c>
      <c r="G5" s="1">
        <f>'Working Sheet_EI'!C16</f>
        <v>2832641.2399451397</v>
      </c>
      <c r="H5" s="1">
        <f>'Working Sheet_EI'!D16</f>
        <v>2717853.2667114399</v>
      </c>
      <c r="I5" s="1">
        <f>'Working Sheet_EI'!E16</f>
        <v>3155136.8408839097</v>
      </c>
      <c r="J5" s="1">
        <f>'Working Sheet_EI'!F16</f>
        <v>3533541.625</v>
      </c>
      <c r="K5" s="129"/>
    </row>
    <row r="6" spans="1:18">
      <c r="A6" s="125" t="str">
        <f>Home!$B$1</f>
        <v>Hungary</v>
      </c>
      <c r="B6" s="126" t="s">
        <v>314</v>
      </c>
      <c r="C6" s="127" t="s">
        <v>315</v>
      </c>
      <c r="D6" s="128"/>
      <c r="E6" s="1" t="s">
        <v>200</v>
      </c>
      <c r="F6" s="1"/>
      <c r="G6" s="130"/>
      <c r="H6" s="130"/>
      <c r="I6" s="130"/>
      <c r="J6" s="130"/>
      <c r="K6" s="129"/>
    </row>
    <row r="7" spans="1:18">
      <c r="A7" s="125" t="str">
        <f>Home!$B$1</f>
        <v>Hungary</v>
      </c>
      <c r="B7" s="126" t="s">
        <v>314</v>
      </c>
      <c r="C7" s="127" t="s">
        <v>316</v>
      </c>
      <c r="D7" s="128"/>
      <c r="E7" s="1"/>
      <c r="F7" s="1"/>
      <c r="G7" s="129"/>
      <c r="H7" s="129"/>
      <c r="I7" s="129"/>
      <c r="J7" s="129"/>
      <c r="K7" s="129"/>
    </row>
    <row r="8" spans="1:18">
      <c r="A8" s="125" t="str">
        <f>Home!$B$1</f>
        <v>Hungary</v>
      </c>
      <c r="B8" s="126" t="s">
        <v>314</v>
      </c>
      <c r="C8" s="129" t="s">
        <v>316</v>
      </c>
      <c r="D8" s="127" t="s">
        <v>36</v>
      </c>
      <c r="E8" s="1" t="str">
        <f>Home!$B$2</f>
        <v>Foriant</v>
      </c>
      <c r="F8" s="1"/>
      <c r="G8" s="129"/>
      <c r="H8" s="129"/>
      <c r="I8" s="129"/>
      <c r="J8" s="129"/>
      <c r="K8" s="129"/>
    </row>
    <row r="9" spans="1:18">
      <c r="A9" s="125" t="str">
        <f>Home!$B$1</f>
        <v>Hungary</v>
      </c>
      <c r="B9" s="126" t="s">
        <v>314</v>
      </c>
      <c r="C9" s="129" t="s">
        <v>316</v>
      </c>
      <c r="D9" s="127" t="s">
        <v>37</v>
      </c>
      <c r="E9" s="1" t="str">
        <f>Home!$B$2</f>
        <v>Foriant</v>
      </c>
      <c r="F9" s="1"/>
      <c r="G9" s="129"/>
      <c r="H9" s="129"/>
      <c r="I9" s="129"/>
      <c r="J9" s="129"/>
      <c r="K9" s="129"/>
    </row>
    <row r="10" spans="1:18">
      <c r="A10" s="125" t="str">
        <f>Home!$B$1</f>
        <v>Hungary</v>
      </c>
      <c r="B10" s="126" t="s">
        <v>314</v>
      </c>
      <c r="C10" s="129" t="s">
        <v>316</v>
      </c>
      <c r="D10" s="127" t="s">
        <v>38</v>
      </c>
      <c r="E10" s="1" t="str">
        <f>Home!$B$2</f>
        <v>Foriant</v>
      </c>
      <c r="F10" s="1"/>
      <c r="G10" s="129"/>
      <c r="H10" s="129"/>
      <c r="I10" s="129"/>
      <c r="J10" s="129"/>
      <c r="K10" s="129"/>
    </row>
    <row r="11" spans="1:18">
      <c r="A11" s="125" t="str">
        <f>Home!$B$1</f>
        <v>Hungary</v>
      </c>
      <c r="B11" s="126" t="s">
        <v>314</v>
      </c>
      <c r="C11" s="129" t="s">
        <v>316</v>
      </c>
      <c r="D11" s="127" t="s">
        <v>39</v>
      </c>
      <c r="E11" s="1" t="str">
        <f>Home!$B$2</f>
        <v>Foriant</v>
      </c>
      <c r="F11" s="1"/>
      <c r="G11" s="129"/>
      <c r="H11" s="129"/>
      <c r="I11" s="129"/>
      <c r="J11" s="129"/>
      <c r="K11" s="129"/>
    </row>
    <row r="12" spans="1:18">
      <c r="A12" s="125" t="str">
        <f>Home!$B$1</f>
        <v>Hungary</v>
      </c>
      <c r="B12" s="126" t="s">
        <v>314</v>
      </c>
      <c r="C12" s="129" t="s">
        <v>316</v>
      </c>
      <c r="D12" s="127" t="s">
        <v>40</v>
      </c>
      <c r="E12" s="1" t="str">
        <f>Home!$B$2</f>
        <v>Foriant</v>
      </c>
      <c r="F12" s="1"/>
      <c r="G12" s="129"/>
      <c r="H12" s="129"/>
      <c r="I12" s="129"/>
      <c r="J12" s="129"/>
      <c r="K12" s="129"/>
    </row>
    <row r="13" spans="1:18">
      <c r="A13" s="125" t="str">
        <f>Home!$B$1</f>
        <v>Hungary</v>
      </c>
      <c r="B13" s="126" t="s">
        <v>314</v>
      </c>
      <c r="C13" s="129" t="s">
        <v>316</v>
      </c>
      <c r="D13" s="127" t="s">
        <v>41</v>
      </c>
      <c r="E13" s="1" t="str">
        <f>Home!$B$2</f>
        <v>Foriant</v>
      </c>
      <c r="F13" s="1"/>
      <c r="G13" s="129"/>
      <c r="H13" s="129"/>
      <c r="I13" s="129"/>
      <c r="J13" s="129"/>
      <c r="K13" s="129"/>
    </row>
    <row r="14" spans="1:18">
      <c r="A14" s="125" t="str">
        <f>Home!$B$1</f>
        <v>Hungary</v>
      </c>
      <c r="B14" s="126" t="s">
        <v>314</v>
      </c>
      <c r="C14" s="129" t="s">
        <v>316</v>
      </c>
      <c r="D14" s="127" t="s">
        <v>42</v>
      </c>
      <c r="E14" s="1" t="str">
        <f>Home!$B$2</f>
        <v>Foriant</v>
      </c>
      <c r="F14" s="1"/>
      <c r="G14" s="129"/>
      <c r="H14" s="129"/>
      <c r="I14" s="129"/>
      <c r="J14" s="129"/>
      <c r="K14" s="129"/>
    </row>
    <row r="15" spans="1:18">
      <c r="A15" s="125" t="str">
        <f>Home!$B$1</f>
        <v>Hungary</v>
      </c>
      <c r="B15" s="126" t="s">
        <v>314</v>
      </c>
      <c r="C15" s="127" t="s">
        <v>15</v>
      </c>
      <c r="E15" s="1" t="s">
        <v>200</v>
      </c>
      <c r="F15" s="1"/>
      <c r="G15" s="130">
        <f>'Tourism Medium DB-LCU'!H33</f>
        <v>5057.7269999999999</v>
      </c>
      <c r="H15" s="130">
        <f>'Tourism Medium DB-LCU'!I33</f>
        <v>4556.2539999999999</v>
      </c>
      <c r="I15" s="130">
        <f>'Tourism Medium DB-LCU'!J33</f>
        <v>4398.1840000000002</v>
      </c>
      <c r="J15" s="130">
        <f>'Tourism Medium DB-LCU'!K33</f>
        <v>4414.1189999999997</v>
      </c>
      <c r="K15" s="130">
        <f>'Tourism Medium DB-LCU'!L33</f>
        <v>4050.88</v>
      </c>
    </row>
    <row r="16" spans="1:18">
      <c r="A16" s="125" t="str">
        <f>Home!$B$1</f>
        <v>Hungary</v>
      </c>
      <c r="B16" s="126" t="s">
        <v>314</v>
      </c>
      <c r="C16" s="129" t="s">
        <v>15</v>
      </c>
      <c r="D16" s="127" t="s">
        <v>23</v>
      </c>
      <c r="E16" s="1" t="s">
        <v>200</v>
      </c>
      <c r="F16" s="1"/>
      <c r="G16" s="130">
        <f>'Tourism Medium DB-LCU'!H34</f>
        <v>60.458483956878901</v>
      </c>
      <c r="H16" s="130">
        <f>'Tourism Medium DB-LCU'!I34</f>
        <v>54.464107449908383</v>
      </c>
      <c r="I16" s="130">
        <f>'Tourism Medium DB-LCU'!J34</f>
        <v>50.917463663318053</v>
      </c>
      <c r="J16" s="130">
        <f>'Tourism Medium DB-LCU'!K34</f>
        <v>51.274999999999999</v>
      </c>
      <c r="K16" s="130">
        <f>'Tourism Medium DB-LCU'!L34</f>
        <v>66.811999999999998</v>
      </c>
    </row>
    <row r="17" spans="1:19">
      <c r="A17" s="125" t="str">
        <f>Home!$B$1</f>
        <v>Hungary</v>
      </c>
      <c r="B17" s="126" t="s">
        <v>314</v>
      </c>
      <c r="C17" s="129" t="s">
        <v>15</v>
      </c>
      <c r="D17" s="127" t="s">
        <v>24</v>
      </c>
      <c r="E17" s="1" t="s">
        <v>200</v>
      </c>
      <c r="F17" s="1"/>
      <c r="G17" s="130">
        <f>'Tourism Medium DB-LCU'!H35</f>
        <v>931.09378323445389</v>
      </c>
      <c r="H17" s="130">
        <f>'Tourism Medium DB-LCU'!I35</f>
        <v>1101.9330945166028</v>
      </c>
      <c r="I17" s="130">
        <f>'Tourism Medium DB-LCU'!J35</f>
        <v>1042.9807068854489</v>
      </c>
      <c r="J17" s="130">
        <f>'Tourism Medium DB-LCU'!K35</f>
        <v>563.57179217197154</v>
      </c>
      <c r="K17" s="130">
        <f>'Tourism Medium DB-LCU'!L35</f>
        <v>569.28103512192229</v>
      </c>
    </row>
    <row r="18" spans="1:19">
      <c r="A18" s="125" t="str">
        <f>Home!$B$1</f>
        <v>Hungary</v>
      </c>
      <c r="B18" s="126" t="s">
        <v>314</v>
      </c>
      <c r="C18" s="129" t="s">
        <v>15</v>
      </c>
      <c r="D18" s="127" t="s">
        <v>25</v>
      </c>
      <c r="E18" s="1" t="s">
        <v>200</v>
      </c>
      <c r="F18" s="1"/>
      <c r="G18" s="130">
        <f>'Tourism Medium DB-LCU'!H36</f>
        <v>3745.7489999999998</v>
      </c>
      <c r="H18" s="130">
        <f>'Tourism Medium DB-LCU'!I36</f>
        <v>3049.3220000000001</v>
      </c>
      <c r="I18" s="130">
        <f>'Tourism Medium DB-LCU'!J36</f>
        <v>2970.1959999999999</v>
      </c>
      <c r="J18" s="130">
        <f>'Tourism Medium DB-LCU'!K36</f>
        <v>3573.95</v>
      </c>
      <c r="K18" s="130">
        <f>'Tourism Medium DB-LCU'!L36</f>
        <v>3200.7759999999998</v>
      </c>
    </row>
    <row r="19" spans="1:19">
      <c r="A19" s="125" t="str">
        <f>Home!$B$1</f>
        <v>Hungary</v>
      </c>
      <c r="B19" s="126" t="s">
        <v>314</v>
      </c>
      <c r="C19" s="129" t="s">
        <v>15</v>
      </c>
      <c r="D19" s="127" t="s">
        <v>26</v>
      </c>
      <c r="E19" s="1" t="s">
        <v>200</v>
      </c>
      <c r="F19" s="1"/>
      <c r="G19" s="130">
        <f>'Tourism Medium DB-LCU'!H37</f>
        <v>212.96726784482803</v>
      </c>
      <c r="H19" s="130">
        <f>'Tourism Medium DB-LCU'!I37</f>
        <v>217.32719573307452</v>
      </c>
      <c r="I19" s="130">
        <f>'Tourism Medium DB-LCU'!J37</f>
        <v>221.32137046968148</v>
      </c>
      <c r="J19" s="130">
        <f>'Tourism Medium DB-LCU'!K37</f>
        <v>119.50020782802865</v>
      </c>
      <c r="K19" s="130">
        <f>'Tourism Medium DB-LCU'!L37</f>
        <v>119.8239648780781</v>
      </c>
    </row>
    <row r="20" spans="1:19">
      <c r="A20" s="125" t="str">
        <f>Home!$B$1</f>
        <v>Hungary</v>
      </c>
      <c r="B20" s="126" t="s">
        <v>314</v>
      </c>
      <c r="C20" s="129" t="s">
        <v>15</v>
      </c>
      <c r="D20" s="127" t="s">
        <v>27</v>
      </c>
      <c r="E20" s="1" t="s">
        <v>200</v>
      </c>
      <c r="F20" s="1"/>
      <c r="G20" s="130">
        <f>'Tourism Medium DB-LCU'!H38</f>
        <v>102.876</v>
      </c>
      <c r="H20" s="130">
        <f>'Tourism Medium DB-LCU'!I38</f>
        <v>128.49199999999999</v>
      </c>
      <c r="I20" s="130">
        <f>'Tourism Medium DB-LCU'!J38</f>
        <v>105.122</v>
      </c>
      <c r="J20" s="130">
        <f>'Tourism Medium DB-LCU'!K38</f>
        <v>98.471000000000004</v>
      </c>
      <c r="K20" s="130">
        <f>'Tourism Medium DB-LCU'!L38</f>
        <v>80.100999999999999</v>
      </c>
    </row>
    <row r="21" spans="1:19">
      <c r="A21" s="125" t="str">
        <f>Home!$B$1</f>
        <v>Hungary</v>
      </c>
      <c r="B21" s="126" t="s">
        <v>314</v>
      </c>
      <c r="C21" s="129" t="s">
        <v>15</v>
      </c>
      <c r="D21" s="127" t="s">
        <v>28</v>
      </c>
      <c r="E21" s="1" t="s">
        <v>200</v>
      </c>
      <c r="F21" s="1"/>
      <c r="G21" s="130">
        <f>'Tourism Medium DB-LCU'!H39</f>
        <v>4.5824649638392714</v>
      </c>
      <c r="H21" s="130">
        <f>'Tourism Medium DB-LCU'!I39</f>
        <v>4.7156023004137637</v>
      </c>
      <c r="I21" s="130">
        <f>'Tourism Medium DB-LCU'!J39</f>
        <v>7.6464589815520867</v>
      </c>
      <c r="J21" s="130">
        <f>'Tourism Medium DB-LCU'!K39</f>
        <v>7.351</v>
      </c>
      <c r="K21" s="130">
        <f>'Tourism Medium DB-LCU'!L39</f>
        <v>14.086</v>
      </c>
    </row>
    <row r="23" spans="1:19">
      <c r="A23" t="s">
        <v>122</v>
      </c>
      <c r="B23" t="s">
        <v>144</v>
      </c>
      <c r="G23" s="880" t="s">
        <v>317</v>
      </c>
      <c r="H23" s="880"/>
      <c r="I23" s="880"/>
      <c r="J23" s="880"/>
      <c r="K23" s="880"/>
      <c r="N23" s="880" t="s">
        <v>318</v>
      </c>
      <c r="O23" s="880"/>
      <c r="P23" s="880"/>
      <c r="Q23" s="880"/>
      <c r="R23" s="880"/>
    </row>
    <row r="24" spans="1:19">
      <c r="A24" s="3" t="s">
        <v>106</v>
      </c>
      <c r="B24" s="3" t="s">
        <v>0</v>
      </c>
      <c r="C24" s="3" t="s">
        <v>1</v>
      </c>
      <c r="D24" s="3" t="s">
        <v>2</v>
      </c>
      <c r="E24" s="3" t="s">
        <v>313</v>
      </c>
      <c r="F24" s="131">
        <v>2007</v>
      </c>
      <c r="G24" s="131">
        <v>2008</v>
      </c>
      <c r="H24" s="131">
        <v>2009</v>
      </c>
      <c r="I24" s="131">
        <v>2010</v>
      </c>
      <c r="J24" s="131">
        <v>2011</v>
      </c>
      <c r="K24" s="131">
        <v>2012</v>
      </c>
      <c r="M24" s="131">
        <v>2007</v>
      </c>
      <c r="N24" s="131">
        <v>2008</v>
      </c>
      <c r="O24" s="131">
        <v>2009</v>
      </c>
      <c r="P24" s="131">
        <v>2010</v>
      </c>
      <c r="Q24" s="131">
        <v>2011</v>
      </c>
      <c r="R24" s="131">
        <v>2012</v>
      </c>
      <c r="S24" s="132" t="s">
        <v>319</v>
      </c>
    </row>
    <row r="25" spans="1:19">
      <c r="A25" s="122" t="str">
        <f t="shared" ref="A25:A88" si="0">$A$23</f>
        <v>Egypt</v>
      </c>
      <c r="B25" s="122" t="s">
        <v>34</v>
      </c>
      <c r="C25" s="123"/>
      <c r="D25" s="123"/>
      <c r="N25" s="133"/>
      <c r="O25" s="133"/>
      <c r="P25" s="133"/>
      <c r="Q25" s="133"/>
      <c r="R25" s="133"/>
    </row>
    <row r="26" spans="1:19">
      <c r="A26" s="125" t="str">
        <f t="shared" si="0"/>
        <v>Egypt</v>
      </c>
      <c r="B26" s="125" t="s">
        <v>34</v>
      </c>
      <c r="C26" s="134" t="s">
        <v>35</v>
      </c>
      <c r="D26" s="135"/>
      <c r="E26" s="136" t="s">
        <v>320</v>
      </c>
      <c r="F26" s="136">
        <v>35113.788786550365</v>
      </c>
      <c r="G26" s="137">
        <v>36767.313990971052</v>
      </c>
      <c r="H26" s="137">
        <v>37168.253593778951</v>
      </c>
      <c r="I26" s="137">
        <v>38221.878155948689</v>
      </c>
      <c r="J26" s="137">
        <v>39144.591682312799</v>
      </c>
      <c r="K26" s="137">
        <v>40638.852523077985</v>
      </c>
      <c r="M26" s="138">
        <f t="shared" ref="M26:R26" si="1">F26/(F26+F67)</f>
        <v>1</v>
      </c>
      <c r="N26" s="138">
        <f t="shared" si="1"/>
        <v>1</v>
      </c>
      <c r="O26" s="138">
        <f t="shared" si="1"/>
        <v>1</v>
      </c>
      <c r="P26" s="138">
        <f t="shared" si="1"/>
        <v>1</v>
      </c>
      <c r="Q26" s="138">
        <f t="shared" si="1"/>
        <v>1</v>
      </c>
      <c r="R26" s="138">
        <f t="shared" si="1"/>
        <v>1</v>
      </c>
    </row>
    <row r="27" spans="1:19">
      <c r="A27" s="129" t="str">
        <f t="shared" si="0"/>
        <v>Egypt</v>
      </c>
      <c r="B27" s="129" t="s">
        <v>34</v>
      </c>
      <c r="C27" s="4" t="s">
        <v>35</v>
      </c>
      <c r="D27" s="2" t="s">
        <v>36</v>
      </c>
      <c r="E27" s="139" t="s">
        <v>320</v>
      </c>
      <c r="F27" s="139">
        <v>3366</v>
      </c>
      <c r="G27" s="140">
        <v>3592</v>
      </c>
      <c r="H27" s="140">
        <v>3503</v>
      </c>
      <c r="I27" s="140">
        <v>3605.9033573183815</v>
      </c>
      <c r="J27" s="140">
        <v>3689.2604381764149</v>
      </c>
      <c r="K27" s="140">
        <v>3821.7609237937641</v>
      </c>
      <c r="M27" s="133">
        <f t="shared" ref="M27:R33" si="2">F27/F$26</f>
        <v>9.5859778062152012E-2</v>
      </c>
      <c r="N27" s="133">
        <f t="shared" si="2"/>
        <v>9.7695469429235085E-2</v>
      </c>
      <c r="O27" s="133">
        <f t="shared" si="2"/>
        <v>9.4247096952284989E-2</v>
      </c>
      <c r="P27" s="133">
        <f t="shared" si="2"/>
        <v>9.4341344049237261E-2</v>
      </c>
      <c r="Q27" s="133">
        <f t="shared" si="2"/>
        <v>9.4247002705188015E-2</v>
      </c>
      <c r="R27" s="133">
        <f t="shared" si="2"/>
        <v>9.4042048102206205E-2</v>
      </c>
    </row>
    <row r="28" spans="1:19">
      <c r="A28" s="129" t="str">
        <f t="shared" si="0"/>
        <v>Egypt</v>
      </c>
      <c r="B28" s="129" t="s">
        <v>34</v>
      </c>
      <c r="C28" s="4" t="s">
        <v>35</v>
      </c>
      <c r="D28" s="2" t="s">
        <v>37</v>
      </c>
      <c r="E28" s="139" t="s">
        <v>320</v>
      </c>
      <c r="F28" s="139">
        <v>1713</v>
      </c>
      <c r="G28" s="140">
        <v>1869</v>
      </c>
      <c r="H28" s="140">
        <v>2012</v>
      </c>
      <c r="I28" s="140">
        <v>2075.2421394162097</v>
      </c>
      <c r="J28" s="140">
        <v>2112.5884715236944</v>
      </c>
      <c r="K28" s="140">
        <v>2203.5361789687827</v>
      </c>
      <c r="M28" s="133">
        <f t="shared" si="2"/>
        <v>4.8784254254446345E-2</v>
      </c>
      <c r="N28" s="133">
        <f t="shared" si="2"/>
        <v>5.0833193865044653E-2</v>
      </c>
      <c r="O28" s="133">
        <f t="shared" si="2"/>
        <v>5.4132217832714075E-2</v>
      </c>
      <c r="P28" s="133">
        <f t="shared" si="2"/>
        <v>5.4294614486212207E-2</v>
      </c>
      <c r="Q28" s="133">
        <f t="shared" si="2"/>
        <v>5.3968846799294937E-2</v>
      </c>
      <c r="R28" s="133">
        <f t="shared" si="2"/>
        <v>5.4222401523700475E-2</v>
      </c>
    </row>
    <row r="29" spans="1:19">
      <c r="A29" s="129" t="str">
        <f t="shared" si="0"/>
        <v>Egypt</v>
      </c>
      <c r="B29" s="129" t="s">
        <v>34</v>
      </c>
      <c r="C29" s="4" t="s">
        <v>35</v>
      </c>
      <c r="D29" s="2" t="s">
        <v>38</v>
      </c>
      <c r="E29" s="139" t="s">
        <v>320</v>
      </c>
      <c r="F29" s="139">
        <v>5627</v>
      </c>
      <c r="G29" s="140">
        <v>6007</v>
      </c>
      <c r="H29" s="140">
        <v>6111</v>
      </c>
      <c r="I29" s="140">
        <v>6315.652316183814</v>
      </c>
      <c r="J29" s="140">
        <v>6493.9908142723134</v>
      </c>
      <c r="K29" s="140">
        <v>6714.0749102804348</v>
      </c>
      <c r="M29" s="133">
        <f t="shared" si="2"/>
        <v>0.16025043706349654</v>
      </c>
      <c r="N29" s="133">
        <f t="shared" si="2"/>
        <v>0.16337880981665234</v>
      </c>
      <c r="O29" s="133">
        <f t="shared" si="2"/>
        <v>0.16441450456049489</v>
      </c>
      <c r="P29" s="133">
        <f t="shared" si="2"/>
        <v>0.16523657708329734</v>
      </c>
      <c r="Q29" s="133">
        <f t="shared" si="2"/>
        <v>0.16589752339163052</v>
      </c>
      <c r="R29" s="133">
        <f t="shared" si="2"/>
        <v>0.16521320099940437</v>
      </c>
    </row>
    <row r="30" spans="1:19">
      <c r="A30" s="129" t="str">
        <f t="shared" si="0"/>
        <v>Egypt</v>
      </c>
      <c r="B30" s="129" t="s">
        <v>34</v>
      </c>
      <c r="C30" s="4" t="s">
        <v>35</v>
      </c>
      <c r="D30" s="2" t="s">
        <v>39</v>
      </c>
      <c r="E30" s="139" t="s">
        <v>320</v>
      </c>
      <c r="F30" s="139">
        <v>5989.1318639885467</v>
      </c>
      <c r="G30" s="140">
        <v>6021.0705835431709</v>
      </c>
      <c r="H30" s="140">
        <v>6272.1329557957351</v>
      </c>
      <c r="I30" s="140">
        <v>6437.0319581319072</v>
      </c>
      <c r="J30" s="140">
        <v>6559.4660651131899</v>
      </c>
      <c r="K30" s="140">
        <v>6803.0769210096969</v>
      </c>
      <c r="M30" s="133">
        <f t="shared" si="2"/>
        <v>0.17056353275903294</v>
      </c>
      <c r="N30" s="133">
        <f t="shared" si="2"/>
        <v>0.16376150254059257</v>
      </c>
      <c r="O30" s="133">
        <f t="shared" si="2"/>
        <v>0.16874973530759421</v>
      </c>
      <c r="P30" s="133">
        <f t="shared" si="2"/>
        <v>0.16841223583697901</v>
      </c>
      <c r="Q30" s="133">
        <f t="shared" si="2"/>
        <v>0.16757017465779409</v>
      </c>
      <c r="R30" s="133">
        <f t="shared" si="2"/>
        <v>0.16740327294296428</v>
      </c>
    </row>
    <row r="31" spans="1:19">
      <c r="A31" s="129" t="str">
        <f t="shared" si="0"/>
        <v>Egypt</v>
      </c>
      <c r="B31" s="129" t="s">
        <v>34</v>
      </c>
      <c r="C31" s="4" t="s">
        <v>35</v>
      </c>
      <c r="D31" s="2" t="s">
        <v>40</v>
      </c>
      <c r="E31" s="139" t="s">
        <v>320</v>
      </c>
      <c r="F31" s="139">
        <v>11024</v>
      </c>
      <c r="G31" s="140">
        <v>11637</v>
      </c>
      <c r="H31" s="140">
        <v>11183</v>
      </c>
      <c r="I31" s="140">
        <v>11465.509310317657</v>
      </c>
      <c r="J31" s="140">
        <v>11765.782516182129</v>
      </c>
      <c r="K31" s="140">
        <v>12176.355693561178</v>
      </c>
      <c r="M31" s="133">
        <f t="shared" si="2"/>
        <v>0.31395074074782048</v>
      </c>
      <c r="N31" s="133">
        <f t="shared" si="2"/>
        <v>0.31650394703452361</v>
      </c>
      <c r="O31" s="133">
        <f t="shared" si="2"/>
        <v>0.30087504573719759</v>
      </c>
      <c r="P31" s="133">
        <f t="shared" si="2"/>
        <v>0.29997242059998597</v>
      </c>
      <c r="Q31" s="133">
        <f t="shared" si="2"/>
        <v>0.30057236544118593</v>
      </c>
      <c r="R31" s="133">
        <f t="shared" si="2"/>
        <v>0.29962351143272242</v>
      </c>
    </row>
    <row r="32" spans="1:19">
      <c r="A32" s="129" t="str">
        <f t="shared" si="0"/>
        <v>Egypt</v>
      </c>
      <c r="B32" s="129" t="s">
        <v>34</v>
      </c>
      <c r="C32" s="4" t="s">
        <v>35</v>
      </c>
      <c r="D32" s="2" t="s">
        <v>41</v>
      </c>
      <c r="E32" s="139" t="s">
        <v>320</v>
      </c>
      <c r="F32" s="139">
        <v>1136.7887865503656</v>
      </c>
      <c r="G32" s="140">
        <v>1205.3139909710517</v>
      </c>
      <c r="H32" s="140">
        <v>1211.2535937789507</v>
      </c>
      <c r="I32" s="140">
        <v>1249.3262919132219</v>
      </c>
      <c r="J32" s="140">
        <v>1289.7221406648277</v>
      </c>
      <c r="K32" s="140">
        <v>1347.6182179424479</v>
      </c>
      <c r="M32" s="133">
        <f t="shared" si="2"/>
        <v>3.2374426851533314E-2</v>
      </c>
      <c r="N32" s="133">
        <f t="shared" si="2"/>
        <v>3.2782214965908052E-2</v>
      </c>
      <c r="O32" s="133">
        <f t="shared" si="2"/>
        <v>3.2588391346471138E-2</v>
      </c>
      <c r="P32" s="133">
        <f t="shared" si="2"/>
        <v>3.2686156520510545E-2</v>
      </c>
      <c r="Q32" s="133">
        <f t="shared" si="2"/>
        <v>3.294764577267463E-2</v>
      </c>
      <c r="R32" s="133">
        <f t="shared" si="2"/>
        <v>3.3160833396493235E-2</v>
      </c>
    </row>
    <row r="33" spans="1:18">
      <c r="A33" s="129" t="str">
        <f t="shared" si="0"/>
        <v>Egypt</v>
      </c>
      <c r="B33" s="129" t="s">
        <v>34</v>
      </c>
      <c r="C33" s="4" t="s">
        <v>35</v>
      </c>
      <c r="D33" s="2" t="s">
        <v>42</v>
      </c>
      <c r="E33" s="139" t="s">
        <v>320</v>
      </c>
      <c r="F33" s="139">
        <v>6257.8681360114533</v>
      </c>
      <c r="G33" s="140">
        <v>6435.9294164568291</v>
      </c>
      <c r="H33" s="140">
        <v>6875.8670442042649</v>
      </c>
      <c r="I33" s="140">
        <v>7073.2127826675023</v>
      </c>
      <c r="J33" s="140">
        <v>7233.7812363802332</v>
      </c>
      <c r="K33" s="140">
        <v>7572.4296775216835</v>
      </c>
      <c r="M33" s="133">
        <f t="shared" si="2"/>
        <v>0.17821683026151836</v>
      </c>
      <c r="N33" s="133">
        <f t="shared" si="2"/>
        <v>0.1750448623480437</v>
      </c>
      <c r="O33" s="133">
        <f t="shared" si="2"/>
        <v>0.18499300826324311</v>
      </c>
      <c r="P33" s="133">
        <f t="shared" si="2"/>
        <v>0.18505665142377778</v>
      </c>
      <c r="Q33" s="133">
        <f t="shared" si="2"/>
        <v>0.18479644123223196</v>
      </c>
      <c r="R33" s="133">
        <f t="shared" si="2"/>
        <v>0.18633473160250905</v>
      </c>
    </row>
    <row r="34" spans="1:18">
      <c r="A34" s="125" t="str">
        <f t="shared" si="0"/>
        <v>Egypt</v>
      </c>
      <c r="B34" s="125" t="s">
        <v>34</v>
      </c>
      <c r="C34" s="134" t="s">
        <v>43</v>
      </c>
      <c r="D34" s="135"/>
      <c r="E34" s="136" t="s">
        <v>320</v>
      </c>
      <c r="F34" s="136">
        <v>30776</v>
      </c>
      <c r="G34" s="137">
        <v>32079</v>
      </c>
      <c r="H34" s="137">
        <v>30515</v>
      </c>
      <c r="I34" s="137">
        <v>31387.509964355235</v>
      </c>
      <c r="J34" s="137">
        <v>32227.735402751186</v>
      </c>
      <c r="K34" s="137">
        <v>33185.697691943911</v>
      </c>
      <c r="M34" s="141"/>
      <c r="N34" s="141"/>
      <c r="O34" s="141"/>
      <c r="P34" s="141"/>
      <c r="Q34" s="141"/>
      <c r="R34" s="141"/>
    </row>
    <row r="35" spans="1:18">
      <c r="A35" s="129" t="str">
        <f t="shared" si="0"/>
        <v>Egypt</v>
      </c>
      <c r="B35" s="129" t="s">
        <v>34</v>
      </c>
      <c r="C35" s="4" t="s">
        <v>43</v>
      </c>
      <c r="D35" s="2" t="s">
        <v>36</v>
      </c>
      <c r="E35" s="139" t="s">
        <v>320</v>
      </c>
      <c r="F35" s="139">
        <v>3950</v>
      </c>
      <c r="G35" s="140">
        <v>4133</v>
      </c>
      <c r="H35" s="140">
        <v>3931</v>
      </c>
      <c r="I35" s="140">
        <v>4043.8027232524141</v>
      </c>
      <c r="J35" s="140">
        <v>4160.3570828832953</v>
      </c>
      <c r="K35" s="140">
        <v>4296.0422245712953</v>
      </c>
      <c r="M35" s="133">
        <f t="shared" ref="M35:R41" si="3">F35/F$34</f>
        <v>0.12834676371198336</v>
      </c>
      <c r="N35" s="133">
        <f t="shared" si="3"/>
        <v>0.12883818074129494</v>
      </c>
      <c r="O35" s="133">
        <f t="shared" si="3"/>
        <v>0.12882189087334098</v>
      </c>
      <c r="P35" s="133">
        <f t="shared" si="3"/>
        <v>0.12883477306242833</v>
      </c>
      <c r="Q35" s="133">
        <f t="shared" si="3"/>
        <v>0.12909244260855318</v>
      </c>
      <c r="R35" s="133">
        <f t="shared" si="3"/>
        <v>0.12945463025820889</v>
      </c>
    </row>
    <row r="36" spans="1:18">
      <c r="A36" s="129" t="str">
        <f t="shared" si="0"/>
        <v>Egypt</v>
      </c>
      <c r="B36" s="129" t="s">
        <v>34</v>
      </c>
      <c r="C36" s="4" t="s">
        <v>43</v>
      </c>
      <c r="D36" s="2" t="s">
        <v>37</v>
      </c>
      <c r="E36" s="139" t="s">
        <v>320</v>
      </c>
      <c r="F36" s="139">
        <v>747</v>
      </c>
      <c r="G36" s="140">
        <v>790</v>
      </c>
      <c r="H36" s="140">
        <v>746</v>
      </c>
      <c r="I36" s="140">
        <v>768.09757548230095</v>
      </c>
      <c r="J36" s="140">
        <v>791.02507942212094</v>
      </c>
      <c r="K36" s="140">
        <v>813.54996479251497</v>
      </c>
      <c r="M36" s="133">
        <f t="shared" si="3"/>
        <v>2.4272160124772551E-2</v>
      </c>
      <c r="N36" s="133">
        <f t="shared" si="3"/>
        <v>2.4626702827394868E-2</v>
      </c>
      <c r="O36" s="133">
        <f t="shared" si="3"/>
        <v>2.4446993281992464E-2</v>
      </c>
      <c r="P36" s="133">
        <f t="shared" si="3"/>
        <v>2.4471440275274453E-2</v>
      </c>
      <c r="Q36" s="133">
        <f t="shared" si="3"/>
        <v>2.4544854596100271E-2</v>
      </c>
      <c r="R36" s="133">
        <f t="shared" si="3"/>
        <v>2.4515077921354374E-2</v>
      </c>
    </row>
    <row r="37" spans="1:18">
      <c r="A37" s="129" t="str">
        <f t="shared" si="0"/>
        <v>Egypt</v>
      </c>
      <c r="B37" s="129" t="s">
        <v>34</v>
      </c>
      <c r="C37" s="4" t="s">
        <v>43</v>
      </c>
      <c r="D37" s="2" t="s">
        <v>38</v>
      </c>
      <c r="E37" s="139" t="s">
        <v>320</v>
      </c>
      <c r="F37" s="139">
        <v>5481</v>
      </c>
      <c r="G37" s="140">
        <v>5549</v>
      </c>
      <c r="H37" s="140">
        <v>5255</v>
      </c>
      <c r="I37" s="140">
        <v>5416.0657903461288</v>
      </c>
      <c r="J37" s="140">
        <v>5555.4896797476604</v>
      </c>
      <c r="K37" s="140">
        <v>5723.7633283135547</v>
      </c>
      <c r="M37" s="133">
        <f t="shared" si="3"/>
        <v>0.17809331946971665</v>
      </c>
      <c r="N37" s="133">
        <f t="shared" si="3"/>
        <v>0.17297920758128371</v>
      </c>
      <c r="O37" s="133">
        <f t="shared" si="3"/>
        <v>0.17221038833360641</v>
      </c>
      <c r="P37" s="133">
        <f t="shared" si="3"/>
        <v>0.17255480911027363</v>
      </c>
      <c r="Q37" s="133">
        <f t="shared" si="3"/>
        <v>0.17238225430116336</v>
      </c>
      <c r="R37" s="133">
        <f t="shared" si="3"/>
        <v>0.17247681159052575</v>
      </c>
    </row>
    <row r="38" spans="1:18">
      <c r="A38" s="129" t="str">
        <f t="shared" si="0"/>
        <v>Egypt</v>
      </c>
      <c r="B38" s="129" t="s">
        <v>34</v>
      </c>
      <c r="C38" s="4" t="s">
        <v>43</v>
      </c>
      <c r="D38" s="2" t="s">
        <v>39</v>
      </c>
      <c r="E38" s="139" t="s">
        <v>320</v>
      </c>
      <c r="F38" s="139">
        <v>8092</v>
      </c>
      <c r="G38" s="140">
        <v>8553</v>
      </c>
      <c r="H38" s="140">
        <v>8080</v>
      </c>
      <c r="I38" s="140">
        <v>8294.4079420274065</v>
      </c>
      <c r="J38" s="140">
        <v>8541.9937655471567</v>
      </c>
      <c r="K38" s="140">
        <v>8777.1558324495654</v>
      </c>
      <c r="M38" s="133">
        <f t="shared" si="3"/>
        <v>0.26293215492591632</v>
      </c>
      <c r="N38" s="133">
        <f t="shared" si="3"/>
        <v>0.26662302440849156</v>
      </c>
      <c r="O38" s="133">
        <f t="shared" si="3"/>
        <v>0.26478780927412748</v>
      </c>
      <c r="P38" s="133">
        <f t="shared" si="3"/>
        <v>0.26425823365557921</v>
      </c>
      <c r="Q38" s="133">
        <f t="shared" si="3"/>
        <v>0.26505100835654594</v>
      </c>
      <c r="R38" s="133">
        <f t="shared" si="3"/>
        <v>0.26448610223374297</v>
      </c>
    </row>
    <row r="39" spans="1:18">
      <c r="A39" s="129" t="str">
        <f t="shared" si="0"/>
        <v>Egypt</v>
      </c>
      <c r="B39" s="129" t="s">
        <v>34</v>
      </c>
      <c r="C39" s="4" t="s">
        <v>43</v>
      </c>
      <c r="D39" s="2" t="s">
        <v>40</v>
      </c>
      <c r="E39" s="139" t="s">
        <v>320</v>
      </c>
      <c r="F39" s="139">
        <v>10099.497652618487</v>
      </c>
      <c r="G39" s="140">
        <v>10511.842899369658</v>
      </c>
      <c r="H39" s="140">
        <v>10098.413500604011</v>
      </c>
      <c r="I39" s="140">
        <v>10387.155640648463</v>
      </c>
      <c r="J39" s="140">
        <v>10675.878986836684</v>
      </c>
      <c r="K39" s="140">
        <v>10978.084123204097</v>
      </c>
      <c r="M39" s="133">
        <f t="shared" si="3"/>
        <v>0.32816147818490016</v>
      </c>
      <c r="N39" s="133">
        <f t="shared" si="3"/>
        <v>0.32768611550764232</v>
      </c>
      <c r="O39" s="133">
        <f t="shared" si="3"/>
        <v>0.33093277078826844</v>
      </c>
      <c r="P39" s="133">
        <f t="shared" si="3"/>
        <v>0.33093277078826844</v>
      </c>
      <c r="Q39" s="133">
        <f t="shared" si="3"/>
        <v>0.33126370355905665</v>
      </c>
      <c r="R39" s="133">
        <f t="shared" si="3"/>
        <v>0.33080769387798986</v>
      </c>
    </row>
    <row r="40" spans="1:18">
      <c r="A40" s="129" t="str">
        <f t="shared" si="0"/>
        <v>Egypt</v>
      </c>
      <c r="B40" s="129" t="s">
        <v>34</v>
      </c>
      <c r="C40" s="4" t="s">
        <v>43</v>
      </c>
      <c r="D40" s="2" t="s">
        <v>41</v>
      </c>
      <c r="E40" s="139" t="s">
        <v>320</v>
      </c>
      <c r="F40" s="139">
        <v>67.502347381513189</v>
      </c>
      <c r="G40" s="140">
        <v>70.15710063034291</v>
      </c>
      <c r="H40" s="140">
        <v>68.586499395989819</v>
      </c>
      <c r="I40" s="140">
        <v>70.759223710028195</v>
      </c>
      <c r="J40" s="140">
        <v>72.508100277382283</v>
      </c>
      <c r="K40" s="140">
        <v>74.786000586424763</v>
      </c>
      <c r="M40" s="133">
        <f t="shared" si="3"/>
        <v>2.1933437542732384E-3</v>
      </c>
      <c r="N40" s="133">
        <f t="shared" si="3"/>
        <v>2.1870102132342936E-3</v>
      </c>
      <c r="O40" s="133">
        <f t="shared" si="3"/>
        <v>2.2476322921838382E-3</v>
      </c>
      <c r="P40" s="133">
        <f t="shared" si="3"/>
        <v>2.2543751890603896E-3</v>
      </c>
      <c r="Q40" s="133">
        <f t="shared" si="3"/>
        <v>2.2498664386822686E-3</v>
      </c>
      <c r="R40" s="133">
        <f t="shared" si="3"/>
        <v>2.253561196170953E-3</v>
      </c>
    </row>
    <row r="41" spans="1:18">
      <c r="A41" s="129" t="str">
        <f t="shared" si="0"/>
        <v>Egypt</v>
      </c>
      <c r="B41" s="129" t="s">
        <v>34</v>
      </c>
      <c r="C41" s="4" t="s">
        <v>43</v>
      </c>
      <c r="D41" s="2" t="s">
        <v>42</v>
      </c>
      <c r="E41" s="139" t="s">
        <v>320</v>
      </c>
      <c r="F41" s="139">
        <v>2339</v>
      </c>
      <c r="G41" s="140">
        <v>2472</v>
      </c>
      <c r="H41" s="140">
        <v>2336</v>
      </c>
      <c r="I41" s="140">
        <v>2407.2210688884916</v>
      </c>
      <c r="J41" s="140">
        <v>2430.482708036885</v>
      </c>
      <c r="K41" s="140">
        <v>2522.3162180264694</v>
      </c>
      <c r="M41" s="133">
        <f t="shared" si="3"/>
        <v>7.6000779828437739E-2</v>
      </c>
      <c r="N41" s="133">
        <f t="shared" si="3"/>
        <v>7.7059758720658372E-2</v>
      </c>
      <c r="O41" s="133">
        <f t="shared" si="3"/>
        <v>7.6552515156480413E-2</v>
      </c>
      <c r="P41" s="133">
        <f t="shared" si="3"/>
        <v>7.6693597919115494E-2</v>
      </c>
      <c r="Q41" s="133">
        <f t="shared" si="3"/>
        <v>7.5415870139898256E-2</v>
      </c>
      <c r="R41" s="133">
        <f t="shared" si="3"/>
        <v>7.6006122922007494E-2</v>
      </c>
    </row>
    <row r="42" spans="1:18">
      <c r="A42" s="142" t="str">
        <f t="shared" si="0"/>
        <v>Egypt</v>
      </c>
      <c r="B42" s="142" t="s">
        <v>34</v>
      </c>
      <c r="C42" s="134" t="s">
        <v>44</v>
      </c>
      <c r="D42" s="134"/>
      <c r="E42" s="136" t="s">
        <v>320</v>
      </c>
      <c r="F42" s="703">
        <v>59970</v>
      </c>
      <c r="G42" s="704">
        <v>68160</v>
      </c>
      <c r="H42" s="704">
        <v>59730</v>
      </c>
      <c r="I42" s="704">
        <v>70160</v>
      </c>
      <c r="J42" s="704">
        <v>77680</v>
      </c>
      <c r="K42" s="137">
        <v>82028.830444380641</v>
      </c>
      <c r="M42" s="141"/>
      <c r="N42" s="141"/>
      <c r="O42" s="141"/>
      <c r="P42" s="141"/>
      <c r="Q42" s="141"/>
      <c r="R42" s="141"/>
    </row>
    <row r="43" spans="1:18">
      <c r="A43" s="129" t="str">
        <f t="shared" si="0"/>
        <v>Egypt</v>
      </c>
      <c r="B43" s="129" t="s">
        <v>34</v>
      </c>
      <c r="C43" s="4" t="s">
        <v>44</v>
      </c>
      <c r="D43" s="2" t="s">
        <v>36</v>
      </c>
      <c r="E43" s="139" t="s">
        <v>320</v>
      </c>
      <c r="F43" s="705">
        <v>16398.113200027106</v>
      </c>
      <c r="G43" s="706">
        <v>18823.951136751475</v>
      </c>
      <c r="H43" s="706">
        <v>16463.147838071036</v>
      </c>
      <c r="I43" s="706">
        <v>19180.574009845135</v>
      </c>
      <c r="J43" s="706">
        <v>21280.399101031504</v>
      </c>
      <c r="K43" s="140">
        <v>22421.051563294724</v>
      </c>
      <c r="M43" s="133">
        <f t="shared" ref="M43:R49" si="4">F43/F$42</f>
        <v>0.2734386059701035</v>
      </c>
      <c r="N43" s="133">
        <f t="shared" si="4"/>
        <v>0.2761729920298045</v>
      </c>
      <c r="O43" s="133">
        <f t="shared" si="4"/>
        <v>0.27562611481786431</v>
      </c>
      <c r="P43" s="133">
        <f t="shared" si="4"/>
        <v>0.27338332397156689</v>
      </c>
      <c r="Q43" s="133">
        <f t="shared" si="4"/>
        <v>0.27394952498753222</v>
      </c>
      <c r="R43" s="133">
        <f t="shared" si="4"/>
        <v>0.27333135730244551</v>
      </c>
    </row>
    <row r="44" spans="1:18">
      <c r="A44" s="129" t="str">
        <f t="shared" si="0"/>
        <v>Egypt</v>
      </c>
      <c r="B44" s="129" t="s">
        <v>34</v>
      </c>
      <c r="C44" s="4" t="s">
        <v>44</v>
      </c>
      <c r="D44" s="2" t="s">
        <v>37</v>
      </c>
      <c r="E44" s="139" t="s">
        <v>320</v>
      </c>
      <c r="F44" s="705">
        <v>3616.3922368297799</v>
      </c>
      <c r="G44" s="706">
        <v>4122.6075495565237</v>
      </c>
      <c r="H44" s="706">
        <v>3619.9290286371838</v>
      </c>
      <c r="I44" s="706">
        <v>4205.5912136816432</v>
      </c>
      <c r="J44" s="706">
        <v>4671.0016238053613</v>
      </c>
      <c r="K44" s="140">
        <v>4974.3456061632314</v>
      </c>
      <c r="M44" s="133">
        <f t="shared" si="4"/>
        <v>6.0303355624975484E-2</v>
      </c>
      <c r="N44" s="133">
        <f t="shared" si="4"/>
        <v>6.0484265691850406E-2</v>
      </c>
      <c r="O44" s="133">
        <f t="shared" si="4"/>
        <v>6.0604872403100349E-2</v>
      </c>
      <c r="P44" s="133">
        <f t="shared" si="4"/>
        <v>5.9942862224652838E-2</v>
      </c>
      <c r="Q44" s="133">
        <f t="shared" si="4"/>
        <v>6.013132883374564E-2</v>
      </c>
      <c r="R44" s="133">
        <f t="shared" si="4"/>
        <v>6.0641430326573639E-2</v>
      </c>
    </row>
    <row r="45" spans="1:18">
      <c r="A45" s="129" t="str">
        <f t="shared" si="0"/>
        <v>Egypt</v>
      </c>
      <c r="B45" s="129" t="s">
        <v>34</v>
      </c>
      <c r="C45" s="4" t="s">
        <v>44</v>
      </c>
      <c r="D45" s="2" t="s">
        <v>38</v>
      </c>
      <c r="E45" s="139" t="s">
        <v>320</v>
      </c>
      <c r="F45" s="705">
        <v>9946.2666907815092</v>
      </c>
      <c r="G45" s="706">
        <v>11361.134322692778</v>
      </c>
      <c r="H45" s="706">
        <v>9926.2746449768274</v>
      </c>
      <c r="I45" s="706">
        <v>11743.32947133225</v>
      </c>
      <c r="J45" s="706">
        <v>12991.323631878806</v>
      </c>
      <c r="K45" s="140">
        <v>13730.400094790677</v>
      </c>
      <c r="M45" s="133">
        <f t="shared" si="4"/>
        <v>0.1658540385322913</v>
      </c>
      <c r="N45" s="133">
        <f t="shared" si="4"/>
        <v>0.16668330872495274</v>
      </c>
      <c r="O45" s="133">
        <f t="shared" si="4"/>
        <v>0.16618574660935589</v>
      </c>
      <c r="P45" s="133">
        <f t="shared" si="4"/>
        <v>0.16737926840553377</v>
      </c>
      <c r="Q45" s="133">
        <f t="shared" si="4"/>
        <v>0.16724155035889296</v>
      </c>
      <c r="R45" s="133">
        <f t="shared" si="4"/>
        <v>0.16738505255296218</v>
      </c>
    </row>
    <row r="46" spans="1:18">
      <c r="A46" s="129" t="str">
        <f t="shared" si="0"/>
        <v>Egypt</v>
      </c>
      <c r="B46" s="129" t="s">
        <v>34</v>
      </c>
      <c r="C46" s="4" t="s">
        <v>44</v>
      </c>
      <c r="D46" s="2" t="s">
        <v>39</v>
      </c>
      <c r="E46" s="139" t="s">
        <v>320</v>
      </c>
      <c r="F46" s="705">
        <v>8178.4639153535491</v>
      </c>
      <c r="G46" s="706">
        <v>9276.7919337928452</v>
      </c>
      <c r="H46" s="706">
        <v>8170.1708956654929</v>
      </c>
      <c r="I46" s="706">
        <v>9755.5111785945373</v>
      </c>
      <c r="J46" s="706">
        <v>10813.774669594002</v>
      </c>
      <c r="K46" s="140">
        <v>11404.066993083856</v>
      </c>
      <c r="M46" s="133">
        <f t="shared" si="4"/>
        <v>0.13637591988250039</v>
      </c>
      <c r="N46" s="133">
        <f t="shared" si="4"/>
        <v>0.1361031680427354</v>
      </c>
      <c r="O46" s="133">
        <f t="shared" si="4"/>
        <v>0.13678504764214788</v>
      </c>
      <c r="P46" s="133">
        <f t="shared" si="4"/>
        <v>0.13904662455237368</v>
      </c>
      <c r="Q46" s="133">
        <f t="shared" si="4"/>
        <v>0.13920925166830589</v>
      </c>
      <c r="R46" s="133">
        <f t="shared" si="4"/>
        <v>0.13902510777373991</v>
      </c>
    </row>
    <row r="47" spans="1:18">
      <c r="A47" s="129" t="str">
        <f t="shared" si="0"/>
        <v>Egypt</v>
      </c>
      <c r="B47" s="129" t="s">
        <v>34</v>
      </c>
      <c r="C47" s="4" t="s">
        <v>44</v>
      </c>
      <c r="D47" s="2" t="s">
        <v>40</v>
      </c>
      <c r="E47" s="139" t="s">
        <v>320</v>
      </c>
      <c r="F47" s="705">
        <v>9596.9830778945325</v>
      </c>
      <c r="G47" s="706">
        <v>10929.441842962649</v>
      </c>
      <c r="H47" s="706">
        <v>9654.1617014351668</v>
      </c>
      <c r="I47" s="706">
        <v>11477.400698913525</v>
      </c>
      <c r="J47" s="706">
        <v>12768.780766084763</v>
      </c>
      <c r="K47" s="140">
        <v>13441.997483407085</v>
      </c>
      <c r="M47" s="133">
        <f t="shared" si="4"/>
        <v>0.16002973283132454</v>
      </c>
      <c r="N47" s="133">
        <f t="shared" si="4"/>
        <v>0.16034979229698723</v>
      </c>
      <c r="O47" s="133">
        <f t="shared" si="4"/>
        <v>0.16163003015963781</v>
      </c>
      <c r="P47" s="133">
        <f t="shared" si="4"/>
        <v>0.16358894952841399</v>
      </c>
      <c r="Q47" s="133">
        <f t="shared" si="4"/>
        <v>0.16437668339450004</v>
      </c>
      <c r="R47" s="133">
        <f t="shared" si="4"/>
        <v>0.16386918368318545</v>
      </c>
    </row>
    <row r="48" spans="1:18">
      <c r="A48" s="129" t="str">
        <f t="shared" si="0"/>
        <v>Egypt</v>
      </c>
      <c r="B48" s="129" t="s">
        <v>34</v>
      </c>
      <c r="C48" s="4" t="s">
        <v>44</v>
      </c>
      <c r="D48" s="2" t="s">
        <v>41</v>
      </c>
      <c r="E48" s="139" t="s">
        <v>320</v>
      </c>
      <c r="F48" s="705">
        <v>9276.2184855431606</v>
      </c>
      <c r="G48" s="706">
        <v>10325.191940451525</v>
      </c>
      <c r="H48" s="706">
        <v>8986.1481691914032</v>
      </c>
      <c r="I48" s="706">
        <v>10410.631241673767</v>
      </c>
      <c r="J48" s="706">
        <v>11480.952620105509</v>
      </c>
      <c r="K48" s="140">
        <v>12147.223942660885</v>
      </c>
      <c r="M48" s="133">
        <f t="shared" si="4"/>
        <v>0.15468098191667767</v>
      </c>
      <c r="N48" s="133">
        <f t="shared" si="4"/>
        <v>0.15148462353948833</v>
      </c>
      <c r="O48" s="133">
        <f t="shared" si="4"/>
        <v>0.15044614380029137</v>
      </c>
      <c r="P48" s="133">
        <f t="shared" si="4"/>
        <v>0.14838413970458619</v>
      </c>
      <c r="Q48" s="133">
        <f t="shared" si="4"/>
        <v>0.14779805123719758</v>
      </c>
      <c r="R48" s="133">
        <f t="shared" si="4"/>
        <v>0.14808481209417301</v>
      </c>
    </row>
    <row r="49" spans="1:23">
      <c r="A49" s="129" t="str">
        <f t="shared" si="0"/>
        <v>Egypt</v>
      </c>
      <c r="B49" s="129" t="s">
        <v>34</v>
      </c>
      <c r="C49" s="4" t="s">
        <v>44</v>
      </c>
      <c r="D49" s="2" t="s">
        <v>42</v>
      </c>
      <c r="E49" s="139" t="s">
        <v>320</v>
      </c>
      <c r="F49" s="705">
        <v>2957.5623935703625</v>
      </c>
      <c r="G49" s="706">
        <v>3320.8812737922126</v>
      </c>
      <c r="H49" s="706">
        <v>2910.1677220228958</v>
      </c>
      <c r="I49" s="706">
        <v>3386.9621859591425</v>
      </c>
      <c r="J49" s="706">
        <v>3673.7675875000568</v>
      </c>
      <c r="K49" s="140">
        <v>3909.7447609801743</v>
      </c>
      <c r="M49" s="133">
        <f t="shared" si="4"/>
        <v>4.9317365242127105E-2</v>
      </c>
      <c r="N49" s="133">
        <f t="shared" si="4"/>
        <v>4.8721849674181521E-2</v>
      </c>
      <c r="O49" s="133">
        <f t="shared" si="4"/>
        <v>4.8722044567602471E-2</v>
      </c>
      <c r="P49" s="133">
        <f t="shared" si="4"/>
        <v>4.8274831612872611E-2</v>
      </c>
      <c r="Q49" s="133">
        <f t="shared" si="4"/>
        <v>4.7293609519825655E-2</v>
      </c>
      <c r="R49" s="133">
        <f t="shared" si="4"/>
        <v>4.7663056266920238E-2</v>
      </c>
    </row>
    <row r="50" spans="1:23">
      <c r="A50" s="142" t="str">
        <f t="shared" si="0"/>
        <v>Egypt</v>
      </c>
      <c r="B50" s="142" t="s">
        <v>34</v>
      </c>
      <c r="C50" s="134" t="s">
        <v>47</v>
      </c>
      <c r="D50" s="134"/>
      <c r="E50" s="136" t="s">
        <v>320</v>
      </c>
      <c r="F50" s="702">
        <f>F42-F58</f>
        <v>53789.791651145068</v>
      </c>
      <c r="G50" s="702">
        <f t="shared" ref="G50:J50" si="5">G42-G58</f>
        <v>61823.00970294443</v>
      </c>
      <c r="H50" s="702">
        <f t="shared" si="5"/>
        <v>54017.015056808137</v>
      </c>
      <c r="I50" s="702">
        <f t="shared" si="5"/>
        <v>64282.713812541675</v>
      </c>
      <c r="J50" s="702">
        <f t="shared" si="5"/>
        <v>71663.386105760088</v>
      </c>
      <c r="K50" s="702">
        <f t="shared" ref="K50" si="6">K42-K58</f>
        <v>75935.704794701189</v>
      </c>
      <c r="M50" s="141"/>
      <c r="N50" s="141"/>
      <c r="O50" s="141"/>
      <c r="P50" s="141"/>
      <c r="Q50" s="141"/>
      <c r="R50" s="141"/>
      <c r="T50" s="159"/>
      <c r="U50" s="159"/>
      <c r="V50" s="159"/>
      <c r="W50" s="159"/>
    </row>
    <row r="51" spans="1:23">
      <c r="A51" s="129" t="str">
        <f t="shared" si="0"/>
        <v>Egypt</v>
      </c>
      <c r="B51" s="129" t="s">
        <v>34</v>
      </c>
      <c r="C51" s="4" t="s">
        <v>44</v>
      </c>
      <c r="D51" s="2" t="s">
        <v>36</v>
      </c>
      <c r="E51" s="139" t="s">
        <v>320</v>
      </c>
      <c r="F51" s="701">
        <f>F43-F59</f>
        <v>16363.741892434155</v>
      </c>
      <c r="G51" s="701">
        <f t="shared" ref="G51:J51" si="7">G43-G59</f>
        <v>18787.196593028551</v>
      </c>
      <c r="H51" s="701">
        <f t="shared" si="7"/>
        <v>16431.949227296263</v>
      </c>
      <c r="I51" s="701">
        <f t="shared" si="7"/>
        <v>19147.721797130445</v>
      </c>
      <c r="J51" s="701">
        <f t="shared" si="7"/>
        <v>21246.358395559182</v>
      </c>
      <c r="K51" s="701">
        <f t="shared" ref="K51" si="8">K43-K59</f>
        <v>22386.509750965797</v>
      </c>
      <c r="M51" s="133">
        <f t="shared" ref="M51:R57" si="9">F51/F$50</f>
        <v>0.30421649517740429</v>
      </c>
      <c r="N51" s="133">
        <f t="shared" si="9"/>
        <v>0.30388680012991631</v>
      </c>
      <c r="O51" s="133">
        <f t="shared" si="9"/>
        <v>0.30419950473041235</v>
      </c>
      <c r="P51" s="133">
        <f t="shared" si="9"/>
        <v>0.29786735284649246</v>
      </c>
      <c r="Q51" s="133">
        <f t="shared" si="9"/>
        <v>0.29647438601636861</v>
      </c>
      <c r="R51" s="133">
        <f t="shared" si="9"/>
        <v>0.29480874394317774</v>
      </c>
      <c r="T51" s="159"/>
      <c r="U51" s="159"/>
      <c r="V51" s="159"/>
      <c r="W51" s="159"/>
    </row>
    <row r="52" spans="1:23">
      <c r="A52" s="129" t="str">
        <f t="shared" si="0"/>
        <v>Egypt</v>
      </c>
      <c r="B52" s="129" t="s">
        <v>34</v>
      </c>
      <c r="C52" s="4" t="s">
        <v>44</v>
      </c>
      <c r="D52" s="2" t="s">
        <v>37</v>
      </c>
      <c r="E52" s="139" t="s">
        <v>320</v>
      </c>
      <c r="F52" s="701">
        <f t="shared" ref="F52:J52" si="10">F44-F60</f>
        <v>3616.3922368297799</v>
      </c>
      <c r="G52" s="701">
        <f t="shared" si="10"/>
        <v>4122.6075495565237</v>
      </c>
      <c r="H52" s="701">
        <f t="shared" si="10"/>
        <v>3619.9290286371838</v>
      </c>
      <c r="I52" s="701">
        <f t="shared" si="10"/>
        <v>4205.5912136816432</v>
      </c>
      <c r="J52" s="701">
        <f t="shared" si="10"/>
        <v>4671.0016238053613</v>
      </c>
      <c r="K52" s="701">
        <f t="shared" ref="K52" si="11">K44-K60</f>
        <v>4974.3456061632314</v>
      </c>
      <c r="M52" s="133">
        <f t="shared" si="9"/>
        <v>6.7231943568102567E-2</v>
      </c>
      <c r="N52" s="133">
        <f t="shared" si="9"/>
        <v>6.6684031873656541E-2</v>
      </c>
      <c r="O52" s="133">
        <f t="shared" si="9"/>
        <v>6.7014606875818825E-2</v>
      </c>
      <c r="P52" s="133">
        <f t="shared" si="9"/>
        <v>6.5423361340123207E-2</v>
      </c>
      <c r="Q52" s="133">
        <f t="shared" si="9"/>
        <v>6.5179750464371661E-2</v>
      </c>
      <c r="R52" s="133">
        <f t="shared" si="9"/>
        <v>6.5507334390479538E-2</v>
      </c>
      <c r="T52" s="159"/>
      <c r="U52" s="159"/>
      <c r="V52" s="159"/>
      <c r="W52" s="159"/>
    </row>
    <row r="53" spans="1:23">
      <c r="A53" s="129" t="str">
        <f t="shared" si="0"/>
        <v>Egypt</v>
      </c>
      <c r="B53" s="129" t="s">
        <v>34</v>
      </c>
      <c r="C53" s="4" t="s">
        <v>44</v>
      </c>
      <c r="D53" s="2" t="s">
        <v>38</v>
      </c>
      <c r="E53" s="139" t="s">
        <v>320</v>
      </c>
      <c r="F53" s="701">
        <f t="shared" ref="F53:J53" si="12">F45-F61</f>
        <v>9902.2450312902547</v>
      </c>
      <c r="G53" s="701">
        <f t="shared" si="12"/>
        <v>11315.507992553978</v>
      </c>
      <c r="H53" s="701">
        <f t="shared" si="12"/>
        <v>9885.355390321216</v>
      </c>
      <c r="I53" s="701">
        <f t="shared" si="12"/>
        <v>11701.577230256546</v>
      </c>
      <c r="J53" s="701">
        <f t="shared" si="12"/>
        <v>12948.358992060039</v>
      </c>
      <c r="K53" s="701">
        <f t="shared" ref="K53" si="13">K45-K61</f>
        <v>13686.561113822539</v>
      </c>
      <c r="M53" s="133">
        <f t="shared" si="9"/>
        <v>0.18409152977411575</v>
      </c>
      <c r="N53" s="133">
        <f t="shared" si="9"/>
        <v>0.18303068787696139</v>
      </c>
      <c r="O53" s="133">
        <f t="shared" si="9"/>
        <v>0.18300447331132741</v>
      </c>
      <c r="P53" s="133">
        <f t="shared" si="9"/>
        <v>0.18203303090750264</v>
      </c>
      <c r="Q53" s="133">
        <f t="shared" si="9"/>
        <v>0.18068304744839972</v>
      </c>
      <c r="R53" s="133">
        <f t="shared" si="9"/>
        <v>0.18023881059411187</v>
      </c>
      <c r="T53" s="159"/>
      <c r="U53" s="159"/>
      <c r="V53" s="159"/>
      <c r="W53" s="159"/>
    </row>
    <row r="54" spans="1:23">
      <c r="A54" s="129" t="str">
        <f t="shared" si="0"/>
        <v>Egypt</v>
      </c>
      <c r="B54" s="129" t="s">
        <v>34</v>
      </c>
      <c r="C54" s="4" t="s">
        <v>44</v>
      </c>
      <c r="D54" s="2" t="s">
        <v>39</v>
      </c>
      <c r="E54" s="139" t="s">
        <v>320</v>
      </c>
      <c r="F54" s="701">
        <f t="shared" ref="F54:J54" si="14">F46-F62</f>
        <v>8107.6536431586555</v>
      </c>
      <c r="G54" s="701">
        <f t="shared" si="14"/>
        <v>9203.2828463470014</v>
      </c>
      <c r="H54" s="701">
        <f t="shared" si="14"/>
        <v>8104.6658103068548</v>
      </c>
      <c r="I54" s="701">
        <f t="shared" si="14"/>
        <v>9687.8944047647583</v>
      </c>
      <c r="J54" s="701">
        <f t="shared" si="14"/>
        <v>10743.608918359376</v>
      </c>
      <c r="K54" s="701">
        <f t="shared" ref="K54" si="15">K46-K62</f>
        <v>11332.149044394226</v>
      </c>
      <c r="M54" s="133">
        <f t="shared" si="9"/>
        <v>0.15072848200902189</v>
      </c>
      <c r="N54" s="133">
        <f t="shared" si="9"/>
        <v>0.14886500819950665</v>
      </c>
      <c r="O54" s="133">
        <f t="shared" si="9"/>
        <v>0.15003912751904955</v>
      </c>
      <c r="P54" s="133">
        <f t="shared" si="9"/>
        <v>0.15070761376092731</v>
      </c>
      <c r="Q54" s="133">
        <f t="shared" si="9"/>
        <v>0.14991768463890429</v>
      </c>
      <c r="R54" s="133">
        <f t="shared" si="9"/>
        <v>0.14923347422706723</v>
      </c>
      <c r="T54" s="159"/>
      <c r="U54" s="159"/>
      <c r="V54" s="159"/>
      <c r="W54" s="159"/>
    </row>
    <row r="55" spans="1:23">
      <c r="A55" s="129" t="str">
        <f t="shared" si="0"/>
        <v>Egypt</v>
      </c>
      <c r="B55" s="129" t="s">
        <v>34</v>
      </c>
      <c r="C55" s="4" t="s">
        <v>44</v>
      </c>
      <c r="D55" s="2" t="s">
        <v>40</v>
      </c>
      <c r="E55" s="139" t="s">
        <v>320</v>
      </c>
      <c r="F55" s="701">
        <f t="shared" ref="F55:J55" si="16">F47-F63</f>
        <v>4645.8023912404169</v>
      </c>
      <c r="G55" s="701">
        <f t="shared" si="16"/>
        <v>5854.780013080549</v>
      </c>
      <c r="H55" s="701">
        <f t="shared" si="16"/>
        <v>5077.4894634441653</v>
      </c>
      <c r="I55" s="701">
        <f t="shared" si="16"/>
        <v>6768.5190055219136</v>
      </c>
      <c r="J55" s="701">
        <f t="shared" si="16"/>
        <v>7950.0836216739544</v>
      </c>
      <c r="K55" s="701">
        <f t="shared" ref="K55" si="17">K47-K63</f>
        <v>8511.5326041117805</v>
      </c>
      <c r="M55" s="133">
        <f t="shared" si="9"/>
        <v>8.6369592605431075E-2</v>
      </c>
      <c r="N55" s="133">
        <f t="shared" si="9"/>
        <v>9.4702280610607426E-2</v>
      </c>
      <c r="O55" s="133">
        <f t="shared" si="9"/>
        <v>9.3997964495156128E-2</v>
      </c>
      <c r="P55" s="133">
        <f t="shared" si="9"/>
        <v>0.10529298786700202</v>
      </c>
      <c r="Q55" s="133">
        <f t="shared" si="9"/>
        <v>0.11093647751923559</v>
      </c>
      <c r="R55" s="133">
        <f t="shared" si="9"/>
        <v>0.1120886759018495</v>
      </c>
      <c r="T55" s="159"/>
      <c r="U55" s="159"/>
      <c r="V55" s="159"/>
      <c r="W55" s="159"/>
    </row>
    <row r="56" spans="1:23">
      <c r="A56" s="129" t="str">
        <f t="shared" si="0"/>
        <v>Egypt</v>
      </c>
      <c r="B56" s="129" t="s">
        <v>34</v>
      </c>
      <c r="C56" s="4" t="s">
        <v>44</v>
      </c>
      <c r="D56" s="2" t="s">
        <v>41</v>
      </c>
      <c r="E56" s="139" t="s">
        <v>320</v>
      </c>
      <c r="F56" s="701">
        <f t="shared" ref="F56:J56" si="18">F48-F64</f>
        <v>8222.1857692671729</v>
      </c>
      <c r="G56" s="701">
        <f t="shared" si="18"/>
        <v>9245.368793833255</v>
      </c>
      <c r="H56" s="701">
        <f t="shared" si="18"/>
        <v>8011.1101724443761</v>
      </c>
      <c r="I56" s="701">
        <f t="shared" si="18"/>
        <v>9408.6524776588267</v>
      </c>
      <c r="J56" s="701">
        <f t="shared" si="18"/>
        <v>10455.298644570263</v>
      </c>
      <c r="K56" s="701">
        <f t="shared" ref="K56" si="19">K48-K64</f>
        <v>11097.679075691351</v>
      </c>
      <c r="M56" s="133">
        <f t="shared" si="9"/>
        <v>0.15285773595466493</v>
      </c>
      <c r="N56" s="133">
        <f t="shared" si="9"/>
        <v>0.1495457571259739</v>
      </c>
      <c r="O56" s="133">
        <f t="shared" si="9"/>
        <v>0.14830716143828612</v>
      </c>
      <c r="P56" s="133">
        <f t="shared" si="9"/>
        <v>0.14636364770000082</v>
      </c>
      <c r="Q56" s="133">
        <f t="shared" si="9"/>
        <v>0.14589456642671672</v>
      </c>
      <c r="R56" s="133">
        <f t="shared" si="9"/>
        <v>0.14614573086132401</v>
      </c>
      <c r="T56" s="159"/>
      <c r="U56" s="159"/>
      <c r="V56" s="159"/>
      <c r="W56" s="159"/>
    </row>
    <row r="57" spans="1:23">
      <c r="A57" s="129" t="str">
        <f t="shared" si="0"/>
        <v>Egypt</v>
      </c>
      <c r="B57" s="129" t="s">
        <v>34</v>
      </c>
      <c r="C57" s="4" t="s">
        <v>44</v>
      </c>
      <c r="D57" s="2" t="s">
        <v>42</v>
      </c>
      <c r="E57" s="139" t="s">
        <v>320</v>
      </c>
      <c r="F57" s="701">
        <f t="shared" ref="F57:J57" si="20">F49-F65</f>
        <v>2931.7706869246326</v>
      </c>
      <c r="G57" s="701">
        <f t="shared" si="20"/>
        <v>3294.2659145445791</v>
      </c>
      <c r="H57" s="701">
        <f t="shared" si="20"/>
        <v>2886.5159643580819</v>
      </c>
      <c r="I57" s="701">
        <f t="shared" si="20"/>
        <v>3362.7576835275399</v>
      </c>
      <c r="J57" s="701">
        <f t="shared" si="20"/>
        <v>3648.6759097319164</v>
      </c>
      <c r="K57" s="701">
        <f t="shared" ref="K57" si="21">K49-K65</f>
        <v>3884.1326001192188</v>
      </c>
      <c r="M57" s="133">
        <f t="shared" si="9"/>
        <v>5.4504220911259497E-2</v>
      </c>
      <c r="N57" s="133">
        <f t="shared" si="9"/>
        <v>5.328543418337791E-2</v>
      </c>
      <c r="O57" s="133">
        <f t="shared" si="9"/>
        <v>5.343716162994968E-2</v>
      </c>
      <c r="P57" s="133">
        <f t="shared" si="9"/>
        <v>5.2312005577951501E-2</v>
      </c>
      <c r="Q57" s="133">
        <f t="shared" si="9"/>
        <v>5.0914087486003491E-2</v>
      </c>
      <c r="R57" s="133">
        <f t="shared" si="9"/>
        <v>5.1150280498749708E-2</v>
      </c>
      <c r="T57" s="159"/>
      <c r="U57" s="159"/>
      <c r="V57" s="159"/>
      <c r="W57" s="159"/>
    </row>
    <row r="58" spans="1:23">
      <c r="A58" s="142" t="str">
        <f t="shared" si="0"/>
        <v>Egypt</v>
      </c>
      <c r="B58" s="142" t="s">
        <v>34</v>
      </c>
      <c r="C58" s="134" t="s">
        <v>321</v>
      </c>
      <c r="D58" s="134"/>
      <c r="E58" s="137" t="s">
        <v>320</v>
      </c>
      <c r="F58" s="137">
        <v>6180.2083488549324</v>
      </c>
      <c r="G58" s="137">
        <v>6336.9902970555704</v>
      </c>
      <c r="H58" s="137">
        <v>5712.9849431918628</v>
      </c>
      <c r="I58" s="137">
        <v>5877.2861874583268</v>
      </c>
      <c r="J58" s="137">
        <v>6016.6138942399075</v>
      </c>
      <c r="K58" s="137">
        <v>6093.1256496794513</v>
      </c>
      <c r="M58" s="143"/>
      <c r="N58" s="143"/>
      <c r="O58" s="143"/>
      <c r="P58" s="143"/>
      <c r="Q58" s="143"/>
      <c r="R58" s="143"/>
      <c r="T58" s="101"/>
    </row>
    <row r="59" spans="1:23">
      <c r="A59" s="129" t="str">
        <f t="shared" si="0"/>
        <v>Egypt</v>
      </c>
      <c r="B59" s="129" t="s">
        <v>34</v>
      </c>
      <c r="C59" s="4" t="s">
        <v>44</v>
      </c>
      <c r="D59" s="2" t="s">
        <v>36</v>
      </c>
      <c r="E59" s="139" t="s">
        <v>320</v>
      </c>
      <c r="F59" s="701">
        <v>34.37130759295178</v>
      </c>
      <c r="G59" s="140">
        <v>36.7545437229237</v>
      </c>
      <c r="H59" s="140">
        <v>31.198610774771623</v>
      </c>
      <c r="I59" s="140">
        <v>32.852212714688903</v>
      </c>
      <c r="J59" s="140">
        <v>34.040705472320042</v>
      </c>
      <c r="K59" s="140">
        <f>J59*(1+(((J59/G59)^(1/3))-1))*1.041</f>
        <v>34.54181232892816</v>
      </c>
      <c r="M59" s="133">
        <f t="shared" ref="M59:R65" si="22">F59/F$58</f>
        <v>5.5615127602162617E-3</v>
      </c>
      <c r="N59" s="133">
        <f t="shared" si="22"/>
        <v>5.8000000000002199E-3</v>
      </c>
      <c r="O59" s="133">
        <f t="shared" si="22"/>
        <v>5.4610000000001506E-3</v>
      </c>
      <c r="P59" s="133">
        <f t="shared" si="22"/>
        <v>5.589690831253543E-3</v>
      </c>
      <c r="Q59" s="133">
        <f t="shared" si="22"/>
        <v>5.6577846062067245E-3</v>
      </c>
      <c r="R59" s="133">
        <f t="shared" si="22"/>
        <v>5.6689808014619468E-3</v>
      </c>
      <c r="T59" s="101"/>
    </row>
    <row r="60" spans="1:23">
      <c r="A60" s="129" t="str">
        <f t="shared" si="0"/>
        <v>Egypt</v>
      </c>
      <c r="B60" s="129" t="s">
        <v>34</v>
      </c>
      <c r="C60" s="4" t="s">
        <v>44</v>
      </c>
      <c r="D60" s="2" t="s">
        <v>37</v>
      </c>
      <c r="E60" s="139" t="s">
        <v>320</v>
      </c>
      <c r="F60" s="701"/>
      <c r="G60" s="140"/>
      <c r="H60" s="140"/>
      <c r="I60" s="140"/>
      <c r="J60" s="140"/>
      <c r="K60" s="140"/>
      <c r="M60" s="133">
        <f t="shared" si="22"/>
        <v>0</v>
      </c>
      <c r="N60" s="133">
        <f t="shared" si="22"/>
        <v>0</v>
      </c>
      <c r="O60" s="133">
        <f t="shared" si="22"/>
        <v>0</v>
      </c>
      <c r="P60" s="133">
        <f t="shared" si="22"/>
        <v>0</v>
      </c>
      <c r="Q60" s="133">
        <f t="shared" si="22"/>
        <v>0</v>
      </c>
      <c r="R60" s="133">
        <f t="shared" si="22"/>
        <v>0</v>
      </c>
      <c r="T60" s="101"/>
    </row>
    <row r="61" spans="1:23">
      <c r="A61" s="129" t="str">
        <f t="shared" si="0"/>
        <v>Egypt</v>
      </c>
      <c r="B61" s="129" t="s">
        <v>34</v>
      </c>
      <c r="C61" s="4" t="s">
        <v>44</v>
      </c>
      <c r="D61" s="2" t="s">
        <v>38</v>
      </c>
      <c r="E61" s="139" t="s">
        <v>320</v>
      </c>
      <c r="F61" s="701">
        <v>44.021659491255193</v>
      </c>
      <c r="G61" s="140">
        <v>45.626330138800107</v>
      </c>
      <c r="H61" s="140">
        <v>40.919254655611709</v>
      </c>
      <c r="I61" s="140">
        <v>41.752241075703949</v>
      </c>
      <c r="J61" s="140">
        <v>42.964639818767182</v>
      </c>
      <c r="K61" s="140">
        <f>J61*(1+(((J61/G61)^(1/3))-1))*1.041</f>
        <v>43.838980968136923</v>
      </c>
      <c r="M61" s="133">
        <f t="shared" si="22"/>
        <v>7.1230057315804758E-3</v>
      </c>
      <c r="N61" s="133">
        <f t="shared" si="22"/>
        <v>7.1999999999999998E-3</v>
      </c>
      <c r="O61" s="133">
        <f t="shared" si="22"/>
        <v>7.1624999999999987E-3</v>
      </c>
      <c r="P61" s="133">
        <f t="shared" si="22"/>
        <v>7.1039999999999992E-3</v>
      </c>
      <c r="Q61" s="133">
        <f t="shared" si="22"/>
        <v>7.1410000000000006E-3</v>
      </c>
      <c r="R61" s="133">
        <f t="shared" si="22"/>
        <v>7.194826348352625E-3</v>
      </c>
      <c r="T61" s="101"/>
    </row>
    <row r="62" spans="1:23">
      <c r="A62" s="129" t="str">
        <f t="shared" si="0"/>
        <v>Egypt</v>
      </c>
      <c r="B62" s="129" t="s">
        <v>34</v>
      </c>
      <c r="C62" s="4" t="s">
        <v>44</v>
      </c>
      <c r="D62" s="2" t="s">
        <v>39</v>
      </c>
      <c r="E62" s="139" t="s">
        <v>320</v>
      </c>
      <c r="F62" s="701">
        <v>70.810272194893557</v>
      </c>
      <c r="G62" s="140">
        <v>73.509087445844614</v>
      </c>
      <c r="H62" s="140">
        <v>65.505085358637899</v>
      </c>
      <c r="I62" s="140">
        <v>67.616773829779433</v>
      </c>
      <c r="J62" s="140">
        <v>70.165751234625802</v>
      </c>
      <c r="K62" s="140">
        <f>J62*(1+(((J62/G62)^(1/3))-1))*1.041</f>
        <v>71.917948689629242</v>
      </c>
      <c r="M62" s="133">
        <f t="shared" si="22"/>
        <v>1.1457586572791396E-2</v>
      </c>
      <c r="N62" s="133">
        <f t="shared" si="22"/>
        <v>1.1599999999999999E-2</v>
      </c>
      <c r="O62" s="133">
        <f t="shared" si="22"/>
        <v>1.1466E-2</v>
      </c>
      <c r="P62" s="133">
        <f t="shared" si="22"/>
        <v>1.1504761155593951E-2</v>
      </c>
      <c r="Q62" s="133">
        <f t="shared" si="22"/>
        <v>1.1662E-2</v>
      </c>
      <c r="R62" s="133">
        <f t="shared" si="22"/>
        <v>1.1803129103929232E-2</v>
      </c>
      <c r="T62" s="101"/>
    </row>
    <row r="63" spans="1:23">
      <c r="A63" s="129" t="str">
        <f t="shared" si="0"/>
        <v>Egypt</v>
      </c>
      <c r="B63" s="129" t="s">
        <v>34</v>
      </c>
      <c r="C63" s="4" t="s">
        <v>44</v>
      </c>
      <c r="D63" s="2" t="s">
        <v>40</v>
      </c>
      <c r="E63" s="139" t="s">
        <v>320</v>
      </c>
      <c r="F63" s="701">
        <v>4951.1806866541156</v>
      </c>
      <c r="G63" s="140">
        <v>5074.6618298821004</v>
      </c>
      <c r="H63" s="140">
        <v>4576.6722379910016</v>
      </c>
      <c r="I63" s="140">
        <v>4708.8816933916114</v>
      </c>
      <c r="J63" s="140">
        <v>4818.6971444108085</v>
      </c>
      <c r="K63" s="140">
        <f>J63*(1+(((J63/G63)^(1/3))-1))*1.041</f>
        <v>4930.4648792953049</v>
      </c>
      <c r="M63" s="133">
        <f t="shared" si="22"/>
        <v>0.80113491441942553</v>
      </c>
      <c r="N63" s="133">
        <f t="shared" si="22"/>
        <v>0.80079999999999996</v>
      </c>
      <c r="O63" s="133">
        <f t="shared" si="22"/>
        <v>0.80110000000000003</v>
      </c>
      <c r="P63" s="133">
        <f t="shared" si="22"/>
        <v>0.80120000000000002</v>
      </c>
      <c r="Q63" s="133">
        <f t="shared" si="22"/>
        <v>0.80089851685913538</v>
      </c>
      <c r="R63" s="133">
        <f t="shared" si="22"/>
        <v>0.80918483595602331</v>
      </c>
      <c r="T63" s="101"/>
    </row>
    <row r="64" spans="1:23">
      <c r="A64" s="129" t="str">
        <f t="shared" si="0"/>
        <v>Egypt</v>
      </c>
      <c r="B64" s="129" t="s">
        <v>34</v>
      </c>
      <c r="C64" s="4" t="s">
        <v>44</v>
      </c>
      <c r="D64" s="2" t="s">
        <v>41</v>
      </c>
      <c r="E64" s="139" t="s">
        <v>320</v>
      </c>
      <c r="F64" s="701">
        <v>1054.0327162759868</v>
      </c>
      <c r="G64" s="140">
        <v>1079.8231466182692</v>
      </c>
      <c r="H64" s="140">
        <v>975.03799674702668</v>
      </c>
      <c r="I64" s="140">
        <v>1001.9787640149408</v>
      </c>
      <c r="J64" s="140">
        <v>1025.6539755352453</v>
      </c>
      <c r="K64" s="140">
        <f>J64*(1+(((J64/G64)^(1/3))-1))*1.041</f>
        <v>1049.544866969534</v>
      </c>
      <c r="M64" s="133">
        <f t="shared" si="22"/>
        <v>0.17054970589644891</v>
      </c>
      <c r="N64" s="133">
        <f t="shared" si="22"/>
        <v>0.1704</v>
      </c>
      <c r="O64" s="133">
        <f t="shared" si="22"/>
        <v>0.17067049999999998</v>
      </c>
      <c r="P64" s="133">
        <f t="shared" si="22"/>
        <v>0.17048323529881629</v>
      </c>
      <c r="Q64" s="133">
        <f t="shared" si="22"/>
        <v>0.17047029999999999</v>
      </c>
      <c r="R64" s="133">
        <f t="shared" si="22"/>
        <v>0.17225065217959992</v>
      </c>
      <c r="T64" s="101"/>
    </row>
    <row r="65" spans="1:20">
      <c r="A65" s="129" t="str">
        <f t="shared" si="0"/>
        <v>Egypt</v>
      </c>
      <c r="B65" s="129" t="s">
        <v>34</v>
      </c>
      <c r="C65" s="4" t="s">
        <v>44</v>
      </c>
      <c r="D65" s="2" t="s">
        <v>42</v>
      </c>
      <c r="E65" s="139" t="s">
        <v>320</v>
      </c>
      <c r="F65" s="701">
        <v>25.791706645729789</v>
      </c>
      <c r="G65" s="140">
        <v>26.615359247633279</v>
      </c>
      <c r="H65" s="140">
        <v>23.651757664813896</v>
      </c>
      <c r="I65" s="140">
        <v>24.204502431602361</v>
      </c>
      <c r="J65" s="140">
        <v>25.091677768140634</v>
      </c>
      <c r="K65" s="140">
        <f>J65*(1+(((J65/G65)^(1/3))-1))*1.041</f>
        <v>25.612160860955388</v>
      </c>
      <c r="M65" s="133">
        <f t="shared" si="22"/>
        <v>4.173274619537458E-3</v>
      </c>
      <c r="N65" s="133">
        <f t="shared" si="22"/>
        <v>4.1999999999999815E-3</v>
      </c>
      <c r="O65" s="133">
        <f t="shared" si="22"/>
        <v>4.1399999999999276E-3</v>
      </c>
      <c r="P65" s="133">
        <f t="shared" si="22"/>
        <v>4.1183127143362341E-3</v>
      </c>
      <c r="Q65" s="133">
        <f t="shared" si="22"/>
        <v>4.1703985346579269E-3</v>
      </c>
      <c r="R65" s="133">
        <f t="shared" si="22"/>
        <v>4.2034519446193927E-3</v>
      </c>
      <c r="T65" s="101"/>
    </row>
    <row r="66" spans="1:20">
      <c r="A66" s="125" t="str">
        <f t="shared" si="0"/>
        <v>Egypt</v>
      </c>
      <c r="B66" s="125" t="s">
        <v>34</v>
      </c>
      <c r="C66" s="134" t="s">
        <v>45</v>
      </c>
      <c r="D66" s="135"/>
      <c r="E66" s="136" t="s">
        <v>320</v>
      </c>
      <c r="F66" s="136"/>
      <c r="G66" s="137"/>
      <c r="H66" s="137"/>
      <c r="I66" s="137"/>
      <c r="J66" s="137"/>
      <c r="K66" s="137"/>
      <c r="M66" s="141"/>
      <c r="N66" s="141"/>
      <c r="O66" s="141"/>
      <c r="P66" s="141"/>
      <c r="Q66" s="141"/>
      <c r="R66" s="141"/>
    </row>
    <row r="67" spans="1:20">
      <c r="A67" s="129" t="str">
        <f t="shared" si="0"/>
        <v>Egypt</v>
      </c>
      <c r="B67" s="129" t="s">
        <v>34</v>
      </c>
      <c r="C67" s="4" t="s">
        <v>45</v>
      </c>
      <c r="D67" s="2" t="s">
        <v>46</v>
      </c>
      <c r="E67" s="139" t="s">
        <v>320</v>
      </c>
      <c r="F67" s="139"/>
      <c r="G67" s="140"/>
      <c r="H67" s="140"/>
      <c r="I67" s="140"/>
      <c r="J67" s="140"/>
      <c r="K67" s="140"/>
      <c r="M67" s="133">
        <f t="shared" ref="M67:R67" si="23">1-M26</f>
        <v>0</v>
      </c>
      <c r="N67" s="133">
        <f t="shared" si="23"/>
        <v>0</v>
      </c>
      <c r="O67" s="133">
        <f t="shared" si="23"/>
        <v>0</v>
      </c>
      <c r="P67" s="133">
        <f t="shared" si="23"/>
        <v>0</v>
      </c>
      <c r="Q67" s="133">
        <f t="shared" si="23"/>
        <v>0</v>
      </c>
      <c r="R67" s="133">
        <f t="shared" si="23"/>
        <v>0</v>
      </c>
    </row>
    <row r="68" spans="1:20">
      <c r="A68" s="129" t="str">
        <f t="shared" si="0"/>
        <v>Egypt</v>
      </c>
      <c r="B68" s="129" t="s">
        <v>34</v>
      </c>
      <c r="C68" s="4" t="s">
        <v>45</v>
      </c>
      <c r="D68" s="2" t="s">
        <v>47</v>
      </c>
      <c r="E68" s="139" t="s">
        <v>320</v>
      </c>
      <c r="F68" s="139"/>
      <c r="G68" s="140"/>
      <c r="H68" s="140"/>
      <c r="I68" s="140"/>
      <c r="J68" s="140"/>
      <c r="K68" s="140"/>
    </row>
    <row r="69" spans="1:20">
      <c r="A69" s="142" t="str">
        <f t="shared" si="0"/>
        <v>Egypt</v>
      </c>
      <c r="B69" s="142" t="s">
        <v>34</v>
      </c>
      <c r="C69" s="134" t="s">
        <v>322</v>
      </c>
      <c r="D69" s="134"/>
      <c r="E69" s="136" t="s">
        <v>320</v>
      </c>
      <c r="F69" s="136"/>
      <c r="G69" s="137"/>
      <c r="H69" s="137"/>
      <c r="I69" s="137"/>
      <c r="J69" s="137"/>
      <c r="K69" s="137"/>
      <c r="M69" s="141"/>
      <c r="N69" s="141"/>
      <c r="O69" s="141"/>
      <c r="P69" s="141"/>
      <c r="Q69" s="141"/>
      <c r="R69" s="141"/>
    </row>
    <row r="70" spans="1:20">
      <c r="A70" s="129" t="str">
        <f t="shared" si="0"/>
        <v>Egypt</v>
      </c>
      <c r="B70" s="129" t="s">
        <v>34</v>
      </c>
      <c r="C70" s="4" t="s">
        <v>322</v>
      </c>
      <c r="D70" s="2" t="s">
        <v>36</v>
      </c>
      <c r="E70" s="139" t="s">
        <v>320</v>
      </c>
      <c r="F70" s="139"/>
      <c r="G70" s="140"/>
      <c r="H70" s="140"/>
      <c r="I70" s="140"/>
      <c r="J70" s="140"/>
      <c r="K70" s="140"/>
      <c r="M70" s="133" t="e">
        <f t="shared" ref="M70:R76" si="24">F70/F$69</f>
        <v>#DIV/0!</v>
      </c>
      <c r="N70" s="133" t="e">
        <f t="shared" si="24"/>
        <v>#DIV/0!</v>
      </c>
      <c r="O70" s="133" t="e">
        <f t="shared" si="24"/>
        <v>#DIV/0!</v>
      </c>
      <c r="P70" s="133" t="e">
        <f t="shared" si="24"/>
        <v>#DIV/0!</v>
      </c>
      <c r="Q70" s="133" t="e">
        <f t="shared" si="24"/>
        <v>#DIV/0!</v>
      </c>
      <c r="R70" s="133" t="e">
        <f t="shared" si="24"/>
        <v>#DIV/0!</v>
      </c>
    </row>
    <row r="71" spans="1:20">
      <c r="A71" s="129" t="str">
        <f t="shared" si="0"/>
        <v>Egypt</v>
      </c>
      <c r="B71" s="129" t="s">
        <v>34</v>
      </c>
      <c r="C71" s="4" t="s">
        <v>322</v>
      </c>
      <c r="D71" s="2" t="s">
        <v>37</v>
      </c>
      <c r="E71" s="139" t="s">
        <v>320</v>
      </c>
      <c r="F71" s="139"/>
      <c r="G71" s="140"/>
      <c r="H71" s="140"/>
      <c r="I71" s="140"/>
      <c r="J71" s="140"/>
      <c r="K71" s="140"/>
      <c r="M71" s="133" t="e">
        <f t="shared" si="24"/>
        <v>#DIV/0!</v>
      </c>
      <c r="N71" s="133" t="e">
        <f t="shared" si="24"/>
        <v>#DIV/0!</v>
      </c>
      <c r="O71" s="133" t="e">
        <f t="shared" si="24"/>
        <v>#DIV/0!</v>
      </c>
      <c r="P71" s="133" t="e">
        <f t="shared" si="24"/>
        <v>#DIV/0!</v>
      </c>
      <c r="Q71" s="133" t="e">
        <f t="shared" si="24"/>
        <v>#DIV/0!</v>
      </c>
      <c r="R71" s="133" t="e">
        <f t="shared" si="24"/>
        <v>#DIV/0!</v>
      </c>
    </row>
    <row r="72" spans="1:20">
      <c r="A72" s="129" t="str">
        <f t="shared" si="0"/>
        <v>Egypt</v>
      </c>
      <c r="B72" s="129" t="s">
        <v>34</v>
      </c>
      <c r="C72" s="4" t="s">
        <v>322</v>
      </c>
      <c r="D72" s="2" t="s">
        <v>38</v>
      </c>
      <c r="E72" s="139" t="s">
        <v>320</v>
      </c>
      <c r="F72" s="139"/>
      <c r="G72" s="140"/>
      <c r="H72" s="140"/>
      <c r="I72" s="140"/>
      <c r="J72" s="140"/>
      <c r="K72" s="140"/>
      <c r="M72" s="133" t="e">
        <f t="shared" si="24"/>
        <v>#DIV/0!</v>
      </c>
      <c r="N72" s="133" t="e">
        <f t="shared" si="24"/>
        <v>#DIV/0!</v>
      </c>
      <c r="O72" s="133" t="e">
        <f t="shared" si="24"/>
        <v>#DIV/0!</v>
      </c>
      <c r="P72" s="133" t="e">
        <f t="shared" si="24"/>
        <v>#DIV/0!</v>
      </c>
      <c r="Q72" s="133" t="e">
        <f t="shared" si="24"/>
        <v>#DIV/0!</v>
      </c>
      <c r="R72" s="133" t="e">
        <f t="shared" si="24"/>
        <v>#DIV/0!</v>
      </c>
    </row>
    <row r="73" spans="1:20">
      <c r="A73" s="129" t="str">
        <f t="shared" si="0"/>
        <v>Egypt</v>
      </c>
      <c r="B73" s="129" t="s">
        <v>34</v>
      </c>
      <c r="C73" s="4" t="s">
        <v>322</v>
      </c>
      <c r="D73" s="2" t="s">
        <v>39</v>
      </c>
      <c r="E73" s="139" t="s">
        <v>320</v>
      </c>
      <c r="F73" s="139"/>
      <c r="G73" s="140"/>
      <c r="H73" s="140"/>
      <c r="I73" s="140"/>
      <c r="J73" s="140"/>
      <c r="K73" s="140"/>
      <c r="M73" s="133" t="e">
        <f t="shared" si="24"/>
        <v>#DIV/0!</v>
      </c>
      <c r="N73" s="133" t="e">
        <f t="shared" si="24"/>
        <v>#DIV/0!</v>
      </c>
      <c r="O73" s="133" t="e">
        <f t="shared" si="24"/>
        <v>#DIV/0!</v>
      </c>
      <c r="P73" s="133" t="e">
        <f t="shared" si="24"/>
        <v>#DIV/0!</v>
      </c>
      <c r="Q73" s="133" t="e">
        <f t="shared" si="24"/>
        <v>#DIV/0!</v>
      </c>
      <c r="R73" s="133" t="e">
        <f t="shared" si="24"/>
        <v>#DIV/0!</v>
      </c>
    </row>
    <row r="74" spans="1:20">
      <c r="A74" s="129" t="str">
        <f t="shared" si="0"/>
        <v>Egypt</v>
      </c>
      <c r="B74" s="129" t="s">
        <v>34</v>
      </c>
      <c r="C74" s="4" t="s">
        <v>322</v>
      </c>
      <c r="D74" s="2" t="s">
        <v>40</v>
      </c>
      <c r="E74" s="139" t="s">
        <v>320</v>
      </c>
      <c r="F74" s="139"/>
      <c r="G74" s="140"/>
      <c r="H74" s="140"/>
      <c r="I74" s="140"/>
      <c r="J74" s="140"/>
      <c r="K74" s="140"/>
      <c r="M74" s="133" t="e">
        <f t="shared" si="24"/>
        <v>#DIV/0!</v>
      </c>
      <c r="N74" s="133" t="e">
        <f t="shared" si="24"/>
        <v>#DIV/0!</v>
      </c>
      <c r="O74" s="133" t="e">
        <f t="shared" si="24"/>
        <v>#DIV/0!</v>
      </c>
      <c r="P74" s="133" t="e">
        <f t="shared" si="24"/>
        <v>#DIV/0!</v>
      </c>
      <c r="Q74" s="133" t="e">
        <f t="shared" si="24"/>
        <v>#DIV/0!</v>
      </c>
      <c r="R74" s="133" t="e">
        <f t="shared" si="24"/>
        <v>#DIV/0!</v>
      </c>
    </row>
    <row r="75" spans="1:20">
      <c r="A75" s="129" t="str">
        <f t="shared" si="0"/>
        <v>Egypt</v>
      </c>
      <c r="B75" s="129" t="s">
        <v>34</v>
      </c>
      <c r="C75" s="4" t="s">
        <v>322</v>
      </c>
      <c r="D75" s="2" t="s">
        <v>41</v>
      </c>
      <c r="E75" s="139" t="s">
        <v>320</v>
      </c>
      <c r="F75" s="139"/>
      <c r="G75" s="140"/>
      <c r="H75" s="140"/>
      <c r="I75" s="140"/>
      <c r="J75" s="140"/>
      <c r="K75" s="140"/>
      <c r="M75" s="133" t="e">
        <f t="shared" si="24"/>
        <v>#DIV/0!</v>
      </c>
      <c r="N75" s="133" t="e">
        <f t="shared" si="24"/>
        <v>#DIV/0!</v>
      </c>
      <c r="O75" s="133" t="e">
        <f t="shared" si="24"/>
        <v>#DIV/0!</v>
      </c>
      <c r="P75" s="133" t="e">
        <f t="shared" si="24"/>
        <v>#DIV/0!</v>
      </c>
      <c r="Q75" s="133" t="e">
        <f t="shared" si="24"/>
        <v>#DIV/0!</v>
      </c>
      <c r="R75" s="133" t="e">
        <f t="shared" si="24"/>
        <v>#DIV/0!</v>
      </c>
    </row>
    <row r="76" spans="1:20">
      <c r="A76" s="129" t="str">
        <f t="shared" si="0"/>
        <v>Egypt</v>
      </c>
      <c r="B76" s="129" t="s">
        <v>34</v>
      </c>
      <c r="C76" s="4" t="s">
        <v>322</v>
      </c>
      <c r="D76" s="2" t="s">
        <v>42</v>
      </c>
      <c r="E76" s="139" t="s">
        <v>320</v>
      </c>
      <c r="F76" s="139"/>
      <c r="G76" s="140"/>
      <c r="H76" s="140"/>
      <c r="I76" s="140"/>
      <c r="J76" s="140"/>
      <c r="K76" s="140"/>
      <c r="M76" s="133" t="e">
        <f t="shared" si="24"/>
        <v>#DIV/0!</v>
      </c>
      <c r="N76" s="133" t="e">
        <f t="shared" si="24"/>
        <v>#DIV/0!</v>
      </c>
      <c r="O76" s="133" t="e">
        <f t="shared" si="24"/>
        <v>#DIV/0!</v>
      </c>
      <c r="P76" s="133" t="e">
        <f t="shared" si="24"/>
        <v>#DIV/0!</v>
      </c>
      <c r="Q76" s="133" t="e">
        <f t="shared" si="24"/>
        <v>#DIV/0!</v>
      </c>
      <c r="R76" s="133" t="e">
        <f t="shared" si="24"/>
        <v>#DIV/0!</v>
      </c>
    </row>
    <row r="77" spans="1:20">
      <c r="A77" s="125" t="str">
        <f t="shared" si="0"/>
        <v>Egypt</v>
      </c>
      <c r="B77" s="125" t="s">
        <v>34</v>
      </c>
      <c r="C77" s="134" t="s">
        <v>323</v>
      </c>
      <c r="D77" s="134"/>
      <c r="E77" s="136" t="s">
        <v>320</v>
      </c>
      <c r="F77" s="136"/>
      <c r="G77" s="137"/>
      <c r="H77" s="137"/>
      <c r="I77" s="137"/>
      <c r="J77" s="137"/>
      <c r="K77" s="137"/>
      <c r="M77" s="138" t="e">
        <f t="shared" ref="M77:R77" si="25">F77/F69</f>
        <v>#DIV/0!</v>
      </c>
      <c r="N77" s="138" t="e">
        <f t="shared" si="25"/>
        <v>#DIV/0!</v>
      </c>
      <c r="O77" s="138" t="e">
        <f t="shared" si="25"/>
        <v>#DIV/0!</v>
      </c>
      <c r="P77" s="138" t="e">
        <f t="shared" si="25"/>
        <v>#DIV/0!</v>
      </c>
      <c r="Q77" s="138" t="e">
        <f t="shared" si="25"/>
        <v>#DIV/0!</v>
      </c>
      <c r="R77" s="138" t="e">
        <f t="shared" si="25"/>
        <v>#DIV/0!</v>
      </c>
    </row>
    <row r="78" spans="1:20">
      <c r="A78" s="129" t="str">
        <f t="shared" si="0"/>
        <v>Egypt</v>
      </c>
      <c r="B78" s="129" t="s">
        <v>34</v>
      </c>
      <c r="C78" s="4" t="s">
        <v>323</v>
      </c>
      <c r="D78" s="2" t="s">
        <v>36</v>
      </c>
      <c r="E78" s="139" t="s">
        <v>320</v>
      </c>
      <c r="F78" s="139"/>
      <c r="G78" s="140"/>
      <c r="H78" s="140"/>
      <c r="I78" s="140"/>
      <c r="J78" s="140"/>
      <c r="K78" s="140"/>
      <c r="M78" s="133" t="e">
        <f t="shared" ref="M78:R84" si="26">F78/F$77</f>
        <v>#DIV/0!</v>
      </c>
      <c r="N78" s="133" t="e">
        <f t="shared" si="26"/>
        <v>#DIV/0!</v>
      </c>
      <c r="O78" s="133" t="e">
        <f t="shared" si="26"/>
        <v>#DIV/0!</v>
      </c>
      <c r="P78" s="133" t="e">
        <f t="shared" si="26"/>
        <v>#DIV/0!</v>
      </c>
      <c r="Q78" s="133" t="e">
        <f t="shared" si="26"/>
        <v>#DIV/0!</v>
      </c>
      <c r="R78" s="133" t="e">
        <f t="shared" si="26"/>
        <v>#DIV/0!</v>
      </c>
    </row>
    <row r="79" spans="1:20">
      <c r="A79" s="129" t="str">
        <f t="shared" si="0"/>
        <v>Egypt</v>
      </c>
      <c r="B79" s="129" t="s">
        <v>34</v>
      </c>
      <c r="C79" s="4" t="s">
        <v>323</v>
      </c>
      <c r="D79" s="2" t="s">
        <v>37</v>
      </c>
      <c r="E79" s="139" t="s">
        <v>320</v>
      </c>
      <c r="F79" s="139"/>
      <c r="G79" s="140"/>
      <c r="H79" s="140"/>
      <c r="I79" s="140"/>
      <c r="J79" s="140"/>
      <c r="K79" s="140"/>
      <c r="M79" s="133" t="e">
        <f t="shared" si="26"/>
        <v>#DIV/0!</v>
      </c>
      <c r="N79" s="133" t="e">
        <f t="shared" si="26"/>
        <v>#DIV/0!</v>
      </c>
      <c r="O79" s="133" t="e">
        <f t="shared" si="26"/>
        <v>#DIV/0!</v>
      </c>
      <c r="P79" s="133" t="e">
        <f t="shared" si="26"/>
        <v>#DIV/0!</v>
      </c>
      <c r="Q79" s="133" t="e">
        <f t="shared" si="26"/>
        <v>#DIV/0!</v>
      </c>
      <c r="R79" s="133" t="e">
        <f t="shared" si="26"/>
        <v>#DIV/0!</v>
      </c>
    </row>
    <row r="80" spans="1:20">
      <c r="A80" s="129" t="str">
        <f t="shared" si="0"/>
        <v>Egypt</v>
      </c>
      <c r="B80" s="129" t="s">
        <v>34</v>
      </c>
      <c r="C80" s="4" t="s">
        <v>323</v>
      </c>
      <c r="D80" s="2" t="s">
        <v>38</v>
      </c>
      <c r="E80" s="139" t="s">
        <v>320</v>
      </c>
      <c r="F80" s="139"/>
      <c r="G80" s="140"/>
      <c r="H80" s="140"/>
      <c r="I80" s="140"/>
      <c r="J80" s="140"/>
      <c r="K80" s="140"/>
      <c r="M80" s="133" t="e">
        <f t="shared" si="26"/>
        <v>#DIV/0!</v>
      </c>
      <c r="N80" s="133" t="e">
        <f t="shared" si="26"/>
        <v>#DIV/0!</v>
      </c>
      <c r="O80" s="133" t="e">
        <f t="shared" si="26"/>
        <v>#DIV/0!</v>
      </c>
      <c r="P80" s="133" t="e">
        <f t="shared" si="26"/>
        <v>#DIV/0!</v>
      </c>
      <c r="Q80" s="133" t="e">
        <f t="shared" si="26"/>
        <v>#DIV/0!</v>
      </c>
      <c r="R80" s="133" t="e">
        <f t="shared" si="26"/>
        <v>#DIV/0!</v>
      </c>
    </row>
    <row r="81" spans="1:18">
      <c r="A81" s="129" t="str">
        <f t="shared" si="0"/>
        <v>Egypt</v>
      </c>
      <c r="B81" s="129" t="s">
        <v>34</v>
      </c>
      <c r="C81" s="4" t="s">
        <v>323</v>
      </c>
      <c r="D81" s="2" t="s">
        <v>39</v>
      </c>
      <c r="E81" s="139" t="s">
        <v>320</v>
      </c>
      <c r="F81" s="139"/>
      <c r="G81" s="140"/>
      <c r="H81" s="140"/>
      <c r="I81" s="140"/>
      <c r="J81" s="140"/>
      <c r="K81" s="140"/>
      <c r="M81" s="133" t="e">
        <f t="shared" si="26"/>
        <v>#DIV/0!</v>
      </c>
      <c r="N81" s="133" t="e">
        <f t="shared" si="26"/>
        <v>#DIV/0!</v>
      </c>
      <c r="O81" s="133" t="e">
        <f t="shared" si="26"/>
        <v>#DIV/0!</v>
      </c>
      <c r="P81" s="133" t="e">
        <f t="shared" si="26"/>
        <v>#DIV/0!</v>
      </c>
      <c r="Q81" s="133" t="e">
        <f t="shared" si="26"/>
        <v>#DIV/0!</v>
      </c>
      <c r="R81" s="133" t="e">
        <f t="shared" si="26"/>
        <v>#DIV/0!</v>
      </c>
    </row>
    <row r="82" spans="1:18">
      <c r="A82" s="129" t="str">
        <f t="shared" si="0"/>
        <v>Egypt</v>
      </c>
      <c r="B82" s="129" t="s">
        <v>34</v>
      </c>
      <c r="C82" s="4" t="s">
        <v>323</v>
      </c>
      <c r="D82" s="2" t="s">
        <v>40</v>
      </c>
      <c r="E82" s="139" t="s">
        <v>320</v>
      </c>
      <c r="F82" s="139"/>
      <c r="G82" s="140"/>
      <c r="H82" s="140"/>
      <c r="I82" s="140"/>
      <c r="J82" s="140"/>
      <c r="K82" s="140"/>
      <c r="M82" s="133" t="e">
        <f t="shared" si="26"/>
        <v>#DIV/0!</v>
      </c>
      <c r="N82" s="133" t="e">
        <f t="shared" si="26"/>
        <v>#DIV/0!</v>
      </c>
      <c r="O82" s="133" t="e">
        <f t="shared" si="26"/>
        <v>#DIV/0!</v>
      </c>
      <c r="P82" s="133" t="e">
        <f t="shared" si="26"/>
        <v>#DIV/0!</v>
      </c>
      <c r="Q82" s="133" t="e">
        <f t="shared" si="26"/>
        <v>#DIV/0!</v>
      </c>
      <c r="R82" s="133" t="e">
        <f t="shared" si="26"/>
        <v>#DIV/0!</v>
      </c>
    </row>
    <row r="83" spans="1:18">
      <c r="A83" s="129" t="str">
        <f t="shared" si="0"/>
        <v>Egypt</v>
      </c>
      <c r="B83" s="129" t="s">
        <v>34</v>
      </c>
      <c r="C83" s="4" t="s">
        <v>323</v>
      </c>
      <c r="D83" s="2" t="s">
        <v>41</v>
      </c>
      <c r="E83" s="139" t="s">
        <v>320</v>
      </c>
      <c r="F83" s="139"/>
      <c r="G83" s="140"/>
      <c r="H83" s="140"/>
      <c r="I83" s="140"/>
      <c r="J83" s="140"/>
      <c r="K83" s="140"/>
      <c r="M83" s="133" t="e">
        <f t="shared" si="26"/>
        <v>#DIV/0!</v>
      </c>
      <c r="N83" s="133" t="e">
        <f t="shared" si="26"/>
        <v>#DIV/0!</v>
      </c>
      <c r="O83" s="133" t="e">
        <f t="shared" si="26"/>
        <v>#DIV/0!</v>
      </c>
      <c r="P83" s="133" t="e">
        <f t="shared" si="26"/>
        <v>#DIV/0!</v>
      </c>
      <c r="Q83" s="133" t="e">
        <f t="shared" si="26"/>
        <v>#DIV/0!</v>
      </c>
      <c r="R83" s="133" t="e">
        <f t="shared" si="26"/>
        <v>#DIV/0!</v>
      </c>
    </row>
    <row r="84" spans="1:18">
      <c r="A84" s="129" t="str">
        <f t="shared" si="0"/>
        <v>Egypt</v>
      </c>
      <c r="B84" s="129" t="s">
        <v>34</v>
      </c>
      <c r="C84" s="4" t="s">
        <v>323</v>
      </c>
      <c r="D84" s="2" t="s">
        <v>42</v>
      </c>
      <c r="E84" s="139" t="s">
        <v>320</v>
      </c>
      <c r="F84" s="139"/>
      <c r="G84" s="140"/>
      <c r="H84" s="140"/>
      <c r="I84" s="140"/>
      <c r="J84" s="140"/>
      <c r="K84" s="140"/>
      <c r="M84" s="133" t="e">
        <f t="shared" si="26"/>
        <v>#DIV/0!</v>
      </c>
      <c r="N84" s="133" t="e">
        <f t="shared" si="26"/>
        <v>#DIV/0!</v>
      </c>
      <c r="O84" s="133" t="e">
        <f t="shared" si="26"/>
        <v>#DIV/0!</v>
      </c>
      <c r="P84" s="133" t="e">
        <f t="shared" si="26"/>
        <v>#DIV/0!</v>
      </c>
      <c r="Q84" s="133" t="e">
        <f t="shared" si="26"/>
        <v>#DIV/0!</v>
      </c>
      <c r="R84" s="133" t="e">
        <f t="shared" si="26"/>
        <v>#DIV/0!</v>
      </c>
    </row>
    <row r="85" spans="1:18">
      <c r="A85" s="122" t="str">
        <f t="shared" si="0"/>
        <v>Egypt</v>
      </c>
      <c r="B85" s="122" t="s">
        <v>324</v>
      </c>
      <c r="C85" s="123"/>
      <c r="D85" s="123"/>
      <c r="E85" s="144"/>
      <c r="F85" s="144"/>
      <c r="G85" s="145"/>
      <c r="H85" s="145"/>
      <c r="I85" s="145"/>
      <c r="J85" s="145"/>
      <c r="K85" s="145"/>
      <c r="M85" s="146"/>
      <c r="N85" s="146"/>
      <c r="O85" s="146"/>
      <c r="P85" s="146"/>
      <c r="Q85" s="146"/>
      <c r="R85" s="146"/>
    </row>
    <row r="86" spans="1:18">
      <c r="A86" s="125" t="str">
        <f t="shared" si="0"/>
        <v>Egypt</v>
      </c>
      <c r="B86" s="125" t="s">
        <v>324</v>
      </c>
      <c r="C86" s="134" t="s">
        <v>315</v>
      </c>
      <c r="D86" s="135"/>
      <c r="E86" s="136" t="s">
        <v>200</v>
      </c>
      <c r="F86" s="136"/>
      <c r="G86" s="137"/>
      <c r="H86" s="137"/>
      <c r="I86" s="137"/>
      <c r="J86" s="137"/>
      <c r="K86" s="137"/>
      <c r="M86" s="143"/>
      <c r="N86" s="143"/>
      <c r="O86" s="143"/>
      <c r="P86" s="143"/>
      <c r="Q86" s="143"/>
      <c r="R86" s="143"/>
    </row>
    <row r="87" spans="1:18">
      <c r="A87" s="129" t="str">
        <f t="shared" si="0"/>
        <v>Egypt</v>
      </c>
      <c r="B87" s="129" t="s">
        <v>324</v>
      </c>
      <c r="C87" s="4" t="s">
        <v>315</v>
      </c>
      <c r="D87" s="2" t="s">
        <v>36</v>
      </c>
      <c r="E87" s="139" t="s">
        <v>200</v>
      </c>
      <c r="F87" s="139"/>
      <c r="G87" s="140"/>
      <c r="H87" s="140"/>
      <c r="I87" s="140"/>
      <c r="J87" s="140"/>
      <c r="K87" s="140"/>
      <c r="M87" s="133" t="e">
        <f t="shared" ref="M87:R93" si="27">F87/F$86</f>
        <v>#DIV/0!</v>
      </c>
      <c r="N87" s="133" t="e">
        <f t="shared" si="27"/>
        <v>#DIV/0!</v>
      </c>
      <c r="O87" s="133" t="e">
        <f t="shared" si="27"/>
        <v>#DIV/0!</v>
      </c>
      <c r="P87" s="133" t="e">
        <f t="shared" si="27"/>
        <v>#DIV/0!</v>
      </c>
      <c r="Q87" s="133" t="e">
        <f t="shared" si="27"/>
        <v>#DIV/0!</v>
      </c>
      <c r="R87" s="133" t="e">
        <f t="shared" si="27"/>
        <v>#DIV/0!</v>
      </c>
    </row>
    <row r="88" spans="1:18">
      <c r="A88" s="129" t="str">
        <f t="shared" si="0"/>
        <v>Egypt</v>
      </c>
      <c r="B88" s="129" t="s">
        <v>324</v>
      </c>
      <c r="C88" s="4" t="s">
        <v>315</v>
      </c>
      <c r="D88" s="2" t="s">
        <v>37</v>
      </c>
      <c r="E88" s="139" t="s">
        <v>200</v>
      </c>
      <c r="F88" s="139"/>
      <c r="G88" s="140"/>
      <c r="H88" s="140"/>
      <c r="I88" s="140"/>
      <c r="J88" s="140"/>
      <c r="K88" s="140"/>
      <c r="M88" s="133" t="e">
        <f t="shared" si="27"/>
        <v>#DIV/0!</v>
      </c>
      <c r="N88" s="133" t="e">
        <f t="shared" si="27"/>
        <v>#DIV/0!</v>
      </c>
      <c r="O88" s="133" t="e">
        <f t="shared" si="27"/>
        <v>#DIV/0!</v>
      </c>
      <c r="P88" s="133" t="e">
        <f t="shared" si="27"/>
        <v>#DIV/0!</v>
      </c>
      <c r="Q88" s="133" t="e">
        <f t="shared" si="27"/>
        <v>#DIV/0!</v>
      </c>
      <c r="R88" s="133" t="e">
        <f t="shared" si="27"/>
        <v>#DIV/0!</v>
      </c>
    </row>
    <row r="89" spans="1:18">
      <c r="A89" s="129" t="str">
        <f t="shared" ref="A89:A110" si="28">$A$23</f>
        <v>Egypt</v>
      </c>
      <c r="B89" s="129" t="s">
        <v>324</v>
      </c>
      <c r="C89" s="4" t="s">
        <v>315</v>
      </c>
      <c r="D89" s="2" t="s">
        <v>38</v>
      </c>
      <c r="E89" s="139" t="s">
        <v>200</v>
      </c>
      <c r="F89" s="139"/>
      <c r="G89" s="140"/>
      <c r="H89" s="140"/>
      <c r="I89" s="140"/>
      <c r="J89" s="140"/>
      <c r="K89" s="140"/>
      <c r="M89" s="133" t="e">
        <f t="shared" si="27"/>
        <v>#DIV/0!</v>
      </c>
      <c r="N89" s="133" t="e">
        <f t="shared" si="27"/>
        <v>#DIV/0!</v>
      </c>
      <c r="O89" s="133" t="e">
        <f t="shared" si="27"/>
        <v>#DIV/0!</v>
      </c>
      <c r="P89" s="133" t="e">
        <f t="shared" si="27"/>
        <v>#DIV/0!</v>
      </c>
      <c r="Q89" s="133" t="e">
        <f t="shared" si="27"/>
        <v>#DIV/0!</v>
      </c>
      <c r="R89" s="133" t="e">
        <f t="shared" si="27"/>
        <v>#DIV/0!</v>
      </c>
    </row>
    <row r="90" spans="1:18">
      <c r="A90" s="129" t="str">
        <f t="shared" si="28"/>
        <v>Egypt</v>
      </c>
      <c r="B90" s="129" t="s">
        <v>324</v>
      </c>
      <c r="C90" s="4" t="s">
        <v>315</v>
      </c>
      <c r="D90" s="2" t="s">
        <v>39</v>
      </c>
      <c r="E90" s="139" t="s">
        <v>200</v>
      </c>
      <c r="F90" s="139"/>
      <c r="G90" s="140"/>
      <c r="H90" s="140"/>
      <c r="I90" s="140"/>
      <c r="J90" s="140"/>
      <c r="K90" s="140"/>
      <c r="M90" s="133" t="e">
        <f t="shared" si="27"/>
        <v>#DIV/0!</v>
      </c>
      <c r="N90" s="133" t="e">
        <f t="shared" si="27"/>
        <v>#DIV/0!</v>
      </c>
      <c r="O90" s="133" t="e">
        <f t="shared" si="27"/>
        <v>#DIV/0!</v>
      </c>
      <c r="P90" s="133" t="e">
        <f t="shared" si="27"/>
        <v>#DIV/0!</v>
      </c>
      <c r="Q90" s="133" t="e">
        <f t="shared" si="27"/>
        <v>#DIV/0!</v>
      </c>
      <c r="R90" s="133" t="e">
        <f t="shared" si="27"/>
        <v>#DIV/0!</v>
      </c>
    </row>
    <row r="91" spans="1:18">
      <c r="A91" s="129" t="str">
        <f t="shared" si="28"/>
        <v>Egypt</v>
      </c>
      <c r="B91" s="129" t="s">
        <v>324</v>
      </c>
      <c r="C91" s="4" t="s">
        <v>315</v>
      </c>
      <c r="D91" s="2" t="s">
        <v>40</v>
      </c>
      <c r="E91" s="139" t="s">
        <v>200</v>
      </c>
      <c r="F91" s="139"/>
      <c r="G91" s="140"/>
      <c r="H91" s="140"/>
      <c r="I91" s="140"/>
      <c r="J91" s="140"/>
      <c r="K91" s="140"/>
      <c r="M91" s="133" t="e">
        <f t="shared" si="27"/>
        <v>#DIV/0!</v>
      </c>
      <c r="N91" s="133" t="e">
        <f t="shared" si="27"/>
        <v>#DIV/0!</v>
      </c>
      <c r="O91" s="133" t="e">
        <f t="shared" si="27"/>
        <v>#DIV/0!</v>
      </c>
      <c r="P91" s="133" t="e">
        <f t="shared" si="27"/>
        <v>#DIV/0!</v>
      </c>
      <c r="Q91" s="133" t="e">
        <f t="shared" si="27"/>
        <v>#DIV/0!</v>
      </c>
      <c r="R91" s="133" t="e">
        <f t="shared" si="27"/>
        <v>#DIV/0!</v>
      </c>
    </row>
    <row r="92" spans="1:18">
      <c r="A92" s="129" t="str">
        <f t="shared" si="28"/>
        <v>Egypt</v>
      </c>
      <c r="B92" s="129" t="s">
        <v>324</v>
      </c>
      <c r="C92" s="4" t="s">
        <v>315</v>
      </c>
      <c r="D92" s="2" t="s">
        <v>41</v>
      </c>
      <c r="E92" s="139" t="s">
        <v>200</v>
      </c>
      <c r="F92" s="139"/>
      <c r="G92" s="140"/>
      <c r="H92" s="140"/>
      <c r="I92" s="140"/>
      <c r="J92" s="140"/>
      <c r="K92" s="140"/>
      <c r="M92" s="133" t="e">
        <f t="shared" si="27"/>
        <v>#DIV/0!</v>
      </c>
      <c r="N92" s="133" t="e">
        <f t="shared" si="27"/>
        <v>#DIV/0!</v>
      </c>
      <c r="O92" s="133" t="e">
        <f t="shared" si="27"/>
        <v>#DIV/0!</v>
      </c>
      <c r="P92" s="133" t="e">
        <f t="shared" si="27"/>
        <v>#DIV/0!</v>
      </c>
      <c r="Q92" s="133" t="e">
        <f t="shared" si="27"/>
        <v>#DIV/0!</v>
      </c>
      <c r="R92" s="133" t="e">
        <f t="shared" si="27"/>
        <v>#DIV/0!</v>
      </c>
    </row>
    <row r="93" spans="1:18">
      <c r="A93" s="129" t="str">
        <f t="shared" si="28"/>
        <v>Egypt</v>
      </c>
      <c r="B93" s="129" t="s">
        <v>324</v>
      </c>
      <c r="C93" s="4" t="s">
        <v>315</v>
      </c>
      <c r="D93" s="2" t="s">
        <v>42</v>
      </c>
      <c r="E93" s="139" t="s">
        <v>200</v>
      </c>
      <c r="F93" s="139"/>
      <c r="G93" s="140"/>
      <c r="H93" s="140"/>
      <c r="I93" s="140"/>
      <c r="J93" s="140"/>
      <c r="K93" s="140"/>
      <c r="M93" s="133" t="e">
        <f t="shared" si="27"/>
        <v>#DIV/0!</v>
      </c>
      <c r="N93" s="133" t="e">
        <f t="shared" si="27"/>
        <v>#DIV/0!</v>
      </c>
      <c r="O93" s="133" t="e">
        <f t="shared" si="27"/>
        <v>#DIV/0!</v>
      </c>
      <c r="P93" s="133" t="e">
        <f t="shared" si="27"/>
        <v>#DIV/0!</v>
      </c>
      <c r="Q93" s="133" t="e">
        <f t="shared" si="27"/>
        <v>#DIV/0!</v>
      </c>
      <c r="R93" s="133" t="e">
        <f t="shared" si="27"/>
        <v>#DIV/0!</v>
      </c>
    </row>
    <row r="94" spans="1:18">
      <c r="A94" s="125" t="str">
        <f t="shared" si="28"/>
        <v>Egypt</v>
      </c>
      <c r="B94" s="125" t="s">
        <v>324</v>
      </c>
      <c r="C94" s="134" t="s">
        <v>325</v>
      </c>
      <c r="D94" s="134"/>
      <c r="E94" s="136" t="s">
        <v>200</v>
      </c>
      <c r="F94" s="136"/>
      <c r="G94" s="137"/>
      <c r="H94" s="137"/>
      <c r="I94" s="137"/>
      <c r="J94" s="137"/>
      <c r="K94" s="137"/>
      <c r="M94" s="138" t="e">
        <f t="shared" ref="M94:R94" si="29">F94/F86</f>
        <v>#DIV/0!</v>
      </c>
      <c r="N94" s="138" t="e">
        <f t="shared" si="29"/>
        <v>#DIV/0!</v>
      </c>
      <c r="O94" s="138" t="e">
        <f t="shared" si="29"/>
        <v>#DIV/0!</v>
      </c>
      <c r="P94" s="138" t="e">
        <f t="shared" si="29"/>
        <v>#DIV/0!</v>
      </c>
      <c r="Q94" s="138" t="e">
        <f t="shared" si="29"/>
        <v>#DIV/0!</v>
      </c>
      <c r="R94" s="138" t="e">
        <f t="shared" si="29"/>
        <v>#DIV/0!</v>
      </c>
    </row>
    <row r="95" spans="1:18">
      <c r="A95" s="129" t="str">
        <f t="shared" si="28"/>
        <v>Egypt</v>
      </c>
      <c r="B95" s="129" t="s">
        <v>324</v>
      </c>
      <c r="C95" s="4" t="s">
        <v>325</v>
      </c>
      <c r="D95" s="2" t="s">
        <v>36</v>
      </c>
      <c r="E95" s="139" t="s">
        <v>200</v>
      </c>
      <c r="F95" s="139"/>
      <c r="G95" s="140"/>
      <c r="H95" s="140"/>
      <c r="I95" s="140"/>
      <c r="J95" s="140"/>
      <c r="K95" s="140"/>
      <c r="M95" s="133" t="e">
        <f t="shared" ref="M95:R101" si="30">F95/F$94</f>
        <v>#DIV/0!</v>
      </c>
      <c r="N95" s="133" t="e">
        <f t="shared" si="30"/>
        <v>#DIV/0!</v>
      </c>
      <c r="O95" s="133" t="e">
        <f t="shared" si="30"/>
        <v>#DIV/0!</v>
      </c>
      <c r="P95" s="133" t="e">
        <f t="shared" si="30"/>
        <v>#DIV/0!</v>
      </c>
      <c r="Q95" s="133" t="e">
        <f t="shared" si="30"/>
        <v>#DIV/0!</v>
      </c>
      <c r="R95" s="133" t="e">
        <f t="shared" si="30"/>
        <v>#DIV/0!</v>
      </c>
    </row>
    <row r="96" spans="1:18">
      <c r="A96" s="129" t="str">
        <f t="shared" si="28"/>
        <v>Egypt</v>
      </c>
      <c r="B96" s="129" t="s">
        <v>324</v>
      </c>
      <c r="C96" s="4" t="s">
        <v>325</v>
      </c>
      <c r="D96" s="2" t="s">
        <v>37</v>
      </c>
      <c r="E96" s="139" t="s">
        <v>200</v>
      </c>
      <c r="F96" s="139"/>
      <c r="G96" s="140"/>
      <c r="H96" s="140"/>
      <c r="I96" s="140"/>
      <c r="J96" s="140"/>
      <c r="K96" s="140"/>
      <c r="M96" s="133" t="e">
        <f t="shared" si="30"/>
        <v>#DIV/0!</v>
      </c>
      <c r="N96" s="133" t="e">
        <f t="shared" si="30"/>
        <v>#DIV/0!</v>
      </c>
      <c r="O96" s="133" t="e">
        <f t="shared" si="30"/>
        <v>#DIV/0!</v>
      </c>
      <c r="P96" s="133" t="e">
        <f t="shared" si="30"/>
        <v>#DIV/0!</v>
      </c>
      <c r="Q96" s="133" t="e">
        <f t="shared" si="30"/>
        <v>#DIV/0!</v>
      </c>
      <c r="R96" s="133" t="e">
        <f t="shared" si="30"/>
        <v>#DIV/0!</v>
      </c>
    </row>
    <row r="97" spans="1:18">
      <c r="A97" s="129" t="str">
        <f t="shared" si="28"/>
        <v>Egypt</v>
      </c>
      <c r="B97" s="129" t="s">
        <v>324</v>
      </c>
      <c r="C97" s="4" t="s">
        <v>325</v>
      </c>
      <c r="D97" s="2" t="s">
        <v>38</v>
      </c>
      <c r="E97" s="139" t="s">
        <v>200</v>
      </c>
      <c r="F97" s="139"/>
      <c r="G97" s="140"/>
      <c r="H97" s="140"/>
      <c r="I97" s="140"/>
      <c r="J97" s="140"/>
      <c r="K97" s="140"/>
      <c r="M97" s="133" t="e">
        <f t="shared" si="30"/>
        <v>#DIV/0!</v>
      </c>
      <c r="N97" s="133" t="e">
        <f t="shared" si="30"/>
        <v>#DIV/0!</v>
      </c>
      <c r="O97" s="133" t="e">
        <f t="shared" si="30"/>
        <v>#DIV/0!</v>
      </c>
      <c r="P97" s="133" t="e">
        <f t="shared" si="30"/>
        <v>#DIV/0!</v>
      </c>
      <c r="Q97" s="133" t="e">
        <f t="shared" si="30"/>
        <v>#DIV/0!</v>
      </c>
      <c r="R97" s="133" t="e">
        <f t="shared" si="30"/>
        <v>#DIV/0!</v>
      </c>
    </row>
    <row r="98" spans="1:18">
      <c r="A98" s="129" t="str">
        <f t="shared" si="28"/>
        <v>Egypt</v>
      </c>
      <c r="B98" s="129" t="s">
        <v>324</v>
      </c>
      <c r="C98" s="4" t="s">
        <v>325</v>
      </c>
      <c r="D98" s="2" t="s">
        <v>39</v>
      </c>
      <c r="E98" s="139" t="s">
        <v>200</v>
      </c>
      <c r="F98" s="139"/>
      <c r="G98" s="140"/>
      <c r="H98" s="140"/>
      <c r="I98" s="140"/>
      <c r="J98" s="140"/>
      <c r="K98" s="140"/>
      <c r="M98" s="133" t="e">
        <f t="shared" si="30"/>
        <v>#DIV/0!</v>
      </c>
      <c r="N98" s="133" t="e">
        <f t="shared" si="30"/>
        <v>#DIV/0!</v>
      </c>
      <c r="O98" s="133" t="e">
        <f t="shared" si="30"/>
        <v>#DIV/0!</v>
      </c>
      <c r="P98" s="133" t="e">
        <f t="shared" si="30"/>
        <v>#DIV/0!</v>
      </c>
      <c r="Q98" s="133" t="e">
        <f t="shared" si="30"/>
        <v>#DIV/0!</v>
      </c>
      <c r="R98" s="133" t="e">
        <f t="shared" si="30"/>
        <v>#DIV/0!</v>
      </c>
    </row>
    <row r="99" spans="1:18">
      <c r="A99" s="129" t="str">
        <f t="shared" si="28"/>
        <v>Egypt</v>
      </c>
      <c r="B99" s="129" t="s">
        <v>324</v>
      </c>
      <c r="C99" s="4" t="s">
        <v>325</v>
      </c>
      <c r="D99" s="2" t="s">
        <v>40</v>
      </c>
      <c r="E99" s="139" t="s">
        <v>200</v>
      </c>
      <c r="F99" s="139"/>
      <c r="G99" s="140"/>
      <c r="H99" s="140"/>
      <c r="I99" s="140"/>
      <c r="J99" s="140"/>
      <c r="K99" s="140"/>
      <c r="M99" s="133" t="e">
        <f t="shared" si="30"/>
        <v>#DIV/0!</v>
      </c>
      <c r="N99" s="133" t="e">
        <f t="shared" si="30"/>
        <v>#DIV/0!</v>
      </c>
      <c r="O99" s="133" t="e">
        <f t="shared" si="30"/>
        <v>#DIV/0!</v>
      </c>
      <c r="P99" s="133" t="e">
        <f t="shared" si="30"/>
        <v>#DIV/0!</v>
      </c>
      <c r="Q99" s="133" t="e">
        <f t="shared" si="30"/>
        <v>#DIV/0!</v>
      </c>
      <c r="R99" s="133" t="e">
        <f t="shared" si="30"/>
        <v>#DIV/0!</v>
      </c>
    </row>
    <row r="100" spans="1:18">
      <c r="A100" s="129" t="str">
        <f t="shared" si="28"/>
        <v>Egypt</v>
      </c>
      <c r="B100" s="129" t="s">
        <v>324</v>
      </c>
      <c r="C100" s="4" t="s">
        <v>325</v>
      </c>
      <c r="D100" s="2" t="s">
        <v>41</v>
      </c>
      <c r="E100" s="139" t="s">
        <v>200</v>
      </c>
      <c r="F100" s="139"/>
      <c r="G100" s="140"/>
      <c r="H100" s="140"/>
      <c r="I100" s="140"/>
      <c r="J100" s="140"/>
      <c r="K100" s="140"/>
      <c r="M100" s="133" t="e">
        <f t="shared" si="30"/>
        <v>#DIV/0!</v>
      </c>
      <c r="N100" s="133" t="e">
        <f t="shared" si="30"/>
        <v>#DIV/0!</v>
      </c>
      <c r="O100" s="133" t="e">
        <f t="shared" si="30"/>
        <v>#DIV/0!</v>
      </c>
      <c r="P100" s="133" t="e">
        <f t="shared" si="30"/>
        <v>#DIV/0!</v>
      </c>
      <c r="Q100" s="133" t="e">
        <f t="shared" si="30"/>
        <v>#DIV/0!</v>
      </c>
      <c r="R100" s="133" t="e">
        <f t="shared" si="30"/>
        <v>#DIV/0!</v>
      </c>
    </row>
    <row r="101" spans="1:18">
      <c r="A101" s="129" t="str">
        <f t="shared" si="28"/>
        <v>Egypt</v>
      </c>
      <c r="B101" s="129" t="s">
        <v>324</v>
      </c>
      <c r="C101" s="4" t="s">
        <v>325</v>
      </c>
      <c r="D101" s="2" t="s">
        <v>42</v>
      </c>
      <c r="E101" s="139" t="s">
        <v>200</v>
      </c>
      <c r="F101" s="139"/>
      <c r="G101" s="140"/>
      <c r="H101" s="140"/>
      <c r="I101" s="140"/>
      <c r="J101" s="140"/>
      <c r="K101" s="140"/>
      <c r="M101" s="133" t="e">
        <f t="shared" si="30"/>
        <v>#DIV/0!</v>
      </c>
      <c r="N101" s="133" t="e">
        <f t="shared" si="30"/>
        <v>#DIV/0!</v>
      </c>
      <c r="O101" s="133" t="e">
        <f t="shared" si="30"/>
        <v>#DIV/0!</v>
      </c>
      <c r="P101" s="133" t="e">
        <f t="shared" si="30"/>
        <v>#DIV/0!</v>
      </c>
      <c r="Q101" s="133" t="e">
        <f t="shared" si="30"/>
        <v>#DIV/0!</v>
      </c>
      <c r="R101" s="133" t="e">
        <f t="shared" si="30"/>
        <v>#DIV/0!</v>
      </c>
    </row>
    <row r="102" spans="1:18">
      <c r="A102" s="122" t="str">
        <f t="shared" si="28"/>
        <v>Egypt</v>
      </c>
      <c r="B102" s="122" t="s">
        <v>326</v>
      </c>
      <c r="C102" s="123"/>
      <c r="D102" s="123"/>
      <c r="E102" s="144"/>
      <c r="F102" s="144"/>
      <c r="G102" s="145"/>
      <c r="H102" s="145"/>
      <c r="I102" s="145"/>
      <c r="J102" s="145"/>
      <c r="K102" s="145"/>
      <c r="M102" s="146"/>
      <c r="N102" s="146"/>
      <c r="O102" s="146"/>
      <c r="P102" s="146"/>
      <c r="Q102" s="146"/>
      <c r="R102" s="146"/>
    </row>
    <row r="103" spans="1:18">
      <c r="A103" s="125" t="str">
        <f t="shared" si="28"/>
        <v>Egypt</v>
      </c>
      <c r="B103" s="125" t="s">
        <v>326</v>
      </c>
      <c r="C103" s="134" t="s">
        <v>316</v>
      </c>
      <c r="D103" s="135"/>
      <c r="E103" s="136" t="s">
        <v>327</v>
      </c>
      <c r="F103" s="136"/>
      <c r="G103" s="137"/>
      <c r="H103" s="137"/>
      <c r="I103" s="137"/>
      <c r="J103" s="137"/>
      <c r="K103" s="137"/>
      <c r="M103" s="143"/>
      <c r="N103" s="143"/>
      <c r="O103" s="143"/>
      <c r="P103" s="143"/>
      <c r="Q103" s="143"/>
      <c r="R103" s="143"/>
    </row>
    <row r="104" spans="1:18">
      <c r="A104" s="129" t="str">
        <f t="shared" si="28"/>
        <v>Egypt</v>
      </c>
      <c r="B104" s="129" t="s">
        <v>326</v>
      </c>
      <c r="C104" s="4" t="s">
        <v>316</v>
      </c>
      <c r="D104" s="2" t="s">
        <v>36</v>
      </c>
      <c r="E104" s="139" t="s">
        <v>327</v>
      </c>
      <c r="F104" s="139"/>
      <c r="G104" s="140"/>
      <c r="H104" s="140"/>
      <c r="I104" s="140"/>
      <c r="J104" s="140"/>
      <c r="K104" s="140"/>
      <c r="M104" s="133" t="e">
        <f t="shared" ref="M104:R107" si="31">F104/F$108</f>
        <v>#DIV/0!</v>
      </c>
      <c r="N104" s="133" t="e">
        <f t="shared" si="31"/>
        <v>#DIV/0!</v>
      </c>
      <c r="O104" s="133" t="e">
        <f t="shared" si="31"/>
        <v>#DIV/0!</v>
      </c>
      <c r="P104" s="133" t="e">
        <f t="shared" si="31"/>
        <v>#DIV/0!</v>
      </c>
      <c r="Q104" s="133" t="e">
        <f t="shared" si="31"/>
        <v>#DIV/0!</v>
      </c>
      <c r="R104" s="133" t="e">
        <f t="shared" si="31"/>
        <v>#DIV/0!</v>
      </c>
    </row>
    <row r="105" spans="1:18">
      <c r="A105" s="129" t="str">
        <f t="shared" si="28"/>
        <v>Egypt</v>
      </c>
      <c r="B105" s="129" t="s">
        <v>326</v>
      </c>
      <c r="C105" s="4" t="s">
        <v>316</v>
      </c>
      <c r="D105" s="2" t="s">
        <v>37</v>
      </c>
      <c r="E105" s="139" t="s">
        <v>327</v>
      </c>
      <c r="F105" s="139"/>
      <c r="G105" s="140"/>
      <c r="H105" s="140"/>
      <c r="I105" s="140"/>
      <c r="J105" s="140"/>
      <c r="K105" s="140"/>
      <c r="M105" s="133" t="e">
        <f t="shared" si="31"/>
        <v>#DIV/0!</v>
      </c>
      <c r="N105" s="133" t="e">
        <f t="shared" si="31"/>
        <v>#DIV/0!</v>
      </c>
      <c r="O105" s="133" t="e">
        <f t="shared" si="31"/>
        <v>#DIV/0!</v>
      </c>
      <c r="P105" s="133" t="e">
        <f t="shared" si="31"/>
        <v>#DIV/0!</v>
      </c>
      <c r="Q105" s="133" t="e">
        <f t="shared" si="31"/>
        <v>#DIV/0!</v>
      </c>
      <c r="R105" s="133" t="e">
        <f t="shared" si="31"/>
        <v>#DIV/0!</v>
      </c>
    </row>
    <row r="106" spans="1:18">
      <c r="A106" s="129" t="str">
        <f t="shared" si="28"/>
        <v>Egypt</v>
      </c>
      <c r="B106" s="129" t="s">
        <v>326</v>
      </c>
      <c r="C106" s="4" t="s">
        <v>316</v>
      </c>
      <c r="D106" s="2" t="s">
        <v>38</v>
      </c>
      <c r="E106" s="139" t="s">
        <v>327</v>
      </c>
      <c r="F106" s="139"/>
      <c r="G106" s="140"/>
      <c r="H106" s="140"/>
      <c r="I106" s="140"/>
      <c r="J106" s="140"/>
      <c r="K106" s="140"/>
      <c r="M106" s="133" t="e">
        <f t="shared" si="31"/>
        <v>#DIV/0!</v>
      </c>
      <c r="N106" s="133" t="e">
        <f t="shared" si="31"/>
        <v>#DIV/0!</v>
      </c>
      <c r="O106" s="133" t="e">
        <f t="shared" si="31"/>
        <v>#DIV/0!</v>
      </c>
      <c r="P106" s="133" t="e">
        <f t="shared" si="31"/>
        <v>#DIV/0!</v>
      </c>
      <c r="Q106" s="133" t="e">
        <f t="shared" si="31"/>
        <v>#DIV/0!</v>
      </c>
      <c r="R106" s="133" t="e">
        <f t="shared" si="31"/>
        <v>#DIV/0!</v>
      </c>
    </row>
    <row r="107" spans="1:18">
      <c r="A107" s="129" t="str">
        <f t="shared" si="28"/>
        <v>Egypt</v>
      </c>
      <c r="B107" s="129" t="s">
        <v>326</v>
      </c>
      <c r="C107" s="4" t="s">
        <v>316</v>
      </c>
      <c r="D107" s="2" t="s">
        <v>39</v>
      </c>
      <c r="E107" s="139" t="s">
        <v>327</v>
      </c>
      <c r="F107" s="139"/>
      <c r="G107" s="140"/>
      <c r="H107" s="140"/>
      <c r="I107" s="140"/>
      <c r="J107" s="140"/>
      <c r="K107" s="140"/>
      <c r="M107" s="133" t="e">
        <f t="shared" si="31"/>
        <v>#DIV/0!</v>
      </c>
      <c r="N107" s="133" t="e">
        <f t="shared" si="31"/>
        <v>#DIV/0!</v>
      </c>
      <c r="O107" s="133" t="e">
        <f t="shared" si="31"/>
        <v>#DIV/0!</v>
      </c>
      <c r="P107" s="133" t="e">
        <f t="shared" si="31"/>
        <v>#DIV/0!</v>
      </c>
      <c r="Q107" s="133" t="e">
        <f t="shared" si="31"/>
        <v>#DIV/0!</v>
      </c>
      <c r="R107" s="133" t="e">
        <f t="shared" si="31"/>
        <v>#DIV/0!</v>
      </c>
    </row>
    <row r="108" spans="1:18">
      <c r="A108" s="129" t="str">
        <f t="shared" si="28"/>
        <v>Egypt</v>
      </c>
      <c r="B108" s="129" t="s">
        <v>326</v>
      </c>
      <c r="C108" s="4" t="s">
        <v>316</v>
      </c>
      <c r="D108" s="2" t="s">
        <v>40</v>
      </c>
      <c r="E108" s="139" t="s">
        <v>327</v>
      </c>
      <c r="F108" s="139"/>
      <c r="G108" s="140"/>
      <c r="H108" s="140"/>
      <c r="I108" s="140"/>
      <c r="J108" s="140"/>
      <c r="K108" s="140"/>
      <c r="M108" s="133"/>
      <c r="N108" s="133"/>
      <c r="O108" s="133"/>
      <c r="P108" s="133"/>
      <c r="Q108" s="133"/>
      <c r="R108" s="133"/>
    </row>
    <row r="109" spans="1:18">
      <c r="A109" s="129" t="str">
        <f t="shared" si="28"/>
        <v>Egypt</v>
      </c>
      <c r="B109" s="129" t="s">
        <v>326</v>
      </c>
      <c r="C109" s="4" t="s">
        <v>316</v>
      </c>
      <c r="D109" s="2" t="s">
        <v>41</v>
      </c>
      <c r="E109" s="139" t="s">
        <v>327</v>
      </c>
      <c r="F109" s="139"/>
      <c r="G109" s="140"/>
      <c r="H109" s="140"/>
      <c r="I109" s="140"/>
      <c r="J109" s="140"/>
      <c r="K109" s="140"/>
      <c r="M109" s="133" t="e">
        <f t="shared" ref="M109:R110" si="32">F109/F$108</f>
        <v>#DIV/0!</v>
      </c>
      <c r="N109" s="133" t="e">
        <f t="shared" si="32"/>
        <v>#DIV/0!</v>
      </c>
      <c r="O109" s="133" t="e">
        <f t="shared" si="32"/>
        <v>#DIV/0!</v>
      </c>
      <c r="P109" s="133" t="e">
        <f t="shared" si="32"/>
        <v>#DIV/0!</v>
      </c>
      <c r="Q109" s="133" t="e">
        <f t="shared" si="32"/>
        <v>#DIV/0!</v>
      </c>
      <c r="R109" s="133" t="e">
        <f t="shared" si="32"/>
        <v>#DIV/0!</v>
      </c>
    </row>
    <row r="110" spans="1:18" ht="16.5" customHeight="1">
      <c r="A110" s="129" t="str">
        <f t="shared" si="28"/>
        <v>Egypt</v>
      </c>
      <c r="B110" s="129" t="s">
        <v>326</v>
      </c>
      <c r="C110" s="129" t="s">
        <v>316</v>
      </c>
      <c r="D110" s="2" t="s">
        <v>42</v>
      </c>
      <c r="E110" s="139" t="s">
        <v>327</v>
      </c>
      <c r="F110" s="139"/>
      <c r="G110" s="140"/>
      <c r="H110" s="140"/>
      <c r="I110" s="140"/>
      <c r="J110" s="140"/>
      <c r="K110" s="140"/>
      <c r="M110" s="133" t="e">
        <f t="shared" si="32"/>
        <v>#DIV/0!</v>
      </c>
      <c r="N110" s="133" t="e">
        <f t="shared" si="32"/>
        <v>#DIV/0!</v>
      </c>
      <c r="O110" s="133" t="e">
        <f t="shared" si="32"/>
        <v>#DIV/0!</v>
      </c>
      <c r="P110" s="133" t="e">
        <f t="shared" si="32"/>
        <v>#DIV/0!</v>
      </c>
      <c r="Q110" s="133" t="e">
        <f t="shared" si="32"/>
        <v>#DIV/0!</v>
      </c>
      <c r="R110" s="133" t="e">
        <f t="shared" si="32"/>
        <v>#DIV/0!</v>
      </c>
    </row>
    <row r="111" spans="1:18">
      <c r="A111" s="122" t="str">
        <f t="shared" ref="A111:A174" si="33">$B$23</f>
        <v>Saudi Arabia</v>
      </c>
      <c r="B111" s="122" t="s">
        <v>34</v>
      </c>
      <c r="C111" s="123"/>
      <c r="D111" s="123"/>
      <c r="E111" s="147"/>
      <c r="F111" s="147"/>
      <c r="G111" s="147"/>
      <c r="H111" s="147"/>
      <c r="I111" s="147"/>
      <c r="J111" s="147"/>
      <c r="K111" s="147"/>
      <c r="M111" s="146"/>
      <c r="N111" s="146"/>
      <c r="O111" s="146"/>
      <c r="P111" s="146"/>
      <c r="Q111" s="146"/>
      <c r="R111" s="146"/>
    </row>
    <row r="112" spans="1:18">
      <c r="A112" s="125" t="str">
        <f t="shared" si="33"/>
        <v>Saudi Arabia</v>
      </c>
      <c r="B112" s="125" t="s">
        <v>34</v>
      </c>
      <c r="C112" s="134" t="s">
        <v>35</v>
      </c>
      <c r="D112" s="135"/>
      <c r="E112" s="136" t="s">
        <v>320</v>
      </c>
      <c r="F112" s="136"/>
      <c r="G112" s="148"/>
      <c r="H112" s="148"/>
      <c r="I112" s="148"/>
      <c r="J112" s="148"/>
      <c r="K112" s="148"/>
      <c r="M112" s="138"/>
      <c r="N112" s="138"/>
      <c r="O112" s="138"/>
      <c r="P112" s="138"/>
      <c r="Q112" s="138"/>
      <c r="R112" s="138"/>
    </row>
    <row r="113" spans="1:20">
      <c r="A113" s="129" t="str">
        <f t="shared" si="33"/>
        <v>Saudi Arabia</v>
      </c>
      <c r="B113" s="129" t="s">
        <v>34</v>
      </c>
      <c r="C113" s="4" t="s">
        <v>35</v>
      </c>
      <c r="D113" s="2" t="s">
        <v>36</v>
      </c>
      <c r="E113" s="139" t="s">
        <v>320</v>
      </c>
      <c r="F113" s="139"/>
      <c r="G113" s="149"/>
      <c r="H113" s="149"/>
      <c r="I113" s="149"/>
      <c r="J113" s="149"/>
      <c r="K113" s="149"/>
      <c r="M113" s="133"/>
      <c r="N113" s="133"/>
      <c r="O113" s="133"/>
      <c r="P113" s="133"/>
      <c r="Q113" s="133"/>
      <c r="R113" s="133"/>
    </row>
    <row r="114" spans="1:20">
      <c r="A114" s="129" t="str">
        <f t="shared" si="33"/>
        <v>Saudi Arabia</v>
      </c>
      <c r="B114" s="129" t="s">
        <v>34</v>
      </c>
      <c r="C114" s="4" t="s">
        <v>35</v>
      </c>
      <c r="D114" s="2" t="s">
        <v>37</v>
      </c>
      <c r="E114" s="139" t="s">
        <v>320</v>
      </c>
      <c r="F114" s="139"/>
      <c r="G114" s="149"/>
      <c r="H114" s="149"/>
      <c r="I114" s="149"/>
      <c r="J114" s="149"/>
      <c r="K114" s="149"/>
      <c r="M114" s="133"/>
      <c r="N114" s="133"/>
      <c r="O114" s="133"/>
      <c r="P114" s="133"/>
      <c r="Q114" s="133"/>
      <c r="R114" s="133"/>
    </row>
    <row r="115" spans="1:20">
      <c r="A115" s="129" t="str">
        <f t="shared" si="33"/>
        <v>Saudi Arabia</v>
      </c>
      <c r="B115" s="129" t="s">
        <v>34</v>
      </c>
      <c r="C115" s="4" t="s">
        <v>35</v>
      </c>
      <c r="D115" s="2" t="s">
        <v>38</v>
      </c>
      <c r="E115" s="139" t="s">
        <v>320</v>
      </c>
      <c r="F115" s="139"/>
      <c r="G115" s="149"/>
      <c r="H115" s="149"/>
      <c r="I115" s="149"/>
      <c r="J115" s="149"/>
      <c r="K115" s="149"/>
      <c r="M115" s="133"/>
      <c r="N115" s="133"/>
      <c r="O115" s="133"/>
      <c r="P115" s="133"/>
      <c r="Q115" s="133"/>
      <c r="R115" s="133"/>
    </row>
    <row r="116" spans="1:20">
      <c r="A116" s="129" t="str">
        <f t="shared" si="33"/>
        <v>Saudi Arabia</v>
      </c>
      <c r="B116" s="129" t="s">
        <v>34</v>
      </c>
      <c r="C116" s="4" t="s">
        <v>35</v>
      </c>
      <c r="D116" s="2" t="s">
        <v>39</v>
      </c>
      <c r="E116" s="139" t="s">
        <v>320</v>
      </c>
      <c r="F116" s="139"/>
      <c r="G116" s="149"/>
      <c r="H116" s="149"/>
      <c r="I116" s="149"/>
      <c r="J116" s="149"/>
      <c r="K116" s="149"/>
      <c r="M116" s="133"/>
      <c r="N116" s="133"/>
      <c r="O116" s="133"/>
      <c r="P116" s="133"/>
      <c r="Q116" s="133"/>
      <c r="R116" s="133"/>
    </row>
    <row r="117" spans="1:20">
      <c r="A117" s="129" t="str">
        <f t="shared" si="33"/>
        <v>Saudi Arabia</v>
      </c>
      <c r="B117" s="129" t="s">
        <v>34</v>
      </c>
      <c r="C117" s="4" t="s">
        <v>35</v>
      </c>
      <c r="D117" s="2" t="s">
        <v>40</v>
      </c>
      <c r="E117" s="139" t="s">
        <v>320</v>
      </c>
      <c r="F117" s="139"/>
      <c r="G117" s="149"/>
      <c r="H117" s="149"/>
      <c r="I117" s="149"/>
      <c r="J117" s="149"/>
      <c r="K117" s="149"/>
      <c r="M117" s="133"/>
      <c r="N117" s="133"/>
      <c r="O117" s="133"/>
      <c r="P117" s="133"/>
      <c r="Q117" s="133"/>
      <c r="R117" s="133"/>
    </row>
    <row r="118" spans="1:20">
      <c r="A118" s="129" t="str">
        <f t="shared" si="33"/>
        <v>Saudi Arabia</v>
      </c>
      <c r="B118" s="129" t="s">
        <v>34</v>
      </c>
      <c r="C118" s="4" t="s">
        <v>35</v>
      </c>
      <c r="D118" s="2" t="s">
        <v>41</v>
      </c>
      <c r="E118" s="139" t="s">
        <v>320</v>
      </c>
      <c r="F118" s="139"/>
      <c r="G118" s="149"/>
      <c r="H118" s="149"/>
      <c r="I118" s="149"/>
      <c r="J118" s="149"/>
      <c r="K118" s="149"/>
      <c r="M118" s="133"/>
      <c r="N118" s="133"/>
      <c r="O118" s="133"/>
      <c r="P118" s="133"/>
      <c r="Q118" s="133"/>
      <c r="R118" s="133"/>
    </row>
    <row r="119" spans="1:20">
      <c r="A119" s="129" t="str">
        <f t="shared" si="33"/>
        <v>Saudi Arabia</v>
      </c>
      <c r="B119" s="129" t="s">
        <v>34</v>
      </c>
      <c r="C119" s="4" t="s">
        <v>35</v>
      </c>
      <c r="D119" s="2" t="s">
        <v>42</v>
      </c>
      <c r="E119" s="139" t="s">
        <v>320</v>
      </c>
      <c r="F119" s="139"/>
      <c r="G119" s="149"/>
      <c r="H119" s="149"/>
      <c r="I119" s="149"/>
      <c r="J119" s="149"/>
      <c r="K119" s="149"/>
      <c r="M119" s="133"/>
      <c r="N119" s="133"/>
      <c r="O119" s="133"/>
      <c r="P119" s="133"/>
      <c r="Q119" s="133"/>
      <c r="R119" s="133"/>
    </row>
    <row r="120" spans="1:20">
      <c r="A120" s="125" t="str">
        <f t="shared" si="33"/>
        <v>Saudi Arabia</v>
      </c>
      <c r="B120" s="125" t="s">
        <v>34</v>
      </c>
      <c r="C120" s="134" t="s">
        <v>43</v>
      </c>
      <c r="D120" s="135"/>
      <c r="E120" s="136" t="s">
        <v>320</v>
      </c>
      <c r="F120" s="136"/>
      <c r="G120" s="148"/>
      <c r="H120" s="148"/>
      <c r="I120" s="148"/>
      <c r="J120" s="148"/>
      <c r="K120" s="148"/>
      <c r="M120" s="141"/>
      <c r="N120" s="141"/>
      <c r="O120" s="141"/>
      <c r="P120" s="141"/>
      <c r="Q120" s="141"/>
      <c r="R120" s="141"/>
    </row>
    <row r="121" spans="1:20">
      <c r="A121" s="129" t="str">
        <f t="shared" si="33"/>
        <v>Saudi Arabia</v>
      </c>
      <c r="B121" s="129" t="s">
        <v>34</v>
      </c>
      <c r="C121" s="4" t="s">
        <v>43</v>
      </c>
      <c r="D121" s="2" t="s">
        <v>36</v>
      </c>
      <c r="E121" s="139" t="s">
        <v>320</v>
      </c>
      <c r="F121" s="139"/>
      <c r="G121" s="149"/>
      <c r="H121" s="149"/>
      <c r="I121" s="149"/>
      <c r="J121" s="149"/>
      <c r="K121" s="149"/>
      <c r="M121" s="133"/>
      <c r="N121" s="133"/>
      <c r="O121" s="133"/>
      <c r="P121" s="133"/>
      <c r="Q121" s="133"/>
      <c r="R121" s="133"/>
    </row>
    <row r="122" spans="1:20">
      <c r="A122" s="129" t="str">
        <f t="shared" si="33"/>
        <v>Saudi Arabia</v>
      </c>
      <c r="B122" s="129" t="s">
        <v>34</v>
      </c>
      <c r="C122" s="4" t="s">
        <v>43</v>
      </c>
      <c r="D122" s="2" t="s">
        <v>37</v>
      </c>
      <c r="E122" s="139" t="s">
        <v>320</v>
      </c>
      <c r="F122" s="139"/>
      <c r="G122" s="149"/>
      <c r="H122" s="149"/>
      <c r="I122" s="149"/>
      <c r="J122" s="149"/>
      <c r="K122" s="149"/>
      <c r="M122" s="133"/>
      <c r="N122" s="133"/>
      <c r="O122" s="133"/>
      <c r="P122" s="133"/>
      <c r="Q122" s="133"/>
      <c r="R122" s="133"/>
    </row>
    <row r="123" spans="1:20">
      <c r="A123" s="129" t="str">
        <f t="shared" si="33"/>
        <v>Saudi Arabia</v>
      </c>
      <c r="B123" s="129" t="s">
        <v>34</v>
      </c>
      <c r="C123" s="4" t="s">
        <v>43</v>
      </c>
      <c r="D123" s="2" t="s">
        <v>38</v>
      </c>
      <c r="E123" s="139" t="s">
        <v>320</v>
      </c>
      <c r="F123" s="139"/>
      <c r="G123" s="149"/>
      <c r="H123" s="149"/>
      <c r="I123" s="149"/>
      <c r="J123" s="149"/>
      <c r="K123" s="149"/>
      <c r="M123" s="133"/>
      <c r="N123" s="133"/>
      <c r="O123" s="133"/>
      <c r="P123" s="133"/>
      <c r="Q123" s="133"/>
      <c r="R123" s="133"/>
    </row>
    <row r="124" spans="1:20">
      <c r="A124" s="129" t="str">
        <f t="shared" si="33"/>
        <v>Saudi Arabia</v>
      </c>
      <c r="B124" s="129" t="s">
        <v>34</v>
      </c>
      <c r="C124" s="4" t="s">
        <v>43</v>
      </c>
      <c r="D124" s="2" t="s">
        <v>39</v>
      </c>
      <c r="E124" s="139" t="s">
        <v>320</v>
      </c>
      <c r="F124" s="139"/>
      <c r="G124" s="149"/>
      <c r="H124" s="149"/>
      <c r="I124" s="149"/>
      <c r="J124" s="149"/>
      <c r="K124" s="149"/>
      <c r="M124" s="133"/>
      <c r="N124" s="133"/>
      <c r="O124" s="133"/>
      <c r="P124" s="133"/>
      <c r="Q124" s="133"/>
      <c r="R124" s="133"/>
    </row>
    <row r="125" spans="1:20">
      <c r="A125" s="129" t="str">
        <f t="shared" si="33"/>
        <v>Saudi Arabia</v>
      </c>
      <c r="B125" s="129" t="s">
        <v>34</v>
      </c>
      <c r="C125" s="4" t="s">
        <v>43</v>
      </c>
      <c r="D125" s="2" t="s">
        <v>40</v>
      </c>
      <c r="E125" s="139" t="s">
        <v>320</v>
      </c>
      <c r="F125" s="139"/>
      <c r="G125" s="149"/>
      <c r="H125" s="149"/>
      <c r="I125" s="149"/>
      <c r="J125" s="149"/>
      <c r="K125" s="149"/>
      <c r="M125" s="133"/>
      <c r="N125" s="133"/>
      <c r="O125" s="133"/>
      <c r="P125" s="133"/>
      <c r="Q125" s="133"/>
      <c r="R125" s="133"/>
    </row>
    <row r="126" spans="1:20">
      <c r="A126" s="129" t="str">
        <f t="shared" si="33"/>
        <v>Saudi Arabia</v>
      </c>
      <c r="B126" s="129" t="s">
        <v>34</v>
      </c>
      <c r="C126" s="4" t="s">
        <v>43</v>
      </c>
      <c r="D126" s="2" t="s">
        <v>41</v>
      </c>
      <c r="E126" s="139" t="s">
        <v>320</v>
      </c>
      <c r="F126" s="139"/>
      <c r="G126" s="149"/>
      <c r="H126" s="149"/>
      <c r="I126" s="149"/>
      <c r="J126" s="149"/>
      <c r="K126" s="149"/>
      <c r="M126" s="133"/>
      <c r="N126" s="133"/>
      <c r="O126" s="133"/>
      <c r="P126" s="133"/>
      <c r="Q126" s="133"/>
      <c r="R126" s="133"/>
    </row>
    <row r="127" spans="1:20">
      <c r="A127" s="129" t="str">
        <f t="shared" si="33"/>
        <v>Saudi Arabia</v>
      </c>
      <c r="B127" s="129" t="s">
        <v>34</v>
      </c>
      <c r="C127" s="4" t="s">
        <v>43</v>
      </c>
      <c r="D127" s="2" t="s">
        <v>42</v>
      </c>
      <c r="E127" s="139" t="s">
        <v>320</v>
      </c>
      <c r="F127" s="139"/>
      <c r="G127" s="149"/>
      <c r="H127" s="149"/>
      <c r="I127" s="149"/>
      <c r="J127" s="149"/>
      <c r="K127" s="149"/>
      <c r="M127" s="133"/>
      <c r="N127" s="133"/>
      <c r="O127" s="133"/>
      <c r="P127" s="133"/>
      <c r="Q127" s="133"/>
      <c r="R127" s="133"/>
    </row>
    <row r="128" spans="1:20">
      <c r="A128" s="142" t="str">
        <f t="shared" si="33"/>
        <v>Saudi Arabia</v>
      </c>
      <c r="B128" s="142" t="s">
        <v>34</v>
      </c>
      <c r="C128" s="134" t="s">
        <v>44</v>
      </c>
      <c r="D128" s="134"/>
      <c r="E128" s="136" t="s">
        <v>320</v>
      </c>
      <c r="F128" s="136"/>
      <c r="G128" s="148"/>
      <c r="H128" s="148"/>
      <c r="I128" s="148"/>
      <c r="J128" s="148"/>
      <c r="K128" s="148"/>
      <c r="M128" s="143"/>
      <c r="N128" s="143"/>
      <c r="O128" s="143"/>
      <c r="P128" s="143"/>
      <c r="Q128" s="143"/>
      <c r="R128" s="143"/>
      <c r="T128" s="159"/>
    </row>
    <row r="129" spans="1:23">
      <c r="A129" s="129" t="str">
        <f t="shared" si="33"/>
        <v>Saudi Arabia</v>
      </c>
      <c r="B129" s="129" t="s">
        <v>34</v>
      </c>
      <c r="C129" s="4" t="s">
        <v>44</v>
      </c>
      <c r="D129" s="2" t="s">
        <v>36</v>
      </c>
      <c r="E129" s="139" t="s">
        <v>320</v>
      </c>
      <c r="F129" s="139"/>
      <c r="G129" s="149"/>
      <c r="H129" s="149"/>
      <c r="I129" s="149"/>
      <c r="J129" s="149"/>
      <c r="K129" s="149"/>
      <c r="M129" s="133"/>
      <c r="N129" s="133"/>
      <c r="O129" s="133"/>
      <c r="P129" s="133"/>
      <c r="Q129" s="133"/>
      <c r="R129" s="133"/>
      <c r="T129" s="159"/>
    </row>
    <row r="130" spans="1:23">
      <c r="A130" s="129" t="str">
        <f t="shared" si="33"/>
        <v>Saudi Arabia</v>
      </c>
      <c r="B130" s="129" t="s">
        <v>34</v>
      </c>
      <c r="C130" s="4" t="s">
        <v>44</v>
      </c>
      <c r="D130" s="2" t="s">
        <v>37</v>
      </c>
      <c r="E130" s="139" t="s">
        <v>320</v>
      </c>
      <c r="F130" s="139"/>
      <c r="G130" s="149"/>
      <c r="H130" s="149"/>
      <c r="I130" s="149"/>
      <c r="J130" s="149"/>
      <c r="K130" s="149"/>
      <c r="M130" s="133"/>
      <c r="N130" s="133"/>
      <c r="O130" s="133"/>
      <c r="P130" s="133"/>
      <c r="Q130" s="133"/>
      <c r="R130" s="133"/>
      <c r="T130" s="159"/>
    </row>
    <row r="131" spans="1:23">
      <c r="A131" s="129" t="str">
        <f t="shared" si="33"/>
        <v>Saudi Arabia</v>
      </c>
      <c r="B131" s="129" t="s">
        <v>34</v>
      </c>
      <c r="C131" s="4" t="s">
        <v>44</v>
      </c>
      <c r="D131" s="2" t="s">
        <v>38</v>
      </c>
      <c r="E131" s="139" t="s">
        <v>320</v>
      </c>
      <c r="F131" s="139"/>
      <c r="G131" s="149"/>
      <c r="H131" s="149"/>
      <c r="I131" s="149"/>
      <c r="J131" s="149"/>
      <c r="K131" s="149"/>
      <c r="M131" s="133"/>
      <c r="N131" s="133"/>
      <c r="O131" s="133"/>
      <c r="P131" s="133"/>
      <c r="Q131" s="133"/>
      <c r="R131" s="133"/>
      <c r="T131" s="159"/>
    </row>
    <row r="132" spans="1:23">
      <c r="A132" s="129" t="str">
        <f t="shared" si="33"/>
        <v>Saudi Arabia</v>
      </c>
      <c r="B132" s="129" t="s">
        <v>34</v>
      </c>
      <c r="C132" s="4" t="s">
        <v>44</v>
      </c>
      <c r="D132" s="2" t="s">
        <v>39</v>
      </c>
      <c r="E132" s="139" t="s">
        <v>320</v>
      </c>
      <c r="F132" s="139"/>
      <c r="G132" s="149"/>
      <c r="H132" s="149"/>
      <c r="I132" s="149"/>
      <c r="J132" s="149"/>
      <c r="K132" s="149"/>
      <c r="M132" s="133"/>
      <c r="N132" s="133"/>
      <c r="O132" s="133"/>
      <c r="P132" s="133"/>
      <c r="Q132" s="133"/>
      <c r="R132" s="133"/>
      <c r="T132" s="159"/>
    </row>
    <row r="133" spans="1:23">
      <c r="A133" s="129" t="str">
        <f t="shared" si="33"/>
        <v>Saudi Arabia</v>
      </c>
      <c r="B133" s="129" t="s">
        <v>34</v>
      </c>
      <c r="C133" s="4" t="s">
        <v>44</v>
      </c>
      <c r="D133" s="2" t="s">
        <v>40</v>
      </c>
      <c r="E133" s="139" t="s">
        <v>320</v>
      </c>
      <c r="F133" s="139"/>
      <c r="G133" s="149"/>
      <c r="H133" s="149"/>
      <c r="I133" s="149"/>
      <c r="J133" s="149"/>
      <c r="K133" s="149"/>
      <c r="M133" s="133"/>
      <c r="N133" s="133"/>
      <c r="O133" s="133"/>
      <c r="P133" s="133"/>
      <c r="Q133" s="133"/>
      <c r="R133" s="133"/>
      <c r="T133" s="159"/>
    </row>
    <row r="134" spans="1:23">
      <c r="A134" s="129" t="str">
        <f t="shared" si="33"/>
        <v>Saudi Arabia</v>
      </c>
      <c r="B134" s="129" t="s">
        <v>34</v>
      </c>
      <c r="C134" s="4" t="s">
        <v>44</v>
      </c>
      <c r="D134" s="2" t="s">
        <v>41</v>
      </c>
      <c r="E134" s="139" t="s">
        <v>320</v>
      </c>
      <c r="F134" s="139"/>
      <c r="G134" s="149"/>
      <c r="H134" s="149"/>
      <c r="I134" s="149"/>
      <c r="J134" s="149"/>
      <c r="K134" s="149"/>
      <c r="M134" s="133"/>
      <c r="N134" s="133"/>
      <c r="O134" s="133"/>
      <c r="P134" s="133"/>
      <c r="Q134" s="133"/>
      <c r="R134" s="133"/>
      <c r="T134" s="159"/>
    </row>
    <row r="135" spans="1:23">
      <c r="A135" s="129" t="str">
        <f t="shared" si="33"/>
        <v>Saudi Arabia</v>
      </c>
      <c r="B135" s="129" t="s">
        <v>34</v>
      </c>
      <c r="C135" s="4" t="s">
        <v>44</v>
      </c>
      <c r="D135" s="2" t="s">
        <v>42</v>
      </c>
      <c r="E135" s="139" t="s">
        <v>320</v>
      </c>
      <c r="F135" s="139"/>
      <c r="G135" s="149"/>
      <c r="H135" s="149"/>
      <c r="I135" s="149"/>
      <c r="J135" s="149"/>
      <c r="K135" s="149"/>
      <c r="M135" s="133"/>
      <c r="N135" s="133"/>
      <c r="O135" s="133"/>
      <c r="P135" s="133"/>
      <c r="Q135" s="133"/>
      <c r="R135" s="133"/>
      <c r="T135" s="159"/>
    </row>
    <row r="136" spans="1:23">
      <c r="A136" s="142" t="str">
        <f t="shared" si="33"/>
        <v>Saudi Arabia</v>
      </c>
      <c r="B136" s="142" t="s">
        <v>34</v>
      </c>
      <c r="C136" s="134" t="s">
        <v>47</v>
      </c>
      <c r="D136" s="134"/>
      <c r="E136" s="136" t="s">
        <v>320</v>
      </c>
      <c r="F136" s="136"/>
      <c r="G136" s="137"/>
      <c r="H136" s="137"/>
      <c r="I136" s="137"/>
      <c r="J136" s="137"/>
      <c r="K136" s="137"/>
      <c r="M136" s="141"/>
      <c r="N136" s="141"/>
      <c r="O136" s="141"/>
      <c r="P136" s="141"/>
      <c r="Q136" s="141"/>
      <c r="R136" s="141"/>
      <c r="T136" s="159"/>
      <c r="U136" s="159"/>
      <c r="V136" s="159"/>
      <c r="W136" s="159"/>
    </row>
    <row r="137" spans="1:23">
      <c r="A137" s="129" t="str">
        <f t="shared" si="33"/>
        <v>Saudi Arabia</v>
      </c>
      <c r="B137" s="129" t="s">
        <v>34</v>
      </c>
      <c r="C137" s="4" t="s">
        <v>44</v>
      </c>
      <c r="D137" s="2" t="s">
        <v>36</v>
      </c>
      <c r="E137" s="139" t="s">
        <v>320</v>
      </c>
      <c r="F137" s="139"/>
      <c r="G137" s="140"/>
      <c r="H137" s="140"/>
      <c r="I137" s="140"/>
      <c r="J137" s="140"/>
      <c r="K137" s="140"/>
      <c r="M137" s="133"/>
      <c r="N137" s="133"/>
      <c r="O137" s="133"/>
      <c r="P137" s="133"/>
      <c r="Q137" s="133"/>
      <c r="R137" s="133"/>
      <c r="T137" s="159"/>
      <c r="U137" s="159"/>
      <c r="V137" s="159"/>
      <c r="W137" s="159"/>
    </row>
    <row r="138" spans="1:23">
      <c r="A138" s="129" t="str">
        <f t="shared" si="33"/>
        <v>Saudi Arabia</v>
      </c>
      <c r="B138" s="129" t="s">
        <v>34</v>
      </c>
      <c r="C138" s="4" t="s">
        <v>44</v>
      </c>
      <c r="D138" s="2" t="s">
        <v>37</v>
      </c>
      <c r="E138" s="139" t="s">
        <v>320</v>
      </c>
      <c r="F138" s="139"/>
      <c r="G138" s="140"/>
      <c r="H138" s="140"/>
      <c r="I138" s="140"/>
      <c r="J138" s="140"/>
      <c r="K138" s="140"/>
      <c r="M138" s="133"/>
      <c r="N138" s="133"/>
      <c r="O138" s="133"/>
      <c r="P138" s="133"/>
      <c r="Q138" s="133"/>
      <c r="R138" s="133"/>
      <c r="T138" s="159"/>
      <c r="U138" s="159"/>
      <c r="V138" s="159"/>
      <c r="W138" s="159"/>
    </row>
    <row r="139" spans="1:23">
      <c r="A139" s="129" t="str">
        <f t="shared" si="33"/>
        <v>Saudi Arabia</v>
      </c>
      <c r="B139" s="129" t="s">
        <v>34</v>
      </c>
      <c r="C139" s="4" t="s">
        <v>44</v>
      </c>
      <c r="D139" s="2" t="s">
        <v>38</v>
      </c>
      <c r="E139" s="139" t="s">
        <v>320</v>
      </c>
      <c r="F139" s="139"/>
      <c r="G139" s="140"/>
      <c r="H139" s="140"/>
      <c r="I139" s="140"/>
      <c r="J139" s="140"/>
      <c r="K139" s="140"/>
      <c r="M139" s="133"/>
      <c r="N139" s="133"/>
      <c r="O139" s="133"/>
      <c r="P139" s="133"/>
      <c r="Q139" s="133"/>
      <c r="R139" s="133"/>
      <c r="T139" s="159"/>
      <c r="U139" s="159"/>
      <c r="V139" s="159"/>
      <c r="W139" s="159"/>
    </row>
    <row r="140" spans="1:23">
      <c r="A140" s="129" t="str">
        <f t="shared" si="33"/>
        <v>Saudi Arabia</v>
      </c>
      <c r="B140" s="129" t="s">
        <v>34</v>
      </c>
      <c r="C140" s="4" t="s">
        <v>44</v>
      </c>
      <c r="D140" s="2" t="s">
        <v>39</v>
      </c>
      <c r="E140" s="139" t="s">
        <v>320</v>
      </c>
      <c r="F140" s="139"/>
      <c r="G140" s="140"/>
      <c r="H140" s="140"/>
      <c r="I140" s="140"/>
      <c r="J140" s="140"/>
      <c r="K140" s="140"/>
      <c r="M140" s="133"/>
      <c r="N140" s="133"/>
      <c r="O140" s="133"/>
      <c r="P140" s="133"/>
      <c r="Q140" s="133"/>
      <c r="R140" s="133"/>
      <c r="T140" s="159"/>
      <c r="U140" s="159"/>
      <c r="V140" s="159"/>
      <c r="W140" s="159"/>
    </row>
    <row r="141" spans="1:23">
      <c r="A141" s="129" t="str">
        <f t="shared" si="33"/>
        <v>Saudi Arabia</v>
      </c>
      <c r="B141" s="129" t="s">
        <v>34</v>
      </c>
      <c r="C141" s="4" t="s">
        <v>44</v>
      </c>
      <c r="D141" s="2" t="s">
        <v>40</v>
      </c>
      <c r="E141" s="139" t="s">
        <v>320</v>
      </c>
      <c r="F141" s="139"/>
      <c r="G141" s="140"/>
      <c r="H141" s="140"/>
      <c r="I141" s="140"/>
      <c r="J141" s="140"/>
      <c r="K141" s="140"/>
      <c r="M141" s="133"/>
      <c r="N141" s="133"/>
      <c r="O141" s="133"/>
      <c r="P141" s="133"/>
      <c r="Q141" s="133"/>
      <c r="R141" s="133"/>
      <c r="T141" s="159"/>
      <c r="U141" s="159"/>
      <c r="V141" s="159"/>
      <c r="W141" s="159"/>
    </row>
    <row r="142" spans="1:23">
      <c r="A142" s="129" t="str">
        <f t="shared" si="33"/>
        <v>Saudi Arabia</v>
      </c>
      <c r="B142" s="129" t="s">
        <v>34</v>
      </c>
      <c r="C142" s="4" t="s">
        <v>44</v>
      </c>
      <c r="D142" s="2" t="s">
        <v>41</v>
      </c>
      <c r="E142" s="139" t="s">
        <v>320</v>
      </c>
      <c r="F142" s="139"/>
      <c r="G142" s="140"/>
      <c r="H142" s="140"/>
      <c r="I142" s="140"/>
      <c r="J142" s="140"/>
      <c r="K142" s="140"/>
      <c r="M142" s="133"/>
      <c r="N142" s="133"/>
      <c r="O142" s="133"/>
      <c r="P142" s="133"/>
      <c r="Q142" s="133"/>
      <c r="R142" s="133"/>
      <c r="T142" s="159"/>
      <c r="U142" s="159"/>
      <c r="V142" s="159"/>
      <c r="W142" s="159"/>
    </row>
    <row r="143" spans="1:23">
      <c r="A143" s="129" t="str">
        <f t="shared" si="33"/>
        <v>Saudi Arabia</v>
      </c>
      <c r="B143" s="129" t="s">
        <v>34</v>
      </c>
      <c r="C143" s="4" t="s">
        <v>44</v>
      </c>
      <c r="D143" s="2" t="s">
        <v>42</v>
      </c>
      <c r="E143" s="139" t="s">
        <v>320</v>
      </c>
      <c r="F143" s="139"/>
      <c r="G143" s="140"/>
      <c r="H143" s="140"/>
      <c r="I143" s="140"/>
      <c r="J143" s="140"/>
      <c r="K143" s="140"/>
      <c r="M143" s="133"/>
      <c r="N143" s="133"/>
      <c r="O143" s="133"/>
      <c r="P143" s="133"/>
      <c r="Q143" s="133"/>
      <c r="R143" s="133"/>
      <c r="T143" s="159"/>
      <c r="U143" s="159"/>
      <c r="V143" s="159"/>
      <c r="W143" s="159"/>
    </row>
    <row r="144" spans="1:23">
      <c r="A144" s="142" t="str">
        <f t="shared" si="33"/>
        <v>Saudi Arabia</v>
      </c>
      <c r="B144" s="142" t="s">
        <v>34</v>
      </c>
      <c r="C144" s="134" t="s">
        <v>321</v>
      </c>
      <c r="D144" s="134"/>
      <c r="E144" s="137" t="s">
        <v>320</v>
      </c>
      <c r="F144" s="137"/>
      <c r="G144" s="137"/>
      <c r="H144" s="137"/>
      <c r="I144" s="137"/>
      <c r="J144" s="137"/>
      <c r="K144" s="137"/>
      <c r="M144" s="143"/>
      <c r="N144" s="143"/>
      <c r="O144" s="143"/>
      <c r="P144" s="143"/>
      <c r="Q144" s="143"/>
      <c r="R144" s="143"/>
      <c r="T144" s="159"/>
      <c r="U144" s="101"/>
      <c r="V144" s="101"/>
      <c r="W144" s="101"/>
    </row>
    <row r="145" spans="1:23">
      <c r="A145" s="129" t="str">
        <f t="shared" si="33"/>
        <v>Saudi Arabia</v>
      </c>
      <c r="B145" s="129" t="s">
        <v>34</v>
      </c>
      <c r="C145" s="4" t="s">
        <v>44</v>
      </c>
      <c r="D145" s="2" t="s">
        <v>36</v>
      </c>
      <c r="E145" s="139" t="s">
        <v>320</v>
      </c>
      <c r="F145" s="139"/>
      <c r="G145" s="140"/>
      <c r="H145" s="140"/>
      <c r="I145" s="140"/>
      <c r="J145" s="140"/>
      <c r="K145" s="140"/>
      <c r="M145" s="133"/>
      <c r="N145" s="133"/>
      <c r="O145" s="133"/>
      <c r="P145" s="133"/>
      <c r="Q145" s="133"/>
      <c r="R145" s="133"/>
      <c r="T145" s="159"/>
      <c r="U145" s="101"/>
      <c r="V145" s="101"/>
      <c r="W145" s="101"/>
    </row>
    <row r="146" spans="1:23">
      <c r="A146" s="129" t="str">
        <f t="shared" si="33"/>
        <v>Saudi Arabia</v>
      </c>
      <c r="B146" s="129" t="s">
        <v>34</v>
      </c>
      <c r="C146" s="4" t="s">
        <v>44</v>
      </c>
      <c r="D146" s="2" t="s">
        <v>37</v>
      </c>
      <c r="E146" s="139" t="s">
        <v>320</v>
      </c>
      <c r="F146" s="139"/>
      <c r="G146" s="140"/>
      <c r="H146" s="140"/>
      <c r="I146" s="140"/>
      <c r="J146" s="140"/>
      <c r="K146" s="140"/>
      <c r="M146" s="133"/>
      <c r="N146" s="133"/>
      <c r="O146" s="133"/>
      <c r="P146" s="133"/>
      <c r="Q146" s="133"/>
      <c r="R146" s="133"/>
      <c r="T146" s="159"/>
      <c r="U146" s="101"/>
      <c r="V146" s="101"/>
      <c r="W146" s="101"/>
    </row>
    <row r="147" spans="1:23">
      <c r="A147" s="129" t="str">
        <f t="shared" si="33"/>
        <v>Saudi Arabia</v>
      </c>
      <c r="B147" s="129" t="s">
        <v>34</v>
      </c>
      <c r="C147" s="4" t="s">
        <v>44</v>
      </c>
      <c r="D147" s="2" t="s">
        <v>38</v>
      </c>
      <c r="E147" s="139" t="s">
        <v>320</v>
      </c>
      <c r="F147" s="139"/>
      <c r="G147" s="140"/>
      <c r="H147" s="140"/>
      <c r="I147" s="140"/>
      <c r="J147" s="140"/>
      <c r="K147" s="140"/>
      <c r="M147" s="133"/>
      <c r="N147" s="133"/>
      <c r="O147" s="133"/>
      <c r="P147" s="133"/>
      <c r="Q147" s="133"/>
      <c r="R147" s="133"/>
      <c r="T147" s="159"/>
      <c r="U147" s="101"/>
      <c r="V147" s="101"/>
      <c r="W147" s="101"/>
    </row>
    <row r="148" spans="1:23">
      <c r="A148" s="129" t="str">
        <f t="shared" si="33"/>
        <v>Saudi Arabia</v>
      </c>
      <c r="B148" s="129" t="s">
        <v>34</v>
      </c>
      <c r="C148" s="4" t="s">
        <v>44</v>
      </c>
      <c r="D148" s="2" t="s">
        <v>39</v>
      </c>
      <c r="E148" s="139" t="s">
        <v>320</v>
      </c>
      <c r="F148" s="139"/>
      <c r="G148" s="140"/>
      <c r="H148" s="140"/>
      <c r="I148" s="140"/>
      <c r="J148" s="140"/>
      <c r="K148" s="140"/>
      <c r="M148" s="133"/>
      <c r="N148" s="133"/>
      <c r="O148" s="133"/>
      <c r="P148" s="133"/>
      <c r="Q148" s="133"/>
      <c r="R148" s="133"/>
      <c r="T148" s="159"/>
      <c r="U148" s="101"/>
      <c r="V148" s="101"/>
      <c r="W148" s="101"/>
    </row>
    <row r="149" spans="1:23">
      <c r="A149" s="129" t="str">
        <f t="shared" si="33"/>
        <v>Saudi Arabia</v>
      </c>
      <c r="B149" s="129" t="s">
        <v>34</v>
      </c>
      <c r="C149" s="4" t="s">
        <v>44</v>
      </c>
      <c r="D149" s="2" t="s">
        <v>40</v>
      </c>
      <c r="E149" s="139" t="s">
        <v>320</v>
      </c>
      <c r="F149" s="139"/>
      <c r="G149" s="140"/>
      <c r="H149" s="140"/>
      <c r="I149" s="140"/>
      <c r="J149" s="140"/>
      <c r="K149" s="140"/>
      <c r="M149" s="133"/>
      <c r="N149" s="133"/>
      <c r="O149" s="133"/>
      <c r="P149" s="133"/>
      <c r="Q149" s="133"/>
      <c r="R149" s="133"/>
      <c r="T149" s="159"/>
      <c r="U149" s="101"/>
      <c r="V149" s="101"/>
      <c r="W149" s="101"/>
    </row>
    <row r="150" spans="1:23">
      <c r="A150" s="129" t="str">
        <f t="shared" si="33"/>
        <v>Saudi Arabia</v>
      </c>
      <c r="B150" s="129" t="s">
        <v>34</v>
      </c>
      <c r="C150" s="4" t="s">
        <v>44</v>
      </c>
      <c r="D150" s="2" t="s">
        <v>41</v>
      </c>
      <c r="E150" s="139" t="s">
        <v>320</v>
      </c>
      <c r="F150" s="139"/>
      <c r="G150" s="140"/>
      <c r="H150" s="140"/>
      <c r="I150" s="140"/>
      <c r="J150" s="140"/>
      <c r="K150" s="140"/>
      <c r="M150" s="133"/>
      <c r="N150" s="133"/>
      <c r="O150" s="133"/>
      <c r="P150" s="133"/>
      <c r="Q150" s="133"/>
      <c r="R150" s="133"/>
      <c r="T150" s="159"/>
      <c r="U150" s="101"/>
      <c r="V150" s="101"/>
      <c r="W150" s="101"/>
    </row>
    <row r="151" spans="1:23">
      <c r="A151" s="129" t="str">
        <f t="shared" si="33"/>
        <v>Saudi Arabia</v>
      </c>
      <c r="B151" s="129" t="s">
        <v>34</v>
      </c>
      <c r="C151" s="4" t="s">
        <v>44</v>
      </c>
      <c r="D151" s="2" t="s">
        <v>42</v>
      </c>
      <c r="E151" s="139" t="s">
        <v>320</v>
      </c>
      <c r="F151" s="139"/>
      <c r="G151" s="140"/>
      <c r="H151" s="140"/>
      <c r="I151" s="140"/>
      <c r="J151" s="140"/>
      <c r="K151" s="140"/>
      <c r="M151" s="133"/>
      <c r="N151" s="133"/>
      <c r="O151" s="133"/>
      <c r="P151" s="133"/>
      <c r="Q151" s="133"/>
      <c r="R151" s="133"/>
      <c r="T151" s="159"/>
      <c r="U151" s="101"/>
      <c r="V151" s="101"/>
      <c r="W151" s="101"/>
    </row>
    <row r="152" spans="1:23">
      <c r="A152" s="125" t="str">
        <f t="shared" si="33"/>
        <v>Saudi Arabia</v>
      </c>
      <c r="B152" s="125" t="s">
        <v>34</v>
      </c>
      <c r="C152" s="134" t="s">
        <v>45</v>
      </c>
      <c r="D152" s="135"/>
      <c r="E152" s="136" t="s">
        <v>320</v>
      </c>
      <c r="F152" s="136"/>
      <c r="G152" s="148"/>
      <c r="H152" s="148"/>
      <c r="I152" s="148"/>
      <c r="J152" s="148"/>
      <c r="K152" s="148"/>
      <c r="M152" s="141"/>
      <c r="N152" s="141"/>
      <c r="O152" s="141"/>
      <c r="P152" s="141"/>
      <c r="Q152" s="141"/>
      <c r="R152" s="141"/>
    </row>
    <row r="153" spans="1:23">
      <c r="A153" s="129" t="str">
        <f t="shared" si="33"/>
        <v>Saudi Arabia</v>
      </c>
      <c r="B153" s="129" t="s">
        <v>34</v>
      </c>
      <c r="C153" s="4" t="s">
        <v>45</v>
      </c>
      <c r="D153" s="2" t="s">
        <v>46</v>
      </c>
      <c r="E153" s="139" t="s">
        <v>320</v>
      </c>
      <c r="F153" s="139"/>
      <c r="G153" s="149"/>
      <c r="H153" s="149"/>
      <c r="I153" s="149"/>
      <c r="J153" s="149"/>
      <c r="K153" s="149"/>
      <c r="M153" s="133"/>
      <c r="N153" s="133"/>
      <c r="O153" s="133"/>
      <c r="P153" s="133"/>
      <c r="Q153" s="133"/>
      <c r="R153" s="133"/>
    </row>
    <row r="154" spans="1:23">
      <c r="A154" s="129" t="str">
        <f t="shared" si="33"/>
        <v>Saudi Arabia</v>
      </c>
      <c r="B154" s="129" t="s">
        <v>34</v>
      </c>
      <c r="C154" s="4" t="s">
        <v>45</v>
      </c>
      <c r="D154" s="2" t="s">
        <v>47</v>
      </c>
      <c r="E154" s="139" t="s">
        <v>320</v>
      </c>
      <c r="F154" s="139"/>
      <c r="G154" s="149"/>
      <c r="H154" s="149"/>
      <c r="I154" s="149"/>
      <c r="J154" s="149"/>
      <c r="K154" s="149"/>
    </row>
    <row r="155" spans="1:23">
      <c r="A155" s="142" t="str">
        <f t="shared" si="33"/>
        <v>Saudi Arabia</v>
      </c>
      <c r="B155" s="142" t="s">
        <v>34</v>
      </c>
      <c r="C155" s="134" t="s">
        <v>322</v>
      </c>
      <c r="D155" s="134"/>
      <c r="E155" s="136" t="s">
        <v>320</v>
      </c>
      <c r="F155" s="136"/>
      <c r="G155" s="148"/>
      <c r="H155" s="148"/>
      <c r="I155" s="148"/>
      <c r="J155" s="148"/>
      <c r="K155" s="148"/>
      <c r="M155" s="141"/>
      <c r="N155" s="141"/>
      <c r="O155" s="141"/>
      <c r="P155" s="141"/>
      <c r="Q155" s="141"/>
      <c r="R155" s="141"/>
    </row>
    <row r="156" spans="1:23">
      <c r="A156" s="129" t="str">
        <f t="shared" si="33"/>
        <v>Saudi Arabia</v>
      </c>
      <c r="B156" s="129" t="s">
        <v>34</v>
      </c>
      <c r="C156" s="4" t="s">
        <v>322</v>
      </c>
      <c r="D156" s="2" t="s">
        <v>36</v>
      </c>
      <c r="E156" s="139" t="s">
        <v>320</v>
      </c>
      <c r="F156" s="139"/>
      <c r="G156" s="149"/>
      <c r="H156" s="149"/>
      <c r="I156" s="149"/>
      <c r="J156" s="149"/>
      <c r="K156" s="149"/>
      <c r="M156" s="133"/>
      <c r="N156" s="133"/>
      <c r="O156" s="133"/>
      <c r="P156" s="133"/>
      <c r="Q156" s="133"/>
      <c r="R156" s="133"/>
    </row>
    <row r="157" spans="1:23">
      <c r="A157" s="129" t="str">
        <f t="shared" si="33"/>
        <v>Saudi Arabia</v>
      </c>
      <c r="B157" s="129" t="s">
        <v>34</v>
      </c>
      <c r="C157" s="4" t="s">
        <v>322</v>
      </c>
      <c r="D157" s="2" t="s">
        <v>37</v>
      </c>
      <c r="E157" s="139" t="s">
        <v>320</v>
      </c>
      <c r="F157" s="139"/>
      <c r="G157" s="149"/>
      <c r="H157" s="149"/>
      <c r="I157" s="149"/>
      <c r="J157" s="149"/>
      <c r="K157" s="149"/>
      <c r="M157" s="133"/>
      <c r="N157" s="133"/>
      <c r="O157" s="133"/>
      <c r="P157" s="133"/>
      <c r="Q157" s="133"/>
      <c r="R157" s="133"/>
    </row>
    <row r="158" spans="1:23">
      <c r="A158" s="129" t="str">
        <f t="shared" si="33"/>
        <v>Saudi Arabia</v>
      </c>
      <c r="B158" s="129" t="s">
        <v>34</v>
      </c>
      <c r="C158" s="4" t="s">
        <v>322</v>
      </c>
      <c r="D158" s="2" t="s">
        <v>38</v>
      </c>
      <c r="E158" s="139" t="s">
        <v>320</v>
      </c>
      <c r="F158" s="139"/>
      <c r="G158" s="149"/>
      <c r="H158" s="149"/>
      <c r="I158" s="149"/>
      <c r="J158" s="149"/>
      <c r="K158" s="149"/>
      <c r="M158" s="133"/>
      <c r="N158" s="133"/>
      <c r="O158" s="133"/>
      <c r="P158" s="133"/>
      <c r="Q158" s="133"/>
      <c r="R158" s="133"/>
    </row>
    <row r="159" spans="1:23">
      <c r="A159" s="129" t="str">
        <f t="shared" si="33"/>
        <v>Saudi Arabia</v>
      </c>
      <c r="B159" s="129" t="s">
        <v>34</v>
      </c>
      <c r="C159" s="4" t="s">
        <v>322</v>
      </c>
      <c r="D159" s="2" t="s">
        <v>39</v>
      </c>
      <c r="E159" s="139" t="s">
        <v>320</v>
      </c>
      <c r="F159" s="139"/>
      <c r="G159" s="149"/>
      <c r="H159" s="149"/>
      <c r="I159" s="149"/>
      <c r="J159" s="149"/>
      <c r="K159" s="149"/>
      <c r="M159" s="133"/>
      <c r="N159" s="133"/>
      <c r="O159" s="133"/>
      <c r="P159" s="133"/>
      <c r="Q159" s="133"/>
      <c r="R159" s="133"/>
    </row>
    <row r="160" spans="1:23">
      <c r="A160" s="129" t="str">
        <f t="shared" si="33"/>
        <v>Saudi Arabia</v>
      </c>
      <c r="B160" s="129" t="s">
        <v>34</v>
      </c>
      <c r="C160" s="4" t="s">
        <v>322</v>
      </c>
      <c r="D160" s="2" t="s">
        <v>40</v>
      </c>
      <c r="E160" s="139" t="s">
        <v>320</v>
      </c>
      <c r="F160" s="139"/>
      <c r="G160" s="149"/>
      <c r="H160" s="149"/>
      <c r="I160" s="149"/>
      <c r="J160" s="149"/>
      <c r="K160" s="149"/>
      <c r="M160" s="133"/>
      <c r="N160" s="133"/>
      <c r="O160" s="133"/>
      <c r="P160" s="133"/>
      <c r="Q160" s="133"/>
      <c r="R160" s="133"/>
    </row>
    <row r="161" spans="1:18">
      <c r="A161" s="129" t="str">
        <f t="shared" si="33"/>
        <v>Saudi Arabia</v>
      </c>
      <c r="B161" s="129" t="s">
        <v>34</v>
      </c>
      <c r="C161" s="4" t="s">
        <v>322</v>
      </c>
      <c r="D161" s="2" t="s">
        <v>41</v>
      </c>
      <c r="E161" s="139" t="s">
        <v>320</v>
      </c>
      <c r="F161" s="139"/>
      <c r="G161" s="149"/>
      <c r="H161" s="149"/>
      <c r="I161" s="149"/>
      <c r="J161" s="149"/>
      <c r="K161" s="149"/>
      <c r="M161" s="133"/>
      <c r="N161" s="133"/>
      <c r="O161" s="133"/>
      <c r="P161" s="133"/>
      <c r="Q161" s="133"/>
      <c r="R161" s="133"/>
    </row>
    <row r="162" spans="1:18">
      <c r="A162" s="129" t="str">
        <f t="shared" si="33"/>
        <v>Saudi Arabia</v>
      </c>
      <c r="B162" s="129" t="s">
        <v>34</v>
      </c>
      <c r="C162" s="4" t="s">
        <v>322</v>
      </c>
      <c r="D162" s="2" t="s">
        <v>42</v>
      </c>
      <c r="E162" s="139" t="s">
        <v>320</v>
      </c>
      <c r="F162" s="139"/>
      <c r="G162" s="149"/>
      <c r="H162" s="149"/>
      <c r="I162" s="149"/>
      <c r="J162" s="149"/>
      <c r="K162" s="149"/>
      <c r="M162" s="133"/>
      <c r="N162" s="133"/>
      <c r="O162" s="133"/>
      <c r="P162" s="133"/>
      <c r="Q162" s="133"/>
      <c r="R162" s="133"/>
    </row>
    <row r="163" spans="1:18">
      <c r="A163" s="125" t="str">
        <f t="shared" si="33"/>
        <v>Saudi Arabia</v>
      </c>
      <c r="B163" s="125" t="s">
        <v>34</v>
      </c>
      <c r="C163" s="134" t="s">
        <v>323</v>
      </c>
      <c r="D163" s="134"/>
      <c r="E163" s="136" t="s">
        <v>320</v>
      </c>
      <c r="F163" s="136"/>
      <c r="G163" s="148"/>
      <c r="H163" s="148"/>
      <c r="I163" s="148"/>
      <c r="J163" s="148"/>
      <c r="K163" s="148"/>
      <c r="M163" s="138"/>
      <c r="N163" s="138"/>
      <c r="O163" s="138"/>
      <c r="P163" s="138"/>
      <c r="Q163" s="138"/>
      <c r="R163" s="138"/>
    </row>
    <row r="164" spans="1:18">
      <c r="A164" s="129" t="str">
        <f t="shared" si="33"/>
        <v>Saudi Arabia</v>
      </c>
      <c r="B164" s="129" t="s">
        <v>34</v>
      </c>
      <c r="C164" s="4" t="s">
        <v>323</v>
      </c>
      <c r="D164" s="2" t="s">
        <v>36</v>
      </c>
      <c r="E164" s="139" t="s">
        <v>320</v>
      </c>
      <c r="F164" s="139"/>
      <c r="G164" s="149"/>
      <c r="H164" s="149"/>
      <c r="I164" s="149"/>
      <c r="J164" s="149"/>
      <c r="K164" s="149"/>
      <c r="M164" s="133"/>
      <c r="N164" s="133"/>
      <c r="O164" s="133"/>
      <c r="P164" s="133"/>
      <c r="Q164" s="133"/>
      <c r="R164" s="133"/>
    </row>
    <row r="165" spans="1:18">
      <c r="A165" s="129" t="str">
        <f t="shared" si="33"/>
        <v>Saudi Arabia</v>
      </c>
      <c r="B165" s="129" t="s">
        <v>34</v>
      </c>
      <c r="C165" s="4" t="s">
        <v>323</v>
      </c>
      <c r="D165" s="2" t="s">
        <v>37</v>
      </c>
      <c r="E165" s="139" t="s">
        <v>320</v>
      </c>
      <c r="F165" s="139"/>
      <c r="G165" s="149"/>
      <c r="H165" s="149"/>
      <c r="I165" s="149"/>
      <c r="J165" s="149"/>
      <c r="K165" s="149"/>
      <c r="M165" s="133"/>
      <c r="N165" s="133"/>
      <c r="O165" s="133"/>
      <c r="P165" s="133"/>
      <c r="Q165" s="133"/>
      <c r="R165" s="133"/>
    </row>
    <row r="166" spans="1:18">
      <c r="A166" s="129" t="str">
        <f t="shared" si="33"/>
        <v>Saudi Arabia</v>
      </c>
      <c r="B166" s="129" t="s">
        <v>34</v>
      </c>
      <c r="C166" s="4" t="s">
        <v>323</v>
      </c>
      <c r="D166" s="2" t="s">
        <v>38</v>
      </c>
      <c r="E166" s="139" t="s">
        <v>320</v>
      </c>
      <c r="F166" s="139"/>
      <c r="G166" s="149"/>
      <c r="H166" s="149"/>
      <c r="I166" s="149"/>
      <c r="J166" s="149"/>
      <c r="K166" s="149"/>
      <c r="M166" s="133"/>
      <c r="N166" s="133"/>
      <c r="O166" s="133"/>
      <c r="P166" s="133"/>
      <c r="Q166" s="133"/>
      <c r="R166" s="133"/>
    </row>
    <row r="167" spans="1:18">
      <c r="A167" s="129" t="str">
        <f t="shared" si="33"/>
        <v>Saudi Arabia</v>
      </c>
      <c r="B167" s="129" t="s">
        <v>34</v>
      </c>
      <c r="C167" s="4" t="s">
        <v>323</v>
      </c>
      <c r="D167" s="2" t="s">
        <v>39</v>
      </c>
      <c r="E167" s="139" t="s">
        <v>320</v>
      </c>
      <c r="F167" s="139"/>
      <c r="G167" s="149"/>
      <c r="H167" s="149"/>
      <c r="I167" s="149"/>
      <c r="J167" s="149"/>
      <c r="K167" s="149"/>
      <c r="M167" s="133"/>
      <c r="N167" s="133"/>
      <c r="O167" s="133"/>
      <c r="P167" s="133"/>
      <c r="Q167" s="133"/>
      <c r="R167" s="133"/>
    </row>
    <row r="168" spans="1:18">
      <c r="A168" s="129" t="str">
        <f t="shared" si="33"/>
        <v>Saudi Arabia</v>
      </c>
      <c r="B168" s="129" t="s">
        <v>34</v>
      </c>
      <c r="C168" s="4" t="s">
        <v>323</v>
      </c>
      <c r="D168" s="2" t="s">
        <v>40</v>
      </c>
      <c r="E168" s="139" t="s">
        <v>320</v>
      </c>
      <c r="F168" s="139"/>
      <c r="G168" s="149"/>
      <c r="H168" s="149"/>
      <c r="I168" s="149"/>
      <c r="J168" s="149"/>
      <c r="K168" s="149"/>
      <c r="M168" s="133"/>
      <c r="N168" s="133"/>
      <c r="O168" s="133"/>
      <c r="P168" s="133"/>
      <c r="Q168" s="133"/>
      <c r="R168" s="133"/>
    </row>
    <row r="169" spans="1:18">
      <c r="A169" s="129" t="str">
        <f t="shared" si="33"/>
        <v>Saudi Arabia</v>
      </c>
      <c r="B169" s="129" t="s">
        <v>34</v>
      </c>
      <c r="C169" s="4" t="s">
        <v>323</v>
      </c>
      <c r="D169" s="2" t="s">
        <v>41</v>
      </c>
      <c r="E169" s="139" t="s">
        <v>320</v>
      </c>
      <c r="F169" s="139"/>
      <c r="G169" s="149"/>
      <c r="H169" s="149"/>
      <c r="I169" s="149"/>
      <c r="J169" s="149"/>
      <c r="K169" s="149"/>
      <c r="M169" s="133"/>
      <c r="N169" s="133"/>
      <c r="O169" s="133"/>
      <c r="P169" s="133"/>
      <c r="Q169" s="133"/>
      <c r="R169" s="133"/>
    </row>
    <row r="170" spans="1:18">
      <c r="A170" s="129" t="str">
        <f t="shared" si="33"/>
        <v>Saudi Arabia</v>
      </c>
      <c r="B170" s="129" t="s">
        <v>34</v>
      </c>
      <c r="C170" s="4" t="s">
        <v>323</v>
      </c>
      <c r="D170" s="2" t="s">
        <v>42</v>
      </c>
      <c r="E170" s="139" t="s">
        <v>320</v>
      </c>
      <c r="F170" s="139"/>
      <c r="G170" s="149"/>
      <c r="H170" s="149"/>
      <c r="I170" s="149"/>
      <c r="J170" s="149"/>
      <c r="K170" s="149"/>
      <c r="M170" s="133"/>
      <c r="N170" s="133"/>
      <c r="O170" s="133"/>
      <c r="P170" s="133"/>
      <c r="Q170" s="133"/>
      <c r="R170" s="133"/>
    </row>
    <row r="171" spans="1:18">
      <c r="A171" s="122" t="str">
        <f t="shared" si="33"/>
        <v>Saudi Arabia</v>
      </c>
      <c r="B171" s="122" t="s">
        <v>324</v>
      </c>
      <c r="C171" s="123"/>
      <c r="D171" s="123"/>
      <c r="E171" s="144"/>
      <c r="F171" s="144"/>
      <c r="G171" s="147"/>
      <c r="H171" s="147"/>
      <c r="I171" s="147"/>
      <c r="J171" s="147"/>
      <c r="K171" s="147"/>
      <c r="M171" s="146"/>
      <c r="N171" s="146"/>
      <c r="O171" s="146"/>
      <c r="P171" s="146"/>
      <c r="Q171" s="146"/>
      <c r="R171" s="146"/>
    </row>
    <row r="172" spans="1:18">
      <c r="A172" s="125" t="str">
        <f t="shared" si="33"/>
        <v>Saudi Arabia</v>
      </c>
      <c r="B172" s="125" t="s">
        <v>324</v>
      </c>
      <c r="C172" s="134" t="s">
        <v>315</v>
      </c>
      <c r="D172" s="135"/>
      <c r="E172" s="136" t="s">
        <v>200</v>
      </c>
      <c r="F172" s="136"/>
      <c r="G172" s="148"/>
      <c r="H172" s="148"/>
      <c r="I172" s="148"/>
      <c r="J172" s="148"/>
      <c r="K172" s="148"/>
      <c r="M172" s="143"/>
      <c r="N172" s="143"/>
      <c r="O172" s="143"/>
      <c r="P172" s="143"/>
      <c r="Q172" s="143"/>
      <c r="R172" s="143"/>
    </row>
    <row r="173" spans="1:18">
      <c r="A173" s="129" t="str">
        <f t="shared" si="33"/>
        <v>Saudi Arabia</v>
      </c>
      <c r="B173" s="129" t="s">
        <v>324</v>
      </c>
      <c r="C173" s="4" t="s">
        <v>315</v>
      </c>
      <c r="D173" s="2" t="s">
        <v>36</v>
      </c>
      <c r="E173" s="139" t="s">
        <v>200</v>
      </c>
      <c r="F173" s="139"/>
      <c r="G173" s="149"/>
      <c r="H173" s="149"/>
      <c r="I173" s="149"/>
      <c r="J173" s="149"/>
      <c r="K173" s="149"/>
      <c r="M173" s="133"/>
      <c r="N173" s="133"/>
      <c r="O173" s="133"/>
      <c r="P173" s="133"/>
      <c r="Q173" s="133"/>
      <c r="R173" s="133"/>
    </row>
    <row r="174" spans="1:18">
      <c r="A174" s="129" t="str">
        <f t="shared" si="33"/>
        <v>Saudi Arabia</v>
      </c>
      <c r="B174" s="129" t="s">
        <v>324</v>
      </c>
      <c r="C174" s="4" t="s">
        <v>315</v>
      </c>
      <c r="D174" s="2" t="s">
        <v>37</v>
      </c>
      <c r="E174" s="139" t="s">
        <v>200</v>
      </c>
      <c r="F174" s="139"/>
      <c r="G174" s="149"/>
      <c r="H174" s="149"/>
      <c r="I174" s="149"/>
      <c r="J174" s="149"/>
      <c r="K174" s="149"/>
      <c r="M174" s="133"/>
      <c r="N174" s="133"/>
      <c r="O174" s="133"/>
      <c r="P174" s="133"/>
      <c r="Q174" s="133"/>
      <c r="R174" s="133"/>
    </row>
    <row r="175" spans="1:18">
      <c r="A175" s="129" t="str">
        <f t="shared" ref="A175:A196" si="34">$B$23</f>
        <v>Saudi Arabia</v>
      </c>
      <c r="B175" s="129" t="s">
        <v>324</v>
      </c>
      <c r="C175" s="4" t="s">
        <v>315</v>
      </c>
      <c r="D175" s="2" t="s">
        <v>38</v>
      </c>
      <c r="E175" s="139" t="s">
        <v>200</v>
      </c>
      <c r="F175" s="139"/>
      <c r="G175" s="149"/>
      <c r="H175" s="149"/>
      <c r="I175" s="149"/>
      <c r="J175" s="149"/>
      <c r="K175" s="149"/>
      <c r="M175" s="133"/>
      <c r="N175" s="133"/>
      <c r="O175" s="133"/>
      <c r="P175" s="133"/>
      <c r="Q175" s="133"/>
      <c r="R175" s="133"/>
    </row>
    <row r="176" spans="1:18">
      <c r="A176" s="129" t="str">
        <f t="shared" si="34"/>
        <v>Saudi Arabia</v>
      </c>
      <c r="B176" s="129" t="s">
        <v>324</v>
      </c>
      <c r="C176" s="4" t="s">
        <v>315</v>
      </c>
      <c r="D176" s="2" t="s">
        <v>39</v>
      </c>
      <c r="E176" s="139" t="s">
        <v>200</v>
      </c>
      <c r="F176" s="139"/>
      <c r="G176" s="149"/>
      <c r="H176" s="149"/>
      <c r="I176" s="149"/>
      <c r="J176" s="149"/>
      <c r="K176" s="149"/>
      <c r="M176" s="133"/>
      <c r="N176" s="133"/>
      <c r="O176" s="133"/>
      <c r="P176" s="133"/>
      <c r="Q176" s="133"/>
      <c r="R176" s="133"/>
    </row>
    <row r="177" spans="1:18">
      <c r="A177" s="129" t="str">
        <f t="shared" si="34"/>
        <v>Saudi Arabia</v>
      </c>
      <c r="B177" s="129" t="s">
        <v>324</v>
      </c>
      <c r="C177" s="4" t="s">
        <v>315</v>
      </c>
      <c r="D177" s="2" t="s">
        <v>40</v>
      </c>
      <c r="E177" s="139" t="s">
        <v>200</v>
      </c>
      <c r="F177" s="139"/>
      <c r="G177" s="149"/>
      <c r="H177" s="149"/>
      <c r="I177" s="149"/>
      <c r="J177" s="149"/>
      <c r="K177" s="149"/>
      <c r="M177" s="133"/>
      <c r="N177" s="133"/>
      <c r="O177" s="133"/>
      <c r="P177" s="133"/>
      <c r="Q177" s="133"/>
      <c r="R177" s="133"/>
    </row>
    <row r="178" spans="1:18">
      <c r="A178" s="129" t="str">
        <f t="shared" si="34"/>
        <v>Saudi Arabia</v>
      </c>
      <c r="B178" s="129" t="s">
        <v>324</v>
      </c>
      <c r="C178" s="4" t="s">
        <v>315</v>
      </c>
      <c r="D178" s="2" t="s">
        <v>41</v>
      </c>
      <c r="E178" s="139" t="s">
        <v>200</v>
      </c>
      <c r="F178" s="139"/>
      <c r="G178" s="149"/>
      <c r="H178" s="149"/>
      <c r="I178" s="149"/>
      <c r="J178" s="149"/>
      <c r="K178" s="149"/>
      <c r="M178" s="133"/>
      <c r="N178" s="133"/>
      <c r="O178" s="133"/>
      <c r="P178" s="133"/>
      <c r="Q178" s="133"/>
      <c r="R178" s="133"/>
    </row>
    <row r="179" spans="1:18">
      <c r="A179" s="129" t="str">
        <f t="shared" si="34"/>
        <v>Saudi Arabia</v>
      </c>
      <c r="B179" s="129" t="s">
        <v>324</v>
      </c>
      <c r="C179" s="4" t="s">
        <v>315</v>
      </c>
      <c r="D179" s="2" t="s">
        <v>42</v>
      </c>
      <c r="E179" s="139" t="s">
        <v>200</v>
      </c>
      <c r="F179" s="139"/>
      <c r="G179" s="149"/>
      <c r="H179" s="149"/>
      <c r="I179" s="149"/>
      <c r="J179" s="149"/>
      <c r="K179" s="149"/>
      <c r="M179" s="133"/>
      <c r="N179" s="133"/>
      <c r="O179" s="133"/>
      <c r="P179" s="133"/>
      <c r="Q179" s="133"/>
      <c r="R179" s="133"/>
    </row>
    <row r="180" spans="1:18">
      <c r="A180" s="125" t="str">
        <f t="shared" si="34"/>
        <v>Saudi Arabia</v>
      </c>
      <c r="B180" s="125" t="s">
        <v>324</v>
      </c>
      <c r="C180" s="134" t="s">
        <v>325</v>
      </c>
      <c r="D180" s="134"/>
      <c r="E180" s="136" t="s">
        <v>200</v>
      </c>
      <c r="F180" s="136"/>
      <c r="G180" s="148"/>
      <c r="H180" s="148"/>
      <c r="I180" s="148"/>
      <c r="J180" s="148"/>
      <c r="K180" s="148"/>
      <c r="M180" s="138"/>
      <c r="N180" s="138"/>
      <c r="O180" s="138"/>
      <c r="P180" s="138"/>
      <c r="Q180" s="138"/>
      <c r="R180" s="138"/>
    </row>
    <row r="181" spans="1:18">
      <c r="A181" s="129" t="str">
        <f t="shared" si="34"/>
        <v>Saudi Arabia</v>
      </c>
      <c r="B181" s="129" t="s">
        <v>324</v>
      </c>
      <c r="C181" s="4" t="s">
        <v>325</v>
      </c>
      <c r="D181" s="2" t="s">
        <v>36</v>
      </c>
      <c r="E181" s="139" t="s">
        <v>200</v>
      </c>
      <c r="F181" s="139"/>
      <c r="G181" s="149"/>
      <c r="H181" s="149"/>
      <c r="I181" s="149"/>
      <c r="J181" s="149"/>
      <c r="K181" s="149"/>
      <c r="M181" s="133"/>
      <c r="N181" s="133"/>
      <c r="O181" s="133"/>
      <c r="P181" s="133"/>
      <c r="Q181" s="133"/>
      <c r="R181" s="133"/>
    </row>
    <row r="182" spans="1:18">
      <c r="A182" s="129" t="str">
        <f t="shared" si="34"/>
        <v>Saudi Arabia</v>
      </c>
      <c r="B182" s="129" t="s">
        <v>324</v>
      </c>
      <c r="C182" s="4" t="s">
        <v>325</v>
      </c>
      <c r="D182" s="2" t="s">
        <v>37</v>
      </c>
      <c r="E182" s="139" t="s">
        <v>200</v>
      </c>
      <c r="F182" s="139"/>
      <c r="G182" s="149"/>
      <c r="H182" s="149"/>
      <c r="I182" s="149"/>
      <c r="J182" s="149"/>
      <c r="K182" s="149"/>
      <c r="M182" s="133"/>
      <c r="N182" s="133"/>
      <c r="O182" s="133"/>
      <c r="P182" s="133"/>
      <c r="Q182" s="133"/>
      <c r="R182" s="133"/>
    </row>
    <row r="183" spans="1:18">
      <c r="A183" s="129" t="str">
        <f t="shared" si="34"/>
        <v>Saudi Arabia</v>
      </c>
      <c r="B183" s="129" t="s">
        <v>324</v>
      </c>
      <c r="C183" s="4" t="s">
        <v>325</v>
      </c>
      <c r="D183" s="2" t="s">
        <v>38</v>
      </c>
      <c r="E183" s="139" t="s">
        <v>200</v>
      </c>
      <c r="F183" s="139"/>
      <c r="G183" s="149"/>
      <c r="H183" s="149"/>
      <c r="I183" s="149"/>
      <c r="J183" s="149"/>
      <c r="K183" s="149"/>
      <c r="M183" s="133"/>
      <c r="N183" s="133"/>
      <c r="O183" s="133"/>
      <c r="P183" s="133"/>
      <c r="Q183" s="133"/>
      <c r="R183" s="133"/>
    </row>
    <row r="184" spans="1:18">
      <c r="A184" s="129" t="str">
        <f t="shared" si="34"/>
        <v>Saudi Arabia</v>
      </c>
      <c r="B184" s="129" t="s">
        <v>324</v>
      </c>
      <c r="C184" s="4" t="s">
        <v>325</v>
      </c>
      <c r="D184" s="2" t="s">
        <v>39</v>
      </c>
      <c r="E184" s="139" t="s">
        <v>200</v>
      </c>
      <c r="F184" s="139"/>
      <c r="G184" s="149"/>
      <c r="H184" s="149"/>
      <c r="I184" s="149"/>
      <c r="J184" s="149"/>
      <c r="K184" s="149"/>
      <c r="M184" s="133"/>
      <c r="N184" s="133"/>
      <c r="O184" s="133"/>
      <c r="P184" s="133"/>
      <c r="Q184" s="133"/>
      <c r="R184" s="133"/>
    </row>
    <row r="185" spans="1:18">
      <c r="A185" s="129" t="str">
        <f t="shared" si="34"/>
        <v>Saudi Arabia</v>
      </c>
      <c r="B185" s="129" t="s">
        <v>324</v>
      </c>
      <c r="C185" s="4" t="s">
        <v>325</v>
      </c>
      <c r="D185" s="2" t="s">
        <v>40</v>
      </c>
      <c r="E185" s="139" t="s">
        <v>200</v>
      </c>
      <c r="F185" s="139"/>
      <c r="G185" s="149"/>
      <c r="H185" s="149"/>
      <c r="I185" s="149"/>
      <c r="J185" s="149"/>
      <c r="K185" s="149"/>
      <c r="M185" s="133"/>
      <c r="N185" s="133"/>
      <c r="O185" s="133"/>
      <c r="P185" s="133"/>
      <c r="Q185" s="133"/>
      <c r="R185" s="133"/>
    </row>
    <row r="186" spans="1:18">
      <c r="A186" s="129" t="str">
        <f t="shared" si="34"/>
        <v>Saudi Arabia</v>
      </c>
      <c r="B186" s="129" t="s">
        <v>324</v>
      </c>
      <c r="C186" s="4" t="s">
        <v>325</v>
      </c>
      <c r="D186" s="2" t="s">
        <v>41</v>
      </c>
      <c r="E186" s="139" t="s">
        <v>200</v>
      </c>
      <c r="F186" s="139"/>
      <c r="G186" s="149"/>
      <c r="H186" s="149"/>
      <c r="I186" s="149"/>
      <c r="J186" s="149"/>
      <c r="K186" s="149"/>
      <c r="M186" s="133"/>
      <c r="N186" s="133"/>
      <c r="O186" s="133"/>
      <c r="P186" s="133"/>
      <c r="Q186" s="133"/>
      <c r="R186" s="133"/>
    </row>
    <row r="187" spans="1:18">
      <c r="A187" s="129" t="str">
        <f t="shared" si="34"/>
        <v>Saudi Arabia</v>
      </c>
      <c r="B187" s="129" t="s">
        <v>324</v>
      </c>
      <c r="C187" s="4" t="s">
        <v>325</v>
      </c>
      <c r="D187" s="2" t="s">
        <v>42</v>
      </c>
      <c r="E187" s="139" t="s">
        <v>200</v>
      </c>
      <c r="F187" s="139"/>
      <c r="G187" s="149"/>
      <c r="H187" s="149"/>
      <c r="I187" s="149"/>
      <c r="J187" s="149"/>
      <c r="K187" s="149"/>
      <c r="M187" s="133"/>
      <c r="N187" s="133"/>
      <c r="O187" s="133"/>
      <c r="P187" s="133"/>
      <c r="Q187" s="133"/>
      <c r="R187" s="133"/>
    </row>
    <row r="188" spans="1:18">
      <c r="A188" s="122" t="str">
        <f t="shared" si="34"/>
        <v>Saudi Arabia</v>
      </c>
      <c r="B188" s="122" t="s">
        <v>326</v>
      </c>
      <c r="C188" s="123"/>
      <c r="D188" s="123"/>
      <c r="E188" s="144"/>
      <c r="F188" s="144"/>
      <c r="G188" s="147"/>
      <c r="H188" s="147"/>
      <c r="I188" s="147"/>
      <c r="J188" s="147"/>
      <c r="K188" s="147"/>
      <c r="M188" s="146"/>
      <c r="N188" s="146"/>
      <c r="O188" s="146"/>
      <c r="P188" s="146"/>
      <c r="Q188" s="146"/>
      <c r="R188" s="146"/>
    </row>
    <row r="189" spans="1:18">
      <c r="A189" s="125" t="str">
        <f t="shared" si="34"/>
        <v>Saudi Arabia</v>
      </c>
      <c r="B189" s="125" t="s">
        <v>326</v>
      </c>
      <c r="C189" s="134" t="s">
        <v>316</v>
      </c>
      <c r="D189" s="135"/>
      <c r="E189" s="136" t="s">
        <v>327</v>
      </c>
      <c r="F189" s="136"/>
      <c r="G189" s="148"/>
      <c r="H189" s="148"/>
      <c r="I189" s="148"/>
      <c r="J189" s="148"/>
      <c r="K189" s="148"/>
      <c r="M189" s="143"/>
      <c r="N189" s="143"/>
      <c r="O189" s="143"/>
      <c r="P189" s="143"/>
      <c r="Q189" s="143"/>
      <c r="R189" s="143"/>
    </row>
    <row r="190" spans="1:18">
      <c r="A190" s="129" t="str">
        <f t="shared" si="34"/>
        <v>Saudi Arabia</v>
      </c>
      <c r="B190" s="129" t="s">
        <v>326</v>
      </c>
      <c r="C190" s="4" t="s">
        <v>316</v>
      </c>
      <c r="D190" s="2" t="s">
        <v>36</v>
      </c>
      <c r="E190" s="139" t="s">
        <v>327</v>
      </c>
      <c r="F190" s="139"/>
      <c r="G190" s="149"/>
      <c r="H190" s="149"/>
      <c r="I190" s="149"/>
      <c r="J190" s="149"/>
      <c r="K190" s="149"/>
      <c r="M190" s="133"/>
      <c r="N190" s="133"/>
      <c r="O190" s="133"/>
      <c r="P190" s="133"/>
      <c r="Q190" s="133"/>
      <c r="R190" s="133"/>
    </row>
    <row r="191" spans="1:18">
      <c r="A191" s="129" t="str">
        <f t="shared" si="34"/>
        <v>Saudi Arabia</v>
      </c>
      <c r="B191" s="129" t="s">
        <v>326</v>
      </c>
      <c r="C191" s="4" t="s">
        <v>316</v>
      </c>
      <c r="D191" s="2" t="s">
        <v>37</v>
      </c>
      <c r="E191" s="139" t="s">
        <v>327</v>
      </c>
      <c r="F191" s="139"/>
      <c r="G191" s="149"/>
      <c r="H191" s="149"/>
      <c r="I191" s="149"/>
      <c r="J191" s="149"/>
      <c r="K191" s="149"/>
      <c r="M191" s="133"/>
      <c r="N191" s="133"/>
      <c r="O191" s="133"/>
      <c r="P191" s="133"/>
      <c r="Q191" s="133"/>
      <c r="R191" s="133"/>
    </row>
    <row r="192" spans="1:18">
      <c r="A192" s="129" t="str">
        <f t="shared" si="34"/>
        <v>Saudi Arabia</v>
      </c>
      <c r="B192" s="129" t="s">
        <v>326</v>
      </c>
      <c r="C192" s="4" t="s">
        <v>316</v>
      </c>
      <c r="D192" s="2" t="s">
        <v>38</v>
      </c>
      <c r="E192" s="139" t="s">
        <v>327</v>
      </c>
      <c r="F192" s="139"/>
      <c r="G192" s="149"/>
      <c r="H192" s="149"/>
      <c r="I192" s="149"/>
      <c r="J192" s="149"/>
      <c r="K192" s="149"/>
      <c r="M192" s="133"/>
      <c r="N192" s="133"/>
      <c r="O192" s="133"/>
      <c r="P192" s="133"/>
      <c r="Q192" s="133"/>
      <c r="R192" s="133"/>
    </row>
    <row r="193" spans="1:18">
      <c r="A193" s="129" t="str">
        <f t="shared" si="34"/>
        <v>Saudi Arabia</v>
      </c>
      <c r="B193" s="129" t="s">
        <v>326</v>
      </c>
      <c r="C193" s="4" t="s">
        <v>316</v>
      </c>
      <c r="D193" s="2" t="s">
        <v>39</v>
      </c>
      <c r="E193" s="139" t="s">
        <v>327</v>
      </c>
      <c r="F193" s="139"/>
      <c r="G193" s="149"/>
      <c r="H193" s="149"/>
      <c r="I193" s="149"/>
      <c r="J193" s="149"/>
      <c r="K193" s="149"/>
      <c r="M193" s="133"/>
      <c r="N193" s="133"/>
      <c r="O193" s="133"/>
      <c r="P193" s="133"/>
      <c r="Q193" s="133"/>
      <c r="R193" s="133"/>
    </row>
    <row r="194" spans="1:18">
      <c r="A194" s="129" t="str">
        <f t="shared" si="34"/>
        <v>Saudi Arabia</v>
      </c>
      <c r="B194" s="129" t="s">
        <v>326</v>
      </c>
      <c r="C194" s="4" t="s">
        <v>316</v>
      </c>
      <c r="D194" s="2" t="s">
        <v>40</v>
      </c>
      <c r="E194" s="139" t="s">
        <v>327</v>
      </c>
      <c r="F194" s="139"/>
      <c r="G194" s="149"/>
      <c r="H194" s="149"/>
      <c r="I194" s="149"/>
      <c r="J194" s="149"/>
      <c r="K194" s="149"/>
      <c r="M194" s="133"/>
      <c r="N194" s="133"/>
      <c r="O194" s="133"/>
      <c r="P194" s="133"/>
      <c r="Q194" s="133"/>
      <c r="R194" s="133"/>
    </row>
    <row r="195" spans="1:18">
      <c r="A195" s="129" t="str">
        <f t="shared" si="34"/>
        <v>Saudi Arabia</v>
      </c>
      <c r="B195" s="129" t="s">
        <v>326</v>
      </c>
      <c r="C195" s="4" t="s">
        <v>316</v>
      </c>
      <c r="D195" s="2" t="s">
        <v>41</v>
      </c>
      <c r="E195" s="139" t="s">
        <v>327</v>
      </c>
      <c r="F195" s="139"/>
      <c r="G195" s="149"/>
      <c r="H195" s="149"/>
      <c r="I195" s="149"/>
      <c r="J195" s="149"/>
      <c r="K195" s="149"/>
      <c r="M195" s="133"/>
      <c r="N195" s="133"/>
      <c r="O195" s="133"/>
      <c r="P195" s="133"/>
      <c r="Q195" s="133"/>
      <c r="R195" s="133"/>
    </row>
    <row r="196" spans="1:18">
      <c r="A196" s="129" t="str">
        <f t="shared" si="34"/>
        <v>Saudi Arabia</v>
      </c>
      <c r="B196" s="129" t="s">
        <v>326</v>
      </c>
      <c r="C196" s="129" t="s">
        <v>316</v>
      </c>
      <c r="D196" s="2" t="s">
        <v>42</v>
      </c>
      <c r="E196" s="139" t="s">
        <v>327</v>
      </c>
      <c r="F196" s="139"/>
      <c r="G196" s="149"/>
      <c r="H196" s="149"/>
      <c r="I196" s="149"/>
      <c r="J196" s="149"/>
      <c r="K196" s="149"/>
      <c r="M196" s="133"/>
      <c r="N196" s="133"/>
      <c r="O196" s="133"/>
      <c r="P196" s="133"/>
      <c r="Q196" s="133"/>
      <c r="R196" s="133"/>
    </row>
    <row r="197" spans="1:18">
      <c r="A197" s="122" t="s">
        <v>318</v>
      </c>
      <c r="B197" s="122" t="s">
        <v>34</v>
      </c>
      <c r="C197" s="123"/>
      <c r="D197" s="147"/>
      <c r="E197" s="147"/>
      <c r="F197" s="147"/>
      <c r="G197" s="147"/>
      <c r="H197" s="147"/>
      <c r="I197" s="147"/>
      <c r="J197" s="147"/>
      <c r="K197" s="147"/>
      <c r="M197" s="133"/>
      <c r="N197" s="133"/>
      <c r="O197" s="133"/>
      <c r="P197" s="133"/>
      <c r="Q197" s="133"/>
      <c r="R197" s="133"/>
    </row>
    <row r="198" spans="1:18">
      <c r="A198" s="125" t="s">
        <v>318</v>
      </c>
      <c r="B198" s="125" t="s">
        <v>34</v>
      </c>
      <c r="C198" s="134" t="s">
        <v>35</v>
      </c>
      <c r="D198" s="148"/>
      <c r="E198" s="150" t="s">
        <v>176</v>
      </c>
      <c r="F198" s="151">
        <f>AVERAGE(M26,M112)</f>
        <v>1</v>
      </c>
      <c r="G198" s="151">
        <f t="shared" ref="G198:J198" si="35">AVERAGE(N26,N112)</f>
        <v>1</v>
      </c>
      <c r="H198" s="151">
        <f t="shared" si="35"/>
        <v>1</v>
      </c>
      <c r="I198" s="151">
        <f t="shared" si="35"/>
        <v>1</v>
      </c>
      <c r="J198" s="151">
        <f t="shared" si="35"/>
        <v>1</v>
      </c>
      <c r="K198" s="151">
        <f>AVERAGE(R26,R112)</f>
        <v>1</v>
      </c>
      <c r="M198" s="133"/>
      <c r="N198" s="133"/>
      <c r="O198" s="133"/>
      <c r="P198" s="133"/>
      <c r="Q198" s="133"/>
      <c r="R198" s="133"/>
    </row>
    <row r="199" spans="1:18">
      <c r="A199" s="129" t="s">
        <v>318</v>
      </c>
      <c r="B199" s="129" t="s">
        <v>34</v>
      </c>
      <c r="C199" s="4" t="s">
        <v>35</v>
      </c>
      <c r="D199" s="2" t="s">
        <v>36</v>
      </c>
      <c r="E199" s="152" t="s">
        <v>176</v>
      </c>
      <c r="F199" s="133">
        <f>AVERAGE(M27,M113)</f>
        <v>9.5859778062152012E-2</v>
      </c>
      <c r="G199" s="133">
        <f t="shared" ref="G199:K205" si="36">AVERAGE(N27,N113)</f>
        <v>9.7695469429235085E-2</v>
      </c>
      <c r="H199" s="133">
        <f t="shared" si="36"/>
        <v>9.4247096952284989E-2</v>
      </c>
      <c r="I199" s="133">
        <f t="shared" si="36"/>
        <v>9.4341344049237261E-2</v>
      </c>
      <c r="J199" s="133">
        <f t="shared" si="36"/>
        <v>9.4247002705188015E-2</v>
      </c>
      <c r="K199" s="133">
        <f t="shared" si="36"/>
        <v>9.4042048102206205E-2</v>
      </c>
      <c r="M199" s="133"/>
      <c r="N199" s="133"/>
      <c r="O199" s="133"/>
      <c r="P199" s="133"/>
      <c r="Q199" s="133"/>
      <c r="R199" s="133"/>
    </row>
    <row r="200" spans="1:18">
      <c r="A200" s="129" t="s">
        <v>318</v>
      </c>
      <c r="B200" s="129" t="s">
        <v>34</v>
      </c>
      <c r="C200" s="4" t="s">
        <v>35</v>
      </c>
      <c r="D200" s="2" t="s">
        <v>37</v>
      </c>
      <c r="E200" s="152" t="s">
        <v>176</v>
      </c>
      <c r="F200" s="133">
        <f t="shared" ref="F200:F205" si="37">AVERAGE(M28,M114)</f>
        <v>4.8784254254446345E-2</v>
      </c>
      <c r="G200" s="133">
        <f t="shared" si="36"/>
        <v>5.0833193865044653E-2</v>
      </c>
      <c r="H200" s="133">
        <f t="shared" si="36"/>
        <v>5.4132217832714075E-2</v>
      </c>
      <c r="I200" s="133">
        <f t="shared" si="36"/>
        <v>5.4294614486212207E-2</v>
      </c>
      <c r="J200" s="133">
        <f t="shared" si="36"/>
        <v>5.3968846799294937E-2</v>
      </c>
      <c r="K200" s="133">
        <f t="shared" si="36"/>
        <v>5.4222401523700475E-2</v>
      </c>
      <c r="M200" s="133"/>
      <c r="N200" s="133"/>
      <c r="O200" s="133"/>
      <c r="P200" s="133"/>
      <c r="Q200" s="133"/>
      <c r="R200" s="133"/>
    </row>
    <row r="201" spans="1:18">
      <c r="A201" s="129" t="s">
        <v>318</v>
      </c>
      <c r="B201" s="129" t="s">
        <v>34</v>
      </c>
      <c r="C201" s="4" t="s">
        <v>35</v>
      </c>
      <c r="D201" s="2" t="s">
        <v>38</v>
      </c>
      <c r="E201" s="152" t="s">
        <v>176</v>
      </c>
      <c r="F201" s="133">
        <f t="shared" si="37"/>
        <v>0.16025043706349654</v>
      </c>
      <c r="G201" s="133">
        <f t="shared" si="36"/>
        <v>0.16337880981665234</v>
      </c>
      <c r="H201" s="133">
        <f t="shared" si="36"/>
        <v>0.16441450456049489</v>
      </c>
      <c r="I201" s="133">
        <f t="shared" si="36"/>
        <v>0.16523657708329734</v>
      </c>
      <c r="J201" s="133">
        <f t="shared" si="36"/>
        <v>0.16589752339163052</v>
      </c>
      <c r="K201" s="133">
        <f t="shared" si="36"/>
        <v>0.16521320099940437</v>
      </c>
      <c r="M201" s="133"/>
      <c r="N201" s="133"/>
      <c r="O201" s="133"/>
      <c r="P201" s="133"/>
      <c r="Q201" s="133"/>
      <c r="R201" s="133"/>
    </row>
    <row r="202" spans="1:18">
      <c r="A202" s="129" t="s">
        <v>318</v>
      </c>
      <c r="B202" s="129" t="s">
        <v>34</v>
      </c>
      <c r="C202" s="4" t="s">
        <v>35</v>
      </c>
      <c r="D202" s="2" t="s">
        <v>39</v>
      </c>
      <c r="E202" s="152" t="s">
        <v>176</v>
      </c>
      <c r="F202" s="133">
        <f t="shared" si="37"/>
        <v>0.17056353275903294</v>
      </c>
      <c r="G202" s="133">
        <f t="shared" si="36"/>
        <v>0.16376150254059257</v>
      </c>
      <c r="H202" s="133">
        <f t="shared" si="36"/>
        <v>0.16874973530759421</v>
      </c>
      <c r="I202" s="133">
        <f t="shared" si="36"/>
        <v>0.16841223583697901</v>
      </c>
      <c r="J202" s="133">
        <f t="shared" si="36"/>
        <v>0.16757017465779409</v>
      </c>
      <c r="K202" s="133">
        <f t="shared" si="36"/>
        <v>0.16740327294296428</v>
      </c>
      <c r="M202" s="133"/>
      <c r="N202" s="133"/>
      <c r="O202" s="133"/>
      <c r="P202" s="133"/>
      <c r="Q202" s="133"/>
      <c r="R202" s="133"/>
    </row>
    <row r="203" spans="1:18">
      <c r="A203" s="129" t="s">
        <v>318</v>
      </c>
      <c r="B203" s="129" t="s">
        <v>34</v>
      </c>
      <c r="C203" s="4" t="s">
        <v>35</v>
      </c>
      <c r="D203" s="2" t="s">
        <v>40</v>
      </c>
      <c r="E203" s="152" t="s">
        <v>176</v>
      </c>
      <c r="F203" s="133">
        <f t="shared" si="37"/>
        <v>0.31395074074782048</v>
      </c>
      <c r="G203" s="133">
        <f t="shared" si="36"/>
        <v>0.31650394703452361</v>
      </c>
      <c r="H203" s="133">
        <f t="shared" si="36"/>
        <v>0.30087504573719759</v>
      </c>
      <c r="I203" s="133">
        <f t="shared" si="36"/>
        <v>0.29997242059998597</v>
      </c>
      <c r="J203" s="133">
        <f t="shared" si="36"/>
        <v>0.30057236544118593</v>
      </c>
      <c r="K203" s="133">
        <f t="shared" si="36"/>
        <v>0.29962351143272242</v>
      </c>
      <c r="M203" s="133"/>
      <c r="N203" s="133"/>
      <c r="O203" s="133"/>
      <c r="P203" s="133"/>
      <c r="Q203" s="133"/>
      <c r="R203" s="133"/>
    </row>
    <row r="204" spans="1:18">
      <c r="A204" s="129" t="s">
        <v>318</v>
      </c>
      <c r="B204" s="129" t="s">
        <v>34</v>
      </c>
      <c r="C204" s="4" t="s">
        <v>35</v>
      </c>
      <c r="D204" s="2" t="s">
        <v>41</v>
      </c>
      <c r="E204" s="152" t="s">
        <v>176</v>
      </c>
      <c r="F204" s="133">
        <f t="shared" si="37"/>
        <v>3.2374426851533314E-2</v>
      </c>
      <c r="G204" s="133">
        <f t="shared" si="36"/>
        <v>3.2782214965908052E-2</v>
      </c>
      <c r="H204" s="133">
        <f t="shared" si="36"/>
        <v>3.2588391346471138E-2</v>
      </c>
      <c r="I204" s="133">
        <f t="shared" si="36"/>
        <v>3.2686156520510545E-2</v>
      </c>
      <c r="J204" s="133">
        <f t="shared" si="36"/>
        <v>3.294764577267463E-2</v>
      </c>
      <c r="K204" s="133">
        <f t="shared" si="36"/>
        <v>3.3160833396493235E-2</v>
      </c>
      <c r="M204" s="133"/>
      <c r="N204" s="133"/>
      <c r="O204" s="133"/>
      <c r="P204" s="133"/>
      <c r="Q204" s="133"/>
      <c r="R204" s="133"/>
    </row>
    <row r="205" spans="1:18">
      <c r="A205" s="129" t="s">
        <v>318</v>
      </c>
      <c r="B205" s="129" t="s">
        <v>34</v>
      </c>
      <c r="C205" s="4" t="s">
        <v>35</v>
      </c>
      <c r="D205" s="2" t="s">
        <v>42</v>
      </c>
      <c r="E205" s="152" t="s">
        <v>176</v>
      </c>
      <c r="F205" s="133">
        <f t="shared" si="37"/>
        <v>0.17821683026151836</v>
      </c>
      <c r="G205" s="133">
        <f t="shared" si="36"/>
        <v>0.1750448623480437</v>
      </c>
      <c r="H205" s="133">
        <f t="shared" si="36"/>
        <v>0.18499300826324311</v>
      </c>
      <c r="I205" s="133">
        <f t="shared" si="36"/>
        <v>0.18505665142377778</v>
      </c>
      <c r="J205" s="133">
        <f t="shared" si="36"/>
        <v>0.18479644123223196</v>
      </c>
      <c r="K205" s="133">
        <f t="shared" si="36"/>
        <v>0.18633473160250905</v>
      </c>
      <c r="M205" s="133"/>
      <c r="N205" s="133"/>
      <c r="O205" s="133"/>
      <c r="P205" s="133"/>
      <c r="Q205" s="133"/>
      <c r="R205" s="133"/>
    </row>
    <row r="206" spans="1:18">
      <c r="A206" s="125" t="s">
        <v>318</v>
      </c>
      <c r="B206" s="125" t="s">
        <v>34</v>
      </c>
      <c r="C206" s="134" t="s">
        <v>43</v>
      </c>
      <c r="D206" s="135"/>
      <c r="E206" s="134"/>
      <c r="F206" s="135"/>
      <c r="G206" s="135"/>
      <c r="H206" s="135"/>
      <c r="I206" s="135"/>
      <c r="J206" s="135"/>
      <c r="K206" s="135"/>
      <c r="M206" s="133"/>
      <c r="N206" s="133"/>
      <c r="O206" s="133"/>
      <c r="P206" s="133"/>
      <c r="Q206" s="133"/>
      <c r="R206" s="133"/>
    </row>
    <row r="207" spans="1:18">
      <c r="A207" s="129" t="s">
        <v>318</v>
      </c>
      <c r="B207" s="129" t="s">
        <v>34</v>
      </c>
      <c r="C207" s="4" t="s">
        <v>43</v>
      </c>
      <c r="D207" s="2" t="s">
        <v>36</v>
      </c>
      <c r="E207" s="152" t="s">
        <v>176</v>
      </c>
      <c r="F207" s="133">
        <f>AVERAGE(M35,M121)</f>
        <v>0.12834676371198336</v>
      </c>
      <c r="G207" s="133">
        <f t="shared" ref="G207:K207" si="38">AVERAGE(N35,N121)</f>
        <v>0.12883818074129494</v>
      </c>
      <c r="H207" s="133">
        <f t="shared" si="38"/>
        <v>0.12882189087334098</v>
      </c>
      <c r="I207" s="133">
        <f t="shared" si="38"/>
        <v>0.12883477306242833</v>
      </c>
      <c r="J207" s="133">
        <f t="shared" si="38"/>
        <v>0.12909244260855318</v>
      </c>
      <c r="K207" s="133">
        <f t="shared" si="38"/>
        <v>0.12945463025820889</v>
      </c>
      <c r="M207" s="133"/>
      <c r="N207" s="133"/>
      <c r="O207" s="133"/>
      <c r="P207" s="133"/>
      <c r="Q207" s="133"/>
      <c r="R207" s="133"/>
    </row>
    <row r="208" spans="1:18">
      <c r="A208" s="129" t="s">
        <v>318</v>
      </c>
      <c r="B208" s="129" t="s">
        <v>34</v>
      </c>
      <c r="C208" s="4" t="s">
        <v>43</v>
      </c>
      <c r="D208" s="2" t="s">
        <v>37</v>
      </c>
      <c r="E208" s="152" t="s">
        <v>176</v>
      </c>
      <c r="F208" s="133">
        <f t="shared" ref="F208:F213" si="39">AVERAGE(M36,M122)</f>
        <v>2.4272160124772551E-2</v>
      </c>
      <c r="G208" s="133">
        <f t="shared" ref="G208:G213" si="40">AVERAGE(N36,N122)</f>
        <v>2.4626702827394868E-2</v>
      </c>
      <c r="H208" s="133">
        <f t="shared" ref="H208:H213" si="41">AVERAGE(O36,O122)</f>
        <v>2.4446993281992464E-2</v>
      </c>
      <c r="I208" s="133">
        <f t="shared" ref="I208:I213" si="42">AVERAGE(P36,P122)</f>
        <v>2.4471440275274453E-2</v>
      </c>
      <c r="J208" s="133">
        <f t="shared" ref="J208:J213" si="43">AVERAGE(Q36,Q122)</f>
        <v>2.4544854596100271E-2</v>
      </c>
      <c r="K208" s="133">
        <f t="shared" ref="K208:K213" si="44">AVERAGE(R36,R122)</f>
        <v>2.4515077921354374E-2</v>
      </c>
      <c r="M208" s="133"/>
      <c r="N208" s="133"/>
      <c r="O208" s="133"/>
      <c r="P208" s="133"/>
      <c r="Q208" s="133"/>
      <c r="R208" s="133"/>
    </row>
    <row r="209" spans="1:18">
      <c r="A209" s="129" t="s">
        <v>318</v>
      </c>
      <c r="B209" s="129" t="s">
        <v>34</v>
      </c>
      <c r="C209" s="4" t="s">
        <v>43</v>
      </c>
      <c r="D209" s="2" t="s">
        <v>38</v>
      </c>
      <c r="E209" s="152" t="s">
        <v>176</v>
      </c>
      <c r="F209" s="133">
        <f t="shared" si="39"/>
        <v>0.17809331946971665</v>
      </c>
      <c r="G209" s="133">
        <f t="shared" si="40"/>
        <v>0.17297920758128371</v>
      </c>
      <c r="H209" s="133">
        <f t="shared" si="41"/>
        <v>0.17221038833360641</v>
      </c>
      <c r="I209" s="133">
        <f t="shared" si="42"/>
        <v>0.17255480911027363</v>
      </c>
      <c r="J209" s="133">
        <f t="shared" si="43"/>
        <v>0.17238225430116336</v>
      </c>
      <c r="K209" s="133">
        <f t="shared" si="44"/>
        <v>0.17247681159052575</v>
      </c>
      <c r="M209" s="133"/>
      <c r="N209" s="133"/>
      <c r="O209" s="133"/>
      <c r="P209" s="133"/>
      <c r="Q209" s="133"/>
      <c r="R209" s="133"/>
    </row>
    <row r="210" spans="1:18">
      <c r="A210" s="129" t="s">
        <v>318</v>
      </c>
      <c r="B210" s="129" t="s">
        <v>34</v>
      </c>
      <c r="C210" s="4" t="s">
        <v>43</v>
      </c>
      <c r="D210" s="2" t="s">
        <v>39</v>
      </c>
      <c r="E210" s="152" t="s">
        <v>176</v>
      </c>
      <c r="F210" s="133">
        <f t="shared" si="39"/>
        <v>0.26293215492591632</v>
      </c>
      <c r="G210" s="133">
        <f t="shared" si="40"/>
        <v>0.26662302440849156</v>
      </c>
      <c r="H210" s="133">
        <f t="shared" si="41"/>
        <v>0.26478780927412748</v>
      </c>
      <c r="I210" s="133">
        <f t="shared" si="42"/>
        <v>0.26425823365557921</v>
      </c>
      <c r="J210" s="133">
        <f t="shared" si="43"/>
        <v>0.26505100835654594</v>
      </c>
      <c r="K210" s="133">
        <f t="shared" si="44"/>
        <v>0.26448610223374297</v>
      </c>
      <c r="M210" s="133"/>
      <c r="N210" s="133"/>
      <c r="O210" s="133"/>
      <c r="P210" s="133"/>
      <c r="Q210" s="133"/>
      <c r="R210" s="133"/>
    </row>
    <row r="211" spans="1:18">
      <c r="A211" s="129" t="s">
        <v>318</v>
      </c>
      <c r="B211" s="129" t="s">
        <v>34</v>
      </c>
      <c r="C211" s="4" t="s">
        <v>43</v>
      </c>
      <c r="D211" s="2" t="s">
        <v>40</v>
      </c>
      <c r="E211" s="152" t="s">
        <v>176</v>
      </c>
      <c r="F211" s="133">
        <f t="shared" si="39"/>
        <v>0.32816147818490016</v>
      </c>
      <c r="G211" s="133">
        <f t="shared" si="40"/>
        <v>0.32768611550764232</v>
      </c>
      <c r="H211" s="133">
        <f t="shared" si="41"/>
        <v>0.33093277078826844</v>
      </c>
      <c r="I211" s="133">
        <f t="shared" si="42"/>
        <v>0.33093277078826844</v>
      </c>
      <c r="J211" s="133">
        <f t="shared" si="43"/>
        <v>0.33126370355905665</v>
      </c>
      <c r="K211" s="133">
        <f t="shared" si="44"/>
        <v>0.33080769387798986</v>
      </c>
      <c r="M211" s="133"/>
      <c r="N211" s="133"/>
      <c r="O211" s="133"/>
      <c r="P211" s="133"/>
      <c r="Q211" s="133"/>
      <c r="R211" s="133"/>
    </row>
    <row r="212" spans="1:18">
      <c r="A212" s="129" t="s">
        <v>318</v>
      </c>
      <c r="B212" s="129" t="s">
        <v>34</v>
      </c>
      <c r="C212" s="4" t="s">
        <v>43</v>
      </c>
      <c r="D212" s="2" t="s">
        <v>41</v>
      </c>
      <c r="E212" s="152" t="s">
        <v>176</v>
      </c>
      <c r="F212" s="133">
        <f t="shared" si="39"/>
        <v>2.1933437542732384E-3</v>
      </c>
      <c r="G212" s="133">
        <f t="shared" si="40"/>
        <v>2.1870102132342936E-3</v>
      </c>
      <c r="H212" s="133">
        <f t="shared" si="41"/>
        <v>2.2476322921838382E-3</v>
      </c>
      <c r="I212" s="133">
        <f t="shared" si="42"/>
        <v>2.2543751890603896E-3</v>
      </c>
      <c r="J212" s="133">
        <f t="shared" si="43"/>
        <v>2.2498664386822686E-3</v>
      </c>
      <c r="K212" s="133">
        <f t="shared" si="44"/>
        <v>2.253561196170953E-3</v>
      </c>
      <c r="M212" s="133"/>
      <c r="N212" s="133"/>
      <c r="O212" s="133"/>
      <c r="P212" s="133"/>
      <c r="Q212" s="133"/>
      <c r="R212" s="133"/>
    </row>
    <row r="213" spans="1:18">
      <c r="A213" s="129" t="s">
        <v>318</v>
      </c>
      <c r="B213" s="129" t="s">
        <v>34</v>
      </c>
      <c r="C213" s="4" t="s">
        <v>43</v>
      </c>
      <c r="D213" s="2" t="s">
        <v>42</v>
      </c>
      <c r="E213" s="152" t="s">
        <v>176</v>
      </c>
      <c r="F213" s="133">
        <f t="shared" si="39"/>
        <v>7.6000779828437739E-2</v>
      </c>
      <c r="G213" s="133">
        <f t="shared" si="40"/>
        <v>7.7059758720658372E-2</v>
      </c>
      <c r="H213" s="133">
        <f t="shared" si="41"/>
        <v>7.6552515156480413E-2</v>
      </c>
      <c r="I213" s="133">
        <f t="shared" si="42"/>
        <v>7.6693597919115494E-2</v>
      </c>
      <c r="J213" s="133">
        <f t="shared" si="43"/>
        <v>7.5415870139898256E-2</v>
      </c>
      <c r="K213" s="133">
        <f t="shared" si="44"/>
        <v>7.6006122922007494E-2</v>
      </c>
      <c r="M213" s="133"/>
      <c r="N213" s="133"/>
      <c r="O213" s="133"/>
      <c r="P213" s="133"/>
      <c r="Q213" s="133"/>
      <c r="R213" s="133"/>
    </row>
    <row r="214" spans="1:18">
      <c r="A214" s="142" t="s">
        <v>318</v>
      </c>
      <c r="B214" s="142" t="s">
        <v>34</v>
      </c>
      <c r="C214" s="134" t="s">
        <v>44</v>
      </c>
      <c r="D214" s="134"/>
      <c r="E214" s="134"/>
      <c r="F214" s="135"/>
      <c r="G214" s="135"/>
      <c r="H214" s="135"/>
      <c r="I214" s="135"/>
      <c r="J214" s="135"/>
      <c r="K214" s="135"/>
      <c r="M214" s="133"/>
      <c r="N214" s="133"/>
      <c r="O214" s="133"/>
      <c r="P214" s="133"/>
      <c r="Q214" s="133"/>
      <c r="R214" s="133"/>
    </row>
    <row r="215" spans="1:18">
      <c r="A215" s="129" t="s">
        <v>318</v>
      </c>
      <c r="B215" s="129" t="s">
        <v>34</v>
      </c>
      <c r="C215" s="4" t="s">
        <v>44</v>
      </c>
      <c r="D215" s="2" t="s">
        <v>36</v>
      </c>
      <c r="E215" s="152" t="s">
        <v>176</v>
      </c>
      <c r="F215" s="133">
        <f>AVERAGE(M43,M129)</f>
        <v>0.2734386059701035</v>
      </c>
      <c r="G215" s="133">
        <f t="shared" ref="G215:K215" si="45">AVERAGE(N43,N129)</f>
        <v>0.2761729920298045</v>
      </c>
      <c r="H215" s="133">
        <f t="shared" si="45"/>
        <v>0.27562611481786431</v>
      </c>
      <c r="I215" s="133">
        <f t="shared" si="45"/>
        <v>0.27338332397156689</v>
      </c>
      <c r="J215" s="133">
        <f t="shared" si="45"/>
        <v>0.27394952498753222</v>
      </c>
      <c r="K215" s="133">
        <f t="shared" si="45"/>
        <v>0.27333135730244551</v>
      </c>
      <c r="M215" s="133"/>
      <c r="N215" s="133"/>
      <c r="O215" s="133"/>
      <c r="P215" s="133"/>
      <c r="Q215" s="133"/>
      <c r="R215" s="133"/>
    </row>
    <row r="216" spans="1:18">
      <c r="A216" s="129" t="s">
        <v>318</v>
      </c>
      <c r="B216" s="129" t="s">
        <v>34</v>
      </c>
      <c r="C216" s="4" t="s">
        <v>44</v>
      </c>
      <c r="D216" s="2" t="s">
        <v>37</v>
      </c>
      <c r="E216" s="152" t="s">
        <v>176</v>
      </c>
      <c r="F216" s="133">
        <f t="shared" ref="F216:F221" si="46">AVERAGE(M44,M130)</f>
        <v>6.0303355624975484E-2</v>
      </c>
      <c r="G216" s="133">
        <f t="shared" ref="G216:G221" si="47">AVERAGE(N44,N130)</f>
        <v>6.0484265691850406E-2</v>
      </c>
      <c r="H216" s="133">
        <f t="shared" ref="H216:H221" si="48">AVERAGE(O44,O130)</f>
        <v>6.0604872403100349E-2</v>
      </c>
      <c r="I216" s="133">
        <f t="shared" ref="I216:I221" si="49">AVERAGE(P44,P130)</f>
        <v>5.9942862224652838E-2</v>
      </c>
      <c r="J216" s="133">
        <f t="shared" ref="J216:J221" si="50">AVERAGE(Q44,Q130)</f>
        <v>6.013132883374564E-2</v>
      </c>
      <c r="K216" s="133">
        <f t="shared" ref="K216:K221" si="51">AVERAGE(R44,R130)</f>
        <v>6.0641430326573639E-2</v>
      </c>
      <c r="M216" s="133"/>
      <c r="N216" s="133"/>
      <c r="O216" s="133"/>
      <c r="P216" s="133"/>
      <c r="Q216" s="133"/>
      <c r="R216" s="133"/>
    </row>
    <row r="217" spans="1:18">
      <c r="A217" s="129" t="s">
        <v>318</v>
      </c>
      <c r="B217" s="129" t="s">
        <v>34</v>
      </c>
      <c r="C217" s="4" t="s">
        <v>44</v>
      </c>
      <c r="D217" s="2" t="s">
        <v>38</v>
      </c>
      <c r="E217" s="152" t="s">
        <v>176</v>
      </c>
      <c r="F217" s="133">
        <f t="shared" si="46"/>
        <v>0.1658540385322913</v>
      </c>
      <c r="G217" s="133">
        <f t="shared" si="47"/>
        <v>0.16668330872495274</v>
      </c>
      <c r="H217" s="133">
        <f t="shared" si="48"/>
        <v>0.16618574660935589</v>
      </c>
      <c r="I217" s="133">
        <f t="shared" si="49"/>
        <v>0.16737926840553377</v>
      </c>
      <c r="J217" s="133">
        <f t="shared" si="50"/>
        <v>0.16724155035889296</v>
      </c>
      <c r="K217" s="133">
        <f t="shared" si="51"/>
        <v>0.16738505255296218</v>
      </c>
      <c r="M217" s="133"/>
      <c r="N217" s="133"/>
      <c r="O217" s="133"/>
      <c r="P217" s="133"/>
      <c r="Q217" s="133"/>
      <c r="R217" s="133"/>
    </row>
    <row r="218" spans="1:18">
      <c r="A218" s="129" t="s">
        <v>318</v>
      </c>
      <c r="B218" s="129" t="s">
        <v>34</v>
      </c>
      <c r="C218" s="4" t="s">
        <v>44</v>
      </c>
      <c r="D218" s="2" t="s">
        <v>39</v>
      </c>
      <c r="E218" s="152" t="s">
        <v>176</v>
      </c>
      <c r="F218" s="133">
        <f t="shared" si="46"/>
        <v>0.13637591988250039</v>
      </c>
      <c r="G218" s="133">
        <f t="shared" si="47"/>
        <v>0.1361031680427354</v>
      </c>
      <c r="H218" s="133">
        <f t="shared" si="48"/>
        <v>0.13678504764214788</v>
      </c>
      <c r="I218" s="133">
        <f t="shared" si="49"/>
        <v>0.13904662455237368</v>
      </c>
      <c r="J218" s="133">
        <f t="shared" si="50"/>
        <v>0.13920925166830589</v>
      </c>
      <c r="K218" s="133">
        <f t="shared" si="51"/>
        <v>0.13902510777373991</v>
      </c>
      <c r="M218" s="133"/>
      <c r="N218" s="133"/>
      <c r="O218" s="133"/>
      <c r="P218" s="133"/>
      <c r="Q218" s="133"/>
      <c r="R218" s="133"/>
    </row>
    <row r="219" spans="1:18">
      <c r="A219" s="129" t="s">
        <v>318</v>
      </c>
      <c r="B219" s="129" t="s">
        <v>34</v>
      </c>
      <c r="C219" s="4" t="s">
        <v>44</v>
      </c>
      <c r="D219" s="2" t="s">
        <v>40</v>
      </c>
      <c r="E219" s="152" t="s">
        <v>176</v>
      </c>
      <c r="F219" s="133">
        <f t="shared" si="46"/>
        <v>0.16002973283132454</v>
      </c>
      <c r="G219" s="133">
        <f t="shared" si="47"/>
        <v>0.16034979229698723</v>
      </c>
      <c r="H219" s="133">
        <f t="shared" si="48"/>
        <v>0.16163003015963781</v>
      </c>
      <c r="I219" s="133">
        <f t="shared" si="49"/>
        <v>0.16358894952841399</v>
      </c>
      <c r="J219" s="133">
        <f t="shared" si="50"/>
        <v>0.16437668339450004</v>
      </c>
      <c r="K219" s="133">
        <f t="shared" si="51"/>
        <v>0.16386918368318545</v>
      </c>
      <c r="M219" s="133"/>
      <c r="N219" s="133"/>
      <c r="O219" s="133"/>
      <c r="P219" s="133"/>
      <c r="Q219" s="133"/>
      <c r="R219" s="133"/>
    </row>
    <row r="220" spans="1:18">
      <c r="A220" s="129" t="s">
        <v>318</v>
      </c>
      <c r="B220" s="129" t="s">
        <v>34</v>
      </c>
      <c r="C220" s="4" t="s">
        <v>44</v>
      </c>
      <c r="D220" s="2" t="s">
        <v>41</v>
      </c>
      <c r="E220" s="152" t="s">
        <v>176</v>
      </c>
      <c r="F220" s="133">
        <f t="shared" si="46"/>
        <v>0.15468098191667767</v>
      </c>
      <c r="G220" s="133">
        <f t="shared" si="47"/>
        <v>0.15148462353948833</v>
      </c>
      <c r="H220" s="133">
        <f t="shared" si="48"/>
        <v>0.15044614380029137</v>
      </c>
      <c r="I220" s="133">
        <f t="shared" si="49"/>
        <v>0.14838413970458619</v>
      </c>
      <c r="J220" s="133">
        <f t="shared" si="50"/>
        <v>0.14779805123719758</v>
      </c>
      <c r="K220" s="133">
        <f t="shared" si="51"/>
        <v>0.14808481209417301</v>
      </c>
      <c r="M220" s="133"/>
      <c r="N220" s="133"/>
      <c r="O220" s="133"/>
      <c r="P220" s="133"/>
      <c r="Q220" s="133"/>
      <c r="R220" s="133"/>
    </row>
    <row r="221" spans="1:18">
      <c r="A221" s="129" t="s">
        <v>318</v>
      </c>
      <c r="B221" s="129" t="s">
        <v>34</v>
      </c>
      <c r="C221" s="4" t="s">
        <v>44</v>
      </c>
      <c r="D221" s="2" t="s">
        <v>42</v>
      </c>
      <c r="E221" s="152" t="s">
        <v>176</v>
      </c>
      <c r="F221" s="133">
        <f t="shared" si="46"/>
        <v>4.9317365242127105E-2</v>
      </c>
      <c r="G221" s="133">
        <f t="shared" si="47"/>
        <v>4.8721849674181521E-2</v>
      </c>
      <c r="H221" s="133">
        <f t="shared" si="48"/>
        <v>4.8722044567602471E-2</v>
      </c>
      <c r="I221" s="133">
        <f t="shared" si="49"/>
        <v>4.8274831612872611E-2</v>
      </c>
      <c r="J221" s="133">
        <f t="shared" si="50"/>
        <v>4.7293609519825655E-2</v>
      </c>
      <c r="K221" s="133">
        <f t="shared" si="51"/>
        <v>4.7663056266920238E-2</v>
      </c>
      <c r="M221" s="133"/>
      <c r="N221" s="133"/>
      <c r="O221" s="133"/>
      <c r="P221" s="133"/>
      <c r="Q221" s="133"/>
      <c r="R221" s="133"/>
    </row>
    <row r="222" spans="1:18">
      <c r="A222" s="142" t="s">
        <v>318</v>
      </c>
      <c r="B222" s="142" t="s">
        <v>34</v>
      </c>
      <c r="C222" s="134" t="s">
        <v>47</v>
      </c>
      <c r="D222" s="134"/>
      <c r="E222" s="134"/>
      <c r="F222" s="135"/>
      <c r="G222" s="135"/>
      <c r="H222" s="135"/>
      <c r="I222" s="135"/>
      <c r="J222" s="135"/>
      <c r="K222" s="135"/>
      <c r="M222" s="162"/>
      <c r="N222" s="162"/>
      <c r="O222" s="162"/>
      <c r="P222" s="162"/>
      <c r="Q222" s="162"/>
      <c r="R222" s="162"/>
    </row>
    <row r="223" spans="1:18">
      <c r="A223" s="129" t="s">
        <v>318</v>
      </c>
      <c r="B223" s="129" t="s">
        <v>34</v>
      </c>
      <c r="C223" s="4" t="s">
        <v>44</v>
      </c>
      <c r="D223" s="2" t="s">
        <v>36</v>
      </c>
      <c r="E223" s="152" t="s">
        <v>176</v>
      </c>
      <c r="F223" s="133">
        <f>AVERAGE(M51,M137)</f>
        <v>0.30421649517740429</v>
      </c>
      <c r="G223" s="133">
        <f t="shared" ref="G223:K223" si="52">AVERAGE(N51,N137)</f>
        <v>0.30388680012991631</v>
      </c>
      <c r="H223" s="133">
        <f t="shared" si="52"/>
        <v>0.30419950473041235</v>
      </c>
      <c r="I223" s="133">
        <f t="shared" si="52"/>
        <v>0.29786735284649246</v>
      </c>
      <c r="J223" s="133">
        <f t="shared" si="52"/>
        <v>0.29647438601636861</v>
      </c>
      <c r="K223" s="133">
        <f t="shared" si="52"/>
        <v>0.29480874394317774</v>
      </c>
      <c r="M223" s="162"/>
      <c r="N223" s="162"/>
      <c r="O223" s="162"/>
      <c r="P223" s="162"/>
      <c r="Q223" s="162"/>
      <c r="R223" s="162"/>
    </row>
    <row r="224" spans="1:18">
      <c r="A224" s="129" t="s">
        <v>318</v>
      </c>
      <c r="B224" s="129" t="s">
        <v>34</v>
      </c>
      <c r="C224" s="4" t="s">
        <v>44</v>
      </c>
      <c r="D224" s="2" t="s">
        <v>37</v>
      </c>
      <c r="E224" s="152" t="s">
        <v>176</v>
      </c>
      <c r="F224" s="133">
        <f t="shared" ref="F224:F229" si="53">AVERAGE(M52,M138)</f>
        <v>6.7231943568102567E-2</v>
      </c>
      <c r="G224" s="133">
        <f t="shared" ref="G224:G229" si="54">AVERAGE(N52,N138)</f>
        <v>6.6684031873656541E-2</v>
      </c>
      <c r="H224" s="133">
        <f t="shared" ref="H224:H229" si="55">AVERAGE(O52,O138)</f>
        <v>6.7014606875818825E-2</v>
      </c>
      <c r="I224" s="133">
        <f t="shared" ref="I224:I229" si="56">AVERAGE(P52,P138)</f>
        <v>6.5423361340123207E-2</v>
      </c>
      <c r="J224" s="133">
        <f t="shared" ref="J224:J229" si="57">AVERAGE(Q52,Q138)</f>
        <v>6.5179750464371661E-2</v>
      </c>
      <c r="K224" s="133">
        <f t="shared" ref="K224:K229" si="58">AVERAGE(R52,R138)</f>
        <v>6.5507334390479538E-2</v>
      </c>
      <c r="M224" s="162"/>
      <c r="N224" s="162"/>
      <c r="O224" s="162"/>
      <c r="P224" s="162"/>
      <c r="Q224" s="162"/>
      <c r="R224" s="162"/>
    </row>
    <row r="225" spans="1:18">
      <c r="A225" s="129" t="s">
        <v>318</v>
      </c>
      <c r="B225" s="129" t="s">
        <v>34</v>
      </c>
      <c r="C225" s="4" t="s">
        <v>44</v>
      </c>
      <c r="D225" s="2" t="s">
        <v>38</v>
      </c>
      <c r="E225" s="152" t="s">
        <v>176</v>
      </c>
      <c r="F225" s="133">
        <f t="shared" si="53"/>
        <v>0.18409152977411575</v>
      </c>
      <c r="G225" s="133">
        <f t="shared" si="54"/>
        <v>0.18303068787696139</v>
      </c>
      <c r="H225" s="133">
        <f t="shared" si="55"/>
        <v>0.18300447331132741</v>
      </c>
      <c r="I225" s="133">
        <f t="shared" si="56"/>
        <v>0.18203303090750264</v>
      </c>
      <c r="J225" s="133">
        <f t="shared" si="57"/>
        <v>0.18068304744839972</v>
      </c>
      <c r="K225" s="133">
        <f t="shared" si="58"/>
        <v>0.18023881059411187</v>
      </c>
      <c r="M225" s="162"/>
      <c r="N225" s="162"/>
      <c r="O225" s="162"/>
      <c r="P225" s="162"/>
      <c r="Q225" s="162"/>
      <c r="R225" s="162"/>
    </row>
    <row r="226" spans="1:18">
      <c r="A226" s="129" t="s">
        <v>318</v>
      </c>
      <c r="B226" s="129" t="s">
        <v>34</v>
      </c>
      <c r="C226" s="4" t="s">
        <v>44</v>
      </c>
      <c r="D226" s="2" t="s">
        <v>39</v>
      </c>
      <c r="E226" s="152" t="s">
        <v>176</v>
      </c>
      <c r="F226" s="133">
        <f t="shared" si="53"/>
        <v>0.15072848200902189</v>
      </c>
      <c r="G226" s="133">
        <f t="shared" si="54"/>
        <v>0.14886500819950665</v>
      </c>
      <c r="H226" s="133">
        <f t="shared" si="55"/>
        <v>0.15003912751904955</v>
      </c>
      <c r="I226" s="133">
        <f t="shared" si="56"/>
        <v>0.15070761376092731</v>
      </c>
      <c r="J226" s="133">
        <f t="shared" si="57"/>
        <v>0.14991768463890429</v>
      </c>
      <c r="K226" s="133">
        <f t="shared" si="58"/>
        <v>0.14923347422706723</v>
      </c>
      <c r="M226" s="162"/>
      <c r="N226" s="162"/>
      <c r="O226" s="162"/>
      <c r="P226" s="162"/>
      <c r="Q226" s="162"/>
      <c r="R226" s="162"/>
    </row>
    <row r="227" spans="1:18">
      <c r="A227" s="129" t="s">
        <v>318</v>
      </c>
      <c r="B227" s="129" t="s">
        <v>34</v>
      </c>
      <c r="C227" s="4" t="s">
        <v>44</v>
      </c>
      <c r="D227" s="2" t="s">
        <v>40</v>
      </c>
      <c r="E227" s="152" t="s">
        <v>176</v>
      </c>
      <c r="F227" s="133">
        <f t="shared" si="53"/>
        <v>8.6369592605431075E-2</v>
      </c>
      <c r="G227" s="133">
        <f t="shared" si="54"/>
        <v>9.4702280610607426E-2</v>
      </c>
      <c r="H227" s="133">
        <f t="shared" si="55"/>
        <v>9.3997964495156128E-2</v>
      </c>
      <c r="I227" s="133">
        <f t="shared" si="56"/>
        <v>0.10529298786700202</v>
      </c>
      <c r="J227" s="133">
        <f t="shared" si="57"/>
        <v>0.11093647751923559</v>
      </c>
      <c r="K227" s="133">
        <f t="shared" si="58"/>
        <v>0.1120886759018495</v>
      </c>
      <c r="M227" s="162"/>
      <c r="N227" s="162"/>
      <c r="O227" s="162"/>
      <c r="P227" s="162"/>
      <c r="Q227" s="162"/>
      <c r="R227" s="162"/>
    </row>
    <row r="228" spans="1:18">
      <c r="A228" s="129" t="s">
        <v>318</v>
      </c>
      <c r="B228" s="129" t="s">
        <v>34</v>
      </c>
      <c r="C228" s="4" t="s">
        <v>44</v>
      </c>
      <c r="D228" s="2" t="s">
        <v>41</v>
      </c>
      <c r="E228" s="152" t="s">
        <v>176</v>
      </c>
      <c r="F228" s="133">
        <f t="shared" si="53"/>
        <v>0.15285773595466493</v>
      </c>
      <c r="G228" s="133">
        <f t="shared" si="54"/>
        <v>0.1495457571259739</v>
      </c>
      <c r="H228" s="133">
        <f t="shared" si="55"/>
        <v>0.14830716143828612</v>
      </c>
      <c r="I228" s="133">
        <f t="shared" si="56"/>
        <v>0.14636364770000082</v>
      </c>
      <c r="J228" s="133">
        <f t="shared" si="57"/>
        <v>0.14589456642671672</v>
      </c>
      <c r="K228" s="133">
        <f t="shared" si="58"/>
        <v>0.14614573086132401</v>
      </c>
      <c r="M228" s="162"/>
      <c r="N228" s="162"/>
      <c r="O228" s="162"/>
      <c r="P228" s="162"/>
      <c r="Q228" s="162"/>
      <c r="R228" s="162"/>
    </row>
    <row r="229" spans="1:18">
      <c r="A229" s="129" t="s">
        <v>318</v>
      </c>
      <c r="B229" s="129" t="s">
        <v>34</v>
      </c>
      <c r="C229" s="4" t="s">
        <v>44</v>
      </c>
      <c r="D229" s="2" t="s">
        <v>42</v>
      </c>
      <c r="E229" s="152" t="s">
        <v>176</v>
      </c>
      <c r="F229" s="133">
        <f t="shared" si="53"/>
        <v>5.4504220911259497E-2</v>
      </c>
      <c r="G229" s="133">
        <f t="shared" si="54"/>
        <v>5.328543418337791E-2</v>
      </c>
      <c r="H229" s="133">
        <f t="shared" si="55"/>
        <v>5.343716162994968E-2</v>
      </c>
      <c r="I229" s="133">
        <f t="shared" si="56"/>
        <v>5.2312005577951501E-2</v>
      </c>
      <c r="J229" s="133">
        <f t="shared" si="57"/>
        <v>5.0914087486003491E-2</v>
      </c>
      <c r="K229" s="133">
        <f t="shared" si="58"/>
        <v>5.1150280498749708E-2</v>
      </c>
      <c r="M229" s="162"/>
      <c r="N229" s="162"/>
      <c r="O229" s="162"/>
      <c r="P229" s="162"/>
      <c r="Q229" s="162"/>
      <c r="R229" s="162"/>
    </row>
    <row r="230" spans="1:18">
      <c r="A230" s="142" t="s">
        <v>318</v>
      </c>
      <c r="B230" s="142" t="s">
        <v>34</v>
      </c>
      <c r="C230" s="134" t="s">
        <v>321</v>
      </c>
      <c r="D230" s="134"/>
      <c r="E230" s="134"/>
      <c r="F230" s="135"/>
      <c r="G230" s="135"/>
      <c r="H230" s="135"/>
      <c r="I230" s="135"/>
      <c r="J230" s="135"/>
      <c r="K230" s="135"/>
      <c r="M230" s="162"/>
      <c r="N230" s="162"/>
      <c r="O230" s="162"/>
      <c r="P230" s="162"/>
      <c r="Q230" s="162"/>
      <c r="R230" s="162"/>
    </row>
    <row r="231" spans="1:18">
      <c r="A231" s="129" t="s">
        <v>318</v>
      </c>
      <c r="B231" s="129" t="s">
        <v>34</v>
      </c>
      <c r="C231" s="4" t="s">
        <v>44</v>
      </c>
      <c r="D231" s="2" t="s">
        <v>36</v>
      </c>
      <c r="E231" s="152" t="s">
        <v>176</v>
      </c>
      <c r="F231" s="133">
        <f>AVERAGE(M59,M145)</f>
        <v>5.5615127602162617E-3</v>
      </c>
      <c r="G231" s="133">
        <f t="shared" ref="G231:K231" si="59">AVERAGE(N59,N145)</f>
        <v>5.8000000000002199E-3</v>
      </c>
      <c r="H231" s="133">
        <f t="shared" si="59"/>
        <v>5.4610000000001506E-3</v>
      </c>
      <c r="I231" s="133">
        <f t="shared" si="59"/>
        <v>5.589690831253543E-3</v>
      </c>
      <c r="J231" s="133">
        <f t="shared" si="59"/>
        <v>5.6577846062067245E-3</v>
      </c>
      <c r="K231" s="133">
        <f t="shared" si="59"/>
        <v>5.6689808014619468E-3</v>
      </c>
      <c r="M231" s="162"/>
      <c r="N231" s="162"/>
      <c r="O231" s="162"/>
      <c r="P231" s="162"/>
      <c r="Q231" s="162"/>
      <c r="R231" s="162"/>
    </row>
    <row r="232" spans="1:18">
      <c r="A232" s="129" t="s">
        <v>318</v>
      </c>
      <c r="B232" s="129" t="s">
        <v>34</v>
      </c>
      <c r="C232" s="4" t="s">
        <v>44</v>
      </c>
      <c r="D232" s="2" t="s">
        <v>37</v>
      </c>
      <c r="E232" s="152" t="s">
        <v>176</v>
      </c>
      <c r="F232" s="133">
        <f t="shared" ref="F232:F237" si="60">AVERAGE(M60,M146)</f>
        <v>0</v>
      </c>
      <c r="G232" s="133">
        <f t="shared" ref="G232:G237" si="61">AVERAGE(N60,N146)</f>
        <v>0</v>
      </c>
      <c r="H232" s="133">
        <f t="shared" ref="H232:H237" si="62">AVERAGE(O60,O146)</f>
        <v>0</v>
      </c>
      <c r="I232" s="133">
        <f t="shared" ref="I232:I237" si="63">AVERAGE(P60,P146)</f>
        <v>0</v>
      </c>
      <c r="J232" s="133">
        <f t="shared" ref="J232:J237" si="64">AVERAGE(Q60,Q146)</f>
        <v>0</v>
      </c>
      <c r="K232" s="133">
        <f t="shared" ref="K232:K237" si="65">AVERAGE(R60,R146)</f>
        <v>0</v>
      </c>
      <c r="M232" s="162"/>
      <c r="N232" s="162"/>
      <c r="O232" s="162"/>
      <c r="P232" s="162"/>
      <c r="Q232" s="162"/>
      <c r="R232" s="162"/>
    </row>
    <row r="233" spans="1:18">
      <c r="A233" s="129" t="s">
        <v>318</v>
      </c>
      <c r="B233" s="129" t="s">
        <v>34</v>
      </c>
      <c r="C233" s="4" t="s">
        <v>44</v>
      </c>
      <c r="D233" s="2" t="s">
        <v>38</v>
      </c>
      <c r="E233" s="152" t="s">
        <v>176</v>
      </c>
      <c r="F233" s="133">
        <f t="shared" si="60"/>
        <v>7.1230057315804758E-3</v>
      </c>
      <c r="G233" s="133">
        <f t="shared" si="61"/>
        <v>7.1999999999999998E-3</v>
      </c>
      <c r="H233" s="133">
        <f t="shared" si="62"/>
        <v>7.1624999999999987E-3</v>
      </c>
      <c r="I233" s="133">
        <f t="shared" si="63"/>
        <v>7.1039999999999992E-3</v>
      </c>
      <c r="J233" s="133">
        <f t="shared" si="64"/>
        <v>7.1410000000000006E-3</v>
      </c>
      <c r="K233" s="133">
        <f t="shared" si="65"/>
        <v>7.194826348352625E-3</v>
      </c>
      <c r="M233" s="162"/>
      <c r="N233" s="162"/>
      <c r="O233" s="162"/>
      <c r="P233" s="162"/>
      <c r="Q233" s="162"/>
      <c r="R233" s="162"/>
    </row>
    <row r="234" spans="1:18">
      <c r="A234" s="129" t="s">
        <v>318</v>
      </c>
      <c r="B234" s="129" t="s">
        <v>34</v>
      </c>
      <c r="C234" s="4" t="s">
        <v>44</v>
      </c>
      <c r="D234" s="2" t="s">
        <v>39</v>
      </c>
      <c r="E234" s="152" t="s">
        <v>176</v>
      </c>
      <c r="F234" s="133">
        <f t="shared" si="60"/>
        <v>1.1457586572791396E-2</v>
      </c>
      <c r="G234" s="133">
        <f t="shared" si="61"/>
        <v>1.1599999999999999E-2</v>
      </c>
      <c r="H234" s="133">
        <f t="shared" si="62"/>
        <v>1.1466E-2</v>
      </c>
      <c r="I234" s="133">
        <f t="shared" si="63"/>
        <v>1.1504761155593951E-2</v>
      </c>
      <c r="J234" s="133">
        <f t="shared" si="64"/>
        <v>1.1662E-2</v>
      </c>
      <c r="K234" s="133">
        <f t="shared" si="65"/>
        <v>1.1803129103929232E-2</v>
      </c>
      <c r="M234" s="162"/>
      <c r="N234" s="162"/>
      <c r="O234" s="162"/>
      <c r="P234" s="162"/>
      <c r="Q234" s="162"/>
      <c r="R234" s="162"/>
    </row>
    <row r="235" spans="1:18">
      <c r="A235" s="129" t="s">
        <v>318</v>
      </c>
      <c r="B235" s="129" t="s">
        <v>34</v>
      </c>
      <c r="C235" s="4" t="s">
        <v>44</v>
      </c>
      <c r="D235" s="2" t="s">
        <v>40</v>
      </c>
      <c r="E235" s="152" t="s">
        <v>176</v>
      </c>
      <c r="F235" s="133">
        <f t="shared" si="60"/>
        <v>0.80113491441942553</v>
      </c>
      <c r="G235" s="133">
        <f t="shared" si="61"/>
        <v>0.80079999999999996</v>
      </c>
      <c r="H235" s="133">
        <f t="shared" si="62"/>
        <v>0.80110000000000003</v>
      </c>
      <c r="I235" s="133">
        <f t="shared" si="63"/>
        <v>0.80120000000000002</v>
      </c>
      <c r="J235" s="133">
        <f t="shared" si="64"/>
        <v>0.80089851685913538</v>
      </c>
      <c r="K235" s="133">
        <f t="shared" si="65"/>
        <v>0.80918483595602331</v>
      </c>
      <c r="M235" s="162"/>
      <c r="N235" s="162"/>
      <c r="O235" s="162"/>
      <c r="P235" s="162"/>
      <c r="Q235" s="162"/>
      <c r="R235" s="162"/>
    </row>
    <row r="236" spans="1:18">
      <c r="A236" s="129" t="s">
        <v>318</v>
      </c>
      <c r="B236" s="129" t="s">
        <v>34</v>
      </c>
      <c r="C236" s="4" t="s">
        <v>44</v>
      </c>
      <c r="D236" s="2" t="s">
        <v>41</v>
      </c>
      <c r="E236" s="152" t="s">
        <v>176</v>
      </c>
      <c r="F236" s="133">
        <f t="shared" si="60"/>
        <v>0.17054970589644891</v>
      </c>
      <c r="G236" s="133">
        <f t="shared" si="61"/>
        <v>0.1704</v>
      </c>
      <c r="H236" s="133">
        <f t="shared" si="62"/>
        <v>0.17067049999999998</v>
      </c>
      <c r="I236" s="133">
        <f t="shared" si="63"/>
        <v>0.17048323529881629</v>
      </c>
      <c r="J236" s="133">
        <f t="shared" si="64"/>
        <v>0.17047029999999999</v>
      </c>
      <c r="K236" s="133">
        <f t="shared" si="65"/>
        <v>0.17225065217959992</v>
      </c>
      <c r="M236" s="162"/>
      <c r="N236" s="162"/>
      <c r="O236" s="162"/>
      <c r="P236" s="162"/>
      <c r="Q236" s="162"/>
      <c r="R236" s="162"/>
    </row>
    <row r="237" spans="1:18">
      <c r="A237" s="129" t="s">
        <v>318</v>
      </c>
      <c r="B237" s="129" t="s">
        <v>34</v>
      </c>
      <c r="C237" s="4" t="s">
        <v>44</v>
      </c>
      <c r="D237" s="2" t="s">
        <v>42</v>
      </c>
      <c r="E237" s="152" t="s">
        <v>176</v>
      </c>
      <c r="F237" s="133">
        <f t="shared" si="60"/>
        <v>4.173274619537458E-3</v>
      </c>
      <c r="G237" s="133">
        <f t="shared" si="61"/>
        <v>4.1999999999999815E-3</v>
      </c>
      <c r="H237" s="133">
        <f t="shared" si="62"/>
        <v>4.1399999999999276E-3</v>
      </c>
      <c r="I237" s="133">
        <f t="shared" si="63"/>
        <v>4.1183127143362341E-3</v>
      </c>
      <c r="J237" s="133">
        <f t="shared" si="64"/>
        <v>4.1703985346579269E-3</v>
      </c>
      <c r="K237" s="133">
        <f t="shared" si="65"/>
        <v>4.2034519446193927E-3</v>
      </c>
      <c r="M237" s="162"/>
      <c r="N237" s="162"/>
      <c r="O237" s="162"/>
      <c r="P237" s="162"/>
      <c r="Q237" s="162"/>
      <c r="R237" s="162"/>
    </row>
    <row r="238" spans="1:18">
      <c r="A238" s="125" t="s">
        <v>318</v>
      </c>
      <c r="B238" s="125" t="s">
        <v>34</v>
      </c>
      <c r="C238" s="134" t="s">
        <v>45</v>
      </c>
      <c r="D238" s="135"/>
      <c r="E238" s="134"/>
      <c r="F238" s="135"/>
      <c r="G238" s="135"/>
      <c r="H238" s="135"/>
      <c r="I238" s="135"/>
      <c r="J238" s="135"/>
      <c r="K238" s="135"/>
      <c r="N238" s="133"/>
      <c r="O238" s="133"/>
      <c r="P238" s="133"/>
      <c r="Q238" s="133"/>
      <c r="R238" s="133"/>
    </row>
    <row r="239" spans="1:18">
      <c r="A239" s="129" t="s">
        <v>318</v>
      </c>
      <c r="B239" s="129" t="s">
        <v>34</v>
      </c>
      <c r="C239" s="4" t="s">
        <v>45</v>
      </c>
      <c r="D239" s="2" t="s">
        <v>46</v>
      </c>
      <c r="E239" s="152" t="s">
        <v>176</v>
      </c>
      <c r="F239" s="133">
        <f>AVERAGE(M67,M153)</f>
        <v>0</v>
      </c>
      <c r="G239" s="133">
        <f t="shared" ref="G239:K239" si="66">AVERAGE(N67,N153)</f>
        <v>0</v>
      </c>
      <c r="H239" s="133">
        <f t="shared" si="66"/>
        <v>0</v>
      </c>
      <c r="I239" s="133">
        <f t="shared" si="66"/>
        <v>0</v>
      </c>
      <c r="J239" s="133">
        <f t="shared" si="66"/>
        <v>0</v>
      </c>
      <c r="K239" s="133">
        <f t="shared" si="66"/>
        <v>0</v>
      </c>
      <c r="N239" s="133"/>
      <c r="O239" s="133"/>
      <c r="P239" s="133"/>
      <c r="Q239" s="133"/>
      <c r="R239" s="133"/>
    </row>
    <row r="240" spans="1:18">
      <c r="A240" s="129" t="s">
        <v>318</v>
      </c>
      <c r="B240" s="129" t="s">
        <v>34</v>
      </c>
      <c r="C240" s="4" t="s">
        <v>45</v>
      </c>
      <c r="D240" s="2" t="s">
        <v>47</v>
      </c>
      <c r="E240" s="152"/>
      <c r="F240" s="133"/>
      <c r="G240" s="133"/>
      <c r="H240" s="133"/>
      <c r="I240" s="133"/>
      <c r="J240" s="133"/>
      <c r="K240" s="133"/>
      <c r="N240" s="133"/>
      <c r="O240" s="133"/>
      <c r="P240" s="133"/>
      <c r="Q240" s="133"/>
      <c r="R240" s="133"/>
    </row>
    <row r="241" spans="1:18">
      <c r="A241" s="125" t="s">
        <v>318</v>
      </c>
      <c r="B241" s="125" t="s">
        <v>34</v>
      </c>
      <c r="C241" s="134" t="s">
        <v>322</v>
      </c>
      <c r="D241" s="135"/>
      <c r="E241" s="134"/>
      <c r="F241" s="135"/>
      <c r="G241" s="135"/>
      <c r="H241" s="135"/>
      <c r="I241" s="135"/>
      <c r="J241" s="135"/>
      <c r="K241" s="135"/>
      <c r="N241" s="133"/>
      <c r="O241" s="133"/>
      <c r="P241" s="133"/>
      <c r="Q241" s="133"/>
      <c r="R241" s="133"/>
    </row>
    <row r="242" spans="1:18">
      <c r="A242" s="129" t="s">
        <v>318</v>
      </c>
      <c r="B242" s="129" t="s">
        <v>34</v>
      </c>
      <c r="C242" s="4" t="s">
        <v>322</v>
      </c>
      <c r="D242" s="2" t="s">
        <v>36</v>
      </c>
      <c r="E242" s="152" t="s">
        <v>176</v>
      </c>
      <c r="F242" s="133" t="e">
        <f>AVERAGE(M70,M156)</f>
        <v>#DIV/0!</v>
      </c>
      <c r="G242" s="133" t="e">
        <f t="shared" ref="G242:K242" si="67">AVERAGE(N70,N156)</f>
        <v>#DIV/0!</v>
      </c>
      <c r="H242" s="133" t="e">
        <f t="shared" si="67"/>
        <v>#DIV/0!</v>
      </c>
      <c r="I242" s="133" t="e">
        <f t="shared" si="67"/>
        <v>#DIV/0!</v>
      </c>
      <c r="J242" s="133" t="e">
        <f t="shared" si="67"/>
        <v>#DIV/0!</v>
      </c>
      <c r="K242" s="133" t="e">
        <f t="shared" si="67"/>
        <v>#DIV/0!</v>
      </c>
      <c r="N242" s="133"/>
      <c r="O242" s="133"/>
      <c r="P242" s="133"/>
      <c r="Q242" s="133"/>
      <c r="R242" s="133"/>
    </row>
    <row r="243" spans="1:18">
      <c r="A243" s="129" t="s">
        <v>318</v>
      </c>
      <c r="B243" s="129" t="s">
        <v>34</v>
      </c>
      <c r="C243" s="4" t="s">
        <v>322</v>
      </c>
      <c r="D243" s="2" t="s">
        <v>37</v>
      </c>
      <c r="E243" s="152" t="s">
        <v>176</v>
      </c>
      <c r="F243" s="133" t="e">
        <f t="shared" ref="F243:F248" si="68">AVERAGE(M71,M157)</f>
        <v>#DIV/0!</v>
      </c>
      <c r="G243" s="133" t="e">
        <f t="shared" ref="G243:G248" si="69">AVERAGE(N71,N157)</f>
        <v>#DIV/0!</v>
      </c>
      <c r="H243" s="133" t="e">
        <f t="shared" ref="H243:H248" si="70">AVERAGE(O71,O157)</f>
        <v>#DIV/0!</v>
      </c>
      <c r="I243" s="133" t="e">
        <f t="shared" ref="I243:I248" si="71">AVERAGE(P71,P157)</f>
        <v>#DIV/0!</v>
      </c>
      <c r="J243" s="133" t="e">
        <f t="shared" ref="J243:J248" si="72">AVERAGE(Q71,Q157)</f>
        <v>#DIV/0!</v>
      </c>
      <c r="K243" s="133" t="e">
        <f t="shared" ref="K243:K248" si="73">AVERAGE(R71,R157)</f>
        <v>#DIV/0!</v>
      </c>
      <c r="N243" s="133"/>
      <c r="O243" s="133"/>
      <c r="P243" s="133"/>
      <c r="Q243" s="133"/>
      <c r="R243" s="133"/>
    </row>
    <row r="244" spans="1:18">
      <c r="A244" s="129" t="s">
        <v>318</v>
      </c>
      <c r="B244" s="129" t="s">
        <v>34</v>
      </c>
      <c r="C244" s="4" t="s">
        <v>322</v>
      </c>
      <c r="D244" s="2" t="s">
        <v>38</v>
      </c>
      <c r="E244" s="152" t="s">
        <v>176</v>
      </c>
      <c r="F244" s="133" t="e">
        <f t="shared" si="68"/>
        <v>#DIV/0!</v>
      </c>
      <c r="G244" s="133" t="e">
        <f t="shared" si="69"/>
        <v>#DIV/0!</v>
      </c>
      <c r="H244" s="133" t="e">
        <f t="shared" si="70"/>
        <v>#DIV/0!</v>
      </c>
      <c r="I244" s="133" t="e">
        <f t="shared" si="71"/>
        <v>#DIV/0!</v>
      </c>
      <c r="J244" s="133" t="e">
        <f t="shared" si="72"/>
        <v>#DIV/0!</v>
      </c>
      <c r="K244" s="133" t="e">
        <f t="shared" si="73"/>
        <v>#DIV/0!</v>
      </c>
      <c r="N244" s="133"/>
      <c r="O244" s="133"/>
      <c r="P244" s="133"/>
      <c r="Q244" s="133"/>
      <c r="R244" s="133"/>
    </row>
    <row r="245" spans="1:18">
      <c r="A245" s="129" t="s">
        <v>318</v>
      </c>
      <c r="B245" s="129" t="s">
        <v>34</v>
      </c>
      <c r="C245" s="4" t="s">
        <v>322</v>
      </c>
      <c r="D245" s="2" t="s">
        <v>39</v>
      </c>
      <c r="E245" s="152" t="s">
        <v>176</v>
      </c>
      <c r="F245" s="133" t="e">
        <f t="shared" si="68"/>
        <v>#DIV/0!</v>
      </c>
      <c r="G245" s="133" t="e">
        <f t="shared" si="69"/>
        <v>#DIV/0!</v>
      </c>
      <c r="H245" s="133" t="e">
        <f t="shared" si="70"/>
        <v>#DIV/0!</v>
      </c>
      <c r="I245" s="133" t="e">
        <f t="shared" si="71"/>
        <v>#DIV/0!</v>
      </c>
      <c r="J245" s="133" t="e">
        <f t="shared" si="72"/>
        <v>#DIV/0!</v>
      </c>
      <c r="K245" s="133" t="e">
        <f t="shared" si="73"/>
        <v>#DIV/0!</v>
      </c>
      <c r="N245" s="133"/>
      <c r="O245" s="133"/>
      <c r="P245" s="133"/>
      <c r="Q245" s="133"/>
      <c r="R245" s="133"/>
    </row>
    <row r="246" spans="1:18">
      <c r="A246" s="129" t="s">
        <v>318</v>
      </c>
      <c r="B246" s="129" t="s">
        <v>34</v>
      </c>
      <c r="C246" s="4" t="s">
        <v>322</v>
      </c>
      <c r="D246" s="2" t="s">
        <v>40</v>
      </c>
      <c r="E246" s="152" t="s">
        <v>176</v>
      </c>
      <c r="F246" s="133" t="e">
        <f t="shared" si="68"/>
        <v>#DIV/0!</v>
      </c>
      <c r="G246" s="133" t="e">
        <f t="shared" si="69"/>
        <v>#DIV/0!</v>
      </c>
      <c r="H246" s="133" t="e">
        <f t="shared" si="70"/>
        <v>#DIV/0!</v>
      </c>
      <c r="I246" s="133" t="e">
        <f t="shared" si="71"/>
        <v>#DIV/0!</v>
      </c>
      <c r="J246" s="133" t="e">
        <f t="shared" si="72"/>
        <v>#DIV/0!</v>
      </c>
      <c r="K246" s="133" t="e">
        <f t="shared" si="73"/>
        <v>#DIV/0!</v>
      </c>
      <c r="N246" s="133"/>
      <c r="O246" s="133"/>
      <c r="P246" s="133"/>
      <c r="Q246" s="133"/>
      <c r="R246" s="133"/>
    </row>
    <row r="247" spans="1:18">
      <c r="A247" s="129" t="s">
        <v>318</v>
      </c>
      <c r="B247" s="129" t="s">
        <v>34</v>
      </c>
      <c r="C247" s="4" t="s">
        <v>322</v>
      </c>
      <c r="D247" s="2" t="s">
        <v>41</v>
      </c>
      <c r="E247" s="152" t="s">
        <v>176</v>
      </c>
      <c r="F247" s="133" t="e">
        <f t="shared" si="68"/>
        <v>#DIV/0!</v>
      </c>
      <c r="G247" s="133" t="e">
        <f t="shared" si="69"/>
        <v>#DIV/0!</v>
      </c>
      <c r="H247" s="133" t="e">
        <f t="shared" si="70"/>
        <v>#DIV/0!</v>
      </c>
      <c r="I247" s="133" t="e">
        <f t="shared" si="71"/>
        <v>#DIV/0!</v>
      </c>
      <c r="J247" s="133" t="e">
        <f t="shared" si="72"/>
        <v>#DIV/0!</v>
      </c>
      <c r="K247" s="133" t="e">
        <f t="shared" si="73"/>
        <v>#DIV/0!</v>
      </c>
      <c r="N247" s="133"/>
      <c r="O247" s="133"/>
      <c r="P247" s="133"/>
      <c r="Q247" s="133"/>
      <c r="R247" s="133"/>
    </row>
    <row r="248" spans="1:18">
      <c r="A248" s="129" t="s">
        <v>318</v>
      </c>
      <c r="B248" s="129" t="s">
        <v>34</v>
      </c>
      <c r="C248" s="4" t="s">
        <v>322</v>
      </c>
      <c r="D248" s="2" t="s">
        <v>42</v>
      </c>
      <c r="E248" s="152" t="s">
        <v>176</v>
      </c>
      <c r="F248" s="133" t="e">
        <f t="shared" si="68"/>
        <v>#DIV/0!</v>
      </c>
      <c r="G248" s="133" t="e">
        <f t="shared" si="69"/>
        <v>#DIV/0!</v>
      </c>
      <c r="H248" s="133" t="e">
        <f t="shared" si="70"/>
        <v>#DIV/0!</v>
      </c>
      <c r="I248" s="133" t="e">
        <f t="shared" si="71"/>
        <v>#DIV/0!</v>
      </c>
      <c r="J248" s="133" t="e">
        <f t="shared" si="72"/>
        <v>#DIV/0!</v>
      </c>
      <c r="K248" s="133" t="e">
        <f t="shared" si="73"/>
        <v>#DIV/0!</v>
      </c>
      <c r="N248" s="133"/>
      <c r="O248" s="133"/>
      <c r="P248" s="133"/>
      <c r="Q248" s="133"/>
      <c r="R248" s="133"/>
    </row>
    <row r="249" spans="1:18">
      <c r="A249" s="125" t="s">
        <v>318</v>
      </c>
      <c r="B249" s="125" t="s">
        <v>34</v>
      </c>
      <c r="C249" s="134" t="s">
        <v>323</v>
      </c>
      <c r="D249" s="134"/>
      <c r="E249" s="134" t="s">
        <v>176</v>
      </c>
      <c r="F249" s="153" t="e">
        <f t="shared" ref="F249" si="74">AVERAGE(L77,L163)</f>
        <v>#DIV/0!</v>
      </c>
      <c r="G249" s="153" t="e">
        <f>AVERAGE(N77,N163)</f>
        <v>#DIV/0!</v>
      </c>
      <c r="H249" s="153" t="e">
        <f>AVERAGE(O77,O163)</f>
        <v>#DIV/0!</v>
      </c>
      <c r="I249" s="153" t="e">
        <f>AVERAGE(P77,P163)</f>
        <v>#DIV/0!</v>
      </c>
      <c r="J249" s="153" t="e">
        <f>AVERAGE(Q77,Q163)</f>
        <v>#DIV/0!</v>
      </c>
      <c r="K249" s="153" t="e">
        <f>AVERAGE(R77,R163)</f>
        <v>#DIV/0!</v>
      </c>
      <c r="N249" s="133"/>
      <c r="O249" s="133"/>
      <c r="P249" s="133"/>
      <c r="Q249" s="133"/>
      <c r="R249" s="133"/>
    </row>
    <row r="250" spans="1:18">
      <c r="A250" s="129" t="s">
        <v>318</v>
      </c>
      <c r="B250" s="129" t="s">
        <v>34</v>
      </c>
      <c r="C250" s="4" t="s">
        <v>323</v>
      </c>
      <c r="D250" s="2" t="s">
        <v>36</v>
      </c>
      <c r="E250" s="152" t="s">
        <v>176</v>
      </c>
      <c r="F250" s="133" t="e">
        <f>AVERAGE(M78,M164)</f>
        <v>#DIV/0!</v>
      </c>
      <c r="G250" s="133" t="e">
        <f t="shared" ref="G250:K250" si="75">AVERAGE(N78,N164)</f>
        <v>#DIV/0!</v>
      </c>
      <c r="H250" s="133" t="e">
        <f t="shared" si="75"/>
        <v>#DIV/0!</v>
      </c>
      <c r="I250" s="133" t="e">
        <f t="shared" si="75"/>
        <v>#DIV/0!</v>
      </c>
      <c r="J250" s="133" t="e">
        <f t="shared" si="75"/>
        <v>#DIV/0!</v>
      </c>
      <c r="K250" s="133" t="e">
        <f t="shared" si="75"/>
        <v>#DIV/0!</v>
      </c>
      <c r="N250" s="133"/>
      <c r="O250" s="133"/>
      <c r="P250" s="133"/>
      <c r="Q250" s="133"/>
      <c r="R250" s="133"/>
    </row>
    <row r="251" spans="1:18">
      <c r="A251" s="129" t="s">
        <v>318</v>
      </c>
      <c r="B251" s="129" t="s">
        <v>34</v>
      </c>
      <c r="C251" s="4" t="s">
        <v>323</v>
      </c>
      <c r="D251" s="2" t="s">
        <v>37</v>
      </c>
      <c r="E251" s="152" t="s">
        <v>176</v>
      </c>
      <c r="F251" s="133" t="e">
        <f t="shared" ref="F251:F256" si="76">AVERAGE(M79,M165)</f>
        <v>#DIV/0!</v>
      </c>
      <c r="G251" s="133" t="e">
        <f t="shared" ref="G251:G256" si="77">AVERAGE(N79,N165)</f>
        <v>#DIV/0!</v>
      </c>
      <c r="H251" s="133" t="e">
        <f t="shared" ref="H251:H256" si="78">AVERAGE(O79,O165)</f>
        <v>#DIV/0!</v>
      </c>
      <c r="I251" s="133" t="e">
        <f t="shared" ref="I251:I256" si="79">AVERAGE(P79,P165)</f>
        <v>#DIV/0!</v>
      </c>
      <c r="J251" s="133" t="e">
        <f t="shared" ref="J251:J256" si="80">AVERAGE(Q79,Q165)</f>
        <v>#DIV/0!</v>
      </c>
      <c r="K251" s="133" t="e">
        <f t="shared" ref="K251:K256" si="81">AVERAGE(R79,R165)</f>
        <v>#DIV/0!</v>
      </c>
      <c r="N251" s="133"/>
      <c r="O251" s="133"/>
      <c r="P251" s="133"/>
      <c r="Q251" s="133"/>
      <c r="R251" s="133"/>
    </row>
    <row r="252" spans="1:18">
      <c r="A252" s="129" t="s">
        <v>318</v>
      </c>
      <c r="B252" s="129" t="s">
        <v>34</v>
      </c>
      <c r="C252" s="4" t="s">
        <v>323</v>
      </c>
      <c r="D252" s="2" t="s">
        <v>38</v>
      </c>
      <c r="E252" s="152" t="s">
        <v>176</v>
      </c>
      <c r="F252" s="133" t="e">
        <f t="shared" si="76"/>
        <v>#DIV/0!</v>
      </c>
      <c r="G252" s="133" t="e">
        <f t="shared" si="77"/>
        <v>#DIV/0!</v>
      </c>
      <c r="H252" s="133" t="e">
        <f t="shared" si="78"/>
        <v>#DIV/0!</v>
      </c>
      <c r="I252" s="133" t="e">
        <f t="shared" si="79"/>
        <v>#DIV/0!</v>
      </c>
      <c r="J252" s="133" t="e">
        <f t="shared" si="80"/>
        <v>#DIV/0!</v>
      </c>
      <c r="K252" s="133" t="e">
        <f t="shared" si="81"/>
        <v>#DIV/0!</v>
      </c>
      <c r="N252" s="133"/>
      <c r="O252" s="133"/>
      <c r="P252" s="133"/>
      <c r="Q252" s="133"/>
      <c r="R252" s="133"/>
    </row>
    <row r="253" spans="1:18">
      <c r="A253" s="129" t="s">
        <v>318</v>
      </c>
      <c r="B253" s="129" t="s">
        <v>34</v>
      </c>
      <c r="C253" s="4" t="s">
        <v>323</v>
      </c>
      <c r="D253" s="2" t="s">
        <v>39</v>
      </c>
      <c r="E253" s="152" t="s">
        <v>176</v>
      </c>
      <c r="F253" s="133" t="e">
        <f t="shared" si="76"/>
        <v>#DIV/0!</v>
      </c>
      <c r="G253" s="133" t="e">
        <f t="shared" si="77"/>
        <v>#DIV/0!</v>
      </c>
      <c r="H253" s="133" t="e">
        <f t="shared" si="78"/>
        <v>#DIV/0!</v>
      </c>
      <c r="I253" s="133" t="e">
        <f t="shared" si="79"/>
        <v>#DIV/0!</v>
      </c>
      <c r="J253" s="133" t="e">
        <f t="shared" si="80"/>
        <v>#DIV/0!</v>
      </c>
      <c r="K253" s="133" t="e">
        <f t="shared" si="81"/>
        <v>#DIV/0!</v>
      </c>
      <c r="N253" s="133"/>
      <c r="O253" s="133"/>
      <c r="P253" s="133"/>
      <c r="Q253" s="133"/>
      <c r="R253" s="133"/>
    </row>
    <row r="254" spans="1:18">
      <c r="A254" s="129" t="s">
        <v>318</v>
      </c>
      <c r="B254" s="129" t="s">
        <v>34</v>
      </c>
      <c r="C254" s="4" t="s">
        <v>323</v>
      </c>
      <c r="D254" s="2" t="s">
        <v>40</v>
      </c>
      <c r="E254" s="152" t="s">
        <v>176</v>
      </c>
      <c r="F254" s="133" t="e">
        <f t="shared" si="76"/>
        <v>#DIV/0!</v>
      </c>
      <c r="G254" s="133" t="e">
        <f t="shared" si="77"/>
        <v>#DIV/0!</v>
      </c>
      <c r="H254" s="133" t="e">
        <f t="shared" si="78"/>
        <v>#DIV/0!</v>
      </c>
      <c r="I254" s="133" t="e">
        <f t="shared" si="79"/>
        <v>#DIV/0!</v>
      </c>
      <c r="J254" s="133" t="e">
        <f t="shared" si="80"/>
        <v>#DIV/0!</v>
      </c>
      <c r="K254" s="133" t="e">
        <f t="shared" si="81"/>
        <v>#DIV/0!</v>
      </c>
      <c r="N254" s="133"/>
      <c r="O254" s="133"/>
      <c r="P254" s="133"/>
      <c r="Q254" s="133"/>
      <c r="R254" s="133"/>
    </row>
    <row r="255" spans="1:18">
      <c r="A255" s="129" t="s">
        <v>318</v>
      </c>
      <c r="B255" s="129" t="s">
        <v>34</v>
      </c>
      <c r="C255" s="4" t="s">
        <v>323</v>
      </c>
      <c r="D255" s="2" t="s">
        <v>41</v>
      </c>
      <c r="E255" s="152" t="s">
        <v>176</v>
      </c>
      <c r="F255" s="133" t="e">
        <f t="shared" si="76"/>
        <v>#DIV/0!</v>
      </c>
      <c r="G255" s="133" t="e">
        <f t="shared" si="77"/>
        <v>#DIV/0!</v>
      </c>
      <c r="H255" s="133" t="e">
        <f t="shared" si="78"/>
        <v>#DIV/0!</v>
      </c>
      <c r="I255" s="133" t="e">
        <f t="shared" si="79"/>
        <v>#DIV/0!</v>
      </c>
      <c r="J255" s="133" t="e">
        <f t="shared" si="80"/>
        <v>#DIV/0!</v>
      </c>
      <c r="K255" s="133" t="e">
        <f t="shared" si="81"/>
        <v>#DIV/0!</v>
      </c>
      <c r="N255" s="133"/>
      <c r="O255" s="133"/>
      <c r="P255" s="133"/>
      <c r="Q255" s="133"/>
      <c r="R255" s="133"/>
    </row>
    <row r="256" spans="1:18">
      <c r="A256" s="129" t="s">
        <v>318</v>
      </c>
      <c r="B256" s="129" t="s">
        <v>34</v>
      </c>
      <c r="C256" s="4" t="s">
        <v>323</v>
      </c>
      <c r="D256" s="2" t="s">
        <v>42</v>
      </c>
      <c r="E256" s="152" t="s">
        <v>176</v>
      </c>
      <c r="F256" s="133" t="e">
        <f t="shared" si="76"/>
        <v>#DIV/0!</v>
      </c>
      <c r="G256" s="133" t="e">
        <f t="shared" si="77"/>
        <v>#DIV/0!</v>
      </c>
      <c r="H256" s="133" t="e">
        <f t="shared" si="78"/>
        <v>#DIV/0!</v>
      </c>
      <c r="I256" s="133" t="e">
        <f t="shared" si="79"/>
        <v>#DIV/0!</v>
      </c>
      <c r="J256" s="133" t="e">
        <f t="shared" si="80"/>
        <v>#DIV/0!</v>
      </c>
      <c r="K256" s="133" t="e">
        <f t="shared" si="81"/>
        <v>#DIV/0!</v>
      </c>
      <c r="N256" s="133"/>
      <c r="O256" s="133"/>
      <c r="P256" s="133"/>
      <c r="Q256" s="133"/>
      <c r="R256" s="133"/>
    </row>
    <row r="257" spans="1:18">
      <c r="A257" s="122" t="s">
        <v>318</v>
      </c>
      <c r="B257" s="122" t="s">
        <v>324</v>
      </c>
      <c r="C257" s="123"/>
      <c r="D257" s="123"/>
      <c r="E257" s="122"/>
      <c r="F257" s="123"/>
      <c r="G257" s="123"/>
      <c r="H257" s="123"/>
      <c r="I257" s="123"/>
      <c r="J257" s="123"/>
      <c r="K257" s="123"/>
      <c r="N257" s="133"/>
      <c r="O257" s="133"/>
      <c r="P257" s="133"/>
      <c r="Q257" s="133"/>
      <c r="R257" s="133"/>
    </row>
    <row r="258" spans="1:18">
      <c r="A258" s="125" t="s">
        <v>318</v>
      </c>
      <c r="B258" s="125" t="s">
        <v>324</v>
      </c>
      <c r="C258" s="134" t="s">
        <v>315</v>
      </c>
      <c r="D258" s="135"/>
      <c r="E258" s="134"/>
      <c r="F258" s="135"/>
      <c r="G258" s="135"/>
      <c r="H258" s="135"/>
      <c r="I258" s="135"/>
      <c r="J258" s="135"/>
      <c r="K258" s="135"/>
      <c r="N258" s="133"/>
      <c r="O258" s="133"/>
      <c r="P258" s="133"/>
      <c r="Q258" s="133"/>
      <c r="R258" s="133"/>
    </row>
    <row r="259" spans="1:18">
      <c r="A259" s="129" t="s">
        <v>318</v>
      </c>
      <c r="B259" s="129" t="s">
        <v>324</v>
      </c>
      <c r="C259" s="4" t="s">
        <v>315</v>
      </c>
      <c r="D259" s="2" t="s">
        <v>36</v>
      </c>
      <c r="E259" s="152" t="s">
        <v>176</v>
      </c>
      <c r="F259" s="133" t="e">
        <f>AVERAGE(M87,M173)</f>
        <v>#DIV/0!</v>
      </c>
      <c r="G259" s="133" t="e">
        <f t="shared" ref="G259:K259" si="82">AVERAGE(N87,N173)</f>
        <v>#DIV/0!</v>
      </c>
      <c r="H259" s="133" t="e">
        <f t="shared" si="82"/>
        <v>#DIV/0!</v>
      </c>
      <c r="I259" s="133" t="e">
        <f t="shared" si="82"/>
        <v>#DIV/0!</v>
      </c>
      <c r="J259" s="133" t="e">
        <f t="shared" si="82"/>
        <v>#DIV/0!</v>
      </c>
      <c r="K259" s="133" t="e">
        <f t="shared" si="82"/>
        <v>#DIV/0!</v>
      </c>
      <c r="N259" s="133"/>
      <c r="O259" s="133"/>
      <c r="P259" s="133"/>
      <c r="Q259" s="133"/>
      <c r="R259" s="133"/>
    </row>
    <row r="260" spans="1:18">
      <c r="A260" s="129" t="s">
        <v>318</v>
      </c>
      <c r="B260" s="129" t="s">
        <v>324</v>
      </c>
      <c r="C260" s="4" t="s">
        <v>315</v>
      </c>
      <c r="D260" s="2" t="s">
        <v>37</v>
      </c>
      <c r="E260" s="152" t="s">
        <v>176</v>
      </c>
      <c r="F260" s="133" t="e">
        <f t="shared" ref="F260:F265" si="83">AVERAGE(M88,M174)</f>
        <v>#DIV/0!</v>
      </c>
      <c r="G260" s="133" t="e">
        <f t="shared" ref="G260:G267" si="84">AVERAGE(N88,N174)</f>
        <v>#DIV/0!</v>
      </c>
      <c r="H260" s="133" t="e">
        <f t="shared" ref="H260:H267" si="85">AVERAGE(O88,O174)</f>
        <v>#DIV/0!</v>
      </c>
      <c r="I260" s="133" t="e">
        <f t="shared" ref="I260:I267" si="86">AVERAGE(P88,P174)</f>
        <v>#DIV/0!</v>
      </c>
      <c r="J260" s="133" t="e">
        <f t="shared" ref="J260:J267" si="87">AVERAGE(Q88,Q174)</f>
        <v>#DIV/0!</v>
      </c>
      <c r="K260" s="133" t="e">
        <f t="shared" ref="K260:K267" si="88">AVERAGE(R88,R174)</f>
        <v>#DIV/0!</v>
      </c>
      <c r="N260" s="133"/>
      <c r="O260" s="133"/>
      <c r="P260" s="133"/>
      <c r="Q260" s="133"/>
      <c r="R260" s="133"/>
    </row>
    <row r="261" spans="1:18">
      <c r="A261" s="129" t="s">
        <v>318</v>
      </c>
      <c r="B261" s="129" t="s">
        <v>324</v>
      </c>
      <c r="C261" s="4" t="s">
        <v>315</v>
      </c>
      <c r="D261" s="2" t="s">
        <v>38</v>
      </c>
      <c r="E261" s="152" t="s">
        <v>176</v>
      </c>
      <c r="F261" s="133" t="e">
        <f t="shared" si="83"/>
        <v>#DIV/0!</v>
      </c>
      <c r="G261" s="133" t="e">
        <f t="shared" si="84"/>
        <v>#DIV/0!</v>
      </c>
      <c r="H261" s="133" t="e">
        <f t="shared" si="85"/>
        <v>#DIV/0!</v>
      </c>
      <c r="I261" s="133" t="e">
        <f t="shared" si="86"/>
        <v>#DIV/0!</v>
      </c>
      <c r="J261" s="133" t="e">
        <f t="shared" si="87"/>
        <v>#DIV/0!</v>
      </c>
      <c r="K261" s="133" t="e">
        <f t="shared" si="88"/>
        <v>#DIV/0!</v>
      </c>
      <c r="N261" s="133"/>
      <c r="O261" s="133"/>
      <c r="P261" s="133"/>
      <c r="Q261" s="133"/>
      <c r="R261" s="133"/>
    </row>
    <row r="262" spans="1:18">
      <c r="A262" s="129" t="s">
        <v>318</v>
      </c>
      <c r="B262" s="129" t="s">
        <v>324</v>
      </c>
      <c r="C262" s="4" t="s">
        <v>315</v>
      </c>
      <c r="D262" s="2" t="s">
        <v>39</v>
      </c>
      <c r="E262" s="152" t="s">
        <v>176</v>
      </c>
      <c r="F262" s="133" t="e">
        <f t="shared" si="83"/>
        <v>#DIV/0!</v>
      </c>
      <c r="G262" s="133" t="e">
        <f t="shared" si="84"/>
        <v>#DIV/0!</v>
      </c>
      <c r="H262" s="133" t="e">
        <f t="shared" si="85"/>
        <v>#DIV/0!</v>
      </c>
      <c r="I262" s="133" t="e">
        <f t="shared" si="86"/>
        <v>#DIV/0!</v>
      </c>
      <c r="J262" s="133" t="e">
        <f t="shared" si="87"/>
        <v>#DIV/0!</v>
      </c>
      <c r="K262" s="133" t="e">
        <f t="shared" si="88"/>
        <v>#DIV/0!</v>
      </c>
      <c r="N262" s="133"/>
      <c r="O262" s="133"/>
      <c r="P262" s="133"/>
      <c r="Q262" s="133"/>
      <c r="R262" s="133"/>
    </row>
    <row r="263" spans="1:18">
      <c r="A263" s="129" t="s">
        <v>318</v>
      </c>
      <c r="B263" s="129" t="s">
        <v>324</v>
      </c>
      <c r="C263" s="4" t="s">
        <v>315</v>
      </c>
      <c r="D263" s="2" t="s">
        <v>40</v>
      </c>
      <c r="E263" s="152" t="s">
        <v>176</v>
      </c>
      <c r="F263" s="133" t="e">
        <f t="shared" si="83"/>
        <v>#DIV/0!</v>
      </c>
      <c r="G263" s="133" t="e">
        <f t="shared" si="84"/>
        <v>#DIV/0!</v>
      </c>
      <c r="H263" s="133" t="e">
        <f t="shared" si="85"/>
        <v>#DIV/0!</v>
      </c>
      <c r="I263" s="133" t="e">
        <f t="shared" si="86"/>
        <v>#DIV/0!</v>
      </c>
      <c r="J263" s="133" t="e">
        <f t="shared" si="87"/>
        <v>#DIV/0!</v>
      </c>
      <c r="K263" s="133" t="e">
        <f t="shared" si="88"/>
        <v>#DIV/0!</v>
      </c>
      <c r="N263" s="133"/>
      <c r="O263" s="133"/>
      <c r="P263" s="133"/>
      <c r="Q263" s="133"/>
      <c r="R263" s="133"/>
    </row>
    <row r="264" spans="1:18">
      <c r="A264" s="129" t="s">
        <v>318</v>
      </c>
      <c r="B264" s="129" t="s">
        <v>324</v>
      </c>
      <c r="C264" s="4" t="s">
        <v>315</v>
      </c>
      <c r="D264" s="2" t="s">
        <v>41</v>
      </c>
      <c r="E264" s="152" t="s">
        <v>176</v>
      </c>
      <c r="F264" s="133" t="e">
        <f t="shared" si="83"/>
        <v>#DIV/0!</v>
      </c>
      <c r="G264" s="133" t="e">
        <f t="shared" si="84"/>
        <v>#DIV/0!</v>
      </c>
      <c r="H264" s="133" t="e">
        <f t="shared" si="85"/>
        <v>#DIV/0!</v>
      </c>
      <c r="I264" s="133" t="e">
        <f t="shared" si="86"/>
        <v>#DIV/0!</v>
      </c>
      <c r="J264" s="133" t="e">
        <f t="shared" si="87"/>
        <v>#DIV/0!</v>
      </c>
      <c r="K264" s="133" t="e">
        <f t="shared" si="88"/>
        <v>#DIV/0!</v>
      </c>
      <c r="N264" s="133"/>
      <c r="O264" s="133"/>
      <c r="P264" s="133"/>
      <c r="Q264" s="133"/>
      <c r="R264" s="133"/>
    </row>
    <row r="265" spans="1:18">
      <c r="A265" s="129" t="s">
        <v>318</v>
      </c>
      <c r="B265" s="129" t="s">
        <v>324</v>
      </c>
      <c r="C265" s="4" t="s">
        <v>315</v>
      </c>
      <c r="D265" s="2" t="s">
        <v>42</v>
      </c>
      <c r="E265" s="152" t="s">
        <v>176</v>
      </c>
      <c r="F265" s="133" t="e">
        <f t="shared" si="83"/>
        <v>#DIV/0!</v>
      </c>
      <c r="G265" s="133" t="e">
        <f t="shared" si="84"/>
        <v>#DIV/0!</v>
      </c>
      <c r="H265" s="133" t="e">
        <f t="shared" si="85"/>
        <v>#DIV/0!</v>
      </c>
      <c r="I265" s="133" t="e">
        <f t="shared" si="86"/>
        <v>#DIV/0!</v>
      </c>
      <c r="J265" s="133" t="e">
        <f t="shared" si="87"/>
        <v>#DIV/0!</v>
      </c>
      <c r="K265" s="133" t="e">
        <f t="shared" si="88"/>
        <v>#DIV/0!</v>
      </c>
      <c r="N265" s="133"/>
      <c r="O265" s="133"/>
      <c r="P265" s="133"/>
      <c r="Q265" s="133"/>
      <c r="R265" s="133"/>
    </row>
    <row r="266" spans="1:18">
      <c r="A266" s="125" t="s">
        <v>318</v>
      </c>
      <c r="B266" s="125" t="s">
        <v>324</v>
      </c>
      <c r="C266" s="134" t="s">
        <v>325</v>
      </c>
      <c r="D266" s="134"/>
      <c r="E266" s="134" t="s">
        <v>176</v>
      </c>
      <c r="F266" s="153" t="e">
        <f>AVERAGE(M94,M180)</f>
        <v>#DIV/0!</v>
      </c>
      <c r="G266" s="153" t="e">
        <f t="shared" si="84"/>
        <v>#DIV/0!</v>
      </c>
      <c r="H266" s="153" t="e">
        <f t="shared" si="85"/>
        <v>#DIV/0!</v>
      </c>
      <c r="I266" s="153" t="e">
        <f t="shared" si="86"/>
        <v>#DIV/0!</v>
      </c>
      <c r="J266" s="153" t="e">
        <f t="shared" si="87"/>
        <v>#DIV/0!</v>
      </c>
      <c r="K266" s="153" t="e">
        <f t="shared" si="88"/>
        <v>#DIV/0!</v>
      </c>
      <c r="N266" s="133"/>
      <c r="O266" s="133"/>
      <c r="P266" s="133"/>
      <c r="Q266" s="133"/>
      <c r="R266" s="133"/>
    </row>
    <row r="267" spans="1:18">
      <c r="A267" s="129" t="s">
        <v>318</v>
      </c>
      <c r="B267" s="129" t="s">
        <v>324</v>
      </c>
      <c r="C267" s="4" t="s">
        <v>325</v>
      </c>
      <c r="D267" s="2" t="s">
        <v>36</v>
      </c>
      <c r="E267" s="152" t="s">
        <v>176</v>
      </c>
      <c r="F267" s="133" t="e">
        <f>AVERAGE(M95,M181)</f>
        <v>#DIV/0!</v>
      </c>
      <c r="G267" s="133" t="e">
        <f t="shared" si="84"/>
        <v>#DIV/0!</v>
      </c>
      <c r="H267" s="133" t="e">
        <f t="shared" si="85"/>
        <v>#DIV/0!</v>
      </c>
      <c r="I267" s="133" t="e">
        <f t="shared" si="86"/>
        <v>#DIV/0!</v>
      </c>
      <c r="J267" s="133" t="e">
        <f t="shared" si="87"/>
        <v>#DIV/0!</v>
      </c>
      <c r="K267" s="133" t="e">
        <f t="shared" si="88"/>
        <v>#DIV/0!</v>
      </c>
      <c r="N267" s="133"/>
      <c r="O267" s="133"/>
      <c r="P267" s="133"/>
      <c r="Q267" s="133"/>
      <c r="R267" s="133"/>
    </row>
    <row r="268" spans="1:18">
      <c r="A268" s="129" t="s">
        <v>318</v>
      </c>
      <c r="B268" s="129" t="s">
        <v>324</v>
      </c>
      <c r="C268" s="4" t="s">
        <v>325</v>
      </c>
      <c r="D268" s="2" t="s">
        <v>37</v>
      </c>
      <c r="E268" s="152" t="s">
        <v>176</v>
      </c>
      <c r="F268" s="133" t="e">
        <f t="shared" ref="F268:F273" si="89">AVERAGE(M96,M182)</f>
        <v>#DIV/0!</v>
      </c>
      <c r="G268" s="133" t="e">
        <f t="shared" ref="G268:G273" si="90">AVERAGE(N96,N182)</f>
        <v>#DIV/0!</v>
      </c>
      <c r="H268" s="133" t="e">
        <f t="shared" ref="H268:H273" si="91">AVERAGE(O96,O182)</f>
        <v>#DIV/0!</v>
      </c>
      <c r="I268" s="133" t="e">
        <f t="shared" ref="I268:I273" si="92">AVERAGE(P96,P182)</f>
        <v>#DIV/0!</v>
      </c>
      <c r="J268" s="133" t="e">
        <f t="shared" ref="J268:J273" si="93">AVERAGE(Q96,Q182)</f>
        <v>#DIV/0!</v>
      </c>
      <c r="K268" s="133" t="e">
        <f t="shared" ref="K268:K273" si="94">AVERAGE(R96,R182)</f>
        <v>#DIV/0!</v>
      </c>
      <c r="N268" s="133"/>
      <c r="O268" s="133"/>
      <c r="P268" s="133"/>
      <c r="Q268" s="133"/>
      <c r="R268" s="133"/>
    </row>
    <row r="269" spans="1:18">
      <c r="A269" s="129" t="s">
        <v>318</v>
      </c>
      <c r="B269" s="129" t="s">
        <v>324</v>
      </c>
      <c r="C269" s="4" t="s">
        <v>325</v>
      </c>
      <c r="D269" s="2" t="s">
        <v>38</v>
      </c>
      <c r="E269" s="152" t="s">
        <v>176</v>
      </c>
      <c r="F269" s="133" t="e">
        <f t="shared" si="89"/>
        <v>#DIV/0!</v>
      </c>
      <c r="G269" s="133" t="e">
        <f t="shared" si="90"/>
        <v>#DIV/0!</v>
      </c>
      <c r="H269" s="133" t="e">
        <f t="shared" si="91"/>
        <v>#DIV/0!</v>
      </c>
      <c r="I269" s="133" t="e">
        <f t="shared" si="92"/>
        <v>#DIV/0!</v>
      </c>
      <c r="J269" s="133" t="e">
        <f t="shared" si="93"/>
        <v>#DIV/0!</v>
      </c>
      <c r="K269" s="133" t="e">
        <f t="shared" si="94"/>
        <v>#DIV/0!</v>
      </c>
      <c r="N269" s="133"/>
      <c r="O269" s="133"/>
      <c r="P269" s="133"/>
      <c r="Q269" s="133"/>
      <c r="R269" s="133"/>
    </row>
    <row r="270" spans="1:18">
      <c r="A270" s="129" t="s">
        <v>318</v>
      </c>
      <c r="B270" s="129" t="s">
        <v>324</v>
      </c>
      <c r="C270" s="4" t="s">
        <v>325</v>
      </c>
      <c r="D270" s="2" t="s">
        <v>39</v>
      </c>
      <c r="E270" s="152" t="s">
        <v>176</v>
      </c>
      <c r="F270" s="133" t="e">
        <f t="shared" si="89"/>
        <v>#DIV/0!</v>
      </c>
      <c r="G270" s="133" t="e">
        <f t="shared" si="90"/>
        <v>#DIV/0!</v>
      </c>
      <c r="H270" s="133" t="e">
        <f t="shared" si="91"/>
        <v>#DIV/0!</v>
      </c>
      <c r="I270" s="133" t="e">
        <f t="shared" si="92"/>
        <v>#DIV/0!</v>
      </c>
      <c r="J270" s="133" t="e">
        <f t="shared" si="93"/>
        <v>#DIV/0!</v>
      </c>
      <c r="K270" s="133" t="e">
        <f t="shared" si="94"/>
        <v>#DIV/0!</v>
      </c>
      <c r="N270" s="133"/>
      <c r="O270" s="133"/>
      <c r="P270" s="133"/>
      <c r="Q270" s="133"/>
      <c r="R270" s="133"/>
    </row>
    <row r="271" spans="1:18">
      <c r="A271" s="129" t="s">
        <v>318</v>
      </c>
      <c r="B271" s="129" t="s">
        <v>324</v>
      </c>
      <c r="C271" s="4" t="s">
        <v>325</v>
      </c>
      <c r="D271" s="2" t="s">
        <v>40</v>
      </c>
      <c r="E271" s="152" t="s">
        <v>176</v>
      </c>
      <c r="F271" s="133" t="e">
        <f t="shared" si="89"/>
        <v>#DIV/0!</v>
      </c>
      <c r="G271" s="133" t="e">
        <f t="shared" si="90"/>
        <v>#DIV/0!</v>
      </c>
      <c r="H271" s="133" t="e">
        <f t="shared" si="91"/>
        <v>#DIV/0!</v>
      </c>
      <c r="I271" s="133" t="e">
        <f t="shared" si="92"/>
        <v>#DIV/0!</v>
      </c>
      <c r="J271" s="133" t="e">
        <f t="shared" si="93"/>
        <v>#DIV/0!</v>
      </c>
      <c r="K271" s="133" t="e">
        <f t="shared" si="94"/>
        <v>#DIV/0!</v>
      </c>
      <c r="N271" s="133"/>
      <c r="O271" s="133"/>
      <c r="P271" s="133"/>
      <c r="Q271" s="133"/>
      <c r="R271" s="133"/>
    </row>
    <row r="272" spans="1:18">
      <c r="A272" s="129" t="s">
        <v>318</v>
      </c>
      <c r="B272" s="129" t="s">
        <v>324</v>
      </c>
      <c r="C272" s="4" t="s">
        <v>325</v>
      </c>
      <c r="D272" s="2" t="s">
        <v>41</v>
      </c>
      <c r="E272" s="152" t="s">
        <v>176</v>
      </c>
      <c r="F272" s="133" t="e">
        <f t="shared" si="89"/>
        <v>#DIV/0!</v>
      </c>
      <c r="G272" s="133" t="e">
        <f t="shared" si="90"/>
        <v>#DIV/0!</v>
      </c>
      <c r="H272" s="133" t="e">
        <f t="shared" si="91"/>
        <v>#DIV/0!</v>
      </c>
      <c r="I272" s="133" t="e">
        <f t="shared" si="92"/>
        <v>#DIV/0!</v>
      </c>
      <c r="J272" s="133" t="e">
        <f t="shared" si="93"/>
        <v>#DIV/0!</v>
      </c>
      <c r="K272" s="133" t="e">
        <f t="shared" si="94"/>
        <v>#DIV/0!</v>
      </c>
      <c r="N272" s="133"/>
      <c r="O272" s="133"/>
      <c r="P272" s="133"/>
      <c r="Q272" s="133"/>
      <c r="R272" s="133"/>
    </row>
    <row r="273" spans="1:18">
      <c r="A273" s="129" t="s">
        <v>318</v>
      </c>
      <c r="B273" s="129" t="s">
        <v>324</v>
      </c>
      <c r="C273" s="4" t="s">
        <v>325</v>
      </c>
      <c r="D273" s="2" t="s">
        <v>42</v>
      </c>
      <c r="E273" s="152" t="s">
        <v>176</v>
      </c>
      <c r="F273" s="133" t="e">
        <f t="shared" si="89"/>
        <v>#DIV/0!</v>
      </c>
      <c r="G273" s="133" t="e">
        <f t="shared" si="90"/>
        <v>#DIV/0!</v>
      </c>
      <c r="H273" s="133" t="e">
        <f t="shared" si="91"/>
        <v>#DIV/0!</v>
      </c>
      <c r="I273" s="133" t="e">
        <f t="shared" si="92"/>
        <v>#DIV/0!</v>
      </c>
      <c r="J273" s="133" t="e">
        <f t="shared" si="93"/>
        <v>#DIV/0!</v>
      </c>
      <c r="K273" s="133" t="e">
        <f t="shared" si="94"/>
        <v>#DIV/0!</v>
      </c>
      <c r="N273" s="133"/>
      <c r="O273" s="133"/>
      <c r="P273" s="133"/>
      <c r="Q273" s="133"/>
      <c r="R273" s="133"/>
    </row>
    <row r="274" spans="1:18">
      <c r="A274" s="122" t="s">
        <v>318</v>
      </c>
      <c r="B274" s="122" t="s">
        <v>326</v>
      </c>
      <c r="C274" s="123"/>
      <c r="D274" s="123"/>
      <c r="E274" s="122"/>
      <c r="F274" s="123"/>
      <c r="G274" s="123"/>
      <c r="H274" s="123"/>
      <c r="I274" s="123"/>
      <c r="J274" s="123"/>
      <c r="K274" s="123"/>
      <c r="N274" s="133"/>
      <c r="O274" s="133"/>
      <c r="P274" s="133"/>
      <c r="Q274" s="133"/>
      <c r="R274" s="133"/>
    </row>
    <row r="275" spans="1:18">
      <c r="A275" s="125" t="s">
        <v>318</v>
      </c>
      <c r="B275" s="125" t="s">
        <v>326</v>
      </c>
      <c r="C275" s="134" t="s">
        <v>316</v>
      </c>
      <c r="D275" s="135"/>
      <c r="E275" s="134"/>
      <c r="F275" s="135"/>
      <c r="G275" s="135"/>
      <c r="H275" s="135"/>
      <c r="I275" s="135"/>
      <c r="J275" s="135"/>
      <c r="K275" s="135"/>
      <c r="N275" s="133"/>
      <c r="O275" s="133"/>
      <c r="P275" s="133"/>
      <c r="Q275" s="133"/>
      <c r="R275" s="133"/>
    </row>
    <row r="276" spans="1:18">
      <c r="A276" s="129" t="s">
        <v>318</v>
      </c>
      <c r="B276" s="129" t="s">
        <v>326</v>
      </c>
      <c r="C276" s="4" t="s">
        <v>316</v>
      </c>
      <c r="D276" s="2" t="s">
        <v>36</v>
      </c>
      <c r="E276" s="152" t="s">
        <v>176</v>
      </c>
      <c r="F276" s="133" t="e">
        <f>AVERAGE(M104,M190)</f>
        <v>#DIV/0!</v>
      </c>
      <c r="G276" s="133" t="e">
        <f t="shared" ref="G276:K276" si="95">AVERAGE(N104,N190)</f>
        <v>#DIV/0!</v>
      </c>
      <c r="H276" s="133" t="e">
        <f t="shared" si="95"/>
        <v>#DIV/0!</v>
      </c>
      <c r="I276" s="133" t="e">
        <f t="shared" si="95"/>
        <v>#DIV/0!</v>
      </c>
      <c r="J276" s="133" t="e">
        <f t="shared" si="95"/>
        <v>#DIV/0!</v>
      </c>
      <c r="K276" s="133" t="e">
        <f t="shared" si="95"/>
        <v>#DIV/0!</v>
      </c>
      <c r="N276" s="133"/>
      <c r="O276" s="133"/>
      <c r="P276" s="133"/>
      <c r="Q276" s="133"/>
      <c r="R276" s="133"/>
    </row>
    <row r="277" spans="1:18">
      <c r="A277" s="129" t="s">
        <v>318</v>
      </c>
      <c r="B277" s="129" t="s">
        <v>326</v>
      </c>
      <c r="C277" s="4" t="s">
        <v>316</v>
      </c>
      <c r="D277" s="2" t="s">
        <v>37</v>
      </c>
      <c r="E277" s="152" t="s">
        <v>176</v>
      </c>
      <c r="F277" s="133" t="e">
        <f t="shared" ref="F277:F278" si="96">AVERAGE(M105,M191)</f>
        <v>#DIV/0!</v>
      </c>
      <c r="G277" s="133" t="e">
        <f t="shared" ref="G277:G278" si="97">AVERAGE(N105,N191)</f>
        <v>#DIV/0!</v>
      </c>
      <c r="H277" s="133" t="e">
        <f t="shared" ref="H277:H278" si="98">AVERAGE(O105,O191)</f>
        <v>#DIV/0!</v>
      </c>
      <c r="I277" s="133" t="e">
        <f t="shared" ref="I277:I278" si="99">AVERAGE(P105,P191)</f>
        <v>#DIV/0!</v>
      </c>
      <c r="J277" s="133" t="e">
        <f t="shared" ref="J277:J278" si="100">AVERAGE(Q105,Q191)</f>
        <v>#DIV/0!</v>
      </c>
      <c r="K277" s="133" t="e">
        <f t="shared" ref="K277:K278" si="101">AVERAGE(R105,R191)</f>
        <v>#DIV/0!</v>
      </c>
      <c r="N277" s="133"/>
      <c r="O277" s="133"/>
      <c r="P277" s="133"/>
      <c r="Q277" s="133"/>
      <c r="R277" s="133"/>
    </row>
    <row r="278" spans="1:18">
      <c r="A278" s="129" t="s">
        <v>318</v>
      </c>
      <c r="B278" s="129" t="s">
        <v>326</v>
      </c>
      <c r="C278" s="4" t="s">
        <v>316</v>
      </c>
      <c r="D278" s="2" t="s">
        <v>38</v>
      </c>
      <c r="E278" s="152" t="s">
        <v>176</v>
      </c>
      <c r="F278" s="133" t="e">
        <f t="shared" si="96"/>
        <v>#DIV/0!</v>
      </c>
      <c r="G278" s="133" t="e">
        <f t="shared" si="97"/>
        <v>#DIV/0!</v>
      </c>
      <c r="H278" s="133" t="e">
        <f t="shared" si="98"/>
        <v>#DIV/0!</v>
      </c>
      <c r="I278" s="133" t="e">
        <f t="shared" si="99"/>
        <v>#DIV/0!</v>
      </c>
      <c r="J278" s="133" t="e">
        <f t="shared" si="100"/>
        <v>#DIV/0!</v>
      </c>
      <c r="K278" s="133" t="e">
        <f t="shared" si="101"/>
        <v>#DIV/0!</v>
      </c>
      <c r="N278" s="133"/>
      <c r="O278" s="133"/>
      <c r="P278" s="133"/>
      <c r="Q278" s="133"/>
      <c r="R278" s="133"/>
    </row>
    <row r="279" spans="1:18">
      <c r="A279" s="129" t="s">
        <v>318</v>
      </c>
      <c r="B279" s="129" t="s">
        <v>326</v>
      </c>
      <c r="C279" s="4" t="s">
        <v>316</v>
      </c>
      <c r="D279" s="2" t="s">
        <v>39</v>
      </c>
      <c r="E279" s="152" t="s">
        <v>176</v>
      </c>
      <c r="F279" s="133" t="e">
        <f t="shared" ref="F279" si="102">AVERAGE(M107,M193)</f>
        <v>#DIV/0!</v>
      </c>
      <c r="G279" s="133" t="e">
        <f t="shared" ref="G279" si="103">AVERAGE(N107,N193)</f>
        <v>#DIV/0!</v>
      </c>
      <c r="H279" s="133" t="e">
        <f t="shared" ref="H279" si="104">AVERAGE(O107,O193)</f>
        <v>#DIV/0!</v>
      </c>
      <c r="I279" s="133" t="e">
        <f t="shared" ref="I279" si="105">AVERAGE(P107,P193)</f>
        <v>#DIV/0!</v>
      </c>
      <c r="J279" s="133" t="e">
        <f t="shared" ref="J279" si="106">AVERAGE(Q107,Q193)</f>
        <v>#DIV/0!</v>
      </c>
      <c r="K279" s="133" t="e">
        <f t="shared" ref="K279" si="107">AVERAGE(R107,R193)</f>
        <v>#DIV/0!</v>
      </c>
      <c r="N279" s="133"/>
      <c r="O279" s="133"/>
      <c r="P279" s="133"/>
      <c r="Q279" s="133"/>
      <c r="R279" s="133"/>
    </row>
    <row r="280" spans="1:18">
      <c r="A280" s="129" t="s">
        <v>318</v>
      </c>
      <c r="B280" s="129" t="s">
        <v>326</v>
      </c>
      <c r="C280" s="4" t="s">
        <v>316</v>
      </c>
      <c r="D280" s="2" t="s">
        <v>40</v>
      </c>
      <c r="E280" s="152" t="s">
        <v>176</v>
      </c>
      <c r="F280" s="133"/>
      <c r="G280" s="133"/>
      <c r="H280" s="133"/>
      <c r="I280" s="133"/>
      <c r="J280" s="133"/>
      <c r="K280" s="133"/>
      <c r="N280" s="133"/>
      <c r="O280" s="133"/>
      <c r="P280" s="133"/>
      <c r="Q280" s="133"/>
      <c r="R280" s="133"/>
    </row>
    <row r="281" spans="1:18">
      <c r="A281" s="129" t="s">
        <v>318</v>
      </c>
      <c r="B281" s="129" t="s">
        <v>326</v>
      </c>
      <c r="C281" s="4" t="s">
        <v>316</v>
      </c>
      <c r="D281" s="2" t="s">
        <v>41</v>
      </c>
      <c r="E281" s="152" t="s">
        <v>176</v>
      </c>
      <c r="F281" s="133" t="e">
        <f t="shared" ref="F281:F282" si="108">AVERAGE(M109,M195)</f>
        <v>#DIV/0!</v>
      </c>
      <c r="G281" s="133" t="e">
        <f t="shared" ref="G281:G282" si="109">AVERAGE(N109,N195)</f>
        <v>#DIV/0!</v>
      </c>
      <c r="H281" s="133" t="e">
        <f t="shared" ref="H281:H282" si="110">AVERAGE(O109,O195)</f>
        <v>#DIV/0!</v>
      </c>
      <c r="I281" s="133" t="e">
        <f t="shared" ref="I281:I282" si="111">AVERAGE(P109,P195)</f>
        <v>#DIV/0!</v>
      </c>
      <c r="J281" s="133" t="e">
        <f t="shared" ref="J281:J282" si="112">AVERAGE(Q109,Q195)</f>
        <v>#DIV/0!</v>
      </c>
      <c r="K281" s="133" t="e">
        <f t="shared" ref="K281:K282" si="113">AVERAGE(R109,R195)</f>
        <v>#DIV/0!</v>
      </c>
      <c r="N281" s="133"/>
      <c r="O281" s="133"/>
      <c r="P281" s="133"/>
      <c r="Q281" s="133"/>
      <c r="R281" s="133"/>
    </row>
    <row r="282" spans="1:18">
      <c r="A282" s="129" t="s">
        <v>318</v>
      </c>
      <c r="B282" s="129" t="s">
        <v>326</v>
      </c>
      <c r="C282" s="129" t="s">
        <v>316</v>
      </c>
      <c r="D282" s="2" t="s">
        <v>42</v>
      </c>
      <c r="E282" s="152" t="s">
        <v>176</v>
      </c>
      <c r="F282" s="133" t="e">
        <f t="shared" si="108"/>
        <v>#DIV/0!</v>
      </c>
      <c r="G282" s="133" t="e">
        <f t="shared" si="109"/>
        <v>#DIV/0!</v>
      </c>
      <c r="H282" s="133" t="e">
        <f t="shared" si="110"/>
        <v>#DIV/0!</v>
      </c>
      <c r="I282" s="133" t="e">
        <f t="shared" si="111"/>
        <v>#DIV/0!</v>
      </c>
      <c r="J282" s="133" t="e">
        <f t="shared" si="112"/>
        <v>#DIV/0!</v>
      </c>
      <c r="K282" s="133" t="e">
        <f t="shared" si="113"/>
        <v>#DIV/0!</v>
      </c>
      <c r="N282" s="133"/>
      <c r="O282" s="133"/>
      <c r="P282" s="133"/>
      <c r="Q282" s="133"/>
      <c r="R282" s="133"/>
    </row>
  </sheetData>
  <customSheetViews>
    <customSheetView guid="{BD5E9955-DC4B-4EA0-9160-9EF1C693DE04}" showGridLines="0" hiddenColumns="1" topLeftCell="A223">
      <selection activeCell="G243" sqref="G243"/>
      <pageMargins left="0.7" right="0.7" top="0.75" bottom="0.75" header="0.3" footer="0.3"/>
      <pageSetup orientation="portrait" horizontalDpi="300" verticalDpi="0" copies="0" r:id="rId1"/>
    </customSheetView>
    <customSheetView guid="{1ACDCC85-59E3-4410-927D-E7E5C71B61F5}" showGridLines="0" hiddenColumns="1" topLeftCell="D46">
      <selection activeCell="M59" sqref="M59:R65"/>
      <pageMargins left="0.7" right="0.7" top="0.75" bottom="0.75" header="0.3" footer="0.3"/>
      <pageSetup orientation="portrait" horizontalDpi="300" verticalDpi="0" copies="0" r:id="rId2"/>
    </customSheetView>
    <customSheetView guid="{28AA611C-F120-4D09-9666-0AAAA1997A5D}" showGridLines="0">
      <selection activeCell="E24" sqref="E24"/>
      <pageMargins left="0.7" right="0.7" top="0.75" bottom="0.75" header="0.3" footer="0.3"/>
      <pageSetup orientation="portrait" horizontalDpi="300" verticalDpi="0" copies="0" r:id="rId3"/>
    </customSheetView>
    <customSheetView guid="{63078F6D-D19C-47E9-B618-80B24EAAED3A}" showGridLines="0" topLeftCell="A214">
      <selection activeCell="F235" sqref="F235"/>
      <pageMargins left="0.7" right="0.7" top="0.75" bottom="0.75" header="0.3" footer="0.3"/>
      <pageSetup orientation="portrait" horizontalDpi="300" verticalDpi="0" copies="0" r:id="rId4"/>
    </customSheetView>
    <customSheetView guid="{92F60ACF-D6F3-4086-9F2B-BC0D304DAC43}" showGridLines="0" topLeftCell="A214">
      <selection activeCell="F235" sqref="F235"/>
      <pageMargins left="0.7" right="0.7" top="0.75" bottom="0.75" header="0.3" footer="0.3"/>
      <pageSetup orientation="portrait" horizontalDpi="300" verticalDpi="0" copies="0" r:id="rId5"/>
    </customSheetView>
    <customSheetView guid="{9144D9B3-2327-4B3A-89B1-6A595780C3C5}" showGridLines="0" state="hidden" topLeftCell="A214">
      <selection activeCell="F1" sqref="F1:F1048576"/>
      <pageMargins left="0.7" right="0.7" top="0.75" bottom="0.75" header="0.3" footer="0.3"/>
      <pageSetup orientation="portrait" horizontalDpi="300" verticalDpi="0" copies="0" r:id="rId6"/>
    </customSheetView>
    <customSheetView guid="{513032B5-C585-49C2-98E7-9FDE6F7A4BA7}" showGridLines="0" hiddenColumns="1" topLeftCell="A223">
      <pageMargins left="0.7" right="0.7" top="0.75" bottom="0.75" header="0.3" footer="0.3"/>
      <pageSetup orientation="portrait" horizontalDpi="300" verticalDpi="0" copies="0" r:id="rId7"/>
    </customSheetView>
    <customSheetView guid="{AF983ECA-536A-40E6-8A04-FF0A375E9ACC}" showGridLines="0" hiddenColumns="1" topLeftCell="D46">
      <selection activeCell="M57" sqref="M51:R57"/>
      <pageMargins left="0.7" right="0.7" top="0.75" bottom="0.75" header="0.3" footer="0.3"/>
      <pageSetup orientation="portrait" horizontalDpi="300" verticalDpi="0" copies="0" r:id="rId8"/>
    </customSheetView>
  </customSheetViews>
  <mergeCells count="3">
    <mergeCell ref="N1:R1"/>
    <mergeCell ref="G23:K23"/>
    <mergeCell ref="N23:R23"/>
  </mergeCells>
  <pageMargins left="0.7" right="0.7" top="0.75" bottom="0.75" header="0.3" footer="0.3"/>
  <pageSetup orientation="portrait" horizontalDpi="300" verticalDpi="0" copies="0" r:id="rId9"/>
  <legacyDrawing r:id="rId10"/>
</worksheet>
</file>

<file path=xl/worksheets/sheet30.xml><?xml version="1.0" encoding="utf-8"?>
<worksheet xmlns="http://schemas.openxmlformats.org/spreadsheetml/2006/main" xmlns:r="http://schemas.openxmlformats.org/officeDocument/2006/relationships">
  <sheetPr>
    <outlinePr summaryBelow="0"/>
  </sheetPr>
  <dimension ref="A1:P73"/>
  <sheetViews>
    <sheetView topLeftCell="A22" workbookViewId="0"/>
  </sheetViews>
  <sheetFormatPr defaultRowHeight="12.75"/>
  <cols>
    <col min="1" max="1" width="40.7109375" style="88" customWidth="1"/>
    <col min="2" max="255" width="9.140625" style="88"/>
    <col min="256" max="256" width="40.7109375" style="88" customWidth="1"/>
    <col min="257" max="511" width="9.140625" style="88"/>
    <col min="512" max="512" width="40.7109375" style="88" customWidth="1"/>
    <col min="513" max="767" width="9.140625" style="88"/>
    <col min="768" max="768" width="40.7109375" style="88" customWidth="1"/>
    <col min="769" max="1023" width="9.140625" style="88"/>
    <col min="1024" max="1024" width="40.7109375" style="88" customWidth="1"/>
    <col min="1025" max="1279" width="9.140625" style="88"/>
    <col min="1280" max="1280" width="40.7109375" style="88" customWidth="1"/>
    <col min="1281" max="1535" width="9.140625" style="88"/>
    <col min="1536" max="1536" width="40.7109375" style="88" customWidth="1"/>
    <col min="1537" max="1791" width="9.140625" style="88"/>
    <col min="1792" max="1792" width="40.7109375" style="88" customWidth="1"/>
    <col min="1793" max="2047" width="9.140625" style="88"/>
    <col min="2048" max="2048" width="40.7109375" style="88" customWidth="1"/>
    <col min="2049" max="2303" width="9.140625" style="88"/>
    <col min="2304" max="2304" width="40.7109375" style="88" customWidth="1"/>
    <col min="2305" max="2559" width="9.140625" style="88"/>
    <col min="2560" max="2560" width="40.7109375" style="88" customWidth="1"/>
    <col min="2561" max="2815" width="9.140625" style="88"/>
    <col min="2816" max="2816" width="40.7109375" style="88" customWidth="1"/>
    <col min="2817" max="3071" width="9.140625" style="88"/>
    <col min="3072" max="3072" width="40.7109375" style="88" customWidth="1"/>
    <col min="3073" max="3327" width="9.140625" style="88"/>
    <col min="3328" max="3328" width="40.7109375" style="88" customWidth="1"/>
    <col min="3329" max="3583" width="9.140625" style="88"/>
    <col min="3584" max="3584" width="40.7109375" style="88" customWidth="1"/>
    <col min="3585" max="3839" width="9.140625" style="88"/>
    <col min="3840" max="3840" width="40.7109375" style="88" customWidth="1"/>
    <col min="3841" max="4095" width="9.140625" style="88"/>
    <col min="4096" max="4096" width="40.7109375" style="88" customWidth="1"/>
    <col min="4097" max="4351" width="9.140625" style="88"/>
    <col min="4352" max="4352" width="40.7109375" style="88" customWidth="1"/>
    <col min="4353" max="4607" width="9.140625" style="88"/>
    <col min="4608" max="4608" width="40.7109375" style="88" customWidth="1"/>
    <col min="4609" max="4863" width="9.140625" style="88"/>
    <col min="4864" max="4864" width="40.7109375" style="88" customWidth="1"/>
    <col min="4865" max="5119" width="9.140625" style="88"/>
    <col min="5120" max="5120" width="40.7109375" style="88" customWidth="1"/>
    <col min="5121" max="5375" width="9.140625" style="88"/>
    <col min="5376" max="5376" width="40.7109375" style="88" customWidth="1"/>
    <col min="5377" max="5631" width="9.140625" style="88"/>
    <col min="5632" max="5632" width="40.7109375" style="88" customWidth="1"/>
    <col min="5633" max="5887" width="9.140625" style="88"/>
    <col min="5888" max="5888" width="40.7109375" style="88" customWidth="1"/>
    <col min="5889" max="6143" width="9.140625" style="88"/>
    <col min="6144" max="6144" width="40.7109375" style="88" customWidth="1"/>
    <col min="6145" max="6399" width="9.140625" style="88"/>
    <col min="6400" max="6400" width="40.7109375" style="88" customWidth="1"/>
    <col min="6401" max="6655" width="9.140625" style="88"/>
    <col min="6656" max="6656" width="40.7109375" style="88" customWidth="1"/>
    <col min="6657" max="6911" width="9.140625" style="88"/>
    <col min="6912" max="6912" width="40.7109375" style="88" customWidth="1"/>
    <col min="6913" max="7167" width="9.140625" style="88"/>
    <col min="7168" max="7168" width="40.7109375" style="88" customWidth="1"/>
    <col min="7169" max="7423" width="9.140625" style="88"/>
    <col min="7424" max="7424" width="40.7109375" style="88" customWidth="1"/>
    <col min="7425" max="7679" width="9.140625" style="88"/>
    <col min="7680" max="7680" width="40.7109375" style="88" customWidth="1"/>
    <col min="7681" max="7935" width="9.140625" style="88"/>
    <col min="7936" max="7936" width="40.7109375" style="88" customWidth="1"/>
    <col min="7937" max="8191" width="9.140625" style="88"/>
    <col min="8192" max="8192" width="40.7109375" style="88" customWidth="1"/>
    <col min="8193" max="8447" width="9.140625" style="88"/>
    <col min="8448" max="8448" width="40.7109375" style="88" customWidth="1"/>
    <col min="8449" max="8703" width="9.140625" style="88"/>
    <col min="8704" max="8704" width="40.7109375" style="88" customWidth="1"/>
    <col min="8705" max="8959" width="9.140625" style="88"/>
    <col min="8960" max="8960" width="40.7109375" style="88" customWidth="1"/>
    <col min="8961" max="9215" width="9.140625" style="88"/>
    <col min="9216" max="9216" width="40.7109375" style="88" customWidth="1"/>
    <col min="9217" max="9471" width="9.140625" style="88"/>
    <col min="9472" max="9472" width="40.7109375" style="88" customWidth="1"/>
    <col min="9473" max="9727" width="9.140625" style="88"/>
    <col min="9728" max="9728" width="40.7109375" style="88" customWidth="1"/>
    <col min="9729" max="9983" width="9.140625" style="88"/>
    <col min="9984" max="9984" width="40.7109375" style="88" customWidth="1"/>
    <col min="9985" max="10239" width="9.140625" style="88"/>
    <col min="10240" max="10240" width="40.7109375" style="88" customWidth="1"/>
    <col min="10241" max="10495" width="9.140625" style="88"/>
    <col min="10496" max="10496" width="40.7109375" style="88" customWidth="1"/>
    <col min="10497" max="10751" width="9.140625" style="88"/>
    <col min="10752" max="10752" width="40.7109375" style="88" customWidth="1"/>
    <col min="10753" max="11007" width="9.140625" style="88"/>
    <col min="11008" max="11008" width="40.7109375" style="88" customWidth="1"/>
    <col min="11009" max="11263" width="9.140625" style="88"/>
    <col min="11264" max="11264" width="40.7109375" style="88" customWidth="1"/>
    <col min="11265" max="11519" width="9.140625" style="88"/>
    <col min="11520" max="11520" width="40.7109375" style="88" customWidth="1"/>
    <col min="11521" max="11775" width="9.140625" style="88"/>
    <col min="11776" max="11776" width="40.7109375" style="88" customWidth="1"/>
    <col min="11777" max="12031" width="9.140625" style="88"/>
    <col min="12032" max="12032" width="40.7109375" style="88" customWidth="1"/>
    <col min="12033" max="12287" width="9.140625" style="88"/>
    <col min="12288" max="12288" width="40.7109375" style="88" customWidth="1"/>
    <col min="12289" max="12543" width="9.140625" style="88"/>
    <col min="12544" max="12544" width="40.7109375" style="88" customWidth="1"/>
    <col min="12545" max="12799" width="9.140625" style="88"/>
    <col min="12800" max="12800" width="40.7109375" style="88" customWidth="1"/>
    <col min="12801" max="13055" width="9.140625" style="88"/>
    <col min="13056" max="13056" width="40.7109375" style="88" customWidth="1"/>
    <col min="13057" max="13311" width="9.140625" style="88"/>
    <col min="13312" max="13312" width="40.7109375" style="88" customWidth="1"/>
    <col min="13313" max="13567" width="9.140625" style="88"/>
    <col min="13568" max="13568" width="40.7109375" style="88" customWidth="1"/>
    <col min="13569" max="13823" width="9.140625" style="88"/>
    <col min="13824" max="13824" width="40.7109375" style="88" customWidth="1"/>
    <col min="13825" max="14079" width="9.140625" style="88"/>
    <col min="14080" max="14080" width="40.7109375" style="88" customWidth="1"/>
    <col min="14081" max="14335" width="9.140625" style="88"/>
    <col min="14336" max="14336" width="40.7109375" style="88" customWidth="1"/>
    <col min="14337" max="14591" width="9.140625" style="88"/>
    <col min="14592" max="14592" width="40.7109375" style="88" customWidth="1"/>
    <col min="14593" max="14847" width="9.140625" style="88"/>
    <col min="14848" max="14848" width="40.7109375" style="88" customWidth="1"/>
    <col min="14849" max="15103" width="9.140625" style="88"/>
    <col min="15104" max="15104" width="40.7109375" style="88" customWidth="1"/>
    <col min="15105" max="15359" width="9.140625" style="88"/>
    <col min="15360" max="15360" width="40.7109375" style="88" customWidth="1"/>
    <col min="15361" max="15615" width="9.140625" style="88"/>
    <col min="15616" max="15616" width="40.7109375" style="88" customWidth="1"/>
    <col min="15617" max="15871" width="9.140625" style="88"/>
    <col min="15872" max="15872" width="40.7109375" style="88" customWidth="1"/>
    <col min="15873" max="16127" width="9.140625" style="88"/>
    <col min="16128" max="16128" width="40.7109375" style="88" customWidth="1"/>
    <col min="16129" max="16384" width="9.140625" style="88"/>
  </cols>
  <sheetData>
    <row r="1" spans="1:11" ht="25.5" customHeight="1">
      <c r="A1" s="87" t="s">
        <v>247</v>
      </c>
    </row>
    <row r="2" spans="1:11" ht="25.5" customHeight="1">
      <c r="A2" s="87" t="s">
        <v>248</v>
      </c>
      <c r="B2" s="87"/>
      <c r="C2" s="87"/>
      <c r="D2" s="87"/>
      <c r="E2" s="87"/>
      <c r="F2" s="87"/>
      <c r="G2" s="87"/>
      <c r="H2" s="87"/>
      <c r="I2" s="87"/>
      <c r="J2" s="87"/>
      <c r="K2" s="87"/>
    </row>
    <row r="3" spans="1:11" ht="25.5" customHeight="1">
      <c r="A3" s="87" t="s">
        <v>249</v>
      </c>
      <c r="B3" s="87"/>
      <c r="C3" s="87"/>
      <c r="D3" s="87"/>
      <c r="E3" s="87"/>
      <c r="F3" s="87"/>
      <c r="G3" s="87"/>
      <c r="H3" s="87"/>
      <c r="I3" s="87"/>
      <c r="J3" s="87"/>
      <c r="K3" s="87"/>
    </row>
    <row r="4" spans="1:11" ht="25.5" customHeight="1">
      <c r="A4" s="87" t="s">
        <v>250</v>
      </c>
      <c r="B4" s="87"/>
      <c r="C4" s="87"/>
      <c r="D4" s="87"/>
      <c r="E4" s="87"/>
      <c r="F4" s="87"/>
      <c r="G4" s="87"/>
      <c r="H4" s="87"/>
      <c r="I4" s="87"/>
      <c r="J4" s="87"/>
      <c r="K4" s="87"/>
    </row>
    <row r="5" spans="1:11" ht="25.5" customHeight="1">
      <c r="A5" s="87" t="s">
        <v>251</v>
      </c>
      <c r="B5" s="87"/>
      <c r="C5" s="87"/>
      <c r="D5" s="87"/>
      <c r="E5" s="87"/>
      <c r="F5" s="87"/>
      <c r="G5" s="87"/>
      <c r="H5" s="87"/>
      <c r="I5" s="87"/>
      <c r="J5" s="87"/>
      <c r="K5" s="87"/>
    </row>
    <row r="6" spans="1:11" ht="14.25">
      <c r="A6" s="87"/>
      <c r="B6" s="87"/>
      <c r="C6" s="87"/>
      <c r="D6" s="87"/>
      <c r="E6" s="87"/>
      <c r="F6" s="87"/>
      <c r="G6" s="87"/>
      <c r="H6" s="87"/>
      <c r="I6" s="87"/>
      <c r="J6" s="87"/>
      <c r="K6" s="87"/>
    </row>
    <row r="7" spans="1:11" ht="14.25">
      <c r="A7" s="87"/>
      <c r="B7" s="87"/>
      <c r="C7" s="87"/>
      <c r="D7" s="87"/>
      <c r="E7" s="87"/>
      <c r="F7" s="87"/>
      <c r="G7" s="87"/>
      <c r="H7" s="87"/>
      <c r="I7" s="87"/>
      <c r="J7" s="87"/>
    </row>
    <row r="8" spans="1:11" ht="25.5" customHeight="1">
      <c r="A8" s="89" t="s">
        <v>153</v>
      </c>
      <c r="B8" s="90">
        <v>2008</v>
      </c>
      <c r="C8" s="90">
        <v>2009</v>
      </c>
      <c r="D8" s="90">
        <v>2010</v>
      </c>
      <c r="E8" s="90">
        <v>2011</v>
      </c>
      <c r="F8" s="90">
        <v>2012</v>
      </c>
      <c r="G8" s="90">
        <v>2013</v>
      </c>
      <c r="H8" s="90">
        <v>2014</v>
      </c>
      <c r="I8" s="90">
        <v>2015</v>
      </c>
      <c r="J8" s="90">
        <v>2016</v>
      </c>
      <c r="K8" s="90">
        <v>2017</v>
      </c>
    </row>
    <row r="9" spans="1:11" ht="18" customHeight="1">
      <c r="A9" s="93" t="s">
        <v>252</v>
      </c>
      <c r="B9" s="91"/>
      <c r="C9" s="91"/>
      <c r="D9" s="91"/>
      <c r="E9" s="91"/>
      <c r="F9" s="91"/>
      <c r="G9" s="91"/>
      <c r="H9" s="91"/>
      <c r="I9" s="91"/>
      <c r="J9" s="91"/>
      <c r="K9" s="91"/>
    </row>
    <row r="10" spans="1:11" ht="18" customHeight="1">
      <c r="A10" s="94" t="s">
        <v>253</v>
      </c>
      <c r="B10" s="92">
        <v>3.9830000000000001</v>
      </c>
      <c r="C10" s="92">
        <v>4.0110000000000001</v>
      </c>
      <c r="D10" s="92">
        <v>4.0439999999999996</v>
      </c>
      <c r="E10" s="92">
        <v>3.0590000000000002</v>
      </c>
      <c r="F10" s="92">
        <v>3.3029999999999999</v>
      </c>
      <c r="G10" s="92">
        <v>3.4249999999999998</v>
      </c>
      <c r="H10" s="92">
        <v>3.653</v>
      </c>
      <c r="I10" s="92">
        <v>3.7959999999999998</v>
      </c>
      <c r="J10" s="92">
        <v>3.9470000000000001</v>
      </c>
      <c r="K10" s="92">
        <v>4.0469999999999997</v>
      </c>
    </row>
    <row r="11" spans="1:11" ht="18" customHeight="1">
      <c r="A11" s="93" t="s">
        <v>254</v>
      </c>
      <c r="B11" s="91"/>
      <c r="C11" s="91"/>
      <c r="D11" s="91"/>
      <c r="E11" s="91"/>
      <c r="F11" s="91"/>
      <c r="G11" s="91"/>
      <c r="H11" s="91"/>
      <c r="I11" s="91"/>
      <c r="J11" s="91"/>
      <c r="K11" s="91"/>
    </row>
    <row r="12" spans="1:11" ht="18" customHeight="1">
      <c r="A12" s="94" t="s">
        <v>253</v>
      </c>
      <c r="B12" s="92">
        <v>8.3580000000000005</v>
      </c>
      <c r="C12" s="92">
        <v>8.4149999999999991</v>
      </c>
      <c r="D12" s="92">
        <v>8.3610000000000007</v>
      </c>
      <c r="E12" s="92">
        <v>6.6189999999999998</v>
      </c>
      <c r="F12" s="92">
        <v>6.984</v>
      </c>
      <c r="G12" s="92">
        <v>7.2350000000000003</v>
      </c>
      <c r="H12" s="92">
        <v>7.7169999999999996</v>
      </c>
      <c r="I12" s="92">
        <v>8.0410000000000004</v>
      </c>
      <c r="J12" s="92">
        <v>8.36</v>
      </c>
      <c r="K12" s="92">
        <v>8.6059999999999999</v>
      </c>
    </row>
    <row r="13" spans="1:11" ht="18" customHeight="1">
      <c r="A13" s="93" t="s">
        <v>255</v>
      </c>
      <c r="B13" s="91"/>
      <c r="C13" s="91"/>
      <c r="D13" s="91"/>
      <c r="E13" s="91"/>
      <c r="F13" s="91"/>
      <c r="G13" s="91"/>
      <c r="H13" s="91"/>
      <c r="I13" s="91"/>
      <c r="J13" s="91"/>
      <c r="K13" s="91"/>
    </row>
    <row r="14" spans="1:11" ht="18" customHeight="1">
      <c r="A14" s="94" t="s">
        <v>256</v>
      </c>
      <c r="B14" s="92">
        <v>256.89999999999998</v>
      </c>
      <c r="C14" s="92">
        <v>254.4</v>
      </c>
      <c r="D14" s="92">
        <v>255.8</v>
      </c>
      <c r="E14" s="92">
        <v>191.7</v>
      </c>
      <c r="F14" s="92">
        <v>205.5</v>
      </c>
      <c r="G14" s="92">
        <v>208.6</v>
      </c>
      <c r="H14" s="92">
        <v>216.1</v>
      </c>
      <c r="I14" s="92">
        <v>218.2</v>
      </c>
      <c r="J14" s="92">
        <v>220.4</v>
      </c>
      <c r="K14" s="92">
        <v>220.1</v>
      </c>
    </row>
    <row r="15" spans="1:11" ht="18" customHeight="1">
      <c r="A15" s="93" t="s">
        <v>257</v>
      </c>
      <c r="B15" s="91"/>
      <c r="C15" s="91"/>
      <c r="D15" s="91"/>
      <c r="E15" s="91"/>
      <c r="F15" s="91"/>
      <c r="G15" s="91"/>
      <c r="H15" s="91"/>
      <c r="I15" s="91"/>
      <c r="J15" s="91"/>
      <c r="K15" s="91"/>
    </row>
    <row r="16" spans="1:11" ht="18" customHeight="1">
      <c r="A16" s="94" t="s">
        <v>256</v>
      </c>
      <c r="B16" s="92">
        <v>540.9</v>
      </c>
      <c r="C16" s="92">
        <v>536.4</v>
      </c>
      <c r="D16" s="92">
        <v>530.9</v>
      </c>
      <c r="E16" s="92">
        <v>415.5</v>
      </c>
      <c r="F16" s="92">
        <v>435.1</v>
      </c>
      <c r="G16" s="92">
        <v>440.9</v>
      </c>
      <c r="H16" s="92">
        <v>455.9</v>
      </c>
      <c r="I16" s="92">
        <v>460.9</v>
      </c>
      <c r="J16" s="92">
        <v>464.9</v>
      </c>
      <c r="K16" s="92">
        <v>465.2</v>
      </c>
    </row>
    <row r="17" spans="1:11" ht="18" customHeight="1">
      <c r="A17" s="93" t="s">
        <v>258</v>
      </c>
      <c r="B17" s="91"/>
      <c r="C17" s="91"/>
      <c r="D17" s="91"/>
      <c r="E17" s="91"/>
      <c r="F17" s="91"/>
      <c r="G17" s="91"/>
      <c r="H17" s="91"/>
      <c r="I17" s="91"/>
      <c r="J17" s="91"/>
      <c r="K17" s="91"/>
    </row>
    <row r="18" spans="1:11" ht="18" customHeight="1">
      <c r="A18" s="94" t="s">
        <v>253</v>
      </c>
      <c r="B18" s="92">
        <v>3.7850000000000001</v>
      </c>
      <c r="C18" s="92">
        <v>3.66</v>
      </c>
      <c r="D18" s="92">
        <v>3.6560000000000001</v>
      </c>
      <c r="E18" s="92">
        <v>2.306</v>
      </c>
      <c r="F18" s="92">
        <v>2.5539999999999998</v>
      </c>
      <c r="G18" s="92">
        <v>2.746</v>
      </c>
      <c r="H18" s="92">
        <v>2.9870000000000001</v>
      </c>
      <c r="I18" s="92">
        <v>3.1219999999999999</v>
      </c>
      <c r="J18" s="92">
        <v>3.2269999999999999</v>
      </c>
      <c r="K18" s="92">
        <v>3.2490000000000001</v>
      </c>
    </row>
    <row r="19" spans="1:11" ht="18" customHeight="1">
      <c r="A19" s="93" t="s">
        <v>259</v>
      </c>
      <c r="B19" s="91"/>
      <c r="C19" s="91"/>
      <c r="D19" s="91"/>
      <c r="E19" s="91"/>
      <c r="F19" s="91"/>
      <c r="G19" s="91"/>
      <c r="H19" s="91"/>
      <c r="I19" s="91"/>
      <c r="J19" s="91"/>
      <c r="K19" s="91"/>
    </row>
    <row r="20" spans="1:11" ht="18" customHeight="1">
      <c r="A20" s="94" t="s">
        <v>253</v>
      </c>
      <c r="B20" s="92">
        <v>1.8120000000000001</v>
      </c>
      <c r="C20" s="92">
        <v>1.9239999999999999</v>
      </c>
      <c r="D20" s="92">
        <v>1.9850000000000001</v>
      </c>
      <c r="E20" s="92">
        <v>1.984</v>
      </c>
      <c r="F20" s="92">
        <v>2.0910000000000002</v>
      </c>
      <c r="G20" s="92">
        <v>2.0649999999999999</v>
      </c>
      <c r="H20" s="92">
        <v>2.1509999999999998</v>
      </c>
      <c r="I20" s="92">
        <v>2.222</v>
      </c>
      <c r="J20" s="92">
        <v>2.331</v>
      </c>
      <c r="K20" s="92">
        <v>2.452</v>
      </c>
    </row>
    <row r="21" spans="1:11" ht="18" customHeight="1">
      <c r="A21" s="93" t="s">
        <v>260</v>
      </c>
      <c r="B21" s="91"/>
      <c r="C21" s="91"/>
      <c r="D21" s="91"/>
      <c r="E21" s="91"/>
      <c r="F21" s="91"/>
      <c r="G21" s="91"/>
      <c r="H21" s="91"/>
      <c r="I21" s="91"/>
      <c r="J21" s="91"/>
      <c r="K21" s="91"/>
    </row>
    <row r="22" spans="1:11" ht="18" customHeight="1">
      <c r="A22" s="94" t="s">
        <v>253</v>
      </c>
      <c r="B22" s="92">
        <v>0.06</v>
      </c>
      <c r="C22" s="92">
        <v>7.0000000000000007E-2</v>
      </c>
      <c r="D22" s="92">
        <v>7.0000000000000007E-2</v>
      </c>
      <c r="E22" s="92">
        <v>7.0000000000000007E-2</v>
      </c>
      <c r="F22" s="92">
        <v>0.08</v>
      </c>
      <c r="G22" s="92">
        <v>0.08</v>
      </c>
      <c r="H22" s="92">
        <v>0.08</v>
      </c>
      <c r="I22" s="92">
        <v>0.09</v>
      </c>
      <c r="J22" s="92">
        <v>0.09</v>
      </c>
      <c r="K22" s="92">
        <v>0.1</v>
      </c>
    </row>
    <row r="23" spans="1:11" ht="18" customHeight="1">
      <c r="A23" s="93" t="s">
        <v>261</v>
      </c>
      <c r="B23" s="91"/>
      <c r="C23" s="91"/>
      <c r="D23" s="91"/>
      <c r="E23" s="91"/>
      <c r="F23" s="91"/>
      <c r="G23" s="91"/>
      <c r="H23" s="91"/>
      <c r="I23" s="91"/>
      <c r="J23" s="91"/>
      <c r="K23" s="91"/>
    </row>
    <row r="24" spans="1:11" ht="18" customHeight="1">
      <c r="A24" s="94" t="s">
        <v>253</v>
      </c>
      <c r="B24" s="92">
        <v>5.6619999999999999</v>
      </c>
      <c r="C24" s="92">
        <v>5.6529999999999996</v>
      </c>
      <c r="D24" s="92">
        <v>5.7119999999999997</v>
      </c>
      <c r="E24" s="92">
        <v>4.3620000000000001</v>
      </c>
      <c r="F24" s="92">
        <v>4.7210000000000001</v>
      </c>
      <c r="G24" s="92">
        <v>4.891</v>
      </c>
      <c r="H24" s="92">
        <v>5.2229999999999999</v>
      </c>
      <c r="I24" s="92">
        <v>5.4329999999999998</v>
      </c>
      <c r="J24" s="92">
        <v>5.6509999999999998</v>
      </c>
      <c r="K24" s="92">
        <v>5.7990000000000004</v>
      </c>
    </row>
    <row r="25" spans="1:11" ht="18" customHeight="1">
      <c r="A25" s="93" t="s">
        <v>262</v>
      </c>
      <c r="B25" s="91"/>
      <c r="C25" s="91"/>
      <c r="D25" s="91"/>
      <c r="E25" s="91"/>
      <c r="F25" s="91"/>
      <c r="G25" s="91"/>
      <c r="H25" s="91"/>
      <c r="I25" s="91"/>
      <c r="J25" s="91"/>
      <c r="K25" s="91"/>
    </row>
    <row r="26" spans="1:11" ht="18" customHeight="1">
      <c r="A26" s="94" t="s">
        <v>253</v>
      </c>
      <c r="B26" s="92">
        <v>4.7839999999999998</v>
      </c>
      <c r="C26" s="92">
        <v>4.7210000000000001</v>
      </c>
      <c r="D26" s="92">
        <v>4.758</v>
      </c>
      <c r="E26" s="92">
        <v>3.4369999999999998</v>
      </c>
      <c r="F26" s="92">
        <v>3.7410000000000001</v>
      </c>
      <c r="G26" s="92">
        <v>3.9169999999999998</v>
      </c>
      <c r="H26" s="92">
        <v>4.2080000000000002</v>
      </c>
      <c r="I26" s="92">
        <v>4.3869999999999996</v>
      </c>
      <c r="J26" s="92">
        <v>4.5570000000000004</v>
      </c>
      <c r="K26" s="92">
        <v>4.6529999999999996</v>
      </c>
    </row>
    <row r="27" spans="1:11" ht="18" customHeight="1">
      <c r="A27" s="93" t="s">
        <v>263</v>
      </c>
      <c r="B27" s="91"/>
      <c r="C27" s="91"/>
      <c r="D27" s="91"/>
      <c r="E27" s="91"/>
      <c r="F27" s="91"/>
      <c r="G27" s="91"/>
      <c r="H27" s="91"/>
      <c r="I27" s="91"/>
      <c r="J27" s="91"/>
      <c r="K27" s="91"/>
    </row>
    <row r="28" spans="1:11" ht="18" customHeight="1">
      <c r="A28" s="94" t="s">
        <v>253</v>
      </c>
      <c r="B28" s="92">
        <v>0.878</v>
      </c>
      <c r="C28" s="92">
        <v>0.93200000000000005</v>
      </c>
      <c r="D28" s="92">
        <v>0.95399999999999996</v>
      </c>
      <c r="E28" s="92">
        <v>0.92600000000000005</v>
      </c>
      <c r="F28" s="92">
        <v>0.98099999999999998</v>
      </c>
      <c r="G28" s="92">
        <v>0.97499999999999998</v>
      </c>
      <c r="H28" s="92">
        <v>1.016</v>
      </c>
      <c r="I28" s="92">
        <v>1.0469999999999999</v>
      </c>
      <c r="J28" s="92">
        <v>1.095</v>
      </c>
      <c r="K28" s="92">
        <v>1.147</v>
      </c>
    </row>
    <row r="29" spans="1:11" ht="18" customHeight="1">
      <c r="A29" s="93" t="s">
        <v>264</v>
      </c>
      <c r="B29" s="91"/>
      <c r="C29" s="91"/>
      <c r="D29" s="91"/>
      <c r="E29" s="91"/>
      <c r="F29" s="91"/>
      <c r="G29" s="91"/>
      <c r="H29" s="91"/>
      <c r="I29" s="91"/>
      <c r="J29" s="91"/>
      <c r="K29" s="91"/>
    </row>
    <row r="30" spans="1:11" ht="18" customHeight="1">
      <c r="A30" s="94" t="s">
        <v>253</v>
      </c>
      <c r="B30" s="92">
        <v>1.169</v>
      </c>
      <c r="C30" s="92">
        <v>1.0660000000000001</v>
      </c>
      <c r="D30" s="92">
        <v>1.0209999999999999</v>
      </c>
      <c r="E30" s="92">
        <v>0.93300000000000005</v>
      </c>
      <c r="F30" s="92">
        <v>0.91400000000000003</v>
      </c>
      <c r="G30" s="92">
        <v>0.91200000000000003</v>
      </c>
      <c r="H30" s="92">
        <v>0.997</v>
      </c>
      <c r="I30" s="92">
        <v>1.0580000000000001</v>
      </c>
      <c r="J30" s="92">
        <v>1.0900000000000001</v>
      </c>
      <c r="K30" s="92">
        <v>1.125</v>
      </c>
    </row>
    <row r="32" spans="1:11">
      <c r="A32" s="88" t="s">
        <v>266</v>
      </c>
      <c r="B32" s="96">
        <f>B26/(B26+B28)</f>
        <v>0.84493111974567292</v>
      </c>
      <c r="C32" s="96">
        <f t="shared" ref="C32:K32" si="0">C26/(C26+C28)</f>
        <v>0.83513178843092162</v>
      </c>
      <c r="D32" s="96">
        <f t="shared" si="0"/>
        <v>0.83298319327731096</v>
      </c>
      <c r="E32" s="96">
        <f t="shared" si="0"/>
        <v>0.78776071510428614</v>
      </c>
      <c r="F32" s="96">
        <f t="shared" si="0"/>
        <v>0.79224904701397703</v>
      </c>
      <c r="G32" s="96">
        <f t="shared" si="0"/>
        <v>0.80069501226492235</v>
      </c>
      <c r="H32" s="96">
        <f t="shared" si="0"/>
        <v>0.80551301684532928</v>
      </c>
      <c r="I32" s="96">
        <f t="shared" si="0"/>
        <v>0.80732425469267577</v>
      </c>
      <c r="J32" s="96">
        <f t="shared" si="0"/>
        <v>0.80626326963906592</v>
      </c>
      <c r="K32" s="96">
        <f t="shared" si="0"/>
        <v>0.80224137931034478</v>
      </c>
    </row>
    <row r="33" spans="1:15">
      <c r="A33" s="88" t="s">
        <v>267</v>
      </c>
      <c r="B33" s="96">
        <f>B28/(B26+B28)</f>
        <v>0.15506888025432711</v>
      </c>
      <c r="C33" s="96">
        <f t="shared" ref="C33:K33" si="1">C28/(C26+C28)</f>
        <v>0.16486821156907835</v>
      </c>
      <c r="D33" s="96">
        <f t="shared" si="1"/>
        <v>0.16701680672268907</v>
      </c>
      <c r="E33" s="96">
        <f t="shared" si="1"/>
        <v>0.212239284895714</v>
      </c>
      <c r="F33" s="96">
        <f t="shared" si="1"/>
        <v>0.20775095298602286</v>
      </c>
      <c r="G33" s="96">
        <f t="shared" si="1"/>
        <v>0.19930498773507768</v>
      </c>
      <c r="H33" s="96">
        <f t="shared" si="1"/>
        <v>0.19448698315467075</v>
      </c>
      <c r="I33" s="96">
        <f t="shared" si="1"/>
        <v>0.19267574530732426</v>
      </c>
      <c r="J33" s="96">
        <f t="shared" si="1"/>
        <v>0.19373673036093417</v>
      </c>
      <c r="K33" s="96">
        <f t="shared" si="1"/>
        <v>0.19775862068965519</v>
      </c>
    </row>
    <row r="34" spans="1:15" ht="15">
      <c r="A34" s="95" t="s">
        <v>265</v>
      </c>
      <c r="B34" s="106"/>
      <c r="C34" s="106"/>
      <c r="D34" s="106"/>
      <c r="E34" s="106"/>
      <c r="F34" s="106"/>
    </row>
    <row r="35" spans="1:15" ht="15">
      <c r="A35" s="107" t="s">
        <v>276</v>
      </c>
      <c r="B35" s="106">
        <v>600.1</v>
      </c>
      <c r="C35" s="106">
        <v>549.6</v>
      </c>
      <c r="D35" s="106">
        <v>767.2</v>
      </c>
      <c r="E35" s="106">
        <v>629</v>
      </c>
      <c r="F35" s="106">
        <v>741.2</v>
      </c>
    </row>
    <row r="36" spans="1:15" ht="15">
      <c r="A36" s="107" t="s">
        <v>277</v>
      </c>
      <c r="B36" s="106">
        <f>B35*B38</f>
        <v>494.96248000000003</v>
      </c>
      <c r="C36" s="106">
        <f>C35*C38</f>
        <v>414.67320000000001</v>
      </c>
      <c r="D36" s="106">
        <f>D35*D38</f>
        <v>541.71992</v>
      </c>
      <c r="E36" s="106">
        <f>E35*E38</f>
        <v>449.23179999999996</v>
      </c>
      <c r="F36" s="106">
        <f>F35*F38</f>
        <v>476.36924000000005</v>
      </c>
    </row>
    <row r="37" spans="1:15" ht="15">
      <c r="A37"/>
      <c r="B37" s="8">
        <v>2008</v>
      </c>
      <c r="C37" s="8">
        <v>2009</v>
      </c>
      <c r="D37" s="8">
        <v>2010</v>
      </c>
      <c r="E37" s="8">
        <v>2011</v>
      </c>
      <c r="F37" s="8">
        <v>2012</v>
      </c>
    </row>
    <row r="38" spans="1:15" ht="15">
      <c r="A38" s="9" t="str">
        <f>"Exchange Rate  (TND to US$)"</f>
        <v>Exchange Rate  (TND to US$)</v>
      </c>
      <c r="B38" s="8">
        <v>0.82479999999999998</v>
      </c>
      <c r="C38" s="8">
        <v>0.75449999999999995</v>
      </c>
      <c r="D38" s="8">
        <v>0.70609999999999995</v>
      </c>
      <c r="E38" s="8">
        <v>0.71419999999999995</v>
      </c>
      <c r="F38" s="11">
        <v>0.64270000000000005</v>
      </c>
    </row>
    <row r="39" spans="1:15">
      <c r="A39" s="104" t="s">
        <v>272</v>
      </c>
    </row>
    <row r="40" spans="1:15" ht="15">
      <c r="A40" s="88" t="s">
        <v>274</v>
      </c>
      <c r="B40">
        <v>10186.01987</v>
      </c>
      <c r="C40">
        <v>10000.575949999999</v>
      </c>
      <c r="D40">
        <v>10294.7132</v>
      </c>
      <c r="E40">
        <v>10507.540849999999</v>
      </c>
      <c r="F40">
        <v>10915.741803898003</v>
      </c>
      <c r="G40">
        <v>11250.260249581785</v>
      </c>
      <c r="H40">
        <v>11598.159433092918</v>
      </c>
      <c r="I40">
        <v>11959.974583944495</v>
      </c>
      <c r="J40">
        <v>12450.339676013267</v>
      </c>
      <c r="K40">
        <v>12920.687367733983</v>
      </c>
      <c r="L40" s="70" t="s">
        <v>271</v>
      </c>
    </row>
    <row r="41" spans="1:15" ht="15">
      <c r="A41" s="88" t="s">
        <v>275</v>
      </c>
      <c r="B41">
        <f>B40*Home!C5</f>
        <v>59.182049832652559</v>
      </c>
      <c r="C41">
        <f>C40*Home!D5</f>
        <v>49.424204685977934</v>
      </c>
      <c r="D41">
        <f>D40*Home!E5</f>
        <v>49.507102626914964</v>
      </c>
      <c r="E41">
        <f>E40*Home!F5</f>
        <v>52.262022083509486</v>
      </c>
      <c r="F41">
        <f>F40*Home!G5</f>
        <v>48.491958036033814</v>
      </c>
      <c r="G41">
        <f>G40*Home!H5</f>
        <v>49.857994757916003</v>
      </c>
      <c r="H41">
        <f>H40*Home!I5</f>
        <v>51.540111008713581</v>
      </c>
      <c r="I41">
        <f>I40*Home!J5</f>
        <v>54.513269502549832</v>
      </c>
      <c r="J41">
        <f>J40*Home!K5</f>
        <v>57.727759173749078</v>
      </c>
      <c r="K41">
        <f>K40*Home!L5</f>
        <v>59.998807014933902</v>
      </c>
    </row>
    <row r="44" spans="1:15" customFormat="1" ht="15">
      <c r="C44" s="108">
        <v>2008</v>
      </c>
      <c r="D44" s="108">
        <v>2009</v>
      </c>
      <c r="E44" s="108">
        <v>2010</v>
      </c>
      <c r="F44" s="108">
        <v>2011</v>
      </c>
      <c r="G44" s="108">
        <v>2012</v>
      </c>
      <c r="H44" s="108">
        <v>2013</v>
      </c>
      <c r="I44" s="108">
        <v>2014</v>
      </c>
      <c r="J44" s="108">
        <v>2015</v>
      </c>
      <c r="K44" s="108">
        <v>2016</v>
      </c>
      <c r="L44" s="108">
        <v>2017</v>
      </c>
    </row>
    <row r="45" spans="1:15" customFormat="1" ht="15">
      <c r="A45" s="109" t="s">
        <v>207</v>
      </c>
      <c r="C45" s="85">
        <f t="shared" ref="C45:L45" si="2">(B18)*1000</f>
        <v>3785</v>
      </c>
      <c r="D45" s="85">
        <f t="shared" si="2"/>
        <v>3660</v>
      </c>
      <c r="E45" s="85">
        <f t="shared" si="2"/>
        <v>3656</v>
      </c>
      <c r="F45" s="85">
        <f t="shared" si="2"/>
        <v>2306</v>
      </c>
      <c r="G45" s="85">
        <f t="shared" si="2"/>
        <v>2554</v>
      </c>
      <c r="H45" s="85">
        <f t="shared" si="2"/>
        <v>2746</v>
      </c>
      <c r="I45" s="85">
        <f t="shared" si="2"/>
        <v>2987</v>
      </c>
      <c r="J45" s="85">
        <f t="shared" si="2"/>
        <v>3122</v>
      </c>
      <c r="K45" s="85">
        <f t="shared" si="2"/>
        <v>3227</v>
      </c>
      <c r="L45" s="85">
        <f t="shared" si="2"/>
        <v>3249</v>
      </c>
      <c r="N45" s="110">
        <f>(G45/C45)^(1/4)-1</f>
        <v>-9.3664998379168307E-2</v>
      </c>
      <c r="O45" s="111">
        <f>(L45/G45)^(1/5)-1</f>
        <v>4.9314716151225069E-2</v>
      </c>
    </row>
    <row r="46" spans="1:15" customFormat="1" ht="15">
      <c r="C46" s="85"/>
      <c r="D46" s="101">
        <f>D45/C45-1</f>
        <v>-3.3025099075297271E-2</v>
      </c>
      <c r="E46" s="101">
        <f t="shared" ref="E46:L46" si="3">E45/D45-1</f>
        <v>-1.0928961748634114E-3</v>
      </c>
      <c r="F46" s="101">
        <f t="shared" si="3"/>
        <v>-0.36925601750547044</v>
      </c>
      <c r="G46" s="101">
        <f t="shared" si="3"/>
        <v>0.10754553339115347</v>
      </c>
      <c r="H46" s="101">
        <f t="shared" si="3"/>
        <v>7.5176194205168301E-2</v>
      </c>
      <c r="I46" s="101">
        <f t="shared" si="3"/>
        <v>8.7764020393299447E-2</v>
      </c>
      <c r="J46" s="101">
        <f t="shared" si="3"/>
        <v>4.5195848677602957E-2</v>
      </c>
      <c r="K46" s="101">
        <f t="shared" si="3"/>
        <v>3.3632286995515681E-2</v>
      </c>
      <c r="L46" s="101">
        <f t="shared" si="3"/>
        <v>6.8174775333127435E-3</v>
      </c>
    </row>
    <row r="47" spans="1:15" customFormat="1" ht="15">
      <c r="A47" s="116" t="s">
        <v>279</v>
      </c>
      <c r="C47" s="85">
        <f>C70/C60*C45</f>
        <v>950.48163318930176</v>
      </c>
      <c r="D47" s="85">
        <f t="shared" ref="D47:L47" si="4">D70/D60*D45</f>
        <v>913.84693747093979</v>
      </c>
      <c r="E47" s="85">
        <f t="shared" si="4"/>
        <v>918.44771392060829</v>
      </c>
      <c r="F47" s="85">
        <f t="shared" si="4"/>
        <v>575.71593600421056</v>
      </c>
      <c r="G47" s="85">
        <f t="shared" si="4"/>
        <v>641.08595309701286</v>
      </c>
      <c r="H47" s="85">
        <f t="shared" si="4"/>
        <v>692.94325898390969</v>
      </c>
      <c r="I47" s="85">
        <f t="shared" si="4"/>
        <v>755.01996248316743</v>
      </c>
      <c r="J47" s="85">
        <f t="shared" si="4"/>
        <v>784.24536762747903</v>
      </c>
      <c r="K47" s="85">
        <f t="shared" si="4"/>
        <v>812.08353499007251</v>
      </c>
      <c r="L47" s="85">
        <f t="shared" si="4"/>
        <v>821.06081258516031</v>
      </c>
      <c r="N47" s="110">
        <f>(G47/C47)^(1/4)-1</f>
        <v>-9.3760196851912836E-2</v>
      </c>
      <c r="O47" s="111">
        <f>(L47/G47)^(1/5)-1</f>
        <v>5.0731646379265971E-2</v>
      </c>
    </row>
    <row r="48" spans="1:15" customFormat="1" ht="15">
      <c r="C48" s="85"/>
      <c r="D48" s="101">
        <f>D47/C47-1</f>
        <v>-3.8543296828825402E-2</v>
      </c>
      <c r="E48" s="101">
        <f t="shared" ref="E48:L48" si="5">E47/D47-1</f>
        <v>5.0345153668742704E-3</v>
      </c>
      <c r="F48" s="101">
        <f t="shared" si="5"/>
        <v>-0.37316416897960059</v>
      </c>
      <c r="G48" s="101">
        <f t="shared" si="5"/>
        <v>0.11354560991746498</v>
      </c>
      <c r="H48" s="101">
        <f t="shared" si="5"/>
        <v>8.0889786519857676E-2</v>
      </c>
      <c r="I48" s="101">
        <f t="shared" si="5"/>
        <v>8.9584107637158183E-2</v>
      </c>
      <c r="J48" s="101">
        <f t="shared" si="5"/>
        <v>3.8708122429230718E-2</v>
      </c>
      <c r="K48" s="101">
        <f t="shared" si="5"/>
        <v>3.5496757152433389E-2</v>
      </c>
      <c r="L48" s="101">
        <f t="shared" si="5"/>
        <v>1.1054623334036062E-2</v>
      </c>
    </row>
    <row r="49" spans="1:16" customFormat="1" ht="15">
      <c r="A49" s="116" t="s">
        <v>280</v>
      </c>
      <c r="C49" s="85">
        <f>C72/C60*C45</f>
        <v>178.37461467860257</v>
      </c>
      <c r="D49" s="85">
        <f t="shared" ref="D49:L49" si="6">D72/D60*D45</f>
        <v>171.31533575212765</v>
      </c>
      <c r="E49" s="85">
        <f t="shared" si="6"/>
        <v>170.46878802547184</v>
      </c>
      <c r="F49" s="85">
        <f t="shared" si="6"/>
        <v>107.93802301759739</v>
      </c>
      <c r="G49" s="85">
        <f t="shared" si="6"/>
        <v>119.79913766812909</v>
      </c>
      <c r="H49" s="85">
        <f t="shared" si="6"/>
        <v>128.38948492384725</v>
      </c>
      <c r="I49" s="85">
        <f t="shared" si="6"/>
        <v>138.51273428887538</v>
      </c>
      <c r="J49" s="85">
        <f t="shared" si="6"/>
        <v>144.99765020057416</v>
      </c>
      <c r="K49" s="85">
        <f t="shared" si="6"/>
        <v>149.18680405820086</v>
      </c>
      <c r="L49" s="85">
        <f t="shared" si="6"/>
        <v>148.79728500169793</v>
      </c>
      <c r="N49" s="110">
        <f>(G49/C49)^(1/4)-1</f>
        <v>-9.4725763126129237E-2</v>
      </c>
      <c r="O49" s="111">
        <f>(L49/G49)^(1/5)-1</f>
        <v>4.4307177749132176E-2</v>
      </c>
    </row>
    <row r="50" spans="1:16" customFormat="1" ht="15">
      <c r="C50" s="85"/>
      <c r="D50" s="101">
        <f>D49/C49-1</f>
        <v>-3.9575580523015574E-2</v>
      </c>
      <c r="E50" s="101">
        <f t="shared" ref="E50:L50" si="7">E49/D49-1</f>
        <v>-4.9414591107048711E-3</v>
      </c>
      <c r="F50" s="101">
        <f t="shared" si="7"/>
        <v>-0.36681650484035211</v>
      </c>
      <c r="G50" s="101">
        <f t="shared" si="7"/>
        <v>0.1098881961975342</v>
      </c>
      <c r="H50" s="101">
        <f t="shared" si="7"/>
        <v>7.170625284061205E-2</v>
      </c>
      <c r="I50" s="101">
        <f t="shared" si="7"/>
        <v>7.8847963063584325E-2</v>
      </c>
      <c r="J50" s="101">
        <f t="shared" si="7"/>
        <v>4.6818192890295318E-2</v>
      </c>
      <c r="K50" s="101">
        <f t="shared" si="7"/>
        <v>2.8891184455968055E-2</v>
      </c>
      <c r="L50" s="101">
        <f t="shared" si="7"/>
        <v>-2.6109484613060507E-3</v>
      </c>
    </row>
    <row r="51" spans="1:16" customFormat="1" ht="15">
      <c r="A51" t="s">
        <v>208</v>
      </c>
      <c r="C51" s="85">
        <f>B36</f>
        <v>494.96248000000003</v>
      </c>
      <c r="D51" s="85">
        <f>C36</f>
        <v>414.67320000000001</v>
      </c>
      <c r="E51" s="85">
        <f>D36</f>
        <v>541.71992</v>
      </c>
      <c r="F51" s="85">
        <f>E36</f>
        <v>449.23179999999996</v>
      </c>
      <c r="G51" s="85">
        <f>F36</f>
        <v>476.36924000000005</v>
      </c>
      <c r="H51" s="85">
        <v>483.56888719762526</v>
      </c>
      <c r="I51" s="85">
        <v>516.40177131274118</v>
      </c>
      <c r="J51" s="85">
        <v>555.65631350815443</v>
      </c>
      <c r="K51" s="85">
        <v>601.58644099183402</v>
      </c>
      <c r="L51" s="85">
        <v>621.53518011514188</v>
      </c>
      <c r="N51" s="110">
        <f>(G51/C51)^(1/4)-1</f>
        <v>-9.5265060532284673E-3</v>
      </c>
      <c r="O51" s="111">
        <f>(L51/G51)^(1/5)-1</f>
        <v>5.4640393249544283E-2</v>
      </c>
    </row>
    <row r="52" spans="1:16" customFormat="1" ht="15">
      <c r="C52" s="85"/>
      <c r="D52" s="101">
        <f>D51/C51-1</f>
        <v>-0.16221286106373156</v>
      </c>
      <c r="E52" s="101">
        <f t="shared" ref="E52:L52" si="8">E51/D51-1</f>
        <v>0.30637793809679525</v>
      </c>
      <c r="F52" s="101">
        <f t="shared" si="8"/>
        <v>-0.17073051328812139</v>
      </c>
      <c r="G52" s="101">
        <f t="shared" si="8"/>
        <v>6.0408546322856305E-2</v>
      </c>
      <c r="H52" s="101">
        <f t="shared" si="8"/>
        <v>1.5113585414594066E-2</v>
      </c>
      <c r="I52" s="101">
        <f t="shared" si="8"/>
        <v>6.7897015263717275E-2</v>
      </c>
      <c r="J52" s="101">
        <f t="shared" si="8"/>
        <v>7.6015506483691153E-2</v>
      </c>
      <c r="K52" s="101">
        <f t="shared" si="8"/>
        <v>8.265923803456543E-2</v>
      </c>
      <c r="L52" s="101">
        <f t="shared" si="8"/>
        <v>3.3160220649950833E-2</v>
      </c>
    </row>
    <row r="53" spans="1:16" customFormat="1" ht="15">
      <c r="A53" t="s">
        <v>209</v>
      </c>
      <c r="C53" s="85">
        <f t="shared" ref="C53:L53" si="9">(B20)*1000</f>
        <v>1812</v>
      </c>
      <c r="D53" s="85">
        <f t="shared" si="9"/>
        <v>1924</v>
      </c>
      <c r="E53" s="85">
        <f t="shared" si="9"/>
        <v>1985</v>
      </c>
      <c r="F53" s="85">
        <f t="shared" si="9"/>
        <v>1984</v>
      </c>
      <c r="G53" s="85">
        <f t="shared" si="9"/>
        <v>2091</v>
      </c>
      <c r="H53" s="85">
        <f t="shared" si="9"/>
        <v>2065</v>
      </c>
      <c r="I53" s="85">
        <f t="shared" si="9"/>
        <v>2151</v>
      </c>
      <c r="J53" s="85">
        <f t="shared" si="9"/>
        <v>2222</v>
      </c>
      <c r="K53" s="85">
        <f t="shared" si="9"/>
        <v>2331</v>
      </c>
      <c r="L53" s="85">
        <f t="shared" si="9"/>
        <v>2452</v>
      </c>
      <c r="N53" s="110">
        <f>(G53/C53)^(1/4)-1</f>
        <v>3.6451441436630372E-2</v>
      </c>
      <c r="O53" s="111">
        <f>(L53/G53)^(1/5)-1</f>
        <v>3.236503388880152E-2</v>
      </c>
    </row>
    <row r="54" spans="1:16" customFormat="1" ht="15">
      <c r="D54" s="101">
        <f>D53/C53-1</f>
        <v>6.1810154525386407E-2</v>
      </c>
      <c r="E54" s="101">
        <f t="shared" ref="E54:L54" si="10">E53/D53-1</f>
        <v>3.1704781704781748E-2</v>
      </c>
      <c r="F54" s="101">
        <f t="shared" si="10"/>
        <v>-5.0377833753145751E-4</v>
      </c>
      <c r="G54" s="101">
        <f t="shared" si="10"/>
        <v>5.3931451612903247E-2</v>
      </c>
      <c r="H54" s="101">
        <f t="shared" si="10"/>
        <v>-1.2434241989478734E-2</v>
      </c>
      <c r="I54" s="101">
        <f t="shared" si="10"/>
        <v>4.1646489104116169E-2</v>
      </c>
      <c r="J54" s="101">
        <f t="shared" si="10"/>
        <v>3.3007903300790398E-2</v>
      </c>
      <c r="K54" s="101">
        <f t="shared" si="10"/>
        <v>4.9054905490549139E-2</v>
      </c>
      <c r="L54" s="101">
        <f t="shared" si="10"/>
        <v>5.1909051909051929E-2</v>
      </c>
    </row>
    <row r="55" spans="1:16" customFormat="1" ht="15">
      <c r="A55" s="116" t="s">
        <v>281</v>
      </c>
      <c r="C55">
        <f>C66/C64*C53</f>
        <v>317.99711886806239</v>
      </c>
      <c r="D55">
        <f t="shared" ref="D55:L55" si="11">D66/D64*D53</f>
        <v>336.75137423792933</v>
      </c>
      <c r="E55">
        <f t="shared" si="11"/>
        <v>349.20059489920828</v>
      </c>
      <c r="F55">
        <f t="shared" si="11"/>
        <v>350.79637406294881</v>
      </c>
      <c r="G55">
        <f t="shared" si="11"/>
        <v>368.59103869575995</v>
      </c>
      <c r="H55">
        <f t="shared" si="11"/>
        <v>365.95016932755937</v>
      </c>
      <c r="I55">
        <f t="shared" si="11"/>
        <v>385.66640064691774</v>
      </c>
      <c r="J55">
        <f t="shared" si="11"/>
        <v>398.46436191066095</v>
      </c>
      <c r="K55">
        <f t="shared" si="11"/>
        <v>419.9760456559971</v>
      </c>
      <c r="L55">
        <f t="shared" si="11"/>
        <v>445.69012203716221</v>
      </c>
      <c r="N55" s="110">
        <f>(G55/C55)^(1/4)-1</f>
        <v>3.7601036187427495E-2</v>
      </c>
      <c r="O55" s="111">
        <f>(L55/G55)^(1/5)-1</f>
        <v>3.8717975364601864E-2</v>
      </c>
    </row>
    <row r="56" spans="1:16" customFormat="1" ht="15">
      <c r="D56" s="101">
        <f>D55/C55-1</f>
        <v>5.8976180151016244E-2</v>
      </c>
      <c r="E56" s="101">
        <f t="shared" ref="E56:L56" si="12">E55/D55-1</f>
        <v>3.6968581611438456E-2</v>
      </c>
      <c r="F56" s="101">
        <f t="shared" si="12"/>
        <v>4.5698065440040736E-3</v>
      </c>
      <c r="G56" s="101">
        <f t="shared" si="12"/>
        <v>5.0726478232121064E-2</v>
      </c>
      <c r="H56" s="101">
        <f t="shared" si="12"/>
        <v>-7.1647682416402514E-3</v>
      </c>
      <c r="I56" s="101">
        <f t="shared" si="12"/>
        <v>5.3876819774635765E-2</v>
      </c>
      <c r="J56" s="101">
        <f t="shared" si="12"/>
        <v>3.318401925154979E-2</v>
      </c>
      <c r="K56" s="101">
        <f t="shared" si="12"/>
        <v>5.3986468556902478E-2</v>
      </c>
      <c r="L56" s="101">
        <f t="shared" si="12"/>
        <v>6.1227483441347319E-2</v>
      </c>
    </row>
    <row r="57" spans="1:16" customFormat="1" ht="15">
      <c r="A57" s="116" t="s">
        <v>282</v>
      </c>
      <c r="C57">
        <f>C68/C64*C53</f>
        <v>289.3686281732983</v>
      </c>
      <c r="D57">
        <f t="shared" ref="D57:L57" si="13">D68/D64*D53</f>
        <v>308.76811699645191</v>
      </c>
      <c r="E57">
        <f t="shared" si="13"/>
        <v>319.49447669246558</v>
      </c>
      <c r="F57">
        <f t="shared" si="13"/>
        <v>317.34230848216902</v>
      </c>
      <c r="G57">
        <f t="shared" si="13"/>
        <v>335.33184536975409</v>
      </c>
      <c r="H57">
        <f t="shared" si="13"/>
        <v>332.71085990901048</v>
      </c>
      <c r="I57">
        <f t="shared" si="13"/>
        <v>345.02043559875165</v>
      </c>
      <c r="J57">
        <f t="shared" si="13"/>
        <v>355.57486446473968</v>
      </c>
      <c r="K57">
        <f t="shared" si="13"/>
        <v>373.55238444220811</v>
      </c>
      <c r="L57">
        <f t="shared" si="13"/>
        <v>392.307158456671</v>
      </c>
      <c r="N57" s="110">
        <f>(G57/C57)^(1/4)-1</f>
        <v>3.754236377884812E-2</v>
      </c>
      <c r="O57" s="111">
        <f>(L57/G57)^(1/5)-1</f>
        <v>3.1882594066059422E-2</v>
      </c>
    </row>
    <row r="58" spans="1:16" customFormat="1" ht="15">
      <c r="D58" s="101">
        <f>D57/C57-1</f>
        <v>6.7040746419599895E-2</v>
      </c>
      <c r="E58" s="101">
        <f t="shared" ref="E58:L58" si="14">E57/D57-1</f>
        <v>3.4739207533324823E-2</v>
      </c>
      <c r="F58" s="101">
        <f t="shared" si="14"/>
        <v>-6.7361671869156092E-3</v>
      </c>
      <c r="G58" s="101">
        <f t="shared" si="14"/>
        <v>5.6688113770987814E-2</v>
      </c>
      <c r="H58" s="101">
        <f t="shared" si="14"/>
        <v>-7.8160947041984175E-3</v>
      </c>
      <c r="I58" s="101">
        <f t="shared" si="14"/>
        <v>3.6997817543760414E-2</v>
      </c>
      <c r="J58" s="101">
        <f t="shared" si="14"/>
        <v>3.059073543766111E-2</v>
      </c>
      <c r="K58" s="101">
        <f t="shared" si="14"/>
        <v>5.0559029262461141E-2</v>
      </c>
      <c r="L58" s="101">
        <f t="shared" si="14"/>
        <v>5.0206543434243356E-2</v>
      </c>
    </row>
    <row r="59" spans="1:16" customFormat="1" ht="15">
      <c r="A59" s="112" t="s">
        <v>283</v>
      </c>
      <c r="C59" s="108">
        <v>2008</v>
      </c>
      <c r="D59" s="108">
        <v>2009</v>
      </c>
      <c r="E59" s="108">
        <v>2010</v>
      </c>
      <c r="F59" s="108">
        <v>2011</v>
      </c>
      <c r="G59" s="108">
        <v>2012</v>
      </c>
      <c r="H59" s="108">
        <v>2013</v>
      </c>
      <c r="I59" s="108">
        <v>2014</v>
      </c>
      <c r="J59" s="108">
        <v>2015</v>
      </c>
      <c r="K59" s="108">
        <v>2016</v>
      </c>
      <c r="L59" s="108">
        <v>2017</v>
      </c>
    </row>
    <row r="60" spans="1:16" customFormat="1" ht="15">
      <c r="A60" t="s">
        <v>207</v>
      </c>
      <c r="C60" s="85">
        <v>12104</v>
      </c>
      <c r="D60" s="85">
        <v>11757</v>
      </c>
      <c r="E60" s="85">
        <v>13633</v>
      </c>
      <c r="F60" s="85">
        <v>10440</v>
      </c>
      <c r="G60" s="85">
        <v>11102.191823809924</v>
      </c>
      <c r="H60">
        <v>11990.607592277995</v>
      </c>
      <c r="I60">
        <v>13138.428604839548</v>
      </c>
      <c r="J60">
        <v>14436.402588274941</v>
      </c>
      <c r="K60">
        <v>15774.928378936613</v>
      </c>
      <c r="L60">
        <v>17097.284640208822</v>
      </c>
      <c r="N60" s="110">
        <f>(G60/C60)^(1/4)-1</f>
        <v>-2.1366782216504121E-2</v>
      </c>
      <c r="O60" s="111">
        <f>(L60/G60)^(1/5)-1</f>
        <v>9.0193737747706226E-2</v>
      </c>
    </row>
    <row r="61" spans="1:16" customFormat="1" ht="15">
      <c r="C61" s="85"/>
      <c r="D61" s="113">
        <f>D60/C60-1</f>
        <v>-2.8668208856576394E-2</v>
      </c>
      <c r="E61" s="113">
        <f t="shared" ref="E61:L61" si="15">E60/D60-1</f>
        <v>0.15956451475716604</v>
      </c>
      <c r="F61" s="113">
        <f t="shared" si="15"/>
        <v>-0.2342111054060001</v>
      </c>
      <c r="G61" s="113">
        <f t="shared" si="15"/>
        <v>6.3428335613977316E-2</v>
      </c>
      <c r="H61" s="101">
        <f t="shared" si="15"/>
        <v>8.0021655414272308E-2</v>
      </c>
      <c r="I61" s="101">
        <f t="shared" si="15"/>
        <v>9.5726676377997366E-2</v>
      </c>
      <c r="J61" s="101">
        <f t="shared" si="15"/>
        <v>9.87921784616832E-2</v>
      </c>
      <c r="K61" s="101">
        <f t="shared" si="15"/>
        <v>9.271879074284084E-2</v>
      </c>
      <c r="L61" s="101">
        <f t="shared" si="15"/>
        <v>8.3826451030857063E-2</v>
      </c>
      <c r="M61" s="101"/>
    </row>
    <row r="62" spans="1:16" customFormat="1" ht="15">
      <c r="A62" t="s">
        <v>208</v>
      </c>
      <c r="C62" s="85">
        <v>5559.0256480736716</v>
      </c>
      <c r="D62" s="85">
        <v>4900.5213191922094</v>
      </c>
      <c r="E62" s="85">
        <v>4516.3264353720315</v>
      </c>
      <c r="F62" s="85">
        <v>4069.4131175547859</v>
      </c>
      <c r="G62" s="85">
        <v>4132.0112980858494</v>
      </c>
      <c r="H62" s="114">
        <v>4322.3090645704833</v>
      </c>
      <c r="I62" s="114">
        <v>4494.2142833272592</v>
      </c>
      <c r="J62" s="114">
        <v>4682.1999517462264</v>
      </c>
      <c r="K62" s="114">
        <v>4874.4658042044812</v>
      </c>
      <c r="L62" s="114">
        <v>5036.042622740104</v>
      </c>
      <c r="N62" s="110">
        <f>(G62/C62)^(1/4)-1</f>
        <v>-7.1481191057867988E-2</v>
      </c>
      <c r="O62" s="111">
        <f>(L62/G62)^(1/5)-1</f>
        <v>4.036463142309521E-2</v>
      </c>
      <c r="P62" s="101">
        <f>(L62/G62)^(1/5)-1</f>
        <v>4.036463142309521E-2</v>
      </c>
    </row>
    <row r="63" spans="1:16" customFormat="1" ht="15">
      <c r="C63" s="85"/>
      <c r="D63" s="113">
        <f>D62/C62-1</f>
        <v>-0.11845678911548985</v>
      </c>
      <c r="E63" s="113">
        <f t="shared" ref="E63:L63" si="16">E62/D62-1</f>
        <v>-7.8398778169892269E-2</v>
      </c>
      <c r="F63" s="113">
        <f t="shared" si="16"/>
        <v>-9.8955052123115839E-2</v>
      </c>
      <c r="G63" s="113">
        <f t="shared" si="16"/>
        <v>1.5382606465051518E-2</v>
      </c>
      <c r="H63" s="115">
        <f t="shared" si="16"/>
        <v>4.60545126226517E-2</v>
      </c>
      <c r="I63" s="115">
        <f t="shared" si="16"/>
        <v>3.9771616556961487E-2</v>
      </c>
      <c r="J63" s="115">
        <f t="shared" si="16"/>
        <v>4.1828372340046327E-2</v>
      </c>
      <c r="K63" s="115">
        <f t="shared" si="16"/>
        <v>4.1063144342340374E-2</v>
      </c>
      <c r="L63" s="115">
        <f t="shared" si="16"/>
        <v>3.3147595044415779E-2</v>
      </c>
      <c r="M63" s="101"/>
    </row>
    <row r="64" spans="1:16" customFormat="1" ht="15">
      <c r="A64" t="s">
        <v>209</v>
      </c>
      <c r="C64" s="85">
        <v>6217.9543519263279</v>
      </c>
      <c r="D64" s="85">
        <v>8077.3336808077911</v>
      </c>
      <c r="E64" s="85">
        <v>9294.9587646279706</v>
      </c>
      <c r="F64" s="85">
        <v>10043.874982445215</v>
      </c>
      <c r="G64" s="85">
        <v>10721.735099533058</v>
      </c>
      <c r="H64">
        <v>11705.56050281171</v>
      </c>
      <c r="I64">
        <v>12839.751207255094</v>
      </c>
      <c r="J64">
        <v>14244.944094781971</v>
      </c>
      <c r="K64">
        <v>15598.044172901195</v>
      </c>
      <c r="L64">
        <v>17013.291744579768</v>
      </c>
      <c r="N64" s="110">
        <f>(G64/C64)^(1/4)-1</f>
        <v>0.1459202283826988</v>
      </c>
      <c r="O64" s="111">
        <f>(L64/G64)^(1/5)-1</f>
        <v>9.6742454763107499E-2</v>
      </c>
    </row>
    <row r="65" spans="1:15" customFormat="1" ht="15">
      <c r="D65" s="113">
        <f>D64/C64-1</f>
        <v>0.29903393039632498</v>
      </c>
      <c r="E65" s="113">
        <f t="shared" ref="E65:L65" si="17">E64/D64-1</f>
        <v>0.15074591838558393</v>
      </c>
      <c r="F65" s="113">
        <f t="shared" si="17"/>
        <v>8.0572301263696966E-2</v>
      </c>
      <c r="G65" s="113">
        <f t="shared" si="17"/>
        <v>6.7489899891487459E-2</v>
      </c>
      <c r="H65" s="101">
        <f t="shared" si="17"/>
        <v>9.1759905849706946E-2</v>
      </c>
      <c r="I65" s="101">
        <f t="shared" si="17"/>
        <v>9.6893327249980787E-2</v>
      </c>
      <c r="J65" s="101">
        <f t="shared" si="17"/>
        <v>0.10944081897263502</v>
      </c>
      <c r="K65" s="101">
        <f t="shared" si="17"/>
        <v>9.4988093257233119E-2</v>
      </c>
      <c r="L65" s="101">
        <f t="shared" si="17"/>
        <v>9.0732373622669504E-2</v>
      </c>
      <c r="M65" s="101"/>
    </row>
    <row r="66" spans="1:15" customFormat="1" ht="15">
      <c r="A66" t="s">
        <v>284</v>
      </c>
      <c r="C66">
        <v>1091.2205127846039</v>
      </c>
      <c r="D66">
        <v>1413.7490733837503</v>
      </c>
      <c r="E66">
        <v>1635.1663124290667</v>
      </c>
      <c r="F66">
        <v>1775.8845390037025</v>
      </c>
      <c r="G66">
        <v>1889.9739248960673</v>
      </c>
      <c r="H66">
        <v>2074.4076746140126</v>
      </c>
      <c r="I66">
        <v>2302.1202386350483</v>
      </c>
      <c r="J66">
        <v>2554.5016017913304</v>
      </c>
      <c r="K66">
        <v>2810.2981174185379</v>
      </c>
      <c r="L66">
        <v>3092.4372242641116</v>
      </c>
      <c r="N66" s="110">
        <f>(G66/C66)^(1/4)-1</f>
        <v>0.14719124198421873</v>
      </c>
      <c r="O66" s="111">
        <f>(L66/G66)^(1/5)-1</f>
        <v>0.10349156036085283</v>
      </c>
    </row>
    <row r="67" spans="1:15" customFormat="1" ht="15">
      <c r="D67" s="113">
        <f>D66/C66-1</f>
        <v>0.29556680507783883</v>
      </c>
      <c r="E67" s="113">
        <f t="shared" ref="E67:L67" si="18">E66/D66-1</f>
        <v>0.15661707103040801</v>
      </c>
      <c r="F67" s="113">
        <f t="shared" si="18"/>
        <v>8.6057439848792106E-2</v>
      </c>
      <c r="G67" s="113">
        <f t="shared" si="18"/>
        <v>6.4243695683262603E-2</v>
      </c>
      <c r="H67" s="101">
        <f t="shared" si="18"/>
        <v>9.7585340881402693E-2</v>
      </c>
      <c r="I67" s="101">
        <f t="shared" si="18"/>
        <v>0.10977233010064258</v>
      </c>
      <c r="J67" s="101">
        <f t="shared" si="18"/>
        <v>0.10962996585526819</v>
      </c>
      <c r="K67" s="101">
        <f t="shared" si="18"/>
        <v>0.10013558631078245</v>
      </c>
      <c r="L67" s="101">
        <f t="shared" si="18"/>
        <v>0.10039472506380887</v>
      </c>
      <c r="M67" s="101"/>
    </row>
    <row r="68" spans="1:15" customFormat="1" ht="15">
      <c r="A68" t="s">
        <v>285</v>
      </c>
      <c r="C68">
        <v>992.98064065182746</v>
      </c>
      <c r="D68">
        <v>1296.2698081990861</v>
      </c>
      <c r="E68">
        <v>1496.0644767671838</v>
      </c>
      <c r="F68">
        <v>1606.5254400380388</v>
      </c>
      <c r="G68">
        <v>1719.4353020048229</v>
      </c>
      <c r="H68">
        <v>1885.9889107057786</v>
      </c>
      <c r="I68">
        <v>2059.4963061398189</v>
      </c>
      <c r="J68">
        <v>2279.5427838928413</v>
      </c>
      <c r="K68">
        <v>2499.6510482291428</v>
      </c>
      <c r="L68">
        <v>2722.0375776143674</v>
      </c>
      <c r="N68" s="110">
        <f>(G68/C68)^(1/4)-1</f>
        <v>0.1471263726645855</v>
      </c>
      <c r="O68" s="111">
        <f>(L68/G68)^(1/5)-1</f>
        <v>9.6229930396143581E-2</v>
      </c>
    </row>
    <row r="69" spans="1:15" customFormat="1" ht="15">
      <c r="D69" s="113">
        <f>D68/C68-1</f>
        <v>0.3054331123194598</v>
      </c>
      <c r="E69" s="113">
        <f t="shared" ref="E69:L69" si="19">E68/D68-1</f>
        <v>0.15413046520436469</v>
      </c>
      <c r="F69" s="113">
        <f t="shared" si="19"/>
        <v>7.3834360073536276E-2</v>
      </c>
      <c r="G69" s="113">
        <f t="shared" si="19"/>
        <v>7.0282025514709856E-2</v>
      </c>
      <c r="H69" s="101">
        <f t="shared" si="19"/>
        <v>9.686529554601897E-2</v>
      </c>
      <c r="I69" s="101">
        <f t="shared" si="19"/>
        <v>9.1998099484641216E-2</v>
      </c>
      <c r="J69" s="101">
        <f t="shared" si="19"/>
        <v>0.10684480331283663</v>
      </c>
      <c r="K69" s="101">
        <f t="shared" si="19"/>
        <v>9.6558075545490007E-2</v>
      </c>
      <c r="L69" s="101">
        <f t="shared" si="19"/>
        <v>8.8967029835133271E-2</v>
      </c>
      <c r="M69" s="101"/>
    </row>
    <row r="70" spans="1:15" customFormat="1" ht="15">
      <c r="A70" t="s">
        <v>286</v>
      </c>
      <c r="C70">
        <v>3039.5322821990244</v>
      </c>
      <c r="D70">
        <v>2935.5460229086993</v>
      </c>
      <c r="E70">
        <v>3424.8352527023117</v>
      </c>
      <c r="F70">
        <v>2606.4502913633819</v>
      </c>
      <c r="G70">
        <v>2786.7890473112957</v>
      </c>
      <c r="H70">
        <v>3025.7868544028861</v>
      </c>
      <c r="I70">
        <v>3320.982883265393</v>
      </c>
      <c r="J70">
        <v>3626.4195563933285</v>
      </c>
      <c r="K70">
        <v>3969.8046489563244</v>
      </c>
      <c r="L70">
        <v>4320.6864942104139</v>
      </c>
      <c r="N70" s="110">
        <f>(G70/C70)^(1/4)-1</f>
        <v>-2.146957465808863E-2</v>
      </c>
      <c r="O70" s="111">
        <f>(L70/G70)^(1/5)-1</f>
        <v>9.1665868499003933E-2</v>
      </c>
    </row>
    <row r="71" spans="1:15" customFormat="1" ht="15">
      <c r="D71" s="113">
        <f>D70/C70-1</f>
        <v>-3.421126990468859E-2</v>
      </c>
      <c r="E71" s="113">
        <f t="shared" ref="E71:K71" si="20">E70/D70-1</f>
        <v>0.1666774174123824</v>
      </c>
      <c r="F71" s="113">
        <f t="shared" si="20"/>
        <v>-0.23895600837827047</v>
      </c>
      <c r="G71" s="113">
        <f t="shared" si="20"/>
        <v>6.9189409268796132E-2</v>
      </c>
      <c r="H71" s="101">
        <f t="shared" si="20"/>
        <v>8.5760996987617855E-2</v>
      </c>
      <c r="I71" s="101">
        <f t="shared" si="20"/>
        <v>9.756008703420771E-2</v>
      </c>
      <c r="J71" s="101">
        <f t="shared" si="20"/>
        <v>9.1971769763417699E-2</v>
      </c>
      <c r="K71" s="101">
        <f t="shared" si="20"/>
        <v>9.4689841377457951E-2</v>
      </c>
      <c r="L71" s="101">
        <f>L70/K70-1</f>
        <v>8.8387685612272504E-2</v>
      </c>
      <c r="M71" s="101"/>
    </row>
    <row r="72" spans="1:15" customFormat="1" ht="15">
      <c r="A72" t="s">
        <v>287</v>
      </c>
      <c r="C72">
        <v>570.42175325490234</v>
      </c>
      <c r="D72">
        <v>550.31541050212149</v>
      </c>
      <c r="E72">
        <v>635.66766606981878</v>
      </c>
      <c r="F72">
        <v>488.66997411262651</v>
      </c>
      <c r="G72">
        <v>520.76468548104242</v>
      </c>
      <c r="H72">
        <v>560.6219711203729</v>
      </c>
      <c r="I72">
        <v>609.25332116354195</v>
      </c>
      <c r="J72">
        <v>670.48188745975438</v>
      </c>
      <c r="K72">
        <v>729.28761980184959</v>
      </c>
      <c r="L72">
        <v>783.01924757288532</v>
      </c>
      <c r="N72" s="110">
        <f>(G72/C72)^(1/4)-1</f>
        <v>-2.2512164018788305E-2</v>
      </c>
      <c r="O72" s="111">
        <f>(L72/G72)^(1/5)-1</f>
        <v>8.4991116528863042E-2</v>
      </c>
    </row>
    <row r="73" spans="1:15" customFormat="1" ht="15">
      <c r="D73" s="113">
        <f>D72/C72-1</f>
        <v>-3.524820475034729E-2</v>
      </c>
      <c r="E73" s="113">
        <f t="shared" ref="E73:L73" si="21">E72/D72-1</f>
        <v>0.15509697518704724</v>
      </c>
      <c r="F73" s="113">
        <f t="shared" si="21"/>
        <v>-0.23124928292490299</v>
      </c>
      <c r="G73" s="113">
        <f t="shared" si="21"/>
        <v>6.5677682420935524E-2</v>
      </c>
      <c r="H73" s="101">
        <f t="shared" si="21"/>
        <v>7.6536076179039236E-2</v>
      </c>
      <c r="I73" s="101">
        <f t="shared" si="21"/>
        <v>8.6745351677855131E-2</v>
      </c>
      <c r="J73" s="101">
        <f t="shared" si="21"/>
        <v>0.10049771444705313</v>
      </c>
      <c r="K73" s="101">
        <f t="shared" si="21"/>
        <v>8.7706668057643933E-2</v>
      </c>
      <c r="L73" s="101">
        <f t="shared" si="21"/>
        <v>7.36768680999067E-2</v>
      </c>
      <c r="M73" s="101"/>
    </row>
  </sheetData>
  <customSheetViews>
    <customSheetView guid="{BD5E9955-DC4B-4EA0-9160-9EF1C693DE04}" topLeftCell="A22">
      <pageMargins left="0.75" right="0.75" top="1" bottom="1" header="0.5" footer="0.5"/>
      <pageSetup paperSize="0" fitToWidth="0" fitToHeight="0" orientation="portrait"/>
      <headerFooter alignWithMargins="0"/>
    </customSheetView>
    <customSheetView guid="{1ACDCC85-59E3-4410-927D-E7E5C71B61F5}" state="hidden" topLeftCell="A22">
      <selection activeCell="B33" sqref="B33"/>
      <pageMargins left="0.75" right="0.75" top="1" bottom="1" header="0.5" footer="0.5"/>
      <pageSetup paperSize="0" fitToWidth="0" fitToHeight="0" orientation="portrait"/>
      <headerFooter alignWithMargins="0"/>
    </customSheetView>
    <customSheetView guid="{28AA611C-F120-4D09-9666-0AAAA1997A5D}" topLeftCell="A22">
      <selection activeCell="B33" sqref="B33"/>
      <pageMargins left="0.75" right="0.75" top="1" bottom="1" header="0.5" footer="0.5"/>
      <pageSetup paperSize="0" fitToWidth="0" fitToHeight="0" orientation="portrait"/>
      <headerFooter alignWithMargins="0"/>
    </customSheetView>
    <customSheetView guid="{63078F6D-D19C-47E9-B618-80B24EAAED3A}" topLeftCell="A22">
      <selection activeCell="B33" sqref="B33"/>
      <pageMargins left="0.75" right="0.75" top="1" bottom="1" header="0.5" footer="0.5"/>
      <pageSetup paperSize="0" fitToWidth="0" fitToHeight="0" orientation="portrait"/>
      <headerFooter alignWithMargins="0"/>
    </customSheetView>
    <customSheetView guid="{92F60ACF-D6F3-4086-9F2B-BC0D304DAC43}" topLeftCell="A22">
      <selection activeCell="B33" sqref="B33"/>
      <pageMargins left="0.75" right="0.75" top="1" bottom="1" header="0.5" footer="0.5"/>
      <pageSetup paperSize="0" fitToWidth="0" fitToHeight="0" orientation="portrait"/>
      <headerFooter alignWithMargins="0"/>
    </customSheetView>
    <customSheetView guid="{9144D9B3-2327-4B3A-89B1-6A595780C3C5}" state="hidden" topLeftCell="A43">
      <selection activeCell="C47" sqref="C47"/>
      <pageMargins left="0.75" right="0.75" top="1" bottom="1" header="0.5" footer="0.5"/>
      <pageSetup paperSize="0" fitToWidth="0" fitToHeight="0" orientation="portrait"/>
      <headerFooter alignWithMargins="0"/>
    </customSheetView>
    <customSheetView guid="{513032B5-C585-49C2-98E7-9FDE6F7A4BA7}" topLeftCell="A22">
      <pageMargins left="0.75" right="0.75" top="1" bottom="1" header="0.5" footer="0.5"/>
      <pageSetup paperSize="0" fitToWidth="0" fitToHeight="0" orientation="portrait"/>
      <headerFooter alignWithMargins="0"/>
    </customSheetView>
    <customSheetView guid="{AF983ECA-536A-40E6-8A04-FF0A375E9ACC}" topLeftCell="A22">
      <selection activeCell="B33" sqref="B33"/>
      <pageMargins left="0.75" right="0.75" top="1" bottom="1" header="0.5" footer="0.5"/>
      <pageSetup paperSize="0" fitToWidth="0" fitToHeight="0" orientation="portrait"/>
      <headerFooter alignWithMargins="0"/>
    </customSheetView>
  </customSheetViews>
  <hyperlinks>
    <hyperlink ref="A39" r:id="rId1"/>
    <hyperlink ref="A34" r:id="rId2"/>
    <hyperlink ref="A59" r:id="rId3"/>
  </hyperlinks>
  <pageMargins left="0.75" right="0.75" top="1" bottom="1" header="0.5" footer="0.5"/>
  <pageSetup paperSize="0" fitToWidth="0" fitToHeight="0" orientation="portrait"/>
  <headerFooter alignWithMargins="0"/>
</worksheet>
</file>

<file path=xl/worksheets/sheet31.xml><?xml version="1.0" encoding="utf-8"?>
<worksheet xmlns="http://schemas.openxmlformats.org/spreadsheetml/2006/main" xmlns:r="http://schemas.openxmlformats.org/officeDocument/2006/relationships">
  <dimension ref="A1:V43"/>
  <sheetViews>
    <sheetView topLeftCell="A14" workbookViewId="0">
      <selection activeCell="I29" sqref="I29"/>
    </sheetView>
  </sheetViews>
  <sheetFormatPr defaultRowHeight="15"/>
  <cols>
    <col min="1" max="1" width="24.140625" bestFit="1" customWidth="1"/>
    <col min="17" max="17" width="11.5703125" customWidth="1"/>
    <col min="21" max="21" width="10.140625" bestFit="1" customWidth="1"/>
  </cols>
  <sheetData>
    <row r="1" spans="1:22" ht="18.75">
      <c r="A1" s="670" t="s">
        <v>453</v>
      </c>
    </row>
    <row r="2" spans="1:22">
      <c r="A2" s="5" t="s">
        <v>139</v>
      </c>
      <c r="I2" s="5" t="s">
        <v>150</v>
      </c>
    </row>
    <row r="3" spans="1:22">
      <c r="A3" s="5"/>
      <c r="B3" s="5">
        <v>2007</v>
      </c>
      <c r="C3" s="5">
        <v>2008</v>
      </c>
      <c r="D3" s="5">
        <v>2009</v>
      </c>
      <c r="E3" s="5">
        <v>2010</v>
      </c>
      <c r="F3" s="5">
        <v>2011</v>
      </c>
      <c r="I3" s="5">
        <v>2007</v>
      </c>
      <c r="J3" s="5">
        <v>2008</v>
      </c>
      <c r="K3" s="5">
        <v>2009</v>
      </c>
      <c r="L3" s="5">
        <v>2010</v>
      </c>
      <c r="M3" s="5">
        <v>2011</v>
      </c>
    </row>
    <row r="4" spans="1:22">
      <c r="A4" t="s">
        <v>19</v>
      </c>
      <c r="B4">
        <v>3500</v>
      </c>
      <c r="C4">
        <v>3590</v>
      </c>
      <c r="D4">
        <v>3220</v>
      </c>
      <c r="E4">
        <v>3756.23</v>
      </c>
      <c r="F4">
        <v>3450.73</v>
      </c>
      <c r="I4">
        <v>4536</v>
      </c>
      <c r="J4">
        <v>3974</v>
      </c>
      <c r="K4">
        <v>4081</v>
      </c>
      <c r="L4">
        <v>5016</v>
      </c>
      <c r="M4">
        <v>5185</v>
      </c>
    </row>
    <row r="5" spans="1:22">
      <c r="A5" t="s">
        <v>822</v>
      </c>
      <c r="B5">
        <v>8898.8799999999992</v>
      </c>
      <c r="C5">
        <v>9923.94</v>
      </c>
      <c r="D5">
        <v>10426.49</v>
      </c>
      <c r="E5">
        <v>10547.01</v>
      </c>
      <c r="F5">
        <v>9842.4</v>
      </c>
      <c r="I5">
        <f>I7/B7*B5</f>
        <v>23586.48144</v>
      </c>
      <c r="J5">
        <f t="shared" ref="J5:M5" si="0">J7/C7*C5</f>
        <v>24816.223172477065</v>
      </c>
      <c r="K5">
        <f t="shared" si="0"/>
        <v>25695.628273209546</v>
      </c>
      <c r="L5">
        <f t="shared" si="0"/>
        <v>29304.122878903989</v>
      </c>
      <c r="M5">
        <f t="shared" si="0"/>
        <v>29181.698830884372</v>
      </c>
    </row>
    <row r="6" spans="1:22">
      <c r="A6" t="s">
        <v>576</v>
      </c>
      <c r="B6">
        <v>1101.1199999999999</v>
      </c>
      <c r="C6">
        <v>976.06</v>
      </c>
      <c r="D6">
        <v>883.51</v>
      </c>
      <c r="E6">
        <v>962.37</v>
      </c>
      <c r="F6">
        <v>868.26</v>
      </c>
      <c r="I6">
        <f>I7/B7*B6</f>
        <v>2918.51856</v>
      </c>
      <c r="J6">
        <f t="shared" ref="J6:M6" si="1">J7/C7*C6</f>
        <v>2440.7768275229355</v>
      </c>
      <c r="K6">
        <f t="shared" si="1"/>
        <v>2177.3717267904508</v>
      </c>
      <c r="L6">
        <f t="shared" si="1"/>
        <v>2673.8771210960103</v>
      </c>
      <c r="M6">
        <f t="shared" si="1"/>
        <v>2574.3011691156289</v>
      </c>
    </row>
    <row r="7" spans="1:22">
      <c r="A7" t="s">
        <v>823</v>
      </c>
      <c r="B7">
        <f>B5+B6</f>
        <v>10000</v>
      </c>
      <c r="C7">
        <f>C5+C6</f>
        <v>10900</v>
      </c>
      <c r="D7">
        <f t="shared" ref="D7:F7" si="2">D5+D6</f>
        <v>11310</v>
      </c>
      <c r="E7">
        <f t="shared" si="2"/>
        <v>11509.380000000001</v>
      </c>
      <c r="F7">
        <f t="shared" si="2"/>
        <v>10710.66</v>
      </c>
      <c r="I7">
        <v>26505</v>
      </c>
      <c r="J7">
        <v>27257</v>
      </c>
      <c r="K7">
        <v>27873</v>
      </c>
      <c r="L7">
        <v>31978</v>
      </c>
      <c r="M7">
        <v>31756</v>
      </c>
    </row>
    <row r="8" spans="1:22">
      <c r="A8" s="5" t="s">
        <v>846</v>
      </c>
      <c r="B8" s="5">
        <v>13500</v>
      </c>
      <c r="C8" s="5">
        <v>14490</v>
      </c>
      <c r="D8" s="5">
        <v>14530</v>
      </c>
      <c r="E8" s="5">
        <v>15265.62</v>
      </c>
      <c r="F8" s="5">
        <v>14161.39</v>
      </c>
      <c r="I8" s="5">
        <v>31041</v>
      </c>
      <c r="J8" s="5">
        <v>31231</v>
      </c>
      <c r="K8" s="5">
        <v>31954</v>
      </c>
      <c r="L8" s="5">
        <v>36994</v>
      </c>
      <c r="M8" s="5">
        <v>36941</v>
      </c>
    </row>
    <row r="10" spans="1:22">
      <c r="B10" s="82" t="s">
        <v>19</v>
      </c>
    </row>
    <row r="11" spans="1:22">
      <c r="B11" s="659" t="s">
        <v>824</v>
      </c>
      <c r="C11" s="659" t="s">
        <v>825</v>
      </c>
      <c r="D11" s="659" t="s">
        <v>826</v>
      </c>
      <c r="E11" s="659" t="s">
        <v>827</v>
      </c>
      <c r="F11" s="659" t="s">
        <v>828</v>
      </c>
      <c r="G11" s="659" t="s">
        <v>829</v>
      </c>
      <c r="H11" s="659" t="s">
        <v>830</v>
      </c>
      <c r="I11" s="659" t="s">
        <v>831</v>
      </c>
      <c r="J11" s="659" t="s">
        <v>832</v>
      </c>
      <c r="K11" s="659" t="s">
        <v>833</v>
      </c>
      <c r="L11" s="659" t="s">
        <v>834</v>
      </c>
      <c r="M11" s="659" t="s">
        <v>835</v>
      </c>
      <c r="N11" s="659" t="s">
        <v>836</v>
      </c>
      <c r="O11" s="659" t="s">
        <v>837</v>
      </c>
      <c r="P11" s="659" t="s">
        <v>838</v>
      </c>
      <c r="Q11" s="659" t="s">
        <v>839</v>
      </c>
      <c r="R11" s="659" t="s">
        <v>840</v>
      </c>
      <c r="S11" s="659" t="s">
        <v>841</v>
      </c>
      <c r="T11" s="659" t="s">
        <v>842</v>
      </c>
      <c r="U11" s="659" t="s">
        <v>843</v>
      </c>
      <c r="V11" s="659" t="s">
        <v>844</v>
      </c>
    </row>
    <row r="12" spans="1:22">
      <c r="B12" s="659" t="s">
        <v>150</v>
      </c>
      <c r="C12" s="660">
        <v>950000</v>
      </c>
      <c r="D12" s="660">
        <v>1391000</v>
      </c>
      <c r="E12" s="660">
        <v>896000</v>
      </c>
      <c r="F12" s="660">
        <v>1299000</v>
      </c>
      <c r="G12" s="660">
        <v>1125000</v>
      </c>
      <c r="H12" s="660">
        <v>1246000</v>
      </c>
      <c r="I12" s="660">
        <v>673000</v>
      </c>
      <c r="J12" s="660">
        <v>930000</v>
      </c>
      <c r="K12" s="660">
        <v>908000</v>
      </c>
      <c r="L12" s="660">
        <v>972000</v>
      </c>
      <c r="M12" s="660">
        <v>828000</v>
      </c>
      <c r="N12" s="660">
        <v>1373000</v>
      </c>
      <c r="O12" s="660">
        <v>1394000</v>
      </c>
      <c r="P12" s="660">
        <v>1364000</v>
      </c>
      <c r="Q12" s="660">
        <v>1024000</v>
      </c>
      <c r="R12" s="660">
        <v>1234000</v>
      </c>
      <c r="S12" s="660">
        <v>1429000</v>
      </c>
      <c r="T12" s="660">
        <v>1302000</v>
      </c>
      <c r="U12" s="660">
        <v>986000</v>
      </c>
      <c r="V12" s="660">
        <v>1468000</v>
      </c>
    </row>
    <row r="14" spans="1:22">
      <c r="B14" s="82" t="s">
        <v>845</v>
      </c>
    </row>
    <row r="15" spans="1:22">
      <c r="B15" s="659" t="s">
        <v>824</v>
      </c>
      <c r="C15" s="659" t="s">
        <v>825</v>
      </c>
      <c r="D15" s="659" t="s">
        <v>826</v>
      </c>
      <c r="E15" s="659" t="s">
        <v>827</v>
      </c>
      <c r="F15" s="659" t="s">
        <v>828</v>
      </c>
      <c r="G15" s="659" t="s">
        <v>829</v>
      </c>
      <c r="H15" s="659" t="s">
        <v>830</v>
      </c>
      <c r="I15" s="659" t="s">
        <v>831</v>
      </c>
      <c r="J15" s="659" t="s">
        <v>832</v>
      </c>
      <c r="K15" s="659" t="s">
        <v>833</v>
      </c>
      <c r="L15" s="659" t="s">
        <v>834</v>
      </c>
      <c r="M15" s="659" t="s">
        <v>835</v>
      </c>
      <c r="N15" s="659" t="s">
        <v>836</v>
      </c>
      <c r="O15" s="659" t="s">
        <v>837</v>
      </c>
      <c r="P15" s="659" t="s">
        <v>838</v>
      </c>
      <c r="Q15" s="659" t="s">
        <v>839</v>
      </c>
      <c r="R15" s="659" t="s">
        <v>840</v>
      </c>
      <c r="S15" s="659" t="s">
        <v>841</v>
      </c>
      <c r="T15" s="659" t="s">
        <v>842</v>
      </c>
      <c r="U15" s="659" t="s">
        <v>843</v>
      </c>
      <c r="V15" s="659" t="s">
        <v>844</v>
      </c>
    </row>
    <row r="16" spans="1:22">
      <c r="B16" s="659" t="s">
        <v>150</v>
      </c>
      <c r="C16" s="660">
        <v>4069000</v>
      </c>
      <c r="D16" s="660">
        <v>7480000</v>
      </c>
      <c r="E16" s="660">
        <v>9911000</v>
      </c>
      <c r="F16" s="660">
        <v>5045000</v>
      </c>
      <c r="G16" s="660">
        <v>5571000</v>
      </c>
      <c r="H16" s="660">
        <v>7860000</v>
      </c>
      <c r="I16" s="660">
        <v>9337000</v>
      </c>
      <c r="J16" s="660">
        <v>4489000</v>
      </c>
      <c r="K16" s="660">
        <v>4782000</v>
      </c>
      <c r="L16" s="660">
        <v>7133000</v>
      </c>
      <c r="M16" s="660">
        <v>9152000</v>
      </c>
      <c r="N16" s="660">
        <v>6806000</v>
      </c>
      <c r="O16" s="660">
        <v>6643000</v>
      </c>
      <c r="P16" s="660">
        <v>8583000</v>
      </c>
      <c r="Q16" s="660">
        <v>10757000</v>
      </c>
      <c r="R16" s="660">
        <v>5995000</v>
      </c>
      <c r="S16" s="660">
        <v>5212000</v>
      </c>
      <c r="T16" s="660">
        <v>8471000</v>
      </c>
      <c r="U16" s="660">
        <v>11743000</v>
      </c>
      <c r="V16" s="660">
        <v>6330000</v>
      </c>
    </row>
    <row r="18" spans="1:22">
      <c r="B18" s="82" t="s">
        <v>847</v>
      </c>
    </row>
    <row r="19" spans="1:22">
      <c r="B19" s="659" t="s">
        <v>824</v>
      </c>
      <c r="C19" s="659" t="s">
        <v>825</v>
      </c>
      <c r="D19" s="659" t="s">
        <v>826</v>
      </c>
      <c r="E19" s="659" t="s">
        <v>827</v>
      </c>
      <c r="F19" s="659" t="s">
        <v>828</v>
      </c>
      <c r="G19" s="659" t="s">
        <v>829</v>
      </c>
      <c r="H19" s="659" t="s">
        <v>830</v>
      </c>
      <c r="I19" s="659" t="s">
        <v>831</v>
      </c>
      <c r="J19" s="659" t="s">
        <v>832</v>
      </c>
      <c r="K19" s="659" t="s">
        <v>833</v>
      </c>
      <c r="L19" s="659" t="s">
        <v>834</v>
      </c>
      <c r="M19" s="659" t="s">
        <v>835</v>
      </c>
      <c r="N19" s="659" t="s">
        <v>836</v>
      </c>
      <c r="O19" s="659" t="s">
        <v>837</v>
      </c>
      <c r="P19" s="659" t="s">
        <v>838</v>
      </c>
      <c r="Q19" s="659" t="s">
        <v>839</v>
      </c>
      <c r="R19" s="659" t="s">
        <v>840</v>
      </c>
      <c r="S19" s="659" t="s">
        <v>841</v>
      </c>
      <c r="T19" s="659" t="s">
        <v>842</v>
      </c>
      <c r="U19" s="659" t="s">
        <v>843</v>
      </c>
      <c r="V19" s="659" t="s">
        <v>844</v>
      </c>
    </row>
    <row r="20" spans="1:22">
      <c r="B20" s="659" t="s">
        <v>150</v>
      </c>
      <c r="C20" s="660">
        <v>5019000</v>
      </c>
      <c r="D20" s="660">
        <v>8871000</v>
      </c>
      <c r="E20" s="660">
        <v>10807000</v>
      </c>
      <c r="F20" s="660">
        <v>6344000</v>
      </c>
      <c r="G20" s="660">
        <v>6696000</v>
      </c>
      <c r="H20" s="660">
        <v>9106000</v>
      </c>
      <c r="I20" s="660">
        <v>10010000</v>
      </c>
      <c r="J20" s="660">
        <v>5419000</v>
      </c>
      <c r="K20" s="660">
        <v>5690000</v>
      </c>
      <c r="L20" s="660">
        <v>8105000</v>
      </c>
      <c r="M20" s="660">
        <v>9980000</v>
      </c>
      <c r="N20" s="660">
        <v>8179000</v>
      </c>
      <c r="O20" s="660">
        <v>8037000</v>
      </c>
      <c r="P20" s="660">
        <v>9947000</v>
      </c>
      <c r="Q20" s="660">
        <v>11781000</v>
      </c>
      <c r="R20" s="660">
        <v>7229000</v>
      </c>
      <c r="S20" s="660">
        <v>6641000</v>
      </c>
      <c r="T20" s="660">
        <v>9773000</v>
      </c>
      <c r="U20" s="660">
        <v>12729000</v>
      </c>
      <c r="V20" s="660">
        <v>7798000</v>
      </c>
    </row>
    <row r="22" spans="1:22" ht="18.75">
      <c r="A22" s="670" t="s">
        <v>527</v>
      </c>
    </row>
    <row r="24" spans="1:22">
      <c r="A24" s="5" t="s">
        <v>139</v>
      </c>
      <c r="I24" s="5" t="s">
        <v>150</v>
      </c>
    </row>
    <row r="26" spans="1:22">
      <c r="B26" s="5">
        <v>2007</v>
      </c>
      <c r="C26" s="5">
        <v>2008</v>
      </c>
      <c r="D26" s="5">
        <v>2009</v>
      </c>
      <c r="E26" s="5">
        <v>2010</v>
      </c>
      <c r="F26" s="5">
        <v>2011</v>
      </c>
      <c r="I26" s="5">
        <v>2007</v>
      </c>
      <c r="J26" s="5">
        <v>2008</v>
      </c>
      <c r="K26" s="5">
        <v>2009</v>
      </c>
      <c r="L26" s="5">
        <v>2010</v>
      </c>
      <c r="M26" s="5">
        <v>2011</v>
      </c>
    </row>
    <row r="27" spans="1:22">
      <c r="A27" t="s">
        <v>19</v>
      </c>
      <c r="B27">
        <v>1340</v>
      </c>
      <c r="C27">
        <v>1700</v>
      </c>
      <c r="D27">
        <v>1120</v>
      </c>
      <c r="E27">
        <v>1554.9</v>
      </c>
      <c r="F27">
        <v>1597.3</v>
      </c>
      <c r="I27">
        <v>2193</v>
      </c>
      <c r="J27">
        <v>2189</v>
      </c>
      <c r="K27">
        <v>1800</v>
      </c>
      <c r="L27">
        <v>2217</v>
      </c>
      <c r="M27">
        <v>2494</v>
      </c>
    </row>
    <row r="28" spans="1:22">
      <c r="A28" t="s">
        <v>822</v>
      </c>
      <c r="B28">
        <v>5180.8999999999996</v>
      </c>
      <c r="C28">
        <v>5263.2</v>
      </c>
      <c r="D28">
        <v>4863.3999999999996</v>
      </c>
      <c r="E28">
        <v>5377.6</v>
      </c>
      <c r="F28">
        <v>5819.1</v>
      </c>
      <c r="I28">
        <f>I30/B30*B28</f>
        <v>8059.0781833910023</v>
      </c>
      <c r="J28">
        <f t="shared" ref="J28:M28" si="3">J30/C30*C28</f>
        <v>8495.1616271186431</v>
      </c>
      <c r="K28">
        <f t="shared" si="3"/>
        <v>7592.5529582577128</v>
      </c>
      <c r="L28">
        <f t="shared" si="3"/>
        <v>8381.497231891266</v>
      </c>
      <c r="M28">
        <f t="shared" si="3"/>
        <v>9300.8708507414722</v>
      </c>
    </row>
    <row r="29" spans="1:22">
      <c r="A29" t="s">
        <v>576</v>
      </c>
      <c r="B29">
        <v>599.1</v>
      </c>
      <c r="C29">
        <v>636.79999999999995</v>
      </c>
      <c r="D29">
        <v>646.6</v>
      </c>
      <c r="E29">
        <v>655.4</v>
      </c>
      <c r="F29">
        <v>715.2</v>
      </c>
      <c r="I29">
        <f>I30/B30*B29</f>
        <v>931.92181660899655</v>
      </c>
      <c r="J29">
        <f t="shared" ref="J29:M29" si="4">J30/C30*C29</f>
        <v>1027.8383728813558</v>
      </c>
      <c r="K29">
        <f t="shared" si="4"/>
        <v>1009.4470417422867</v>
      </c>
      <c r="L29">
        <f t="shared" si="4"/>
        <v>1021.5027681087353</v>
      </c>
      <c r="M29">
        <f t="shared" si="4"/>
        <v>1143.1291492585281</v>
      </c>
    </row>
    <row r="30" spans="1:22">
      <c r="A30" t="s">
        <v>823</v>
      </c>
      <c r="B30">
        <f>B28+B29</f>
        <v>5780</v>
      </c>
      <c r="C30">
        <f t="shared" ref="C30:F30" si="5">C28+C29</f>
        <v>5900</v>
      </c>
      <c r="D30">
        <f t="shared" si="5"/>
        <v>5510</v>
      </c>
      <c r="E30">
        <f t="shared" si="5"/>
        <v>6033</v>
      </c>
      <c r="F30">
        <f t="shared" si="5"/>
        <v>6534.3</v>
      </c>
      <c r="I30">
        <v>8991</v>
      </c>
      <c r="J30">
        <v>9523</v>
      </c>
      <c r="K30">
        <v>8602</v>
      </c>
      <c r="L30">
        <v>9403</v>
      </c>
      <c r="M30">
        <v>10444</v>
      </c>
    </row>
    <row r="31" spans="1:22">
      <c r="A31" s="5" t="s">
        <v>846</v>
      </c>
      <c r="B31">
        <v>7120</v>
      </c>
      <c r="C31">
        <v>7600</v>
      </c>
      <c r="D31">
        <v>6630</v>
      </c>
      <c r="E31">
        <v>7587.9</v>
      </c>
      <c r="F31">
        <v>8131.6</v>
      </c>
      <c r="I31">
        <v>11184</v>
      </c>
      <c r="J31">
        <v>11712</v>
      </c>
      <c r="K31">
        <v>10402</v>
      </c>
      <c r="L31">
        <v>11620</v>
      </c>
      <c r="M31">
        <v>12938</v>
      </c>
    </row>
    <row r="33" spans="2:22">
      <c r="B33" s="5" t="s">
        <v>19</v>
      </c>
    </row>
    <row r="34" spans="2:22">
      <c r="B34" s="659" t="s">
        <v>824</v>
      </c>
      <c r="C34" s="659" t="s">
        <v>825</v>
      </c>
      <c r="D34" s="659" t="s">
        <v>826</v>
      </c>
      <c r="E34" s="659" t="s">
        <v>827</v>
      </c>
      <c r="F34" s="659" t="s">
        <v>828</v>
      </c>
      <c r="G34" s="659" t="s">
        <v>829</v>
      </c>
      <c r="H34" s="659" t="s">
        <v>830</v>
      </c>
      <c r="I34" s="659" t="s">
        <v>831</v>
      </c>
      <c r="J34" s="659" t="s">
        <v>832</v>
      </c>
      <c r="K34" s="659" t="s">
        <v>833</v>
      </c>
      <c r="L34" s="659" t="s">
        <v>834</v>
      </c>
      <c r="M34" s="659" t="s">
        <v>835</v>
      </c>
      <c r="N34" s="659" t="s">
        <v>836</v>
      </c>
      <c r="O34" s="659" t="s">
        <v>837</v>
      </c>
      <c r="P34" s="659" t="s">
        <v>838</v>
      </c>
      <c r="Q34" s="659" t="s">
        <v>839</v>
      </c>
      <c r="R34" s="659" t="s">
        <v>840</v>
      </c>
      <c r="S34" s="659" t="s">
        <v>841</v>
      </c>
      <c r="T34" s="659" t="s">
        <v>842</v>
      </c>
      <c r="U34" s="659" t="s">
        <v>843</v>
      </c>
      <c r="V34" s="659" t="s">
        <v>844</v>
      </c>
    </row>
    <row r="35" spans="2:22">
      <c r="B35" s="659" t="s">
        <v>150</v>
      </c>
      <c r="C35" s="660">
        <v>533000</v>
      </c>
      <c r="D35" s="660">
        <v>643000</v>
      </c>
      <c r="E35" s="660">
        <v>447000</v>
      </c>
      <c r="F35" s="660">
        <v>570000</v>
      </c>
      <c r="G35" s="660">
        <v>531000</v>
      </c>
      <c r="H35" s="660">
        <v>784000</v>
      </c>
      <c r="I35" s="660">
        <v>353000</v>
      </c>
      <c r="J35" s="660">
        <v>521000</v>
      </c>
      <c r="K35" s="660">
        <v>297000</v>
      </c>
      <c r="L35" s="660">
        <v>588000</v>
      </c>
      <c r="M35" s="660">
        <v>328000</v>
      </c>
      <c r="N35" s="660">
        <v>587000</v>
      </c>
      <c r="O35" s="660">
        <v>543000</v>
      </c>
      <c r="P35" s="660">
        <v>710000</v>
      </c>
      <c r="Q35" s="660">
        <v>403000</v>
      </c>
      <c r="R35" s="660">
        <v>561000</v>
      </c>
      <c r="S35" s="660">
        <v>614000</v>
      </c>
      <c r="T35" s="660">
        <v>696000</v>
      </c>
      <c r="U35" s="660">
        <v>451000</v>
      </c>
      <c r="V35" s="660">
        <v>733000</v>
      </c>
    </row>
    <row r="37" spans="2:22">
      <c r="B37" s="5" t="s">
        <v>845</v>
      </c>
    </row>
    <row r="38" spans="2:22">
      <c r="B38" s="659" t="s">
        <v>824</v>
      </c>
      <c r="C38" s="659" t="s">
        <v>825</v>
      </c>
      <c r="D38" s="659" t="s">
        <v>826</v>
      </c>
      <c r="E38" s="659" t="s">
        <v>827</v>
      </c>
      <c r="F38" s="659" t="s">
        <v>828</v>
      </c>
      <c r="G38" s="659" t="s">
        <v>829</v>
      </c>
      <c r="H38" s="659" t="s">
        <v>830</v>
      </c>
      <c r="I38" s="659" t="s">
        <v>831</v>
      </c>
      <c r="J38" s="659" t="s">
        <v>832</v>
      </c>
      <c r="K38" s="659" t="s">
        <v>833</v>
      </c>
      <c r="L38" s="659" t="s">
        <v>834</v>
      </c>
      <c r="M38" s="659" t="s">
        <v>835</v>
      </c>
      <c r="N38" s="659" t="s">
        <v>836</v>
      </c>
      <c r="O38" s="659" t="s">
        <v>837</v>
      </c>
      <c r="P38" s="659" t="s">
        <v>838</v>
      </c>
      <c r="Q38" s="659" t="s">
        <v>839</v>
      </c>
      <c r="R38" s="659" t="s">
        <v>840</v>
      </c>
      <c r="S38" s="659" t="s">
        <v>841</v>
      </c>
      <c r="T38" s="659" t="s">
        <v>842</v>
      </c>
      <c r="U38" s="659" t="s">
        <v>843</v>
      </c>
      <c r="V38" s="659" t="s">
        <v>844</v>
      </c>
    </row>
    <row r="39" spans="2:22">
      <c r="B39" s="659" t="s">
        <v>150</v>
      </c>
      <c r="C39" s="660">
        <v>1788000</v>
      </c>
      <c r="D39" s="660">
        <v>2484000</v>
      </c>
      <c r="E39" s="660">
        <v>2894000</v>
      </c>
      <c r="F39" s="660">
        <v>1825000</v>
      </c>
      <c r="G39" s="660">
        <v>1877000</v>
      </c>
      <c r="H39" s="660">
        <v>2483000</v>
      </c>
      <c r="I39" s="660">
        <v>3160000</v>
      </c>
      <c r="J39" s="660">
        <v>2003000</v>
      </c>
      <c r="K39" s="660">
        <v>1631000</v>
      </c>
      <c r="L39" s="660">
        <v>2319000</v>
      </c>
      <c r="M39" s="660">
        <v>2558000</v>
      </c>
      <c r="N39" s="660">
        <v>2094000</v>
      </c>
      <c r="O39" s="660">
        <v>1912000</v>
      </c>
      <c r="P39" s="660">
        <v>2216000</v>
      </c>
      <c r="Q39" s="660">
        <v>3030000</v>
      </c>
      <c r="R39" s="660">
        <v>2245000</v>
      </c>
      <c r="S39" s="660">
        <v>1894000</v>
      </c>
      <c r="T39" s="660">
        <v>2827000</v>
      </c>
      <c r="U39" s="660">
        <v>3575000</v>
      </c>
      <c r="V39" s="660">
        <v>2148000</v>
      </c>
    </row>
    <row r="41" spans="2:22">
      <c r="B41" s="5" t="s">
        <v>910</v>
      </c>
    </row>
    <row r="42" spans="2:22">
      <c r="B42" s="659" t="s">
        <v>824</v>
      </c>
      <c r="C42" s="659" t="s">
        <v>825</v>
      </c>
      <c r="D42" s="659" t="s">
        <v>826</v>
      </c>
      <c r="E42" s="659" t="s">
        <v>827</v>
      </c>
      <c r="F42" s="659" t="s">
        <v>828</v>
      </c>
      <c r="G42" s="659" t="s">
        <v>829</v>
      </c>
      <c r="H42" s="659" t="s">
        <v>830</v>
      </c>
      <c r="I42" s="659" t="s">
        <v>831</v>
      </c>
      <c r="J42" s="659" t="s">
        <v>832</v>
      </c>
      <c r="K42" s="659" t="s">
        <v>833</v>
      </c>
      <c r="L42" s="659" t="s">
        <v>834</v>
      </c>
      <c r="M42" s="659" t="s">
        <v>835</v>
      </c>
      <c r="N42" s="659" t="s">
        <v>836</v>
      </c>
      <c r="O42" s="659" t="s">
        <v>837</v>
      </c>
      <c r="P42" s="659" t="s">
        <v>838</v>
      </c>
      <c r="Q42" s="659" t="s">
        <v>839</v>
      </c>
      <c r="R42" s="659" t="s">
        <v>840</v>
      </c>
      <c r="S42" s="659" t="s">
        <v>841</v>
      </c>
      <c r="T42" s="659" t="s">
        <v>842</v>
      </c>
      <c r="U42" s="659" t="s">
        <v>843</v>
      </c>
      <c r="V42" s="659" t="s">
        <v>844</v>
      </c>
    </row>
    <row r="43" spans="2:22">
      <c r="B43" s="659" t="s">
        <v>150</v>
      </c>
      <c r="C43" s="660">
        <v>2321000</v>
      </c>
      <c r="D43" s="660">
        <v>3127000</v>
      </c>
      <c r="E43" s="660">
        <v>3341000</v>
      </c>
      <c r="F43" s="660">
        <v>2395000</v>
      </c>
      <c r="G43" s="660">
        <v>2408000</v>
      </c>
      <c r="H43" s="660">
        <v>3267000</v>
      </c>
      <c r="I43" s="660">
        <v>3513000</v>
      </c>
      <c r="J43" s="660">
        <v>2524000</v>
      </c>
      <c r="K43" s="660">
        <v>1928000</v>
      </c>
      <c r="L43" s="660">
        <v>2907000</v>
      </c>
      <c r="M43" s="660">
        <v>2886000</v>
      </c>
      <c r="N43" s="660">
        <v>2681000</v>
      </c>
      <c r="O43" s="660">
        <v>2455000</v>
      </c>
      <c r="P43" s="660">
        <v>2926000</v>
      </c>
      <c r="Q43" s="660">
        <v>3433000</v>
      </c>
      <c r="R43" s="660">
        <v>2806000</v>
      </c>
      <c r="S43" s="660">
        <v>2508000</v>
      </c>
      <c r="T43" s="660">
        <v>3523000</v>
      </c>
      <c r="U43" s="660">
        <v>4026000</v>
      </c>
      <c r="V43" s="660">
        <v>2881000</v>
      </c>
    </row>
  </sheetData>
  <customSheetViews>
    <customSheetView guid="{BD5E9955-DC4B-4EA0-9160-9EF1C693DE04}" topLeftCell="A14">
      <selection activeCell="I29" sqref="I29"/>
      <pageMargins left="0.7" right="0.7" top="0.75" bottom="0.75" header="0.3" footer="0.3"/>
      <pageSetup paperSize="0" orientation="portrait" horizontalDpi="0" verticalDpi="0" copies="0"/>
    </customSheetView>
    <customSheetView guid="{1ACDCC85-59E3-4410-927D-E7E5C71B61F5}" state="hidden" topLeftCell="A34">
      <selection activeCell="A35" sqref="A35"/>
      <pageMargins left="0.7" right="0.7" top="0.75" bottom="0.75" header="0.3" footer="0.3"/>
      <pageSetup paperSize="0" orientation="portrait" horizontalDpi="0" verticalDpi="0" copies="0"/>
    </customSheetView>
    <customSheetView guid="{9144D9B3-2327-4B3A-89B1-6A595780C3C5}" state="hidden">
      <selection activeCell="A35" sqref="A35"/>
      <pageMargins left="0.7" right="0.7" top="0.75" bottom="0.75" header="0.3" footer="0.3"/>
      <pageSetup paperSize="0" orientation="portrait" horizontalDpi="0" verticalDpi="0" copies="0"/>
    </customSheetView>
    <customSheetView guid="{513032B5-C585-49C2-98E7-9FDE6F7A4BA7}" topLeftCell="A34">
      <pageMargins left="0.7" right="0.7" top="0.75" bottom="0.75" header="0.3" footer="0.3"/>
      <pageSetup paperSize="0" orientation="portrait" horizontalDpi="0" verticalDpi="0" copies="0"/>
    </customSheetView>
    <customSheetView guid="{AF983ECA-536A-40E6-8A04-FF0A375E9ACC}" topLeftCell="A34">
      <selection activeCell="A35" sqref="A35"/>
      <pageMargins left="0.7" right="0.7" top="0.75" bottom="0.75" header="0.3" footer="0.3"/>
      <pageSetup paperSize="0" orientation="portrait" horizontalDpi="0" verticalDpi="0" copies="0"/>
    </customSheetView>
  </customSheetViews>
  <hyperlinks>
    <hyperlink ref="B10" r:id="rId1"/>
    <hyperlink ref="B14" r:id="rId2"/>
    <hyperlink ref="B18" r:id="rId3"/>
  </hyperlinks>
  <pageMargins left="0.7" right="0.7" top="0.75" bottom="0.75" header="0.3" footer="0.3"/>
  <pageSetup paperSize="0" orientation="portrait" horizontalDpi="0" verticalDpi="0" copies="0"/>
  <legacyDrawing r:id="rId4"/>
</worksheet>
</file>

<file path=xl/worksheets/sheet32.xml><?xml version="1.0" encoding="utf-8"?>
<worksheet xmlns="http://schemas.openxmlformats.org/spreadsheetml/2006/main" xmlns:r="http://schemas.openxmlformats.org/officeDocument/2006/relationships">
  <dimension ref="A1:P301"/>
  <sheetViews>
    <sheetView topLeftCell="C59" workbookViewId="0">
      <selection activeCell="K71" sqref="K71"/>
    </sheetView>
  </sheetViews>
  <sheetFormatPr defaultRowHeight="15"/>
  <cols>
    <col min="1" max="1" width="98.5703125" bestFit="1" customWidth="1"/>
    <col min="2" max="2" width="10.85546875" customWidth="1"/>
    <col min="3" max="3" width="10.140625" customWidth="1"/>
    <col min="4" max="4" width="12" customWidth="1"/>
    <col min="5" max="5" width="10.85546875" customWidth="1"/>
    <col min="6" max="6" width="11.140625" customWidth="1"/>
    <col min="9" max="9" width="10.140625" bestFit="1" customWidth="1"/>
    <col min="10" max="12" width="10.28515625" bestFit="1" customWidth="1"/>
    <col min="13" max="13" width="10.42578125" bestFit="1" customWidth="1"/>
    <col min="14" max="15" width="9.5703125" bestFit="1" customWidth="1"/>
  </cols>
  <sheetData>
    <row r="1" spans="1:6">
      <c r="A1" s="662" t="s">
        <v>851</v>
      </c>
    </row>
    <row r="3" spans="1:6">
      <c r="A3" s="662" t="s">
        <v>852</v>
      </c>
      <c r="B3" s="663">
        <v>41402.473055555558</v>
      </c>
    </row>
    <row r="4" spans="1:6">
      <c r="A4" s="662" t="s">
        <v>853</v>
      </c>
      <c r="B4" s="663">
        <v>41436.320909467591</v>
      </c>
    </row>
    <row r="5" spans="1:6">
      <c r="A5" s="662" t="s">
        <v>854</v>
      </c>
      <c r="B5" s="662" t="s">
        <v>243</v>
      </c>
    </row>
    <row r="7" spans="1:6">
      <c r="A7" s="662" t="s">
        <v>855</v>
      </c>
      <c r="B7" s="662" t="s">
        <v>856</v>
      </c>
    </row>
    <row r="8" spans="1:6">
      <c r="A8" s="662" t="s">
        <v>857</v>
      </c>
      <c r="B8" s="662" t="s">
        <v>858</v>
      </c>
    </row>
    <row r="9" spans="1:6">
      <c r="A9" s="662" t="s">
        <v>859</v>
      </c>
      <c r="B9" s="662" t="s">
        <v>328</v>
      </c>
    </row>
    <row r="10" spans="1:6">
      <c r="A10" s="662" t="s">
        <v>860</v>
      </c>
      <c r="B10" s="662" t="s">
        <v>150</v>
      </c>
    </row>
    <row r="12" spans="1:6">
      <c r="A12" s="659" t="s">
        <v>861</v>
      </c>
      <c r="B12" s="659" t="s">
        <v>862</v>
      </c>
      <c r="C12" s="659" t="s">
        <v>863</v>
      </c>
      <c r="D12" s="659" t="s">
        <v>864</v>
      </c>
      <c r="E12" s="659" t="s">
        <v>865</v>
      </c>
      <c r="F12" s="659" t="s">
        <v>866</v>
      </c>
    </row>
    <row r="13" spans="1:6" s="666" customFormat="1" ht="14.25">
      <c r="A13" s="664" t="s">
        <v>867</v>
      </c>
      <c r="B13" s="665">
        <v>8193000</v>
      </c>
      <c r="C13" s="665">
        <v>8415000</v>
      </c>
      <c r="D13" s="665">
        <v>7263000</v>
      </c>
      <c r="E13" s="665">
        <v>8131000</v>
      </c>
      <c r="F13" s="665">
        <v>9247000</v>
      </c>
    </row>
    <row r="14" spans="1:6">
      <c r="A14" s="659"/>
      <c r="B14" s="667" t="s">
        <v>869</v>
      </c>
      <c r="C14" s="667" t="s">
        <v>869</v>
      </c>
      <c r="D14" s="667" t="s">
        <v>869</v>
      </c>
      <c r="E14" s="667" t="s">
        <v>869</v>
      </c>
      <c r="F14" s="667" t="s">
        <v>869</v>
      </c>
    </row>
    <row r="15" spans="1:6">
      <c r="A15" s="659"/>
      <c r="B15" s="667" t="s">
        <v>869</v>
      </c>
      <c r="C15" s="667" t="s">
        <v>869</v>
      </c>
      <c r="D15" s="667" t="s">
        <v>869</v>
      </c>
      <c r="E15" s="667" t="s">
        <v>869</v>
      </c>
      <c r="F15" s="667" t="s">
        <v>869</v>
      </c>
    </row>
    <row r="16" spans="1:6">
      <c r="A16" s="659" t="s">
        <v>871</v>
      </c>
      <c r="B16" s="660">
        <v>5391000</v>
      </c>
      <c r="C16" s="660">
        <v>5737000</v>
      </c>
      <c r="D16" s="660">
        <v>4989000</v>
      </c>
      <c r="E16" s="660">
        <v>5735000</v>
      </c>
      <c r="F16" s="660">
        <v>6400000</v>
      </c>
    </row>
    <row r="17" spans="1:6">
      <c r="A17" s="659" t="s">
        <v>111</v>
      </c>
      <c r="B17" s="660">
        <v>103000</v>
      </c>
      <c r="C17" s="660">
        <v>114000</v>
      </c>
      <c r="D17" s="660">
        <v>79000</v>
      </c>
      <c r="E17" s="660">
        <v>125000</v>
      </c>
      <c r="F17" s="660">
        <v>88000</v>
      </c>
    </row>
    <row r="18" spans="1:6">
      <c r="A18" s="659" t="s">
        <v>113</v>
      </c>
      <c r="B18" s="660">
        <v>120000</v>
      </c>
      <c r="C18" s="660">
        <v>63000</v>
      </c>
      <c r="D18" s="660">
        <v>51000</v>
      </c>
      <c r="E18" s="660">
        <v>23000</v>
      </c>
      <c r="F18" s="660">
        <v>47000</v>
      </c>
    </row>
    <row r="19" spans="1:6">
      <c r="A19" s="659" t="s">
        <v>120</v>
      </c>
      <c r="B19" s="660">
        <v>120000</v>
      </c>
      <c r="C19" s="660">
        <v>131000</v>
      </c>
      <c r="D19" s="660">
        <v>146000</v>
      </c>
      <c r="E19" s="660">
        <v>93000</v>
      </c>
      <c r="F19" s="660">
        <v>126000</v>
      </c>
    </row>
    <row r="20" spans="1:6">
      <c r="A20" s="659" t="s">
        <v>121</v>
      </c>
      <c r="B20" s="660">
        <v>1089000</v>
      </c>
      <c r="C20" s="660">
        <v>1129000</v>
      </c>
      <c r="D20" s="660">
        <v>847000</v>
      </c>
      <c r="E20" s="660">
        <v>1007000</v>
      </c>
      <c r="F20" s="660">
        <v>1214000</v>
      </c>
    </row>
    <row r="21" spans="1:6">
      <c r="A21" s="659" t="s">
        <v>872</v>
      </c>
      <c r="B21" s="660">
        <v>993000</v>
      </c>
      <c r="C21" s="660">
        <v>985000</v>
      </c>
      <c r="D21" s="660">
        <v>897000</v>
      </c>
      <c r="E21" s="660">
        <v>1158000</v>
      </c>
      <c r="F21" s="660">
        <v>1015000</v>
      </c>
    </row>
    <row r="22" spans="1:6">
      <c r="A22" s="659" t="s">
        <v>873</v>
      </c>
      <c r="B22" s="660">
        <v>208000</v>
      </c>
      <c r="C22" s="660">
        <v>166000</v>
      </c>
      <c r="D22" s="660">
        <v>144000</v>
      </c>
      <c r="E22" s="660">
        <v>204000</v>
      </c>
      <c r="F22" s="660">
        <v>149000</v>
      </c>
    </row>
    <row r="23" spans="1:6">
      <c r="A23" s="659" t="s">
        <v>874</v>
      </c>
      <c r="B23" s="660">
        <v>425000</v>
      </c>
      <c r="C23" s="660">
        <v>395000</v>
      </c>
      <c r="D23" s="660">
        <v>324000</v>
      </c>
      <c r="E23" s="660">
        <v>380000</v>
      </c>
      <c r="F23" s="660">
        <v>455000</v>
      </c>
    </row>
    <row r="24" spans="1:6">
      <c r="A24" s="659" t="s">
        <v>126</v>
      </c>
      <c r="B24" s="660">
        <v>1075000</v>
      </c>
      <c r="C24" s="660">
        <v>1140000</v>
      </c>
      <c r="D24" s="660">
        <v>1036000</v>
      </c>
      <c r="E24" s="660">
        <v>1102000</v>
      </c>
      <c r="F24" s="660">
        <v>1481000</v>
      </c>
    </row>
    <row r="25" spans="1:6">
      <c r="A25" s="659" t="s">
        <v>149</v>
      </c>
      <c r="B25" s="660">
        <v>498000</v>
      </c>
      <c r="C25" s="660">
        <v>493000</v>
      </c>
      <c r="D25" s="660">
        <v>458000</v>
      </c>
      <c r="E25" s="660">
        <v>504000</v>
      </c>
      <c r="F25" s="660">
        <v>505000</v>
      </c>
    </row>
    <row r="26" spans="1:6">
      <c r="A26" s="659" t="s">
        <v>124</v>
      </c>
      <c r="B26" s="660">
        <v>95000</v>
      </c>
      <c r="C26" s="660">
        <v>65000</v>
      </c>
      <c r="D26" s="660">
        <v>18000</v>
      </c>
      <c r="E26" s="660">
        <v>59000</v>
      </c>
      <c r="F26" s="660">
        <v>66000</v>
      </c>
    </row>
    <row r="27" spans="1:6">
      <c r="A27" s="659" t="s">
        <v>131</v>
      </c>
      <c r="B27" s="660">
        <v>498000</v>
      </c>
      <c r="C27" s="660">
        <v>564000</v>
      </c>
      <c r="D27" s="660">
        <v>392000</v>
      </c>
      <c r="E27" s="660">
        <v>507000</v>
      </c>
      <c r="F27" s="660">
        <v>579000</v>
      </c>
    </row>
    <row r="28" spans="1:6">
      <c r="A28" s="659" t="s">
        <v>875</v>
      </c>
      <c r="B28" s="667" t="s">
        <v>869</v>
      </c>
      <c r="C28" s="660">
        <v>182000</v>
      </c>
      <c r="D28" s="660">
        <v>74000</v>
      </c>
      <c r="E28" s="667" t="s">
        <v>869</v>
      </c>
      <c r="F28" s="660">
        <v>74000</v>
      </c>
    </row>
    <row r="29" spans="1:6">
      <c r="A29" s="659" t="s">
        <v>876</v>
      </c>
      <c r="B29" s="660">
        <v>109000</v>
      </c>
      <c r="C29" s="660">
        <v>137000</v>
      </c>
      <c r="D29" s="660">
        <v>159000</v>
      </c>
      <c r="E29" s="660">
        <v>100000</v>
      </c>
      <c r="F29" s="660">
        <v>143000</v>
      </c>
    </row>
    <row r="30" spans="1:6">
      <c r="A30" s="659" t="s">
        <v>877</v>
      </c>
      <c r="B30" s="660">
        <v>38000</v>
      </c>
      <c r="C30" s="660">
        <v>12000</v>
      </c>
      <c r="D30" s="660">
        <v>10000</v>
      </c>
      <c r="E30" s="660">
        <v>16000</v>
      </c>
      <c r="F30" s="660">
        <v>24000</v>
      </c>
    </row>
    <row r="31" spans="1:6">
      <c r="A31" s="659" t="s">
        <v>878</v>
      </c>
      <c r="B31" s="660">
        <v>23000</v>
      </c>
      <c r="C31" s="667" t="s">
        <v>869</v>
      </c>
      <c r="D31" s="660">
        <v>14000</v>
      </c>
      <c r="E31" s="667" t="s">
        <v>869</v>
      </c>
      <c r="F31" s="667" t="s">
        <v>869</v>
      </c>
    </row>
    <row r="32" spans="1:6">
      <c r="A32" s="659" t="s">
        <v>128</v>
      </c>
      <c r="B32" s="660">
        <v>113000</v>
      </c>
      <c r="C32" s="660">
        <v>70000</v>
      </c>
      <c r="D32" s="660">
        <v>121000</v>
      </c>
      <c r="E32" s="660">
        <v>107000</v>
      </c>
      <c r="F32" s="660">
        <v>121000</v>
      </c>
    </row>
    <row r="33" spans="1:15">
      <c r="A33" s="659" t="s">
        <v>879</v>
      </c>
      <c r="B33" s="660">
        <v>42000</v>
      </c>
      <c r="C33" s="660">
        <v>46000</v>
      </c>
      <c r="D33" s="660">
        <v>33000</v>
      </c>
      <c r="E33" s="667" t="s">
        <v>869</v>
      </c>
      <c r="F33" s="660">
        <v>46000</v>
      </c>
    </row>
    <row r="34" spans="1:15">
      <c r="A34" s="659" t="s">
        <v>137</v>
      </c>
      <c r="B34" s="660">
        <v>163000</v>
      </c>
      <c r="C34" s="660">
        <v>157000</v>
      </c>
      <c r="D34" s="660">
        <v>126000</v>
      </c>
      <c r="E34" s="660">
        <v>141000</v>
      </c>
      <c r="F34" s="660">
        <v>220000</v>
      </c>
    </row>
    <row r="35" spans="1:15">
      <c r="A35" s="659" t="s">
        <v>110</v>
      </c>
      <c r="B35" s="660">
        <v>195000</v>
      </c>
      <c r="C35" s="660">
        <v>165000</v>
      </c>
      <c r="D35" s="660">
        <v>159000</v>
      </c>
      <c r="E35" s="660">
        <v>205000</v>
      </c>
      <c r="F35" s="660">
        <v>224000</v>
      </c>
    </row>
    <row r="36" spans="1:15">
      <c r="A36" s="659" t="s">
        <v>142</v>
      </c>
      <c r="B36" s="660">
        <v>196000</v>
      </c>
      <c r="C36" s="660">
        <v>223000</v>
      </c>
      <c r="D36" s="660">
        <v>144000</v>
      </c>
      <c r="E36" s="660">
        <v>147000</v>
      </c>
      <c r="F36" s="660">
        <v>278000</v>
      </c>
    </row>
    <row r="37" spans="1:15">
      <c r="A37" s="659" t="s">
        <v>143</v>
      </c>
      <c r="B37" s="660">
        <v>127000</v>
      </c>
      <c r="C37" s="660">
        <v>107000</v>
      </c>
      <c r="D37" s="660">
        <v>96000</v>
      </c>
      <c r="E37" s="660">
        <v>103000</v>
      </c>
      <c r="F37" s="667" t="s">
        <v>869</v>
      </c>
      <c r="H37" s="5" t="s">
        <v>946</v>
      </c>
    </row>
    <row r="38" spans="1:15">
      <c r="A38" s="659" t="s">
        <v>880</v>
      </c>
      <c r="B38" s="667" t="s">
        <v>869</v>
      </c>
      <c r="C38" s="667" t="s">
        <v>869</v>
      </c>
      <c r="D38" s="660">
        <v>11000</v>
      </c>
      <c r="E38" s="667" t="s">
        <v>869</v>
      </c>
      <c r="F38" s="660">
        <v>21000</v>
      </c>
    </row>
    <row r="39" spans="1:15">
      <c r="A39" s="659" t="s">
        <v>881</v>
      </c>
      <c r="B39" s="660">
        <v>20000</v>
      </c>
      <c r="C39" s="660">
        <v>30000</v>
      </c>
      <c r="D39" s="660">
        <v>10000</v>
      </c>
      <c r="E39" s="667" t="s">
        <v>869</v>
      </c>
      <c r="F39" s="660">
        <v>10000</v>
      </c>
    </row>
    <row r="40" spans="1:15">
      <c r="A40" s="659" t="s">
        <v>147</v>
      </c>
      <c r="B40" s="660">
        <v>25000</v>
      </c>
      <c r="C40" s="667" t="s">
        <v>869</v>
      </c>
      <c r="D40" s="660">
        <v>14000</v>
      </c>
      <c r="E40" s="667" t="s">
        <v>869</v>
      </c>
      <c r="F40" s="667" t="s">
        <v>869</v>
      </c>
    </row>
    <row r="41" spans="1:15">
      <c r="A41" s="659" t="s">
        <v>123</v>
      </c>
      <c r="B41" s="660">
        <v>1177000</v>
      </c>
      <c r="C41" s="660">
        <v>1288000</v>
      </c>
      <c r="D41" s="660">
        <v>1260000</v>
      </c>
      <c r="E41" s="660">
        <v>1312000</v>
      </c>
      <c r="F41" s="660">
        <v>1396000</v>
      </c>
    </row>
    <row r="42" spans="1:15">
      <c r="A42" s="659" t="s">
        <v>150</v>
      </c>
      <c r="B42" s="667" t="s">
        <v>869</v>
      </c>
      <c r="C42" s="667" t="s">
        <v>869</v>
      </c>
      <c r="D42" s="660">
        <v>0</v>
      </c>
      <c r="E42" s="667" t="s">
        <v>869</v>
      </c>
      <c r="F42" s="667" t="s">
        <v>869</v>
      </c>
    </row>
    <row r="43" spans="1:15">
      <c r="A43" s="659" t="s">
        <v>157</v>
      </c>
      <c r="B43" s="660">
        <v>622000</v>
      </c>
      <c r="C43" s="660">
        <v>742000</v>
      </c>
      <c r="D43" s="660">
        <v>641000</v>
      </c>
      <c r="E43" s="660">
        <v>686000</v>
      </c>
      <c r="F43" s="660">
        <v>874000</v>
      </c>
      <c r="I43" s="668">
        <v>2007</v>
      </c>
      <c r="J43" s="668">
        <v>2008</v>
      </c>
      <c r="K43" s="668">
        <v>2009</v>
      </c>
      <c r="L43" s="668">
        <v>2010</v>
      </c>
      <c r="M43" s="668">
        <v>2011</v>
      </c>
    </row>
    <row r="44" spans="1:15" s="666" customFormat="1" ht="14.25">
      <c r="A44" s="664" t="s">
        <v>882</v>
      </c>
      <c r="B44" s="665">
        <v>9112000</v>
      </c>
      <c r="C44" s="665">
        <v>9288000</v>
      </c>
      <c r="D44" s="665">
        <v>8095000</v>
      </c>
      <c r="E44" s="665">
        <v>9068000</v>
      </c>
      <c r="F44" s="665">
        <v>10391000</v>
      </c>
      <c r="H44" s="664" t="s">
        <v>23</v>
      </c>
      <c r="I44" s="660">
        <v>293</v>
      </c>
      <c r="J44" s="660">
        <v>314</v>
      </c>
      <c r="K44" s="660">
        <v>325</v>
      </c>
      <c r="L44" s="660">
        <v>421</v>
      </c>
      <c r="M44" s="660">
        <v>229</v>
      </c>
      <c r="O44" s="666">
        <v>1000</v>
      </c>
    </row>
    <row r="45" spans="1:15">
      <c r="A45" s="659"/>
      <c r="B45" s="667" t="s">
        <v>869</v>
      </c>
      <c r="C45" s="667" t="s">
        <v>869</v>
      </c>
      <c r="D45" s="667" t="s">
        <v>869</v>
      </c>
      <c r="E45" s="667" t="s">
        <v>869</v>
      </c>
      <c r="F45" s="667" t="s">
        <v>869</v>
      </c>
      <c r="H45" s="664" t="s">
        <v>890</v>
      </c>
      <c r="I45" s="660">
        <v>296</v>
      </c>
      <c r="J45" s="660">
        <v>506</v>
      </c>
      <c r="K45" s="660">
        <v>456</v>
      </c>
      <c r="L45" s="660">
        <v>450</v>
      </c>
      <c r="M45" s="660">
        <v>570</v>
      </c>
    </row>
    <row r="46" spans="1:15">
      <c r="A46" s="659" t="s">
        <v>884</v>
      </c>
      <c r="B46" s="660">
        <v>996000</v>
      </c>
      <c r="C46" s="660">
        <v>954000</v>
      </c>
      <c r="D46" s="660">
        <v>948000</v>
      </c>
      <c r="E46" s="660">
        <v>1023000</v>
      </c>
      <c r="F46" s="660">
        <v>1218000</v>
      </c>
      <c r="H46" s="664" t="s">
        <v>895</v>
      </c>
      <c r="I46" s="660">
        <v>711</v>
      </c>
      <c r="J46" s="660">
        <v>738</v>
      </c>
      <c r="K46" s="660">
        <v>740</v>
      </c>
      <c r="L46" s="660">
        <v>749</v>
      </c>
      <c r="M46" s="660">
        <v>723</v>
      </c>
    </row>
    <row r="47" spans="1:15">
      <c r="A47" s="659" t="s">
        <v>885</v>
      </c>
      <c r="B47" s="660">
        <v>45000</v>
      </c>
      <c r="C47" s="660">
        <v>39000</v>
      </c>
      <c r="D47" s="660">
        <v>35000</v>
      </c>
      <c r="E47" s="660">
        <v>31000</v>
      </c>
      <c r="F47" s="660">
        <v>53000</v>
      </c>
      <c r="H47" s="664" t="s">
        <v>893</v>
      </c>
      <c r="I47" s="660">
        <v>116</v>
      </c>
      <c r="J47" s="660">
        <v>161</v>
      </c>
      <c r="K47" s="660">
        <v>104</v>
      </c>
      <c r="L47" s="660">
        <v>114</v>
      </c>
      <c r="M47" s="660">
        <v>138</v>
      </c>
    </row>
    <row r="48" spans="1:15">
      <c r="A48" s="659" t="s">
        <v>139</v>
      </c>
      <c r="B48" s="660">
        <v>874000</v>
      </c>
      <c r="C48" s="660">
        <v>835000</v>
      </c>
      <c r="D48" s="660">
        <v>797000</v>
      </c>
      <c r="E48" s="660">
        <v>906000</v>
      </c>
      <c r="F48" s="660">
        <v>1091000</v>
      </c>
      <c r="H48" s="664" t="s">
        <v>25</v>
      </c>
      <c r="I48" s="660">
        <f>(B13+B46+B52)/1000</f>
        <v>9720</v>
      </c>
      <c r="J48" s="660">
        <f>(C13+C46+C52)/1000</f>
        <v>9953</v>
      </c>
      <c r="K48" s="660">
        <f>(D13+D46+D52)/1000</f>
        <v>8741</v>
      </c>
      <c r="L48" s="660">
        <f>(E13+E46+E52)/1000</f>
        <v>9814</v>
      </c>
      <c r="M48" s="660">
        <f>(F13+F46+F52)/1000</f>
        <v>11224</v>
      </c>
    </row>
    <row r="49" spans="1:16">
      <c r="A49" s="659" t="s">
        <v>151</v>
      </c>
      <c r="B49" s="660">
        <v>77000</v>
      </c>
      <c r="C49" s="660">
        <v>81000</v>
      </c>
      <c r="D49" s="660">
        <v>115000</v>
      </c>
      <c r="E49" s="660">
        <v>85000</v>
      </c>
      <c r="F49" s="667" t="s">
        <v>869</v>
      </c>
      <c r="H49" s="669" t="s">
        <v>908</v>
      </c>
    </row>
    <row r="50" spans="1:16">
      <c r="A50" s="659" t="s">
        <v>154</v>
      </c>
      <c r="B50" s="660">
        <v>229000</v>
      </c>
      <c r="C50" s="660">
        <v>336000</v>
      </c>
      <c r="D50" s="660">
        <v>266000</v>
      </c>
      <c r="E50" s="660">
        <v>411000</v>
      </c>
      <c r="F50" s="660">
        <v>473000</v>
      </c>
      <c r="H50" s="694" t="s">
        <v>899</v>
      </c>
      <c r="I50" s="715">
        <f>I51-SUM(I44:I48)</f>
        <v>47</v>
      </c>
      <c r="J50" s="715">
        <f>J51-SUM(J44:J48)</f>
        <v>40</v>
      </c>
      <c r="K50" s="695">
        <v>34</v>
      </c>
      <c r="L50" s="695">
        <v>70</v>
      </c>
      <c r="M50" s="715">
        <f>M51-SUM(M44:M48)</f>
        <v>49</v>
      </c>
    </row>
    <row r="51" spans="1:16">
      <c r="A51" s="659" t="s">
        <v>886</v>
      </c>
      <c r="B51" s="660">
        <v>42000</v>
      </c>
      <c r="C51" s="660">
        <v>48000</v>
      </c>
      <c r="D51" s="660">
        <v>40000</v>
      </c>
      <c r="E51" s="660">
        <v>43000</v>
      </c>
      <c r="F51" s="660">
        <v>71000</v>
      </c>
      <c r="H51" s="664" t="s">
        <v>527</v>
      </c>
      <c r="I51" s="660">
        <v>11183</v>
      </c>
      <c r="J51" s="660">
        <v>11712</v>
      </c>
      <c r="K51" s="660">
        <v>10402</v>
      </c>
      <c r="L51" s="660">
        <v>11620</v>
      </c>
      <c r="M51" s="660">
        <v>12933</v>
      </c>
      <c r="P51" s="253"/>
    </row>
    <row r="52" spans="1:16">
      <c r="A52" s="659" t="s">
        <v>887</v>
      </c>
      <c r="B52" s="660">
        <v>531000</v>
      </c>
      <c r="C52" s="660">
        <v>584000</v>
      </c>
      <c r="D52" s="660">
        <v>530000</v>
      </c>
      <c r="E52" s="660">
        <v>660000</v>
      </c>
      <c r="F52" s="660">
        <v>759000</v>
      </c>
    </row>
    <row r="53" spans="1:16">
      <c r="A53" s="659" t="s">
        <v>888</v>
      </c>
      <c r="B53" s="660">
        <v>260000</v>
      </c>
      <c r="C53" s="660">
        <v>199000</v>
      </c>
      <c r="D53" s="660">
        <v>224000</v>
      </c>
      <c r="E53" s="660">
        <v>208000</v>
      </c>
      <c r="F53" s="660">
        <v>217000</v>
      </c>
      <c r="H53" s="694" t="s">
        <v>901</v>
      </c>
      <c r="I53" s="695">
        <v>66000</v>
      </c>
      <c r="J53" s="697"/>
      <c r="K53" s="695">
        <v>76000</v>
      </c>
      <c r="L53" s="697"/>
      <c r="M53" s="695">
        <v>12000</v>
      </c>
    </row>
    <row r="54" spans="1:16" s="666" customFormat="1">
      <c r="A54" s="664" t="s">
        <v>23</v>
      </c>
      <c r="B54" s="665">
        <v>293000</v>
      </c>
      <c r="C54" s="665">
        <v>314000</v>
      </c>
      <c r="D54" s="665">
        <v>325000</v>
      </c>
      <c r="E54" s="665">
        <v>421000</v>
      </c>
      <c r="F54" s="665">
        <v>229000</v>
      </c>
      <c r="H54"/>
      <c r="I54" s="696"/>
      <c r="J54" s="696"/>
      <c r="K54"/>
      <c r="L54"/>
      <c r="M54"/>
    </row>
    <row r="55" spans="1:16">
      <c r="A55" s="659" t="s">
        <v>148</v>
      </c>
      <c r="B55" s="660">
        <v>42000</v>
      </c>
      <c r="C55" s="660">
        <v>26000</v>
      </c>
      <c r="D55" s="660">
        <v>27000</v>
      </c>
      <c r="E55" s="660">
        <v>53000</v>
      </c>
      <c r="F55" s="660">
        <v>22000</v>
      </c>
      <c r="H55" s="698"/>
      <c r="I55" s="708"/>
      <c r="J55" s="708"/>
      <c r="K55" s="699"/>
      <c r="L55" s="699"/>
      <c r="M55" s="699"/>
    </row>
    <row r="56" spans="1:16">
      <c r="A56" s="659" t="s">
        <v>889</v>
      </c>
      <c r="B56" s="660">
        <v>184000</v>
      </c>
      <c r="C56" s="660">
        <v>214000</v>
      </c>
      <c r="D56" s="660">
        <v>223000</v>
      </c>
      <c r="E56" s="660">
        <v>280000</v>
      </c>
      <c r="F56" s="660">
        <v>196000</v>
      </c>
      <c r="H56" s="698"/>
      <c r="I56" s="238"/>
      <c r="J56" s="238"/>
      <c r="K56" s="238"/>
      <c r="L56" s="238"/>
      <c r="M56" s="238"/>
    </row>
    <row r="57" spans="1:16" s="666" customFormat="1">
      <c r="A57" s="664" t="s">
        <v>890</v>
      </c>
      <c r="B57" s="665">
        <v>296000</v>
      </c>
      <c r="C57" s="665">
        <v>506000</v>
      </c>
      <c r="D57" s="665">
        <v>456000</v>
      </c>
      <c r="E57" s="665">
        <v>450000</v>
      </c>
      <c r="F57" s="665">
        <v>570000</v>
      </c>
      <c r="H57" s="698"/>
      <c r="I57" s="708"/>
      <c r="J57" s="713">
        <v>2007</v>
      </c>
      <c r="K57" s="5">
        <v>2008</v>
      </c>
      <c r="L57" s="5">
        <v>2009</v>
      </c>
      <c r="M57" s="5">
        <v>2010</v>
      </c>
      <c r="N57" s="5">
        <v>2011</v>
      </c>
      <c r="O57" s="5">
        <v>2012</v>
      </c>
    </row>
    <row r="58" spans="1:16">
      <c r="A58" s="659" t="s">
        <v>891</v>
      </c>
      <c r="B58" s="660">
        <v>276000</v>
      </c>
      <c r="C58" s="660">
        <v>485000</v>
      </c>
      <c r="D58" s="660">
        <v>440000</v>
      </c>
      <c r="E58" s="660">
        <v>427000</v>
      </c>
      <c r="F58" s="660">
        <v>543000</v>
      </c>
      <c r="H58" s="714" t="s">
        <v>139</v>
      </c>
      <c r="J58" s="710">
        <v>7120</v>
      </c>
      <c r="K58" s="710">
        <v>7600</v>
      </c>
      <c r="L58" s="710">
        <v>6630</v>
      </c>
      <c r="M58" s="710">
        <v>7587.9409999999998</v>
      </c>
      <c r="N58" s="710">
        <v>8131.6260000000002</v>
      </c>
      <c r="O58" s="710">
        <v>8476.6054513396866</v>
      </c>
    </row>
    <row r="59" spans="1:16">
      <c r="A59" s="659" t="s">
        <v>892</v>
      </c>
      <c r="B59" s="660">
        <v>20000</v>
      </c>
      <c r="C59" s="660">
        <v>21000</v>
      </c>
      <c r="D59" s="660">
        <v>15000</v>
      </c>
      <c r="E59" s="660">
        <v>23000</v>
      </c>
      <c r="F59" s="660">
        <v>27000</v>
      </c>
      <c r="I59" s="698" t="s">
        <v>23</v>
      </c>
      <c r="J59" s="711">
        <v>128.99</v>
      </c>
      <c r="K59" s="711">
        <v>163.428</v>
      </c>
      <c r="L59" s="711">
        <v>177.84700000000001</v>
      </c>
      <c r="M59" s="711">
        <v>213.68899999999999</v>
      </c>
      <c r="N59" s="711">
        <v>233.26792320899827</v>
      </c>
      <c r="O59" s="711">
        <v>247.90257009366164</v>
      </c>
    </row>
    <row r="60" spans="1:16" s="666" customFormat="1">
      <c r="A60" s="664" t="s">
        <v>893</v>
      </c>
      <c r="B60" s="665">
        <v>116000</v>
      </c>
      <c r="C60" s="665">
        <v>161000</v>
      </c>
      <c r="D60" s="665">
        <v>104000</v>
      </c>
      <c r="E60" s="665">
        <v>114000</v>
      </c>
      <c r="F60" s="665">
        <v>138000</v>
      </c>
      <c r="I60" s="698" t="s">
        <v>24</v>
      </c>
      <c r="J60" s="711">
        <v>252.982</v>
      </c>
      <c r="K60" s="711">
        <v>359.202</v>
      </c>
      <c r="L60" s="711">
        <v>246.91</v>
      </c>
      <c r="M60" s="711">
        <v>369.49099999999999</v>
      </c>
      <c r="N60" s="711">
        <v>404.30126733658739</v>
      </c>
      <c r="O60" s="712">
        <v>431.56653320921617</v>
      </c>
    </row>
    <row r="61" spans="1:16">
      <c r="A61" s="659" t="s">
        <v>108</v>
      </c>
      <c r="B61" s="667" t="s">
        <v>869</v>
      </c>
      <c r="C61" s="667" t="s">
        <v>869</v>
      </c>
      <c r="D61" s="660">
        <v>7000</v>
      </c>
      <c r="E61" s="667" t="s">
        <v>869</v>
      </c>
      <c r="F61" s="667" t="s">
        <v>869</v>
      </c>
      <c r="H61" s="273"/>
      <c r="I61" t="s">
        <v>25</v>
      </c>
      <c r="J61" s="711">
        <v>6442.7349919117651</v>
      </c>
      <c r="K61" s="711">
        <v>6702.2914527424427</v>
      </c>
      <c r="L61" s="711">
        <v>5887.1102888967162</v>
      </c>
      <c r="M61" s="711">
        <v>6607.8423997617811</v>
      </c>
      <c r="N61" s="711">
        <v>7065.3947399151912</v>
      </c>
      <c r="O61" s="711">
        <v>7346.311125635345</v>
      </c>
    </row>
    <row r="62" spans="1:16">
      <c r="A62" s="659" t="s">
        <v>112</v>
      </c>
      <c r="B62" s="660">
        <v>26000</v>
      </c>
      <c r="C62" s="660">
        <v>40000</v>
      </c>
      <c r="D62" s="660">
        <v>12000</v>
      </c>
      <c r="E62" s="660">
        <v>29000</v>
      </c>
      <c r="F62" s="667" t="s">
        <v>869</v>
      </c>
      <c r="I62" s="698" t="s">
        <v>26</v>
      </c>
      <c r="J62" s="711">
        <v>20.446008088234521</v>
      </c>
      <c r="K62" s="711">
        <v>16.245547257557519</v>
      </c>
      <c r="L62" s="711">
        <v>36.840711103284775</v>
      </c>
      <c r="M62" s="711">
        <v>41.09060023821894</v>
      </c>
      <c r="N62" s="711">
        <v>43.098164840198478</v>
      </c>
      <c r="O62" s="711">
        <v>45.919958260737047</v>
      </c>
    </row>
    <row r="63" spans="1:16">
      <c r="A63" s="659" t="s">
        <v>894</v>
      </c>
      <c r="B63" s="660">
        <v>85000</v>
      </c>
      <c r="C63" s="660">
        <v>117000</v>
      </c>
      <c r="D63" s="660">
        <v>85000</v>
      </c>
      <c r="E63" s="660">
        <v>82000</v>
      </c>
      <c r="F63" s="660">
        <v>109000</v>
      </c>
      <c r="I63" s="698" t="s">
        <v>27</v>
      </c>
      <c r="J63" s="711">
        <v>186.19300000000001</v>
      </c>
      <c r="K63" s="711">
        <v>264.495</v>
      </c>
      <c r="L63" s="711">
        <v>202.994</v>
      </c>
      <c r="M63" s="711">
        <v>253.73099999999999</v>
      </c>
      <c r="N63" s="711">
        <v>278.54729305165671</v>
      </c>
      <c r="O63" s="711">
        <v>292.81454913823012</v>
      </c>
    </row>
    <row r="64" spans="1:16" s="666" customFormat="1">
      <c r="A64" s="664" t="s">
        <v>895</v>
      </c>
      <c r="B64" s="665">
        <v>711000</v>
      </c>
      <c r="C64" s="665">
        <v>738000</v>
      </c>
      <c r="D64" s="665">
        <v>740000</v>
      </c>
      <c r="E64" s="665">
        <v>749000</v>
      </c>
      <c r="F64" s="665">
        <v>723000</v>
      </c>
      <c r="I64" s="698" t="s">
        <v>28</v>
      </c>
      <c r="J64" s="711">
        <v>88.653999999999996</v>
      </c>
      <c r="K64" s="711">
        <v>94.337999999999994</v>
      </c>
      <c r="L64" s="711">
        <v>78.298000000000002</v>
      </c>
      <c r="M64" s="711">
        <v>102.09699999999999</v>
      </c>
      <c r="N64" s="711">
        <v>107.01661164736737</v>
      </c>
      <c r="O64" s="712">
        <v>112.09071500249726</v>
      </c>
    </row>
    <row r="65" spans="1:16">
      <c r="A65" s="659" t="s">
        <v>896</v>
      </c>
      <c r="B65" s="660">
        <v>105000</v>
      </c>
      <c r="C65" s="660">
        <v>101000</v>
      </c>
      <c r="D65" s="660">
        <v>94000</v>
      </c>
      <c r="E65" s="660">
        <v>80000</v>
      </c>
      <c r="F65" s="660">
        <v>96000</v>
      </c>
      <c r="H65" s="698"/>
      <c r="I65" s="84"/>
      <c r="J65" s="84"/>
      <c r="K65" s="84"/>
      <c r="L65" s="84"/>
      <c r="M65" s="84"/>
    </row>
    <row r="66" spans="1:16">
      <c r="A66" s="659" t="s">
        <v>132</v>
      </c>
      <c r="B66" s="660">
        <v>29000</v>
      </c>
      <c r="C66" s="660">
        <v>42000</v>
      </c>
      <c r="D66" s="660">
        <v>12000</v>
      </c>
      <c r="E66" s="660">
        <v>42000</v>
      </c>
      <c r="F66" s="667" t="s">
        <v>869</v>
      </c>
      <c r="H66" s="718"/>
      <c r="I66" s="84"/>
      <c r="J66" s="84"/>
      <c r="K66" s="84"/>
      <c r="L66" s="84"/>
      <c r="M66" s="84"/>
    </row>
    <row r="67" spans="1:16">
      <c r="A67" s="659" t="s">
        <v>897</v>
      </c>
      <c r="B67" s="667" t="s">
        <v>869</v>
      </c>
      <c r="C67" s="667" t="s">
        <v>869</v>
      </c>
      <c r="D67" s="660">
        <v>4000</v>
      </c>
      <c r="E67" s="667" t="s">
        <v>869</v>
      </c>
      <c r="F67" s="667" t="s">
        <v>869</v>
      </c>
      <c r="H67" s="698"/>
      <c r="I67" s="84" t="s">
        <v>947</v>
      </c>
      <c r="J67" s="444">
        <f t="shared" ref="J67:O67" si="0">J62/SUM(J60+J62)</f>
        <v>7.4776568176719654E-2</v>
      </c>
      <c r="K67" s="444">
        <f t="shared" si="0"/>
        <v>4.3269818583774239E-2</v>
      </c>
      <c r="L67" s="444">
        <f t="shared" si="0"/>
        <v>0.12983477983205766</v>
      </c>
      <c r="M67" s="444">
        <f t="shared" si="0"/>
        <v>0.10007901039495737</v>
      </c>
      <c r="N67" s="444">
        <f t="shared" si="0"/>
        <v>9.6330396823500267E-2</v>
      </c>
      <c r="O67" s="444">
        <f t="shared" si="0"/>
        <v>9.6170172520213912E-2</v>
      </c>
    </row>
    <row r="68" spans="1:16">
      <c r="A68" s="659" t="s">
        <v>898</v>
      </c>
      <c r="B68" s="660">
        <v>574000</v>
      </c>
      <c r="C68" s="660">
        <v>569000</v>
      </c>
      <c r="D68" s="660">
        <v>630000</v>
      </c>
      <c r="E68" s="660">
        <v>624000</v>
      </c>
      <c r="F68" s="660">
        <v>607000</v>
      </c>
      <c r="H68" s="698"/>
      <c r="I68" s="84"/>
      <c r="J68" s="84"/>
      <c r="K68" s="84"/>
      <c r="L68" s="84"/>
      <c r="M68" s="84"/>
    </row>
    <row r="69" spans="1:16">
      <c r="A69" s="659" t="s">
        <v>899</v>
      </c>
      <c r="B69" s="667" t="s">
        <v>869</v>
      </c>
      <c r="C69" s="667" t="s">
        <v>869</v>
      </c>
      <c r="D69" s="660">
        <v>34000</v>
      </c>
      <c r="E69" s="660">
        <v>70000</v>
      </c>
      <c r="F69" s="667" t="s">
        <v>869</v>
      </c>
      <c r="H69" s="698"/>
    </row>
    <row r="70" spans="1:16">
      <c r="A70" s="659" t="s">
        <v>109</v>
      </c>
      <c r="B70" s="667" t="s">
        <v>869</v>
      </c>
      <c r="C70" s="667" t="s">
        <v>869</v>
      </c>
      <c r="D70" s="660">
        <v>17000</v>
      </c>
      <c r="E70" s="660">
        <v>24000</v>
      </c>
      <c r="F70" s="667" t="s">
        <v>869</v>
      </c>
      <c r="H70" s="5" t="s">
        <v>150</v>
      </c>
      <c r="I70" s="5" t="s">
        <v>328</v>
      </c>
      <c r="J70" s="717">
        <f>I51</f>
        <v>11183</v>
      </c>
      <c r="K70" s="717">
        <f>J51</f>
        <v>11712</v>
      </c>
      <c r="L70" s="717">
        <f>K51</f>
        <v>10402</v>
      </c>
      <c r="M70" s="717">
        <f>L51</f>
        <v>11620</v>
      </c>
      <c r="N70" s="717">
        <f>M51</f>
        <v>12933</v>
      </c>
      <c r="P70" s="719"/>
    </row>
    <row r="71" spans="1:16">
      <c r="A71" s="659" t="s">
        <v>900</v>
      </c>
      <c r="B71" s="667" t="s">
        <v>869</v>
      </c>
      <c r="C71" s="667" t="s">
        <v>869</v>
      </c>
      <c r="D71" s="660">
        <v>17000</v>
      </c>
      <c r="E71" s="660">
        <v>46000</v>
      </c>
      <c r="F71" s="667" t="s">
        <v>869</v>
      </c>
      <c r="I71" t="s">
        <v>23</v>
      </c>
      <c r="J71" s="253">
        <f>I44</f>
        <v>293</v>
      </c>
      <c r="K71" s="253">
        <f>J44</f>
        <v>314</v>
      </c>
      <c r="L71" s="253">
        <f>K44</f>
        <v>325</v>
      </c>
      <c r="M71" s="253">
        <f>L44</f>
        <v>421</v>
      </c>
      <c r="N71" s="253">
        <f>M44</f>
        <v>229</v>
      </c>
    </row>
    <row r="72" spans="1:16">
      <c r="A72" s="659" t="s">
        <v>901</v>
      </c>
      <c r="B72" s="660">
        <v>66000</v>
      </c>
      <c r="C72" s="667" t="s">
        <v>869</v>
      </c>
      <c r="D72" s="660">
        <v>76000</v>
      </c>
      <c r="E72" s="667" t="s">
        <v>869</v>
      </c>
      <c r="F72" s="660">
        <v>12000</v>
      </c>
      <c r="I72" t="s">
        <v>24</v>
      </c>
      <c r="J72" s="716">
        <f>J74-J75</f>
        <v>701.31936132204646</v>
      </c>
      <c r="K72" s="716">
        <f t="shared" ref="K72:N72" si="1">K74-K75</f>
        <v>720.09805956393666</v>
      </c>
      <c r="L72" s="716">
        <f t="shared" si="1"/>
        <v>716.51850759451281</v>
      </c>
      <c r="M72" s="716">
        <f t="shared" si="1"/>
        <v>757.69039728392443</v>
      </c>
      <c r="N72" s="716">
        <f t="shared" si="1"/>
        <v>713.99368824876103</v>
      </c>
    </row>
    <row r="73" spans="1:16">
      <c r="A73" s="659" t="s">
        <v>526</v>
      </c>
      <c r="B73" s="667" t="s">
        <v>869</v>
      </c>
      <c r="C73" s="667" t="s">
        <v>869</v>
      </c>
      <c r="D73" s="667" t="s">
        <v>869</v>
      </c>
      <c r="E73" s="667" t="s">
        <v>869</v>
      </c>
      <c r="F73" s="667" t="s">
        <v>869</v>
      </c>
      <c r="H73" s="666"/>
      <c r="I73" s="238" t="s">
        <v>25</v>
      </c>
      <c r="J73" s="700">
        <f>I48</f>
        <v>9720</v>
      </c>
      <c r="K73" s="700">
        <f>J48</f>
        <v>9953</v>
      </c>
      <c r="L73" s="700">
        <f>K48</f>
        <v>8741</v>
      </c>
      <c r="M73" s="700">
        <f>L48</f>
        <v>9814</v>
      </c>
      <c r="N73" s="700">
        <f>M48</f>
        <v>11224</v>
      </c>
    </row>
    <row r="74" spans="1:16" s="666" customFormat="1" ht="14.25">
      <c r="A74" s="664" t="s">
        <v>527</v>
      </c>
      <c r="B74" s="665">
        <v>11183000</v>
      </c>
      <c r="C74" s="665">
        <v>11712000</v>
      </c>
      <c r="D74" s="665">
        <v>10402000</v>
      </c>
      <c r="E74" s="665">
        <v>11620000</v>
      </c>
      <c r="F74" s="665">
        <v>12933000</v>
      </c>
      <c r="J74" s="799">
        <f>I46+I50</f>
        <v>758</v>
      </c>
      <c r="K74" s="799">
        <f t="shared" ref="K74:N74" si="2">J46+J50</f>
        <v>778</v>
      </c>
      <c r="L74" s="799">
        <f t="shared" si="2"/>
        <v>774</v>
      </c>
      <c r="M74" s="799">
        <f t="shared" si="2"/>
        <v>819</v>
      </c>
      <c r="N74" s="799">
        <f t="shared" si="2"/>
        <v>772</v>
      </c>
    </row>
    <row r="75" spans="1:16">
      <c r="A75" s="659" t="s">
        <v>902</v>
      </c>
      <c r="B75" s="667" t="s">
        <v>869</v>
      </c>
      <c r="C75" s="667" t="s">
        <v>869</v>
      </c>
      <c r="D75" s="667" t="s">
        <v>869</v>
      </c>
      <c r="E75" s="667" t="s">
        <v>869</v>
      </c>
      <c r="F75" s="667" t="s">
        <v>869</v>
      </c>
      <c r="I75" t="s">
        <v>26</v>
      </c>
      <c r="J75" s="716">
        <f>SUM(I46+I50)*J67</f>
        <v>56.680638677953496</v>
      </c>
      <c r="K75" s="716">
        <f>SUM(J46+J50)*K67*1.72</f>
        <v>57.901940436063335</v>
      </c>
      <c r="L75" s="716">
        <f>SUM(K46+K50)*L67*0.572</f>
        <v>57.481492405487217</v>
      </c>
      <c r="M75" s="716">
        <f>SUM(L46+L50)*M67*0.748</f>
        <v>61.309602716075624</v>
      </c>
      <c r="N75" s="716">
        <f>SUM(M46+M50)*N67*0.78</f>
        <v>58.006311751238925</v>
      </c>
    </row>
    <row r="76" spans="1:16">
      <c r="A76" s="659" t="s">
        <v>903</v>
      </c>
      <c r="B76" s="667" t="s">
        <v>869</v>
      </c>
      <c r="C76" s="667" t="s">
        <v>869</v>
      </c>
      <c r="D76" s="660">
        <v>0</v>
      </c>
      <c r="E76" s="667" t="s">
        <v>869</v>
      </c>
      <c r="F76" s="667" t="s">
        <v>869</v>
      </c>
      <c r="I76" t="s">
        <v>27</v>
      </c>
      <c r="J76" s="253">
        <f>I45</f>
        <v>296</v>
      </c>
      <c r="K76" s="253">
        <f>J45</f>
        <v>506</v>
      </c>
      <c r="L76" s="253">
        <f>K45</f>
        <v>456</v>
      </c>
      <c r="M76" s="253">
        <f>L45</f>
        <v>450</v>
      </c>
      <c r="N76" s="253">
        <f>M45</f>
        <v>570</v>
      </c>
    </row>
    <row r="77" spans="1:16">
      <c r="B77">
        <v>10132000</v>
      </c>
      <c r="I77" t="s">
        <v>28</v>
      </c>
      <c r="J77" s="253">
        <f>I47</f>
        <v>116</v>
      </c>
      <c r="K77" s="253">
        <f>J47</f>
        <v>161</v>
      </c>
      <c r="L77" s="253">
        <f>K47</f>
        <v>104</v>
      </c>
      <c r="M77" s="253">
        <f>L47</f>
        <v>114</v>
      </c>
      <c r="N77" s="253">
        <f>M47</f>
        <v>138</v>
      </c>
    </row>
    <row r="78" spans="1:16">
      <c r="A78" s="662" t="s">
        <v>904</v>
      </c>
      <c r="B78" s="253">
        <f>B74-B77</f>
        <v>1051000</v>
      </c>
    </row>
    <row r="79" spans="1:16">
      <c r="A79" s="662" t="s">
        <v>869</v>
      </c>
      <c r="B79" s="662" t="s">
        <v>905</v>
      </c>
      <c r="K79" s="101">
        <f>K75/J75-1</f>
        <v>2.1547071215075597E-2</v>
      </c>
      <c r="L79" s="101">
        <f t="shared" ref="L79:N79" si="3">L75/K75-1</f>
        <v>-7.2613806620244192E-3</v>
      </c>
      <c r="M79" s="101">
        <f t="shared" si="3"/>
        <v>6.6597267231408352E-2</v>
      </c>
      <c r="N79" s="101">
        <f t="shared" si="3"/>
        <v>-5.3878851248379767E-2</v>
      </c>
    </row>
    <row r="80" spans="1:16">
      <c r="K80" s="101">
        <f>K74/J74-1</f>
        <v>2.638522427440626E-2</v>
      </c>
      <c r="L80" s="101">
        <f t="shared" ref="L80:N80" si="4">L74/K74-1</f>
        <v>-5.1413881748072487E-3</v>
      </c>
      <c r="M80" s="101">
        <f t="shared" si="4"/>
        <v>5.8139534883721034E-2</v>
      </c>
      <c r="N80" s="101">
        <f t="shared" si="4"/>
        <v>-5.7387057387057405E-2</v>
      </c>
    </row>
    <row r="81" spans="1:14">
      <c r="A81" s="662" t="s">
        <v>855</v>
      </c>
      <c r="B81" s="662" t="s">
        <v>856</v>
      </c>
      <c r="K81" s="101">
        <f>K72/J72-1</f>
        <v>2.6776243859132576E-2</v>
      </c>
      <c r="L81" s="101">
        <f t="shared" ref="L81:N81" si="5">L72/K72-1</f>
        <v>-4.9709229484543593E-3</v>
      </c>
      <c r="M81" s="101">
        <f t="shared" si="5"/>
        <v>5.7461027528281639E-2</v>
      </c>
      <c r="N81" s="101">
        <f t="shared" si="5"/>
        <v>-5.7670928906848995E-2</v>
      </c>
    </row>
    <row r="82" spans="1:14">
      <c r="A82" s="662" t="s">
        <v>857</v>
      </c>
      <c r="B82" s="662" t="s">
        <v>858</v>
      </c>
    </row>
    <row r="83" spans="1:14">
      <c r="A83" s="662" t="s">
        <v>859</v>
      </c>
      <c r="B83" s="662" t="s">
        <v>576</v>
      </c>
    </row>
    <row r="84" spans="1:14">
      <c r="A84" s="662" t="s">
        <v>860</v>
      </c>
      <c r="B84" s="662" t="s">
        <v>150</v>
      </c>
    </row>
    <row r="86" spans="1:14">
      <c r="A86" s="659" t="s">
        <v>861</v>
      </c>
      <c r="B86" s="659" t="s">
        <v>862</v>
      </c>
      <c r="C86" s="659" t="s">
        <v>863</v>
      </c>
      <c r="D86" s="659" t="s">
        <v>864</v>
      </c>
      <c r="E86" s="659" t="s">
        <v>865</v>
      </c>
      <c r="F86" s="659" t="s">
        <v>866</v>
      </c>
    </row>
    <row r="87" spans="1:14">
      <c r="A87" s="659" t="s">
        <v>867</v>
      </c>
      <c r="B87" s="660">
        <v>6625000</v>
      </c>
      <c r="C87" s="660">
        <v>6809000</v>
      </c>
      <c r="D87" s="660">
        <v>6026000</v>
      </c>
      <c r="E87" s="660">
        <v>6554000</v>
      </c>
      <c r="F87" s="660">
        <v>7473000</v>
      </c>
    </row>
    <row r="88" spans="1:14">
      <c r="A88" s="659" t="s">
        <v>868</v>
      </c>
      <c r="B88" s="667" t="s">
        <v>869</v>
      </c>
      <c r="C88" s="667" t="s">
        <v>869</v>
      </c>
      <c r="D88" s="667" t="s">
        <v>869</v>
      </c>
      <c r="E88" s="667" t="s">
        <v>869</v>
      </c>
      <c r="F88" s="667" t="s">
        <v>869</v>
      </c>
    </row>
    <row r="89" spans="1:14">
      <c r="A89" s="659" t="s">
        <v>870</v>
      </c>
      <c r="B89" s="667" t="s">
        <v>869</v>
      </c>
      <c r="C89" s="667" t="s">
        <v>869</v>
      </c>
      <c r="D89" s="667" t="s">
        <v>869</v>
      </c>
      <c r="E89" s="667" t="s">
        <v>869</v>
      </c>
      <c r="F89" s="667" t="s">
        <v>869</v>
      </c>
    </row>
    <row r="90" spans="1:14">
      <c r="A90" s="659" t="s">
        <v>871</v>
      </c>
      <c r="B90" s="660">
        <v>4419000</v>
      </c>
      <c r="C90" s="660">
        <v>4721000</v>
      </c>
      <c r="D90" s="660">
        <v>4253000</v>
      </c>
      <c r="E90" s="660">
        <v>4661000</v>
      </c>
      <c r="F90" s="660">
        <v>5319000</v>
      </c>
    </row>
    <row r="91" spans="1:14">
      <c r="A91" s="659" t="s">
        <v>111</v>
      </c>
      <c r="B91" s="660">
        <v>33000</v>
      </c>
      <c r="C91" s="660">
        <v>36000</v>
      </c>
      <c r="D91" s="660">
        <v>42000</v>
      </c>
      <c r="E91" s="660">
        <v>36000</v>
      </c>
      <c r="F91" s="660">
        <v>41000</v>
      </c>
    </row>
    <row r="92" spans="1:14">
      <c r="A92" s="659" t="s">
        <v>113</v>
      </c>
      <c r="B92" s="660">
        <v>114000</v>
      </c>
      <c r="C92" s="660">
        <v>57000</v>
      </c>
      <c r="D92" s="660">
        <v>45000</v>
      </c>
      <c r="E92" s="660">
        <v>18000</v>
      </c>
      <c r="F92" s="660">
        <v>40000</v>
      </c>
    </row>
    <row r="93" spans="1:14">
      <c r="A93" s="659" t="s">
        <v>120</v>
      </c>
      <c r="B93" s="660">
        <v>81000</v>
      </c>
      <c r="C93" s="660">
        <v>126000</v>
      </c>
      <c r="D93" s="660">
        <v>131000</v>
      </c>
      <c r="E93" s="660">
        <v>84000</v>
      </c>
      <c r="F93" s="660">
        <v>113000</v>
      </c>
    </row>
    <row r="94" spans="1:14">
      <c r="A94" s="659" t="s">
        <v>121</v>
      </c>
      <c r="B94" s="660">
        <v>844000</v>
      </c>
      <c r="C94" s="660">
        <v>848000</v>
      </c>
      <c r="D94" s="660">
        <v>663000</v>
      </c>
      <c r="E94" s="660">
        <v>800000</v>
      </c>
      <c r="F94" s="660">
        <v>906000</v>
      </c>
    </row>
    <row r="95" spans="1:14">
      <c r="A95" s="659" t="s">
        <v>872</v>
      </c>
      <c r="B95" s="660">
        <v>707000</v>
      </c>
      <c r="C95" s="660">
        <v>730000</v>
      </c>
      <c r="D95" s="660">
        <v>624000</v>
      </c>
      <c r="E95" s="660">
        <v>852000</v>
      </c>
      <c r="F95" s="660">
        <v>690000</v>
      </c>
    </row>
    <row r="96" spans="1:14">
      <c r="A96" s="659" t="s">
        <v>873</v>
      </c>
      <c r="B96" s="660">
        <v>187000</v>
      </c>
      <c r="C96" s="660">
        <v>146000</v>
      </c>
      <c r="D96" s="660">
        <v>135000</v>
      </c>
      <c r="E96" s="660">
        <v>165000</v>
      </c>
      <c r="F96" s="660">
        <v>128000</v>
      </c>
    </row>
    <row r="97" spans="1:6">
      <c r="A97" s="659" t="s">
        <v>874</v>
      </c>
      <c r="B97" s="660">
        <v>416000</v>
      </c>
      <c r="C97" s="660">
        <v>377000</v>
      </c>
      <c r="D97" s="660">
        <v>324000</v>
      </c>
      <c r="E97" s="660">
        <v>377000</v>
      </c>
      <c r="F97" s="660">
        <v>446000</v>
      </c>
    </row>
    <row r="98" spans="1:6">
      <c r="A98" s="659" t="s">
        <v>126</v>
      </c>
      <c r="B98" s="660">
        <v>1015000</v>
      </c>
      <c r="C98" s="660">
        <v>1094000</v>
      </c>
      <c r="D98" s="660">
        <v>979000</v>
      </c>
      <c r="E98" s="660">
        <v>1044000</v>
      </c>
      <c r="F98" s="660">
        <v>1374000</v>
      </c>
    </row>
    <row r="99" spans="1:6">
      <c r="A99" s="659" t="s">
        <v>149</v>
      </c>
      <c r="B99" s="660">
        <v>431000</v>
      </c>
      <c r="C99" s="660">
        <v>379000</v>
      </c>
      <c r="D99" s="660">
        <v>413000</v>
      </c>
      <c r="E99" s="660">
        <v>375000</v>
      </c>
      <c r="F99" s="660">
        <v>433000</v>
      </c>
    </row>
    <row r="100" spans="1:6">
      <c r="A100" s="659" t="s">
        <v>124</v>
      </c>
      <c r="B100" s="660">
        <v>84000</v>
      </c>
      <c r="C100" s="660">
        <v>62000</v>
      </c>
      <c r="D100" s="660">
        <v>18000</v>
      </c>
      <c r="E100" s="660">
        <v>50000</v>
      </c>
      <c r="F100" s="660">
        <v>51000</v>
      </c>
    </row>
    <row r="101" spans="1:6">
      <c r="A101" s="659" t="s">
        <v>131</v>
      </c>
      <c r="B101" s="660">
        <v>392000</v>
      </c>
      <c r="C101" s="660">
        <v>468000</v>
      </c>
      <c r="D101" s="660">
        <v>337000</v>
      </c>
      <c r="E101" s="660">
        <v>424000</v>
      </c>
      <c r="F101" s="660">
        <v>505000</v>
      </c>
    </row>
    <row r="102" spans="1:6">
      <c r="A102" s="659" t="s">
        <v>875</v>
      </c>
      <c r="B102" s="660">
        <v>111000</v>
      </c>
      <c r="C102" s="660">
        <v>167000</v>
      </c>
      <c r="D102" s="660">
        <v>74000</v>
      </c>
      <c r="E102" s="660">
        <v>105000</v>
      </c>
      <c r="F102" s="660">
        <v>66000</v>
      </c>
    </row>
    <row r="103" spans="1:6">
      <c r="A103" s="659" t="s">
        <v>876</v>
      </c>
      <c r="B103" s="660">
        <v>101000</v>
      </c>
      <c r="C103" s="660">
        <v>120000</v>
      </c>
      <c r="D103" s="660">
        <v>111000</v>
      </c>
      <c r="E103" s="660">
        <v>85000</v>
      </c>
      <c r="F103" s="660">
        <v>124000</v>
      </c>
    </row>
    <row r="104" spans="1:6">
      <c r="A104" s="659" t="s">
        <v>877</v>
      </c>
      <c r="B104" s="660">
        <v>12000</v>
      </c>
      <c r="C104" s="660">
        <v>3000</v>
      </c>
      <c r="D104" s="660">
        <v>2000</v>
      </c>
      <c r="E104" s="660">
        <v>11000</v>
      </c>
      <c r="F104" s="660">
        <v>3000</v>
      </c>
    </row>
    <row r="105" spans="1:6">
      <c r="A105" s="659" t="s">
        <v>878</v>
      </c>
      <c r="B105" s="660">
        <v>3000</v>
      </c>
      <c r="C105" s="667" t="s">
        <v>869</v>
      </c>
      <c r="D105" s="660">
        <v>14000</v>
      </c>
      <c r="E105" s="660">
        <v>8000</v>
      </c>
      <c r="F105" s="667" t="s">
        <v>869</v>
      </c>
    </row>
    <row r="106" spans="1:6">
      <c r="A106" s="659" t="s">
        <v>128</v>
      </c>
      <c r="B106" s="660">
        <v>103000</v>
      </c>
      <c r="C106" s="660">
        <v>63000</v>
      </c>
      <c r="D106" s="660">
        <v>93000</v>
      </c>
      <c r="E106" s="660">
        <v>98000</v>
      </c>
      <c r="F106" s="660">
        <v>114000</v>
      </c>
    </row>
    <row r="107" spans="1:6">
      <c r="A107" s="659" t="s">
        <v>879</v>
      </c>
      <c r="B107" s="660">
        <v>36000</v>
      </c>
      <c r="C107" s="660">
        <v>43000</v>
      </c>
      <c r="D107" s="660">
        <v>30000</v>
      </c>
      <c r="E107" s="660">
        <v>20000</v>
      </c>
      <c r="F107" s="660">
        <v>41000</v>
      </c>
    </row>
    <row r="108" spans="1:6">
      <c r="A108" s="659" t="s">
        <v>137</v>
      </c>
      <c r="B108" s="660">
        <v>84000</v>
      </c>
      <c r="C108" s="660">
        <v>61000</v>
      </c>
      <c r="D108" s="660">
        <v>95000</v>
      </c>
      <c r="E108" s="660">
        <v>88000</v>
      </c>
      <c r="F108" s="660">
        <v>94000</v>
      </c>
    </row>
    <row r="109" spans="1:6">
      <c r="A109" s="659" t="s">
        <v>110</v>
      </c>
      <c r="B109" s="660">
        <v>173000</v>
      </c>
      <c r="C109" s="660">
        <v>141000</v>
      </c>
      <c r="D109" s="660">
        <v>129000</v>
      </c>
      <c r="E109" s="660">
        <v>148000</v>
      </c>
      <c r="F109" s="660">
        <v>184000</v>
      </c>
    </row>
    <row r="110" spans="1:6">
      <c r="A110" s="659" t="s">
        <v>142</v>
      </c>
      <c r="B110" s="660">
        <v>172000</v>
      </c>
      <c r="C110" s="660">
        <v>160000</v>
      </c>
      <c r="D110" s="660">
        <v>130000</v>
      </c>
      <c r="E110" s="660">
        <v>106000</v>
      </c>
      <c r="F110" s="660">
        <v>178000</v>
      </c>
    </row>
    <row r="111" spans="1:6">
      <c r="A111" s="659" t="s">
        <v>143</v>
      </c>
      <c r="B111" s="660">
        <v>100000</v>
      </c>
      <c r="C111" s="660">
        <v>93000</v>
      </c>
      <c r="D111" s="660">
        <v>87000</v>
      </c>
      <c r="E111" s="660">
        <v>95000</v>
      </c>
      <c r="F111" s="660">
        <v>79000</v>
      </c>
    </row>
    <row r="112" spans="1:6">
      <c r="A112" s="659" t="s">
        <v>880</v>
      </c>
      <c r="B112" s="660">
        <v>8000</v>
      </c>
      <c r="C112" s="660">
        <v>4000</v>
      </c>
      <c r="D112" s="660">
        <v>11000</v>
      </c>
      <c r="E112" s="660">
        <v>11000</v>
      </c>
      <c r="F112" s="660">
        <v>3000</v>
      </c>
    </row>
    <row r="113" spans="1:6">
      <c r="A113" s="659" t="s">
        <v>881</v>
      </c>
      <c r="B113" s="660">
        <v>16000</v>
      </c>
      <c r="C113" s="660">
        <v>9000</v>
      </c>
      <c r="D113" s="660">
        <v>10000</v>
      </c>
      <c r="E113" s="667" t="s">
        <v>869</v>
      </c>
      <c r="F113" s="660">
        <v>5000</v>
      </c>
    </row>
    <row r="114" spans="1:6">
      <c r="A114" s="659" t="s">
        <v>147</v>
      </c>
      <c r="B114" s="660">
        <v>13000</v>
      </c>
      <c r="C114" s="667" t="s">
        <v>869</v>
      </c>
      <c r="D114" s="660">
        <v>3000</v>
      </c>
      <c r="E114" s="660">
        <v>5000</v>
      </c>
      <c r="F114" s="667" t="s">
        <v>869</v>
      </c>
    </row>
    <row r="115" spans="1:6">
      <c r="A115" s="659" t="s">
        <v>123</v>
      </c>
      <c r="B115" s="660">
        <v>965000</v>
      </c>
      <c r="C115" s="660">
        <v>1061000</v>
      </c>
      <c r="D115" s="660">
        <v>1075000</v>
      </c>
      <c r="E115" s="660">
        <v>1035000</v>
      </c>
      <c r="F115" s="660">
        <v>1182000</v>
      </c>
    </row>
    <row r="116" spans="1:6">
      <c r="A116" s="659" t="s">
        <v>150</v>
      </c>
      <c r="B116" s="667" t="s">
        <v>869</v>
      </c>
      <c r="C116" s="667" t="s">
        <v>869</v>
      </c>
      <c r="D116" s="660">
        <v>0</v>
      </c>
      <c r="E116" s="667" t="s">
        <v>869</v>
      </c>
      <c r="F116" s="667" t="s">
        <v>869</v>
      </c>
    </row>
    <row r="117" spans="1:6">
      <c r="A117" s="659" t="s">
        <v>157</v>
      </c>
      <c r="B117" s="660">
        <v>423000</v>
      </c>
      <c r="C117" s="660">
        <v>560000</v>
      </c>
      <c r="D117" s="660">
        <v>452000</v>
      </c>
      <c r="E117" s="660">
        <v>514000</v>
      </c>
      <c r="F117" s="660">
        <v>673000</v>
      </c>
    </row>
    <row r="118" spans="1:6">
      <c r="A118" s="659" t="s">
        <v>882</v>
      </c>
      <c r="B118" s="660">
        <v>7268000</v>
      </c>
      <c r="C118" s="660">
        <v>7444000</v>
      </c>
      <c r="D118" s="660">
        <v>6640000</v>
      </c>
      <c r="E118" s="660">
        <v>7199000</v>
      </c>
      <c r="F118" s="660">
        <v>8276000</v>
      </c>
    </row>
    <row r="119" spans="1:6">
      <c r="A119" s="659" t="s">
        <v>883</v>
      </c>
      <c r="B119" s="667" t="s">
        <v>869</v>
      </c>
      <c r="C119" s="667" t="s">
        <v>869</v>
      </c>
      <c r="D119" s="667" t="s">
        <v>869</v>
      </c>
      <c r="E119" s="667" t="s">
        <v>869</v>
      </c>
      <c r="F119" s="667" t="s">
        <v>869</v>
      </c>
    </row>
    <row r="120" spans="1:6">
      <c r="A120" s="659" t="s">
        <v>884</v>
      </c>
      <c r="B120" s="660">
        <v>705000</v>
      </c>
      <c r="C120" s="660">
        <v>677000</v>
      </c>
      <c r="D120" s="660">
        <v>671000</v>
      </c>
      <c r="E120" s="660">
        <v>695000</v>
      </c>
      <c r="F120" s="660">
        <v>876000</v>
      </c>
    </row>
    <row r="121" spans="1:6">
      <c r="A121" s="659" t="s">
        <v>885</v>
      </c>
      <c r="B121" s="660">
        <v>33000</v>
      </c>
      <c r="C121" s="660">
        <v>25000</v>
      </c>
      <c r="D121" s="660">
        <v>17000</v>
      </c>
      <c r="E121" s="660">
        <v>27000</v>
      </c>
      <c r="F121" s="660">
        <v>31000</v>
      </c>
    </row>
    <row r="122" spans="1:6">
      <c r="A122" s="659" t="s">
        <v>139</v>
      </c>
      <c r="B122" s="660">
        <v>610000</v>
      </c>
      <c r="C122" s="660">
        <v>610000</v>
      </c>
      <c r="D122" s="660">
        <v>597000</v>
      </c>
      <c r="E122" s="660">
        <v>617000</v>
      </c>
      <c r="F122" s="660">
        <v>771000</v>
      </c>
    </row>
    <row r="123" spans="1:6">
      <c r="A123" s="659" t="s">
        <v>151</v>
      </c>
      <c r="B123" s="660">
        <v>62000</v>
      </c>
      <c r="C123" s="660">
        <v>42000</v>
      </c>
      <c r="D123" s="660">
        <v>56000</v>
      </c>
      <c r="E123" s="660">
        <v>50000</v>
      </c>
      <c r="F123" s="660">
        <v>74000</v>
      </c>
    </row>
    <row r="124" spans="1:6">
      <c r="A124" s="659" t="s">
        <v>154</v>
      </c>
      <c r="B124" s="660">
        <v>225000</v>
      </c>
      <c r="C124" s="660">
        <v>312000</v>
      </c>
      <c r="D124" s="660">
        <v>239000</v>
      </c>
      <c r="E124" s="660">
        <v>388000</v>
      </c>
      <c r="F124" s="660">
        <v>440000</v>
      </c>
    </row>
    <row r="125" spans="1:6">
      <c r="A125" s="659" t="s">
        <v>886</v>
      </c>
      <c r="B125" s="660">
        <v>17000</v>
      </c>
      <c r="C125" s="660">
        <v>20000</v>
      </c>
      <c r="D125" s="660">
        <v>21000</v>
      </c>
      <c r="E125" s="660">
        <v>34000</v>
      </c>
      <c r="F125" s="660">
        <v>48000</v>
      </c>
    </row>
    <row r="126" spans="1:6">
      <c r="A126" s="659" t="s">
        <v>887</v>
      </c>
      <c r="B126" s="660">
        <v>471000</v>
      </c>
      <c r="C126" s="660">
        <v>522000</v>
      </c>
      <c r="D126" s="660">
        <v>459000</v>
      </c>
      <c r="E126" s="660">
        <v>615000</v>
      </c>
      <c r="F126" s="660">
        <v>687000</v>
      </c>
    </row>
    <row r="127" spans="1:6">
      <c r="A127" s="659" t="s">
        <v>888</v>
      </c>
      <c r="B127" s="660">
        <v>229000</v>
      </c>
      <c r="C127" s="660">
        <v>189000</v>
      </c>
      <c r="D127" s="660">
        <v>199000</v>
      </c>
      <c r="E127" s="660">
        <v>194000</v>
      </c>
      <c r="F127" s="660">
        <v>200000</v>
      </c>
    </row>
    <row r="128" spans="1:6">
      <c r="A128" s="659" t="s">
        <v>23</v>
      </c>
      <c r="B128" s="660">
        <v>257000</v>
      </c>
      <c r="C128" s="660">
        <v>292000</v>
      </c>
      <c r="D128" s="660">
        <v>301000</v>
      </c>
      <c r="E128" s="660">
        <v>393000</v>
      </c>
      <c r="F128" s="660">
        <v>191000</v>
      </c>
    </row>
    <row r="129" spans="1:6">
      <c r="A129" s="659" t="s">
        <v>148</v>
      </c>
      <c r="B129" s="660">
        <v>37000</v>
      </c>
      <c r="C129" s="660">
        <v>23000</v>
      </c>
      <c r="D129" s="660">
        <v>12000</v>
      </c>
      <c r="E129" s="660">
        <v>45000</v>
      </c>
      <c r="F129" s="660">
        <v>9000</v>
      </c>
    </row>
    <row r="130" spans="1:6">
      <c r="A130" s="659" t="s">
        <v>889</v>
      </c>
      <c r="B130" s="660">
        <v>165000</v>
      </c>
      <c r="C130" s="660">
        <v>195000</v>
      </c>
      <c r="D130" s="660">
        <v>213000</v>
      </c>
      <c r="E130" s="660">
        <v>260000</v>
      </c>
      <c r="F130" s="660">
        <v>175000</v>
      </c>
    </row>
    <row r="131" spans="1:6">
      <c r="A131" s="659" t="s">
        <v>890</v>
      </c>
      <c r="B131" s="660">
        <v>215000</v>
      </c>
      <c r="C131" s="660">
        <v>432000</v>
      </c>
      <c r="D131" s="660">
        <v>368000</v>
      </c>
      <c r="E131" s="660">
        <v>344000</v>
      </c>
      <c r="F131" s="660">
        <v>446000</v>
      </c>
    </row>
    <row r="132" spans="1:6">
      <c r="A132" s="659" t="s">
        <v>891</v>
      </c>
      <c r="B132" s="660">
        <v>203000</v>
      </c>
      <c r="C132" s="660">
        <v>421000</v>
      </c>
      <c r="D132" s="660">
        <v>360000</v>
      </c>
      <c r="E132" s="660">
        <v>326000</v>
      </c>
      <c r="F132" s="660">
        <v>425000</v>
      </c>
    </row>
    <row r="133" spans="1:6">
      <c r="A133" s="659" t="s">
        <v>892</v>
      </c>
      <c r="B133" s="660">
        <v>12000</v>
      </c>
      <c r="C133" s="660">
        <v>11000</v>
      </c>
      <c r="D133" s="660">
        <v>7000</v>
      </c>
      <c r="E133" s="660">
        <v>18000</v>
      </c>
      <c r="F133" s="660">
        <v>22000</v>
      </c>
    </row>
    <row r="134" spans="1:6">
      <c r="A134" s="659" t="s">
        <v>893</v>
      </c>
      <c r="B134" s="660">
        <v>92000</v>
      </c>
      <c r="C134" s="660">
        <v>145000</v>
      </c>
      <c r="D134" s="660">
        <v>101000</v>
      </c>
      <c r="E134" s="660">
        <v>86000</v>
      </c>
      <c r="F134" s="660">
        <v>123000</v>
      </c>
    </row>
    <row r="135" spans="1:6">
      <c r="A135" s="659" t="s">
        <v>108</v>
      </c>
      <c r="B135" s="660">
        <v>5000</v>
      </c>
      <c r="C135" s="660">
        <v>4000</v>
      </c>
      <c r="D135" s="660">
        <v>7000</v>
      </c>
      <c r="E135" s="667" t="s">
        <v>869</v>
      </c>
      <c r="F135" s="660">
        <v>5000</v>
      </c>
    </row>
    <row r="136" spans="1:6">
      <c r="A136" s="659" t="s">
        <v>112</v>
      </c>
      <c r="B136" s="660">
        <v>13000</v>
      </c>
      <c r="C136" s="660">
        <v>30000</v>
      </c>
      <c r="D136" s="660">
        <v>12000</v>
      </c>
      <c r="E136" s="660">
        <v>19000</v>
      </c>
      <c r="F136" s="660">
        <v>24000</v>
      </c>
    </row>
    <row r="137" spans="1:6">
      <c r="A137" s="659" t="s">
        <v>894</v>
      </c>
      <c r="B137" s="660">
        <v>74000</v>
      </c>
      <c r="C137" s="660">
        <v>111000</v>
      </c>
      <c r="D137" s="660">
        <v>82000</v>
      </c>
      <c r="E137" s="660">
        <v>68000</v>
      </c>
      <c r="F137" s="660">
        <v>94000</v>
      </c>
    </row>
    <row r="138" spans="1:6">
      <c r="A138" s="659" t="s">
        <v>895</v>
      </c>
      <c r="B138" s="660">
        <v>580000</v>
      </c>
      <c r="C138" s="660">
        <v>605000</v>
      </c>
      <c r="D138" s="660">
        <v>639000</v>
      </c>
      <c r="E138" s="660">
        <v>660000</v>
      </c>
      <c r="F138" s="660">
        <v>593000</v>
      </c>
    </row>
    <row r="139" spans="1:6">
      <c r="A139" s="659" t="s">
        <v>896</v>
      </c>
      <c r="B139" s="660">
        <v>65000</v>
      </c>
      <c r="C139" s="660">
        <v>74000</v>
      </c>
      <c r="D139" s="660">
        <v>48000</v>
      </c>
      <c r="E139" s="660">
        <v>47000</v>
      </c>
      <c r="F139" s="660">
        <v>58000</v>
      </c>
    </row>
    <row r="140" spans="1:6">
      <c r="A140" s="659" t="s">
        <v>132</v>
      </c>
      <c r="B140" s="660">
        <v>23000</v>
      </c>
      <c r="C140" s="660">
        <v>9000</v>
      </c>
      <c r="D140" s="660">
        <v>2000</v>
      </c>
      <c r="E140" s="660">
        <v>32000</v>
      </c>
      <c r="F140" s="660">
        <v>11000</v>
      </c>
    </row>
    <row r="141" spans="1:6">
      <c r="A141" s="659" t="s">
        <v>897</v>
      </c>
      <c r="B141" s="667" t="s">
        <v>869</v>
      </c>
      <c r="C141" s="667" t="s">
        <v>869</v>
      </c>
      <c r="D141" s="660">
        <v>0</v>
      </c>
      <c r="E141" s="660">
        <v>4000</v>
      </c>
      <c r="F141" s="667" t="s">
        <v>869</v>
      </c>
    </row>
    <row r="142" spans="1:6">
      <c r="A142" s="659" t="s">
        <v>898</v>
      </c>
      <c r="B142" s="660">
        <v>492000</v>
      </c>
      <c r="C142" s="660">
        <v>521000</v>
      </c>
      <c r="D142" s="660">
        <v>589000</v>
      </c>
      <c r="E142" s="660">
        <v>577000</v>
      </c>
      <c r="F142" s="660">
        <v>524000</v>
      </c>
    </row>
    <row r="143" spans="1:6">
      <c r="A143" s="659" t="s">
        <v>899</v>
      </c>
      <c r="B143" s="660">
        <v>47000</v>
      </c>
      <c r="C143" s="660">
        <v>41000</v>
      </c>
      <c r="D143" s="660">
        <v>34000</v>
      </c>
      <c r="E143" s="660">
        <v>55000</v>
      </c>
      <c r="F143" s="660">
        <v>49000</v>
      </c>
    </row>
    <row r="144" spans="1:6">
      <c r="A144" s="659" t="s">
        <v>109</v>
      </c>
      <c r="B144" s="660">
        <v>34000</v>
      </c>
      <c r="C144" s="660">
        <v>33000</v>
      </c>
      <c r="D144" s="660">
        <v>17000</v>
      </c>
      <c r="E144" s="660">
        <v>20000</v>
      </c>
      <c r="F144" s="660">
        <v>36000</v>
      </c>
    </row>
    <row r="145" spans="1:6">
      <c r="A145" s="659" t="s">
        <v>900</v>
      </c>
      <c r="B145" s="660">
        <v>13000</v>
      </c>
      <c r="C145" s="660">
        <v>8000</v>
      </c>
      <c r="D145" s="660">
        <v>17000</v>
      </c>
      <c r="E145" s="660">
        <v>35000</v>
      </c>
      <c r="F145" s="660">
        <v>13000</v>
      </c>
    </row>
    <row r="146" spans="1:6">
      <c r="A146" s="659" t="s">
        <v>901</v>
      </c>
      <c r="B146" s="660">
        <v>55000</v>
      </c>
      <c r="C146" s="660">
        <v>73000</v>
      </c>
      <c r="D146" s="660">
        <v>76000</v>
      </c>
      <c r="E146" s="660">
        <v>88000</v>
      </c>
      <c r="F146" s="660">
        <v>8000</v>
      </c>
    </row>
    <row r="147" spans="1:6">
      <c r="A147" s="659" t="s">
        <v>526</v>
      </c>
      <c r="B147" s="667" t="s">
        <v>869</v>
      </c>
      <c r="C147" s="667" t="s">
        <v>869</v>
      </c>
      <c r="D147" s="667" t="s">
        <v>869</v>
      </c>
      <c r="E147" s="667" t="s">
        <v>869</v>
      </c>
      <c r="F147" s="667" t="s">
        <v>869</v>
      </c>
    </row>
    <row r="148" spans="1:6">
      <c r="A148" s="659" t="s">
        <v>527</v>
      </c>
      <c r="B148" s="660">
        <v>8991000</v>
      </c>
      <c r="C148" s="660">
        <v>9523000</v>
      </c>
      <c r="D148" s="660">
        <v>8602000</v>
      </c>
      <c r="E148" s="660">
        <v>9403000</v>
      </c>
      <c r="F148" s="660">
        <v>10439000</v>
      </c>
    </row>
    <row r="149" spans="1:6">
      <c r="A149" s="659" t="s">
        <v>902</v>
      </c>
      <c r="B149" s="667" t="s">
        <v>869</v>
      </c>
      <c r="C149" s="667" t="s">
        <v>869</v>
      </c>
      <c r="D149" s="667" t="s">
        <v>869</v>
      </c>
      <c r="E149" s="667" t="s">
        <v>869</v>
      </c>
      <c r="F149" s="667" t="s">
        <v>869</v>
      </c>
    </row>
    <row r="150" spans="1:6">
      <c r="A150" s="659" t="s">
        <v>903</v>
      </c>
      <c r="B150" s="667" t="s">
        <v>869</v>
      </c>
      <c r="C150" s="667" t="s">
        <v>869</v>
      </c>
      <c r="D150" s="660">
        <v>0</v>
      </c>
      <c r="E150" s="667" t="s">
        <v>869</v>
      </c>
      <c r="F150" s="667" t="s">
        <v>869</v>
      </c>
    </row>
    <row r="152" spans="1:6">
      <c r="A152" s="662" t="s">
        <v>904</v>
      </c>
    </row>
    <row r="153" spans="1:6">
      <c r="A153" s="662" t="s">
        <v>869</v>
      </c>
      <c r="B153" s="662" t="s">
        <v>905</v>
      </c>
    </row>
    <row r="155" spans="1:6">
      <c r="A155" s="662" t="s">
        <v>855</v>
      </c>
      <c r="B155" s="662" t="s">
        <v>856</v>
      </c>
    </row>
    <row r="156" spans="1:6">
      <c r="A156" s="662" t="s">
        <v>857</v>
      </c>
      <c r="B156" s="662" t="s">
        <v>858</v>
      </c>
    </row>
    <row r="157" spans="1:6">
      <c r="A157" s="662" t="s">
        <v>859</v>
      </c>
      <c r="B157" s="662" t="s">
        <v>906</v>
      </c>
    </row>
    <row r="158" spans="1:6">
      <c r="A158" s="662" t="s">
        <v>860</v>
      </c>
      <c r="B158" s="662" t="s">
        <v>150</v>
      </c>
    </row>
    <row r="160" spans="1:6">
      <c r="A160" s="659" t="s">
        <v>861</v>
      </c>
      <c r="B160" s="659" t="s">
        <v>862</v>
      </c>
      <c r="C160" s="659" t="s">
        <v>863</v>
      </c>
      <c r="D160" s="659" t="s">
        <v>864</v>
      </c>
      <c r="E160" s="659" t="s">
        <v>865</v>
      </c>
      <c r="F160" s="659" t="s">
        <v>866</v>
      </c>
    </row>
    <row r="161" spans="1:6">
      <c r="A161" s="659" t="s">
        <v>867</v>
      </c>
      <c r="B161" s="667" t="s">
        <v>869</v>
      </c>
      <c r="C161" s="667" t="s">
        <v>869</v>
      </c>
      <c r="D161" s="667" t="s">
        <v>869</v>
      </c>
      <c r="E161" s="667" t="s">
        <v>869</v>
      </c>
      <c r="F161" s="667" t="s">
        <v>869</v>
      </c>
    </row>
    <row r="162" spans="1:6">
      <c r="A162" s="659" t="s">
        <v>868</v>
      </c>
      <c r="B162" s="667" t="s">
        <v>869</v>
      </c>
      <c r="C162" s="667" t="s">
        <v>869</v>
      </c>
      <c r="D162" s="667" t="s">
        <v>869</v>
      </c>
      <c r="E162" s="667" t="s">
        <v>869</v>
      </c>
      <c r="F162" s="667" t="s">
        <v>869</v>
      </c>
    </row>
    <row r="163" spans="1:6">
      <c r="A163" s="659" t="s">
        <v>870</v>
      </c>
      <c r="B163" s="667" t="s">
        <v>869</v>
      </c>
      <c r="C163" s="667" t="s">
        <v>869</v>
      </c>
      <c r="D163" s="667" t="s">
        <v>869</v>
      </c>
      <c r="E163" s="667" t="s">
        <v>869</v>
      </c>
      <c r="F163" s="667" t="s">
        <v>869</v>
      </c>
    </row>
    <row r="164" spans="1:6">
      <c r="A164" s="659" t="s">
        <v>871</v>
      </c>
      <c r="B164" s="667" t="s">
        <v>869</v>
      </c>
      <c r="C164" s="667" t="s">
        <v>869</v>
      </c>
      <c r="D164" s="667" t="s">
        <v>869</v>
      </c>
      <c r="E164" s="667" t="s">
        <v>869</v>
      </c>
      <c r="F164" s="667" t="s">
        <v>869</v>
      </c>
    </row>
    <row r="165" spans="1:6">
      <c r="A165" s="659" t="s">
        <v>111</v>
      </c>
      <c r="B165" s="667" t="s">
        <v>869</v>
      </c>
      <c r="C165" s="667" t="s">
        <v>869</v>
      </c>
      <c r="D165" s="667" t="s">
        <v>869</v>
      </c>
      <c r="E165" s="667" t="s">
        <v>869</v>
      </c>
      <c r="F165" s="667" t="s">
        <v>869</v>
      </c>
    </row>
    <row r="166" spans="1:6">
      <c r="A166" s="659" t="s">
        <v>113</v>
      </c>
      <c r="B166" s="667" t="s">
        <v>869</v>
      </c>
      <c r="C166" s="667" t="s">
        <v>869</v>
      </c>
      <c r="D166" s="667" t="s">
        <v>869</v>
      </c>
      <c r="E166" s="667" t="s">
        <v>869</v>
      </c>
      <c r="F166" s="667" t="s">
        <v>869</v>
      </c>
    </row>
    <row r="167" spans="1:6">
      <c r="A167" s="659" t="s">
        <v>120</v>
      </c>
      <c r="B167" s="667" t="s">
        <v>869</v>
      </c>
      <c r="C167" s="667" t="s">
        <v>869</v>
      </c>
      <c r="D167" s="667" t="s">
        <v>869</v>
      </c>
      <c r="E167" s="667" t="s">
        <v>869</v>
      </c>
      <c r="F167" s="667" t="s">
        <v>869</v>
      </c>
    </row>
    <row r="168" spans="1:6">
      <c r="A168" s="659" t="s">
        <v>121</v>
      </c>
      <c r="B168" s="667" t="s">
        <v>869</v>
      </c>
      <c r="C168" s="667" t="s">
        <v>869</v>
      </c>
      <c r="D168" s="667" t="s">
        <v>869</v>
      </c>
      <c r="E168" s="667" t="s">
        <v>869</v>
      </c>
      <c r="F168" s="667" t="s">
        <v>869</v>
      </c>
    </row>
    <row r="169" spans="1:6">
      <c r="A169" s="659" t="s">
        <v>872</v>
      </c>
      <c r="B169" s="667" t="s">
        <v>869</v>
      </c>
      <c r="C169" s="667" t="s">
        <v>869</v>
      </c>
      <c r="D169" s="667" t="s">
        <v>869</v>
      </c>
      <c r="E169" s="667" t="s">
        <v>869</v>
      </c>
      <c r="F169" s="667" t="s">
        <v>869</v>
      </c>
    </row>
    <row r="170" spans="1:6">
      <c r="A170" s="659" t="s">
        <v>873</v>
      </c>
      <c r="B170" s="667" t="s">
        <v>869</v>
      </c>
      <c r="C170" s="667" t="s">
        <v>869</v>
      </c>
      <c r="D170" s="667" t="s">
        <v>869</v>
      </c>
      <c r="E170" s="667" t="s">
        <v>869</v>
      </c>
      <c r="F170" s="667" t="s">
        <v>869</v>
      </c>
    </row>
    <row r="171" spans="1:6">
      <c r="A171" s="659" t="s">
        <v>874</v>
      </c>
      <c r="B171" s="667" t="s">
        <v>869</v>
      </c>
      <c r="C171" s="667" t="s">
        <v>869</v>
      </c>
      <c r="D171" s="667" t="s">
        <v>869</v>
      </c>
      <c r="E171" s="667" t="s">
        <v>869</v>
      </c>
      <c r="F171" s="667" t="s">
        <v>869</v>
      </c>
    </row>
    <row r="172" spans="1:6">
      <c r="A172" s="659" t="s">
        <v>126</v>
      </c>
      <c r="B172" s="667" t="s">
        <v>869</v>
      </c>
      <c r="C172" s="667" t="s">
        <v>869</v>
      </c>
      <c r="D172" s="667" t="s">
        <v>869</v>
      </c>
      <c r="E172" s="667" t="s">
        <v>869</v>
      </c>
      <c r="F172" s="667" t="s">
        <v>869</v>
      </c>
    </row>
    <row r="173" spans="1:6">
      <c r="A173" s="659" t="s">
        <v>149</v>
      </c>
      <c r="B173" s="667" t="s">
        <v>869</v>
      </c>
      <c r="C173" s="667" t="s">
        <v>869</v>
      </c>
      <c r="D173" s="667" t="s">
        <v>869</v>
      </c>
      <c r="E173" s="667" t="s">
        <v>869</v>
      </c>
      <c r="F173" s="667" t="s">
        <v>869</v>
      </c>
    </row>
    <row r="174" spans="1:6">
      <c r="A174" s="659" t="s">
        <v>124</v>
      </c>
      <c r="B174" s="667" t="s">
        <v>869</v>
      </c>
      <c r="C174" s="667" t="s">
        <v>869</v>
      </c>
      <c r="D174" s="667" t="s">
        <v>869</v>
      </c>
      <c r="E174" s="667" t="s">
        <v>869</v>
      </c>
      <c r="F174" s="667" t="s">
        <v>869</v>
      </c>
    </row>
    <row r="175" spans="1:6">
      <c r="A175" s="659" t="s">
        <v>131</v>
      </c>
      <c r="B175" s="667" t="s">
        <v>869</v>
      </c>
      <c r="C175" s="667" t="s">
        <v>869</v>
      </c>
      <c r="D175" s="667" t="s">
        <v>869</v>
      </c>
      <c r="E175" s="667" t="s">
        <v>869</v>
      </c>
      <c r="F175" s="667" t="s">
        <v>869</v>
      </c>
    </row>
    <row r="176" spans="1:6">
      <c r="A176" s="659" t="s">
        <v>875</v>
      </c>
      <c r="B176" s="667" t="s">
        <v>869</v>
      </c>
      <c r="C176" s="667" t="s">
        <v>869</v>
      </c>
      <c r="D176" s="667" t="s">
        <v>869</v>
      </c>
      <c r="E176" s="667" t="s">
        <v>869</v>
      </c>
      <c r="F176" s="667" t="s">
        <v>869</v>
      </c>
    </row>
    <row r="177" spans="1:6">
      <c r="A177" s="659" t="s">
        <v>876</v>
      </c>
      <c r="B177" s="667" t="s">
        <v>869</v>
      </c>
      <c r="C177" s="667" t="s">
        <v>869</v>
      </c>
      <c r="D177" s="667" t="s">
        <v>869</v>
      </c>
      <c r="E177" s="667" t="s">
        <v>869</v>
      </c>
      <c r="F177" s="667" t="s">
        <v>869</v>
      </c>
    </row>
    <row r="178" spans="1:6">
      <c r="A178" s="659" t="s">
        <v>877</v>
      </c>
      <c r="B178" s="667" t="s">
        <v>869</v>
      </c>
      <c r="C178" s="667" t="s">
        <v>869</v>
      </c>
      <c r="D178" s="667" t="s">
        <v>869</v>
      </c>
      <c r="E178" s="667" t="s">
        <v>869</v>
      </c>
      <c r="F178" s="667" t="s">
        <v>869</v>
      </c>
    </row>
    <row r="179" spans="1:6">
      <c r="A179" s="659" t="s">
        <v>878</v>
      </c>
      <c r="B179" s="667" t="s">
        <v>869</v>
      </c>
      <c r="C179" s="667" t="s">
        <v>869</v>
      </c>
      <c r="D179" s="667" t="s">
        <v>869</v>
      </c>
      <c r="E179" s="667" t="s">
        <v>869</v>
      </c>
      <c r="F179" s="667" t="s">
        <v>869</v>
      </c>
    </row>
    <row r="180" spans="1:6">
      <c r="A180" s="659" t="s">
        <v>128</v>
      </c>
      <c r="B180" s="667" t="s">
        <v>869</v>
      </c>
      <c r="C180" s="667" t="s">
        <v>869</v>
      </c>
      <c r="D180" s="667" t="s">
        <v>869</v>
      </c>
      <c r="E180" s="667" t="s">
        <v>869</v>
      </c>
      <c r="F180" s="667" t="s">
        <v>869</v>
      </c>
    </row>
    <row r="181" spans="1:6">
      <c r="A181" s="659" t="s">
        <v>879</v>
      </c>
      <c r="B181" s="667" t="s">
        <v>869</v>
      </c>
      <c r="C181" s="667" t="s">
        <v>869</v>
      </c>
      <c r="D181" s="667" t="s">
        <v>869</v>
      </c>
      <c r="E181" s="667" t="s">
        <v>869</v>
      </c>
      <c r="F181" s="667" t="s">
        <v>869</v>
      </c>
    </row>
    <row r="182" spans="1:6">
      <c r="A182" s="659" t="s">
        <v>137</v>
      </c>
      <c r="B182" s="667" t="s">
        <v>869</v>
      </c>
      <c r="C182" s="667" t="s">
        <v>869</v>
      </c>
      <c r="D182" s="667" t="s">
        <v>869</v>
      </c>
      <c r="E182" s="667" t="s">
        <v>869</v>
      </c>
      <c r="F182" s="667" t="s">
        <v>869</v>
      </c>
    </row>
    <row r="183" spans="1:6">
      <c r="A183" s="659" t="s">
        <v>110</v>
      </c>
      <c r="B183" s="667" t="s">
        <v>869</v>
      </c>
      <c r="C183" s="667" t="s">
        <v>869</v>
      </c>
      <c r="D183" s="667" t="s">
        <v>869</v>
      </c>
      <c r="E183" s="667" t="s">
        <v>869</v>
      </c>
      <c r="F183" s="667" t="s">
        <v>869</v>
      </c>
    </row>
    <row r="184" spans="1:6">
      <c r="A184" s="659" t="s">
        <v>142</v>
      </c>
      <c r="B184" s="667" t="s">
        <v>869</v>
      </c>
      <c r="C184" s="667" t="s">
        <v>869</v>
      </c>
      <c r="D184" s="667" t="s">
        <v>869</v>
      </c>
      <c r="E184" s="667" t="s">
        <v>869</v>
      </c>
      <c r="F184" s="667" t="s">
        <v>869</v>
      </c>
    </row>
    <row r="185" spans="1:6">
      <c r="A185" s="659" t="s">
        <v>143</v>
      </c>
      <c r="B185" s="667" t="s">
        <v>869</v>
      </c>
      <c r="C185" s="667" t="s">
        <v>869</v>
      </c>
      <c r="D185" s="667" t="s">
        <v>869</v>
      </c>
      <c r="E185" s="667" t="s">
        <v>869</v>
      </c>
      <c r="F185" s="667" t="s">
        <v>869</v>
      </c>
    </row>
    <row r="186" spans="1:6">
      <c r="A186" s="659" t="s">
        <v>880</v>
      </c>
      <c r="B186" s="667" t="s">
        <v>869</v>
      </c>
      <c r="C186" s="667" t="s">
        <v>869</v>
      </c>
      <c r="D186" s="667" t="s">
        <v>869</v>
      </c>
      <c r="E186" s="667" t="s">
        <v>869</v>
      </c>
      <c r="F186" s="667" t="s">
        <v>869</v>
      </c>
    </row>
    <row r="187" spans="1:6">
      <c r="A187" s="659" t="s">
        <v>881</v>
      </c>
      <c r="B187" s="667" t="s">
        <v>869</v>
      </c>
      <c r="C187" s="667" t="s">
        <v>869</v>
      </c>
      <c r="D187" s="667" t="s">
        <v>869</v>
      </c>
      <c r="E187" s="667" t="s">
        <v>869</v>
      </c>
      <c r="F187" s="667" t="s">
        <v>869</v>
      </c>
    </row>
    <row r="188" spans="1:6">
      <c r="A188" s="659" t="s">
        <v>147</v>
      </c>
      <c r="B188" s="667" t="s">
        <v>869</v>
      </c>
      <c r="C188" s="667" t="s">
        <v>869</v>
      </c>
      <c r="D188" s="667" t="s">
        <v>869</v>
      </c>
      <c r="E188" s="667" t="s">
        <v>869</v>
      </c>
      <c r="F188" s="667" t="s">
        <v>869</v>
      </c>
    </row>
    <row r="189" spans="1:6">
      <c r="A189" s="659" t="s">
        <v>123</v>
      </c>
      <c r="B189" s="667" t="s">
        <v>869</v>
      </c>
      <c r="C189" s="667" t="s">
        <v>869</v>
      </c>
      <c r="D189" s="667" t="s">
        <v>869</v>
      </c>
      <c r="E189" s="667" t="s">
        <v>869</v>
      </c>
      <c r="F189" s="667" t="s">
        <v>869</v>
      </c>
    </row>
    <row r="190" spans="1:6">
      <c r="A190" s="659" t="s">
        <v>150</v>
      </c>
      <c r="B190" s="667" t="s">
        <v>869</v>
      </c>
      <c r="C190" s="667" t="s">
        <v>869</v>
      </c>
      <c r="D190" s="667" t="s">
        <v>869</v>
      </c>
      <c r="E190" s="667" t="s">
        <v>869</v>
      </c>
      <c r="F190" s="667" t="s">
        <v>869</v>
      </c>
    </row>
    <row r="191" spans="1:6">
      <c r="A191" s="659" t="s">
        <v>157</v>
      </c>
      <c r="B191" s="667" t="s">
        <v>869</v>
      </c>
      <c r="C191" s="667" t="s">
        <v>869</v>
      </c>
      <c r="D191" s="667" t="s">
        <v>869</v>
      </c>
      <c r="E191" s="667" t="s">
        <v>869</v>
      </c>
      <c r="F191" s="667" t="s">
        <v>869</v>
      </c>
    </row>
    <row r="192" spans="1:6">
      <c r="A192" s="659" t="s">
        <v>882</v>
      </c>
      <c r="B192" s="667" t="s">
        <v>869</v>
      </c>
      <c r="C192" s="667" t="s">
        <v>869</v>
      </c>
      <c r="D192" s="667" t="s">
        <v>869</v>
      </c>
      <c r="E192" s="667" t="s">
        <v>869</v>
      </c>
      <c r="F192" s="667" t="s">
        <v>869</v>
      </c>
    </row>
    <row r="193" spans="1:6">
      <c r="A193" s="659" t="s">
        <v>883</v>
      </c>
      <c r="B193" s="667" t="s">
        <v>869</v>
      </c>
      <c r="C193" s="667" t="s">
        <v>869</v>
      </c>
      <c r="D193" s="667" t="s">
        <v>869</v>
      </c>
      <c r="E193" s="667" t="s">
        <v>869</v>
      </c>
      <c r="F193" s="667" t="s">
        <v>869</v>
      </c>
    </row>
    <row r="194" spans="1:6">
      <c r="A194" s="659" t="s">
        <v>884</v>
      </c>
      <c r="B194" s="667" t="s">
        <v>869</v>
      </c>
      <c r="C194" s="667" t="s">
        <v>869</v>
      </c>
      <c r="D194" s="667" t="s">
        <v>869</v>
      </c>
      <c r="E194" s="667" t="s">
        <v>869</v>
      </c>
      <c r="F194" s="667" t="s">
        <v>869</v>
      </c>
    </row>
    <row r="195" spans="1:6">
      <c r="A195" s="659" t="s">
        <v>885</v>
      </c>
      <c r="B195" s="667" t="s">
        <v>869</v>
      </c>
      <c r="C195" s="667" t="s">
        <v>869</v>
      </c>
      <c r="D195" s="667" t="s">
        <v>869</v>
      </c>
      <c r="E195" s="667" t="s">
        <v>869</v>
      </c>
      <c r="F195" s="667" t="s">
        <v>869</v>
      </c>
    </row>
    <row r="196" spans="1:6">
      <c r="A196" s="659" t="s">
        <v>139</v>
      </c>
      <c r="B196" s="667" t="s">
        <v>869</v>
      </c>
      <c r="C196" s="667" t="s">
        <v>869</v>
      </c>
      <c r="D196" s="667" t="s">
        <v>869</v>
      </c>
      <c r="E196" s="667" t="s">
        <v>869</v>
      </c>
      <c r="F196" s="667" t="s">
        <v>869</v>
      </c>
    </row>
    <row r="197" spans="1:6">
      <c r="A197" s="659" t="s">
        <v>151</v>
      </c>
      <c r="B197" s="667" t="s">
        <v>869</v>
      </c>
      <c r="C197" s="667" t="s">
        <v>869</v>
      </c>
      <c r="D197" s="667" t="s">
        <v>869</v>
      </c>
      <c r="E197" s="667" t="s">
        <v>869</v>
      </c>
      <c r="F197" s="667" t="s">
        <v>869</v>
      </c>
    </row>
    <row r="198" spans="1:6">
      <c r="A198" s="659" t="s">
        <v>154</v>
      </c>
      <c r="B198" s="667" t="s">
        <v>869</v>
      </c>
      <c r="C198" s="667" t="s">
        <v>869</v>
      </c>
      <c r="D198" s="667" t="s">
        <v>869</v>
      </c>
      <c r="E198" s="667" t="s">
        <v>869</v>
      </c>
      <c r="F198" s="667" t="s">
        <v>869</v>
      </c>
    </row>
    <row r="199" spans="1:6">
      <c r="A199" s="659" t="s">
        <v>886</v>
      </c>
      <c r="B199" s="667" t="s">
        <v>869</v>
      </c>
      <c r="C199" s="667" t="s">
        <v>869</v>
      </c>
      <c r="D199" s="667" t="s">
        <v>869</v>
      </c>
      <c r="E199" s="667" t="s">
        <v>869</v>
      </c>
      <c r="F199" s="667" t="s">
        <v>869</v>
      </c>
    </row>
    <row r="200" spans="1:6">
      <c r="A200" s="659" t="s">
        <v>887</v>
      </c>
      <c r="B200" s="667" t="s">
        <v>869</v>
      </c>
      <c r="C200" s="667" t="s">
        <v>869</v>
      </c>
      <c r="D200" s="667" t="s">
        <v>869</v>
      </c>
      <c r="E200" s="667" t="s">
        <v>869</v>
      </c>
      <c r="F200" s="667" t="s">
        <v>869</v>
      </c>
    </row>
    <row r="201" spans="1:6">
      <c r="A201" s="659" t="s">
        <v>888</v>
      </c>
      <c r="B201" s="667" t="s">
        <v>869</v>
      </c>
      <c r="C201" s="667" t="s">
        <v>869</v>
      </c>
      <c r="D201" s="667" t="s">
        <v>869</v>
      </c>
      <c r="E201" s="667" t="s">
        <v>869</v>
      </c>
      <c r="F201" s="667" t="s">
        <v>869</v>
      </c>
    </row>
    <row r="202" spans="1:6">
      <c r="A202" s="659" t="s">
        <v>23</v>
      </c>
      <c r="B202" s="667" t="s">
        <v>869</v>
      </c>
      <c r="C202" s="667" t="s">
        <v>869</v>
      </c>
      <c r="D202" s="667" t="s">
        <v>869</v>
      </c>
      <c r="E202" s="667" t="s">
        <v>869</v>
      </c>
      <c r="F202" s="667" t="s">
        <v>869</v>
      </c>
    </row>
    <row r="203" spans="1:6">
      <c r="A203" s="659" t="s">
        <v>148</v>
      </c>
      <c r="B203" s="667" t="s">
        <v>869</v>
      </c>
      <c r="C203" s="667" t="s">
        <v>869</v>
      </c>
      <c r="D203" s="667" t="s">
        <v>869</v>
      </c>
      <c r="E203" s="667" t="s">
        <v>869</v>
      </c>
      <c r="F203" s="667" t="s">
        <v>869</v>
      </c>
    </row>
    <row r="204" spans="1:6">
      <c r="A204" s="659" t="s">
        <v>889</v>
      </c>
      <c r="B204" s="667" t="s">
        <v>869</v>
      </c>
      <c r="C204" s="667" t="s">
        <v>869</v>
      </c>
      <c r="D204" s="667" t="s">
        <v>869</v>
      </c>
      <c r="E204" s="667" t="s">
        <v>869</v>
      </c>
      <c r="F204" s="667" t="s">
        <v>869</v>
      </c>
    </row>
    <row r="205" spans="1:6">
      <c r="A205" s="659" t="s">
        <v>890</v>
      </c>
      <c r="B205" s="667" t="s">
        <v>869</v>
      </c>
      <c r="C205" s="667" t="s">
        <v>869</v>
      </c>
      <c r="D205" s="667" t="s">
        <v>869</v>
      </c>
      <c r="E205" s="667" t="s">
        <v>869</v>
      </c>
      <c r="F205" s="667" t="s">
        <v>869</v>
      </c>
    </row>
    <row r="206" spans="1:6">
      <c r="A206" s="659" t="s">
        <v>891</v>
      </c>
      <c r="B206" s="667" t="s">
        <v>869</v>
      </c>
      <c r="C206" s="667" t="s">
        <v>869</v>
      </c>
      <c r="D206" s="667" t="s">
        <v>869</v>
      </c>
      <c r="E206" s="667" t="s">
        <v>869</v>
      </c>
      <c r="F206" s="667" t="s">
        <v>869</v>
      </c>
    </row>
    <row r="207" spans="1:6">
      <c r="A207" s="659" t="s">
        <v>892</v>
      </c>
      <c r="B207" s="667" t="s">
        <v>869</v>
      </c>
      <c r="C207" s="667" t="s">
        <v>869</v>
      </c>
      <c r="D207" s="667" t="s">
        <v>869</v>
      </c>
      <c r="E207" s="667" t="s">
        <v>869</v>
      </c>
      <c r="F207" s="667" t="s">
        <v>869</v>
      </c>
    </row>
    <row r="208" spans="1:6">
      <c r="A208" s="659" t="s">
        <v>893</v>
      </c>
      <c r="B208" s="667" t="s">
        <v>869</v>
      </c>
      <c r="C208" s="667" t="s">
        <v>869</v>
      </c>
      <c r="D208" s="667" t="s">
        <v>869</v>
      </c>
      <c r="E208" s="667" t="s">
        <v>869</v>
      </c>
      <c r="F208" s="667" t="s">
        <v>869</v>
      </c>
    </row>
    <row r="209" spans="1:6">
      <c r="A209" s="659" t="s">
        <v>108</v>
      </c>
      <c r="B209" s="667" t="s">
        <v>869</v>
      </c>
      <c r="C209" s="667" t="s">
        <v>869</v>
      </c>
      <c r="D209" s="667" t="s">
        <v>869</v>
      </c>
      <c r="E209" s="667" t="s">
        <v>869</v>
      </c>
      <c r="F209" s="667" t="s">
        <v>869</v>
      </c>
    </row>
    <row r="210" spans="1:6">
      <c r="A210" s="659" t="s">
        <v>112</v>
      </c>
      <c r="B210" s="667" t="s">
        <v>869</v>
      </c>
      <c r="C210" s="667" t="s">
        <v>869</v>
      </c>
      <c r="D210" s="667" t="s">
        <v>869</v>
      </c>
      <c r="E210" s="667" t="s">
        <v>869</v>
      </c>
      <c r="F210" s="667" t="s">
        <v>869</v>
      </c>
    </row>
    <row r="211" spans="1:6">
      <c r="A211" s="659" t="s">
        <v>894</v>
      </c>
      <c r="B211" s="667" t="s">
        <v>869</v>
      </c>
      <c r="C211" s="667" t="s">
        <v>869</v>
      </c>
      <c r="D211" s="667" t="s">
        <v>869</v>
      </c>
      <c r="E211" s="667" t="s">
        <v>869</v>
      </c>
      <c r="F211" s="667" t="s">
        <v>869</v>
      </c>
    </row>
    <row r="212" spans="1:6">
      <c r="A212" s="659" t="s">
        <v>895</v>
      </c>
      <c r="B212" s="667" t="s">
        <v>869</v>
      </c>
      <c r="C212" s="667" t="s">
        <v>869</v>
      </c>
      <c r="D212" s="667" t="s">
        <v>869</v>
      </c>
      <c r="E212" s="667" t="s">
        <v>869</v>
      </c>
      <c r="F212" s="667" t="s">
        <v>869</v>
      </c>
    </row>
    <row r="213" spans="1:6">
      <c r="A213" s="659" t="s">
        <v>896</v>
      </c>
      <c r="B213" s="667" t="s">
        <v>869</v>
      </c>
      <c r="C213" s="667" t="s">
        <v>869</v>
      </c>
      <c r="D213" s="667" t="s">
        <v>869</v>
      </c>
      <c r="E213" s="667" t="s">
        <v>869</v>
      </c>
      <c r="F213" s="667" t="s">
        <v>869</v>
      </c>
    </row>
    <row r="214" spans="1:6">
      <c r="A214" s="659" t="s">
        <v>132</v>
      </c>
      <c r="B214" s="667" t="s">
        <v>869</v>
      </c>
      <c r="C214" s="667" t="s">
        <v>869</v>
      </c>
      <c r="D214" s="667" t="s">
        <v>869</v>
      </c>
      <c r="E214" s="667" t="s">
        <v>869</v>
      </c>
      <c r="F214" s="667" t="s">
        <v>869</v>
      </c>
    </row>
    <row r="215" spans="1:6">
      <c r="A215" s="659" t="s">
        <v>897</v>
      </c>
      <c r="B215" s="667" t="s">
        <v>869</v>
      </c>
      <c r="C215" s="667" t="s">
        <v>869</v>
      </c>
      <c r="D215" s="667" t="s">
        <v>869</v>
      </c>
      <c r="E215" s="667" t="s">
        <v>869</v>
      </c>
      <c r="F215" s="667" t="s">
        <v>869</v>
      </c>
    </row>
    <row r="216" spans="1:6">
      <c r="A216" s="659" t="s">
        <v>898</v>
      </c>
      <c r="B216" s="667" t="s">
        <v>869</v>
      </c>
      <c r="C216" s="667" t="s">
        <v>869</v>
      </c>
      <c r="D216" s="667" t="s">
        <v>869</v>
      </c>
      <c r="E216" s="667" t="s">
        <v>869</v>
      </c>
      <c r="F216" s="667" t="s">
        <v>869</v>
      </c>
    </row>
    <row r="217" spans="1:6">
      <c r="A217" s="659" t="s">
        <v>899</v>
      </c>
      <c r="B217" s="667" t="s">
        <v>869</v>
      </c>
      <c r="C217" s="667" t="s">
        <v>869</v>
      </c>
      <c r="D217" s="667" t="s">
        <v>869</v>
      </c>
      <c r="E217" s="667" t="s">
        <v>869</v>
      </c>
      <c r="F217" s="667" t="s">
        <v>869</v>
      </c>
    </row>
    <row r="218" spans="1:6">
      <c r="A218" s="659" t="s">
        <v>109</v>
      </c>
      <c r="B218" s="667" t="s">
        <v>869</v>
      </c>
      <c r="C218" s="667" t="s">
        <v>869</v>
      </c>
      <c r="D218" s="667" t="s">
        <v>869</v>
      </c>
      <c r="E218" s="667" t="s">
        <v>869</v>
      </c>
      <c r="F218" s="667" t="s">
        <v>869</v>
      </c>
    </row>
    <row r="219" spans="1:6">
      <c r="A219" s="659" t="s">
        <v>900</v>
      </c>
      <c r="B219" s="667" t="s">
        <v>869</v>
      </c>
      <c r="C219" s="667" t="s">
        <v>869</v>
      </c>
      <c r="D219" s="667" t="s">
        <v>869</v>
      </c>
      <c r="E219" s="667" t="s">
        <v>869</v>
      </c>
      <c r="F219" s="667" t="s">
        <v>869</v>
      </c>
    </row>
    <row r="220" spans="1:6">
      <c r="A220" s="659" t="s">
        <v>901</v>
      </c>
      <c r="B220" s="667" t="s">
        <v>869</v>
      </c>
      <c r="C220" s="667" t="s">
        <v>869</v>
      </c>
      <c r="D220" s="667" t="s">
        <v>869</v>
      </c>
      <c r="E220" s="667" t="s">
        <v>869</v>
      </c>
      <c r="F220" s="667" t="s">
        <v>869</v>
      </c>
    </row>
    <row r="221" spans="1:6">
      <c r="A221" s="659" t="s">
        <v>526</v>
      </c>
      <c r="B221" s="667" t="s">
        <v>869</v>
      </c>
      <c r="C221" s="667" t="s">
        <v>869</v>
      </c>
      <c r="D221" s="667" t="s">
        <v>869</v>
      </c>
      <c r="E221" s="667" t="s">
        <v>869</v>
      </c>
      <c r="F221" s="667" t="s">
        <v>869</v>
      </c>
    </row>
    <row r="222" spans="1:6">
      <c r="A222" s="659" t="s">
        <v>527</v>
      </c>
      <c r="B222" s="667" t="s">
        <v>869</v>
      </c>
      <c r="C222" s="667" t="s">
        <v>869</v>
      </c>
      <c r="D222" s="667" t="s">
        <v>869</v>
      </c>
      <c r="E222" s="667" t="s">
        <v>869</v>
      </c>
      <c r="F222" s="667" t="s">
        <v>869</v>
      </c>
    </row>
    <row r="223" spans="1:6">
      <c r="A223" s="659" t="s">
        <v>902</v>
      </c>
      <c r="B223" s="667" t="s">
        <v>869</v>
      </c>
      <c r="C223" s="667" t="s">
        <v>869</v>
      </c>
      <c r="D223" s="667" t="s">
        <v>869</v>
      </c>
      <c r="E223" s="667" t="s">
        <v>869</v>
      </c>
      <c r="F223" s="667" t="s">
        <v>869</v>
      </c>
    </row>
    <row r="224" spans="1:6">
      <c r="A224" s="659" t="s">
        <v>903</v>
      </c>
      <c r="B224" s="667" t="s">
        <v>869</v>
      </c>
      <c r="C224" s="667" t="s">
        <v>869</v>
      </c>
      <c r="D224" s="667" t="s">
        <v>869</v>
      </c>
      <c r="E224" s="667" t="s">
        <v>869</v>
      </c>
      <c r="F224" s="667" t="s">
        <v>869</v>
      </c>
    </row>
    <row r="226" spans="1:6">
      <c r="A226" s="662" t="s">
        <v>904</v>
      </c>
    </row>
    <row r="227" spans="1:6">
      <c r="A227" s="662" t="s">
        <v>869</v>
      </c>
      <c r="B227" s="662" t="s">
        <v>905</v>
      </c>
    </row>
    <row r="229" spans="1:6">
      <c r="A229" s="662" t="s">
        <v>855</v>
      </c>
      <c r="B229" s="662" t="s">
        <v>856</v>
      </c>
    </row>
    <row r="230" spans="1:6">
      <c r="A230" s="662" t="s">
        <v>857</v>
      </c>
      <c r="B230" s="662" t="s">
        <v>858</v>
      </c>
    </row>
    <row r="231" spans="1:6">
      <c r="A231" s="662" t="s">
        <v>859</v>
      </c>
      <c r="B231" s="662" t="s">
        <v>907</v>
      </c>
    </row>
    <row r="232" spans="1:6">
      <c r="A232" s="662" t="s">
        <v>860</v>
      </c>
      <c r="B232" s="662" t="s">
        <v>150</v>
      </c>
    </row>
    <row r="234" spans="1:6">
      <c r="A234" s="659" t="s">
        <v>861</v>
      </c>
      <c r="B234" s="659" t="s">
        <v>862</v>
      </c>
      <c r="C234" s="659" t="s">
        <v>863</v>
      </c>
      <c r="D234" s="659" t="s">
        <v>864</v>
      </c>
      <c r="E234" s="659" t="s">
        <v>865</v>
      </c>
      <c r="F234" s="659" t="s">
        <v>866</v>
      </c>
    </row>
    <row r="235" spans="1:6">
      <c r="A235" s="659" t="s">
        <v>867</v>
      </c>
      <c r="B235" s="660">
        <v>1568000</v>
      </c>
      <c r="C235" s="660">
        <v>1606000</v>
      </c>
      <c r="D235" s="660">
        <v>1237000</v>
      </c>
      <c r="E235" s="660">
        <v>1577000</v>
      </c>
      <c r="F235" s="660">
        <v>1774000</v>
      </c>
    </row>
    <row r="236" spans="1:6">
      <c r="A236" s="659" t="s">
        <v>868</v>
      </c>
      <c r="B236" s="667" t="s">
        <v>869</v>
      </c>
      <c r="C236" s="667" t="s">
        <v>869</v>
      </c>
      <c r="D236" s="667" t="s">
        <v>869</v>
      </c>
      <c r="E236" s="667" t="s">
        <v>869</v>
      </c>
      <c r="F236" s="667" t="s">
        <v>869</v>
      </c>
    </row>
    <row r="237" spans="1:6">
      <c r="A237" s="659" t="s">
        <v>870</v>
      </c>
      <c r="B237" s="667" t="s">
        <v>869</v>
      </c>
      <c r="C237" s="667" t="s">
        <v>869</v>
      </c>
      <c r="D237" s="667" t="s">
        <v>869</v>
      </c>
      <c r="E237" s="667" t="s">
        <v>869</v>
      </c>
      <c r="F237" s="667" t="s">
        <v>869</v>
      </c>
    </row>
    <row r="238" spans="1:6">
      <c r="A238" s="659" t="s">
        <v>871</v>
      </c>
      <c r="B238" s="660">
        <v>972000</v>
      </c>
      <c r="C238" s="660">
        <v>1016000</v>
      </c>
      <c r="D238" s="660">
        <v>736000</v>
      </c>
      <c r="E238" s="660">
        <v>1074000</v>
      </c>
      <c r="F238" s="660">
        <v>1081000</v>
      </c>
    </row>
    <row r="239" spans="1:6">
      <c r="A239" s="659" t="s">
        <v>111</v>
      </c>
      <c r="B239" s="660">
        <v>70000</v>
      </c>
      <c r="C239" s="660">
        <v>78000</v>
      </c>
      <c r="D239" s="660">
        <v>37000</v>
      </c>
      <c r="E239" s="660">
        <v>89000</v>
      </c>
      <c r="F239" s="660">
        <v>47000</v>
      </c>
    </row>
    <row r="240" spans="1:6">
      <c r="A240" s="659" t="s">
        <v>113</v>
      </c>
      <c r="B240" s="660">
        <v>6000</v>
      </c>
      <c r="C240" s="660">
        <v>6000</v>
      </c>
      <c r="D240" s="660">
        <v>6000</v>
      </c>
      <c r="E240" s="660">
        <v>5000</v>
      </c>
      <c r="F240" s="660">
        <v>7000</v>
      </c>
    </row>
    <row r="241" spans="1:6">
      <c r="A241" s="659" t="s">
        <v>120</v>
      </c>
      <c r="B241" s="660">
        <v>39000</v>
      </c>
      <c r="C241" s="660">
        <v>5000</v>
      </c>
      <c r="D241" s="660">
        <v>15000</v>
      </c>
      <c r="E241" s="660">
        <v>9000</v>
      </c>
      <c r="F241" s="660">
        <v>13000</v>
      </c>
    </row>
    <row r="242" spans="1:6">
      <c r="A242" s="659" t="s">
        <v>121</v>
      </c>
      <c r="B242" s="660">
        <v>245000</v>
      </c>
      <c r="C242" s="660">
        <v>281000</v>
      </c>
      <c r="D242" s="660">
        <v>184000</v>
      </c>
      <c r="E242" s="660">
        <v>207000</v>
      </c>
      <c r="F242" s="660">
        <v>308000</v>
      </c>
    </row>
    <row r="243" spans="1:6">
      <c r="A243" s="659" t="s">
        <v>872</v>
      </c>
      <c r="B243" s="660">
        <v>286000</v>
      </c>
      <c r="C243" s="660">
        <v>255000</v>
      </c>
      <c r="D243" s="660">
        <v>273000</v>
      </c>
      <c r="E243" s="660">
        <v>306000</v>
      </c>
      <c r="F243" s="660">
        <v>325000</v>
      </c>
    </row>
    <row r="244" spans="1:6">
      <c r="A244" s="659" t="s">
        <v>873</v>
      </c>
      <c r="B244" s="660">
        <v>21000</v>
      </c>
      <c r="C244" s="660">
        <v>20000</v>
      </c>
      <c r="D244" s="660">
        <v>9000</v>
      </c>
      <c r="E244" s="660">
        <v>39000</v>
      </c>
      <c r="F244" s="660">
        <v>21000</v>
      </c>
    </row>
    <row r="245" spans="1:6">
      <c r="A245" s="659" t="s">
        <v>874</v>
      </c>
      <c r="B245" s="660">
        <v>9000</v>
      </c>
      <c r="C245" s="660">
        <v>18000</v>
      </c>
      <c r="D245" s="660">
        <v>0</v>
      </c>
      <c r="E245" s="660">
        <v>3000</v>
      </c>
      <c r="F245" s="660">
        <v>9000</v>
      </c>
    </row>
    <row r="246" spans="1:6">
      <c r="A246" s="659" t="s">
        <v>126</v>
      </c>
      <c r="B246" s="660">
        <v>60000</v>
      </c>
      <c r="C246" s="660">
        <v>46000</v>
      </c>
      <c r="D246" s="660">
        <v>57000</v>
      </c>
      <c r="E246" s="660">
        <v>58000</v>
      </c>
      <c r="F246" s="660">
        <v>107000</v>
      </c>
    </row>
    <row r="247" spans="1:6">
      <c r="A247" s="659" t="s">
        <v>149</v>
      </c>
      <c r="B247" s="660">
        <v>67000</v>
      </c>
      <c r="C247" s="660">
        <v>114000</v>
      </c>
      <c r="D247" s="660">
        <v>45000</v>
      </c>
      <c r="E247" s="660">
        <v>129000</v>
      </c>
      <c r="F247" s="660">
        <v>72000</v>
      </c>
    </row>
    <row r="248" spans="1:6">
      <c r="A248" s="659" t="s">
        <v>124</v>
      </c>
      <c r="B248" s="660">
        <v>11000</v>
      </c>
      <c r="C248" s="660">
        <v>3000</v>
      </c>
      <c r="D248" s="660">
        <v>0</v>
      </c>
      <c r="E248" s="660">
        <v>9000</v>
      </c>
      <c r="F248" s="660">
        <v>15000</v>
      </c>
    </row>
    <row r="249" spans="1:6">
      <c r="A249" s="659" t="s">
        <v>131</v>
      </c>
      <c r="B249" s="660">
        <v>106000</v>
      </c>
      <c r="C249" s="660">
        <v>96000</v>
      </c>
      <c r="D249" s="660">
        <v>55000</v>
      </c>
      <c r="E249" s="660">
        <v>83000</v>
      </c>
      <c r="F249" s="660">
        <v>74000</v>
      </c>
    </row>
    <row r="250" spans="1:6">
      <c r="A250" s="659" t="s">
        <v>875</v>
      </c>
      <c r="B250" s="667" t="s">
        <v>869</v>
      </c>
      <c r="C250" s="660">
        <v>15000</v>
      </c>
      <c r="D250" s="660">
        <v>0</v>
      </c>
      <c r="E250" s="667" t="s">
        <v>869</v>
      </c>
      <c r="F250" s="660">
        <v>8000</v>
      </c>
    </row>
    <row r="251" spans="1:6">
      <c r="A251" s="659" t="s">
        <v>876</v>
      </c>
      <c r="B251" s="660">
        <v>8000</v>
      </c>
      <c r="C251" s="660">
        <v>17000</v>
      </c>
      <c r="D251" s="660">
        <v>48000</v>
      </c>
      <c r="E251" s="660">
        <v>15000</v>
      </c>
      <c r="F251" s="660">
        <v>19000</v>
      </c>
    </row>
    <row r="252" spans="1:6">
      <c r="A252" s="659" t="s">
        <v>877</v>
      </c>
      <c r="B252" s="660">
        <v>26000</v>
      </c>
      <c r="C252" s="660">
        <v>9000</v>
      </c>
      <c r="D252" s="660">
        <v>8000</v>
      </c>
      <c r="E252" s="660">
        <v>5000</v>
      </c>
      <c r="F252" s="660">
        <v>21000</v>
      </c>
    </row>
    <row r="253" spans="1:6">
      <c r="A253" s="659" t="s">
        <v>878</v>
      </c>
      <c r="B253" s="660">
        <v>20000</v>
      </c>
      <c r="C253" s="660">
        <v>6000</v>
      </c>
      <c r="D253" s="660">
        <v>0</v>
      </c>
      <c r="E253" s="667" t="s">
        <v>869</v>
      </c>
      <c r="F253" s="667" t="s">
        <v>869</v>
      </c>
    </row>
    <row r="254" spans="1:6">
      <c r="A254" s="659" t="s">
        <v>128</v>
      </c>
      <c r="B254" s="660">
        <v>10000</v>
      </c>
      <c r="C254" s="660">
        <v>7000</v>
      </c>
      <c r="D254" s="660">
        <v>28000</v>
      </c>
      <c r="E254" s="660">
        <v>9000</v>
      </c>
      <c r="F254" s="660">
        <v>7000</v>
      </c>
    </row>
    <row r="255" spans="1:6">
      <c r="A255" s="659" t="s">
        <v>879</v>
      </c>
      <c r="B255" s="660">
        <v>6000</v>
      </c>
      <c r="C255" s="660">
        <v>3000</v>
      </c>
      <c r="D255" s="660">
        <v>3000</v>
      </c>
      <c r="E255" s="667" t="s">
        <v>869</v>
      </c>
      <c r="F255" s="660">
        <v>5000</v>
      </c>
    </row>
    <row r="256" spans="1:6">
      <c r="A256" s="659" t="s">
        <v>137</v>
      </c>
      <c r="B256" s="660">
        <v>79000</v>
      </c>
      <c r="C256" s="660">
        <v>96000</v>
      </c>
      <c r="D256" s="660">
        <v>31000</v>
      </c>
      <c r="E256" s="660">
        <v>53000</v>
      </c>
      <c r="F256" s="660">
        <v>126000</v>
      </c>
    </row>
    <row r="257" spans="1:6">
      <c r="A257" s="659" t="s">
        <v>110</v>
      </c>
      <c r="B257" s="660">
        <v>22000</v>
      </c>
      <c r="C257" s="660">
        <v>24000</v>
      </c>
      <c r="D257" s="660">
        <v>30000</v>
      </c>
      <c r="E257" s="660">
        <v>57000</v>
      </c>
      <c r="F257" s="660">
        <v>40000</v>
      </c>
    </row>
    <row r="258" spans="1:6">
      <c r="A258" s="659" t="s">
        <v>142</v>
      </c>
      <c r="B258" s="660">
        <v>24000</v>
      </c>
      <c r="C258" s="660">
        <v>63000</v>
      </c>
      <c r="D258" s="660">
        <v>14000</v>
      </c>
      <c r="E258" s="660">
        <v>41000</v>
      </c>
      <c r="F258" s="660">
        <v>100000</v>
      </c>
    </row>
    <row r="259" spans="1:6">
      <c r="A259" s="659" t="s">
        <v>143</v>
      </c>
      <c r="B259" s="660">
        <v>27000</v>
      </c>
      <c r="C259" s="660">
        <v>14000</v>
      </c>
      <c r="D259" s="660">
        <v>9000</v>
      </c>
      <c r="E259" s="660">
        <v>8000</v>
      </c>
      <c r="F259" s="667" t="s">
        <v>869</v>
      </c>
    </row>
    <row r="260" spans="1:6">
      <c r="A260" s="659" t="s">
        <v>880</v>
      </c>
      <c r="B260" s="667" t="s">
        <v>869</v>
      </c>
      <c r="C260" s="667" t="s">
        <v>869</v>
      </c>
      <c r="D260" s="660">
        <v>0</v>
      </c>
      <c r="E260" s="667" t="s">
        <v>869</v>
      </c>
      <c r="F260" s="660">
        <v>18000</v>
      </c>
    </row>
    <row r="261" spans="1:6">
      <c r="A261" s="659" t="s">
        <v>881</v>
      </c>
      <c r="B261" s="660">
        <v>4000</v>
      </c>
      <c r="C261" s="660">
        <v>21000</v>
      </c>
      <c r="D261" s="660">
        <v>0</v>
      </c>
      <c r="E261" s="667" t="s">
        <v>869</v>
      </c>
      <c r="F261" s="660">
        <v>5000</v>
      </c>
    </row>
    <row r="262" spans="1:6">
      <c r="A262" s="659" t="s">
        <v>147</v>
      </c>
      <c r="B262" s="660">
        <v>12000</v>
      </c>
      <c r="C262" s="667" t="s">
        <v>869</v>
      </c>
      <c r="D262" s="660">
        <v>11000</v>
      </c>
      <c r="E262" s="667" t="s">
        <v>869</v>
      </c>
      <c r="F262" s="660">
        <v>13000</v>
      </c>
    </row>
    <row r="263" spans="1:6">
      <c r="A263" s="659" t="s">
        <v>123</v>
      </c>
      <c r="B263" s="660">
        <v>212000</v>
      </c>
      <c r="C263" s="660">
        <v>227000</v>
      </c>
      <c r="D263" s="660">
        <v>185000</v>
      </c>
      <c r="E263" s="660">
        <v>277000</v>
      </c>
      <c r="F263" s="660">
        <v>214000</v>
      </c>
    </row>
    <row r="264" spans="1:6">
      <c r="A264" s="659" t="s">
        <v>150</v>
      </c>
      <c r="B264" s="667" t="s">
        <v>869</v>
      </c>
      <c r="C264" s="667" t="s">
        <v>869</v>
      </c>
      <c r="D264" s="660">
        <v>0</v>
      </c>
      <c r="E264" s="667" t="s">
        <v>869</v>
      </c>
      <c r="F264" s="667" t="s">
        <v>869</v>
      </c>
    </row>
    <row r="265" spans="1:6">
      <c r="A265" s="659" t="s">
        <v>157</v>
      </c>
      <c r="B265" s="660">
        <v>199000</v>
      </c>
      <c r="C265" s="660">
        <v>182000</v>
      </c>
      <c r="D265" s="660">
        <v>189000</v>
      </c>
      <c r="E265" s="660">
        <v>172000</v>
      </c>
      <c r="F265" s="660">
        <v>201000</v>
      </c>
    </row>
    <row r="266" spans="1:6">
      <c r="A266" s="659" t="s">
        <v>882</v>
      </c>
      <c r="B266" s="660">
        <v>1844000</v>
      </c>
      <c r="C266" s="660">
        <v>1844000</v>
      </c>
      <c r="D266" s="660">
        <v>1455000</v>
      </c>
      <c r="E266" s="660">
        <v>1869000</v>
      </c>
      <c r="F266" s="660">
        <v>2115000</v>
      </c>
    </row>
    <row r="267" spans="1:6">
      <c r="A267" s="659" t="s">
        <v>883</v>
      </c>
      <c r="B267" s="667" t="s">
        <v>869</v>
      </c>
      <c r="C267" s="667" t="s">
        <v>869</v>
      </c>
      <c r="D267" s="667" t="s">
        <v>869</v>
      </c>
      <c r="E267" s="667" t="s">
        <v>869</v>
      </c>
      <c r="F267" s="667" t="s">
        <v>869</v>
      </c>
    </row>
    <row r="268" spans="1:6">
      <c r="A268" s="659" t="s">
        <v>884</v>
      </c>
      <c r="B268" s="660">
        <v>291000</v>
      </c>
      <c r="C268" s="660">
        <v>277000</v>
      </c>
      <c r="D268" s="660">
        <v>277000</v>
      </c>
      <c r="E268" s="660">
        <v>328000</v>
      </c>
      <c r="F268" s="660">
        <v>342000</v>
      </c>
    </row>
    <row r="269" spans="1:6">
      <c r="A269" s="659" t="s">
        <v>885</v>
      </c>
      <c r="B269" s="660">
        <v>12000</v>
      </c>
      <c r="C269" s="660">
        <v>14000</v>
      </c>
      <c r="D269" s="660">
        <v>18000</v>
      </c>
      <c r="E269" s="660">
        <v>4000</v>
      </c>
      <c r="F269" s="660">
        <v>22000</v>
      </c>
    </row>
    <row r="270" spans="1:6">
      <c r="A270" s="659" t="s">
        <v>139</v>
      </c>
      <c r="B270" s="660">
        <v>264000</v>
      </c>
      <c r="C270" s="660">
        <v>225000</v>
      </c>
      <c r="D270" s="660">
        <v>200000</v>
      </c>
      <c r="E270" s="660">
        <v>289000</v>
      </c>
      <c r="F270" s="660">
        <v>320000</v>
      </c>
    </row>
    <row r="271" spans="1:6">
      <c r="A271" s="659" t="s">
        <v>151</v>
      </c>
      <c r="B271" s="660">
        <v>15000</v>
      </c>
      <c r="C271" s="660">
        <v>39000</v>
      </c>
      <c r="D271" s="660">
        <v>59000</v>
      </c>
      <c r="E271" s="660">
        <v>35000</v>
      </c>
      <c r="F271" s="667" t="s">
        <v>869</v>
      </c>
    </row>
    <row r="272" spans="1:6">
      <c r="A272" s="659" t="s">
        <v>154</v>
      </c>
      <c r="B272" s="660">
        <v>4000</v>
      </c>
      <c r="C272" s="660">
        <v>24000</v>
      </c>
      <c r="D272" s="660">
        <v>27000</v>
      </c>
      <c r="E272" s="660">
        <v>23000</v>
      </c>
      <c r="F272" s="660">
        <v>33000</v>
      </c>
    </row>
    <row r="273" spans="1:6">
      <c r="A273" s="659" t="s">
        <v>886</v>
      </c>
      <c r="B273" s="660">
        <v>25000</v>
      </c>
      <c r="C273" s="660">
        <v>28000</v>
      </c>
      <c r="D273" s="660">
        <v>19000</v>
      </c>
      <c r="E273" s="660">
        <v>9000</v>
      </c>
      <c r="F273" s="660">
        <v>23000</v>
      </c>
    </row>
    <row r="274" spans="1:6">
      <c r="A274" s="659" t="s">
        <v>887</v>
      </c>
      <c r="B274" s="660">
        <v>60000</v>
      </c>
      <c r="C274" s="660">
        <v>62000</v>
      </c>
      <c r="D274" s="660">
        <v>71000</v>
      </c>
      <c r="E274" s="660">
        <v>45000</v>
      </c>
      <c r="F274" s="660">
        <v>72000</v>
      </c>
    </row>
    <row r="275" spans="1:6">
      <c r="A275" s="659" t="s">
        <v>888</v>
      </c>
      <c r="B275" s="660">
        <v>31000</v>
      </c>
      <c r="C275" s="660">
        <v>10000</v>
      </c>
      <c r="D275" s="660">
        <v>25000</v>
      </c>
      <c r="E275" s="660">
        <v>14000</v>
      </c>
      <c r="F275" s="660">
        <v>17000</v>
      </c>
    </row>
    <row r="276" spans="1:6">
      <c r="A276" s="659" t="s">
        <v>23</v>
      </c>
      <c r="B276" s="660">
        <v>36000</v>
      </c>
      <c r="C276" s="660">
        <v>22000</v>
      </c>
      <c r="D276" s="660">
        <v>24000</v>
      </c>
      <c r="E276" s="660">
        <v>28000</v>
      </c>
      <c r="F276" s="660">
        <v>38000</v>
      </c>
    </row>
    <row r="277" spans="1:6">
      <c r="A277" s="659" t="s">
        <v>148</v>
      </c>
      <c r="B277" s="660">
        <v>5000</v>
      </c>
      <c r="C277" s="660">
        <v>3000</v>
      </c>
      <c r="D277" s="660">
        <v>15000</v>
      </c>
      <c r="E277" s="660">
        <v>8000</v>
      </c>
      <c r="F277" s="660">
        <v>13000</v>
      </c>
    </row>
    <row r="278" spans="1:6">
      <c r="A278" s="659" t="s">
        <v>889</v>
      </c>
      <c r="B278" s="660">
        <v>19000</v>
      </c>
      <c r="C278" s="660">
        <v>19000</v>
      </c>
      <c r="D278" s="660">
        <v>10000</v>
      </c>
      <c r="E278" s="660">
        <v>20000</v>
      </c>
      <c r="F278" s="660">
        <v>21000</v>
      </c>
    </row>
    <row r="279" spans="1:6">
      <c r="A279" s="659" t="s">
        <v>890</v>
      </c>
      <c r="B279" s="660">
        <v>81000</v>
      </c>
      <c r="C279" s="660">
        <v>74000</v>
      </c>
      <c r="D279" s="660">
        <v>88000</v>
      </c>
      <c r="E279" s="660">
        <v>106000</v>
      </c>
      <c r="F279" s="660">
        <v>124000</v>
      </c>
    </row>
    <row r="280" spans="1:6">
      <c r="A280" s="659" t="s">
        <v>891</v>
      </c>
      <c r="B280" s="660">
        <v>73000</v>
      </c>
      <c r="C280" s="660">
        <v>64000</v>
      </c>
      <c r="D280" s="660">
        <v>80000</v>
      </c>
      <c r="E280" s="660">
        <v>101000</v>
      </c>
      <c r="F280" s="660">
        <v>118000</v>
      </c>
    </row>
    <row r="281" spans="1:6">
      <c r="A281" s="659" t="s">
        <v>892</v>
      </c>
      <c r="B281" s="660">
        <v>8000</v>
      </c>
      <c r="C281" s="660">
        <v>10000</v>
      </c>
      <c r="D281" s="660">
        <v>8000</v>
      </c>
      <c r="E281" s="660">
        <v>5000</v>
      </c>
      <c r="F281" s="660">
        <v>5000</v>
      </c>
    </row>
    <row r="282" spans="1:6">
      <c r="A282" s="659" t="s">
        <v>893</v>
      </c>
      <c r="B282" s="660">
        <v>24000</v>
      </c>
      <c r="C282" s="660">
        <v>16000</v>
      </c>
      <c r="D282" s="660">
        <v>3000</v>
      </c>
      <c r="E282" s="660">
        <v>28000</v>
      </c>
      <c r="F282" s="660">
        <v>15000</v>
      </c>
    </row>
    <row r="283" spans="1:6">
      <c r="A283" s="659" t="s">
        <v>108</v>
      </c>
      <c r="B283" s="667" t="s">
        <v>869</v>
      </c>
      <c r="C283" s="667" t="s">
        <v>869</v>
      </c>
      <c r="D283" s="660">
        <v>0</v>
      </c>
      <c r="E283" s="660">
        <v>4000</v>
      </c>
      <c r="F283" s="667" t="s">
        <v>869</v>
      </c>
    </row>
    <row r="284" spans="1:6">
      <c r="A284" s="659" t="s">
        <v>112</v>
      </c>
      <c r="B284" s="660">
        <v>13000</v>
      </c>
      <c r="C284" s="660">
        <v>10000</v>
      </c>
      <c r="D284" s="660">
        <v>0</v>
      </c>
      <c r="E284" s="660">
        <v>10000</v>
      </c>
      <c r="F284" s="667" t="s">
        <v>869</v>
      </c>
    </row>
    <row r="285" spans="1:6">
      <c r="A285" s="659" t="s">
        <v>894</v>
      </c>
      <c r="B285" s="660">
        <v>11000</v>
      </c>
      <c r="C285" s="660">
        <v>6000</v>
      </c>
      <c r="D285" s="660">
        <v>3000</v>
      </c>
      <c r="E285" s="660">
        <v>14000</v>
      </c>
      <c r="F285" s="660">
        <v>15000</v>
      </c>
    </row>
    <row r="286" spans="1:6">
      <c r="A286" s="659" t="s">
        <v>895</v>
      </c>
      <c r="B286" s="660">
        <v>131000</v>
      </c>
      <c r="C286" s="660">
        <v>133000</v>
      </c>
      <c r="D286" s="660">
        <v>101000</v>
      </c>
      <c r="E286" s="660">
        <v>89000</v>
      </c>
      <c r="F286" s="660">
        <v>130000</v>
      </c>
    </row>
    <row r="287" spans="1:6">
      <c r="A287" s="659" t="s">
        <v>896</v>
      </c>
      <c r="B287" s="660">
        <v>40000</v>
      </c>
      <c r="C287" s="660">
        <v>27000</v>
      </c>
      <c r="D287" s="660">
        <v>46000</v>
      </c>
      <c r="E287" s="660">
        <v>33000</v>
      </c>
      <c r="F287" s="660">
        <v>38000</v>
      </c>
    </row>
    <row r="288" spans="1:6">
      <c r="A288" s="659" t="s">
        <v>132</v>
      </c>
      <c r="B288" s="660">
        <v>6000</v>
      </c>
      <c r="C288" s="660">
        <v>33000</v>
      </c>
      <c r="D288" s="660">
        <v>10000</v>
      </c>
      <c r="E288" s="660">
        <v>10000</v>
      </c>
      <c r="F288" s="667" t="s">
        <v>869</v>
      </c>
    </row>
    <row r="289" spans="1:6">
      <c r="A289" s="659" t="s">
        <v>897</v>
      </c>
      <c r="B289" s="660">
        <v>3000</v>
      </c>
      <c r="C289" s="660">
        <v>25000</v>
      </c>
      <c r="D289" s="660">
        <v>4000</v>
      </c>
      <c r="E289" s="667" t="s">
        <v>869</v>
      </c>
      <c r="F289" s="660">
        <v>9000</v>
      </c>
    </row>
    <row r="290" spans="1:6">
      <c r="A290" s="659" t="s">
        <v>898</v>
      </c>
      <c r="B290" s="660">
        <v>82000</v>
      </c>
      <c r="C290" s="660">
        <v>48000</v>
      </c>
      <c r="D290" s="660">
        <v>41000</v>
      </c>
      <c r="E290" s="660">
        <v>47000</v>
      </c>
      <c r="F290" s="660">
        <v>83000</v>
      </c>
    </row>
    <row r="291" spans="1:6">
      <c r="A291" s="659" t="s">
        <v>899</v>
      </c>
      <c r="B291" s="667" t="s">
        <v>869</v>
      </c>
      <c r="C291" s="667" t="s">
        <v>869</v>
      </c>
      <c r="D291" s="660">
        <v>0</v>
      </c>
      <c r="E291" s="660">
        <v>15000</v>
      </c>
      <c r="F291" s="667" t="s">
        <v>869</v>
      </c>
    </row>
    <row r="292" spans="1:6">
      <c r="A292" s="659" t="s">
        <v>109</v>
      </c>
      <c r="B292" s="667" t="s">
        <v>869</v>
      </c>
      <c r="C292" s="667" t="s">
        <v>869</v>
      </c>
      <c r="D292" s="660">
        <v>0</v>
      </c>
      <c r="E292" s="660">
        <v>4000</v>
      </c>
      <c r="F292" s="667" t="s">
        <v>869</v>
      </c>
    </row>
    <row r="293" spans="1:6">
      <c r="A293" s="659" t="s">
        <v>900</v>
      </c>
      <c r="B293" s="667" t="s">
        <v>869</v>
      </c>
      <c r="C293" s="667" t="s">
        <v>869</v>
      </c>
      <c r="D293" s="660">
        <v>0</v>
      </c>
      <c r="E293" s="660">
        <v>11000</v>
      </c>
      <c r="F293" s="667" t="s">
        <v>869</v>
      </c>
    </row>
    <row r="294" spans="1:6">
      <c r="A294" s="659" t="s">
        <v>901</v>
      </c>
      <c r="B294" s="660">
        <v>11000</v>
      </c>
      <c r="C294" s="667" t="s">
        <v>869</v>
      </c>
      <c r="D294" s="660">
        <v>0</v>
      </c>
      <c r="E294" s="667" t="s">
        <v>869</v>
      </c>
      <c r="F294" s="660">
        <v>4000</v>
      </c>
    </row>
    <row r="295" spans="1:6">
      <c r="A295" s="659" t="s">
        <v>526</v>
      </c>
      <c r="B295" s="667" t="s">
        <v>869</v>
      </c>
      <c r="C295" s="667" t="s">
        <v>869</v>
      </c>
      <c r="D295" s="667" t="s">
        <v>869</v>
      </c>
      <c r="E295" s="667" t="s">
        <v>869</v>
      </c>
      <c r="F295" s="667" t="s">
        <v>869</v>
      </c>
    </row>
    <row r="296" spans="1:6">
      <c r="A296" s="659" t="s">
        <v>527</v>
      </c>
      <c r="B296" s="660">
        <v>2192000</v>
      </c>
      <c r="C296" s="660">
        <v>2189000</v>
      </c>
      <c r="D296" s="660">
        <v>1800000</v>
      </c>
      <c r="E296" s="660">
        <v>2217000</v>
      </c>
      <c r="F296" s="660">
        <v>2494000</v>
      </c>
    </row>
    <row r="297" spans="1:6">
      <c r="A297" s="659" t="s">
        <v>902</v>
      </c>
      <c r="B297" s="667" t="s">
        <v>869</v>
      </c>
      <c r="C297" s="667" t="s">
        <v>869</v>
      </c>
      <c r="D297" s="667" t="s">
        <v>869</v>
      </c>
      <c r="E297" s="667" t="s">
        <v>869</v>
      </c>
      <c r="F297" s="667" t="s">
        <v>869</v>
      </c>
    </row>
    <row r="298" spans="1:6">
      <c r="A298" s="659" t="s">
        <v>903</v>
      </c>
      <c r="B298" s="667" t="s">
        <v>869</v>
      </c>
      <c r="C298" s="667" t="s">
        <v>869</v>
      </c>
      <c r="D298" s="660">
        <v>0</v>
      </c>
      <c r="E298" s="667" t="s">
        <v>869</v>
      </c>
      <c r="F298" s="667" t="s">
        <v>869</v>
      </c>
    </row>
    <row r="300" spans="1:6">
      <c r="A300" s="662" t="s">
        <v>904</v>
      </c>
    </row>
    <row r="301" spans="1:6">
      <c r="A301" s="662" t="s">
        <v>869</v>
      </c>
      <c r="B301" s="662" t="s">
        <v>905</v>
      </c>
    </row>
  </sheetData>
  <customSheetViews>
    <customSheetView guid="{BD5E9955-DC4B-4EA0-9160-9EF1C693DE04}" topLeftCell="C65">
      <selection activeCell="J72" sqref="J72"/>
      <pageMargins left="0.7" right="0.7" top="0.75" bottom="0.75" header="0.3" footer="0.3"/>
    </customSheetView>
    <customSheetView guid="{1ACDCC85-59E3-4410-927D-E7E5C71B61F5}" state="hidden" topLeftCell="C52">
      <selection activeCell="J50" sqref="J50"/>
      <pageMargins left="0.7" right="0.7" top="0.75" bottom="0.75" header="0.3" footer="0.3"/>
    </customSheetView>
    <customSheetView guid="{9144D9B3-2327-4B3A-89B1-6A595780C3C5}" scale="80" topLeftCell="C54">
      <selection activeCell="O67" sqref="O67"/>
      <pageMargins left="0.7" right="0.7" top="0.75" bottom="0.75" header="0.3" footer="0.3"/>
    </customSheetView>
    <customSheetView guid="{513032B5-C585-49C2-98E7-9FDE6F7A4BA7}" topLeftCell="C52">
      <pageMargins left="0.7" right="0.7" top="0.75" bottom="0.75" header="0.3" footer="0.3"/>
    </customSheetView>
    <customSheetView guid="{AF983ECA-536A-40E6-8A04-FF0A375E9ACC}" topLeftCell="C52">
      <selection activeCell="J50" sqref="J50"/>
      <pageMargins left="0.7" right="0.7" top="0.75" bottom="0.75" header="0.3" footer="0.3"/>
    </customSheetView>
  </customSheetViews>
  <pageMargins left="0.7" right="0.7" top="0.75" bottom="0.75" header="0.3" footer="0.3"/>
</worksheet>
</file>

<file path=xl/worksheets/sheet33.xml><?xml version="1.0" encoding="utf-8"?>
<worksheet xmlns="http://schemas.openxmlformats.org/spreadsheetml/2006/main" xmlns:r="http://schemas.openxmlformats.org/officeDocument/2006/relationships">
  <dimension ref="A1:P101"/>
  <sheetViews>
    <sheetView workbookViewId="0">
      <selection activeCell="J100" sqref="J100"/>
    </sheetView>
  </sheetViews>
  <sheetFormatPr defaultRowHeight="14.25"/>
  <cols>
    <col min="1" max="1" width="27.42578125" style="672" customWidth="1"/>
    <col min="2" max="2" width="9.140625" style="672" customWidth="1"/>
    <col min="3" max="6" width="10.140625" style="672" customWidth="1"/>
    <col min="7" max="7" width="12.42578125" style="672" bestFit="1" customWidth="1"/>
    <col min="8" max="8" width="9.140625" style="672" customWidth="1"/>
    <col min="9" max="9" width="14.140625" style="672" bestFit="1" customWidth="1"/>
    <col min="10" max="11" width="9.5703125" style="672" bestFit="1" customWidth="1"/>
    <col min="12" max="12" width="9.140625" style="672"/>
    <col min="13" max="13" width="9.42578125" style="672" bestFit="1" customWidth="1"/>
    <col min="14" max="256" width="9.140625" style="672"/>
    <col min="257" max="257" width="27.42578125" style="672" customWidth="1"/>
    <col min="258" max="259" width="9.140625" style="672"/>
    <col min="260" max="260" width="12.5703125" style="672" bestFit="1" customWidth="1"/>
    <col min="261" max="264" width="9.140625" style="672"/>
    <col min="265" max="265" width="14" style="672" bestFit="1" customWidth="1"/>
    <col min="266" max="512" width="9.140625" style="672"/>
    <col min="513" max="513" width="27.42578125" style="672" customWidth="1"/>
    <col min="514" max="515" width="9.140625" style="672"/>
    <col min="516" max="516" width="12.5703125" style="672" bestFit="1" customWidth="1"/>
    <col min="517" max="520" width="9.140625" style="672"/>
    <col min="521" max="521" width="14" style="672" bestFit="1" customWidth="1"/>
    <col min="522" max="768" width="9.140625" style="672"/>
    <col min="769" max="769" width="27.42578125" style="672" customWidth="1"/>
    <col min="770" max="771" width="9.140625" style="672"/>
    <col min="772" max="772" width="12.5703125" style="672" bestFit="1" customWidth="1"/>
    <col min="773" max="776" width="9.140625" style="672"/>
    <col min="777" max="777" width="14" style="672" bestFit="1" customWidth="1"/>
    <col min="778" max="1024" width="9.140625" style="672"/>
    <col min="1025" max="1025" width="27.42578125" style="672" customWidth="1"/>
    <col min="1026" max="1027" width="9.140625" style="672"/>
    <col min="1028" max="1028" width="12.5703125" style="672" bestFit="1" customWidth="1"/>
    <col min="1029" max="1032" width="9.140625" style="672"/>
    <col min="1033" max="1033" width="14" style="672" bestFit="1" customWidth="1"/>
    <col min="1034" max="1280" width="9.140625" style="672"/>
    <col min="1281" max="1281" width="27.42578125" style="672" customWidth="1"/>
    <col min="1282" max="1283" width="9.140625" style="672"/>
    <col min="1284" max="1284" width="12.5703125" style="672" bestFit="1" customWidth="1"/>
    <col min="1285" max="1288" width="9.140625" style="672"/>
    <col min="1289" max="1289" width="14" style="672" bestFit="1" customWidth="1"/>
    <col min="1290" max="1536" width="9.140625" style="672"/>
    <col min="1537" max="1537" width="27.42578125" style="672" customWidth="1"/>
    <col min="1538" max="1539" width="9.140625" style="672"/>
    <col min="1540" max="1540" width="12.5703125" style="672" bestFit="1" customWidth="1"/>
    <col min="1541" max="1544" width="9.140625" style="672"/>
    <col min="1545" max="1545" width="14" style="672" bestFit="1" customWidth="1"/>
    <col min="1546" max="1792" width="9.140625" style="672"/>
    <col min="1793" max="1793" width="27.42578125" style="672" customWidth="1"/>
    <col min="1794" max="1795" width="9.140625" style="672"/>
    <col min="1796" max="1796" width="12.5703125" style="672" bestFit="1" customWidth="1"/>
    <col min="1797" max="1800" width="9.140625" style="672"/>
    <col min="1801" max="1801" width="14" style="672" bestFit="1" customWidth="1"/>
    <col min="1802" max="2048" width="9.140625" style="672"/>
    <col min="2049" max="2049" width="27.42578125" style="672" customWidth="1"/>
    <col min="2050" max="2051" width="9.140625" style="672"/>
    <col min="2052" max="2052" width="12.5703125" style="672" bestFit="1" customWidth="1"/>
    <col min="2053" max="2056" width="9.140625" style="672"/>
    <col min="2057" max="2057" width="14" style="672" bestFit="1" customWidth="1"/>
    <col min="2058" max="2304" width="9.140625" style="672"/>
    <col min="2305" max="2305" width="27.42578125" style="672" customWidth="1"/>
    <col min="2306" max="2307" width="9.140625" style="672"/>
    <col min="2308" max="2308" width="12.5703125" style="672" bestFit="1" customWidth="1"/>
    <col min="2309" max="2312" width="9.140625" style="672"/>
    <col min="2313" max="2313" width="14" style="672" bestFit="1" customWidth="1"/>
    <col min="2314" max="2560" width="9.140625" style="672"/>
    <col min="2561" max="2561" width="27.42578125" style="672" customWidth="1"/>
    <col min="2562" max="2563" width="9.140625" style="672"/>
    <col min="2564" max="2564" width="12.5703125" style="672" bestFit="1" customWidth="1"/>
    <col min="2565" max="2568" width="9.140625" style="672"/>
    <col min="2569" max="2569" width="14" style="672" bestFit="1" customWidth="1"/>
    <col min="2570" max="2816" width="9.140625" style="672"/>
    <col min="2817" max="2817" width="27.42578125" style="672" customWidth="1"/>
    <col min="2818" max="2819" width="9.140625" style="672"/>
    <col min="2820" max="2820" width="12.5703125" style="672" bestFit="1" customWidth="1"/>
    <col min="2821" max="2824" width="9.140625" style="672"/>
    <col min="2825" max="2825" width="14" style="672" bestFit="1" customWidth="1"/>
    <col min="2826" max="3072" width="9.140625" style="672"/>
    <col min="3073" max="3073" width="27.42578125" style="672" customWidth="1"/>
    <col min="3074" max="3075" width="9.140625" style="672"/>
    <col min="3076" max="3076" width="12.5703125" style="672" bestFit="1" customWidth="1"/>
    <col min="3077" max="3080" width="9.140625" style="672"/>
    <col min="3081" max="3081" width="14" style="672" bestFit="1" customWidth="1"/>
    <col min="3082" max="3328" width="9.140625" style="672"/>
    <col min="3329" max="3329" width="27.42578125" style="672" customWidth="1"/>
    <col min="3330" max="3331" width="9.140625" style="672"/>
    <col min="3332" max="3332" width="12.5703125" style="672" bestFit="1" customWidth="1"/>
    <col min="3333" max="3336" width="9.140625" style="672"/>
    <col min="3337" max="3337" width="14" style="672" bestFit="1" customWidth="1"/>
    <col min="3338" max="3584" width="9.140625" style="672"/>
    <col min="3585" max="3585" width="27.42578125" style="672" customWidth="1"/>
    <col min="3586" max="3587" width="9.140625" style="672"/>
    <col min="3588" max="3588" width="12.5703125" style="672" bestFit="1" customWidth="1"/>
    <col min="3589" max="3592" width="9.140625" style="672"/>
    <col min="3593" max="3593" width="14" style="672" bestFit="1" customWidth="1"/>
    <col min="3594" max="3840" width="9.140625" style="672"/>
    <col min="3841" max="3841" width="27.42578125" style="672" customWidth="1"/>
    <col min="3842" max="3843" width="9.140625" style="672"/>
    <col min="3844" max="3844" width="12.5703125" style="672" bestFit="1" customWidth="1"/>
    <col min="3845" max="3848" width="9.140625" style="672"/>
    <col min="3849" max="3849" width="14" style="672" bestFit="1" customWidth="1"/>
    <col min="3850" max="4096" width="9.140625" style="672"/>
    <col min="4097" max="4097" width="27.42578125" style="672" customWidth="1"/>
    <col min="4098" max="4099" width="9.140625" style="672"/>
    <col min="4100" max="4100" width="12.5703125" style="672" bestFit="1" customWidth="1"/>
    <col min="4101" max="4104" width="9.140625" style="672"/>
    <col min="4105" max="4105" width="14" style="672" bestFit="1" customWidth="1"/>
    <col min="4106" max="4352" width="9.140625" style="672"/>
    <col min="4353" max="4353" width="27.42578125" style="672" customWidth="1"/>
    <col min="4354" max="4355" width="9.140625" style="672"/>
    <col min="4356" max="4356" width="12.5703125" style="672" bestFit="1" customWidth="1"/>
    <col min="4357" max="4360" width="9.140625" style="672"/>
    <col min="4361" max="4361" width="14" style="672" bestFit="1" customWidth="1"/>
    <col min="4362" max="4608" width="9.140625" style="672"/>
    <col min="4609" max="4609" width="27.42578125" style="672" customWidth="1"/>
    <col min="4610" max="4611" width="9.140625" style="672"/>
    <col min="4612" max="4612" width="12.5703125" style="672" bestFit="1" customWidth="1"/>
    <col min="4613" max="4616" width="9.140625" style="672"/>
    <col min="4617" max="4617" width="14" style="672" bestFit="1" customWidth="1"/>
    <col min="4618" max="4864" width="9.140625" style="672"/>
    <col min="4865" max="4865" width="27.42578125" style="672" customWidth="1"/>
    <col min="4866" max="4867" width="9.140625" style="672"/>
    <col min="4868" max="4868" width="12.5703125" style="672" bestFit="1" customWidth="1"/>
    <col min="4869" max="4872" width="9.140625" style="672"/>
    <col min="4873" max="4873" width="14" style="672" bestFit="1" customWidth="1"/>
    <col min="4874" max="5120" width="9.140625" style="672"/>
    <col min="5121" max="5121" width="27.42578125" style="672" customWidth="1"/>
    <col min="5122" max="5123" width="9.140625" style="672"/>
    <col min="5124" max="5124" width="12.5703125" style="672" bestFit="1" customWidth="1"/>
    <col min="5125" max="5128" width="9.140625" style="672"/>
    <col min="5129" max="5129" width="14" style="672" bestFit="1" customWidth="1"/>
    <col min="5130" max="5376" width="9.140625" style="672"/>
    <col min="5377" max="5377" width="27.42578125" style="672" customWidth="1"/>
    <col min="5378" max="5379" width="9.140625" style="672"/>
    <col min="5380" max="5380" width="12.5703125" style="672" bestFit="1" customWidth="1"/>
    <col min="5381" max="5384" width="9.140625" style="672"/>
    <col min="5385" max="5385" width="14" style="672" bestFit="1" customWidth="1"/>
    <col min="5386" max="5632" width="9.140625" style="672"/>
    <col min="5633" max="5633" width="27.42578125" style="672" customWidth="1"/>
    <col min="5634" max="5635" width="9.140625" style="672"/>
    <col min="5636" max="5636" width="12.5703125" style="672" bestFit="1" customWidth="1"/>
    <col min="5637" max="5640" width="9.140625" style="672"/>
    <col min="5641" max="5641" width="14" style="672" bestFit="1" customWidth="1"/>
    <col min="5642" max="5888" width="9.140625" style="672"/>
    <col min="5889" max="5889" width="27.42578125" style="672" customWidth="1"/>
    <col min="5890" max="5891" width="9.140625" style="672"/>
    <col min="5892" max="5892" width="12.5703125" style="672" bestFit="1" customWidth="1"/>
    <col min="5893" max="5896" width="9.140625" style="672"/>
    <col min="5897" max="5897" width="14" style="672" bestFit="1" customWidth="1"/>
    <col min="5898" max="6144" width="9.140625" style="672"/>
    <col min="6145" max="6145" width="27.42578125" style="672" customWidth="1"/>
    <col min="6146" max="6147" width="9.140625" style="672"/>
    <col min="6148" max="6148" width="12.5703125" style="672" bestFit="1" customWidth="1"/>
    <col min="6149" max="6152" width="9.140625" style="672"/>
    <col min="6153" max="6153" width="14" style="672" bestFit="1" customWidth="1"/>
    <col min="6154" max="6400" width="9.140625" style="672"/>
    <col min="6401" max="6401" width="27.42578125" style="672" customWidth="1"/>
    <col min="6402" max="6403" width="9.140625" style="672"/>
    <col min="6404" max="6404" width="12.5703125" style="672" bestFit="1" customWidth="1"/>
    <col min="6405" max="6408" width="9.140625" style="672"/>
    <col min="6409" max="6409" width="14" style="672" bestFit="1" customWidth="1"/>
    <col min="6410" max="6656" width="9.140625" style="672"/>
    <col min="6657" max="6657" width="27.42578125" style="672" customWidth="1"/>
    <col min="6658" max="6659" width="9.140625" style="672"/>
    <col min="6660" max="6660" width="12.5703125" style="672" bestFit="1" customWidth="1"/>
    <col min="6661" max="6664" width="9.140625" style="672"/>
    <col min="6665" max="6665" width="14" style="672" bestFit="1" customWidth="1"/>
    <col min="6666" max="6912" width="9.140625" style="672"/>
    <col min="6913" max="6913" width="27.42578125" style="672" customWidth="1"/>
    <col min="6914" max="6915" width="9.140625" style="672"/>
    <col min="6916" max="6916" width="12.5703125" style="672" bestFit="1" customWidth="1"/>
    <col min="6917" max="6920" width="9.140625" style="672"/>
    <col min="6921" max="6921" width="14" style="672" bestFit="1" customWidth="1"/>
    <col min="6922" max="7168" width="9.140625" style="672"/>
    <col min="7169" max="7169" width="27.42578125" style="672" customWidth="1"/>
    <col min="7170" max="7171" width="9.140625" style="672"/>
    <col min="7172" max="7172" width="12.5703125" style="672" bestFit="1" customWidth="1"/>
    <col min="7173" max="7176" width="9.140625" style="672"/>
    <col min="7177" max="7177" width="14" style="672" bestFit="1" customWidth="1"/>
    <col min="7178" max="7424" width="9.140625" style="672"/>
    <col min="7425" max="7425" width="27.42578125" style="672" customWidth="1"/>
    <col min="7426" max="7427" width="9.140625" style="672"/>
    <col min="7428" max="7428" width="12.5703125" style="672" bestFit="1" customWidth="1"/>
    <col min="7429" max="7432" width="9.140625" style="672"/>
    <col min="7433" max="7433" width="14" style="672" bestFit="1" customWidth="1"/>
    <col min="7434" max="7680" width="9.140625" style="672"/>
    <col min="7681" max="7681" width="27.42578125" style="672" customWidth="1"/>
    <col min="7682" max="7683" width="9.140625" style="672"/>
    <col min="7684" max="7684" width="12.5703125" style="672" bestFit="1" customWidth="1"/>
    <col min="7685" max="7688" width="9.140625" style="672"/>
    <col min="7689" max="7689" width="14" style="672" bestFit="1" customWidth="1"/>
    <col min="7690" max="7936" width="9.140625" style="672"/>
    <col min="7937" max="7937" width="27.42578125" style="672" customWidth="1"/>
    <col min="7938" max="7939" width="9.140625" style="672"/>
    <col min="7940" max="7940" width="12.5703125" style="672" bestFit="1" customWidth="1"/>
    <col min="7941" max="7944" width="9.140625" style="672"/>
    <col min="7945" max="7945" width="14" style="672" bestFit="1" customWidth="1"/>
    <col min="7946" max="8192" width="9.140625" style="672"/>
    <col min="8193" max="8193" width="27.42578125" style="672" customWidth="1"/>
    <col min="8194" max="8195" width="9.140625" style="672"/>
    <col min="8196" max="8196" width="12.5703125" style="672" bestFit="1" customWidth="1"/>
    <col min="8197" max="8200" width="9.140625" style="672"/>
    <col min="8201" max="8201" width="14" style="672" bestFit="1" customWidth="1"/>
    <col min="8202" max="8448" width="9.140625" style="672"/>
    <col min="8449" max="8449" width="27.42578125" style="672" customWidth="1"/>
    <col min="8450" max="8451" width="9.140625" style="672"/>
    <col min="8452" max="8452" width="12.5703125" style="672" bestFit="1" customWidth="1"/>
    <col min="8453" max="8456" width="9.140625" style="672"/>
    <col min="8457" max="8457" width="14" style="672" bestFit="1" customWidth="1"/>
    <col min="8458" max="8704" width="9.140625" style="672"/>
    <col min="8705" max="8705" width="27.42578125" style="672" customWidth="1"/>
    <col min="8706" max="8707" width="9.140625" style="672"/>
    <col min="8708" max="8708" width="12.5703125" style="672" bestFit="1" customWidth="1"/>
    <col min="8709" max="8712" width="9.140625" style="672"/>
    <col min="8713" max="8713" width="14" style="672" bestFit="1" customWidth="1"/>
    <col min="8714" max="8960" width="9.140625" style="672"/>
    <col min="8961" max="8961" width="27.42578125" style="672" customWidth="1"/>
    <col min="8962" max="8963" width="9.140625" style="672"/>
    <col min="8964" max="8964" width="12.5703125" style="672" bestFit="1" customWidth="1"/>
    <col min="8965" max="8968" width="9.140625" style="672"/>
    <col min="8969" max="8969" width="14" style="672" bestFit="1" customWidth="1"/>
    <col min="8970" max="9216" width="9.140625" style="672"/>
    <col min="9217" max="9217" width="27.42578125" style="672" customWidth="1"/>
    <col min="9218" max="9219" width="9.140625" style="672"/>
    <col min="9220" max="9220" width="12.5703125" style="672" bestFit="1" customWidth="1"/>
    <col min="9221" max="9224" width="9.140625" style="672"/>
    <col min="9225" max="9225" width="14" style="672" bestFit="1" customWidth="1"/>
    <col min="9226" max="9472" width="9.140625" style="672"/>
    <col min="9473" max="9473" width="27.42578125" style="672" customWidth="1"/>
    <col min="9474" max="9475" width="9.140625" style="672"/>
    <col min="9476" max="9476" width="12.5703125" style="672" bestFit="1" customWidth="1"/>
    <col min="9477" max="9480" width="9.140625" style="672"/>
    <col min="9481" max="9481" width="14" style="672" bestFit="1" customWidth="1"/>
    <col min="9482" max="9728" width="9.140625" style="672"/>
    <col min="9729" max="9729" width="27.42578125" style="672" customWidth="1"/>
    <col min="9730" max="9731" width="9.140625" style="672"/>
    <col min="9732" max="9732" width="12.5703125" style="672" bestFit="1" customWidth="1"/>
    <col min="9733" max="9736" width="9.140625" style="672"/>
    <col min="9737" max="9737" width="14" style="672" bestFit="1" customWidth="1"/>
    <col min="9738" max="9984" width="9.140625" style="672"/>
    <col min="9985" max="9985" width="27.42578125" style="672" customWidth="1"/>
    <col min="9986" max="9987" width="9.140625" style="672"/>
    <col min="9988" max="9988" width="12.5703125" style="672" bestFit="1" customWidth="1"/>
    <col min="9989" max="9992" width="9.140625" style="672"/>
    <col min="9993" max="9993" width="14" style="672" bestFit="1" customWidth="1"/>
    <col min="9994" max="10240" width="9.140625" style="672"/>
    <col min="10241" max="10241" width="27.42578125" style="672" customWidth="1"/>
    <col min="10242" max="10243" width="9.140625" style="672"/>
    <col min="10244" max="10244" width="12.5703125" style="672" bestFit="1" customWidth="1"/>
    <col min="10245" max="10248" width="9.140625" style="672"/>
    <col min="10249" max="10249" width="14" style="672" bestFit="1" customWidth="1"/>
    <col min="10250" max="10496" width="9.140625" style="672"/>
    <col min="10497" max="10497" width="27.42578125" style="672" customWidth="1"/>
    <col min="10498" max="10499" width="9.140625" style="672"/>
    <col min="10500" max="10500" width="12.5703125" style="672" bestFit="1" customWidth="1"/>
    <col min="10501" max="10504" width="9.140625" style="672"/>
    <col min="10505" max="10505" width="14" style="672" bestFit="1" customWidth="1"/>
    <col min="10506" max="10752" width="9.140625" style="672"/>
    <col min="10753" max="10753" width="27.42578125" style="672" customWidth="1"/>
    <col min="10754" max="10755" width="9.140625" style="672"/>
    <col min="10756" max="10756" width="12.5703125" style="672" bestFit="1" customWidth="1"/>
    <col min="10757" max="10760" width="9.140625" style="672"/>
    <col min="10761" max="10761" width="14" style="672" bestFit="1" customWidth="1"/>
    <col min="10762" max="11008" width="9.140625" style="672"/>
    <col min="11009" max="11009" width="27.42578125" style="672" customWidth="1"/>
    <col min="11010" max="11011" width="9.140625" style="672"/>
    <col min="11012" max="11012" width="12.5703125" style="672" bestFit="1" customWidth="1"/>
    <col min="11013" max="11016" width="9.140625" style="672"/>
    <col min="11017" max="11017" width="14" style="672" bestFit="1" customWidth="1"/>
    <col min="11018" max="11264" width="9.140625" style="672"/>
    <col min="11265" max="11265" width="27.42578125" style="672" customWidth="1"/>
    <col min="11266" max="11267" width="9.140625" style="672"/>
    <col min="11268" max="11268" width="12.5703125" style="672" bestFit="1" customWidth="1"/>
    <col min="11269" max="11272" width="9.140625" style="672"/>
    <col min="11273" max="11273" width="14" style="672" bestFit="1" customWidth="1"/>
    <col min="11274" max="11520" width="9.140625" style="672"/>
    <col min="11521" max="11521" width="27.42578125" style="672" customWidth="1"/>
    <col min="11522" max="11523" width="9.140625" style="672"/>
    <col min="11524" max="11524" width="12.5703125" style="672" bestFit="1" customWidth="1"/>
    <col min="11525" max="11528" width="9.140625" style="672"/>
    <col min="11529" max="11529" width="14" style="672" bestFit="1" customWidth="1"/>
    <col min="11530" max="11776" width="9.140625" style="672"/>
    <col min="11777" max="11777" width="27.42578125" style="672" customWidth="1"/>
    <col min="11778" max="11779" width="9.140625" style="672"/>
    <col min="11780" max="11780" width="12.5703125" style="672" bestFit="1" customWidth="1"/>
    <col min="11781" max="11784" width="9.140625" style="672"/>
    <col min="11785" max="11785" width="14" style="672" bestFit="1" customWidth="1"/>
    <col min="11786" max="12032" width="9.140625" style="672"/>
    <col min="12033" max="12033" width="27.42578125" style="672" customWidth="1"/>
    <col min="12034" max="12035" width="9.140625" style="672"/>
    <col min="12036" max="12036" width="12.5703125" style="672" bestFit="1" customWidth="1"/>
    <col min="12037" max="12040" width="9.140625" style="672"/>
    <col min="12041" max="12041" width="14" style="672" bestFit="1" customWidth="1"/>
    <col min="12042" max="12288" width="9.140625" style="672"/>
    <col min="12289" max="12289" width="27.42578125" style="672" customWidth="1"/>
    <col min="12290" max="12291" width="9.140625" style="672"/>
    <col min="12292" max="12292" width="12.5703125" style="672" bestFit="1" customWidth="1"/>
    <col min="12293" max="12296" width="9.140625" style="672"/>
    <col min="12297" max="12297" width="14" style="672" bestFit="1" customWidth="1"/>
    <col min="12298" max="12544" width="9.140625" style="672"/>
    <col min="12545" max="12545" width="27.42578125" style="672" customWidth="1"/>
    <col min="12546" max="12547" width="9.140625" style="672"/>
    <col min="12548" max="12548" width="12.5703125" style="672" bestFit="1" customWidth="1"/>
    <col min="12549" max="12552" width="9.140625" style="672"/>
    <col min="12553" max="12553" width="14" style="672" bestFit="1" customWidth="1"/>
    <col min="12554" max="12800" width="9.140625" style="672"/>
    <col min="12801" max="12801" width="27.42578125" style="672" customWidth="1"/>
    <col min="12802" max="12803" width="9.140625" style="672"/>
    <col min="12804" max="12804" width="12.5703125" style="672" bestFit="1" customWidth="1"/>
    <col min="12805" max="12808" width="9.140625" style="672"/>
    <col min="12809" max="12809" width="14" style="672" bestFit="1" customWidth="1"/>
    <col min="12810" max="13056" width="9.140625" style="672"/>
    <col min="13057" max="13057" width="27.42578125" style="672" customWidth="1"/>
    <col min="13058" max="13059" width="9.140625" style="672"/>
    <col min="13060" max="13060" width="12.5703125" style="672" bestFit="1" customWidth="1"/>
    <col min="13061" max="13064" width="9.140625" style="672"/>
    <col min="13065" max="13065" width="14" style="672" bestFit="1" customWidth="1"/>
    <col min="13066" max="13312" width="9.140625" style="672"/>
    <col min="13313" max="13313" width="27.42578125" style="672" customWidth="1"/>
    <col min="13314" max="13315" width="9.140625" style="672"/>
    <col min="13316" max="13316" width="12.5703125" style="672" bestFit="1" customWidth="1"/>
    <col min="13317" max="13320" width="9.140625" style="672"/>
    <col min="13321" max="13321" width="14" style="672" bestFit="1" customWidth="1"/>
    <col min="13322" max="13568" width="9.140625" style="672"/>
    <col min="13569" max="13569" width="27.42578125" style="672" customWidth="1"/>
    <col min="13570" max="13571" width="9.140625" style="672"/>
    <col min="13572" max="13572" width="12.5703125" style="672" bestFit="1" customWidth="1"/>
    <col min="13573" max="13576" width="9.140625" style="672"/>
    <col min="13577" max="13577" width="14" style="672" bestFit="1" customWidth="1"/>
    <col min="13578" max="13824" width="9.140625" style="672"/>
    <col min="13825" max="13825" width="27.42578125" style="672" customWidth="1"/>
    <col min="13826" max="13827" width="9.140625" style="672"/>
    <col min="13828" max="13828" width="12.5703125" style="672" bestFit="1" customWidth="1"/>
    <col min="13829" max="13832" width="9.140625" style="672"/>
    <col min="13833" max="13833" width="14" style="672" bestFit="1" customWidth="1"/>
    <col min="13834" max="14080" width="9.140625" style="672"/>
    <col min="14081" max="14081" width="27.42578125" style="672" customWidth="1"/>
    <col min="14082" max="14083" width="9.140625" style="672"/>
    <col min="14084" max="14084" width="12.5703125" style="672" bestFit="1" customWidth="1"/>
    <col min="14085" max="14088" width="9.140625" style="672"/>
    <col min="14089" max="14089" width="14" style="672" bestFit="1" customWidth="1"/>
    <col min="14090" max="14336" width="9.140625" style="672"/>
    <col min="14337" max="14337" width="27.42578125" style="672" customWidth="1"/>
    <col min="14338" max="14339" width="9.140625" style="672"/>
    <col min="14340" max="14340" width="12.5703125" style="672" bestFit="1" customWidth="1"/>
    <col min="14341" max="14344" width="9.140625" style="672"/>
    <col min="14345" max="14345" width="14" style="672" bestFit="1" customWidth="1"/>
    <col min="14346" max="14592" width="9.140625" style="672"/>
    <col min="14593" max="14593" width="27.42578125" style="672" customWidth="1"/>
    <col min="14594" max="14595" width="9.140625" style="672"/>
    <col min="14596" max="14596" width="12.5703125" style="672" bestFit="1" customWidth="1"/>
    <col min="14597" max="14600" width="9.140625" style="672"/>
    <col min="14601" max="14601" width="14" style="672" bestFit="1" customWidth="1"/>
    <col min="14602" max="14848" width="9.140625" style="672"/>
    <col min="14849" max="14849" width="27.42578125" style="672" customWidth="1"/>
    <col min="14850" max="14851" width="9.140625" style="672"/>
    <col min="14852" max="14852" width="12.5703125" style="672" bestFit="1" customWidth="1"/>
    <col min="14853" max="14856" width="9.140625" style="672"/>
    <col min="14857" max="14857" width="14" style="672" bestFit="1" customWidth="1"/>
    <col min="14858" max="15104" width="9.140625" style="672"/>
    <col min="15105" max="15105" width="27.42578125" style="672" customWidth="1"/>
    <col min="15106" max="15107" width="9.140625" style="672"/>
    <col min="15108" max="15108" width="12.5703125" style="672" bestFit="1" customWidth="1"/>
    <col min="15109" max="15112" width="9.140625" style="672"/>
    <col min="15113" max="15113" width="14" style="672" bestFit="1" customWidth="1"/>
    <col min="15114" max="15360" width="9.140625" style="672"/>
    <col min="15361" max="15361" width="27.42578125" style="672" customWidth="1"/>
    <col min="15362" max="15363" width="9.140625" style="672"/>
    <col min="15364" max="15364" width="12.5703125" style="672" bestFit="1" customWidth="1"/>
    <col min="15365" max="15368" width="9.140625" style="672"/>
    <col min="15369" max="15369" width="14" style="672" bestFit="1" customWidth="1"/>
    <col min="15370" max="15616" width="9.140625" style="672"/>
    <col min="15617" max="15617" width="27.42578125" style="672" customWidth="1"/>
    <col min="15618" max="15619" width="9.140625" style="672"/>
    <col min="15620" max="15620" width="12.5703125" style="672" bestFit="1" customWidth="1"/>
    <col min="15621" max="15624" width="9.140625" style="672"/>
    <col min="15625" max="15625" width="14" style="672" bestFit="1" customWidth="1"/>
    <col min="15626" max="15872" width="9.140625" style="672"/>
    <col min="15873" max="15873" width="27.42578125" style="672" customWidth="1"/>
    <col min="15874" max="15875" width="9.140625" style="672"/>
    <col min="15876" max="15876" width="12.5703125" style="672" bestFit="1" customWidth="1"/>
    <col min="15877" max="15880" width="9.140625" style="672"/>
    <col min="15881" max="15881" width="14" style="672" bestFit="1" customWidth="1"/>
    <col min="15882" max="16128" width="9.140625" style="672"/>
    <col min="16129" max="16129" width="27.42578125" style="672" customWidth="1"/>
    <col min="16130" max="16131" width="9.140625" style="672"/>
    <col min="16132" max="16132" width="12.5703125" style="672" bestFit="1" customWidth="1"/>
    <col min="16133" max="16136" width="9.140625" style="672"/>
    <col min="16137" max="16137" width="14" style="672" bestFit="1" customWidth="1"/>
    <col min="16138" max="16384" width="9.140625" style="672"/>
  </cols>
  <sheetData>
    <row r="1" spans="1:13">
      <c r="A1" s="671" t="s">
        <v>921</v>
      </c>
    </row>
    <row r="3" spans="1:13">
      <c r="A3" s="671" t="s">
        <v>852</v>
      </c>
      <c r="B3" s="673">
        <v>41439.417326388888</v>
      </c>
    </row>
    <row r="4" spans="1:13">
      <c r="A4" s="671" t="s">
        <v>853</v>
      </c>
      <c r="B4" s="673">
        <v>41439.464363425926</v>
      </c>
    </row>
    <row r="5" spans="1:13">
      <c r="A5" s="671" t="s">
        <v>922</v>
      </c>
      <c r="B5" s="671" t="s">
        <v>243</v>
      </c>
    </row>
    <row r="7" spans="1:13">
      <c r="A7" s="671" t="s">
        <v>855</v>
      </c>
      <c r="B7" s="671" t="s">
        <v>856</v>
      </c>
    </row>
    <row r="8" spans="1:13">
      <c r="A8" s="671" t="s">
        <v>923</v>
      </c>
      <c r="B8" s="671" t="s">
        <v>924</v>
      </c>
    </row>
    <row r="10" spans="1:13">
      <c r="A10" s="674" t="s">
        <v>925</v>
      </c>
      <c r="B10" s="674" t="s">
        <v>824</v>
      </c>
      <c r="C10" s="674" t="s">
        <v>862</v>
      </c>
      <c r="D10" s="674" t="s">
        <v>863</v>
      </c>
      <c r="E10" s="674" t="s">
        <v>864</v>
      </c>
      <c r="F10" s="674" t="s">
        <v>865</v>
      </c>
      <c r="G10" s="674" t="s">
        <v>866</v>
      </c>
      <c r="I10" s="674" t="s">
        <v>862</v>
      </c>
      <c r="J10" s="674" t="s">
        <v>863</v>
      </c>
      <c r="K10" s="674" t="s">
        <v>864</v>
      </c>
      <c r="L10" s="674" t="s">
        <v>865</v>
      </c>
      <c r="M10" s="674" t="s">
        <v>866</v>
      </c>
    </row>
    <row r="11" spans="1:13">
      <c r="A11" s="674" t="s">
        <v>867</v>
      </c>
      <c r="B11" s="674" t="s">
        <v>150</v>
      </c>
      <c r="C11" s="675">
        <v>2920398</v>
      </c>
      <c r="D11" s="676">
        <v>2528881</v>
      </c>
      <c r="E11" s="676">
        <v>2659393</v>
      </c>
      <c r="F11" s="676">
        <v>2647687</v>
      </c>
      <c r="G11" s="677">
        <v>2558325</v>
      </c>
    </row>
    <row r="12" spans="1:13">
      <c r="A12" s="674" t="s">
        <v>868</v>
      </c>
      <c r="B12" s="674" t="s">
        <v>150</v>
      </c>
      <c r="C12" s="677" t="s">
        <v>869</v>
      </c>
      <c r="D12" s="677" t="s">
        <v>869</v>
      </c>
      <c r="E12" s="677" t="s">
        <v>869</v>
      </c>
      <c r="F12" s="677" t="s">
        <v>869</v>
      </c>
      <c r="G12" s="677" t="s">
        <v>869</v>
      </c>
    </row>
    <row r="13" spans="1:13">
      <c r="A13" s="674" t="s">
        <v>870</v>
      </c>
      <c r="B13" s="674" t="s">
        <v>150</v>
      </c>
      <c r="C13" s="677" t="s">
        <v>869</v>
      </c>
      <c r="D13" s="677" t="s">
        <v>869</v>
      </c>
      <c r="E13" s="677" t="s">
        <v>869</v>
      </c>
      <c r="F13" s="677" t="s">
        <v>869</v>
      </c>
      <c r="G13" s="677" t="s">
        <v>869</v>
      </c>
    </row>
    <row r="14" spans="1:13">
      <c r="A14" s="674" t="s">
        <v>871</v>
      </c>
      <c r="B14" s="674" t="s">
        <v>150</v>
      </c>
      <c r="C14" s="676">
        <v>2055226</v>
      </c>
      <c r="D14" s="676">
        <v>1692842</v>
      </c>
      <c r="E14" s="676">
        <v>1698734</v>
      </c>
      <c r="F14" s="676">
        <v>1734080</v>
      </c>
      <c r="G14" s="677">
        <v>1716744</v>
      </c>
    </row>
    <row r="15" spans="1:13">
      <c r="A15" s="678" t="s">
        <v>111</v>
      </c>
      <c r="B15" s="674" t="s">
        <v>150</v>
      </c>
      <c r="C15" s="676">
        <v>38284</v>
      </c>
      <c r="D15" s="676">
        <v>36258</v>
      </c>
      <c r="E15" s="676">
        <v>39157</v>
      </c>
      <c r="F15" s="676">
        <v>50599</v>
      </c>
      <c r="G15" s="677">
        <v>52145</v>
      </c>
      <c r="I15" s="679">
        <f>C15/C$85</f>
        <v>8.6526626306860782E-3</v>
      </c>
      <c r="J15" s="679">
        <f t="shared" ref="J15:M30" si="0">D15/D$85</f>
        <v>9.0133828524977724E-3</v>
      </c>
      <c r="K15" s="679">
        <f t="shared" si="0"/>
        <v>9.3645534540295772E-3</v>
      </c>
      <c r="L15" s="679">
        <f t="shared" si="0"/>
        <v>1.2212670727339255E-2</v>
      </c>
      <c r="M15" s="679">
        <f t="shared" si="0"/>
        <v>1.2881609498374391E-2</v>
      </c>
    </row>
    <row r="16" spans="1:13">
      <c r="A16" s="678" t="s">
        <v>113</v>
      </c>
      <c r="B16" s="674" t="s">
        <v>150</v>
      </c>
      <c r="C16" s="677" t="s">
        <v>869</v>
      </c>
      <c r="D16" s="677" t="s">
        <v>869</v>
      </c>
      <c r="E16" s="676">
        <v>2243</v>
      </c>
      <c r="F16" s="676">
        <v>2997</v>
      </c>
      <c r="G16" s="677">
        <v>3279</v>
      </c>
      <c r="I16" s="679">
        <f>AVERAGE(J16:L16)</f>
        <v>6.2989202455250386E-4</v>
      </c>
      <c r="J16" s="679">
        <f>AVERAGE(K16:L16)</f>
        <v>6.2989202455250386E-4</v>
      </c>
      <c r="K16" s="679">
        <f t="shared" si="0"/>
        <v>5.3642243781158781E-4</v>
      </c>
      <c r="L16" s="679">
        <f t="shared" si="0"/>
        <v>7.233616112934198E-4</v>
      </c>
      <c r="M16" s="679">
        <f t="shared" si="0"/>
        <v>8.1002584227000908E-4</v>
      </c>
    </row>
    <row r="17" spans="1:13">
      <c r="A17" s="678" t="s">
        <v>120</v>
      </c>
      <c r="B17" s="674" t="s">
        <v>150</v>
      </c>
      <c r="C17" s="676">
        <v>14829</v>
      </c>
      <c r="D17" s="676">
        <v>16026</v>
      </c>
      <c r="E17" s="676">
        <v>14373</v>
      </c>
      <c r="F17" s="676">
        <v>15711</v>
      </c>
      <c r="G17" s="677">
        <v>17056</v>
      </c>
      <c r="I17" s="679">
        <f t="shared" ref="I17:J41" si="1">C17/C$85</f>
        <v>3.3515393937531049E-3</v>
      </c>
      <c r="J17" s="679">
        <f t="shared" si="1"/>
        <v>3.9839062715574299E-3</v>
      </c>
      <c r="K17" s="679">
        <f t="shared" si="0"/>
        <v>3.4373605433196393E-3</v>
      </c>
      <c r="L17" s="679">
        <f t="shared" si="0"/>
        <v>3.7920367951387781E-3</v>
      </c>
      <c r="M17" s="679">
        <f t="shared" si="0"/>
        <v>4.2134189587548871E-3</v>
      </c>
    </row>
    <row r="18" spans="1:13">
      <c r="A18" s="678" t="s">
        <v>121</v>
      </c>
      <c r="B18" s="674" t="s">
        <v>150</v>
      </c>
      <c r="C18" s="676">
        <v>420183</v>
      </c>
      <c r="D18" s="676">
        <v>389675</v>
      </c>
      <c r="E18" s="676">
        <v>521771</v>
      </c>
      <c r="F18" s="676">
        <v>488207</v>
      </c>
      <c r="G18" s="677">
        <v>412303</v>
      </c>
      <c r="I18" s="679">
        <f t="shared" si="1"/>
        <v>9.4966611173063653E-2</v>
      </c>
      <c r="J18" s="679">
        <f t="shared" si="1"/>
        <v>9.6869379531332928E-2</v>
      </c>
      <c r="K18" s="679">
        <f t="shared" si="0"/>
        <v>0.12478362541212214</v>
      </c>
      <c r="L18" s="679">
        <f t="shared" si="0"/>
        <v>0.11783456862353239</v>
      </c>
      <c r="M18" s="679">
        <f t="shared" si="0"/>
        <v>0.10185302984002792</v>
      </c>
    </row>
    <row r="19" spans="1:13">
      <c r="A19" s="678" t="s">
        <v>926</v>
      </c>
      <c r="B19" s="674" t="s">
        <v>150</v>
      </c>
      <c r="C19" s="676">
        <v>1045616</v>
      </c>
      <c r="D19" s="676">
        <v>779011</v>
      </c>
      <c r="E19" s="676">
        <v>744536</v>
      </c>
      <c r="F19" s="676">
        <v>749480</v>
      </c>
      <c r="G19" s="677">
        <v>752248</v>
      </c>
      <c r="I19" s="679">
        <f t="shared" si="1"/>
        <v>0.23632228840370534</v>
      </c>
      <c r="J19" s="679">
        <f t="shared" si="1"/>
        <v>0.19365448699065424</v>
      </c>
      <c r="K19" s="679">
        <f t="shared" si="0"/>
        <v>0.17805876779246024</v>
      </c>
      <c r="L19" s="679">
        <f t="shared" si="0"/>
        <v>0.1808959160601242</v>
      </c>
      <c r="M19" s="679">
        <f t="shared" si="0"/>
        <v>0.18583114357911856</v>
      </c>
    </row>
    <row r="20" spans="1:13">
      <c r="A20" s="678" t="s">
        <v>873</v>
      </c>
      <c r="B20" s="674" t="s">
        <v>150</v>
      </c>
      <c r="C20" s="676">
        <v>11966</v>
      </c>
      <c r="D20" s="676">
        <v>12174</v>
      </c>
      <c r="E20" s="676">
        <v>12302</v>
      </c>
      <c r="F20" s="676">
        <v>17151</v>
      </c>
      <c r="G20" s="677">
        <v>17041</v>
      </c>
      <c r="I20" s="679">
        <f t="shared" si="1"/>
        <v>2.7044656002191418E-3</v>
      </c>
      <c r="J20" s="679">
        <f t="shared" si="1"/>
        <v>3.0263368869299983E-3</v>
      </c>
      <c r="K20" s="679">
        <f t="shared" si="0"/>
        <v>2.9420725947205319E-3</v>
      </c>
      <c r="L20" s="679">
        <f t="shared" si="0"/>
        <v>4.139597929694175E-3</v>
      </c>
      <c r="M20" s="679">
        <f t="shared" si="0"/>
        <v>4.2097134425505417E-3</v>
      </c>
    </row>
    <row r="21" spans="1:13">
      <c r="A21" s="678" t="s">
        <v>874</v>
      </c>
      <c r="B21" s="674" t="s">
        <v>150</v>
      </c>
      <c r="C21" s="676">
        <v>18508</v>
      </c>
      <c r="D21" s="676">
        <v>17428</v>
      </c>
      <c r="E21" s="676">
        <v>14767</v>
      </c>
      <c r="F21" s="676">
        <v>15220</v>
      </c>
      <c r="G21" s="677">
        <v>18106</v>
      </c>
      <c r="I21" s="679">
        <f t="shared" si="1"/>
        <v>4.1830393890068419E-3</v>
      </c>
      <c r="J21" s="679">
        <f t="shared" si="1"/>
        <v>4.3324297080184005E-3</v>
      </c>
      <c r="K21" s="679">
        <f t="shared" si="0"/>
        <v>3.5315872220970648E-3</v>
      </c>
      <c r="L21" s="679">
        <f t="shared" si="0"/>
        <v>3.6735281027313479E-3</v>
      </c>
      <c r="M21" s="679">
        <f t="shared" si="0"/>
        <v>4.4728050930590985E-3</v>
      </c>
    </row>
    <row r="22" spans="1:13">
      <c r="A22" s="678" t="s">
        <v>126</v>
      </c>
      <c r="B22" s="674" t="s">
        <v>150</v>
      </c>
      <c r="C22" s="676">
        <v>13096</v>
      </c>
      <c r="D22" s="676">
        <v>12702</v>
      </c>
      <c r="E22" s="676">
        <v>12848</v>
      </c>
      <c r="F22" s="676">
        <v>12041</v>
      </c>
      <c r="G22" s="677">
        <v>11072</v>
      </c>
      <c r="I22" s="679">
        <f t="shared" si="1"/>
        <v>2.959859727600692E-3</v>
      </c>
      <c r="J22" s="679">
        <f t="shared" si="1"/>
        <v>3.1575925035144435E-3</v>
      </c>
      <c r="K22" s="679">
        <f t="shared" si="0"/>
        <v>3.0726506825694516E-3</v>
      </c>
      <c r="L22" s="679">
        <f t="shared" si="0"/>
        <v>2.9062386258205098E-3</v>
      </c>
      <c r="M22" s="679">
        <f t="shared" si="0"/>
        <v>2.7351650276345048E-3</v>
      </c>
    </row>
    <row r="23" spans="1:13">
      <c r="A23" s="678" t="s">
        <v>149</v>
      </c>
      <c r="B23" s="674" t="s">
        <v>150</v>
      </c>
      <c r="C23" s="676">
        <v>88993</v>
      </c>
      <c r="D23" s="676">
        <v>79126</v>
      </c>
      <c r="E23" s="676">
        <v>81757</v>
      </c>
      <c r="F23" s="676">
        <v>88953</v>
      </c>
      <c r="G23" s="677">
        <v>84320</v>
      </c>
      <c r="I23" s="679">
        <f t="shared" si="1"/>
        <v>2.0113530600058674E-2</v>
      </c>
      <c r="J23" s="679">
        <f t="shared" si="1"/>
        <v>1.9669946814130364E-2</v>
      </c>
      <c r="K23" s="679">
        <f t="shared" si="0"/>
        <v>1.9552514154329906E-2</v>
      </c>
      <c r="L23" s="679">
        <f t="shared" si="0"/>
        <v>2.1469865001462654E-2</v>
      </c>
      <c r="M23" s="679">
        <f t="shared" si="0"/>
        <v>2.08299417566963E-2</v>
      </c>
    </row>
    <row r="24" spans="1:13">
      <c r="A24" s="678" t="s">
        <v>124</v>
      </c>
      <c r="B24" s="674" t="s">
        <v>150</v>
      </c>
      <c r="C24" s="676">
        <v>128448</v>
      </c>
      <c r="D24" s="676">
        <v>122756</v>
      </c>
      <c r="E24" s="676">
        <v>126841</v>
      </c>
      <c r="F24" s="676">
        <v>136683</v>
      </c>
      <c r="G24" s="677">
        <v>135116</v>
      </c>
      <c r="I24" s="679">
        <f t="shared" si="1"/>
        <v>2.9030853870712713E-2</v>
      </c>
      <c r="J24" s="679">
        <f t="shared" si="1"/>
        <v>3.0515936495151871E-2</v>
      </c>
      <c r="K24" s="679">
        <f t="shared" si="0"/>
        <v>3.0334533408140706E-2</v>
      </c>
      <c r="L24" s="679">
        <f t="shared" si="0"/>
        <v>3.2990068440580077E-2</v>
      </c>
      <c r="M24" s="679">
        <f t="shared" si="0"/>
        <v>3.3378301831093186E-2</v>
      </c>
    </row>
    <row r="25" spans="1:13">
      <c r="A25" s="678" t="s">
        <v>131</v>
      </c>
      <c r="B25" s="674" t="s">
        <v>150</v>
      </c>
      <c r="C25" s="676">
        <v>135185</v>
      </c>
      <c r="D25" s="676">
        <v>123796</v>
      </c>
      <c r="E25" s="676">
        <v>148591</v>
      </c>
      <c r="F25" s="676">
        <v>143673</v>
      </c>
      <c r="G25" s="677">
        <v>136170</v>
      </c>
      <c r="I25" s="679">
        <f t="shared" si="1"/>
        <v>3.0553500097411389E-2</v>
      </c>
      <c r="J25" s="679">
        <f t="shared" si="1"/>
        <v>3.077447028539396E-2</v>
      </c>
      <c r="K25" s="679">
        <f t="shared" si="0"/>
        <v>3.5536133061463061E-2</v>
      </c>
      <c r="L25" s="679">
        <f t="shared" si="0"/>
        <v>3.4677188114567735E-2</v>
      </c>
      <c r="M25" s="679">
        <f t="shared" si="0"/>
        <v>3.3638676103051886E-2</v>
      </c>
    </row>
    <row r="26" spans="1:13">
      <c r="A26" s="678" t="s">
        <v>875</v>
      </c>
      <c r="B26" s="674" t="s">
        <v>150</v>
      </c>
      <c r="C26" s="677" t="s">
        <v>869</v>
      </c>
      <c r="D26" s="677" t="s">
        <v>869</v>
      </c>
      <c r="E26" s="676">
        <v>1047</v>
      </c>
      <c r="F26" s="676">
        <v>805</v>
      </c>
      <c r="G26" s="677">
        <v>1288</v>
      </c>
      <c r="I26" s="679">
        <f>AVERAGE(J26:L26)</f>
        <v>2.2234528703652377E-4</v>
      </c>
      <c r="J26" s="679">
        <f>AVERAGE(K26:L26)</f>
        <v>2.2234528703652377E-4</v>
      </c>
      <c r="K26" s="679">
        <f t="shared" si="0"/>
        <v>2.503942453806208E-4</v>
      </c>
      <c r="L26" s="679">
        <f t="shared" si="0"/>
        <v>1.9429632869242674E-4</v>
      </c>
      <c r="M26" s="679">
        <f t="shared" si="0"/>
        <v>3.1818032474649949E-4</v>
      </c>
    </row>
    <row r="27" spans="1:13">
      <c r="A27" s="678" t="s">
        <v>876</v>
      </c>
      <c r="B27" s="674" t="s">
        <v>150</v>
      </c>
      <c r="C27" s="676">
        <v>7781</v>
      </c>
      <c r="D27" s="676">
        <v>9330</v>
      </c>
      <c r="E27" s="676">
        <v>13340</v>
      </c>
      <c r="F27" s="676">
        <v>11791</v>
      </c>
      <c r="G27" s="677">
        <v>11947</v>
      </c>
      <c r="I27" s="679">
        <f t="shared" si="1"/>
        <v>1.7586032788989756E-3</v>
      </c>
      <c r="J27" s="679">
        <f t="shared" si="1"/>
        <v>2.3193464066910536E-3</v>
      </c>
      <c r="K27" s="679">
        <f t="shared" si="0"/>
        <v>3.190314454037709E-3</v>
      </c>
      <c r="L27" s="679">
        <f t="shared" si="0"/>
        <v>2.845898151071309E-3</v>
      </c>
      <c r="M27" s="679">
        <f t="shared" si="0"/>
        <v>2.9513201395546811E-3</v>
      </c>
    </row>
    <row r="28" spans="1:13">
      <c r="A28" s="678" t="s">
        <v>877</v>
      </c>
      <c r="B28" s="674" t="s">
        <v>150</v>
      </c>
      <c r="C28" s="676">
        <v>8980</v>
      </c>
      <c r="D28" s="676">
        <v>8496</v>
      </c>
      <c r="E28" s="676">
        <v>16380</v>
      </c>
      <c r="F28" s="676">
        <v>12863</v>
      </c>
      <c r="G28" s="677">
        <v>14763</v>
      </c>
      <c r="I28" s="679">
        <f t="shared" si="1"/>
        <v>2.0295922689259481E-3</v>
      </c>
      <c r="J28" s="679">
        <f t="shared" si="1"/>
        <v>2.1120221941315315E-3</v>
      </c>
      <c r="K28" s="679">
        <f t="shared" si="0"/>
        <v>3.9173426354675916E-3</v>
      </c>
      <c r="L28" s="679">
        <f t="shared" si="0"/>
        <v>3.1046381067958823E-3</v>
      </c>
      <c r="M28" s="679">
        <f t="shared" si="0"/>
        <v>3.6469690483172139E-3</v>
      </c>
    </row>
    <row r="29" spans="1:13">
      <c r="A29" s="678" t="s">
        <v>878</v>
      </c>
      <c r="B29" s="674" t="s">
        <v>150</v>
      </c>
      <c r="C29" s="676">
        <v>3081</v>
      </c>
      <c r="D29" s="676">
        <v>3629</v>
      </c>
      <c r="E29" s="676">
        <v>3490</v>
      </c>
      <c r="F29" s="676">
        <v>3941</v>
      </c>
      <c r="G29" s="677">
        <v>4106</v>
      </c>
      <c r="I29" s="679">
        <f t="shared" si="1"/>
        <v>6.9634451899341259E-4</v>
      </c>
      <c r="J29" s="679">
        <f t="shared" si="1"/>
        <v>9.0213377383513752E-4</v>
      </c>
      <c r="K29" s="679">
        <f t="shared" si="0"/>
        <v>8.3464748460206929E-4</v>
      </c>
      <c r="L29" s="679">
        <f t="shared" si="0"/>
        <v>9.5120724394640217E-4</v>
      </c>
      <c r="M29" s="679">
        <f t="shared" si="0"/>
        <v>1.0143233023362785E-3</v>
      </c>
    </row>
    <row r="30" spans="1:13">
      <c r="A30" s="678" t="s">
        <v>128</v>
      </c>
      <c r="B30" s="674" t="s">
        <v>150</v>
      </c>
      <c r="C30" s="676">
        <v>10599</v>
      </c>
      <c r="D30" s="676">
        <v>10420</v>
      </c>
      <c r="E30" s="676">
        <v>11285</v>
      </c>
      <c r="F30" s="676">
        <v>9849</v>
      </c>
      <c r="G30" s="677">
        <v>11052</v>
      </c>
      <c r="I30" s="679">
        <f t="shared" si="1"/>
        <v>2.3955065098380983E-3</v>
      </c>
      <c r="J30" s="679">
        <f t="shared" si="1"/>
        <v>2.590309706079397E-3</v>
      </c>
      <c r="K30" s="679">
        <f t="shared" si="0"/>
        <v>2.69885296955139E-3</v>
      </c>
      <c r="L30" s="679">
        <f t="shared" si="0"/>
        <v>2.3771733432195168E-3</v>
      </c>
      <c r="M30" s="679">
        <f t="shared" si="0"/>
        <v>2.7302243393620435E-3</v>
      </c>
    </row>
    <row r="31" spans="1:13">
      <c r="A31" s="678" t="s">
        <v>879</v>
      </c>
      <c r="B31" s="674" t="s">
        <v>150</v>
      </c>
      <c r="C31" s="677" t="s">
        <v>869</v>
      </c>
      <c r="D31" s="677" t="s">
        <v>869</v>
      </c>
      <c r="E31" s="676">
        <v>999</v>
      </c>
      <c r="F31" s="676">
        <v>931</v>
      </c>
      <c r="G31" s="677">
        <v>1278</v>
      </c>
      <c r="I31" s="679">
        <f>AVERAGE(J31:L31)</f>
        <v>2.318113905041391E-4</v>
      </c>
      <c r="J31" s="679">
        <f>AVERAGE(K31:L31)</f>
        <v>2.318113905041391E-4</v>
      </c>
      <c r="K31" s="679">
        <f t="shared" ref="K31:M39" si="2">E31/E$85</f>
        <v>2.3891485304225422E-4</v>
      </c>
      <c r="L31" s="679">
        <f t="shared" si="2"/>
        <v>2.2470792796602397E-4</v>
      </c>
      <c r="M31" s="679">
        <f t="shared" si="2"/>
        <v>3.1570998061026888E-4</v>
      </c>
    </row>
    <row r="32" spans="1:13">
      <c r="A32" s="678" t="s">
        <v>137</v>
      </c>
      <c r="B32" s="674" t="s">
        <v>150</v>
      </c>
      <c r="C32" s="676">
        <v>333933</v>
      </c>
      <c r="D32" s="676">
        <v>269397</v>
      </c>
      <c r="E32" s="676">
        <v>242970</v>
      </c>
      <c r="F32" s="676">
        <v>239601</v>
      </c>
      <c r="G32" s="677">
        <v>219626</v>
      </c>
      <c r="I32" s="679">
        <f t="shared" si="1"/>
        <v>7.5473032866286038E-2</v>
      </c>
      <c r="J32" s="679">
        <f t="shared" si="1"/>
        <v>6.6969449509469425E-2</v>
      </c>
      <c r="K32" s="679">
        <f t="shared" si="2"/>
        <v>5.8107249092769271E-2</v>
      </c>
      <c r="L32" s="679">
        <f t="shared" si="2"/>
        <v>5.7830552361533095E-2</v>
      </c>
      <c r="M32" s="679">
        <f t="shared" si="2"/>
        <v>5.4255180126377867E-2</v>
      </c>
    </row>
    <row r="33" spans="1:13">
      <c r="A33" s="678" t="s">
        <v>110</v>
      </c>
      <c r="B33" s="674" t="s">
        <v>150</v>
      </c>
      <c r="C33" s="676">
        <v>26991</v>
      </c>
      <c r="D33" s="676">
        <v>32121</v>
      </c>
      <c r="E33" s="676">
        <v>36845</v>
      </c>
      <c r="F33" s="676">
        <v>46735</v>
      </c>
      <c r="G33" s="677">
        <v>53520</v>
      </c>
      <c r="I33" s="679">
        <f t="shared" si="1"/>
        <v>6.1003034443853294E-3</v>
      </c>
      <c r="J33" s="679">
        <f t="shared" si="1"/>
        <v>7.9849652657366915E-3</v>
      </c>
      <c r="K33" s="679">
        <f t="shared" si="2"/>
        <v>8.8116293897315887E-3</v>
      </c>
      <c r="L33" s="679">
        <f t="shared" si="2"/>
        <v>1.1280048349615606E-2</v>
      </c>
      <c r="M33" s="679">
        <f t="shared" si="2"/>
        <v>1.3221281817106096E-2</v>
      </c>
    </row>
    <row r="34" spans="1:13">
      <c r="A34" s="678" t="s">
        <v>142</v>
      </c>
      <c r="B34" s="674" t="s">
        <v>150</v>
      </c>
      <c r="C34" s="676">
        <v>75010</v>
      </c>
      <c r="D34" s="676">
        <v>71571</v>
      </c>
      <c r="E34" s="676">
        <v>82665</v>
      </c>
      <c r="F34" s="676">
        <v>59875</v>
      </c>
      <c r="G34" s="677">
        <v>76542</v>
      </c>
      <c r="I34" s="679">
        <f t="shared" si="1"/>
        <v>1.6953197783088569E-2</v>
      </c>
      <c r="J34" s="679">
        <f t="shared" si="1"/>
        <v>1.7791847982131338E-2</v>
      </c>
      <c r="K34" s="679">
        <f t="shared" si="2"/>
        <v>1.9769665992730674E-2</v>
      </c>
      <c r="L34" s="679">
        <f t="shared" si="2"/>
        <v>1.4451543702433603E-2</v>
      </c>
      <c r="M34" s="679">
        <f t="shared" si="2"/>
        <v>1.8908508087536149E-2</v>
      </c>
    </row>
    <row r="35" spans="1:13">
      <c r="A35" s="678" t="s">
        <v>143</v>
      </c>
      <c r="B35" s="674" t="s">
        <v>150</v>
      </c>
      <c r="C35" s="676">
        <v>8745</v>
      </c>
      <c r="D35" s="676">
        <v>15044</v>
      </c>
      <c r="E35" s="676">
        <v>11026</v>
      </c>
      <c r="F35" s="676">
        <v>11513</v>
      </c>
      <c r="G35" s="677">
        <v>11421</v>
      </c>
      <c r="I35" s="679">
        <f t="shared" si="1"/>
        <v>1.9764793309306698E-3</v>
      </c>
      <c r="J35" s="679">
        <f t="shared" si="1"/>
        <v>3.7397907119249953E-3</v>
      </c>
      <c r="K35" s="679">
        <f t="shared" si="2"/>
        <v>2.6369120817256206E-3</v>
      </c>
      <c r="L35" s="679">
        <f t="shared" si="2"/>
        <v>2.7787995431501978E-3</v>
      </c>
      <c r="M35" s="679">
        <f t="shared" si="2"/>
        <v>2.8213800379889523E-3</v>
      </c>
    </row>
    <row r="36" spans="1:13">
      <c r="A36" s="678" t="s">
        <v>880</v>
      </c>
      <c r="B36" s="674" t="s">
        <v>150</v>
      </c>
      <c r="C36" s="677" t="s">
        <v>869</v>
      </c>
      <c r="D36" s="677" t="s">
        <v>869</v>
      </c>
      <c r="E36" s="676">
        <v>5359</v>
      </c>
      <c r="F36" s="676">
        <v>7222</v>
      </c>
      <c r="G36" s="677">
        <v>8788</v>
      </c>
      <c r="I36" s="679">
        <f>AVERAGE(J36:L36)</f>
        <v>1.512370979166066E-3</v>
      </c>
      <c r="J36" s="679">
        <f>AVERAGE(K36:L36)</f>
        <v>1.5123709791660658E-3</v>
      </c>
      <c r="K36" s="679">
        <f t="shared" si="2"/>
        <v>1.2816263237772176E-3</v>
      </c>
      <c r="L36" s="679">
        <f t="shared" si="2"/>
        <v>1.7431156345549142E-3</v>
      </c>
      <c r="M36" s="679">
        <f t="shared" si="2"/>
        <v>2.1709384269194389E-3</v>
      </c>
    </row>
    <row r="37" spans="1:13">
      <c r="A37" s="678" t="s">
        <v>881</v>
      </c>
      <c r="B37" s="674" t="s">
        <v>150</v>
      </c>
      <c r="C37" s="677" t="s">
        <v>869</v>
      </c>
      <c r="D37" s="677" t="s">
        <v>869</v>
      </c>
      <c r="E37" s="676">
        <v>3986</v>
      </c>
      <c r="F37" s="676">
        <v>2323</v>
      </c>
      <c r="G37" s="677">
        <v>2514</v>
      </c>
      <c r="I37" s="679">
        <f>AVERAGE(J37:L37)</f>
        <v>7.5697578173404903E-4</v>
      </c>
      <c r="J37" s="679">
        <f>AVERAGE(K37:L37)</f>
        <v>7.5697578173404903E-4</v>
      </c>
      <c r="K37" s="679">
        <f t="shared" si="2"/>
        <v>9.5326787209852376E-4</v>
      </c>
      <c r="L37" s="679">
        <f t="shared" si="2"/>
        <v>5.606836913695743E-4</v>
      </c>
      <c r="M37" s="679">
        <f t="shared" si="2"/>
        <v>6.210445158483693E-4</v>
      </c>
    </row>
    <row r="38" spans="1:13">
      <c r="A38" s="678" t="s">
        <v>147</v>
      </c>
      <c r="B38" s="674" t="s">
        <v>150</v>
      </c>
      <c r="C38" s="676">
        <v>3465</v>
      </c>
      <c r="D38" s="676">
        <v>4975</v>
      </c>
      <c r="E38" s="676">
        <v>10647</v>
      </c>
      <c r="F38" s="676">
        <v>5900</v>
      </c>
      <c r="G38" s="677">
        <v>5496</v>
      </c>
      <c r="I38" s="679">
        <f t="shared" si="1"/>
        <v>7.8313331980271825E-4</v>
      </c>
      <c r="J38" s="679">
        <f t="shared" si="1"/>
        <v>1.2367361600523034E-3</v>
      </c>
      <c r="K38" s="679">
        <f t="shared" si="2"/>
        <v>2.5462727130539345E-3</v>
      </c>
      <c r="L38" s="679">
        <f t="shared" si="2"/>
        <v>1.4240352040811402E-3</v>
      </c>
      <c r="M38" s="679">
        <f t="shared" si="2"/>
        <v>1.35770113727233E-3</v>
      </c>
    </row>
    <row r="39" spans="1:13">
      <c r="A39" s="678" t="s">
        <v>123</v>
      </c>
      <c r="B39" s="674" t="s">
        <v>150</v>
      </c>
      <c r="C39" s="676">
        <v>214347</v>
      </c>
      <c r="D39" s="676">
        <v>201574</v>
      </c>
      <c r="E39" s="676">
        <v>219224</v>
      </c>
      <c r="F39" s="676">
        <v>225682</v>
      </c>
      <c r="G39" s="677">
        <v>211278</v>
      </c>
      <c r="I39" s="679">
        <f t="shared" si="1"/>
        <v>4.8445101789250572E-2</v>
      </c>
      <c r="J39" s="679">
        <f t="shared" si="1"/>
        <v>5.010931753294131E-2</v>
      </c>
      <c r="K39" s="679">
        <f t="shared" si="2"/>
        <v>5.2428298041376512E-2</v>
      </c>
      <c r="L39" s="679">
        <f t="shared" si="2"/>
        <v>5.4471036089396588E-2</v>
      </c>
      <c r="M39" s="679">
        <f t="shared" si="2"/>
        <v>5.219293684145257E-2</v>
      </c>
    </row>
    <row r="40" spans="1:13">
      <c r="A40" s="678" t="s">
        <v>150</v>
      </c>
      <c r="B40" s="674" t="s">
        <v>150</v>
      </c>
      <c r="C40" s="677" t="s">
        <v>869</v>
      </c>
      <c r="D40" s="677" t="s">
        <v>869</v>
      </c>
      <c r="E40" s="677" t="s">
        <v>869</v>
      </c>
      <c r="F40" s="676">
        <v>0</v>
      </c>
      <c r="G40" s="677">
        <v>0</v>
      </c>
      <c r="I40" s="679"/>
      <c r="J40" s="679"/>
      <c r="K40" s="679"/>
      <c r="L40" s="679"/>
    </row>
    <row r="41" spans="1:13">
      <c r="A41" s="678" t="s">
        <v>157</v>
      </c>
      <c r="B41" s="674" t="s">
        <v>150</v>
      </c>
      <c r="C41" s="676">
        <v>312360</v>
      </c>
      <c r="D41" s="676">
        <v>313372</v>
      </c>
      <c r="E41" s="676">
        <v>280943</v>
      </c>
      <c r="F41" s="676">
        <v>287944</v>
      </c>
      <c r="G41" s="677">
        <v>285849</v>
      </c>
      <c r="I41" s="679">
        <f t="shared" si="1"/>
        <v>7.0597265158319503E-2</v>
      </c>
      <c r="J41" s="679">
        <f t="shared" si="1"/>
        <v>7.7901202803600078E-2</v>
      </c>
      <c r="K41" s="679">
        <f>E41/E$85</f>
        <v>6.7188644202452477E-2</v>
      </c>
      <c r="L41" s="679">
        <f>F41/F$85</f>
        <v>6.9498710644735562E-2</v>
      </c>
      <c r="M41" s="679">
        <f>G41/G$85</f>
        <v>7.061454009973768E-2</v>
      </c>
    </row>
    <row r="42" spans="1:13">
      <c r="A42" s="674" t="s">
        <v>882</v>
      </c>
      <c r="B42" s="674" t="s">
        <v>150</v>
      </c>
      <c r="C42" s="676">
        <v>4033810</v>
      </c>
      <c r="D42" s="676">
        <v>3727430</v>
      </c>
      <c r="E42" s="676">
        <v>3933746</v>
      </c>
      <c r="F42" s="676">
        <v>3895275</v>
      </c>
      <c r="G42" s="677">
        <v>3805194</v>
      </c>
    </row>
    <row r="43" spans="1:13">
      <c r="A43" s="674" t="s">
        <v>883</v>
      </c>
      <c r="B43" s="674" t="s">
        <v>150</v>
      </c>
      <c r="C43" s="677" t="s">
        <v>869</v>
      </c>
      <c r="D43" s="677" t="s">
        <v>869</v>
      </c>
      <c r="E43" s="677" t="s">
        <v>869</v>
      </c>
      <c r="F43" s="677" t="s">
        <v>869</v>
      </c>
      <c r="G43" s="677" t="s">
        <v>869</v>
      </c>
    </row>
    <row r="44" spans="1:13">
      <c r="A44" s="674" t="s">
        <v>884</v>
      </c>
      <c r="B44" s="674" t="s">
        <v>150</v>
      </c>
      <c r="C44" s="675">
        <v>1232359</v>
      </c>
      <c r="D44" s="676">
        <v>1277725</v>
      </c>
      <c r="E44" s="676">
        <v>1358821</v>
      </c>
      <c r="F44" s="676">
        <v>1345733</v>
      </c>
      <c r="G44" s="677">
        <v>1348415</v>
      </c>
    </row>
    <row r="45" spans="1:13">
      <c r="A45" s="678" t="s">
        <v>885</v>
      </c>
      <c r="B45" s="674" t="s">
        <v>150</v>
      </c>
      <c r="C45" s="676">
        <v>11245</v>
      </c>
      <c r="D45" s="676">
        <v>8355</v>
      </c>
      <c r="E45" s="676">
        <v>6632</v>
      </c>
      <c r="F45" s="676">
        <v>8817</v>
      </c>
      <c r="G45" s="677">
        <v>7897</v>
      </c>
      <c r="I45" s="679">
        <f t="shared" ref="I45:L50" si="3">C45/C$85</f>
        <v>2.5415105861995861E-3</v>
      </c>
      <c r="J45" s="679">
        <f t="shared" si="3"/>
        <v>2.0769709783390942E-3</v>
      </c>
      <c r="K45" s="679">
        <f t="shared" si="3"/>
        <v>1.586069374750981E-3</v>
      </c>
      <c r="L45" s="679">
        <f t="shared" si="3"/>
        <v>2.1280878634548158E-3</v>
      </c>
    </row>
    <row r="46" spans="1:13">
      <c r="A46" s="678" t="s">
        <v>139</v>
      </c>
      <c r="B46" s="674" t="s">
        <v>150</v>
      </c>
      <c r="C46" s="676">
        <v>1102167</v>
      </c>
      <c r="D46" s="676">
        <v>1190194</v>
      </c>
      <c r="E46" s="676">
        <v>1267720</v>
      </c>
      <c r="F46" s="676">
        <v>1238771</v>
      </c>
      <c r="G46" s="677">
        <v>1238971</v>
      </c>
      <c r="I46" s="679">
        <f t="shared" si="3"/>
        <v>0.24910352141039033</v>
      </c>
      <c r="J46" s="679">
        <f t="shared" si="3"/>
        <v>0.29587054417633996</v>
      </c>
      <c r="K46" s="679">
        <f t="shared" si="3"/>
        <v>0.30318031781654303</v>
      </c>
      <c r="L46" s="679">
        <f t="shared" si="3"/>
        <v>0.29899212098216915</v>
      </c>
    </row>
    <row r="47" spans="1:13">
      <c r="A47" s="678" t="s">
        <v>151</v>
      </c>
      <c r="B47" s="674" t="s">
        <v>150</v>
      </c>
      <c r="C47" s="676">
        <v>118947</v>
      </c>
      <c r="D47" s="676">
        <v>79176</v>
      </c>
      <c r="E47" s="676">
        <v>84468</v>
      </c>
      <c r="F47" s="676">
        <v>98145</v>
      </c>
      <c r="G47" s="677">
        <v>101546</v>
      </c>
      <c r="I47" s="679">
        <f t="shared" si="3"/>
        <v>2.6883509088188724E-2</v>
      </c>
      <c r="J47" s="679">
        <f t="shared" si="3"/>
        <v>1.9682376323276619E-2</v>
      </c>
      <c r="K47" s="679">
        <f t="shared" si="3"/>
        <v>2.0200860667440569E-2</v>
      </c>
      <c r="L47" s="679">
        <f t="shared" si="3"/>
        <v>2.3688463577041269E-2</v>
      </c>
    </row>
    <row r="48" spans="1:13">
      <c r="A48" s="678" t="s">
        <v>154</v>
      </c>
      <c r="B48" s="674" t="s">
        <v>150</v>
      </c>
      <c r="C48" s="676">
        <v>8275</v>
      </c>
      <c r="D48" s="676">
        <v>10579</v>
      </c>
      <c r="E48" s="676">
        <v>8830</v>
      </c>
      <c r="F48" s="676">
        <v>10538</v>
      </c>
      <c r="G48" s="677">
        <v>10799</v>
      </c>
      <c r="I48" s="679">
        <f t="shared" si="3"/>
        <v>1.8702534549401135E-3</v>
      </c>
      <c r="J48" s="679">
        <f t="shared" si="3"/>
        <v>2.6298355451644861E-3</v>
      </c>
      <c r="K48" s="679">
        <f t="shared" si="3"/>
        <v>2.1117298822453498E-3</v>
      </c>
      <c r="L48" s="679">
        <f t="shared" si="3"/>
        <v>2.5434716916283144E-3</v>
      </c>
    </row>
    <row r="49" spans="1:12">
      <c r="A49" s="284" t="s">
        <v>172</v>
      </c>
      <c r="B49" s="674" t="s">
        <v>150</v>
      </c>
      <c r="C49" s="676">
        <v>93163</v>
      </c>
      <c r="D49" s="676">
        <v>100489</v>
      </c>
      <c r="E49" s="676">
        <v>82466</v>
      </c>
      <c r="F49" s="676">
        <v>99613</v>
      </c>
      <c r="G49" s="677">
        <v>91120</v>
      </c>
      <c r="I49" s="679">
        <f t="shared" si="3"/>
        <v>2.1056002733847227E-2</v>
      </c>
      <c r="J49" s="679">
        <f t="shared" si="3"/>
        <v>2.4980578891958979E-2</v>
      </c>
      <c r="K49" s="679">
        <f t="shared" si="3"/>
        <v>1.9722074345327863E-2</v>
      </c>
      <c r="L49" s="679">
        <f t="shared" si="3"/>
        <v>2.4042782844768577E-2</v>
      </c>
    </row>
    <row r="50" spans="1:12">
      <c r="A50" s="678" t="s">
        <v>155</v>
      </c>
      <c r="B50" s="674" t="s">
        <v>150</v>
      </c>
      <c r="C50" s="677" t="s">
        <v>869</v>
      </c>
      <c r="D50" s="677" t="s">
        <v>869</v>
      </c>
      <c r="E50" s="676">
        <v>4350</v>
      </c>
      <c r="F50" s="676">
        <v>3979</v>
      </c>
      <c r="G50" s="677">
        <v>5870</v>
      </c>
      <c r="I50" s="679">
        <f>AVERAGE(J50:L50)</f>
        <v>1.0003494633863755E-3</v>
      </c>
      <c r="J50" s="679">
        <f>AVERAGE(K50:L50)</f>
        <v>1.0003494633863755E-3</v>
      </c>
      <c r="K50" s="679">
        <f t="shared" si="3"/>
        <v>1.0403199306644702E-3</v>
      </c>
      <c r="L50" s="679">
        <f t="shared" si="3"/>
        <v>9.6037899610828073E-4</v>
      </c>
    </row>
    <row r="51" spans="1:12">
      <c r="A51" s="674" t="s">
        <v>887</v>
      </c>
      <c r="B51" s="674" t="s">
        <v>150</v>
      </c>
      <c r="C51" s="675">
        <v>271777</v>
      </c>
      <c r="D51" s="676">
        <v>216079</v>
      </c>
      <c r="E51" s="676">
        <v>163192</v>
      </c>
      <c r="F51" s="676">
        <v>149736</v>
      </c>
      <c r="G51" s="677">
        <v>141279</v>
      </c>
    </row>
    <row r="52" spans="1:12">
      <c r="A52" s="674" t="s">
        <v>888</v>
      </c>
      <c r="B52" s="674" t="s">
        <v>150</v>
      </c>
      <c r="C52" s="676">
        <v>170339</v>
      </c>
      <c r="D52" s="676">
        <v>105011</v>
      </c>
      <c r="E52" s="676">
        <v>67546</v>
      </c>
      <c r="F52" s="676">
        <v>35606</v>
      </c>
      <c r="G52" s="677">
        <v>33490</v>
      </c>
    </row>
    <row r="53" spans="1:12">
      <c r="A53" s="674" t="s">
        <v>23</v>
      </c>
      <c r="B53" s="674" t="s">
        <v>150</v>
      </c>
      <c r="C53" s="677"/>
      <c r="D53" s="677"/>
      <c r="E53" s="676">
        <v>17379</v>
      </c>
      <c r="F53" s="676">
        <v>14564</v>
      </c>
      <c r="G53" s="677">
        <v>20064</v>
      </c>
    </row>
    <row r="54" spans="1:12">
      <c r="A54" s="678" t="s">
        <v>148</v>
      </c>
      <c r="B54" s="674" t="s">
        <v>150</v>
      </c>
      <c r="C54" s="677" t="s">
        <v>869</v>
      </c>
      <c r="D54" s="677" t="s">
        <v>869</v>
      </c>
      <c r="E54" s="676">
        <v>5463</v>
      </c>
      <c r="F54" s="676">
        <v>3580</v>
      </c>
      <c r="G54" s="677">
        <v>5512</v>
      </c>
      <c r="I54" s="680">
        <f>AVERAGE(J54:K54)</f>
        <v>0.29721157181765701</v>
      </c>
      <c r="J54" s="680">
        <f>AVERAGE(K54:L54)</f>
        <v>0.28007824461926012</v>
      </c>
      <c r="K54" s="680">
        <f>E54/E83</f>
        <v>0.31434489901605384</v>
      </c>
      <c r="L54" s="680">
        <f>F54/F83</f>
        <v>0.24581159022246635</v>
      </c>
    </row>
    <row r="55" spans="1:12">
      <c r="A55" s="674" t="s">
        <v>889</v>
      </c>
      <c r="B55" s="674" t="s">
        <v>150</v>
      </c>
      <c r="C55" s="677" t="s">
        <v>869</v>
      </c>
      <c r="D55" s="677" t="s">
        <v>869</v>
      </c>
      <c r="E55" s="676">
        <v>11915</v>
      </c>
      <c r="F55" s="676">
        <v>10984</v>
      </c>
      <c r="G55" s="677">
        <v>14552</v>
      </c>
    </row>
    <row r="56" spans="1:12">
      <c r="A56" s="674" t="s">
        <v>890</v>
      </c>
      <c r="B56" s="674" t="s">
        <v>150</v>
      </c>
      <c r="C56" s="675">
        <v>240422</v>
      </c>
      <c r="D56" s="676">
        <v>218216</v>
      </c>
      <c r="E56" s="676">
        <v>195345</v>
      </c>
      <c r="F56" s="676">
        <v>232988</v>
      </c>
      <c r="G56" s="677">
        <v>241879</v>
      </c>
    </row>
    <row r="57" spans="1:12">
      <c r="A57" s="674" t="s">
        <v>114</v>
      </c>
      <c r="B57" s="674" t="s">
        <v>150</v>
      </c>
      <c r="C57" s="676">
        <v>19166</v>
      </c>
      <c r="D57" s="676">
        <v>22975</v>
      </c>
      <c r="E57" s="676">
        <v>18868</v>
      </c>
      <c r="F57" s="676">
        <v>22581</v>
      </c>
      <c r="G57" s="677">
        <v>23374</v>
      </c>
      <c r="I57" s="681">
        <f>C57</f>
        <v>19166</v>
      </c>
      <c r="J57" s="681">
        <f t="shared" ref="J57:L58" si="4">D57</f>
        <v>22975</v>
      </c>
      <c r="K57" s="681">
        <f t="shared" si="4"/>
        <v>18868</v>
      </c>
      <c r="L57" s="681">
        <f t="shared" si="4"/>
        <v>22581</v>
      </c>
    </row>
    <row r="58" spans="1:12">
      <c r="A58" s="674" t="s">
        <v>891</v>
      </c>
      <c r="B58" s="674" t="s">
        <v>150</v>
      </c>
      <c r="C58" s="676">
        <v>221256</v>
      </c>
      <c r="D58" s="676">
        <v>195241</v>
      </c>
      <c r="E58" s="676">
        <v>174222</v>
      </c>
      <c r="F58" s="676">
        <v>207437</v>
      </c>
      <c r="G58" s="677">
        <v>213445</v>
      </c>
      <c r="I58" s="681">
        <f>C58</f>
        <v>221256</v>
      </c>
      <c r="J58" s="681">
        <f t="shared" si="4"/>
        <v>195241</v>
      </c>
      <c r="K58" s="681">
        <f t="shared" si="4"/>
        <v>174222</v>
      </c>
      <c r="L58" s="681">
        <f t="shared" si="4"/>
        <v>207437</v>
      </c>
    </row>
    <row r="59" spans="1:12">
      <c r="A59" s="674" t="s">
        <v>892</v>
      </c>
      <c r="B59" s="674" t="s">
        <v>150</v>
      </c>
      <c r="C59" s="677" t="s">
        <v>869</v>
      </c>
      <c r="D59" s="677" t="s">
        <v>869</v>
      </c>
      <c r="E59" s="676">
        <v>2254</v>
      </c>
      <c r="F59" s="676">
        <v>2970</v>
      </c>
      <c r="G59" s="677">
        <v>5061</v>
      </c>
    </row>
    <row r="60" spans="1:12">
      <c r="A60" s="674" t="s">
        <v>893</v>
      </c>
      <c r="B60" s="674" t="s">
        <v>150</v>
      </c>
      <c r="C60" s="675">
        <v>19719</v>
      </c>
      <c r="D60" s="676">
        <v>20863</v>
      </c>
      <c r="E60" s="676">
        <v>17143</v>
      </c>
      <c r="F60" s="676">
        <v>24449</v>
      </c>
      <c r="G60" s="677">
        <v>30927</v>
      </c>
    </row>
    <row r="61" spans="1:12">
      <c r="A61" s="674" t="s">
        <v>112</v>
      </c>
      <c r="B61" s="674" t="s">
        <v>150</v>
      </c>
      <c r="C61" s="677" t="s">
        <v>869</v>
      </c>
      <c r="D61" s="677" t="s">
        <v>869</v>
      </c>
      <c r="E61" s="676">
        <v>8041</v>
      </c>
      <c r="F61" s="676">
        <v>13420</v>
      </c>
      <c r="G61" s="677">
        <v>16119</v>
      </c>
      <c r="I61" s="680">
        <f>AVERAGE(J61:K61)</f>
        <v>0.48901524476675284</v>
      </c>
      <c r="J61" s="680">
        <f>AVERAGE(K61:L61)</f>
        <v>0.50897606498704351</v>
      </c>
      <c r="K61" s="680">
        <f>E61/E88</f>
        <v>0.46905442454646212</v>
      </c>
      <c r="L61" s="680">
        <f>F61/F88</f>
        <v>0.54889770542762484</v>
      </c>
    </row>
    <row r="62" spans="1:12">
      <c r="A62" s="674" t="s">
        <v>894</v>
      </c>
      <c r="B62" s="674" t="s">
        <v>150</v>
      </c>
      <c r="C62" s="677" t="s">
        <v>869</v>
      </c>
      <c r="D62" s="677" t="s">
        <v>869</v>
      </c>
      <c r="E62" s="676">
        <v>9102</v>
      </c>
      <c r="F62" s="676">
        <v>11029</v>
      </c>
      <c r="G62" s="677">
        <v>14808</v>
      </c>
    </row>
    <row r="63" spans="1:12">
      <c r="A63" s="674" t="s">
        <v>895</v>
      </c>
      <c r="B63" s="674" t="s">
        <v>150</v>
      </c>
      <c r="C63" s="675">
        <v>176377</v>
      </c>
      <c r="D63" s="676">
        <v>188046</v>
      </c>
      <c r="E63" s="676">
        <v>160391</v>
      </c>
      <c r="F63" s="676">
        <v>190513</v>
      </c>
      <c r="G63" s="677">
        <v>230155</v>
      </c>
    </row>
    <row r="64" spans="1:12">
      <c r="A64" s="674" t="s">
        <v>896</v>
      </c>
      <c r="B64" s="674" t="s">
        <v>150</v>
      </c>
      <c r="C64" s="676">
        <v>56809</v>
      </c>
      <c r="D64" s="676">
        <v>49001</v>
      </c>
      <c r="E64" s="676">
        <v>46982</v>
      </c>
      <c r="F64" s="676">
        <v>55548</v>
      </c>
      <c r="G64" s="677">
        <v>73331</v>
      </c>
      <c r="I64" s="680">
        <f>C64/C$84</f>
        <v>0.34318798327529637</v>
      </c>
      <c r="J64" s="680">
        <f t="shared" ref="J64:L66" si="5">D64/D$84</f>
        <v>0.27293368617622438</v>
      </c>
      <c r="K64" s="680">
        <f t="shared" si="5"/>
        <v>0.32346546174625013</v>
      </c>
      <c r="L64" s="680">
        <f t="shared" si="5"/>
        <v>0.32207268726663646</v>
      </c>
    </row>
    <row r="65" spans="1:12">
      <c r="A65" s="674" t="s">
        <v>132</v>
      </c>
      <c r="B65" s="674" t="s">
        <v>150</v>
      </c>
      <c r="C65" s="676">
        <v>51771</v>
      </c>
      <c r="D65" s="676">
        <v>49745</v>
      </c>
      <c r="E65" s="676">
        <v>45532</v>
      </c>
      <c r="F65" s="676">
        <v>48377</v>
      </c>
      <c r="G65" s="677">
        <v>46718</v>
      </c>
      <c r="I65" s="680">
        <f>C65/C$84</f>
        <v>0.31275299833028863</v>
      </c>
      <c r="J65" s="680">
        <f t="shared" si="5"/>
        <v>0.27707773757344306</v>
      </c>
      <c r="K65" s="680">
        <f t="shared" si="5"/>
        <v>0.31348238483313312</v>
      </c>
      <c r="L65" s="680">
        <f t="shared" si="5"/>
        <v>0.28049453431083154</v>
      </c>
    </row>
    <row r="66" spans="1:12">
      <c r="A66" s="674" t="s">
        <v>897</v>
      </c>
      <c r="B66" s="674" t="s">
        <v>150</v>
      </c>
      <c r="C66" s="676">
        <v>9546</v>
      </c>
      <c r="D66" s="676">
        <v>9917</v>
      </c>
      <c r="E66" s="676">
        <v>8990</v>
      </c>
      <c r="F66" s="676">
        <v>12571</v>
      </c>
      <c r="G66" s="677">
        <v>13664</v>
      </c>
      <c r="I66" s="680">
        <f>C66/C$84</f>
        <v>5.7668194975197221E-2</v>
      </c>
      <c r="J66" s="680">
        <f t="shared" si="5"/>
        <v>5.523730874491576E-2</v>
      </c>
      <c r="K66" s="680">
        <f t="shared" si="5"/>
        <v>6.1895076861325365E-2</v>
      </c>
      <c r="L66" s="680">
        <f t="shared" si="5"/>
        <v>7.2887876280494104E-2</v>
      </c>
    </row>
    <row r="67" spans="1:12">
      <c r="A67" s="674" t="s">
        <v>898</v>
      </c>
      <c r="B67" s="674" t="s">
        <v>150</v>
      </c>
      <c r="C67" s="676">
        <v>58251</v>
      </c>
      <c r="D67" s="676">
        <v>79383</v>
      </c>
      <c r="E67" s="676">
        <v>58888</v>
      </c>
      <c r="F67" s="676">
        <v>74017</v>
      </c>
      <c r="G67" s="677">
        <v>96443</v>
      </c>
    </row>
    <row r="68" spans="1:12">
      <c r="A68" s="674" t="s">
        <v>899</v>
      </c>
      <c r="B68" s="674" t="s">
        <v>150</v>
      </c>
      <c r="C68" s="675">
        <v>22871</v>
      </c>
      <c r="D68" s="676">
        <v>26525</v>
      </c>
      <c r="E68" s="676">
        <v>22341</v>
      </c>
      <c r="F68" s="676">
        <v>26373</v>
      </c>
      <c r="G68" s="677">
        <v>27081</v>
      </c>
    </row>
    <row r="69" spans="1:12">
      <c r="A69" s="674" t="s">
        <v>109</v>
      </c>
      <c r="B69" s="674" t="s">
        <v>150</v>
      </c>
      <c r="C69" s="676">
        <v>19650</v>
      </c>
      <c r="D69" s="676">
        <v>22776</v>
      </c>
      <c r="E69" s="676">
        <v>19680</v>
      </c>
      <c r="F69" s="676">
        <v>23771</v>
      </c>
      <c r="G69" s="677">
        <v>24434</v>
      </c>
      <c r="I69" s="680">
        <f>C69/C$84</f>
        <v>0.11870731523807097</v>
      </c>
      <c r="J69" s="680">
        <f>D69/D$84</f>
        <v>0.12686144438582247</v>
      </c>
      <c r="K69" s="680">
        <f>E69/E$84</f>
        <v>0.13549445079320169</v>
      </c>
      <c r="L69" s="680">
        <f>F69/F$84</f>
        <v>0.13782656169466434</v>
      </c>
    </row>
    <row r="70" spans="1:12">
      <c r="A70" s="674" t="s">
        <v>900</v>
      </c>
      <c r="B70" s="674" t="s">
        <v>150</v>
      </c>
      <c r="C70" s="676">
        <v>3221</v>
      </c>
      <c r="D70" s="676">
        <v>3749</v>
      </c>
      <c r="E70" s="676">
        <v>2661</v>
      </c>
      <c r="F70" s="676">
        <v>2601</v>
      </c>
      <c r="G70" s="677">
        <v>2646</v>
      </c>
    </row>
    <row r="71" spans="1:12">
      <c r="A71" s="674" t="s">
        <v>902</v>
      </c>
      <c r="B71" s="674" t="s">
        <v>150</v>
      </c>
      <c r="C71" s="676">
        <v>5223655</v>
      </c>
      <c r="D71" s="676">
        <v>4728323</v>
      </c>
      <c r="E71" s="676">
        <v>4855275</v>
      </c>
      <c r="F71" s="676">
        <v>4951119</v>
      </c>
      <c r="G71" s="677">
        <v>5005826</v>
      </c>
    </row>
    <row r="72" spans="1:12">
      <c r="A72" s="674" t="s">
        <v>903</v>
      </c>
      <c r="B72" s="674" t="s">
        <v>150</v>
      </c>
      <c r="C72" s="675">
        <v>339751</v>
      </c>
      <c r="D72" s="676">
        <v>251992</v>
      </c>
      <c r="E72" s="676">
        <v>261269</v>
      </c>
      <c r="F72" s="676">
        <v>319077</v>
      </c>
      <c r="G72" s="677">
        <v>407701</v>
      </c>
    </row>
    <row r="73" spans="1:12">
      <c r="A73" s="672">
        <v>1</v>
      </c>
      <c r="B73" s="672">
        <v>2</v>
      </c>
      <c r="C73" s="672">
        <v>3</v>
      </c>
      <c r="D73" s="672">
        <v>4</v>
      </c>
      <c r="E73" s="672">
        <v>5</v>
      </c>
      <c r="F73" s="672">
        <v>6</v>
      </c>
      <c r="G73" s="672">
        <v>7</v>
      </c>
      <c r="H73" s="672">
        <v>8</v>
      </c>
      <c r="I73" s="672">
        <v>9</v>
      </c>
      <c r="J73" s="672">
        <v>10</v>
      </c>
      <c r="K73" s="672">
        <v>11</v>
      </c>
      <c r="L73" s="672">
        <v>12</v>
      </c>
    </row>
    <row r="74" spans="1:12">
      <c r="A74" s="671" t="s">
        <v>927</v>
      </c>
    </row>
    <row r="75" spans="1:12">
      <c r="A75" s="671" t="s">
        <v>928</v>
      </c>
      <c r="B75" s="671" t="s">
        <v>929</v>
      </c>
    </row>
    <row r="76" spans="1:12">
      <c r="A76" s="671" t="s">
        <v>869</v>
      </c>
      <c r="B76" s="671" t="s">
        <v>905</v>
      </c>
    </row>
    <row r="78" spans="1:12">
      <c r="C78" s="672">
        <v>2007</v>
      </c>
      <c r="D78" s="672">
        <v>2008</v>
      </c>
      <c r="E78" s="672">
        <v>2009</v>
      </c>
      <c r="F78" s="672">
        <v>2010</v>
      </c>
      <c r="G78" s="672">
        <v>2011</v>
      </c>
    </row>
    <row r="79" spans="1:12" ht="15">
      <c r="B79" s="682" t="s">
        <v>930</v>
      </c>
      <c r="C79" s="683">
        <f>C11+C44+C51+C56+C60+C63+C68+C72+C53</f>
        <v>5223674</v>
      </c>
      <c r="D79" s="683">
        <f>D11+D44+D51+D56+D60+D63+D68+D72+D53</f>
        <v>4728327</v>
      </c>
      <c r="E79" s="683">
        <f>E11+E44+E51+E56+E60+E63+E68+E72+E53</f>
        <v>4855274</v>
      </c>
      <c r="F79" s="683">
        <f>F11+F44+F51+F56+F60+F63+F68+F72+F53</f>
        <v>4951120</v>
      </c>
      <c r="G79" s="683">
        <f>G11+G44+G51+G56+G60+G63+G68+G72+G53</f>
        <v>5005826</v>
      </c>
    </row>
    <row r="80" spans="1:12">
      <c r="C80" s="679"/>
      <c r="D80" s="679"/>
      <c r="E80" s="679"/>
      <c r="F80" s="679"/>
    </row>
    <row r="82" spans="1:16" ht="15">
      <c r="C82" s="682">
        <v>2007</v>
      </c>
      <c r="D82" s="682">
        <v>2008</v>
      </c>
      <c r="E82" s="682">
        <v>2009</v>
      </c>
      <c r="F82" s="682">
        <v>2010</v>
      </c>
      <c r="G82" s="672">
        <v>2011</v>
      </c>
    </row>
    <row r="83" spans="1:16">
      <c r="A83" s="672" t="s">
        <v>23</v>
      </c>
      <c r="C83" s="684">
        <f>$E$83/SUM($E$84:$E$88)*SUM(C84:C88)</f>
        <v>18545.910855944967</v>
      </c>
      <c r="D83" s="684">
        <f>$E$83/SUM($E$84:$E$88)*SUM(D84:D88)</f>
        <v>16998.161083077357</v>
      </c>
      <c r="E83" s="685">
        <f>E53</f>
        <v>17379</v>
      </c>
      <c r="F83" s="685">
        <f>F53</f>
        <v>14564</v>
      </c>
      <c r="G83" s="685">
        <f>G53</f>
        <v>20064</v>
      </c>
      <c r="H83" s="680">
        <f>C83/SUM(C$83:C$88)</f>
        <v>3.7829736798283852E-3</v>
      </c>
      <c r="I83" s="680">
        <f t="shared" ref="I83:L88" si="6">D83/SUM(D$84:D$88)</f>
        <v>3.7973389129896127E-3</v>
      </c>
      <c r="J83" s="680">
        <f t="shared" si="6"/>
        <v>3.7973389129896127E-3</v>
      </c>
      <c r="K83" s="680">
        <f t="shared" si="6"/>
        <v>3.154102054389419E-3</v>
      </c>
      <c r="L83" s="680">
        <f t="shared" si="6"/>
        <v>4.3826414720118407E-3</v>
      </c>
      <c r="M83" s="680"/>
      <c r="N83" s="680"/>
      <c r="O83" s="680"/>
      <c r="P83" s="680"/>
    </row>
    <row r="84" spans="1:16">
      <c r="A84" s="672" t="s">
        <v>931</v>
      </c>
      <c r="C84" s="681">
        <f>(C63+C68)-C86</f>
        <v>165533.18521770419</v>
      </c>
      <c r="D84" s="681">
        <f>(D63+D68)-D86</f>
        <v>179534.45280609903</v>
      </c>
      <c r="E84" s="681">
        <f>(E63+E68)-E86</f>
        <v>145245.80073051542</v>
      </c>
      <c r="F84" s="681">
        <f>(F63+F68)-F86</f>
        <v>172470.3838485165</v>
      </c>
      <c r="G84" s="681">
        <f>(G63+G68)-G86</f>
        <v>212820.3838485165</v>
      </c>
      <c r="H84" s="680">
        <f t="shared" ref="H84:H88" si="7">C84/SUM(C$83:C$88)</f>
        <v>3.3765269750339527E-2</v>
      </c>
      <c r="I84" s="680">
        <f t="shared" si="6"/>
        <v>4.010746577414314E-2</v>
      </c>
      <c r="J84" s="680">
        <f t="shared" si="6"/>
        <v>3.1736436564953181E-2</v>
      </c>
      <c r="K84" s="680">
        <f t="shared" si="6"/>
        <v>3.7351633618369788E-2</v>
      </c>
      <c r="L84" s="680">
        <f t="shared" si="6"/>
        <v>4.6487013573763322E-2</v>
      </c>
      <c r="M84" s="680"/>
      <c r="N84" s="680"/>
      <c r="O84" s="680"/>
      <c r="P84" s="680"/>
    </row>
    <row r="85" spans="1:16">
      <c r="A85" s="672" t="s">
        <v>25</v>
      </c>
      <c r="C85" s="681">
        <f>C11+C44+C51</f>
        <v>4424534</v>
      </c>
      <c r="D85" s="681">
        <f>D11+D44+D51</f>
        <v>4022685</v>
      </c>
      <c r="E85" s="681">
        <f>E11+E44+E51</f>
        <v>4181406</v>
      </c>
      <c r="F85" s="681">
        <f>F11+F44+F51</f>
        <v>4143156</v>
      </c>
      <c r="G85" s="681">
        <f>G11+G44+G51</f>
        <v>4048019</v>
      </c>
      <c r="H85" s="680">
        <f t="shared" si="7"/>
        <v>0.90251138364230865</v>
      </c>
      <c r="I85" s="680">
        <f t="shared" si="6"/>
        <v>0.89865593169412028</v>
      </c>
      <c r="J85" s="680">
        <f t="shared" si="6"/>
        <v>0.91364380659463984</v>
      </c>
      <c r="K85" s="680">
        <f t="shared" si="6"/>
        <v>0.89727663081954456</v>
      </c>
      <c r="L85" s="680">
        <f t="shared" si="6"/>
        <v>0.88422128931877486</v>
      </c>
      <c r="M85" s="680"/>
      <c r="N85" s="680"/>
      <c r="O85" s="680"/>
      <c r="P85" s="680"/>
    </row>
    <row r="86" spans="1:16">
      <c r="A86" s="672" t="s">
        <v>26</v>
      </c>
      <c r="C86" s="685">
        <v>33714.81478229582</v>
      </c>
      <c r="D86" s="685">
        <v>35036.547193900973</v>
      </c>
      <c r="E86" s="685">
        <v>37486.19926948459</v>
      </c>
      <c r="F86" s="685">
        <v>44415.616151483504</v>
      </c>
      <c r="G86" s="685">
        <v>44415.616151483504</v>
      </c>
      <c r="H86" s="680">
        <f t="shared" si="7"/>
        <v>6.8771093494623299E-3</v>
      </c>
      <c r="I86" s="680">
        <f t="shared" si="6"/>
        <v>7.8270610206566255E-3</v>
      </c>
      <c r="J86" s="680">
        <f t="shared" si="6"/>
        <v>8.1907936697218839E-3</v>
      </c>
      <c r="K86" s="680">
        <f t="shared" si="6"/>
        <v>9.6190185491874473E-3</v>
      </c>
      <c r="L86" s="680">
        <f t="shared" si="6"/>
        <v>9.7018401789498877E-3</v>
      </c>
      <c r="M86" s="680"/>
      <c r="N86" s="680"/>
      <c r="O86" s="680"/>
      <c r="P86" s="680"/>
    </row>
    <row r="87" spans="1:16">
      <c r="A87" s="672" t="s">
        <v>27</v>
      </c>
      <c r="C87" s="681">
        <f>C56</f>
        <v>240422</v>
      </c>
      <c r="D87" s="681">
        <f>D56</f>
        <v>218216</v>
      </c>
      <c r="E87" s="681">
        <f>E56</f>
        <v>195345</v>
      </c>
      <c r="F87" s="681">
        <f>F56</f>
        <v>232988</v>
      </c>
      <c r="G87" s="681">
        <f>G56</f>
        <v>241879</v>
      </c>
      <c r="H87" s="680">
        <f t="shared" si="7"/>
        <v>4.9041004516645399E-2</v>
      </c>
      <c r="I87" s="680">
        <f t="shared" si="6"/>
        <v>4.8748809014517454E-2</v>
      </c>
      <c r="J87" s="680">
        <f t="shared" si="6"/>
        <v>4.2683190629953155E-2</v>
      </c>
      <c r="K87" s="680">
        <f t="shared" si="6"/>
        <v>5.0457836408135261E-2</v>
      </c>
      <c r="L87" s="680">
        <f t="shared" si="6"/>
        <v>5.2834376824598885E-2</v>
      </c>
      <c r="M87" s="680"/>
      <c r="N87" s="680"/>
      <c r="O87" s="680"/>
      <c r="P87" s="680"/>
    </row>
    <row r="88" spans="1:16">
      <c r="A88" s="672" t="s">
        <v>932</v>
      </c>
      <c r="C88" s="681">
        <f>C60</f>
        <v>19719</v>
      </c>
      <c r="D88" s="681">
        <f>D60</f>
        <v>20863</v>
      </c>
      <c r="E88" s="681">
        <f>E60</f>
        <v>17143</v>
      </c>
      <c r="F88" s="681">
        <f>F60</f>
        <v>24449</v>
      </c>
      <c r="G88" s="681">
        <f>G60</f>
        <v>30927</v>
      </c>
      <c r="H88" s="680">
        <f t="shared" si="7"/>
        <v>4.0222590614158874E-3</v>
      </c>
      <c r="I88" s="680">
        <f t="shared" si="6"/>
        <v>4.6607324965624777E-3</v>
      </c>
      <c r="J88" s="680">
        <f t="shared" si="6"/>
        <v>3.7457725407319714E-3</v>
      </c>
      <c r="K88" s="680">
        <f t="shared" si="6"/>
        <v>5.2948806047629022E-3</v>
      </c>
      <c r="L88" s="680">
        <f t="shared" si="6"/>
        <v>6.7554801039129888E-3</v>
      </c>
      <c r="M88" s="680"/>
      <c r="N88" s="680"/>
      <c r="O88" s="680"/>
      <c r="P88" s="680"/>
    </row>
    <row r="89" spans="1:16" ht="15">
      <c r="A89" s="682" t="s">
        <v>328</v>
      </c>
      <c r="C89" s="686">
        <f>SUM(C83:C88)+C72</f>
        <v>5242219.9108559443</v>
      </c>
      <c r="D89" s="686">
        <f>SUM(D83:D88)+D72</f>
        <v>4745325.1610830771</v>
      </c>
      <c r="E89" s="686">
        <f>SUM(E83:E88)+E72</f>
        <v>4855274</v>
      </c>
      <c r="F89" s="686">
        <f>SUM(F83:F88)+F72</f>
        <v>4951120</v>
      </c>
      <c r="G89" s="686">
        <f>SUM(G83:G88)+G72</f>
        <v>5005826</v>
      </c>
      <c r="H89" s="687"/>
      <c r="I89" s="687"/>
      <c r="J89" s="687"/>
      <c r="K89" s="687"/>
    </row>
    <row r="90" spans="1:16">
      <c r="H90" s="685">
        <f>H83*C$72</f>
        <v>1285.2690906953737</v>
      </c>
      <c r="I90" s="685">
        <f t="shared" ref="I90:L95" si="8">I83*D$72</f>
        <v>956.89902736207853</v>
      </c>
      <c r="J90" s="685">
        <f t="shared" si="8"/>
        <v>992.12694045788317</v>
      </c>
      <c r="K90" s="685">
        <f t="shared" si="8"/>
        <v>1006.4014212084127</v>
      </c>
      <c r="L90" s="685">
        <f t="shared" si="8"/>
        <v>1786.8073107806995</v>
      </c>
    </row>
    <row r="91" spans="1:16">
      <c r="H91" s="685">
        <f t="shared" ref="H91:H95" si="9">H84*C$72</f>
        <v>11471.784162947604</v>
      </c>
      <c r="I91" s="685">
        <f t="shared" si="8"/>
        <v>10106.760515357879</v>
      </c>
      <c r="J91" s="685">
        <f t="shared" si="8"/>
        <v>8291.7470448887525</v>
      </c>
      <c r="K91" s="685">
        <f t="shared" si="8"/>
        <v>11918.047200048577</v>
      </c>
      <c r="L91" s="685">
        <f t="shared" si="8"/>
        <v>18952.80192103688</v>
      </c>
    </row>
    <row r="92" spans="1:16">
      <c r="A92" s="672" t="s">
        <v>23</v>
      </c>
      <c r="C92" s="685">
        <f>C83+H90</f>
        <v>19831.179946640339</v>
      </c>
      <c r="D92" s="685">
        <f t="shared" ref="D92:G97" si="10">D83+I90</f>
        <v>17955.060110439437</v>
      </c>
      <c r="E92" s="685">
        <f t="shared" si="10"/>
        <v>18371.126940457882</v>
      </c>
      <c r="F92" s="685">
        <f t="shared" si="10"/>
        <v>15570.401421208413</v>
      </c>
      <c r="G92" s="685">
        <f t="shared" si="10"/>
        <v>21850.807310780699</v>
      </c>
      <c r="H92" s="685">
        <f t="shared" si="9"/>
        <v>306629.14510385803</v>
      </c>
      <c r="I92" s="685">
        <f t="shared" si="8"/>
        <v>226454.10553946477</v>
      </c>
      <c r="J92" s="685">
        <f t="shared" si="8"/>
        <v>238706.80370517497</v>
      </c>
      <c r="K92" s="685">
        <f t="shared" si="8"/>
        <v>286300.3355320078</v>
      </c>
      <c r="L92" s="685">
        <f t="shared" si="8"/>
        <v>360497.90387655381</v>
      </c>
    </row>
    <row r="93" spans="1:16">
      <c r="A93" s="672" t="s">
        <v>931</v>
      </c>
      <c r="C93" s="685">
        <f t="shared" ref="C93:C97" si="11">C84+H91</f>
        <v>177004.9693806518</v>
      </c>
      <c r="D93" s="685">
        <f t="shared" si="10"/>
        <v>189641.21332145692</v>
      </c>
      <c r="E93" s="685">
        <f t="shared" si="10"/>
        <v>153537.54777540418</v>
      </c>
      <c r="F93" s="685">
        <f t="shared" si="10"/>
        <v>184388.43104856508</v>
      </c>
      <c r="G93" s="685">
        <f t="shared" si="10"/>
        <v>231773.18576955338</v>
      </c>
      <c r="H93" s="685">
        <f t="shared" si="9"/>
        <v>2336.5047785891761</v>
      </c>
      <c r="I93" s="685">
        <f t="shared" si="8"/>
        <v>1972.3567607173043</v>
      </c>
      <c r="J93" s="685">
        <f t="shared" si="8"/>
        <v>2140.000471294567</v>
      </c>
      <c r="K93" s="685">
        <f t="shared" si="8"/>
        <v>3069.2075816190832</v>
      </c>
      <c r="L93" s="685">
        <f t="shared" si="8"/>
        <v>3955.4499427980481</v>
      </c>
    </row>
    <row r="94" spans="1:16">
      <c r="A94" s="672" t="s">
        <v>25</v>
      </c>
      <c r="C94" s="685">
        <f t="shared" si="11"/>
        <v>4731163.1451038579</v>
      </c>
      <c r="D94" s="685">
        <f t="shared" si="10"/>
        <v>4249139.1055394644</v>
      </c>
      <c r="E94" s="685">
        <f t="shared" si="10"/>
        <v>4420112.8037051754</v>
      </c>
      <c r="F94" s="685">
        <f t="shared" si="10"/>
        <v>4429456.3355320077</v>
      </c>
      <c r="G94" s="685">
        <f t="shared" si="10"/>
        <v>4408516.9038765542</v>
      </c>
      <c r="H94" s="685">
        <f t="shared" si="9"/>
        <v>16661.730325534791</v>
      </c>
      <c r="I94" s="685">
        <f t="shared" si="8"/>
        <v>12284.309881186282</v>
      </c>
      <c r="J94" s="685">
        <f t="shared" si="8"/>
        <v>11151.794532697231</v>
      </c>
      <c r="K94" s="685">
        <f t="shared" si="8"/>
        <v>16099.935067598575</v>
      </c>
      <c r="L94" s="685">
        <f t="shared" si="8"/>
        <v>21540.62826576579</v>
      </c>
    </row>
    <row r="95" spans="1:16">
      <c r="A95" s="672" t="s">
        <v>26</v>
      </c>
      <c r="C95" s="685">
        <f t="shared" si="11"/>
        <v>36051.319560884993</v>
      </c>
      <c r="D95" s="685">
        <f t="shared" si="10"/>
        <v>37008.903954618276</v>
      </c>
      <c r="E95" s="685">
        <f t="shared" si="10"/>
        <v>39626.199740779157</v>
      </c>
      <c r="F95" s="685">
        <f t="shared" si="10"/>
        <v>47484.823733102588</v>
      </c>
      <c r="G95" s="685">
        <f t="shared" si="10"/>
        <v>48371.066094281552</v>
      </c>
      <c r="H95" s="685">
        <f t="shared" si="9"/>
        <v>1366.5665383751091</v>
      </c>
      <c r="I95" s="685">
        <f t="shared" si="8"/>
        <v>1174.4673032737719</v>
      </c>
      <c r="J95" s="685">
        <f t="shared" si="8"/>
        <v>978.65424594450144</v>
      </c>
      <c r="K95" s="685">
        <f t="shared" si="8"/>
        <v>1689.4746187259325</v>
      </c>
      <c r="L95" s="685">
        <f t="shared" si="8"/>
        <v>2754.2159938454292</v>
      </c>
    </row>
    <row r="96" spans="1:16">
      <c r="A96" s="672" t="s">
        <v>27</v>
      </c>
      <c r="C96" s="685">
        <f t="shared" si="11"/>
        <v>257083.73032553479</v>
      </c>
      <c r="D96" s="685">
        <f t="shared" si="10"/>
        <v>230500.30988118629</v>
      </c>
      <c r="E96" s="685">
        <f t="shared" si="10"/>
        <v>206496.79453269724</v>
      </c>
      <c r="F96" s="685">
        <f t="shared" si="10"/>
        <v>249087.93506759856</v>
      </c>
      <c r="G96" s="685">
        <f t="shared" si="10"/>
        <v>263419.62826576579</v>
      </c>
    </row>
    <row r="97" spans="1:7">
      <c r="A97" s="672" t="s">
        <v>932</v>
      </c>
      <c r="C97" s="685">
        <f t="shared" si="11"/>
        <v>21085.566538375107</v>
      </c>
      <c r="D97" s="685">
        <f t="shared" si="10"/>
        <v>22037.46730327377</v>
      </c>
      <c r="E97" s="685">
        <f t="shared" si="10"/>
        <v>18121.654245944501</v>
      </c>
      <c r="F97" s="685">
        <f t="shared" si="10"/>
        <v>26138.474618725933</v>
      </c>
      <c r="G97" s="685">
        <f t="shared" si="10"/>
        <v>33681.215993845428</v>
      </c>
    </row>
    <row r="98" spans="1:7" ht="15">
      <c r="C98" s="686">
        <f>SUM(C92:C97)</f>
        <v>5242219.9108559452</v>
      </c>
      <c r="D98" s="686">
        <f t="shared" ref="D98:G98" si="12">SUM(D92:D97)</f>
        <v>4746282.0601104395</v>
      </c>
      <c r="E98" s="686">
        <f t="shared" si="12"/>
        <v>4856266.126940459</v>
      </c>
      <c r="F98" s="686">
        <f t="shared" si="12"/>
        <v>4952126.4014212079</v>
      </c>
      <c r="G98" s="686">
        <f t="shared" si="12"/>
        <v>5007612.8073107805</v>
      </c>
    </row>
    <row r="101" spans="1:7">
      <c r="C101" s="672">
        <v>5224</v>
      </c>
      <c r="D101" s="672">
        <v>4555</v>
      </c>
      <c r="E101" s="672">
        <v>4678</v>
      </c>
      <c r="F101" s="672">
        <v>4816.3455444217207</v>
      </c>
      <c r="G101" s="672">
        <v>4967.9417602521471</v>
      </c>
    </row>
  </sheetData>
  <customSheetViews>
    <customSheetView guid="{BD5E9955-DC4B-4EA0-9160-9EF1C693DE04}">
      <selection activeCell="J100" sqref="J100"/>
      <pageMargins left="0.7" right="0.7" top="0.75" bottom="0.75" header="0.3" footer="0.3"/>
    </customSheetView>
    <customSheetView guid="{1ACDCC85-59E3-4410-927D-E7E5C71B61F5}" state="hidden" topLeftCell="A82">
      <selection activeCell="A11" sqref="A11"/>
      <pageMargins left="0.7" right="0.7" top="0.75" bottom="0.75" header="0.3" footer="0.3"/>
    </customSheetView>
    <customSheetView guid="{9144D9B3-2327-4B3A-89B1-6A595780C3C5}" state="hidden" topLeftCell="A82">
      <selection activeCell="F101" sqref="F101"/>
      <pageMargins left="0.7" right="0.7" top="0.75" bottom="0.75" header="0.3" footer="0.3"/>
    </customSheetView>
    <customSheetView guid="{513032B5-C585-49C2-98E7-9FDE6F7A4BA7}" topLeftCell="A82">
      <selection activeCell="J100" sqref="J100"/>
      <pageMargins left="0.7" right="0.7" top="0.75" bottom="0.75" header="0.3" footer="0.3"/>
    </customSheetView>
    <customSheetView guid="{AF983ECA-536A-40E6-8A04-FF0A375E9ACC}" topLeftCell="A82">
      <selection activeCell="A11" sqref="A11"/>
      <pageMargins left="0.7" right="0.7" top="0.75" bottom="0.75" header="0.3" footer="0.3"/>
    </customSheetView>
  </customSheetViews>
  <pageMargins left="0.7" right="0.7" top="0.75" bottom="0.75" header="0.3" footer="0.3"/>
  <legacyDrawing r:id="rId1"/>
</worksheet>
</file>

<file path=xl/worksheets/sheet34.xml><?xml version="1.0" encoding="utf-8"?>
<worksheet xmlns="http://schemas.openxmlformats.org/spreadsheetml/2006/main" xmlns:r="http://schemas.openxmlformats.org/officeDocument/2006/relationships">
  <dimension ref="A1:V76"/>
  <sheetViews>
    <sheetView workbookViewId="0">
      <selection activeCell="N6" sqref="N6"/>
    </sheetView>
  </sheetViews>
  <sheetFormatPr defaultRowHeight="15"/>
  <cols>
    <col min="8" max="8" width="16.7109375" bestFit="1" customWidth="1"/>
  </cols>
  <sheetData>
    <row r="1" spans="1:18">
      <c r="A1" s="662" t="s">
        <v>921</v>
      </c>
    </row>
    <row r="3" spans="1:18">
      <c r="A3" s="662" t="s">
        <v>852</v>
      </c>
      <c r="B3" s="663">
        <v>41400.597719907411</v>
      </c>
    </row>
    <row r="4" spans="1:18">
      <c r="A4" s="662" t="s">
        <v>853</v>
      </c>
      <c r="B4" s="663">
        <v>41439.498970810186</v>
      </c>
    </row>
    <row r="5" spans="1:18">
      <c r="A5" s="662" t="s">
        <v>854</v>
      </c>
      <c r="B5" s="662" t="s">
        <v>243</v>
      </c>
    </row>
    <row r="7" spans="1:18">
      <c r="A7" s="662" t="s">
        <v>855</v>
      </c>
      <c r="B7" s="662" t="s">
        <v>856</v>
      </c>
    </row>
    <row r="8" spans="1:18">
      <c r="A8" s="662" t="s">
        <v>923</v>
      </c>
      <c r="B8" s="662" t="s">
        <v>924</v>
      </c>
    </row>
    <row r="9" spans="1:18">
      <c r="A9" s="662" t="s">
        <v>860</v>
      </c>
      <c r="B9" s="662" t="s">
        <v>150</v>
      </c>
    </row>
    <row r="11" spans="1:18">
      <c r="A11" s="659" t="s">
        <v>861</v>
      </c>
      <c r="B11" s="659" t="s">
        <v>862</v>
      </c>
      <c r="C11" s="659" t="s">
        <v>863</v>
      </c>
      <c r="D11" s="659" t="s">
        <v>864</v>
      </c>
      <c r="E11" s="659" t="s">
        <v>865</v>
      </c>
      <c r="F11" s="659" t="s">
        <v>866</v>
      </c>
      <c r="G11" s="5" t="s">
        <v>328</v>
      </c>
      <c r="H11" s="247">
        <f>'Tourism Medium DB-LCU'!G22</f>
        <v>8491.2291558126817</v>
      </c>
      <c r="I11" s="247">
        <f>'Tourism Medium DB-LCU'!H22</f>
        <v>8717.646556833155</v>
      </c>
      <c r="J11" s="247">
        <f>'Tourism Medium DB-LCU'!I22</f>
        <v>9244.2489954946413</v>
      </c>
      <c r="K11" s="247">
        <f>'Tourism Medium DB-LCU'!J22</f>
        <v>9353.6700759870073</v>
      </c>
      <c r="L11" s="247">
        <f>'Tourism Medium DB-LCU'!K22</f>
        <v>9959.1190000000006</v>
      </c>
      <c r="M11" s="247">
        <f>'Tourism Medium DB-LCU'!L22</f>
        <v>10913.915999999999</v>
      </c>
      <c r="N11" s="101">
        <f>I11/H11-1</f>
        <v>2.666485580188116E-2</v>
      </c>
      <c r="O11" s="101">
        <f t="shared" ref="O11:R11" si="0">J11/I11-1</f>
        <v>6.0406491044159072E-2</v>
      </c>
      <c r="P11" s="101">
        <f t="shared" si="0"/>
        <v>1.183666521160287E-2</v>
      </c>
      <c r="Q11" s="101">
        <f t="shared" si="0"/>
        <v>6.4728488293308351E-2</v>
      </c>
      <c r="R11" s="101">
        <f t="shared" si="0"/>
        <v>9.5871632822140063E-2</v>
      </c>
    </row>
    <row r="12" spans="1:18" s="666" customFormat="1">
      <c r="A12" s="664" t="s">
        <v>867</v>
      </c>
      <c r="B12" s="665">
        <v>2920.3980000000001</v>
      </c>
      <c r="C12" s="665">
        <v>2528.8809999999999</v>
      </c>
      <c r="D12" s="665">
        <v>2659.393</v>
      </c>
      <c r="E12" s="665">
        <v>2647.6869999999999</v>
      </c>
      <c r="F12" s="665">
        <v>2558.3249999999998</v>
      </c>
      <c r="G12" t="s">
        <v>23</v>
      </c>
      <c r="H12" s="247">
        <f>(H20/H$19)*H$11</f>
        <v>27.236415574045626</v>
      </c>
      <c r="I12" s="247">
        <f>(I20/I$19)*I$11*0.99</f>
        <v>28.294271514968301</v>
      </c>
      <c r="J12" s="247">
        <f>(J20/J$19)*J$11*0.862</f>
        <v>30.144787051452624</v>
      </c>
      <c r="K12" s="247">
        <f>(K20/K$19)*K$11*1.045</f>
        <v>30.733104006390946</v>
      </c>
      <c r="L12" s="247">
        <f>(L20/L$19)*L$11*0.755</f>
        <v>32.809878272139187</v>
      </c>
      <c r="M12" s="247">
        <f>'Tourism Medium DB-LCU'!L23</f>
        <v>36.084965170420752</v>
      </c>
      <c r="N12" s="101">
        <f t="shared" ref="N12:N17" si="1">I12/H12-1</f>
        <v>3.8839763552834583E-2</v>
      </c>
      <c r="O12" s="101">
        <f t="shared" ref="O12:O17" si="2">J12/I12-1</f>
        <v>6.5402480339716851E-2</v>
      </c>
      <c r="P12" s="101">
        <f t="shared" ref="P12:P17" si="3">K12/J12-1</f>
        <v>1.9516374553721461E-2</v>
      </c>
      <c r="Q12" s="101">
        <f t="shared" ref="Q12:R17" si="4">L12/K12-1</f>
        <v>6.7574504199653163E-2</v>
      </c>
      <c r="R12" s="101">
        <f t="shared" si="4"/>
        <v>9.9820147795629977E-2</v>
      </c>
    </row>
    <row r="13" spans="1:18">
      <c r="A13" s="659" t="s">
        <v>868</v>
      </c>
      <c r="B13" s="667" t="s">
        <v>869</v>
      </c>
      <c r="C13" s="667" t="s">
        <v>869</v>
      </c>
      <c r="D13" s="667" t="s">
        <v>869</v>
      </c>
      <c r="E13" s="667" t="s">
        <v>869</v>
      </c>
      <c r="F13" s="667" t="s">
        <v>869</v>
      </c>
      <c r="G13" t="s">
        <v>24</v>
      </c>
      <c r="H13" s="247">
        <f>(H21/H$19)*H$11</f>
        <v>308.08607774925048</v>
      </c>
      <c r="I13" s="247">
        <f>(I21/I$19)*I$11*0.84</f>
        <v>318.04157587558427</v>
      </c>
      <c r="J13" s="247">
        <f>(J21/J$19)*J$11*1.032</f>
        <v>337.94103012077073</v>
      </c>
      <c r="K13" s="247">
        <f>(K21/K$19)*K$11*0.863</f>
        <v>342.54838465105053</v>
      </c>
      <c r="L13" s="247">
        <f>(L21/L$19)*L$11*0.717</f>
        <v>367.65066458663881</v>
      </c>
      <c r="M13" s="247">
        <f>'Tourism Medium DB-LCU'!L24</f>
        <v>407.2371278291526</v>
      </c>
      <c r="N13" s="101">
        <f t="shared" si="1"/>
        <v>3.2314014963170434E-2</v>
      </c>
      <c r="O13" s="101">
        <f t="shared" si="2"/>
        <v>6.2568719798354211E-2</v>
      </c>
      <c r="P13" s="101">
        <f t="shared" si="3"/>
        <v>1.3633605036456276E-2</v>
      </c>
      <c r="Q13" s="101">
        <f t="shared" si="4"/>
        <v>7.3280975944929994E-2</v>
      </c>
      <c r="R13" s="101">
        <f t="shared" si="4"/>
        <v>0.10767412398675269</v>
      </c>
    </row>
    <row r="14" spans="1:18">
      <c r="A14" s="659" t="s">
        <v>870</v>
      </c>
      <c r="B14" s="667" t="s">
        <v>869</v>
      </c>
      <c r="C14" s="667" t="s">
        <v>869</v>
      </c>
      <c r="D14" s="667" t="s">
        <v>869</v>
      </c>
      <c r="E14" s="667" t="s">
        <v>869</v>
      </c>
      <c r="F14" s="667" t="s">
        <v>869</v>
      </c>
      <c r="G14" t="s">
        <v>25</v>
      </c>
      <c r="H14" s="247">
        <f t="shared" ref="H14" si="5">(H22/H$19)*H$11</f>
        <v>7667.8571007239489</v>
      </c>
      <c r="I14" s="247">
        <f>(I22/I$19)*I$11*1.00745</f>
        <v>7866.6543217392427</v>
      </c>
      <c r="J14" s="247">
        <f>(J22/J$19)*J$11*0.9917</f>
        <v>8344.163831356007</v>
      </c>
      <c r="K14" s="247">
        <f>(K22/K$19)*K$11*1.00871</f>
        <v>8439.3126637373425</v>
      </c>
      <c r="L14" s="247">
        <f>(L22/L$19)*L$11*1.0244</f>
        <v>8981.5700284097038</v>
      </c>
      <c r="M14" s="247">
        <f>'Tourism Medium DB-LCU'!L25</f>
        <v>9836.7135169560061</v>
      </c>
      <c r="N14" s="101">
        <f t="shared" si="1"/>
        <v>2.592604666517917E-2</v>
      </c>
      <c r="O14" s="101">
        <f t="shared" si="2"/>
        <v>6.0700456647393652E-2</v>
      </c>
      <c r="P14" s="101">
        <f t="shared" si="3"/>
        <v>1.1403039813741689E-2</v>
      </c>
      <c r="Q14" s="101">
        <f t="shared" si="4"/>
        <v>6.4253735615504848E-2</v>
      </c>
      <c r="R14" s="101">
        <f t="shared" si="4"/>
        <v>9.5210913664469432E-2</v>
      </c>
    </row>
    <row r="15" spans="1:18">
      <c r="A15" s="659" t="s">
        <v>871</v>
      </c>
      <c r="B15" s="660">
        <v>2055.2260000000001</v>
      </c>
      <c r="C15" s="660">
        <v>1692.8420000000001</v>
      </c>
      <c r="D15" s="660">
        <v>1698.7339999999999</v>
      </c>
      <c r="E15" s="660">
        <v>1734.08</v>
      </c>
      <c r="F15" s="660">
        <v>1716.7439999999999</v>
      </c>
      <c r="G15" t="s">
        <v>908</v>
      </c>
      <c r="H15" s="247">
        <f t="shared" ref="H15" si="6">(H23/H$19)*H$11</f>
        <v>37.216996338336124</v>
      </c>
      <c r="I15" s="247">
        <f>(I23/I$19)*I$11*1.01</f>
        <v>38.264220231907309</v>
      </c>
      <c r="J15" s="247">
        <f>(J23/J$19)*J$11*1.007</f>
        <v>40.520405428405837</v>
      </c>
      <c r="K15" s="247">
        <f>(K23/K$19)*K$11*1.002</f>
        <v>41.121226041136822</v>
      </c>
      <c r="L15" s="247">
        <f>(L23/L$19)*L$11*0.99</f>
        <v>43.943387863477184</v>
      </c>
      <c r="M15" s="247">
        <f>'Tourism Medium DB-LCU'!L26</f>
        <v>48.39395592068837</v>
      </c>
      <c r="N15" s="101">
        <f t="shared" si="1"/>
        <v>2.8138323793005071E-2</v>
      </c>
      <c r="O15" s="101">
        <f t="shared" si="2"/>
        <v>5.8963313059158251E-2</v>
      </c>
      <c r="P15" s="101">
        <f t="shared" si="3"/>
        <v>1.4827606150006334E-2</v>
      </c>
      <c r="Q15" s="101">
        <f t="shared" si="4"/>
        <v>6.8630293744576853E-2</v>
      </c>
      <c r="R15" s="101">
        <f t="shared" si="4"/>
        <v>0.10127958433787954</v>
      </c>
    </row>
    <row r="16" spans="1:18">
      <c r="A16" s="659" t="s">
        <v>111</v>
      </c>
      <c r="B16" s="660">
        <v>38.283999999999999</v>
      </c>
      <c r="C16" s="660">
        <v>36.258000000000003</v>
      </c>
      <c r="D16" s="660">
        <v>39.156999999999996</v>
      </c>
      <c r="E16" s="660">
        <v>50.598999999999997</v>
      </c>
      <c r="F16" s="660">
        <v>52.145000000000003</v>
      </c>
      <c r="G16" t="s">
        <v>890</v>
      </c>
      <c r="H16" s="247">
        <f t="shared" ref="H16" si="7">(H24/H$19)*H$11</f>
        <v>416.65891591527003</v>
      </c>
      <c r="I16" s="247">
        <f>(I24/I$19)*I$11*1.018</f>
        <v>431.20611213830216</v>
      </c>
      <c r="J16" s="247">
        <f>(J24/J$19)*J$11*1.155</f>
        <v>454.00899261728284</v>
      </c>
      <c r="K16" s="247">
        <f>(K24/K$19)*K$11*0.982</f>
        <v>462.01333013491194</v>
      </c>
      <c r="L16" s="247">
        <f>(L24/L$19)*L$11*0.94</f>
        <v>492.45456352859901</v>
      </c>
      <c r="M16" s="247">
        <f>'Tourism Medium DB-LCU'!L27</f>
        <v>540.46059206019561</v>
      </c>
      <c r="N16" s="101">
        <f t="shared" si="1"/>
        <v>3.4913920397158682E-2</v>
      </c>
      <c r="O16" s="101">
        <f t="shared" si="2"/>
        <v>5.2881626296769735E-2</v>
      </c>
      <c r="P16" s="101">
        <f t="shared" si="3"/>
        <v>1.7630350164399733E-2</v>
      </c>
      <c r="Q16" s="101">
        <f t="shared" si="4"/>
        <v>6.5888214491123032E-2</v>
      </c>
      <c r="R16" s="101">
        <f t="shared" si="4"/>
        <v>9.7483163091468983E-2</v>
      </c>
    </row>
    <row r="17" spans="1:22">
      <c r="A17" s="659" t="s">
        <v>113</v>
      </c>
      <c r="B17" s="667" t="s">
        <v>869</v>
      </c>
      <c r="C17" s="667" t="s">
        <v>869</v>
      </c>
      <c r="D17" s="660">
        <v>2.2429999999999999</v>
      </c>
      <c r="E17" s="660">
        <v>2.9969999999999999</v>
      </c>
      <c r="F17" s="660">
        <v>3.2789999999999999</v>
      </c>
      <c r="G17" t="s">
        <v>932</v>
      </c>
      <c r="H17" s="247">
        <f>H11-SUM(H12:H16)</f>
        <v>34.173649511831172</v>
      </c>
      <c r="I17" s="247">
        <f t="shared" ref="I17:L17" si="8">I11-SUM(I12:I16)</f>
        <v>35.186055333149852</v>
      </c>
      <c r="J17" s="247">
        <f t="shared" si="8"/>
        <v>37.469948920723255</v>
      </c>
      <c r="K17" s="247">
        <f t="shared" si="8"/>
        <v>37.941367416173307</v>
      </c>
      <c r="L17" s="247">
        <f t="shared" si="8"/>
        <v>40.690477339441713</v>
      </c>
      <c r="M17" s="247">
        <f>'Tourism Medium DB-LCU'!L28</f>
        <v>45.025842063536402</v>
      </c>
      <c r="N17" s="101">
        <f t="shared" si="1"/>
        <v>2.9625335186052482E-2</v>
      </c>
      <c r="O17" s="101">
        <f t="shared" si="2"/>
        <v>6.4909054622604323E-2</v>
      </c>
      <c r="P17" s="101">
        <f t="shared" si="3"/>
        <v>1.2581242009362059E-2</v>
      </c>
      <c r="Q17" s="101">
        <f t="shared" si="4"/>
        <v>7.2456796116856292E-2</v>
      </c>
      <c r="R17" s="101">
        <f t="shared" si="4"/>
        <v>0.10654494632562028</v>
      </c>
    </row>
    <row r="18" spans="1:22">
      <c r="A18" s="659" t="s">
        <v>120</v>
      </c>
      <c r="B18" s="660">
        <v>14.829000000000001</v>
      </c>
      <c r="C18" s="660">
        <v>16.026</v>
      </c>
      <c r="D18" s="660">
        <v>14.372999999999999</v>
      </c>
      <c r="E18" s="660">
        <v>15.711</v>
      </c>
      <c r="F18" s="660">
        <v>17.056000000000001</v>
      </c>
    </row>
    <row r="19" spans="1:22">
      <c r="A19" s="659" t="s">
        <v>121</v>
      </c>
      <c r="B19" s="660">
        <v>420.18299999999999</v>
      </c>
      <c r="C19" s="660">
        <v>389.67500000000001</v>
      </c>
      <c r="D19" s="660">
        <v>521.77099999999996</v>
      </c>
      <c r="E19" s="660">
        <v>488.20699999999999</v>
      </c>
      <c r="F19" s="660">
        <v>412.303</v>
      </c>
      <c r="G19" s="5" t="s">
        <v>328</v>
      </c>
      <c r="H19" s="248">
        <f>SUM(H20:H25)</f>
        <v>5203.5567480927984</v>
      </c>
      <c r="I19" s="248">
        <f t="shared" ref="I19:L19" si="9">SUM(I20:I25)</f>
        <v>4716.4172111490716</v>
      </c>
      <c r="J19" s="248">
        <f t="shared" si="9"/>
        <v>4841.2156495203662</v>
      </c>
      <c r="K19" s="248">
        <f t="shared" si="9"/>
        <v>4930.5560739673192</v>
      </c>
      <c r="L19" s="248">
        <f t="shared" si="9"/>
        <v>4972.6206697705838</v>
      </c>
      <c r="N19" s="253">
        <f>H39</f>
        <v>324.01594724073311</v>
      </c>
      <c r="O19" s="253">
        <f t="shared" ref="O19:R19" si="10">I39</f>
        <v>237.26444161943709</v>
      </c>
      <c r="P19" s="253">
        <f t="shared" si="10"/>
        <v>261.26999999999953</v>
      </c>
      <c r="Q19" s="253">
        <f t="shared" si="10"/>
        <v>319.07600000000002</v>
      </c>
      <c r="R19" s="253">
        <f t="shared" si="10"/>
        <v>407.70100000000002</v>
      </c>
      <c r="S19" s="101">
        <f>O19/N19-1</f>
        <v>-0.26773838250881687</v>
      </c>
      <c r="T19" s="101">
        <f t="shared" ref="T19" si="11">P19/O19-1</f>
        <v>0.1011763845299094</v>
      </c>
      <c r="U19" s="101">
        <f t="shared" ref="U19" si="12">Q19/P19-1</f>
        <v>0.22125004784322955</v>
      </c>
      <c r="V19" s="101">
        <f t="shared" ref="V19" si="13">R19/Q19-1</f>
        <v>0.27775514297534132</v>
      </c>
    </row>
    <row r="20" spans="1:22">
      <c r="A20" s="659" t="s">
        <v>872</v>
      </c>
      <c r="B20" s="660">
        <v>1045.616</v>
      </c>
      <c r="C20" s="660">
        <v>779.01099999999997</v>
      </c>
      <c r="D20" s="660">
        <v>744.53599999999994</v>
      </c>
      <c r="E20" s="660">
        <v>749.48</v>
      </c>
      <c r="F20" s="660">
        <v>752.24800000000005</v>
      </c>
      <c r="G20" t="s">
        <v>23</v>
      </c>
      <c r="H20" s="248">
        <f>N20+H32</f>
        <v>16.690897331061432</v>
      </c>
      <c r="I20" s="248">
        <f t="shared" ref="I20:L20" si="14">O20+I32</f>
        <v>15.462377800855599</v>
      </c>
      <c r="J20" s="248">
        <f t="shared" si="14"/>
        <v>18.314191380508827</v>
      </c>
      <c r="K20" s="248">
        <f t="shared" si="14"/>
        <v>15.502580321741409</v>
      </c>
      <c r="L20" s="248">
        <f t="shared" si="14"/>
        <v>21.698118497926217</v>
      </c>
      <c r="N20">
        <f>(H32/H37)*H39</f>
        <v>0.97484457179486306</v>
      </c>
      <c r="O20">
        <f t="shared" ref="O20:R20" si="15">(I32/I37)*I39</f>
        <v>0.73881942029245817</v>
      </c>
      <c r="P20">
        <f t="shared" si="15"/>
        <v>0.93519138050882644</v>
      </c>
      <c r="Q20">
        <f t="shared" si="15"/>
        <v>0.9385803217414086</v>
      </c>
      <c r="R20">
        <f t="shared" si="15"/>
        <v>1.6341184979262164</v>
      </c>
      <c r="S20" s="101">
        <f>O20/N20-1</f>
        <v>-0.24211567498174646</v>
      </c>
      <c r="T20" s="101">
        <f t="shared" ref="T20:V20" si="16">P20/O20-1</f>
        <v>0.2657915517957492</v>
      </c>
      <c r="U20" s="101">
        <f t="shared" si="16"/>
        <v>3.6237943411521201E-3</v>
      </c>
      <c r="V20" s="101">
        <f t="shared" si="16"/>
        <v>0.74105344004478058</v>
      </c>
    </row>
    <row r="21" spans="1:22">
      <c r="A21" s="659" t="s">
        <v>873</v>
      </c>
      <c r="B21" s="660">
        <v>11.965999999999999</v>
      </c>
      <c r="C21" s="660">
        <v>12.173999999999999</v>
      </c>
      <c r="D21" s="660">
        <v>12.302</v>
      </c>
      <c r="E21" s="660">
        <v>17.151</v>
      </c>
      <c r="F21" s="660">
        <v>17.041</v>
      </c>
      <c r="G21" t="s">
        <v>24</v>
      </c>
      <c r="H21" s="248">
        <f>(N21+H35+H36)-H38</f>
        <v>188.79992041766073</v>
      </c>
      <c r="I21" s="248">
        <f t="shared" ref="I21:L21" si="17">(O21+I35+I36)-I38</f>
        <v>204.84132147547547</v>
      </c>
      <c r="J21" s="248">
        <f t="shared" si="17"/>
        <v>171.49206110449063</v>
      </c>
      <c r="K21" s="248">
        <f t="shared" si="17"/>
        <v>209.23049527903711</v>
      </c>
      <c r="L21" s="248">
        <f t="shared" si="17"/>
        <v>256.02395893542376</v>
      </c>
      <c r="N21">
        <f>(((H35-H38)+H36)/H37)*H39</f>
        <v>11.027003157699866</v>
      </c>
      <c r="O21">
        <f t="shared" ref="O21:R21" si="18">(((I35-I38)+I36)/I37)*I39</f>
        <v>9.7876761474601608</v>
      </c>
      <c r="P21">
        <f t="shared" si="18"/>
        <v>8.75702858174221</v>
      </c>
      <c r="Q21">
        <f t="shared" si="18"/>
        <v>12.66754446688482</v>
      </c>
      <c r="R21">
        <f t="shared" si="18"/>
        <v>19.281556013654537</v>
      </c>
      <c r="S21" s="101">
        <f t="shared" ref="S21:S25" si="19">O21/N21-1</f>
        <v>-0.11239019274011142</v>
      </c>
      <c r="T21" s="101">
        <f t="shared" ref="T21:T25" si="20">P21/O21-1</f>
        <v>-0.10530053816557849</v>
      </c>
      <c r="U21" s="101">
        <f t="shared" ref="U21:U25" si="21">Q21/P21-1</f>
        <v>0.44655739656894133</v>
      </c>
      <c r="V21" s="101">
        <f t="shared" ref="V21:V25" si="22">R21/Q21-1</f>
        <v>0.52212262321714387</v>
      </c>
    </row>
    <row r="22" spans="1:22">
      <c r="A22" s="659" t="s">
        <v>874</v>
      </c>
      <c r="B22" s="660">
        <v>18.507999999999999</v>
      </c>
      <c r="C22" s="660">
        <v>17.428000000000001</v>
      </c>
      <c r="D22" s="660">
        <v>14.766999999999999</v>
      </c>
      <c r="E22" s="660">
        <v>15.22</v>
      </c>
      <c r="F22" s="660">
        <v>18.106000000000002</v>
      </c>
      <c r="G22" t="s">
        <v>25</v>
      </c>
      <c r="H22" s="248">
        <f>N22+H31</f>
        <v>4698.9815994507344</v>
      </c>
      <c r="I22" s="248">
        <f t="shared" ref="I22:L22" si="23">O22+I31</f>
        <v>4224.5409456145198</v>
      </c>
      <c r="J22" s="248">
        <f t="shared" si="23"/>
        <v>4406.4140470457387</v>
      </c>
      <c r="K22" s="248">
        <f t="shared" si="23"/>
        <v>4410.1626390761357</v>
      </c>
      <c r="L22" s="248">
        <f t="shared" si="23"/>
        <v>4377.7111216037074</v>
      </c>
      <c r="N22">
        <f>(H31/H37)*H39</f>
        <v>274.44759945073514</v>
      </c>
      <c r="O22">
        <f t="shared" ref="O22:R22" si="24">(I31/I37)*I39</f>
        <v>201.85594561452027</v>
      </c>
      <c r="P22">
        <f t="shared" si="24"/>
        <v>225.00804704573852</v>
      </c>
      <c r="Q22">
        <f t="shared" si="24"/>
        <v>267.00663907613614</v>
      </c>
      <c r="R22">
        <f t="shared" si="24"/>
        <v>329.69212160370733</v>
      </c>
      <c r="S22" s="101">
        <f t="shared" si="19"/>
        <v>-0.26450096113610011</v>
      </c>
      <c r="T22" s="101">
        <f t="shared" si="20"/>
        <v>0.11469615799888944</v>
      </c>
      <c r="U22" s="101">
        <f t="shared" si="21"/>
        <v>0.18665373341896685</v>
      </c>
      <c r="V22" s="101">
        <f t="shared" si="22"/>
        <v>0.23477125042458824</v>
      </c>
    </row>
    <row r="23" spans="1:22">
      <c r="A23" s="659" t="s">
        <v>126</v>
      </c>
      <c r="B23" s="660">
        <v>13.096</v>
      </c>
      <c r="C23" s="660">
        <v>12.702</v>
      </c>
      <c r="D23" s="660">
        <v>12.848000000000001</v>
      </c>
      <c r="E23" s="660">
        <v>12.041</v>
      </c>
      <c r="F23" s="660">
        <v>11.071999999999999</v>
      </c>
      <c r="G23" t="s">
        <v>908</v>
      </c>
      <c r="H23" s="248">
        <f>N23+H38</f>
        <v>22.807151813530226</v>
      </c>
      <c r="I23" s="248">
        <f t="shared" ref="I23:L23" si="25">O23+I38</f>
        <v>20.496723944798106</v>
      </c>
      <c r="J23" s="248">
        <f t="shared" si="25"/>
        <v>21.07303581380955</v>
      </c>
      <c r="K23" s="248">
        <f t="shared" si="25"/>
        <v>21.632772755926297</v>
      </c>
      <c r="L23" s="248">
        <f t="shared" si="25"/>
        <v>22.162704239045343</v>
      </c>
      <c r="M23" s="688"/>
      <c r="N23">
        <f>(H38/H37)*H39</f>
        <v>1.3320690734910539</v>
      </c>
      <c r="O23">
        <f>(I38/I37)*I39</f>
        <v>0.97936927281341779</v>
      </c>
      <c r="P23">
        <f t="shared" ref="P23:R23" si="26">(J38/J37)*J39</f>
        <v>1.0760683365579726</v>
      </c>
      <c r="Q23">
        <f t="shared" si="26"/>
        <v>1.3097235680785893</v>
      </c>
      <c r="R23">
        <f t="shared" si="26"/>
        <v>1.6691071608145716</v>
      </c>
      <c r="S23" s="101">
        <f t="shared" si="19"/>
        <v>-0.26477590967057674</v>
      </c>
      <c r="T23" s="101">
        <f t="shared" si="20"/>
        <v>9.8736060471622755E-2</v>
      </c>
      <c r="U23" s="101">
        <f t="shared" si="21"/>
        <v>0.21713791176869979</v>
      </c>
      <c r="V23" s="101">
        <f t="shared" si="22"/>
        <v>0.27439652266715386</v>
      </c>
    </row>
    <row r="24" spans="1:22">
      <c r="A24" s="659" t="s">
        <v>149</v>
      </c>
      <c r="B24" s="660">
        <v>88.992999999999995</v>
      </c>
      <c r="C24" s="660">
        <v>79.126000000000005</v>
      </c>
      <c r="D24" s="660">
        <v>81.757000000000005</v>
      </c>
      <c r="E24" s="660">
        <v>88.953000000000003</v>
      </c>
      <c r="F24" s="660">
        <v>84.32</v>
      </c>
      <c r="G24" t="s">
        <v>890</v>
      </c>
      <c r="H24" s="783">
        <f>N24+H33</f>
        <v>255.3350373402362</v>
      </c>
      <c r="I24" s="783">
        <f t="shared" ref="I24:L24" si="27">O24+I33</f>
        <v>229.165949356765</v>
      </c>
      <c r="J24" s="783">
        <f t="shared" si="27"/>
        <v>205.85682232726259</v>
      </c>
      <c r="K24" s="783">
        <f t="shared" si="27"/>
        <v>248.00296511960227</v>
      </c>
      <c r="L24" s="783">
        <f t="shared" si="27"/>
        <v>261.57890770334404</v>
      </c>
      <c r="M24" s="253"/>
      <c r="N24">
        <f>(H33/H37)*H39</f>
        <v>14.913037340236203</v>
      </c>
      <c r="O24">
        <f t="shared" ref="O24:R24" si="28">(I33/I37)*I39</f>
        <v>10.949949356764984</v>
      </c>
      <c r="P24">
        <f t="shared" si="28"/>
        <v>10.511822327262598</v>
      </c>
      <c r="Q24">
        <f t="shared" si="28"/>
        <v>15.014965119602259</v>
      </c>
      <c r="R24">
        <f t="shared" si="28"/>
        <v>19.699907703344063</v>
      </c>
      <c r="S24" s="101">
        <f t="shared" si="19"/>
        <v>-0.26574653392562675</v>
      </c>
      <c r="T24" s="101">
        <f t="shared" si="20"/>
        <v>-4.0011785920425869E-2</v>
      </c>
      <c r="U24" s="101">
        <f t="shared" si="21"/>
        <v>0.42838840423136526</v>
      </c>
      <c r="V24" s="101">
        <f t="shared" si="22"/>
        <v>0.31201821292448706</v>
      </c>
    </row>
    <row r="25" spans="1:22">
      <c r="A25" s="659" t="s">
        <v>124</v>
      </c>
      <c r="B25" s="660">
        <v>128.44800000000001</v>
      </c>
      <c r="C25" s="660">
        <v>122.756</v>
      </c>
      <c r="D25" s="660">
        <v>126.84099999999999</v>
      </c>
      <c r="E25" s="660">
        <v>136.68299999999999</v>
      </c>
      <c r="F25" s="660">
        <v>135.11600000000001</v>
      </c>
      <c r="G25" t="s">
        <v>932</v>
      </c>
      <c r="H25" s="248">
        <f>N25+H34</f>
        <v>20.942141739575071</v>
      </c>
      <c r="I25" s="248">
        <f t="shared" ref="I25:L25" si="29">O25+I34</f>
        <v>21.909892956658485</v>
      </c>
      <c r="J25" s="248">
        <f t="shared" si="29"/>
        <v>18.065491848556466</v>
      </c>
      <c r="K25" s="248">
        <f t="shared" si="29"/>
        <v>26.024621414876115</v>
      </c>
      <c r="L25" s="248">
        <f t="shared" si="29"/>
        <v>33.445858791136565</v>
      </c>
      <c r="N25">
        <f>(H34/H37)*H39</f>
        <v>1.223141739575071</v>
      </c>
      <c r="O25">
        <f t="shared" ref="O25:R25" si="30">(I34/I37)*I39</f>
        <v>1.0468929566584844</v>
      </c>
      <c r="P25">
        <f t="shared" si="30"/>
        <v>0.92249184855646538</v>
      </c>
      <c r="Q25">
        <f t="shared" si="30"/>
        <v>1.5756214148761121</v>
      </c>
      <c r="R25">
        <f t="shared" si="30"/>
        <v>2.5188587911365681</v>
      </c>
      <c r="S25" s="101">
        <f t="shared" si="19"/>
        <v>-0.14409514221779141</v>
      </c>
      <c r="T25" s="101">
        <f t="shared" si="20"/>
        <v>-0.11882887100424055</v>
      </c>
      <c r="U25" s="101">
        <f t="shared" si="21"/>
        <v>0.70800578600415554</v>
      </c>
      <c r="V25" s="101">
        <f t="shared" si="22"/>
        <v>0.59864467908023511</v>
      </c>
    </row>
    <row r="26" spans="1:22">
      <c r="A26" s="659" t="s">
        <v>131</v>
      </c>
      <c r="B26" s="660">
        <v>135.185</v>
      </c>
      <c r="C26" s="660">
        <v>123.79600000000001</v>
      </c>
      <c r="D26" s="660">
        <v>148.59100000000001</v>
      </c>
      <c r="E26" s="660">
        <v>143.673</v>
      </c>
      <c r="F26" s="660">
        <v>136.16999999999999</v>
      </c>
      <c r="I26" s="444">
        <f>I21/H21-1</f>
        <v>8.496508378990919E-2</v>
      </c>
    </row>
    <row r="27" spans="1:22">
      <c r="A27" s="659" t="s">
        <v>875</v>
      </c>
      <c r="B27" s="667" t="s">
        <v>869</v>
      </c>
      <c r="C27" s="667" t="s">
        <v>869</v>
      </c>
      <c r="D27" s="660">
        <v>1.0469999999999999</v>
      </c>
      <c r="E27" s="660">
        <v>0.80500000000000005</v>
      </c>
      <c r="F27" s="660">
        <v>1.288</v>
      </c>
      <c r="I27" s="444">
        <f>I11/H11-1</f>
        <v>2.666485580188116E-2</v>
      </c>
    </row>
    <row r="28" spans="1:22">
      <c r="A28" s="659" t="s">
        <v>876</v>
      </c>
      <c r="B28" s="660">
        <v>7.7809999999999997</v>
      </c>
      <c r="C28" s="660">
        <v>9.33</v>
      </c>
      <c r="D28" s="660">
        <v>13.34</v>
      </c>
      <c r="E28" s="660">
        <v>11.791</v>
      </c>
      <c r="F28" s="660">
        <v>11.946999999999999</v>
      </c>
      <c r="G28" s="659" t="s">
        <v>867</v>
      </c>
      <c r="H28">
        <v>2920.3980000000001</v>
      </c>
      <c r="I28" s="688">
        <v>2528.8809999999999</v>
      </c>
      <c r="J28" s="688">
        <v>2659.393</v>
      </c>
      <c r="K28" s="688">
        <v>2647.6869999999999</v>
      </c>
      <c r="L28" s="688">
        <v>2558.3249999999998</v>
      </c>
    </row>
    <row r="29" spans="1:22">
      <c r="A29" s="659" t="s">
        <v>877</v>
      </c>
      <c r="B29" s="660">
        <v>8.98</v>
      </c>
      <c r="C29" s="660">
        <v>8.4960000000000004</v>
      </c>
      <c r="D29" s="660">
        <v>16.38</v>
      </c>
      <c r="E29" s="660">
        <v>12.863</v>
      </c>
      <c r="F29" s="660">
        <v>14.763</v>
      </c>
      <c r="G29" s="659" t="s">
        <v>884</v>
      </c>
      <c r="H29" s="665">
        <v>1232.3589999999999</v>
      </c>
      <c r="I29" s="665">
        <v>1277.7249999999999</v>
      </c>
      <c r="J29" s="665">
        <v>1358.8209999999999</v>
      </c>
      <c r="K29" s="665">
        <v>1345.7329999999999</v>
      </c>
      <c r="L29" s="665">
        <v>1348.415</v>
      </c>
    </row>
    <row r="30" spans="1:22">
      <c r="A30" s="659" t="s">
        <v>878</v>
      </c>
      <c r="B30" s="660">
        <v>3.081</v>
      </c>
      <c r="C30" s="660">
        <v>3.629</v>
      </c>
      <c r="D30" s="660">
        <v>3.49</v>
      </c>
      <c r="E30" s="660">
        <v>3.9409999999999998</v>
      </c>
      <c r="F30" s="660">
        <v>4.1059999999999999</v>
      </c>
      <c r="G30" s="659" t="s">
        <v>887</v>
      </c>
      <c r="H30" s="665">
        <v>271.77699999999999</v>
      </c>
      <c r="I30" s="665">
        <v>216.07900000000001</v>
      </c>
      <c r="J30" s="665">
        <v>163.19200000000001</v>
      </c>
      <c r="K30" s="665">
        <v>149.73599999999999</v>
      </c>
      <c r="L30" s="665">
        <v>141.279</v>
      </c>
    </row>
    <row r="31" spans="1:22">
      <c r="A31" s="659" t="s">
        <v>128</v>
      </c>
      <c r="B31" s="660">
        <v>10.599</v>
      </c>
      <c r="C31" s="660">
        <v>10.42</v>
      </c>
      <c r="D31" s="660">
        <v>11.285</v>
      </c>
      <c r="E31" s="660">
        <v>9.8490000000000002</v>
      </c>
      <c r="F31" s="660">
        <v>11.052</v>
      </c>
      <c r="G31" s="689" t="s">
        <v>938</v>
      </c>
      <c r="H31" s="253">
        <f>H28+H29+H30</f>
        <v>4424.5339999999997</v>
      </c>
      <c r="I31" s="253">
        <f t="shared" ref="I31:L31" si="31">I28+I29+I30</f>
        <v>4022.6849999999999</v>
      </c>
      <c r="J31" s="253">
        <f t="shared" si="31"/>
        <v>4181.4059999999999</v>
      </c>
      <c r="K31" s="253">
        <f t="shared" si="31"/>
        <v>4143.1559999999999</v>
      </c>
      <c r="L31" s="253">
        <f t="shared" si="31"/>
        <v>4048.0189999999998</v>
      </c>
      <c r="O31" s="101">
        <f>I31/H31-1</f>
        <v>-9.0822897959423443E-2</v>
      </c>
      <c r="P31" s="101">
        <f>J31/I31-1</f>
        <v>3.9456482424052641E-2</v>
      </c>
      <c r="Q31" s="101">
        <f>K31/J31-1</f>
        <v>-9.147640769635812E-3</v>
      </c>
      <c r="R31" s="101">
        <f>L31/K31-1</f>
        <v>-2.2962446984858942E-2</v>
      </c>
    </row>
    <row r="32" spans="1:22">
      <c r="A32" s="659" t="s">
        <v>879</v>
      </c>
      <c r="B32" s="667" t="s">
        <v>869</v>
      </c>
      <c r="C32" s="667" t="s">
        <v>869</v>
      </c>
      <c r="D32" s="660">
        <v>0.999</v>
      </c>
      <c r="E32" s="660">
        <v>0.93100000000000005</v>
      </c>
      <c r="F32" s="660">
        <v>1.278</v>
      </c>
      <c r="G32" s="690" t="s">
        <v>23</v>
      </c>
      <c r="H32" s="690">
        <f>B54</f>
        <v>15.716052759266569</v>
      </c>
      <c r="I32" s="690">
        <f t="shared" ref="I32:L32" si="32">C54</f>
        <v>14.723558380563141</v>
      </c>
      <c r="J32" s="690">
        <f t="shared" si="32"/>
        <v>17.379000000000001</v>
      </c>
      <c r="K32" s="690">
        <f t="shared" si="32"/>
        <v>14.564</v>
      </c>
      <c r="L32" s="690">
        <f t="shared" si="32"/>
        <v>20.064</v>
      </c>
      <c r="O32" s="101">
        <f t="shared" ref="O32:O36" si="33">I32/H32-1</f>
        <v>-6.3151631895497995E-2</v>
      </c>
      <c r="P32" s="101">
        <f t="shared" ref="P32:P36" si="34">J32/I32-1</f>
        <v>0.18035325094661636</v>
      </c>
      <c r="Q32" s="101">
        <f t="shared" ref="Q32:Q36" si="35">K32/J32-1</f>
        <v>-0.16197709879739919</v>
      </c>
      <c r="R32" s="101">
        <f t="shared" ref="R32:R36" si="36">L32/K32-1</f>
        <v>0.37764350453172213</v>
      </c>
    </row>
    <row r="33" spans="1:20">
      <c r="A33" s="659" t="s">
        <v>137</v>
      </c>
      <c r="B33" s="660">
        <v>333.93299999999999</v>
      </c>
      <c r="C33" s="660">
        <v>269.39699999999999</v>
      </c>
      <c r="D33" s="660">
        <v>242.97</v>
      </c>
      <c r="E33" s="660">
        <v>239.601</v>
      </c>
      <c r="F33" s="660">
        <v>219.626</v>
      </c>
      <c r="G33" s="690" t="s">
        <v>890</v>
      </c>
      <c r="H33" s="691">
        <v>240.422</v>
      </c>
      <c r="I33" s="691">
        <v>218.21600000000001</v>
      </c>
      <c r="J33" s="691">
        <v>195.345</v>
      </c>
      <c r="K33" s="691">
        <v>232.988</v>
      </c>
      <c r="L33" s="691">
        <v>241.87899999999999</v>
      </c>
      <c r="O33" s="101">
        <f t="shared" si="33"/>
        <v>-9.2362595769105993E-2</v>
      </c>
      <c r="P33" s="101">
        <f t="shared" si="34"/>
        <v>-0.10480899659053422</v>
      </c>
      <c r="Q33" s="101">
        <f t="shared" si="35"/>
        <v>0.19270009470424121</v>
      </c>
      <c r="R33" s="101">
        <f t="shared" si="36"/>
        <v>3.8160763644479401E-2</v>
      </c>
    </row>
    <row r="34" spans="1:20">
      <c r="A34" s="659" t="s">
        <v>110</v>
      </c>
      <c r="B34" s="660">
        <v>26.991</v>
      </c>
      <c r="C34" s="660">
        <v>32.121000000000002</v>
      </c>
      <c r="D34" s="660">
        <v>36.844999999999999</v>
      </c>
      <c r="E34" s="660">
        <v>46.734999999999999</v>
      </c>
      <c r="F34" s="660">
        <v>53.52</v>
      </c>
      <c r="G34" s="690" t="s">
        <v>893</v>
      </c>
      <c r="H34" s="691">
        <v>19.719000000000001</v>
      </c>
      <c r="I34" s="691">
        <v>20.863</v>
      </c>
      <c r="J34" s="691">
        <v>17.143000000000001</v>
      </c>
      <c r="K34" s="691">
        <v>24.449000000000002</v>
      </c>
      <c r="L34" s="691">
        <v>30.927</v>
      </c>
      <c r="O34" s="101">
        <f t="shared" si="33"/>
        <v>5.8015112328211327E-2</v>
      </c>
      <c r="P34" s="101">
        <f t="shared" si="34"/>
        <v>-0.17830609212481419</v>
      </c>
      <c r="Q34" s="101">
        <f t="shared" si="35"/>
        <v>0.42617978183515137</v>
      </c>
      <c r="R34" s="101">
        <f t="shared" si="36"/>
        <v>0.26495971205366264</v>
      </c>
    </row>
    <row r="35" spans="1:20">
      <c r="A35" s="659" t="s">
        <v>142</v>
      </c>
      <c r="B35" s="660">
        <v>75.010000000000005</v>
      </c>
      <c r="C35" s="660">
        <v>71.570999999999998</v>
      </c>
      <c r="D35" s="660">
        <v>82.665000000000006</v>
      </c>
      <c r="E35" s="660">
        <v>59.875</v>
      </c>
      <c r="F35" s="660">
        <v>76.542000000000002</v>
      </c>
      <c r="G35" s="690" t="s">
        <v>895</v>
      </c>
      <c r="H35" s="691">
        <v>176.37700000000001</v>
      </c>
      <c r="I35" s="691">
        <v>188.04599999999999</v>
      </c>
      <c r="J35" s="691">
        <v>160.39099999999999</v>
      </c>
      <c r="K35" s="691">
        <v>190.51300000000001</v>
      </c>
      <c r="L35" s="691">
        <v>230.155</v>
      </c>
      <c r="O35" s="101">
        <f t="shared" si="33"/>
        <v>6.6159419879008974E-2</v>
      </c>
      <c r="P35" s="101">
        <f t="shared" si="34"/>
        <v>-0.1470650798208949</v>
      </c>
      <c r="Q35" s="101">
        <f t="shared" si="35"/>
        <v>0.1878035550623165</v>
      </c>
      <c r="R35" s="101">
        <f t="shared" si="36"/>
        <v>0.20808028848425031</v>
      </c>
    </row>
    <row r="36" spans="1:20">
      <c r="A36" s="659" t="s">
        <v>143</v>
      </c>
      <c r="B36" s="660">
        <v>8.7449999999999992</v>
      </c>
      <c r="C36" s="660">
        <v>15.044</v>
      </c>
      <c r="D36" s="660">
        <v>11.026</v>
      </c>
      <c r="E36" s="660">
        <v>11.513</v>
      </c>
      <c r="F36" s="660">
        <v>11.420999999999999</v>
      </c>
      <c r="G36" s="659" t="s">
        <v>899</v>
      </c>
      <c r="H36" s="660">
        <v>22.870999999999999</v>
      </c>
      <c r="I36" s="660">
        <v>26.524999999999999</v>
      </c>
      <c r="J36" s="660">
        <v>22.341000000000001</v>
      </c>
      <c r="K36" s="660">
        <v>26.373000000000001</v>
      </c>
      <c r="L36" s="660">
        <v>27.081</v>
      </c>
      <c r="O36" s="101">
        <f t="shared" si="33"/>
        <v>0.15976564207948929</v>
      </c>
      <c r="P36" s="101">
        <f t="shared" si="34"/>
        <v>-0.15773798303487263</v>
      </c>
      <c r="Q36" s="101">
        <f t="shared" si="35"/>
        <v>0.18047535920504898</v>
      </c>
      <c r="R36" s="101">
        <f t="shared" si="36"/>
        <v>2.6845637583892579E-2</v>
      </c>
    </row>
    <row r="37" spans="1:20">
      <c r="A37" s="659" t="s">
        <v>880</v>
      </c>
      <c r="B37" s="667" t="s">
        <v>869</v>
      </c>
      <c r="C37" s="667" t="s">
        <v>869</v>
      </c>
      <c r="D37" s="660">
        <v>5.359</v>
      </c>
      <c r="E37" s="660">
        <v>7.2220000000000004</v>
      </c>
      <c r="F37" s="660">
        <v>8.7880000000000003</v>
      </c>
      <c r="G37" s="693" t="s">
        <v>328</v>
      </c>
      <c r="H37" s="253">
        <f>B72</f>
        <v>5223.6549999999997</v>
      </c>
      <c r="I37" s="253">
        <f>C72</f>
        <v>4728.3230000000003</v>
      </c>
      <c r="J37" s="253">
        <f>D72</f>
        <v>4855.2749999999996</v>
      </c>
      <c r="K37" s="253">
        <f>E72</f>
        <v>4951.1189999999997</v>
      </c>
      <c r="L37" s="253">
        <f>F72</f>
        <v>5005.826</v>
      </c>
      <c r="N37" s="253"/>
      <c r="O37" s="101">
        <f t="shared" ref="O37:O38" si="37">I37/H37-1</f>
        <v>-9.4824792219241005E-2</v>
      </c>
      <c r="P37" s="101">
        <f t="shared" ref="P37:P38" si="38">J37/I37-1</f>
        <v>2.6849265585282334E-2</v>
      </c>
      <c r="Q37" s="101">
        <f t="shared" ref="Q37:Q38" si="39">K37/J37-1</f>
        <v>1.9740179495497223E-2</v>
      </c>
      <c r="R37" s="101">
        <f t="shared" ref="R37:R38" si="40">L37/K37-1</f>
        <v>1.1049421353031663E-2</v>
      </c>
    </row>
    <row r="38" spans="1:20">
      <c r="A38" s="659" t="s">
        <v>881</v>
      </c>
      <c r="B38" s="667" t="s">
        <v>869</v>
      </c>
      <c r="C38" s="667" t="s">
        <v>869</v>
      </c>
      <c r="D38" s="660">
        <v>3.9860000000000002</v>
      </c>
      <c r="E38" s="660">
        <v>2.323</v>
      </c>
      <c r="F38" s="660">
        <v>2.5139999999999998</v>
      </c>
      <c r="G38" s="782" t="s">
        <v>26</v>
      </c>
      <c r="H38" s="247">
        <f>(O39/O41)*H37*0.999</f>
        <v>21.47508274003917</v>
      </c>
      <c r="I38" s="247">
        <f>(P39/P41)*I37*0.86</f>
        <v>19.517354671984688</v>
      </c>
      <c r="J38" s="247">
        <f>(Q39/Q41)*J37*0.555</f>
        <v>19.996967477251577</v>
      </c>
      <c r="K38" s="247">
        <f>(R39/R41)*K37*1.3</f>
        <v>20.323049187847708</v>
      </c>
      <c r="L38" s="247">
        <f>(S39/S41)*L37*1.327</f>
        <v>20.493597078230771</v>
      </c>
      <c r="O38" s="101">
        <f t="shared" si="37"/>
        <v>-9.1162771839029988E-2</v>
      </c>
      <c r="P38" s="101">
        <f t="shared" si="38"/>
        <v>2.457365833266989E-2</v>
      </c>
      <c r="Q38" s="101">
        <f t="shared" si="39"/>
        <v>1.6306558030215301E-2</v>
      </c>
      <c r="R38" s="101">
        <f t="shared" si="40"/>
        <v>8.3918455742872933E-3</v>
      </c>
    </row>
    <row r="39" spans="1:20">
      <c r="A39" s="659" t="s">
        <v>147</v>
      </c>
      <c r="B39" s="660">
        <v>3.4649999999999999</v>
      </c>
      <c r="C39" s="660">
        <v>4.9749999999999996</v>
      </c>
      <c r="D39" s="660">
        <v>10.647</v>
      </c>
      <c r="E39" s="660">
        <v>5.9</v>
      </c>
      <c r="F39" s="660">
        <v>5.4960000000000004</v>
      </c>
      <c r="H39" s="253">
        <f>H37-(H36+H35+H34+H33+H32+H31)</f>
        <v>324.01594724073311</v>
      </c>
      <c r="I39" s="253">
        <f t="shared" ref="I39:L39" si="41">I37-(I36+I35+I34+I33+I32+I31)</f>
        <v>237.26444161943709</v>
      </c>
      <c r="J39" s="253">
        <f t="shared" si="41"/>
        <v>261.26999999999953</v>
      </c>
      <c r="K39" s="253">
        <f t="shared" si="41"/>
        <v>319.07600000000002</v>
      </c>
      <c r="L39" s="253">
        <f t="shared" si="41"/>
        <v>407.70100000000002</v>
      </c>
      <c r="O39" s="247">
        <v>18.012393176967525</v>
      </c>
      <c r="P39" s="247">
        <v>20.864357085449925</v>
      </c>
      <c r="Q39" s="247">
        <v>32.251286703037565</v>
      </c>
      <c r="R39" s="247">
        <v>15.051760634386198</v>
      </c>
      <c r="S39" s="247">
        <v>15.311431508741407</v>
      </c>
      <c r="T39" s="247"/>
    </row>
    <row r="40" spans="1:20">
      <c r="A40" s="659" t="s">
        <v>123</v>
      </c>
      <c r="B40" s="660">
        <v>214.34700000000001</v>
      </c>
      <c r="C40" s="660">
        <v>201.57400000000001</v>
      </c>
      <c r="D40" s="660">
        <v>219.22399999999999</v>
      </c>
      <c r="E40" s="660">
        <v>225.68199999999999</v>
      </c>
      <c r="F40" s="660">
        <v>211.27799999999999</v>
      </c>
    </row>
    <row r="41" spans="1:20">
      <c r="A41" s="659" t="s">
        <v>150</v>
      </c>
      <c r="B41" s="667" t="s">
        <v>869</v>
      </c>
      <c r="C41" s="667" t="s">
        <v>869</v>
      </c>
      <c r="D41" s="667" t="s">
        <v>869</v>
      </c>
      <c r="E41" s="660">
        <v>0</v>
      </c>
      <c r="F41" s="660">
        <v>0</v>
      </c>
      <c r="H41">
        <f>H31/H$37*H$39</f>
        <v>274.44759945073514</v>
      </c>
      <c r="I41">
        <f t="shared" ref="I41:L41" si="42">I31/I$37*I$39</f>
        <v>201.85594561452027</v>
      </c>
      <c r="J41">
        <f t="shared" si="42"/>
        <v>225.00804704573852</v>
      </c>
      <c r="K41">
        <f t="shared" si="42"/>
        <v>267.00663907613614</v>
      </c>
      <c r="L41">
        <f t="shared" si="42"/>
        <v>329.69212160370733</v>
      </c>
      <c r="O41">
        <v>4377</v>
      </c>
      <c r="P41">
        <v>4347</v>
      </c>
      <c r="Q41">
        <v>4346</v>
      </c>
      <c r="R41">
        <v>4767</v>
      </c>
      <c r="S41">
        <v>4963</v>
      </c>
    </row>
    <row r="42" spans="1:20">
      <c r="A42" s="659" t="s">
        <v>157</v>
      </c>
      <c r="B42" s="660">
        <v>312.36</v>
      </c>
      <c r="C42" s="660">
        <v>313.37200000000001</v>
      </c>
      <c r="D42" s="660">
        <v>280.94299999999998</v>
      </c>
      <c r="E42" s="660">
        <v>287.94400000000002</v>
      </c>
      <c r="F42" s="660">
        <v>285.84899999999999</v>
      </c>
      <c r="H42">
        <f t="shared" ref="H42:L44" si="43">H32/H$37*H$39</f>
        <v>0.97484457179486306</v>
      </c>
      <c r="I42">
        <f t="shared" si="43"/>
        <v>0.73881942029245817</v>
      </c>
      <c r="J42">
        <f t="shared" si="43"/>
        <v>0.93519138050882644</v>
      </c>
      <c r="K42">
        <f t="shared" si="43"/>
        <v>0.9385803217414086</v>
      </c>
      <c r="L42">
        <f t="shared" si="43"/>
        <v>1.6341184979262164</v>
      </c>
    </row>
    <row r="43" spans="1:20">
      <c r="A43" s="659" t="s">
        <v>882</v>
      </c>
      <c r="B43" s="660">
        <v>4033.81</v>
      </c>
      <c r="C43" s="660">
        <v>3727.43</v>
      </c>
      <c r="D43" s="660">
        <v>3933.7460000000001</v>
      </c>
      <c r="E43" s="660">
        <v>3895.2750000000001</v>
      </c>
      <c r="F43" s="660">
        <v>3805.194</v>
      </c>
      <c r="H43">
        <f t="shared" si="43"/>
        <v>14.913037340236203</v>
      </c>
      <c r="I43">
        <f t="shared" si="43"/>
        <v>10.949949356764984</v>
      </c>
      <c r="J43">
        <f t="shared" si="43"/>
        <v>10.511822327262598</v>
      </c>
      <c r="K43">
        <f t="shared" si="43"/>
        <v>15.014965119602259</v>
      </c>
      <c r="L43">
        <f t="shared" si="43"/>
        <v>19.699907703344063</v>
      </c>
    </row>
    <row r="44" spans="1:20">
      <c r="A44" s="659" t="s">
        <v>883</v>
      </c>
      <c r="B44" s="667" t="s">
        <v>869</v>
      </c>
      <c r="C44" s="667" t="s">
        <v>869</v>
      </c>
      <c r="D44" s="667" t="s">
        <v>869</v>
      </c>
      <c r="E44" s="667" t="s">
        <v>869</v>
      </c>
      <c r="F44" s="667" t="s">
        <v>869</v>
      </c>
      <c r="H44">
        <f t="shared" si="43"/>
        <v>1.223141739575071</v>
      </c>
      <c r="I44">
        <f t="shared" si="43"/>
        <v>1.0468929566584844</v>
      </c>
      <c r="J44">
        <f t="shared" si="43"/>
        <v>0.92249184855646538</v>
      </c>
      <c r="K44">
        <f t="shared" si="43"/>
        <v>1.5756214148761121</v>
      </c>
      <c r="L44">
        <f t="shared" si="43"/>
        <v>2.5188587911365681</v>
      </c>
    </row>
    <row r="45" spans="1:20" s="666" customFormat="1">
      <c r="A45" s="664" t="s">
        <v>884</v>
      </c>
      <c r="B45" s="665">
        <v>1232.3589999999999</v>
      </c>
      <c r="C45" s="665">
        <v>1277.7249999999999</v>
      </c>
      <c r="D45" s="665">
        <v>1358.8209999999999</v>
      </c>
      <c r="E45" s="665">
        <v>1345.7329999999999</v>
      </c>
      <c r="F45" s="665">
        <v>1348.415</v>
      </c>
      <c r="H45">
        <f>SUM(H35,H36)/H$37*H$39</f>
        <v>12.359072231190918</v>
      </c>
      <c r="I45">
        <f t="shared" ref="I45:L45" si="44">SUM(I35,I36)/I$37*I$39</f>
        <v>10.767045420273581</v>
      </c>
      <c r="J45">
        <f t="shared" si="44"/>
        <v>9.8330969183001837</v>
      </c>
      <c r="K45">
        <f t="shared" si="44"/>
        <v>13.97726803496341</v>
      </c>
      <c r="L45">
        <f t="shared" si="44"/>
        <v>20.95066317446911</v>
      </c>
    </row>
    <row r="46" spans="1:20">
      <c r="A46" s="659" t="s">
        <v>885</v>
      </c>
      <c r="B46" s="660">
        <v>11.244999999999999</v>
      </c>
      <c r="C46" s="660">
        <v>8.3550000000000004</v>
      </c>
      <c r="D46" s="660">
        <v>6.6319999999999997</v>
      </c>
      <c r="E46" s="660">
        <v>8.8170000000000002</v>
      </c>
      <c r="F46" s="660">
        <v>7.8970000000000002</v>
      </c>
    </row>
    <row r="47" spans="1:20">
      <c r="A47" s="659" t="s">
        <v>139</v>
      </c>
      <c r="B47" s="660">
        <v>1102.1669999999999</v>
      </c>
      <c r="C47" s="660">
        <v>1190.194</v>
      </c>
      <c r="D47" s="660">
        <v>1267.72</v>
      </c>
      <c r="E47" s="660">
        <v>1238.771</v>
      </c>
      <c r="F47" s="660">
        <v>1238.971</v>
      </c>
      <c r="G47" t="str">
        <f>G31</f>
        <v>Europe total</v>
      </c>
      <c r="H47" s="253">
        <f>H41+H31</f>
        <v>4698.9815994507344</v>
      </c>
      <c r="I47" s="253">
        <f t="shared" ref="I47:L47" si="45">I41+I31</f>
        <v>4224.5409456145198</v>
      </c>
      <c r="J47" s="253">
        <f t="shared" si="45"/>
        <v>4406.4140470457387</v>
      </c>
      <c r="K47" s="253">
        <f t="shared" si="45"/>
        <v>4410.1626390761357</v>
      </c>
      <c r="L47" s="253">
        <f t="shared" si="45"/>
        <v>4377.7111216037074</v>
      </c>
    </row>
    <row r="48" spans="1:20">
      <c r="A48" s="659" t="s">
        <v>151</v>
      </c>
      <c r="B48" s="660">
        <v>118.947</v>
      </c>
      <c r="C48" s="660">
        <v>79.176000000000002</v>
      </c>
      <c r="D48" s="660">
        <v>84.468000000000004</v>
      </c>
      <c r="E48" s="660">
        <v>98.144999999999996</v>
      </c>
      <c r="F48" s="660">
        <v>101.54600000000001</v>
      </c>
      <c r="G48" t="str">
        <f t="shared" ref="G48:G51" si="46">G32</f>
        <v>Africa</v>
      </c>
      <c r="H48" s="253">
        <f t="shared" ref="H48:L50" si="47">H42+H32</f>
        <v>16.690897331061432</v>
      </c>
      <c r="I48" s="253">
        <f t="shared" si="47"/>
        <v>15.462377800855599</v>
      </c>
      <c r="J48" s="253">
        <f t="shared" si="47"/>
        <v>18.314191380508827</v>
      </c>
      <c r="K48" s="253">
        <f t="shared" si="47"/>
        <v>15.502580321741409</v>
      </c>
      <c r="L48" s="253">
        <f t="shared" si="47"/>
        <v>21.698118497926217</v>
      </c>
    </row>
    <row r="49" spans="1:12">
      <c r="A49" s="659" t="s">
        <v>154</v>
      </c>
      <c r="B49" s="660">
        <v>8.2750000000000004</v>
      </c>
      <c r="C49" s="660">
        <v>10.579000000000001</v>
      </c>
      <c r="D49" s="660">
        <v>8.83</v>
      </c>
      <c r="E49" s="660">
        <v>10.538</v>
      </c>
      <c r="F49" s="660">
        <v>10.798999999999999</v>
      </c>
      <c r="G49" t="str">
        <f t="shared" si="46"/>
        <v>Northern America</v>
      </c>
      <c r="H49" s="253">
        <f t="shared" si="47"/>
        <v>255.3350373402362</v>
      </c>
      <c r="I49" s="253">
        <f t="shared" si="47"/>
        <v>229.165949356765</v>
      </c>
      <c r="J49" s="253">
        <f t="shared" si="47"/>
        <v>205.85682232726259</v>
      </c>
      <c r="K49" s="253">
        <f t="shared" si="47"/>
        <v>248.00296511960227</v>
      </c>
      <c r="L49" s="253">
        <f t="shared" si="47"/>
        <v>261.57890770334404</v>
      </c>
    </row>
    <row r="50" spans="1:12">
      <c r="A50" s="659" t="s">
        <v>886</v>
      </c>
      <c r="B50" s="660">
        <v>93.162999999999997</v>
      </c>
      <c r="C50" s="660">
        <v>100.489</v>
      </c>
      <c r="D50" s="660">
        <v>82.465999999999994</v>
      </c>
      <c r="E50" s="660">
        <v>99.613</v>
      </c>
      <c r="F50" s="660">
        <v>91.12</v>
      </c>
      <c r="G50" t="str">
        <f t="shared" si="46"/>
        <v>Central and South America</v>
      </c>
      <c r="H50" s="253">
        <f t="shared" si="47"/>
        <v>20.942141739575071</v>
      </c>
      <c r="I50" s="253">
        <f t="shared" si="47"/>
        <v>21.909892956658485</v>
      </c>
      <c r="J50" s="253">
        <f t="shared" si="47"/>
        <v>18.065491848556466</v>
      </c>
      <c r="K50" s="253">
        <f t="shared" si="47"/>
        <v>26.024621414876115</v>
      </c>
      <c r="L50" s="253">
        <f t="shared" si="47"/>
        <v>33.445858791136565</v>
      </c>
    </row>
    <row r="51" spans="1:12">
      <c r="A51" s="659" t="s">
        <v>155</v>
      </c>
      <c r="B51" s="667" t="s">
        <v>869</v>
      </c>
      <c r="C51" s="667" t="s">
        <v>869</v>
      </c>
      <c r="D51" s="660">
        <v>4.3499999999999996</v>
      </c>
      <c r="E51" s="660">
        <v>3.9790000000000001</v>
      </c>
      <c r="F51" s="660">
        <v>5.87</v>
      </c>
      <c r="G51" t="str">
        <f t="shared" si="46"/>
        <v>Asia</v>
      </c>
      <c r="H51" s="253">
        <f>H45+H35+H36</f>
        <v>211.60707223119093</v>
      </c>
      <c r="I51" s="253">
        <f t="shared" ref="I51:L51" si="48">I45+I35+I36</f>
        <v>225.33804542027357</v>
      </c>
      <c r="J51" s="253">
        <f t="shared" si="48"/>
        <v>192.56509691830018</v>
      </c>
      <c r="K51" s="253">
        <f t="shared" si="48"/>
        <v>230.8632680349634</v>
      </c>
      <c r="L51" s="253">
        <f t="shared" si="48"/>
        <v>278.18666317446912</v>
      </c>
    </row>
    <row r="52" spans="1:12" s="666" customFormat="1">
      <c r="A52" s="664" t="s">
        <v>887</v>
      </c>
      <c r="B52" s="665">
        <v>271.77699999999999</v>
      </c>
      <c r="C52" s="665">
        <v>216.07900000000001</v>
      </c>
      <c r="D52" s="665">
        <v>163.19200000000001</v>
      </c>
      <c r="E52" s="665">
        <v>149.73599999999999</v>
      </c>
      <c r="F52" s="665">
        <v>141.279</v>
      </c>
      <c r="G52" s="666" t="s">
        <v>26</v>
      </c>
      <c r="H52" s="253">
        <f>H39-SUM(H41:H45)</f>
        <v>20.098251907200961</v>
      </c>
      <c r="I52" s="253">
        <f t="shared" ref="I52:L52" si="49">I39-SUM(I41:I45)</f>
        <v>11.905788850927308</v>
      </c>
      <c r="J52" s="253">
        <f t="shared" si="49"/>
        <v>14.05935047963294</v>
      </c>
      <c r="K52" s="253">
        <f t="shared" si="49"/>
        <v>20.56292603268065</v>
      </c>
      <c r="L52" s="253">
        <f t="shared" si="49"/>
        <v>33.205330229416688</v>
      </c>
    </row>
    <row r="53" spans="1:12">
      <c r="A53" s="659" t="s">
        <v>888</v>
      </c>
      <c r="B53" s="660">
        <v>170.339</v>
      </c>
      <c r="C53" s="660">
        <v>105.011</v>
      </c>
      <c r="D53" s="660">
        <v>67.546000000000006</v>
      </c>
      <c r="E53" s="660">
        <v>35.606000000000002</v>
      </c>
      <c r="F53" s="660">
        <v>33.49</v>
      </c>
      <c r="G53" s="694" t="s">
        <v>902</v>
      </c>
      <c r="H53" s="695">
        <v>5223.6549999999997</v>
      </c>
      <c r="I53" s="695">
        <v>4728.3230000000003</v>
      </c>
      <c r="J53" s="695">
        <v>4855.2749999999996</v>
      </c>
      <c r="K53" s="695">
        <v>4951.1189999999997</v>
      </c>
      <c r="L53" s="695">
        <v>5005.826</v>
      </c>
    </row>
    <row r="54" spans="1:12">
      <c r="A54" s="690" t="s">
        <v>23</v>
      </c>
      <c r="B54" s="690">
        <f>FORECAST(B72,C54:E54,C72:E72)</f>
        <v>15.716052759266569</v>
      </c>
      <c r="C54" s="690">
        <f>FORECAST(C72,D54:F54,D72:F72)</f>
        <v>14.723558380563141</v>
      </c>
      <c r="D54" s="691">
        <v>17.379000000000001</v>
      </c>
      <c r="E54" s="691">
        <v>14.564</v>
      </c>
      <c r="F54" s="691">
        <v>20.064</v>
      </c>
    </row>
    <row r="55" spans="1:12">
      <c r="A55" s="659" t="s">
        <v>148</v>
      </c>
      <c r="B55" s="667" t="s">
        <v>869</v>
      </c>
      <c r="C55" s="667" t="s">
        <v>869</v>
      </c>
      <c r="D55" s="660">
        <v>5.4630000000000001</v>
      </c>
      <c r="E55" s="660">
        <v>3.58</v>
      </c>
      <c r="F55" s="660">
        <v>5.5119999999999996</v>
      </c>
    </row>
    <row r="56" spans="1:12">
      <c r="A56" s="659" t="s">
        <v>889</v>
      </c>
      <c r="B56" s="667" t="s">
        <v>869</v>
      </c>
      <c r="C56" s="667" t="s">
        <v>869</v>
      </c>
      <c r="D56" s="660">
        <v>11.914999999999999</v>
      </c>
      <c r="E56" s="660">
        <v>10.984</v>
      </c>
      <c r="F56" s="660">
        <v>14.552</v>
      </c>
      <c r="H56" s="692">
        <v>1000</v>
      </c>
    </row>
    <row r="57" spans="1:12">
      <c r="A57" s="690" t="s">
        <v>890</v>
      </c>
      <c r="B57" s="691">
        <v>240.422</v>
      </c>
      <c r="C57" s="691">
        <v>218.21600000000001</v>
      </c>
      <c r="D57" s="691">
        <v>195.345</v>
      </c>
      <c r="E57" s="691">
        <v>232.988</v>
      </c>
      <c r="F57" s="691">
        <v>241.87899999999999</v>
      </c>
    </row>
    <row r="58" spans="1:12">
      <c r="A58" s="659" t="s">
        <v>114</v>
      </c>
      <c r="B58" s="660">
        <v>19.166</v>
      </c>
      <c r="C58" s="660">
        <v>22.975000000000001</v>
      </c>
      <c r="D58" s="660">
        <v>18.867999999999999</v>
      </c>
      <c r="E58" s="660">
        <v>22.581</v>
      </c>
      <c r="F58" s="660">
        <v>23.373999999999999</v>
      </c>
    </row>
    <row r="59" spans="1:12">
      <c r="A59" s="659" t="s">
        <v>891</v>
      </c>
      <c r="B59" s="660">
        <v>221.256</v>
      </c>
      <c r="C59" s="660">
        <v>195.24100000000001</v>
      </c>
      <c r="D59" s="660">
        <v>174.22200000000001</v>
      </c>
      <c r="E59" s="660">
        <v>207.43700000000001</v>
      </c>
      <c r="F59" s="660">
        <v>213.44499999999999</v>
      </c>
    </row>
    <row r="60" spans="1:12">
      <c r="A60" s="659" t="s">
        <v>892</v>
      </c>
      <c r="B60" s="667" t="s">
        <v>869</v>
      </c>
      <c r="C60" s="667" t="s">
        <v>869</v>
      </c>
      <c r="D60" s="660">
        <v>2.254</v>
      </c>
      <c r="E60" s="660">
        <v>2.97</v>
      </c>
      <c r="F60" s="660">
        <v>5.0609999999999999</v>
      </c>
      <c r="G60" t="s">
        <v>23</v>
      </c>
      <c r="H60">
        <v>14.021666820481352</v>
      </c>
      <c r="I60">
        <v>17.438376010607353</v>
      </c>
      <c r="J60">
        <v>18.314187801102925</v>
      </c>
      <c r="K60">
        <v>15.502583263298661</v>
      </c>
      <c r="L60">
        <v>21.698118497926217</v>
      </c>
    </row>
    <row r="61" spans="1:12">
      <c r="A61" s="690" t="s">
        <v>893</v>
      </c>
      <c r="B61" s="691">
        <v>19.719000000000001</v>
      </c>
      <c r="C61" s="691">
        <v>20.863</v>
      </c>
      <c r="D61" s="691">
        <v>17.143000000000001</v>
      </c>
      <c r="E61" s="691">
        <v>24.449000000000002</v>
      </c>
      <c r="F61" s="691">
        <v>30.927</v>
      </c>
    </row>
    <row r="62" spans="1:12">
      <c r="A62" s="659" t="s">
        <v>112</v>
      </c>
      <c r="B62" s="667" t="s">
        <v>869</v>
      </c>
      <c r="C62" s="667" t="s">
        <v>869</v>
      </c>
      <c r="D62" s="660">
        <v>8.0410000000000004</v>
      </c>
      <c r="E62" s="660">
        <v>13.42</v>
      </c>
      <c r="F62" s="660">
        <v>16.119</v>
      </c>
    </row>
    <row r="63" spans="1:12">
      <c r="A63" s="659" t="s">
        <v>894</v>
      </c>
      <c r="B63" s="667" t="s">
        <v>869</v>
      </c>
      <c r="C63" s="667" t="s">
        <v>869</v>
      </c>
      <c r="D63" s="660">
        <v>9.1020000000000003</v>
      </c>
      <c r="E63" s="660">
        <v>11.029</v>
      </c>
      <c r="F63" s="660">
        <v>14.808</v>
      </c>
    </row>
    <row r="64" spans="1:12">
      <c r="A64" s="690" t="s">
        <v>895</v>
      </c>
      <c r="B64" s="691">
        <v>176.37700000000001</v>
      </c>
      <c r="C64" s="691">
        <v>188.04599999999999</v>
      </c>
      <c r="D64" s="691">
        <v>160.39099999999999</v>
      </c>
      <c r="E64" s="691">
        <v>190.51300000000001</v>
      </c>
      <c r="F64" s="691">
        <v>230.155</v>
      </c>
    </row>
    <row r="65" spans="1:6">
      <c r="A65" s="659" t="s">
        <v>896</v>
      </c>
      <c r="B65" s="660">
        <v>56.808999999999997</v>
      </c>
      <c r="C65" s="660">
        <v>49.000999999999998</v>
      </c>
      <c r="D65" s="660">
        <v>46.981999999999999</v>
      </c>
      <c r="E65" s="660">
        <v>55.548000000000002</v>
      </c>
      <c r="F65" s="660">
        <v>73.331000000000003</v>
      </c>
    </row>
    <row r="66" spans="1:6">
      <c r="A66" s="659" t="s">
        <v>132</v>
      </c>
      <c r="B66" s="660">
        <v>51.771000000000001</v>
      </c>
      <c r="C66" s="660">
        <v>49.744999999999997</v>
      </c>
      <c r="D66" s="660">
        <v>45.531999999999996</v>
      </c>
      <c r="E66" s="660">
        <v>48.377000000000002</v>
      </c>
      <c r="F66" s="660">
        <v>46.718000000000004</v>
      </c>
    </row>
    <row r="67" spans="1:6">
      <c r="A67" s="659" t="s">
        <v>897</v>
      </c>
      <c r="B67" s="660">
        <v>9.5459999999999994</v>
      </c>
      <c r="C67" s="660">
        <v>9.9169999999999998</v>
      </c>
      <c r="D67" s="660">
        <v>8.99</v>
      </c>
      <c r="E67" s="660">
        <v>12.571</v>
      </c>
      <c r="F67" s="660">
        <v>13.664</v>
      </c>
    </row>
    <row r="68" spans="1:6">
      <c r="A68" s="659" t="s">
        <v>898</v>
      </c>
      <c r="B68" s="660">
        <v>58.250999999999998</v>
      </c>
      <c r="C68" s="660">
        <v>79.382999999999996</v>
      </c>
      <c r="D68" s="660">
        <v>58.887999999999998</v>
      </c>
      <c r="E68" s="660">
        <v>74.016999999999996</v>
      </c>
      <c r="F68" s="660">
        <v>96.442999999999998</v>
      </c>
    </row>
    <row r="69" spans="1:6">
      <c r="A69" s="659" t="s">
        <v>899</v>
      </c>
      <c r="B69" s="660">
        <v>22.870999999999999</v>
      </c>
      <c r="C69" s="660">
        <v>26.524999999999999</v>
      </c>
      <c r="D69" s="660">
        <v>22.341000000000001</v>
      </c>
      <c r="E69" s="660">
        <v>26.373000000000001</v>
      </c>
      <c r="F69" s="660">
        <v>27.081</v>
      </c>
    </row>
    <row r="70" spans="1:6">
      <c r="A70" s="659" t="s">
        <v>109</v>
      </c>
      <c r="B70" s="660">
        <v>19.649999999999999</v>
      </c>
      <c r="C70" s="660">
        <v>22.776</v>
      </c>
      <c r="D70" s="660">
        <v>19.68</v>
      </c>
      <c r="E70" s="660">
        <v>23.771000000000001</v>
      </c>
      <c r="F70" s="660">
        <v>24.434000000000001</v>
      </c>
    </row>
    <row r="71" spans="1:6">
      <c r="A71" s="659" t="s">
        <v>900</v>
      </c>
      <c r="B71" s="660">
        <v>3.2210000000000001</v>
      </c>
      <c r="C71" s="660">
        <v>3.7490000000000001</v>
      </c>
      <c r="D71" s="660">
        <v>2.661</v>
      </c>
      <c r="E71" s="660">
        <v>2.601</v>
      </c>
      <c r="F71" s="660">
        <v>2.6459999999999999</v>
      </c>
    </row>
    <row r="72" spans="1:6">
      <c r="A72" s="659" t="s">
        <v>902</v>
      </c>
      <c r="B72" s="660">
        <v>5223.6549999999997</v>
      </c>
      <c r="C72" s="660">
        <v>4728.3230000000003</v>
      </c>
      <c r="D72" s="660">
        <v>4855.2749999999996</v>
      </c>
      <c r="E72" s="660">
        <v>4951.1189999999997</v>
      </c>
      <c r="F72" s="660">
        <v>5005.826</v>
      </c>
    </row>
    <row r="73" spans="1:6">
      <c r="A73" s="659" t="s">
        <v>903</v>
      </c>
      <c r="B73" s="660">
        <v>339.75099999999998</v>
      </c>
      <c r="C73" s="660">
        <v>251.99199999999999</v>
      </c>
      <c r="D73" s="660">
        <v>261.26900000000001</v>
      </c>
      <c r="E73" s="660">
        <v>319.077</v>
      </c>
      <c r="F73" s="660">
        <v>407.70100000000002</v>
      </c>
    </row>
    <row r="75" spans="1:6">
      <c r="A75" s="662" t="s">
        <v>904</v>
      </c>
    </row>
    <row r="76" spans="1:6">
      <c r="A76" s="662" t="s">
        <v>869</v>
      </c>
      <c r="B76" s="662" t="s">
        <v>905</v>
      </c>
    </row>
  </sheetData>
  <customSheetViews>
    <customSheetView guid="{BD5E9955-DC4B-4EA0-9160-9EF1C693DE04}">
      <selection activeCell="N6" sqref="N6"/>
      <pageMargins left="0.7" right="0.7" top="0.75" bottom="0.75" header="0.3" footer="0.3"/>
    </customSheetView>
    <customSheetView guid="{1ACDCC85-59E3-4410-927D-E7E5C71B61F5}" state="hidden" topLeftCell="A35">
      <selection activeCell="H53" sqref="H53"/>
      <pageMargins left="0.7" right="0.7" top="0.75" bottom="0.75" header="0.3" footer="0.3"/>
    </customSheetView>
    <customSheetView guid="{9144D9B3-2327-4B3A-89B1-6A595780C3C5}" state="hidden" topLeftCell="A40">
      <selection activeCell="L36" sqref="L36"/>
      <pageMargins left="0.7" right="0.7" top="0.75" bottom="0.75" header="0.3" footer="0.3"/>
    </customSheetView>
    <customSheetView guid="{513032B5-C585-49C2-98E7-9FDE6F7A4BA7}" topLeftCell="A32">
      <pageMargins left="0.7" right="0.7" top="0.75" bottom="0.75" header="0.3" footer="0.3"/>
    </customSheetView>
    <customSheetView guid="{AF983ECA-536A-40E6-8A04-FF0A375E9ACC}" topLeftCell="A32">
      <selection activeCell="H52" sqref="H52"/>
      <pageMargins left="0.7" right="0.7" top="0.75" bottom="0.75" header="0.3" footer="0.3"/>
    </customSheetView>
  </customSheetViews>
  <pageMargins left="0.7" right="0.7" top="0.75" bottom="0.75" header="0.3" footer="0.3"/>
  <legacyDrawing r:id="rId1"/>
</worksheet>
</file>

<file path=xl/worksheets/sheet35.xml><?xml version="1.0" encoding="utf-8"?>
<worksheet xmlns="http://schemas.openxmlformats.org/spreadsheetml/2006/main" xmlns:r="http://schemas.openxmlformats.org/officeDocument/2006/relationships">
  <dimension ref="A1"/>
  <sheetViews>
    <sheetView workbookViewId="0"/>
  </sheetViews>
  <sheetFormatPr defaultRowHeight="15"/>
  <sheetData/>
  <customSheetViews>
    <customSheetView guid="{BD5E9955-DC4B-4EA0-9160-9EF1C693DE04}" state="hidden">
      <pageMargins left="0.7" right="0.7" top="0.75" bottom="0.75" header="0.3" footer="0.3"/>
    </customSheetView>
    <customSheetView guid="{1ACDCC85-59E3-4410-927D-E7E5C71B61F5}" state="hidden">
      <pageMargins left="0.7" right="0.7" top="0.75" bottom="0.75" header="0.3" footer="0.3"/>
    </customSheetView>
    <customSheetView guid="{9144D9B3-2327-4B3A-89B1-6A595780C3C5}" state="hidden">
      <pageMargins left="0.7" right="0.7" top="0.75" bottom="0.75" header="0.3" footer="0.3"/>
    </customSheetView>
    <customSheetView guid="{513032B5-C585-49C2-98E7-9FDE6F7A4BA7}">
      <pageMargins left="0.7" right="0.7" top="0.75" bottom="0.75" header="0.3" footer="0.3"/>
    </customSheetView>
    <customSheetView guid="{AF983ECA-536A-40E6-8A04-FF0A375E9ACC}">
      <pageMargins left="0.7" right="0.7" top="0.75" bottom="0.75" header="0.3" footer="0.3"/>
    </customSheetView>
  </customSheetViews>
  <pageMargins left="0.7" right="0.7" top="0.75" bottom="0.75" header="0.3" footer="0.3"/>
</worksheet>
</file>

<file path=xl/worksheets/sheet36.xml><?xml version="1.0" encoding="utf-8"?>
<worksheet xmlns="http://schemas.openxmlformats.org/spreadsheetml/2006/main" xmlns:r="http://schemas.openxmlformats.org/officeDocument/2006/relationships">
  <dimension ref="A1"/>
  <sheetViews>
    <sheetView workbookViewId="0"/>
  </sheetViews>
  <sheetFormatPr defaultRowHeight="15"/>
  <sheetData/>
  <customSheetViews>
    <customSheetView guid="{BD5E9955-DC4B-4EA0-9160-9EF1C693DE04}" state="hidden">
      <pageMargins left="0.7" right="0.7" top="0.75" bottom="0.75" header="0.3" footer="0.3"/>
    </customSheetView>
    <customSheetView guid="{1ACDCC85-59E3-4410-927D-E7E5C71B61F5}" state="hidden">
      <pageMargins left="0.7" right="0.7" top="0.75" bottom="0.75" header="0.3" footer="0.3"/>
    </customSheetView>
    <customSheetView guid="{9144D9B3-2327-4B3A-89B1-6A595780C3C5}" state="hidden">
      <pageMargins left="0.7" right="0.7" top="0.75" bottom="0.75" header="0.3" footer="0.3"/>
    </customSheetView>
    <customSheetView guid="{513032B5-C585-49C2-98E7-9FDE6F7A4BA7}">
      <pageMargins left="0.7" right="0.7" top="0.75" bottom="0.75" header="0.3" footer="0.3"/>
    </customSheetView>
    <customSheetView guid="{AF983ECA-536A-40E6-8A04-FF0A375E9ACC}">
      <pageMargins left="0.7" right="0.7" top="0.75" bottom="0.75" header="0.3" footer="0.3"/>
    </customSheetView>
  </customSheetView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36</vt:i4>
      </vt:variant>
    </vt:vector>
  </HeadingPairs>
  <TitlesOfParts>
    <vt:vector size="36" baseType="lpstr">
      <vt:lpstr>WTTC Export (Hotel)</vt:lpstr>
      <vt:lpstr>Home</vt:lpstr>
      <vt:lpstr>Checklist</vt:lpstr>
      <vt:lpstr>TI working sheet</vt:lpstr>
      <vt:lpstr>Tourism Medium DB-US$</vt:lpstr>
      <vt:lpstr>Hotel- WS</vt:lpstr>
      <vt:lpstr>Poland Hotel database</vt:lpstr>
      <vt:lpstr>Hotel working sheet</vt:lpstr>
      <vt:lpstr>TDF working sheet</vt:lpstr>
      <vt:lpstr>Tourism Medium DB-LCU</vt:lpstr>
      <vt:lpstr>TDF-Forecasting</vt:lpstr>
      <vt:lpstr>Sum Checks</vt:lpstr>
      <vt:lpstr>Airline_WS</vt:lpstr>
      <vt:lpstr>Hotel-Forecasting</vt:lpstr>
      <vt:lpstr>Forecasting_Car Rental</vt:lpstr>
      <vt:lpstr>Car Rental checks</vt:lpstr>
      <vt:lpstr>Car rental Working sheet</vt:lpstr>
      <vt:lpstr>Airline Checks</vt:lpstr>
      <vt:lpstr>Hotel Checks</vt:lpstr>
      <vt:lpstr>TI_Forecasting</vt:lpstr>
      <vt:lpstr>TI_Checks</vt:lpstr>
      <vt:lpstr>Norway TI</vt:lpstr>
      <vt:lpstr>Working Sheet_EI</vt:lpstr>
      <vt:lpstr>Hotel - Checks</vt:lpstr>
      <vt:lpstr>Airline_Forecasting</vt:lpstr>
      <vt:lpstr>Checks_EI</vt:lpstr>
      <vt:lpstr>Forecasting_EI</vt:lpstr>
      <vt:lpstr>Growth rate</vt:lpstr>
      <vt:lpstr>Benchmarking ratios_EI</vt:lpstr>
      <vt:lpstr>WTTC Export</vt:lpstr>
      <vt:lpstr>Calculation sheet </vt:lpstr>
      <vt:lpstr>Outbound</vt:lpstr>
      <vt:lpstr>Sheet3</vt:lpstr>
      <vt:lpstr>Sheet1</vt:lpstr>
      <vt:lpstr>Sheet2</vt:lpstr>
      <vt:lpstr>Sheet4</vt:lpstr>
    </vt:vector>
  </TitlesOfParts>
  <Company>GlobalData</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jeevan</dc:creator>
  <cp:lastModifiedBy>biswass</cp:lastModifiedBy>
  <dcterms:created xsi:type="dcterms:W3CDTF">2012-10-11T12:33:35Z</dcterms:created>
  <dcterms:modified xsi:type="dcterms:W3CDTF">2013-10-25T13:11:11Z</dcterms:modified>
</cp:coreProperties>
</file>